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70ce96d5007055/Desktop/march/"/>
    </mc:Choice>
  </mc:AlternateContent>
  <xr:revisionPtr revIDLastSave="9" documentId="11_24D79A7AE382967F14BA72C29B28BA8624B23FAB" xr6:coauthVersionLast="45" xr6:coauthVersionMax="45" xr10:uidLastSave="{D43BE9C7-44BA-4D85-B314-E5C524C016C1}"/>
  <bookViews>
    <workbookView xWindow="-96" yWindow="-96" windowWidth="23232" windowHeight="12552" activeTab="1" xr2:uid="{00000000-000D-0000-FFFF-FFFF00000000}"/>
  </bookViews>
  <sheets>
    <sheet name="Top 30 Snubs" sheetId="1" r:id="rId1"/>
    <sheet name="Master" sheetId="2" r:id="rId2"/>
    <sheet name="2002" sheetId="3" r:id="rId3"/>
    <sheet name="2003" sheetId="4" r:id="rId4"/>
    <sheet name="2004" sheetId="5" r:id="rId5"/>
    <sheet name="2005" sheetId="6" r:id="rId6"/>
    <sheet name="2006" sheetId="7" r:id="rId7"/>
    <sheet name="2007" sheetId="8" r:id="rId8"/>
    <sheet name="2008" sheetId="9" r:id="rId9"/>
    <sheet name="2009" sheetId="10" r:id="rId10"/>
    <sheet name="2010" sheetId="11" r:id="rId11"/>
    <sheet name="2011" sheetId="12" r:id="rId12"/>
    <sheet name="2012" sheetId="13" r:id="rId13"/>
    <sheet name="2013" sheetId="14" r:id="rId14"/>
    <sheet name="2014" sheetId="15" r:id="rId15"/>
    <sheet name="2015" sheetId="16" r:id="rId16"/>
    <sheet name="2016" sheetId="17" r:id="rId17"/>
    <sheet name="2017" sheetId="18" r:id="rId18"/>
    <sheet name="2018" sheetId="19" r:id="rId19"/>
    <sheet name="2015 EM" sheetId="20" r:id="rId20"/>
    <sheet name="2015 Top 20 OD" sheetId="21" r:id="rId21"/>
    <sheet name="02-14" sheetId="22" r:id="rId22"/>
    <sheet name="Seed vs. KP" sheetId="23" r:id="rId23"/>
    <sheet name="Cinderella" sheetId="24" r:id="rId24"/>
    <sheet name="Cinderella clean" sheetId="25" r:id="rId25"/>
    <sheet name="2015 Cinderella" sheetId="26" r:id="rId26"/>
    <sheet name="F4" sheetId="27" r:id="rId27"/>
    <sheet name="F4 clean" sheetId="28" r:id="rId28"/>
    <sheet name="2015 F4" sheetId="29" r:id="rId29"/>
    <sheet name="Champs" sheetId="30" r:id="rId30"/>
    <sheet name="Champs clean" sheetId="31" r:id="rId31"/>
    <sheet name="2015 Champs" sheetId="32" r:id="rId32"/>
  </sheets>
  <definedNames>
    <definedName name="_xlnm._FilterDatabase" localSheetId="2" hidden="1">'2002'!$A$1:$V$328</definedName>
    <definedName name="_xlnm._FilterDatabase" localSheetId="3" hidden="1">'2003'!$A$1:$V$328</definedName>
    <definedName name="_xlnm._FilterDatabase" localSheetId="4" hidden="1">'2004'!$A$1:$V$327</definedName>
    <definedName name="_xlnm._FilterDatabase" localSheetId="5" hidden="1">'2005'!$A$1:$V$331</definedName>
    <definedName name="_xlnm._FilterDatabase" localSheetId="6" hidden="1">'2006'!$A$1:$V$335</definedName>
    <definedName name="_xlnm._FilterDatabase" localSheetId="7" hidden="1">'2007'!$A$1:$V$337</definedName>
    <definedName name="_xlnm._FilterDatabase" localSheetId="8" hidden="1">'2008'!$A$1:$V$342</definedName>
    <definedName name="_xlnm._FilterDatabase" localSheetId="9" hidden="1">'2009'!$A$1:$V$345</definedName>
    <definedName name="_xlnm._FilterDatabase" localSheetId="10" hidden="1">'2010'!$A$1:$V$348</definedName>
    <definedName name="_xlnm._FilterDatabase" localSheetId="11" hidden="1">'2011'!$A$1:$V$346</definedName>
    <definedName name="_xlnm._FilterDatabase" localSheetId="12" hidden="1">'2012'!$A$1:$V$346</definedName>
    <definedName name="_xlnm._FilterDatabase" localSheetId="13" hidden="1">'2013'!$A$1:$V$348</definedName>
    <definedName name="_xlnm._FilterDatabase" localSheetId="14" hidden="1">'2014'!$A$1:$V$352</definedName>
    <definedName name="_xlnm._FilterDatabase" localSheetId="15" hidden="1">'2015'!$A$1:$W$352</definedName>
    <definedName name="_xlnm._FilterDatabase" localSheetId="31" hidden="1">'2015 Champs'!$A$1:$Q$352</definedName>
    <definedName name="_xlnm._FilterDatabase" localSheetId="19" hidden="1">'2015 EM'!$A$1:$R$352</definedName>
    <definedName name="_xlnm._FilterDatabase" localSheetId="20" hidden="1">'2015 Top 20 OD'!$A$1:$R$352</definedName>
    <definedName name="_xlnm._FilterDatabase" localSheetId="16" hidden="1">'2016'!$A$1:$W$352</definedName>
    <definedName name="_xlnm._FilterDatabase" localSheetId="17" hidden="1">'2017'!$A$1:$P$353</definedName>
    <definedName name="_xlnm._FilterDatabase" localSheetId="27" hidden="1">'F4 clean'!$A$1:$L$48</definedName>
    <definedName name="_xlnm._FilterDatabase" localSheetId="1" hidden="1">Master!$A$1:$W$4401</definedName>
    <definedName name="Z_438FEDD7_5983_4900_A58D_A78A41B7D9BC_.wvu.FilterData" localSheetId="31" hidden="1">'2015 Champs'!$A$1:$Q$352</definedName>
  </definedNames>
  <calcPr calcId="191029"/>
  <customWorkbookViews>
    <customWorkbookView name="Filter 1" guid="{438FEDD7-5983-4900-A58D-A78A41B7D9BC}" maximized="1" windowWidth="0" windowHeight="0" activeSheetId="0"/>
  </customWorkbookViews>
  <pivotCaches>
    <pivotCache cacheId="8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28" i="32" l="1"/>
  <c r="AI28" i="32"/>
  <c r="AH28" i="32"/>
  <c r="AG28" i="32"/>
  <c r="AF28" i="32"/>
  <c r="AE28" i="32"/>
  <c r="AD28" i="32"/>
  <c r="AC28" i="32"/>
  <c r="AB28" i="32"/>
  <c r="AA28" i="32"/>
  <c r="Z28" i="32"/>
  <c r="Y28" i="32"/>
  <c r="X28" i="32"/>
  <c r="W28" i="32"/>
  <c r="V28" i="32"/>
  <c r="U28" i="32"/>
  <c r="T28" i="32"/>
  <c r="AJ27" i="32"/>
  <c r="AI27" i="32"/>
  <c r="AH27" i="32"/>
  <c r="AG27" i="32"/>
  <c r="AF27" i="32"/>
  <c r="AE27" i="32"/>
  <c r="AD27" i="32"/>
  <c r="AC27" i="32"/>
  <c r="AB27" i="32"/>
  <c r="AA27" i="32"/>
  <c r="Z27" i="32"/>
  <c r="Y27" i="32"/>
  <c r="X27" i="32"/>
  <c r="W27" i="32"/>
  <c r="V27" i="32"/>
  <c r="U27" i="32"/>
  <c r="T27" i="32"/>
  <c r="AJ26" i="32"/>
  <c r="AI26" i="32"/>
  <c r="AH26" i="32"/>
  <c r="AG26" i="32"/>
  <c r="AF26" i="32"/>
  <c r="AE26" i="32"/>
  <c r="AD26" i="32"/>
  <c r="AC26" i="32"/>
  <c r="AB26" i="32"/>
  <c r="AA26" i="32"/>
  <c r="Z26" i="32"/>
  <c r="Y26" i="32"/>
  <c r="X26" i="32"/>
  <c r="W26" i="32"/>
  <c r="V26" i="32"/>
  <c r="U26" i="32"/>
  <c r="T26" i="32"/>
  <c r="AJ25" i="32"/>
  <c r="AI25" i="32"/>
  <c r="AH25" i="32"/>
  <c r="AG25" i="32"/>
  <c r="AF25" i="32"/>
  <c r="AE25" i="32"/>
  <c r="AD25" i="32"/>
  <c r="AC25" i="32"/>
  <c r="AB25" i="32"/>
  <c r="AA25" i="32"/>
  <c r="Z25" i="32"/>
  <c r="Y25" i="32"/>
  <c r="X25" i="32"/>
  <c r="W25" i="32"/>
  <c r="V25" i="32"/>
  <c r="U25" i="32"/>
  <c r="T25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AJ23" i="32"/>
  <c r="AI23" i="32"/>
  <c r="AH23" i="32"/>
  <c r="AG23" i="32"/>
  <c r="AF23" i="32"/>
  <c r="AE23" i="32"/>
  <c r="AD23" i="32"/>
  <c r="AC23" i="32"/>
  <c r="AB23" i="32"/>
  <c r="AA23" i="32"/>
  <c r="Z23" i="32"/>
  <c r="Y23" i="32"/>
  <c r="X23" i="32"/>
  <c r="W23" i="32"/>
  <c r="V23" i="32"/>
  <c r="U23" i="32"/>
  <c r="T23" i="32"/>
  <c r="AJ21" i="32"/>
  <c r="AI21" i="32"/>
  <c r="AH21" i="32"/>
  <c r="AG21" i="32"/>
  <c r="AF21" i="32"/>
  <c r="AE21" i="32"/>
  <c r="AD21" i="32"/>
  <c r="AC21" i="32"/>
  <c r="AB21" i="32"/>
  <c r="AA21" i="32"/>
  <c r="Z21" i="32"/>
  <c r="Y21" i="32"/>
  <c r="X21" i="32"/>
  <c r="W21" i="32"/>
  <c r="V21" i="32"/>
  <c r="U21" i="32"/>
  <c r="T21" i="32"/>
  <c r="AJ20" i="32"/>
  <c r="AI20" i="32"/>
  <c r="AH20" i="32"/>
  <c r="AG20" i="32"/>
  <c r="AF20" i="32"/>
  <c r="AE20" i="32"/>
  <c r="AD20" i="32"/>
  <c r="AC20" i="32"/>
  <c r="AB20" i="32"/>
  <c r="AA20" i="32"/>
  <c r="Z20" i="32"/>
  <c r="Y20" i="32"/>
  <c r="X20" i="32"/>
  <c r="W20" i="32"/>
  <c r="V20" i="32"/>
  <c r="U20" i="32"/>
  <c r="T20" i="32"/>
  <c r="AJ19" i="32"/>
  <c r="AI19" i="32"/>
  <c r="AH19" i="32"/>
  <c r="AG19" i="32"/>
  <c r="AF19" i="32"/>
  <c r="AE19" i="32"/>
  <c r="AD19" i="32"/>
  <c r="AC19" i="32"/>
  <c r="AB19" i="32"/>
  <c r="AA19" i="32"/>
  <c r="Z19" i="32"/>
  <c r="Y19" i="32"/>
  <c r="X19" i="32"/>
  <c r="W19" i="32"/>
  <c r="V19" i="32"/>
  <c r="U19" i="32"/>
  <c r="T19" i="32"/>
  <c r="AJ18" i="32"/>
  <c r="AI18" i="32"/>
  <c r="AH18" i="32"/>
  <c r="AG18" i="32"/>
  <c r="AF18" i="32"/>
  <c r="AE18" i="32"/>
  <c r="AD18" i="32"/>
  <c r="AC18" i="32"/>
  <c r="AB18" i="32"/>
  <c r="AA18" i="32"/>
  <c r="Z18" i="32"/>
  <c r="Y18" i="32"/>
  <c r="X18" i="32"/>
  <c r="W18" i="32"/>
  <c r="V18" i="32"/>
  <c r="U18" i="32"/>
  <c r="T18" i="32"/>
  <c r="AJ16" i="32"/>
  <c r="AI16" i="32"/>
  <c r="AH16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AJ15" i="32"/>
  <c r="AI15" i="32"/>
  <c r="AH15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AJ14" i="32"/>
  <c r="AI14" i="32"/>
  <c r="AH14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T14" i="32"/>
  <c r="AJ13" i="32"/>
  <c r="AI13" i="32"/>
  <c r="AH13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AJ12" i="32"/>
  <c r="AI12" i="32"/>
  <c r="AH12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AJ11" i="32"/>
  <c r="AI11" i="32"/>
  <c r="AH11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AJ10" i="32"/>
  <c r="AI10" i="32"/>
  <c r="AH10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AJ9" i="32"/>
  <c r="AI9" i="32"/>
  <c r="AH9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AJ8" i="32"/>
  <c r="AI8" i="32"/>
  <c r="AH8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AJ7" i="32"/>
  <c r="AI7" i="32"/>
  <c r="AH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AJ6" i="32"/>
  <c r="AI6" i="32"/>
  <c r="AH6" i="32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AJ5" i="32"/>
  <c r="AI5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AJ4" i="32"/>
  <c r="AI4" i="32"/>
  <c r="AH4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AJ3" i="32"/>
  <c r="AI3" i="32"/>
  <c r="AH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K19" i="31"/>
  <c r="J19" i="31"/>
  <c r="I19" i="31"/>
  <c r="H19" i="31"/>
  <c r="G19" i="31"/>
  <c r="F19" i="31"/>
  <c r="E19" i="31"/>
  <c r="D19" i="31"/>
  <c r="C19" i="31"/>
  <c r="K18" i="31"/>
  <c r="J18" i="31"/>
  <c r="I18" i="31"/>
  <c r="H18" i="31"/>
  <c r="G18" i="31"/>
  <c r="F18" i="31"/>
  <c r="E18" i="31"/>
  <c r="D18" i="31"/>
  <c r="C18" i="31"/>
  <c r="K17" i="31"/>
  <c r="J17" i="31"/>
  <c r="I17" i="31"/>
  <c r="H17" i="31"/>
  <c r="G17" i="31"/>
  <c r="F17" i="31"/>
  <c r="E17" i="31"/>
  <c r="D17" i="31"/>
  <c r="C17" i="31"/>
  <c r="K16" i="31"/>
  <c r="J16" i="31"/>
  <c r="I16" i="31"/>
  <c r="H16" i="31"/>
  <c r="G16" i="31"/>
  <c r="F16" i="31"/>
  <c r="E16" i="31"/>
  <c r="D16" i="31"/>
  <c r="C16" i="31"/>
  <c r="L15" i="31"/>
  <c r="L14" i="31"/>
  <c r="L13" i="31"/>
  <c r="L12" i="31"/>
  <c r="L11" i="31"/>
  <c r="L10" i="31"/>
  <c r="L9" i="31"/>
  <c r="L8" i="31"/>
  <c r="L7" i="31"/>
  <c r="L6" i="31"/>
  <c r="L5" i="31"/>
  <c r="L4" i="31"/>
  <c r="L3" i="31"/>
  <c r="L17" i="31" s="1"/>
  <c r="Q63" i="29"/>
  <c r="Q62" i="29"/>
  <c r="Q61" i="29"/>
  <c r="Q60" i="29"/>
  <c r="Q59" i="29"/>
  <c r="Q58" i="29"/>
  <c r="Q57" i="29"/>
  <c r="Q56" i="29"/>
  <c r="Q55" i="29"/>
  <c r="Q54" i="29"/>
  <c r="Q53" i="29"/>
  <c r="Q52" i="29"/>
  <c r="Q51" i="29"/>
  <c r="Q50" i="29"/>
  <c r="Q49" i="29"/>
  <c r="Q48" i="29"/>
  <c r="Q47" i="29"/>
  <c r="Q46" i="29"/>
  <c r="Q45" i="29"/>
  <c r="Q44" i="29"/>
  <c r="Q43" i="29"/>
  <c r="Q42" i="29"/>
  <c r="Q41" i="29"/>
  <c r="Q40" i="29"/>
  <c r="AJ39" i="29"/>
  <c r="AI39" i="29"/>
  <c r="AH39" i="29"/>
  <c r="AG39" i="29"/>
  <c r="AF39" i="29"/>
  <c r="AE39" i="29"/>
  <c r="AD39" i="29"/>
  <c r="AC39" i="29"/>
  <c r="AB39" i="29"/>
  <c r="AA39" i="29"/>
  <c r="Z39" i="29"/>
  <c r="Y39" i="29"/>
  <c r="X39" i="29"/>
  <c r="W39" i="29"/>
  <c r="V39" i="29"/>
  <c r="U39" i="29"/>
  <c r="T39" i="29"/>
  <c r="Q39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Q38" i="29"/>
  <c r="AJ37" i="29"/>
  <c r="AI37" i="29"/>
  <c r="AH37" i="29"/>
  <c r="AG37" i="29"/>
  <c r="AF37" i="29"/>
  <c r="AE37" i="29"/>
  <c r="AD37" i="29"/>
  <c r="AC37" i="29"/>
  <c r="AB37" i="29"/>
  <c r="AA37" i="29"/>
  <c r="Z37" i="29"/>
  <c r="Y37" i="29"/>
  <c r="X37" i="29"/>
  <c r="W37" i="29"/>
  <c r="V37" i="29"/>
  <c r="U37" i="29"/>
  <c r="T37" i="29"/>
  <c r="Q37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Q36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Q35" i="29"/>
  <c r="AJ34" i="29"/>
  <c r="AI34" i="29"/>
  <c r="AH34" i="29"/>
  <c r="AG34" i="29"/>
  <c r="AF34" i="29"/>
  <c r="AE34" i="29"/>
  <c r="AD34" i="29"/>
  <c r="AC34" i="29"/>
  <c r="AB34" i="29"/>
  <c r="AA34" i="29"/>
  <c r="Z34" i="29"/>
  <c r="Y34" i="29"/>
  <c r="X34" i="29"/>
  <c r="W34" i="29"/>
  <c r="V34" i="29"/>
  <c r="U34" i="29"/>
  <c r="T34" i="29"/>
  <c r="Q34" i="29"/>
  <c r="AJ33" i="29"/>
  <c r="AI33" i="29"/>
  <c r="AH33" i="29"/>
  <c r="AG33" i="29"/>
  <c r="AF33" i="29"/>
  <c r="AE33" i="29"/>
  <c r="AD33" i="29"/>
  <c r="AC33" i="29"/>
  <c r="AB33" i="29"/>
  <c r="AA33" i="29"/>
  <c r="Z33" i="29"/>
  <c r="Y33" i="29"/>
  <c r="X33" i="29"/>
  <c r="W33" i="29"/>
  <c r="V33" i="29"/>
  <c r="U33" i="29"/>
  <c r="T33" i="29"/>
  <c r="Q33" i="29"/>
  <c r="AJ32" i="29"/>
  <c r="AI32" i="29"/>
  <c r="AH32" i="29"/>
  <c r="AG32" i="29"/>
  <c r="AF32" i="29"/>
  <c r="AE32" i="29"/>
  <c r="AD32" i="29"/>
  <c r="AC32" i="29"/>
  <c r="AB32" i="29"/>
  <c r="AA32" i="29"/>
  <c r="Z32" i="29"/>
  <c r="Y32" i="29"/>
  <c r="X32" i="29"/>
  <c r="W32" i="29"/>
  <c r="V32" i="29"/>
  <c r="U32" i="29"/>
  <c r="T32" i="29"/>
  <c r="Q32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Q31" i="29"/>
  <c r="AJ30" i="29"/>
  <c r="AI30" i="29"/>
  <c r="AH30" i="29"/>
  <c r="AG30" i="29"/>
  <c r="AF30" i="29"/>
  <c r="AE30" i="29"/>
  <c r="AD30" i="29"/>
  <c r="AC30" i="29"/>
  <c r="AB30" i="29"/>
  <c r="AA30" i="29"/>
  <c r="Z30" i="29"/>
  <c r="Y30" i="29"/>
  <c r="X30" i="29"/>
  <c r="W30" i="29"/>
  <c r="V30" i="29"/>
  <c r="U30" i="29"/>
  <c r="T30" i="29"/>
  <c r="Q30" i="29"/>
  <c r="AJ29" i="29"/>
  <c r="AI29" i="29"/>
  <c r="AH29" i="29"/>
  <c r="AG29" i="29"/>
  <c r="AF29" i="29"/>
  <c r="AE29" i="29"/>
  <c r="AD29" i="29"/>
  <c r="AC29" i="29"/>
  <c r="AB29" i="29"/>
  <c r="AA29" i="29"/>
  <c r="Z29" i="29"/>
  <c r="Y29" i="29"/>
  <c r="X29" i="29"/>
  <c r="W29" i="29"/>
  <c r="V29" i="29"/>
  <c r="U29" i="29"/>
  <c r="T29" i="29"/>
  <c r="Q29" i="29"/>
  <c r="AJ28" i="29"/>
  <c r="AI28" i="29"/>
  <c r="AH28" i="29"/>
  <c r="AG28" i="29"/>
  <c r="AF28" i="29"/>
  <c r="AE28" i="29"/>
  <c r="AD28" i="29"/>
  <c r="AC28" i="29"/>
  <c r="AB28" i="29"/>
  <c r="AA28" i="29"/>
  <c r="Z28" i="29"/>
  <c r="Y28" i="29"/>
  <c r="X28" i="29"/>
  <c r="W28" i="29"/>
  <c r="V28" i="29"/>
  <c r="U28" i="29"/>
  <c r="T28" i="29"/>
  <c r="Q28" i="29"/>
  <c r="AJ27" i="29"/>
  <c r="AI27" i="29"/>
  <c r="AH27" i="29"/>
  <c r="AG27" i="29"/>
  <c r="AF27" i="29"/>
  <c r="AE27" i="29"/>
  <c r="AD27" i="29"/>
  <c r="AC27" i="29"/>
  <c r="AB27" i="29"/>
  <c r="AA27" i="29"/>
  <c r="Z27" i="29"/>
  <c r="Y27" i="29"/>
  <c r="X27" i="29"/>
  <c r="W27" i="29"/>
  <c r="V27" i="29"/>
  <c r="U27" i="29"/>
  <c r="T27" i="29"/>
  <c r="Q27" i="29"/>
  <c r="AJ26" i="29"/>
  <c r="AI26" i="29"/>
  <c r="AH26" i="29"/>
  <c r="AG26" i="29"/>
  <c r="AF26" i="29"/>
  <c r="AE26" i="29"/>
  <c r="AD26" i="29"/>
  <c r="AC26" i="29"/>
  <c r="AB26" i="29"/>
  <c r="AA26" i="29"/>
  <c r="Z26" i="29"/>
  <c r="Y26" i="29"/>
  <c r="X26" i="29"/>
  <c r="W26" i="29"/>
  <c r="V26" i="29"/>
  <c r="U26" i="29"/>
  <c r="T26" i="29"/>
  <c r="Q26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Q25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Q24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Q23" i="29"/>
  <c r="AJ22" i="29"/>
  <c r="AI22" i="29"/>
  <c r="AH22" i="29"/>
  <c r="AG22" i="29"/>
  <c r="AF22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Q22" i="29"/>
  <c r="AJ21" i="29"/>
  <c r="AI21" i="29"/>
  <c r="AH21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Q21" i="29"/>
  <c r="AJ20" i="29"/>
  <c r="AI20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Q20" i="29"/>
  <c r="AJ19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Q19" i="29"/>
  <c r="AJ18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Q18" i="29"/>
  <c r="AJ17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Q17" i="29"/>
  <c r="AJ16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Q16" i="29"/>
  <c r="AJ15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Q15" i="29"/>
  <c r="AJ14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Q14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Q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Q12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Q11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Q10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Q9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Q8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Q7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Q6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S6" i="29" s="1"/>
  <c r="S7" i="29" s="1"/>
  <c r="S8" i="29" s="1"/>
  <c r="S9" i="29" s="1"/>
  <c r="S10" i="29" s="1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Q5" i="29"/>
  <c r="AJ4" i="29"/>
  <c r="AI4" i="29"/>
  <c r="AH4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T4" i="29"/>
  <c r="S4" i="29"/>
  <c r="Q4" i="29"/>
  <c r="AJ3" i="29"/>
  <c r="AI3" i="29"/>
  <c r="AH3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T3" i="29"/>
  <c r="Q3" i="29"/>
  <c r="Q2" i="29"/>
  <c r="K48" i="28"/>
  <c r="J48" i="28"/>
  <c r="I48" i="28"/>
  <c r="H48" i="28"/>
  <c r="G48" i="28"/>
  <c r="F48" i="28"/>
  <c r="E48" i="28"/>
  <c r="D48" i="28"/>
  <c r="C48" i="28"/>
  <c r="K47" i="28"/>
  <c r="J47" i="28"/>
  <c r="I47" i="28"/>
  <c r="H47" i="28"/>
  <c r="G47" i="28"/>
  <c r="F47" i="28"/>
  <c r="E47" i="28"/>
  <c r="D47" i="28"/>
  <c r="C47" i="28"/>
  <c r="K46" i="28"/>
  <c r="J46" i="28"/>
  <c r="I46" i="28"/>
  <c r="H46" i="28"/>
  <c r="G46" i="28"/>
  <c r="F46" i="28"/>
  <c r="E46" i="28"/>
  <c r="D46" i="28"/>
  <c r="C46" i="28"/>
  <c r="K45" i="28"/>
  <c r="J45" i="28"/>
  <c r="I45" i="28"/>
  <c r="H45" i="28"/>
  <c r="G45" i="28"/>
  <c r="F45" i="28"/>
  <c r="E45" i="28"/>
  <c r="D45" i="28"/>
  <c r="C45" i="28"/>
  <c r="L44" i="28"/>
  <c r="L43" i="28"/>
  <c r="L42" i="28"/>
  <c r="L41" i="28"/>
  <c r="L40" i="28"/>
  <c r="L39" i="28"/>
  <c r="L38" i="28"/>
  <c r="L37" i="28"/>
  <c r="L36" i="28"/>
  <c r="L35" i="28"/>
  <c r="L34" i="28"/>
  <c r="L33" i="28"/>
  <c r="L32" i="28"/>
  <c r="L31" i="28"/>
  <c r="L30" i="28"/>
  <c r="L29" i="28"/>
  <c r="L28" i="28"/>
  <c r="L27" i="28"/>
  <c r="L26" i="28"/>
  <c r="L25" i="28"/>
  <c r="L24" i="28"/>
  <c r="L23" i="28"/>
  <c r="L22" i="28"/>
  <c r="L21" i="28"/>
  <c r="L20" i="28"/>
  <c r="L19" i="28"/>
  <c r="L18" i="28"/>
  <c r="L17" i="28"/>
  <c r="L16" i="28"/>
  <c r="L15" i="28"/>
  <c r="L14" i="28"/>
  <c r="L13" i="28"/>
  <c r="L12" i="28"/>
  <c r="L11" i="28"/>
  <c r="L10" i="28"/>
  <c r="L9" i="28"/>
  <c r="L8" i="28"/>
  <c r="L7" i="28"/>
  <c r="L6" i="28"/>
  <c r="L5" i="28"/>
  <c r="L4" i="28"/>
  <c r="L48" i="28" s="1"/>
  <c r="L3" i="28"/>
  <c r="L2" i="28"/>
  <c r="L47" i="28" s="1"/>
  <c r="Q27" i="26"/>
  <c r="Q26" i="26"/>
  <c r="Q25" i="26"/>
  <c r="Q24" i="26"/>
  <c r="Q23" i="26"/>
  <c r="Q22" i="26"/>
  <c r="Q21" i="26"/>
  <c r="Q20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U19" i="26"/>
  <c r="T19" i="26"/>
  <c r="Q19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Q18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U17" i="26"/>
  <c r="T17" i="26"/>
  <c r="Q17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S17" i="26" s="1"/>
  <c r="S18" i="26" s="1"/>
  <c r="S19" i="26" s="1"/>
  <c r="Q16" i="26"/>
  <c r="Q15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Q14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Q13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Q12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Q11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Q10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Q9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Q8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Q7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Q6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Q5" i="26"/>
  <c r="AJ4" i="26"/>
  <c r="AI4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4" i="26"/>
  <c r="U4" i="26"/>
  <c r="T4" i="26"/>
  <c r="S4" i="26"/>
  <c r="Q4" i="26"/>
  <c r="AJ3" i="26"/>
  <c r="AI3" i="26"/>
  <c r="AH3" i="26"/>
  <c r="AG3" i="26"/>
  <c r="AF3" i="26"/>
  <c r="AE3" i="26"/>
  <c r="AD3" i="26"/>
  <c r="AC3" i="26"/>
  <c r="AB3" i="26"/>
  <c r="AA3" i="26"/>
  <c r="Z3" i="26"/>
  <c r="Y3" i="26"/>
  <c r="X3" i="26"/>
  <c r="W3" i="26"/>
  <c r="V3" i="26"/>
  <c r="U3" i="26"/>
  <c r="T3" i="26"/>
  <c r="Q3" i="26"/>
  <c r="Q2" i="26"/>
  <c r="K34" i="25"/>
  <c r="J34" i="25"/>
  <c r="I34" i="25"/>
  <c r="H34" i="25"/>
  <c r="G34" i="25"/>
  <c r="F34" i="25"/>
  <c r="E34" i="25"/>
  <c r="D34" i="25"/>
  <c r="C34" i="25"/>
  <c r="K33" i="25"/>
  <c r="J33" i="25"/>
  <c r="I33" i="25"/>
  <c r="H33" i="25"/>
  <c r="G33" i="25"/>
  <c r="F33" i="25"/>
  <c r="E33" i="25"/>
  <c r="D33" i="25"/>
  <c r="C33" i="25"/>
  <c r="K32" i="25"/>
  <c r="J32" i="25"/>
  <c r="I32" i="25"/>
  <c r="H32" i="25"/>
  <c r="G32" i="25"/>
  <c r="F32" i="25"/>
  <c r="E32" i="25"/>
  <c r="D32" i="25"/>
  <c r="C32" i="25"/>
  <c r="K31" i="25"/>
  <c r="J31" i="25"/>
  <c r="I31" i="25"/>
  <c r="H31" i="25"/>
  <c r="G31" i="25"/>
  <c r="F31" i="25"/>
  <c r="E31" i="25"/>
  <c r="D31" i="25"/>
  <c r="C31" i="25"/>
  <c r="L30" i="25"/>
  <c r="L29" i="25"/>
  <c r="L28" i="25"/>
  <c r="L27" i="25"/>
  <c r="L26" i="25"/>
  <c r="L25" i="25"/>
  <c r="L24" i="25"/>
  <c r="L23" i="25"/>
  <c r="L22" i="25"/>
  <c r="L21" i="25"/>
  <c r="L20" i="25"/>
  <c r="L19" i="25"/>
  <c r="L18" i="25"/>
  <c r="L17" i="25"/>
  <c r="L16" i="25"/>
  <c r="L15" i="25"/>
  <c r="L14" i="25"/>
  <c r="L13" i="25"/>
  <c r="L12" i="25"/>
  <c r="L11" i="25"/>
  <c r="L10" i="25"/>
  <c r="L32" i="25" s="1"/>
  <c r="L9" i="25"/>
  <c r="L8" i="25"/>
  <c r="L7" i="25"/>
  <c r="L6" i="25"/>
  <c r="L5" i="25"/>
  <c r="L4" i="25"/>
  <c r="L34" i="25" s="1"/>
  <c r="L3" i="25"/>
  <c r="L31" i="25" s="1"/>
  <c r="R69" i="21"/>
  <c r="Q69" i="21"/>
  <c r="R68" i="21"/>
  <c r="Q68" i="21"/>
  <c r="R67" i="21"/>
  <c r="Q67" i="21"/>
  <c r="R66" i="21"/>
  <c r="Q66" i="21"/>
  <c r="R65" i="21"/>
  <c r="Q65" i="21"/>
  <c r="R64" i="21"/>
  <c r="Q64" i="21"/>
  <c r="R63" i="21"/>
  <c r="Q63" i="21"/>
  <c r="R62" i="21"/>
  <c r="Q62" i="21"/>
  <c r="R61" i="21"/>
  <c r="Q61" i="21"/>
  <c r="R60" i="21"/>
  <c r="Q60" i="21"/>
  <c r="R59" i="21"/>
  <c r="Q59" i="21"/>
  <c r="R58" i="21"/>
  <c r="Q58" i="21"/>
  <c r="R57" i="21"/>
  <c r="Q57" i="21"/>
  <c r="R56" i="21"/>
  <c r="Q56" i="21"/>
  <c r="R55" i="21"/>
  <c r="Q55" i="21"/>
  <c r="R54" i="21"/>
  <c r="Q54" i="21"/>
  <c r="R53" i="21"/>
  <c r="Q53" i="21"/>
  <c r="R52" i="21"/>
  <c r="Q52" i="21"/>
  <c r="R51" i="21"/>
  <c r="Q51" i="21"/>
  <c r="R50" i="21"/>
  <c r="Q50" i="21"/>
  <c r="R49" i="21"/>
  <c r="Q49" i="21"/>
  <c r="R48" i="21"/>
  <c r="Q48" i="21"/>
  <c r="R47" i="21"/>
  <c r="Q47" i="21"/>
  <c r="R46" i="21"/>
  <c r="Q46" i="21"/>
  <c r="R45" i="21"/>
  <c r="Q45" i="21"/>
  <c r="R44" i="21"/>
  <c r="Q44" i="21"/>
  <c r="R43" i="21"/>
  <c r="Q43" i="21"/>
  <c r="R42" i="21"/>
  <c r="Q42" i="21"/>
  <c r="R41" i="21"/>
  <c r="Q41" i="21"/>
  <c r="R40" i="21"/>
  <c r="Q40" i="21"/>
  <c r="R39" i="21"/>
  <c r="Q39" i="21"/>
  <c r="R38" i="21"/>
  <c r="Q38" i="21"/>
  <c r="R37" i="21"/>
  <c r="Q37" i="21"/>
  <c r="R36" i="21"/>
  <c r="Q36" i="21"/>
  <c r="R35" i="21"/>
  <c r="Q35" i="21"/>
  <c r="R34" i="21"/>
  <c r="Q34" i="21"/>
  <c r="R33" i="21"/>
  <c r="Q33" i="21"/>
  <c r="R32" i="21"/>
  <c r="Q32" i="21"/>
  <c r="R31" i="21"/>
  <c r="Q31" i="21"/>
  <c r="R30" i="21"/>
  <c r="Q30" i="21"/>
  <c r="R29" i="21"/>
  <c r="Q29" i="21"/>
  <c r="R28" i="21"/>
  <c r="Q28" i="21"/>
  <c r="R27" i="21"/>
  <c r="Q27" i="21"/>
  <c r="R26" i="21"/>
  <c r="Q26" i="21"/>
  <c r="R25" i="21"/>
  <c r="Q25" i="21"/>
  <c r="R24" i="21"/>
  <c r="Q24" i="21"/>
  <c r="R23" i="21"/>
  <c r="Q23" i="21"/>
  <c r="R22" i="21"/>
  <c r="Q22" i="21"/>
  <c r="R21" i="21"/>
  <c r="Q21" i="21"/>
  <c r="R20" i="21"/>
  <c r="Q20" i="21"/>
  <c r="R19" i="21"/>
  <c r="Q19" i="21"/>
  <c r="R18" i="21"/>
  <c r="Q18" i="21"/>
  <c r="R17" i="21"/>
  <c r="Q17" i="21"/>
  <c r="R16" i="21"/>
  <c r="Q16" i="21"/>
  <c r="R15" i="21"/>
  <c r="Q15" i="21"/>
  <c r="R14" i="21"/>
  <c r="Q14" i="21"/>
  <c r="R13" i="21"/>
  <c r="Q13" i="21"/>
  <c r="R12" i="21"/>
  <c r="Q12" i="21"/>
  <c r="R11" i="21"/>
  <c r="Q11" i="21"/>
  <c r="R10" i="21"/>
  <c r="Q10" i="21"/>
  <c r="R9" i="21"/>
  <c r="Q9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R8" i="21"/>
  <c r="Q8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R7" i="21"/>
  <c r="Q7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R6" i="21"/>
  <c r="Q6" i="21"/>
  <c r="AK5" i="21"/>
  <c r="AJ5" i="21"/>
  <c r="AI5" i="21"/>
  <c r="AH5" i="21"/>
  <c r="AG5" i="21"/>
  <c r="AF5" i="21"/>
  <c r="AE5" i="21"/>
  <c r="AD5" i="21"/>
  <c r="AC5" i="21"/>
  <c r="AB5" i="21"/>
  <c r="AA5" i="21"/>
  <c r="Z5" i="21"/>
  <c r="Y5" i="21"/>
  <c r="X5" i="21"/>
  <c r="W5" i="21"/>
  <c r="V5" i="21"/>
  <c r="U5" i="21"/>
  <c r="T5" i="21"/>
  <c r="R5" i="21"/>
  <c r="Q5" i="21"/>
  <c r="AK4" i="21"/>
  <c r="AJ4" i="21"/>
  <c r="AI4" i="21"/>
  <c r="AH4" i="21"/>
  <c r="AG4" i="21"/>
  <c r="AF4" i="21"/>
  <c r="AE4" i="21"/>
  <c r="AD4" i="21"/>
  <c r="AC4" i="21"/>
  <c r="AB4" i="21"/>
  <c r="AA4" i="21"/>
  <c r="Z4" i="21"/>
  <c r="Y4" i="21"/>
  <c r="X4" i="21"/>
  <c r="W4" i="21"/>
  <c r="V4" i="21"/>
  <c r="U4" i="21"/>
  <c r="T4" i="21"/>
  <c r="R4" i="21"/>
  <c r="Q4" i="21"/>
  <c r="AK3" i="21"/>
  <c r="AJ3" i="21"/>
  <c r="AI3" i="21"/>
  <c r="AH3" i="21"/>
  <c r="AG3" i="21"/>
  <c r="AF3" i="21"/>
  <c r="AE3" i="21"/>
  <c r="AD3" i="21"/>
  <c r="AC3" i="21"/>
  <c r="AB3" i="21"/>
  <c r="AA3" i="21"/>
  <c r="Z3" i="21"/>
  <c r="Y3" i="21"/>
  <c r="X3" i="21"/>
  <c r="W3" i="21"/>
  <c r="V3" i="21"/>
  <c r="U3" i="21"/>
  <c r="T3" i="21"/>
  <c r="R3" i="21"/>
  <c r="Q3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R2" i="21"/>
  <c r="Q2" i="21"/>
  <c r="R69" i="20"/>
  <c r="Q69" i="20"/>
  <c r="R68" i="20"/>
  <c r="Q68" i="20"/>
  <c r="R67" i="20"/>
  <c r="Q67" i="20"/>
  <c r="R66" i="20"/>
  <c r="Q66" i="20"/>
  <c r="R65" i="20"/>
  <c r="Q65" i="20"/>
  <c r="R64" i="20"/>
  <c r="Q64" i="20"/>
  <c r="R63" i="20"/>
  <c r="Q63" i="20"/>
  <c r="R62" i="20"/>
  <c r="Q62" i="20"/>
  <c r="R61" i="20"/>
  <c r="Q61" i="20"/>
  <c r="R60" i="20"/>
  <c r="Q60" i="20"/>
  <c r="R59" i="20"/>
  <c r="Q59" i="20"/>
  <c r="R58" i="20"/>
  <c r="Q58" i="20"/>
  <c r="R57" i="20"/>
  <c r="Q57" i="20"/>
  <c r="R56" i="20"/>
  <c r="Q56" i="20"/>
  <c r="R55" i="20"/>
  <c r="Q55" i="20"/>
  <c r="R54" i="20"/>
  <c r="Q54" i="20"/>
  <c r="R53" i="20"/>
  <c r="Q53" i="20"/>
  <c r="R52" i="20"/>
  <c r="Q52" i="20"/>
  <c r="R51" i="20"/>
  <c r="Q51" i="20"/>
  <c r="R50" i="20"/>
  <c r="Q50" i="20"/>
  <c r="R49" i="20"/>
  <c r="Q49" i="20"/>
  <c r="R48" i="20"/>
  <c r="Q48" i="20"/>
  <c r="R47" i="20"/>
  <c r="Q47" i="20"/>
  <c r="R46" i="20"/>
  <c r="Q46" i="20"/>
  <c r="R45" i="20"/>
  <c r="Q45" i="20"/>
  <c r="R44" i="20"/>
  <c r="Q44" i="20"/>
  <c r="R43" i="20"/>
  <c r="Q43" i="20"/>
  <c r="R42" i="20"/>
  <c r="Q42" i="20"/>
  <c r="R41" i="20"/>
  <c r="Q41" i="20"/>
  <c r="R40" i="20"/>
  <c r="Q40" i="20"/>
  <c r="R39" i="20"/>
  <c r="Q39" i="20"/>
  <c r="R38" i="20"/>
  <c r="Q38" i="20"/>
  <c r="R37" i="20"/>
  <c r="Q37" i="20"/>
  <c r="R36" i="20"/>
  <c r="Q36" i="20"/>
  <c r="R35" i="20"/>
  <c r="Q35" i="20"/>
  <c r="R34" i="20"/>
  <c r="Q34" i="20"/>
  <c r="R33" i="20"/>
  <c r="Q33" i="20"/>
  <c r="R32" i="20"/>
  <c r="Q32" i="20"/>
  <c r="R31" i="20"/>
  <c r="Q31" i="20"/>
  <c r="R30" i="20"/>
  <c r="Q30" i="20"/>
  <c r="R29" i="20"/>
  <c r="Q29" i="20"/>
  <c r="R28" i="20"/>
  <c r="Q28" i="20"/>
  <c r="R27" i="20"/>
  <c r="Q27" i="20"/>
  <c r="R26" i="20"/>
  <c r="Q26" i="20"/>
  <c r="R25" i="20"/>
  <c r="Q25" i="20"/>
  <c r="R24" i="20"/>
  <c r="Q24" i="20"/>
  <c r="R23" i="20"/>
  <c r="Q23" i="20"/>
  <c r="R22" i="20"/>
  <c r="Q22" i="20"/>
  <c r="R21" i="20"/>
  <c r="Q21" i="20"/>
  <c r="R20" i="20"/>
  <c r="Q20" i="20"/>
  <c r="R19" i="20"/>
  <c r="Q19" i="20"/>
  <c r="R18" i="20"/>
  <c r="Q18" i="20"/>
  <c r="R17" i="20"/>
  <c r="Q17" i="20"/>
  <c r="R16" i="20"/>
  <c r="Q16" i="20"/>
  <c r="R15" i="20"/>
  <c r="Q15" i="20"/>
  <c r="R14" i="20"/>
  <c r="Q14" i="20"/>
  <c r="R13" i="20"/>
  <c r="Q13" i="20"/>
  <c r="R12" i="20"/>
  <c r="Q12" i="20"/>
  <c r="R11" i="20"/>
  <c r="Q11" i="20"/>
  <c r="R10" i="20"/>
  <c r="Q10" i="20"/>
  <c r="R9" i="20"/>
  <c r="Q9" i="20"/>
  <c r="R8" i="20"/>
  <c r="Q8" i="20"/>
  <c r="R7" i="20"/>
  <c r="Q7" i="20"/>
  <c r="R6" i="20"/>
  <c r="Q6" i="20"/>
  <c r="R5" i="20"/>
  <c r="Q5" i="20"/>
  <c r="R4" i="20"/>
  <c r="Q4" i="20"/>
  <c r="R3" i="20"/>
  <c r="Q3" i="20"/>
  <c r="R2" i="20"/>
  <c r="Q2" i="20"/>
  <c r="L33" i="25" l="1"/>
  <c r="L45" i="28"/>
  <c r="L18" i="31"/>
  <c r="L19" i="31"/>
  <c r="L46" i="28"/>
  <c r="L16" i="31"/>
</calcChain>
</file>

<file path=xl/sharedStrings.xml><?xml version="1.0" encoding="utf-8"?>
<sst xmlns="http://schemas.openxmlformats.org/spreadsheetml/2006/main" count="15487" uniqueCount="438">
  <si>
    <t>KenPom Top 30 Snubs</t>
  </si>
  <si>
    <t>TeamName</t>
  </si>
  <si>
    <t>Year</t>
  </si>
  <si>
    <t>RankPythag</t>
  </si>
  <si>
    <t>Tempo</t>
  </si>
  <si>
    <t>RankTempo</t>
  </si>
  <si>
    <t>AdjTempo</t>
  </si>
  <si>
    <t>RankAdjTempo</t>
  </si>
  <si>
    <t>OE</t>
  </si>
  <si>
    <t>RankOE</t>
  </si>
  <si>
    <t>AdjOE</t>
  </si>
  <si>
    <t>RankAdjOE</t>
  </si>
  <si>
    <t>DE</t>
  </si>
  <si>
    <t>RankDE</t>
  </si>
  <si>
    <t>AdjDE</t>
  </si>
  <si>
    <t>RankAdjDE</t>
  </si>
  <si>
    <t>Pythag</t>
  </si>
  <si>
    <t>South Carolina</t>
  </si>
  <si>
    <t>Butler</t>
  </si>
  <si>
    <t>Georgia</t>
  </si>
  <si>
    <t>Florida St.</t>
  </si>
  <si>
    <t>Ohio St.</t>
  </si>
  <si>
    <t>Missouri St.</t>
  </si>
  <si>
    <t>Syracuse</t>
  </si>
  <si>
    <t>Clemson</t>
  </si>
  <si>
    <t>S</t>
  </si>
  <si>
    <t>R32</t>
  </si>
  <si>
    <t>S16</t>
  </si>
  <si>
    <t>E8</t>
  </si>
  <si>
    <t>F4</t>
  </si>
  <si>
    <t>C2</t>
  </si>
  <si>
    <t>Champ</t>
  </si>
  <si>
    <t>Duke</t>
  </si>
  <si>
    <t>x</t>
  </si>
  <si>
    <t>Cincinnati</t>
  </si>
  <si>
    <t>Kansas</t>
  </si>
  <si>
    <t>Maryland</t>
  </si>
  <si>
    <t>Florida</t>
  </si>
  <si>
    <t>Oklahoma</t>
  </si>
  <si>
    <t>Marquette</t>
  </si>
  <si>
    <t>Indiana</t>
  </si>
  <si>
    <t>Oregon</t>
  </si>
  <si>
    <t>USC</t>
  </si>
  <si>
    <t>Arizona</t>
  </si>
  <si>
    <t>Illinois</t>
  </si>
  <si>
    <t>Kentucky</t>
  </si>
  <si>
    <t>Pittsburgh</t>
  </si>
  <si>
    <t>Gonzaga</t>
  </si>
  <si>
    <t>Mississippi St.</t>
  </si>
  <si>
    <t>Alabama</t>
  </si>
  <si>
    <t>Xavier</t>
  </si>
  <si>
    <t>Mississippi</t>
  </si>
  <si>
    <t>Stanford</t>
  </si>
  <si>
    <t>Kent St.</t>
  </si>
  <si>
    <t>Connecticut</t>
  </si>
  <si>
    <t>North Carolina St.</t>
  </si>
  <si>
    <t>Notre Dame</t>
  </si>
  <si>
    <t>California</t>
  </si>
  <si>
    <t>Michigan St.</t>
  </si>
  <si>
    <t>Texas Tech</t>
  </si>
  <si>
    <t>Miami FL</t>
  </si>
  <si>
    <t>Wake Forest</t>
  </si>
  <si>
    <t>Georgetown</t>
  </si>
  <si>
    <t>Charlotte</t>
  </si>
  <si>
    <t>Dayton</t>
  </si>
  <si>
    <t>UCLA</t>
  </si>
  <si>
    <t>Hawaii</t>
  </si>
  <si>
    <t>Texas</t>
  </si>
  <si>
    <t>Western Kentucky</t>
  </si>
  <si>
    <t>Tulsa</t>
  </si>
  <si>
    <t>Utah</t>
  </si>
  <si>
    <t>Memphis</t>
  </si>
  <si>
    <t>Oklahoma St.</t>
  </si>
  <si>
    <t>Missouri</t>
  </si>
  <si>
    <t>Valparaiso</t>
  </si>
  <si>
    <t>Minnesota</t>
  </si>
  <si>
    <t>Wisconsin</t>
  </si>
  <si>
    <t>Penn</t>
  </si>
  <si>
    <t>Villanova</t>
  </si>
  <si>
    <t>Pepperdine</t>
  </si>
  <si>
    <t>Arkansas</t>
  </si>
  <si>
    <t>Tennessee</t>
  </si>
  <si>
    <t>Southern Illinois</t>
  </si>
  <si>
    <t>UNC Wilmington</t>
  </si>
  <si>
    <t>Iowa</t>
  </si>
  <si>
    <t>LSU</t>
  </si>
  <si>
    <t>Louisville</t>
  </si>
  <si>
    <t>Virginia</t>
  </si>
  <si>
    <t>Temple</t>
  </si>
  <si>
    <t>Bowling Green</t>
  </si>
  <si>
    <t>Creighton</t>
  </si>
  <si>
    <t>Saint Joseph's</t>
  </si>
  <si>
    <t>Georgia Tech</t>
  </si>
  <si>
    <t>Wyoming</t>
  </si>
  <si>
    <t>Louisiana Tech</t>
  </si>
  <si>
    <t>Boston College</t>
  </si>
  <si>
    <t>BYU</t>
  </si>
  <si>
    <t>San Diego St.</t>
  </si>
  <si>
    <t>Utah St.</t>
  </si>
  <si>
    <t>Arizona St.</t>
  </si>
  <si>
    <t>Richmond</t>
  </si>
  <si>
    <t>Ball St.</t>
  </si>
  <si>
    <t>St. John's</t>
  </si>
  <si>
    <t>South Florida</t>
  </si>
  <si>
    <t>UC Santa Barbara</t>
  </si>
  <si>
    <t>College of Charleston</t>
  </si>
  <si>
    <t>St. Bonaventure</t>
  </si>
  <si>
    <t>McNeese St.</t>
  </si>
  <si>
    <t>East Tennessee St.</t>
  </si>
  <si>
    <t>UNLV</t>
  </si>
  <si>
    <t>UC Irvine</t>
  </si>
  <si>
    <t>Vanderbilt</t>
  </si>
  <si>
    <t>Fresno St.</t>
  </si>
  <si>
    <t>Auburn</t>
  </si>
  <si>
    <t>Tennessee Tech</t>
  </si>
  <si>
    <t>New Mexico</t>
  </si>
  <si>
    <t>Saint Louis</t>
  </si>
  <si>
    <t>Louisiana Lafayette</t>
  </si>
  <si>
    <t>New Mexico St.</t>
  </si>
  <si>
    <t>Seton Hall</t>
  </si>
  <si>
    <t>Providence</t>
  </si>
  <si>
    <t>Purdue</t>
  </si>
  <si>
    <t>Milwaukee</t>
  </si>
  <si>
    <t>Rutgers</t>
  </si>
  <si>
    <t>Northwestern</t>
  </si>
  <si>
    <t>Arkansas Little Rock</t>
  </si>
  <si>
    <t>Pacific</t>
  </si>
  <si>
    <t>UNC Greensboro</t>
  </si>
  <si>
    <t>UAB</t>
  </si>
  <si>
    <t>Colorado</t>
  </si>
  <si>
    <t>Houston</t>
  </si>
  <si>
    <t>Washington</t>
  </si>
  <si>
    <t>Detroit</t>
  </si>
  <si>
    <t>San Diego</t>
  </si>
  <si>
    <t>Davidson</t>
  </si>
  <si>
    <t>Hampton</t>
  </si>
  <si>
    <t>Nebraska</t>
  </si>
  <si>
    <t>VCU</t>
  </si>
  <si>
    <t>Oral Roberts</t>
  </si>
  <si>
    <t>Manhattan</t>
  </si>
  <si>
    <t>SMU</t>
  </si>
  <si>
    <t>Southwest Missouri St.</t>
  </si>
  <si>
    <t>TCU</t>
  </si>
  <si>
    <t>Marist</t>
  </si>
  <si>
    <t>Illinois Chicago</t>
  </si>
  <si>
    <t>Nevada</t>
  </si>
  <si>
    <t>Iowa St.</t>
  </si>
  <si>
    <t>George Mason</t>
  </si>
  <si>
    <t>Kansas St.</t>
  </si>
  <si>
    <t>Oregon St.</t>
  </si>
  <si>
    <t>Loyola Chicago</t>
  </si>
  <si>
    <t>Ohio</t>
  </si>
  <si>
    <t>Georgia St.</t>
  </si>
  <si>
    <t>Georgia Southern</t>
  </si>
  <si>
    <t>Michigan</t>
  </si>
  <si>
    <t>Massachusetts</t>
  </si>
  <si>
    <t>Central Connecticut</t>
  </si>
  <si>
    <t>Colorado St.</t>
  </si>
  <si>
    <t>Baylor</t>
  </si>
  <si>
    <t>Virginia Tech</t>
  </si>
  <si>
    <t>Yale</t>
  </si>
  <si>
    <t>Tulane</t>
  </si>
  <si>
    <t>Western Michigan</t>
  </si>
  <si>
    <t>Montana St.</t>
  </si>
  <si>
    <t>Illinois St.</t>
  </si>
  <si>
    <t>Oakland</t>
  </si>
  <si>
    <t>Chattanooga</t>
  </si>
  <si>
    <t>Miami OH</t>
  </si>
  <si>
    <t>North Carolina</t>
  </si>
  <si>
    <t>La Salle</t>
  </si>
  <si>
    <t>Weber St.</t>
  </si>
  <si>
    <t>Wright St.</t>
  </si>
  <si>
    <t>Arkansas St.</t>
  </si>
  <si>
    <t>San Francisco</t>
  </si>
  <si>
    <t>Delaware</t>
  </si>
  <si>
    <t>Southern Miss</t>
  </si>
  <si>
    <t>Princeton</t>
  </si>
  <si>
    <t>UCF</t>
  </si>
  <si>
    <t>Holy Cross</t>
  </si>
  <si>
    <t>The Citadel</t>
  </si>
  <si>
    <t>Troy St.</t>
  </si>
  <si>
    <t>Murray St.</t>
  </si>
  <si>
    <t>Rider</t>
  </si>
  <si>
    <t>New Orleans</t>
  </si>
  <si>
    <t>North Texas</t>
  </si>
  <si>
    <t>UTSA</t>
  </si>
  <si>
    <t>Toledo</t>
  </si>
  <si>
    <t>Eastern Washington</t>
  </si>
  <si>
    <t>Long Beach St.</t>
  </si>
  <si>
    <t>Cal Poly</t>
  </si>
  <si>
    <t>Old Dominion</t>
  </si>
  <si>
    <t>UMKC</t>
  </si>
  <si>
    <t>Wichita St.</t>
  </si>
  <si>
    <t>Louisiana Monroe</t>
  </si>
  <si>
    <t>Niagara</t>
  </si>
  <si>
    <t>Furman</t>
  </si>
  <si>
    <t>Siena</t>
  </si>
  <si>
    <t>Marshall</t>
  </si>
  <si>
    <t>Cal St. Northridge</t>
  </si>
  <si>
    <t>IUPUI</t>
  </si>
  <si>
    <t>James Madison</t>
  </si>
  <si>
    <t>Morehead St.</t>
  </si>
  <si>
    <t>Texas Pan American</t>
  </si>
  <si>
    <t>Boston University</t>
  </si>
  <si>
    <t>Air Force</t>
  </si>
  <si>
    <t>Drake</t>
  </si>
  <si>
    <t>East Carolina</t>
  </si>
  <si>
    <t>DePaul</t>
  </si>
  <si>
    <t>Samford</t>
  </si>
  <si>
    <t>Northern Illinois</t>
  </si>
  <si>
    <t>Drexel</t>
  </si>
  <si>
    <t>Gardner Webb</t>
  </si>
  <si>
    <t>Boise St.</t>
  </si>
  <si>
    <t>Buffalo</t>
  </si>
  <si>
    <t>Jacksonville</t>
  </si>
  <si>
    <t>Wagner</t>
  </si>
  <si>
    <t>Northern Iowa</t>
  </si>
  <si>
    <t>Santa Clara</t>
  </si>
  <si>
    <t>Florida Atlantic</t>
  </si>
  <si>
    <t>UTEP</t>
  </si>
  <si>
    <t>Vermont</t>
  </si>
  <si>
    <t>Fairfield</t>
  </si>
  <si>
    <t>Cleveland St.</t>
  </si>
  <si>
    <t>Radford</t>
  </si>
  <si>
    <t>Centenary</t>
  </si>
  <si>
    <t>Sam Houston St.</t>
  </si>
  <si>
    <t>American</t>
  </si>
  <si>
    <t>Austin Peay</t>
  </si>
  <si>
    <t>Middle Tennessee</t>
  </si>
  <si>
    <t>West Virginia</t>
  </si>
  <si>
    <t>Penn St.</t>
  </si>
  <si>
    <t>Rice</t>
  </si>
  <si>
    <t>George Washington</t>
  </si>
  <si>
    <t>Brown</t>
  </si>
  <si>
    <t>Montana</t>
  </si>
  <si>
    <t>Central Michigan</t>
  </si>
  <si>
    <t>Green Bay</t>
  </si>
  <si>
    <t>Southern Utah</t>
  </si>
  <si>
    <t>Southwest Texas St.</t>
  </si>
  <si>
    <t>Washington St.</t>
  </si>
  <si>
    <t>Winthrop</t>
  </si>
  <si>
    <t>Iona</t>
  </si>
  <si>
    <t>Howard</t>
  </si>
  <si>
    <t>Hofstra</t>
  </si>
  <si>
    <t>Belmont</t>
  </si>
  <si>
    <t>Bradley</t>
  </si>
  <si>
    <t>Western Carolina</t>
  </si>
  <si>
    <t>Colgate</t>
  </si>
  <si>
    <t>Texas A&amp;M</t>
  </si>
  <si>
    <t>Fordham</t>
  </si>
  <si>
    <t>Duquesne</t>
  </si>
  <si>
    <t>Monmouth</t>
  </si>
  <si>
    <t>UMBC</t>
  </si>
  <si>
    <t>Appalachian St.</t>
  </si>
  <si>
    <t>Northern Arizona</t>
  </si>
  <si>
    <t>Harvard</t>
  </si>
  <si>
    <t>Akron</t>
  </si>
  <si>
    <t>William &amp; Mary</t>
  </si>
  <si>
    <t>Rhode Island</t>
  </si>
  <si>
    <t>Northwestern St.</t>
  </si>
  <si>
    <t>FIU</t>
  </si>
  <si>
    <t>Alcorn St.</t>
  </si>
  <si>
    <t>Saint Mary's</t>
  </si>
  <si>
    <t>VMI</t>
  </si>
  <si>
    <t>Eastern Illinois</t>
  </si>
  <si>
    <t>Delaware St.</t>
  </si>
  <si>
    <t>Lamar</t>
  </si>
  <si>
    <t>Indiana St.</t>
  </si>
  <si>
    <t>Tennessee St.</t>
  </si>
  <si>
    <t>Portland St.</t>
  </si>
  <si>
    <t>UT Arlington</t>
  </si>
  <si>
    <t>Columbia</t>
  </si>
  <si>
    <t>Alabama A&amp;M</t>
  </si>
  <si>
    <t>Lafayette</t>
  </si>
  <si>
    <t>Quinnipiac</t>
  </si>
  <si>
    <t>Jacksonville St.</t>
  </si>
  <si>
    <t>Texas A&amp;M Corpus Chris</t>
  </si>
  <si>
    <t>St. Francis NY</t>
  </si>
  <si>
    <t>San Jose St.</t>
  </si>
  <si>
    <t>Wofford</t>
  </si>
  <si>
    <t>Tennessee Martin</t>
  </si>
  <si>
    <t>UNC Asheville</t>
  </si>
  <si>
    <t>Stephen F. Austin</t>
  </si>
  <si>
    <t>Canisius</t>
  </si>
  <si>
    <t>UC Riverside</t>
  </si>
  <si>
    <t>Western Illinois</t>
  </si>
  <si>
    <t>Denver</t>
  </si>
  <si>
    <t>South Alabama</t>
  </si>
  <si>
    <t>South Carolina St.</t>
  </si>
  <si>
    <t>Bucknell</t>
  </si>
  <si>
    <t>Portland</t>
  </si>
  <si>
    <t>Loyola Marymount</t>
  </si>
  <si>
    <t>Evansville</t>
  </si>
  <si>
    <t>Towson</t>
  </si>
  <si>
    <t>Idaho St.</t>
  </si>
  <si>
    <t>Hartford</t>
  </si>
  <si>
    <t>North Carolina A&amp;T</t>
  </si>
  <si>
    <t>Alabama St.</t>
  </si>
  <si>
    <t>Stetson</t>
  </si>
  <si>
    <t>Mississippi Valley St.</t>
  </si>
  <si>
    <t>Navy</t>
  </si>
  <si>
    <t>Florida A&amp;M</t>
  </si>
  <si>
    <t>Sacramento St.</t>
  </si>
  <si>
    <t>Southeast Missouri St.</t>
  </si>
  <si>
    <t>Idaho</t>
  </si>
  <si>
    <t>Charleston Southern</t>
  </si>
  <si>
    <t>Elon</t>
  </si>
  <si>
    <t>Robert Morris</t>
  </si>
  <si>
    <t>Northeastern</t>
  </si>
  <si>
    <t>Maine</t>
  </si>
  <si>
    <t>New Hampshire</t>
  </si>
  <si>
    <t>Cal St. Fullerton</t>
  </si>
  <si>
    <t>Jackson St.</t>
  </si>
  <si>
    <t>Bethune Cookman</t>
  </si>
  <si>
    <t>Army</t>
  </si>
  <si>
    <t>Binghamton</t>
  </si>
  <si>
    <t>Sacred Heart</t>
  </si>
  <si>
    <t>Youngstown St.</t>
  </si>
  <si>
    <t>Mercer</t>
  </si>
  <si>
    <t>Campbell</t>
  </si>
  <si>
    <t>Norfolk St.</t>
  </si>
  <si>
    <t>Maryland Eastern Shore</t>
  </si>
  <si>
    <t>IPFW</t>
  </si>
  <si>
    <t>Birmingham Southern</t>
  </si>
  <si>
    <t>Eastern Kentucky</t>
  </si>
  <si>
    <t>Texas Southern</t>
  </si>
  <si>
    <t>Lehigh</t>
  </si>
  <si>
    <t>Dartmouth</t>
  </si>
  <si>
    <t>Southeastern Louisiana</t>
  </si>
  <si>
    <t>Grambling St.</t>
  </si>
  <si>
    <t>High Point</t>
  </si>
  <si>
    <t>Eastern Michigan</t>
  </si>
  <si>
    <t>St. Francis PA</t>
  </si>
  <si>
    <t>Cornell</t>
  </si>
  <si>
    <t>Coastal Carolina</t>
  </si>
  <si>
    <t>Saint Peter's</t>
  </si>
  <si>
    <t>Stony Brook</t>
  </si>
  <si>
    <t>Lipscomb</t>
  </si>
  <si>
    <t>Southern</t>
  </si>
  <si>
    <t>Albany</t>
  </si>
  <si>
    <t>Loyola MD</t>
  </si>
  <si>
    <t>Coppin St.</t>
  </si>
  <si>
    <t>Prairie View A&amp;M</t>
  </si>
  <si>
    <t>LIU Brooklyn</t>
  </si>
  <si>
    <t>Fairleigh Dickinson</t>
  </si>
  <si>
    <t>Morgan St.</t>
  </si>
  <si>
    <t>Liberty</t>
  </si>
  <si>
    <t>Nicholls St.</t>
  </si>
  <si>
    <t>Chicago St.</t>
  </si>
  <si>
    <t>Mount St. Mary's</t>
  </si>
  <si>
    <t>Morris Brown</t>
  </si>
  <si>
    <t>Arkansas Pine Bluff</t>
  </si>
  <si>
    <t>Savannah St.</t>
  </si>
  <si>
    <t>Middle Tennessee St.</t>
  </si>
  <si>
    <t>Texas St.</t>
  </si>
  <si>
    <t>Utah Valley St.</t>
  </si>
  <si>
    <t>Troy</t>
  </si>
  <si>
    <t>UC Davis</t>
  </si>
  <si>
    <t>Northern Colorado</t>
  </si>
  <si>
    <t>Longwood</t>
  </si>
  <si>
    <t>North Dakota St.</t>
  </si>
  <si>
    <t>Kennesaw St.</t>
  </si>
  <si>
    <t>South Dakota St.</t>
  </si>
  <si>
    <t>North Florida</t>
  </si>
  <si>
    <t>Central Arkansas</t>
  </si>
  <si>
    <t>Winston Salem St.</t>
  </si>
  <si>
    <t>NJIT</t>
  </si>
  <si>
    <t>USC Upstate</t>
  </si>
  <si>
    <t>Presbyterian</t>
  </si>
  <si>
    <t>Florida Gulf Coast</t>
  </si>
  <si>
    <t>Cal St. Bakersfield</t>
  </si>
  <si>
    <t>North Carolina Central</t>
  </si>
  <si>
    <t>Utah Valley</t>
  </si>
  <si>
    <t>SIU Edwardsville</t>
  </si>
  <si>
    <t>Houston Baptist</t>
  </si>
  <si>
    <t>Bryant</t>
  </si>
  <si>
    <t>Seattle</t>
  </si>
  <si>
    <t>South Dakota</t>
  </si>
  <si>
    <t>North Dakota</t>
  </si>
  <si>
    <t>Nebraska Omaha</t>
  </si>
  <si>
    <t>Northern Kentucky</t>
  </si>
  <si>
    <t>Grand Canyon</t>
  </si>
  <si>
    <t>Incarnate Word</t>
  </si>
  <si>
    <t>UMass Lowell</t>
  </si>
  <si>
    <t>Abilene Christian</t>
  </si>
  <si>
    <t>AdjEM</t>
  </si>
  <si>
    <t>RankAdjEM</t>
  </si>
  <si>
    <t>Fort Wayne</t>
  </si>
  <si>
    <t>Little Rock</t>
  </si>
  <si>
    <t>UT Rio Grande Valley</t>
  </si>
  <si>
    <t>Seed</t>
  </si>
  <si>
    <t>EM</t>
  </si>
  <si>
    <t>Δ b/w O &amp; D</t>
  </si>
  <si>
    <t>Δ b/w O/R Ranks</t>
  </si>
  <si>
    <t>AVERAGE of Pythag</t>
  </si>
  <si>
    <t>MEDIAN of Pythag</t>
  </si>
  <si>
    <t>AVERAGE of RankPythag</t>
  </si>
  <si>
    <t>MEDIAN of RankPythag</t>
  </si>
  <si>
    <t>Grand Total</t>
  </si>
  <si>
    <t>SUM of Year</t>
  </si>
  <si>
    <t>AVERAGE of RankAdjOE</t>
  </si>
  <si>
    <t>AVERAGE of AdjOE</t>
  </si>
  <si>
    <t>AVERAGE of RankAdjDE</t>
  </si>
  <si>
    <t>AVERAGE of AdjDE</t>
  </si>
  <si>
    <t>AVERAGE of RankAdjTempo</t>
  </si>
  <si>
    <t>AVERAGE of AdjTempo</t>
  </si>
  <si>
    <t>Cinderella Teams from 2002-2014</t>
  </si>
  <si>
    <t>Team</t>
  </si>
  <si>
    <t>Min</t>
  </si>
  <si>
    <t>Max</t>
  </si>
  <si>
    <t>Average</t>
  </si>
  <si>
    <t>Median</t>
  </si>
  <si>
    <t>Filters: ≥ AdjOE Min, ≤ AdjDE Max, ≥ Efficiency Margin Min | Ignores 2014 FGCU Outlier of 2.6 EM</t>
  </si>
  <si>
    <t>More likely Cinderellas: Also with at least 13.2 EM (the Cinderella average)</t>
  </si>
  <si>
    <t>AVERAGE of Year</t>
  </si>
  <si>
    <t>AVERAGE of S</t>
  </si>
  <si>
    <t>Filters: ≥ AdjOE Min (109.5), ≤ AdjDE Max (95.4), ≥ Efficiency Margin Min (16.6) | Removing 2014 VCU Outlier of 16.6 EM and 109.5 AdjOE</t>
  </si>
  <si>
    <t>SUM of RankPythag</t>
  </si>
  <si>
    <t>SUM of Pythag</t>
  </si>
  <si>
    <t>SUM of RankAdjOE</t>
  </si>
  <si>
    <t>SUM of AdjOE</t>
  </si>
  <si>
    <t>SUM of RankAdjDE</t>
  </si>
  <si>
    <t>SUM of AdjDE</t>
  </si>
  <si>
    <t>SUM of RankAdjTempo</t>
  </si>
  <si>
    <t>SUM of AdjTempo</t>
  </si>
  <si>
    <t>Connecticut Total</t>
  </si>
  <si>
    <t>Duke Total</t>
  </si>
  <si>
    <t>Florida Total</t>
  </si>
  <si>
    <t>Kansas Total</t>
  </si>
  <si>
    <t>Kentucky Total</t>
  </si>
  <si>
    <t>Louisville Total</t>
  </si>
  <si>
    <t>Maryland Total</t>
  </si>
  <si>
    <t>North Carolina Total</t>
  </si>
  <si>
    <t>Syracuse Total</t>
  </si>
  <si>
    <t>Champs from 2002-2014</t>
  </si>
  <si>
    <t>Filters: ≥ Pythag Min (.8688) ≥ AdjOE Min (109.5), ≤ AdjDE Max (95.4), ≥ Efficiency Margin Min (16.6) | Strikethrough: removing the 2014 UConn Outlier of 16.6 EM and 109.5 AdjOE</t>
  </si>
  <si>
    <t>Tempo restriction: ≥ AdjTempo Min (65.0)</t>
  </si>
  <si>
    <t>More liberal tempo restriction: ≤ RankAdjTempo Max (247) (to make tempo more relative)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</si>
</sst>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.0000"/>
  </numFmts>
  <fonts count="12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trike/>
      <sz val="10"/>
      <name val="Arial"/>
      <family val="2"/>
    </font>
    <font>
      <strike/>
      <sz val="10"/>
      <color rgb="FF000000"/>
      <name val="Arial"/>
      <family val="2"/>
    </font>
    <font>
      <b/>
      <sz val="10"/>
      <color rgb="FF0000FF"/>
      <name val="Arial"/>
      <family val="2"/>
    </font>
    <font>
      <sz val="10"/>
      <color rgb="FFFF0000"/>
      <name val="Arial"/>
      <family val="2"/>
    </font>
    <font>
      <strike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5" fillId="0" borderId="1" xfId="0" applyFont="1" applyBorder="1" applyAlignment="1"/>
    <xf numFmtId="164" fontId="2" fillId="0" borderId="0" xfId="0" applyNumberFormat="1" applyFont="1" applyAlignment="1"/>
    <xf numFmtId="1" fontId="2" fillId="0" borderId="0" xfId="0" applyNumberFormat="1" applyFont="1" applyAlignment="1"/>
    <xf numFmtId="164" fontId="1" fillId="0" borderId="0" xfId="0" applyNumberFormat="1" applyFont="1" applyAlignment="1"/>
    <xf numFmtId="165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/>
    <xf numFmtId="166" fontId="2" fillId="0" borderId="0" xfId="0" applyNumberFormat="1" applyFont="1"/>
    <xf numFmtId="164" fontId="1" fillId="0" borderId="0" xfId="0" applyNumberFormat="1" applyFont="1"/>
    <xf numFmtId="0" fontId="2" fillId="0" borderId="2" xfId="0" applyFont="1" applyBorder="1" applyAlignment="1"/>
    <xf numFmtId="166" fontId="2" fillId="0" borderId="2" xfId="0" applyNumberFormat="1" applyFont="1" applyBorder="1" applyAlignment="1"/>
    <xf numFmtId="164" fontId="2" fillId="0" borderId="2" xfId="0" applyNumberFormat="1" applyFont="1" applyBorder="1" applyAlignment="1"/>
    <xf numFmtId="166" fontId="2" fillId="0" borderId="0" xfId="0" applyNumberFormat="1" applyFont="1" applyAlignment="1"/>
    <xf numFmtId="0" fontId="1" fillId="0" borderId="0" xfId="0" applyFont="1"/>
    <xf numFmtId="1" fontId="1" fillId="0" borderId="0" xfId="0" applyNumberFormat="1" applyFont="1"/>
    <xf numFmtId="166" fontId="1" fillId="0" borderId="0" xfId="0" applyNumberFormat="1" applyFont="1" applyAlignment="1"/>
    <xf numFmtId="0" fontId="2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2" fillId="2" borderId="0" xfId="0" applyFont="1" applyFill="1"/>
    <xf numFmtId="164" fontId="2" fillId="2" borderId="0" xfId="0" applyNumberFormat="1" applyFont="1" applyFill="1"/>
    <xf numFmtId="165" fontId="2" fillId="0" borderId="0" xfId="0" applyNumberFormat="1" applyFont="1" applyAlignment="1"/>
    <xf numFmtId="1" fontId="2" fillId="0" borderId="2" xfId="0" applyNumberFormat="1" applyFont="1" applyBorder="1"/>
    <xf numFmtId="165" fontId="2" fillId="0" borderId="2" xfId="0" applyNumberFormat="1" applyFont="1" applyBorder="1"/>
    <xf numFmtId="164" fontId="2" fillId="0" borderId="2" xfId="0" applyNumberFormat="1" applyFont="1" applyBorder="1"/>
    <xf numFmtId="165" fontId="1" fillId="0" borderId="0" xfId="0" applyNumberFormat="1" applyFont="1"/>
    <xf numFmtId="0" fontId="6" fillId="2" borderId="0" xfId="0" applyFont="1" applyFill="1" applyAlignment="1"/>
    <xf numFmtId="164" fontId="2" fillId="2" borderId="0" xfId="0" applyNumberFormat="1" applyFont="1" applyFill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164" fontId="7" fillId="0" borderId="0" xfId="0" applyNumberFormat="1" applyFont="1" applyAlignment="1"/>
    <xf numFmtId="164" fontId="6" fillId="0" borderId="0" xfId="0" applyNumberFormat="1" applyFont="1" applyAlignment="1"/>
    <xf numFmtId="0" fontId="2" fillId="0" borderId="2" xfId="0" applyFont="1" applyBorder="1"/>
    <xf numFmtId="0" fontId="9" fillId="0" borderId="0" xfId="0" applyFont="1" applyAlignment="1"/>
    <xf numFmtId="165" fontId="1" fillId="0" borderId="0" xfId="0" applyNumberFormat="1" applyFont="1" applyAlignment="1"/>
    <xf numFmtId="0" fontId="10" fillId="2" borderId="0" xfId="0" applyFont="1" applyFill="1" applyAlignment="1"/>
    <xf numFmtId="165" fontId="2" fillId="2" borderId="0" xfId="0" applyNumberFormat="1" applyFont="1" applyFill="1" applyAlignment="1"/>
    <xf numFmtId="0" fontId="10" fillId="0" borderId="0" xfId="0" applyFont="1" applyAlignment="1"/>
    <xf numFmtId="165" fontId="7" fillId="0" borderId="0" xfId="0" applyNumberFormat="1" applyFont="1" applyAlignment="1"/>
    <xf numFmtId="0" fontId="11" fillId="0" borderId="0" xfId="0" applyFont="1" applyAlignment="1"/>
    <xf numFmtId="164" fontId="11" fillId="0" borderId="0" xfId="0" applyNumberFormat="1" applyFont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7" xfId="0" applyNumberFormat="1" applyFont="1" applyBorder="1" applyAlignment="1"/>
    <xf numFmtId="0" fontId="0" fillId="0" borderId="1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9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pivotButton="1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vlin Sullivan" refreshedDate="44194.676887847221" refreshedVersion="6" recordCount="857" xr:uid="{00000000-000A-0000-FFFF-FFFF01000000}">
  <cacheSource type="worksheet">
    <worksheetSource ref="A1:W858" sheet="02-14"/>
  </cacheSource>
  <cacheFields count="23">
    <cacheField name="TeamName" numFmtId="0">
      <sharedItems count="223">
        <s v="Duke"/>
        <s v="Cincinnati"/>
        <s v="Kansas"/>
        <s v="Maryland"/>
        <s v="Florida"/>
        <s v="Oklahoma"/>
        <s v="Marquette"/>
        <s v="Indiana"/>
        <s v="Oregon"/>
        <s v="USC"/>
        <s v="Arizona"/>
        <s v="Illinois"/>
        <s v="Kentucky"/>
        <s v="Pittsburgh"/>
        <s v="Gonzaga"/>
        <s v="Ohio St."/>
        <s v="Mississippi St."/>
        <s v="Alabama"/>
        <s v="Xavier"/>
        <s v="Mississippi"/>
        <s v="Stanford"/>
        <s v="Georgia"/>
        <s v="Kent St."/>
        <s v="Connecticut"/>
        <s v="North Carolina St."/>
        <s v="Notre Dame"/>
        <s v="California"/>
        <s v="Michigan St."/>
        <s v="Texas Tech"/>
        <s v="Miami FL"/>
        <s v="Wake Forest"/>
        <s v="Charlotte"/>
        <s v="UCLA"/>
        <s v="Hawaii"/>
        <s v="Texas"/>
        <s v="Western Kentucky"/>
        <s v="Tulsa"/>
        <s v="Utah"/>
        <s v="Oklahoma St."/>
        <s v="Missouri"/>
        <s v="Valparaiso"/>
        <s v="Wisconsin"/>
        <s v="Penn"/>
        <s v="Pepperdine"/>
        <s v="Southern Illinois"/>
        <s v="UNC Wilmington"/>
        <s v="Creighton"/>
        <s v="Wyoming"/>
        <s v="Boston College"/>
        <s v="San Diego St."/>
        <s v="St. John's"/>
        <s v="UC Santa Barbara"/>
        <s v="McNeese St."/>
        <s v="Davidson"/>
        <s v="Hampton"/>
        <s v="Illinois Chicago"/>
        <s v="Central Connecticut"/>
        <s v="Holy Cross"/>
        <s v="Murray St."/>
        <s v="Siena"/>
        <s v="Boston University"/>
        <s v="Florida Atlantic"/>
        <s v="Montana"/>
        <s v="Winthrop"/>
        <s v="Alcorn St."/>
        <s v="Saint Joseph's"/>
        <s v="Louisville"/>
        <s v="LSU"/>
        <s v="Syracuse"/>
        <s v="Memphis"/>
        <s v="BYU"/>
        <s v="Arizona St."/>
        <s v="Dayton"/>
        <s v="Colorado"/>
        <s v="Purdue"/>
        <s v="Butler"/>
        <s v="Milwaukee"/>
        <s v="Auburn"/>
        <s v="Manhattan"/>
        <s v="Central Michigan"/>
        <s v="San Diego"/>
        <s v="Weber St."/>
        <s v="Troy St."/>
        <s v="Colorado St."/>
        <s v="Utah St."/>
        <s v="Austin Peay"/>
        <s v="Sam Houston St."/>
        <s v="Vermont"/>
        <s v="IUPUI"/>
        <s v="East Tennessee St."/>
        <s v="Wagner"/>
        <s v="South Carolina St."/>
        <s v="Texas Southern"/>
        <s v="UNC Asheville"/>
        <s v="Georgia Tech"/>
        <s v="North Carolina"/>
        <s v="Nevada"/>
        <s v="Providence"/>
        <s v="Vanderbilt"/>
        <s v="Seton Hall"/>
        <s v="Western Michigan"/>
        <s v="Richmond"/>
        <s v="South Carolina"/>
        <s v="Air Force"/>
        <s v="UAB"/>
        <s v="UTEP"/>
        <s v="DePaul"/>
        <s v="Louisiana Lafayette"/>
        <s v="Washington"/>
        <s v="VCU"/>
        <s v="Pacific"/>
        <s v="Northern Iowa"/>
        <s v="UCF"/>
        <s v="Princeton"/>
        <s v="Eastern Washington"/>
        <s v="Liberty"/>
        <s v="Monmouth"/>
        <s v="Lehigh"/>
        <s v="UTSA"/>
        <s v="Alabama St."/>
        <s v="Florida A&amp;M"/>
        <s v="Villanova"/>
        <s v="Iowa"/>
        <s v="New Mexico"/>
        <s v="Minnesota"/>
        <s v="George Washington"/>
        <s v="West Virginia"/>
        <s v="Iowa St."/>
        <s v="Old Dominion"/>
        <s v="Saint Mary's"/>
        <s v="Ohio"/>
        <s v="Bucknell"/>
        <s v="Niagara"/>
        <s v="Southeastern Louisiana"/>
        <s v="Eastern Kentucky"/>
        <s v="Chattanooga"/>
        <s v="Oakland"/>
        <s v="Fairleigh Dickinson"/>
        <s v="Delaware St."/>
        <s v="Alabama A&amp;M"/>
        <s v="Georgetown"/>
        <s v="Tennessee"/>
        <s v="Arkansas"/>
        <s v="George Mason"/>
        <s v="Bradley"/>
        <s v="Texas A&amp;M"/>
        <s v="Wichita St."/>
        <s v="Iona"/>
        <s v="South Alabama"/>
        <s v="Northwestern St."/>
        <s v="Oral Roberts"/>
        <s v="Albany"/>
        <s v="Belmont"/>
        <s v="Southern"/>
        <s v="Washington St."/>
        <s v="Virginia Tech"/>
        <s v="UNLV"/>
        <s v="Virginia"/>
        <s v="Wright St."/>
        <s v="Texas A&amp;M Corpus Chris"/>
        <s v="Miami OH"/>
        <s v="New Mexico St."/>
        <s v="Long Beach St."/>
        <s v="North Texas"/>
        <s v="Jackson St."/>
        <s v="Drake"/>
        <s v="Clemson"/>
        <s v="Kansas St."/>
        <s v="Baylor"/>
        <s v="Temple"/>
        <s v="Cal St. Fullerton"/>
        <s v="Cornell"/>
        <s v="Portland St."/>
        <s v="UMBC"/>
        <s v="Boise St."/>
        <s v="American"/>
        <s v="Mount St. Mary's"/>
        <s v="UT Arlington"/>
        <s v="Coppin St."/>
        <s v="Mississippi Valley St."/>
        <s v="Florida St."/>
        <s v="Michigan"/>
        <s v="Cleveland St."/>
        <s v="North Dakota St."/>
        <s v="Stephen F. Austin"/>
        <s v="Akron"/>
        <s v="Cal St. Northridge"/>
        <s v="Morgan St."/>
        <s v="Robert Morris"/>
        <s v="Morehead St."/>
        <s v="Binghamton"/>
        <s v="Radford"/>
        <s v="Wofford"/>
        <s v="Houston"/>
        <s v="Arkansas Pine Bluff"/>
        <s v="Penn St."/>
        <s v="LIU Brooklyn"/>
        <s v="Saint Peter's"/>
        <s v="Northern Colorado"/>
        <s v="Indiana St."/>
        <s v="Arkansas Little Rock"/>
        <s v="Saint Louis"/>
        <s v="Harvard"/>
        <s v="St. Bonaventure"/>
        <s v="South Florida"/>
        <s v="South Dakota St."/>
        <s v="Southern Miss"/>
        <s v="Lamar"/>
        <s v="Detroit"/>
        <s v="Loyola MD"/>
        <s v="Norfolk St."/>
        <s v="Middle Tennessee"/>
        <s v="La Salle"/>
        <s v="Florida Gulf Coast"/>
        <s v="James Madison"/>
        <s v="North Carolina A&amp;T"/>
        <s v="Nebraska"/>
        <s v="Massachusetts"/>
        <s v="North Carolina Central"/>
        <s v="Mercer"/>
        <s v="Delaware"/>
        <s v="Cal Poly"/>
        <s v="Coastal Carolina"/>
      </sharedItems>
    </cacheField>
    <cacheField name="S" numFmtId="0">
      <sharedItems containsSemiMixedTypes="0" containsString="0" containsNumber="1" containsInteger="1" minValue="1" maxValue="16" count="16">
        <n v="1"/>
        <n v="5"/>
        <n v="2"/>
        <n v="4"/>
        <n v="3"/>
        <n v="6"/>
        <n v="7"/>
        <n v="9"/>
        <n v="8"/>
        <n v="10"/>
        <n v="12"/>
        <n v="13"/>
        <n v="11"/>
        <n v="14"/>
        <n v="15"/>
        <n v="16"/>
      </sharedItems>
    </cacheField>
    <cacheField name="R32" numFmtId="0">
      <sharedItems containsBlank="1"/>
    </cacheField>
    <cacheField name="S16" numFmtId="0">
      <sharedItems containsBlank="1" count="2">
        <s v="x"/>
        <m/>
      </sharedItems>
    </cacheField>
    <cacheField name="E8" numFmtId="0">
      <sharedItems containsBlank="1"/>
    </cacheField>
    <cacheField name="F4" numFmtId="0">
      <sharedItems containsBlank="1" count="2">
        <m/>
        <s v="x"/>
      </sharedItems>
    </cacheField>
    <cacheField name="C2" numFmtId="0">
      <sharedItems containsBlank="1"/>
    </cacheField>
    <cacheField name="Champ" numFmtId="0">
      <sharedItems containsBlank="1" count="2">
        <m/>
        <s v="x"/>
      </sharedItems>
    </cacheField>
    <cacheField name="Tempo" numFmtId="0">
      <sharedItems containsSemiMixedTypes="0" containsString="0" containsNumber="1" minValue="53.996000000000002" maxValue="79.037099999999995"/>
    </cacheField>
    <cacheField name="RankTempo" numFmtId="0">
      <sharedItems containsSemiMixedTypes="0" containsString="0" containsNumber="1" containsInteger="1" minValue="1" maxValue="347"/>
    </cacheField>
    <cacheField name="AdjTempo" numFmtId="0">
      <sharedItems containsSemiMixedTypes="0" containsString="0" containsNumber="1" minValue="53.543500000000002" maxValue="79.121700000000004"/>
    </cacheField>
    <cacheField name="RankAdjTempo" numFmtId="0">
      <sharedItems containsSemiMixedTypes="0" containsString="0" containsNumber="1" containsInteger="1" minValue="1" maxValue="347"/>
    </cacheField>
    <cacheField name="OE" numFmtId="0">
      <sharedItems containsSemiMixedTypes="0" containsString="0" containsNumber="1" minValue="90.7727" maxValue="121.4365"/>
    </cacheField>
    <cacheField name="RankOE" numFmtId="0">
      <sharedItems containsSemiMixedTypes="0" containsString="0" containsNumber="1" containsInteger="1" minValue="1" maxValue="325"/>
    </cacheField>
    <cacheField name="AdjOE" numFmtId="0">
      <sharedItems containsSemiMixedTypes="0" containsString="0" containsNumber="1" minValue="90.1584" maxValue="125.6888"/>
    </cacheField>
    <cacheField name="RankAdjOE" numFmtId="0">
      <sharedItems containsSemiMixedTypes="0" containsString="0" containsNumber="1" containsInteger="1" minValue="1" maxValue="319"/>
    </cacheField>
    <cacheField name="DE" numFmtId="0">
      <sharedItems containsSemiMixedTypes="0" containsString="0" containsNumber="1" minValue="83.445999999999998" maxValue="110.8047"/>
    </cacheField>
    <cacheField name="RankDE" numFmtId="0">
      <sharedItems containsSemiMixedTypes="0" containsString="0" containsNumber="1" containsInteger="1" minValue="1" maxValue="321"/>
    </cacheField>
    <cacheField name="AdjDE" numFmtId="0">
      <sharedItems containsSemiMixedTypes="0" containsString="0" containsNumber="1" minValue="81.127700000000004" maxValue="114.05800000000001"/>
    </cacheField>
    <cacheField name="RankAdjDE" numFmtId="0">
      <sharedItems containsSemiMixedTypes="0" containsString="0" containsNumber="1" containsInteger="1" minValue="1" maxValue="325"/>
    </cacheField>
    <cacheField name="Pythag" numFmtId="0">
      <sharedItems containsSemiMixedTypes="0" containsString="0" containsNumber="1" minValue="0.19702" maxValue="0.97141699999999997"/>
    </cacheField>
    <cacheField name="RankPythag" numFmtId="0">
      <sharedItems containsSemiMixedTypes="0" containsString="0" containsNumber="1" containsInteger="1" minValue="1" maxValue="292"/>
    </cacheField>
    <cacheField name="Year" numFmtId="0">
      <sharedItems containsSemiMixedTypes="0" containsString="0" containsNumber="1" containsInteger="1" minValue="2002" maxValue="2014" count="13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7">
  <r>
    <x v="0"/>
    <x v="0"/>
    <s v="x"/>
    <x v="0"/>
    <m/>
    <x v="0"/>
    <m/>
    <x v="0"/>
    <n v="77.073400000000007"/>
    <n v="8"/>
    <n v="75.168499999999995"/>
    <n v="15"/>
    <n v="116.37260000000001"/>
    <n v="1"/>
    <n v="118.59990000000001"/>
    <n v="1"/>
    <n v="90.254400000000004"/>
    <n v="4"/>
    <n v="87.750399999999999"/>
    <n v="2"/>
    <n v="0.96965999999999997"/>
    <n v="1"/>
    <x v="0"/>
  </r>
  <r>
    <x v="1"/>
    <x v="0"/>
    <s v="x"/>
    <x v="1"/>
    <m/>
    <x v="0"/>
    <m/>
    <x v="0"/>
    <n v="68.436800000000005"/>
    <n v="212"/>
    <n v="68.715199999999996"/>
    <n v="204"/>
    <n v="112.2741"/>
    <n v="10"/>
    <n v="115.7842"/>
    <n v="5"/>
    <n v="86.392399999999995"/>
    <n v="1"/>
    <n v="88.035700000000006"/>
    <n v="3"/>
    <n v="0.95894199999999996"/>
    <n v="2"/>
    <x v="0"/>
  </r>
  <r>
    <x v="2"/>
    <x v="0"/>
    <s v="x"/>
    <x v="0"/>
    <s v="x"/>
    <x v="1"/>
    <m/>
    <x v="0"/>
    <n v="79.037099999999995"/>
    <n v="5"/>
    <n v="79.121700000000004"/>
    <n v="3"/>
    <n v="114.5438"/>
    <n v="4"/>
    <n v="115.0406"/>
    <n v="9"/>
    <n v="94.426100000000005"/>
    <n v="39"/>
    <n v="90.539900000000003"/>
    <n v="10"/>
    <n v="0.94014900000000001"/>
    <n v="3"/>
    <x v="0"/>
  </r>
  <r>
    <x v="3"/>
    <x v="0"/>
    <s v="x"/>
    <x v="0"/>
    <s v="x"/>
    <x v="1"/>
    <s v="x"/>
    <x v="1"/>
    <n v="75.275800000000004"/>
    <n v="20"/>
    <n v="75.418000000000006"/>
    <n v="12"/>
    <n v="113.1674"/>
    <n v="5"/>
    <n v="116.2551"/>
    <n v="4"/>
    <n v="94.370599999999996"/>
    <n v="36"/>
    <n v="91.542400000000001"/>
    <n v="14"/>
    <n v="0.93981800000000004"/>
    <n v="4"/>
    <x v="0"/>
  </r>
  <r>
    <x v="4"/>
    <x v="1"/>
    <m/>
    <x v="1"/>
    <m/>
    <x v="0"/>
    <m/>
    <x v="0"/>
    <n v="71.897099999999995"/>
    <n v="84"/>
    <n v="71.4041"/>
    <n v="95"/>
    <n v="110.4177"/>
    <n v="22"/>
    <n v="112.90689999999999"/>
    <n v="17"/>
    <n v="91.125"/>
    <n v="7"/>
    <n v="90.428799999999995"/>
    <n v="8"/>
    <n v="0.92777600000000005"/>
    <n v="5"/>
    <x v="0"/>
  </r>
  <r>
    <x v="5"/>
    <x v="2"/>
    <s v="x"/>
    <x v="0"/>
    <s v="x"/>
    <x v="1"/>
    <m/>
    <x v="0"/>
    <n v="69.360399999999998"/>
    <n v="180"/>
    <n v="68.484399999999994"/>
    <n v="212"/>
    <n v="111.04349999999999"/>
    <n v="16"/>
    <n v="110.4555"/>
    <n v="31"/>
    <n v="91.441299999999998"/>
    <n v="8"/>
    <n v="88.594099999999997"/>
    <n v="4"/>
    <n v="0.926647"/>
    <n v="6"/>
    <x v="0"/>
  </r>
  <r>
    <x v="6"/>
    <x v="1"/>
    <m/>
    <x v="1"/>
    <m/>
    <x v="0"/>
    <m/>
    <x v="0"/>
    <n v="67.380899999999997"/>
    <n v="244"/>
    <n v="66.346400000000003"/>
    <n v="275"/>
    <n v="108.5643"/>
    <n v="36"/>
    <n v="110.5513"/>
    <n v="29"/>
    <n v="90.015100000000004"/>
    <n v="2"/>
    <n v="90.524699999999996"/>
    <n v="9"/>
    <n v="0.90874100000000002"/>
    <n v="7"/>
    <x v="0"/>
  </r>
  <r>
    <x v="7"/>
    <x v="1"/>
    <s v="x"/>
    <x v="0"/>
    <s v="x"/>
    <x v="1"/>
    <s v="x"/>
    <x v="0"/>
    <n v="65.744200000000006"/>
    <n v="285"/>
    <n v="66.573899999999995"/>
    <n v="269"/>
    <n v="105.3974"/>
    <n v="80"/>
    <n v="109.61360000000001"/>
    <n v="38"/>
    <n v="94.498699999999999"/>
    <n v="42"/>
    <n v="89.922399999999996"/>
    <n v="6"/>
    <n v="0.90696900000000003"/>
    <n v="8"/>
    <x v="0"/>
  </r>
  <r>
    <x v="8"/>
    <x v="2"/>
    <s v="x"/>
    <x v="0"/>
    <s v="x"/>
    <x v="0"/>
    <m/>
    <x v="0"/>
    <n v="73.305300000000003"/>
    <n v="52"/>
    <n v="72.386799999999994"/>
    <n v="65"/>
    <n v="116.3415"/>
    <n v="2"/>
    <n v="116.6486"/>
    <n v="3"/>
    <n v="96.866500000000002"/>
    <n v="75"/>
    <n v="95.864699999999999"/>
    <n v="56"/>
    <n v="0.90522000000000002"/>
    <n v="9"/>
    <x v="0"/>
  </r>
  <r>
    <x v="9"/>
    <x v="3"/>
    <m/>
    <x v="1"/>
    <m/>
    <x v="0"/>
    <m/>
    <x v="0"/>
    <n v="71.632800000000003"/>
    <n v="94"/>
    <n v="71.328000000000003"/>
    <n v="99"/>
    <n v="107.3489"/>
    <n v="51"/>
    <n v="110.6461"/>
    <n v="28"/>
    <n v="95.462400000000002"/>
    <n v="57"/>
    <n v="91.103399999999993"/>
    <n v="12"/>
    <n v="0.90334300000000001"/>
    <n v="10"/>
    <x v="0"/>
  </r>
  <r>
    <x v="10"/>
    <x v="4"/>
    <s v="x"/>
    <x v="0"/>
    <m/>
    <x v="0"/>
    <m/>
    <x v="0"/>
    <n v="74.146199999999993"/>
    <n v="32"/>
    <n v="72.820700000000002"/>
    <n v="57"/>
    <n v="111.0077"/>
    <n v="17"/>
    <n v="117.3877"/>
    <n v="2"/>
    <n v="104.0411"/>
    <n v="235"/>
    <n v="96.926199999999994"/>
    <n v="77"/>
    <n v="0.90048399999999995"/>
    <n v="11"/>
    <x v="0"/>
  </r>
  <r>
    <x v="11"/>
    <x v="3"/>
    <s v="x"/>
    <x v="0"/>
    <m/>
    <x v="0"/>
    <m/>
    <x v="0"/>
    <n v="70.396500000000003"/>
    <n v="139"/>
    <n v="70.700999999999993"/>
    <n v="122"/>
    <n v="109.6636"/>
    <n v="24"/>
    <n v="111.9148"/>
    <n v="21"/>
    <n v="96.4559"/>
    <n v="69"/>
    <n v="92.797700000000006"/>
    <n v="25"/>
    <n v="0.89605400000000002"/>
    <n v="12"/>
    <x v="0"/>
  </r>
  <r>
    <x v="12"/>
    <x v="3"/>
    <s v="x"/>
    <x v="0"/>
    <m/>
    <x v="0"/>
    <m/>
    <x v="0"/>
    <n v="70.265900000000002"/>
    <n v="145"/>
    <n v="69.344499999999996"/>
    <n v="176"/>
    <n v="105.2773"/>
    <n v="85"/>
    <n v="109.82559999999999"/>
    <n v="35"/>
    <n v="94.988100000000003"/>
    <n v="49"/>
    <n v="91.1143"/>
    <n v="13"/>
    <n v="0.895478"/>
    <n v="13"/>
    <x v="0"/>
  </r>
  <r>
    <x v="13"/>
    <x v="4"/>
    <s v="x"/>
    <x v="0"/>
    <m/>
    <x v="0"/>
    <m/>
    <x v="0"/>
    <n v="66.500699999999995"/>
    <n v="268"/>
    <n v="65.677499999999995"/>
    <n v="288"/>
    <n v="107.3403"/>
    <n v="52"/>
    <n v="110.25700000000001"/>
    <n v="32"/>
    <n v="90.144199999999998"/>
    <n v="3"/>
    <n v="91.654700000000005"/>
    <n v="17"/>
    <n v="0.89331300000000002"/>
    <n v="14"/>
    <x v="0"/>
  </r>
  <r>
    <x v="14"/>
    <x v="5"/>
    <m/>
    <x v="1"/>
    <m/>
    <x v="0"/>
    <m/>
    <x v="0"/>
    <n v="70.977999999999994"/>
    <n v="114"/>
    <n v="70.175799999999995"/>
    <n v="149"/>
    <n v="112.7484"/>
    <n v="7"/>
    <n v="115.1777"/>
    <n v="8"/>
    <n v="93.661600000000007"/>
    <n v="28"/>
    <n v="96.341499999999996"/>
    <n v="63"/>
    <n v="0.88631400000000005"/>
    <n v="15"/>
    <x v="0"/>
  </r>
  <r>
    <x v="15"/>
    <x v="3"/>
    <s v="x"/>
    <x v="1"/>
    <m/>
    <x v="0"/>
    <m/>
    <x v="0"/>
    <n v="66.378200000000007"/>
    <n v="274"/>
    <n v="68.186199999999999"/>
    <n v="218"/>
    <n v="111.3386"/>
    <n v="15"/>
    <n v="115.5508"/>
    <n v="7"/>
    <n v="96.574799999999996"/>
    <n v="71"/>
    <n v="96.731800000000007"/>
    <n v="71"/>
    <n v="0.88537399999999999"/>
    <n v="16"/>
    <x v="0"/>
  </r>
  <r>
    <x v="16"/>
    <x v="4"/>
    <s v="x"/>
    <x v="1"/>
    <m/>
    <x v="0"/>
    <m/>
    <x v="0"/>
    <n v="70.012299999999996"/>
    <n v="159"/>
    <n v="69.238699999999994"/>
    <n v="182"/>
    <n v="104.5274"/>
    <n v="99"/>
    <n v="109.3856"/>
    <n v="39"/>
    <n v="94.726699999999994"/>
    <n v="46"/>
    <n v="91.629400000000004"/>
    <n v="16"/>
    <n v="0.88462399999999997"/>
    <n v="17"/>
    <x v="0"/>
  </r>
  <r>
    <x v="17"/>
    <x v="2"/>
    <s v="x"/>
    <x v="1"/>
    <m/>
    <x v="0"/>
    <m/>
    <x v="0"/>
    <n v="69.863600000000005"/>
    <n v="167"/>
    <n v="69.900099999999995"/>
    <n v="159"/>
    <n v="108.4361"/>
    <n v="40"/>
    <n v="111.4954"/>
    <n v="24"/>
    <n v="95.231300000000005"/>
    <n v="55"/>
    <n v="93.876999999999995"/>
    <n v="31"/>
    <n v="0.87846400000000002"/>
    <n v="18"/>
    <x v="0"/>
  </r>
  <r>
    <x v="18"/>
    <x v="6"/>
    <s v="x"/>
    <x v="1"/>
    <m/>
    <x v="0"/>
    <m/>
    <x v="0"/>
    <n v="66.829800000000006"/>
    <n v="259"/>
    <n v="68.028199999999998"/>
    <n v="223"/>
    <n v="108.3514"/>
    <n v="42"/>
    <n v="109.11790000000001"/>
    <n v="41"/>
    <n v="93.248199999999997"/>
    <n v="22"/>
    <n v="92.009"/>
    <n v="20"/>
    <n v="0.87666599999999995"/>
    <n v="19"/>
    <x v="0"/>
  </r>
  <r>
    <x v="19"/>
    <x v="7"/>
    <m/>
    <x v="1"/>
    <m/>
    <x v="0"/>
    <m/>
    <x v="0"/>
    <n v="66.966999999999999"/>
    <n v="253"/>
    <n v="66.487799999999993"/>
    <n v="271"/>
    <n v="107.7291"/>
    <n v="45"/>
    <n v="112.3212"/>
    <n v="20"/>
    <n v="95.626499999999993"/>
    <n v="59"/>
    <n v="94.857699999999994"/>
    <n v="42"/>
    <n v="0.87471600000000005"/>
    <n v="20"/>
    <x v="0"/>
  </r>
  <r>
    <x v="20"/>
    <x v="8"/>
    <s v="x"/>
    <x v="1"/>
    <m/>
    <x v="0"/>
    <m/>
    <x v="0"/>
    <n v="71.435500000000005"/>
    <n v="101"/>
    <n v="71.239800000000002"/>
    <n v="105"/>
    <n v="112.5213"/>
    <n v="9"/>
    <n v="113.95780000000001"/>
    <n v="11"/>
    <n v="99.801000000000002"/>
    <n v="142"/>
    <n v="96.312200000000004"/>
    <n v="62"/>
    <n v="0.87376799999999999"/>
    <n v="21"/>
    <x v="0"/>
  </r>
  <r>
    <x v="21"/>
    <x v="4"/>
    <s v="x"/>
    <x v="1"/>
    <m/>
    <x v="0"/>
    <m/>
    <x v="0"/>
    <n v="70.678600000000003"/>
    <n v="129"/>
    <n v="70.960400000000007"/>
    <n v="114"/>
    <n v="108.4477"/>
    <n v="38"/>
    <n v="114.569"/>
    <n v="10"/>
    <n v="100.5115"/>
    <n v="160"/>
    <n v="96.926299999999998"/>
    <n v="78"/>
    <n v="0.87248400000000004"/>
    <n v="23"/>
    <x v="0"/>
  </r>
  <r>
    <x v="22"/>
    <x v="9"/>
    <s v="x"/>
    <x v="0"/>
    <s v="x"/>
    <x v="0"/>
    <m/>
    <x v="0"/>
    <n v="65.414500000000004"/>
    <n v="288"/>
    <n v="66.165800000000004"/>
    <n v="279"/>
    <n v="115.7547"/>
    <n v="3"/>
    <n v="113.6686"/>
    <n v="14"/>
    <n v="96.708399999999997"/>
    <n v="73"/>
    <n v="96.200999999999993"/>
    <n v="60"/>
    <n v="0.87199800000000005"/>
    <n v="24"/>
    <x v="0"/>
  </r>
  <r>
    <x v="23"/>
    <x v="2"/>
    <m/>
    <x v="1"/>
    <m/>
    <x v="0"/>
    <m/>
    <x v="0"/>
    <n v="71.860500000000002"/>
    <n v="87"/>
    <n v="70.345600000000005"/>
    <n v="138"/>
    <n v="106.1949"/>
    <n v="64"/>
    <n v="108.1906"/>
    <n v="53"/>
    <n v="93.642899999999997"/>
    <n v="27"/>
    <n v="91.594800000000006"/>
    <n v="15"/>
    <n v="0.87157700000000005"/>
    <n v="25"/>
    <x v="0"/>
  </r>
  <r>
    <x v="24"/>
    <x v="6"/>
    <s v="x"/>
    <x v="1"/>
    <m/>
    <x v="0"/>
    <m/>
    <x v="0"/>
    <n v="69.905900000000003"/>
    <n v="166"/>
    <n v="68.809399999999997"/>
    <n v="201"/>
    <n v="108.3939"/>
    <n v="41"/>
    <n v="109.9085"/>
    <n v="34"/>
    <n v="96.700299999999999"/>
    <n v="72"/>
    <n v="93.574600000000004"/>
    <n v="29"/>
    <n v="0.86415399999999998"/>
    <n v="26"/>
    <x v="0"/>
  </r>
  <r>
    <x v="25"/>
    <x v="8"/>
    <s v="x"/>
    <x v="1"/>
    <m/>
    <x v="0"/>
    <m/>
    <x v="0"/>
    <n v="70.369299999999996"/>
    <n v="140"/>
    <n v="70.129900000000006"/>
    <n v="150"/>
    <n v="109"/>
    <n v="31"/>
    <n v="113.8693"/>
    <n v="12"/>
    <n v="95.823499999999996"/>
    <n v="60"/>
    <n v="97.334199999999996"/>
    <n v="83"/>
    <n v="0.85867899999999997"/>
    <n v="27"/>
    <x v="0"/>
  </r>
  <r>
    <x v="26"/>
    <x v="5"/>
    <s v="x"/>
    <x v="1"/>
    <m/>
    <x v="0"/>
    <m/>
    <x v="0"/>
    <n v="68.944500000000005"/>
    <n v="191"/>
    <n v="68.008399999999995"/>
    <n v="224"/>
    <n v="104.0471"/>
    <n v="107"/>
    <n v="108.42140000000001"/>
    <n v="49"/>
    <n v="94.989699999999999"/>
    <n v="50"/>
    <n v="93.091300000000004"/>
    <n v="26"/>
    <n v="0.85234500000000002"/>
    <n v="28"/>
    <x v="0"/>
  </r>
  <r>
    <x v="27"/>
    <x v="9"/>
    <m/>
    <x v="1"/>
    <m/>
    <x v="0"/>
    <m/>
    <x v="0"/>
    <n v="64.841300000000004"/>
    <n v="297"/>
    <n v="64.561800000000005"/>
    <n v="302"/>
    <n v="107.5694"/>
    <n v="47"/>
    <n v="111.2209"/>
    <n v="25"/>
    <n v="98.523300000000006"/>
    <n v="102"/>
    <n v="95.861500000000007"/>
    <n v="55"/>
    <n v="0.84671399999999997"/>
    <n v="30"/>
    <x v="0"/>
  </r>
  <r>
    <x v="28"/>
    <x v="5"/>
    <m/>
    <x v="1"/>
    <m/>
    <x v="0"/>
    <m/>
    <x v="0"/>
    <n v="72.547700000000006"/>
    <n v="68"/>
    <n v="71.367900000000006"/>
    <n v="97"/>
    <n v="109.0757"/>
    <n v="30"/>
    <n v="112.4064"/>
    <n v="18"/>
    <n v="97.725200000000001"/>
    <n v="89"/>
    <n v="96.971100000000007"/>
    <n v="79"/>
    <n v="0.845356"/>
    <n v="31"/>
    <x v="0"/>
  </r>
  <r>
    <x v="29"/>
    <x v="1"/>
    <m/>
    <x v="1"/>
    <m/>
    <x v="0"/>
    <m/>
    <x v="0"/>
    <n v="70.537499999999994"/>
    <n v="134"/>
    <n v="70.287599999999998"/>
    <n v="143"/>
    <n v="104.5566"/>
    <n v="97"/>
    <n v="108.28619999999999"/>
    <n v="51"/>
    <n v="93.076999999999998"/>
    <n v="20"/>
    <n v="93.516900000000007"/>
    <n v="28"/>
    <n v="0.84373900000000002"/>
    <n v="32"/>
    <x v="0"/>
  </r>
  <r>
    <x v="30"/>
    <x v="6"/>
    <s v="x"/>
    <x v="1"/>
    <m/>
    <x v="0"/>
    <m/>
    <x v="0"/>
    <n v="73.207499999999996"/>
    <n v="53"/>
    <n v="71.524100000000004"/>
    <n v="90"/>
    <n v="110.63120000000001"/>
    <n v="20"/>
    <n v="115.7479"/>
    <n v="6"/>
    <n v="103.9414"/>
    <n v="234"/>
    <n v="100.3366"/>
    <n v="151"/>
    <n v="0.83796599999999999"/>
    <n v="33"/>
    <x v="0"/>
  </r>
  <r>
    <x v="31"/>
    <x v="7"/>
    <m/>
    <x v="1"/>
    <m/>
    <x v="0"/>
    <m/>
    <x v="0"/>
    <n v="68.468199999999996"/>
    <n v="211"/>
    <n v="68.493600000000001"/>
    <n v="211"/>
    <n v="107.2881"/>
    <n v="53"/>
    <n v="111.8788"/>
    <n v="22"/>
    <n v="99.058000000000007"/>
    <n v="117"/>
    <n v="97.390100000000004"/>
    <n v="84"/>
    <n v="0.83131200000000005"/>
    <n v="35"/>
    <x v="0"/>
  </r>
  <r>
    <x v="32"/>
    <x v="8"/>
    <s v="x"/>
    <x v="0"/>
    <m/>
    <x v="0"/>
    <m/>
    <x v="0"/>
    <n v="69.504999999999995"/>
    <n v="177"/>
    <n v="68.532700000000006"/>
    <n v="209"/>
    <n v="106.244"/>
    <n v="63"/>
    <n v="110.6811"/>
    <n v="27"/>
    <n v="102.9371"/>
    <n v="211"/>
    <n v="96.745099999999994"/>
    <n v="72"/>
    <n v="0.82456600000000002"/>
    <n v="37"/>
    <x v="0"/>
  </r>
  <r>
    <x v="33"/>
    <x v="9"/>
    <m/>
    <x v="1"/>
    <m/>
    <x v="0"/>
    <m/>
    <x v="0"/>
    <n v="67.032300000000006"/>
    <n v="251"/>
    <n v="66.894300000000001"/>
    <n v="256"/>
    <n v="108.4417"/>
    <n v="39"/>
    <n v="110.4563"/>
    <n v="30"/>
    <n v="94.634500000000003"/>
    <n v="44"/>
    <n v="96.625900000000001"/>
    <n v="65"/>
    <n v="0.82323000000000002"/>
    <n v="38"/>
    <x v="0"/>
  </r>
  <r>
    <x v="34"/>
    <x v="5"/>
    <s v="x"/>
    <x v="0"/>
    <m/>
    <x v="0"/>
    <m/>
    <x v="0"/>
    <n v="70.785499999999999"/>
    <n v="125"/>
    <n v="70.620699999999999"/>
    <n v="126"/>
    <n v="109.8999"/>
    <n v="23"/>
    <n v="113.6185"/>
    <n v="15"/>
    <n v="102.73439999999999"/>
    <n v="204"/>
    <n v="99.437299999999993"/>
    <n v="129"/>
    <n v="0.82246900000000001"/>
    <n v="39"/>
    <x v="0"/>
  </r>
  <r>
    <x v="35"/>
    <x v="7"/>
    <m/>
    <x v="1"/>
    <m/>
    <x v="0"/>
    <m/>
    <x v="0"/>
    <n v="69.028099999999995"/>
    <n v="188"/>
    <n v="69.006699999999995"/>
    <n v="190"/>
    <n v="109.1221"/>
    <n v="29"/>
    <n v="107.45610000000001"/>
    <n v="64"/>
    <n v="92.5488"/>
    <n v="16"/>
    <n v="94.334999999999994"/>
    <n v="35"/>
    <n v="0.81722300000000003"/>
    <n v="40"/>
    <x v="0"/>
  </r>
  <r>
    <x v="36"/>
    <x v="10"/>
    <s v="x"/>
    <x v="1"/>
    <m/>
    <x v="0"/>
    <m/>
    <x v="0"/>
    <n v="71.355500000000006"/>
    <n v="104"/>
    <n v="71.284999999999997"/>
    <n v="102"/>
    <n v="112.0819"/>
    <n v="12"/>
    <n v="111.68"/>
    <n v="23"/>
    <n v="96.535399999999996"/>
    <n v="70"/>
    <n v="98.070700000000002"/>
    <n v="94"/>
    <n v="0.81674000000000002"/>
    <n v="41"/>
    <x v="0"/>
  </r>
  <r>
    <x v="37"/>
    <x v="10"/>
    <m/>
    <x v="1"/>
    <m/>
    <x v="0"/>
    <m/>
    <x v="0"/>
    <n v="62.618099999999998"/>
    <n v="316"/>
    <n v="63.354700000000001"/>
    <n v="317"/>
    <n v="107.7123"/>
    <n v="46"/>
    <n v="108.62309999999999"/>
    <n v="44"/>
    <n v="97.431799999999996"/>
    <n v="81"/>
    <n v="95.645899999999997"/>
    <n v="49"/>
    <n v="0.81201500000000004"/>
    <n v="42"/>
    <x v="0"/>
  </r>
  <r>
    <x v="38"/>
    <x v="6"/>
    <m/>
    <x v="1"/>
    <m/>
    <x v="0"/>
    <m/>
    <x v="0"/>
    <n v="68.880099999999999"/>
    <n v="194"/>
    <n v="67.384900000000002"/>
    <n v="241"/>
    <n v="103.93470000000001"/>
    <n v="111"/>
    <n v="104.227"/>
    <n v="102"/>
    <n v="92.809700000000007"/>
    <n v="18"/>
    <n v="91.898799999999994"/>
    <n v="19"/>
    <n v="0.80963700000000005"/>
    <n v="44"/>
    <x v="0"/>
  </r>
  <r>
    <x v="39"/>
    <x v="10"/>
    <s v="x"/>
    <x v="0"/>
    <s v="x"/>
    <x v="0"/>
    <m/>
    <x v="0"/>
    <n v="70.757800000000003"/>
    <n v="127"/>
    <n v="70.588899999999995"/>
    <n v="127"/>
    <n v="112.71599999999999"/>
    <n v="8"/>
    <n v="112.3241"/>
    <n v="19"/>
    <n v="101.992"/>
    <n v="185"/>
    <n v="99.091899999999995"/>
    <n v="115"/>
    <n v="0.808674"/>
    <n v="45"/>
    <x v="0"/>
  </r>
  <r>
    <x v="40"/>
    <x v="11"/>
    <m/>
    <x v="1"/>
    <m/>
    <x v="0"/>
    <m/>
    <x v="0"/>
    <n v="69.909199999999998"/>
    <n v="165"/>
    <n v="70.216800000000006"/>
    <n v="147"/>
    <n v="110.5689"/>
    <n v="21"/>
    <n v="109.2741"/>
    <n v="40"/>
    <n v="94.066800000000001"/>
    <n v="30"/>
    <n v="96.788399999999996"/>
    <n v="76"/>
    <n v="0.80144099999999996"/>
    <n v="46"/>
    <x v="0"/>
  </r>
  <r>
    <x v="41"/>
    <x v="8"/>
    <s v="x"/>
    <x v="1"/>
    <m/>
    <x v="0"/>
    <m/>
    <x v="0"/>
    <n v="63.801600000000001"/>
    <n v="310"/>
    <n v="64.6828"/>
    <n v="300"/>
    <n v="103.0291"/>
    <n v="124"/>
    <n v="107.4935"/>
    <n v="63"/>
    <n v="100.3758"/>
    <n v="153"/>
    <n v="95.442499999999995"/>
    <n v="48"/>
    <n v="0.79696299999999998"/>
    <n v="48"/>
    <x v="0"/>
  </r>
  <r>
    <x v="42"/>
    <x v="12"/>
    <m/>
    <x v="1"/>
    <m/>
    <x v="0"/>
    <m/>
    <x v="0"/>
    <n v="65.672799999999995"/>
    <n v="286"/>
    <n v="66.893000000000001"/>
    <n v="257"/>
    <n v="109.5414"/>
    <n v="27"/>
    <n v="106.9622"/>
    <n v="71"/>
    <n v="94.223399999999998"/>
    <n v="32"/>
    <n v="95.191500000000005"/>
    <n v="44"/>
    <n v="0.79260900000000001"/>
    <n v="49"/>
    <x v="0"/>
  </r>
  <r>
    <x v="43"/>
    <x v="9"/>
    <m/>
    <x v="1"/>
    <m/>
    <x v="0"/>
    <m/>
    <x v="0"/>
    <n v="74.144499999999994"/>
    <n v="33"/>
    <n v="74.116299999999995"/>
    <n v="30"/>
    <n v="107.0549"/>
    <n v="59"/>
    <n v="108.5752"/>
    <n v="47"/>
    <n v="99.043300000000002"/>
    <n v="116"/>
    <n v="96.780699999999996"/>
    <n v="75"/>
    <n v="0.78958700000000004"/>
    <n v="51"/>
    <x v="0"/>
  </r>
  <r>
    <x v="44"/>
    <x v="12"/>
    <s v="x"/>
    <x v="0"/>
    <m/>
    <x v="0"/>
    <m/>
    <x v="0"/>
    <n v="70.926900000000003"/>
    <n v="118"/>
    <n v="73.073499999999996"/>
    <n v="50"/>
    <n v="107.0924"/>
    <n v="58"/>
    <n v="105.45699999999999"/>
    <n v="86"/>
    <n v="94.309899999999999"/>
    <n v="34"/>
    <n v="94.661600000000007"/>
    <n v="38"/>
    <n v="0.77590000000000003"/>
    <n v="54"/>
    <x v="0"/>
  </r>
  <r>
    <x v="45"/>
    <x v="11"/>
    <s v="x"/>
    <x v="1"/>
    <m/>
    <x v="0"/>
    <m/>
    <x v="0"/>
    <n v="64.204899999999995"/>
    <n v="308"/>
    <n v="64.534000000000006"/>
    <n v="303"/>
    <n v="104.15989999999999"/>
    <n v="106"/>
    <n v="104.5005"/>
    <n v="97"/>
    <n v="93.391599999999997"/>
    <n v="23"/>
    <n v="93.828999999999994"/>
    <n v="30"/>
    <n v="0.77534700000000001"/>
    <n v="55"/>
    <x v="0"/>
  </r>
  <r>
    <x v="46"/>
    <x v="10"/>
    <s v="x"/>
    <x v="1"/>
    <m/>
    <x v="0"/>
    <m/>
    <x v="0"/>
    <n v="68.176500000000004"/>
    <n v="226"/>
    <n v="68.609300000000005"/>
    <n v="206"/>
    <n v="109.6425"/>
    <n v="25"/>
    <n v="109.7891"/>
    <n v="36"/>
    <n v="98.299300000000002"/>
    <n v="96"/>
    <n v="99.233500000000006"/>
    <n v="121"/>
    <n v="0.76178400000000002"/>
    <n v="62"/>
    <x v="0"/>
  </r>
  <r>
    <x v="47"/>
    <x v="12"/>
    <s v="x"/>
    <x v="1"/>
    <m/>
    <x v="0"/>
    <m/>
    <x v="0"/>
    <n v="69.617199999999997"/>
    <n v="175"/>
    <n v="70.412400000000005"/>
    <n v="134"/>
    <n v="105.36539999999999"/>
    <n v="81"/>
    <n v="106.03700000000001"/>
    <n v="80"/>
    <n v="97.056799999999996"/>
    <n v="78"/>
    <n v="96.6601"/>
    <n v="67"/>
    <n v="0.74359799999999998"/>
    <n v="66"/>
    <x v="0"/>
  </r>
  <r>
    <x v="48"/>
    <x v="12"/>
    <m/>
    <x v="1"/>
    <m/>
    <x v="0"/>
    <m/>
    <x v="0"/>
    <n v="70.698499999999996"/>
    <n v="128"/>
    <n v="70.707999999999998"/>
    <n v="121"/>
    <n v="103.70659999999999"/>
    <n v="116"/>
    <n v="107.0112"/>
    <n v="70"/>
    <n v="99.252700000000004"/>
    <n v="128"/>
    <n v="97.686700000000002"/>
    <n v="89"/>
    <n v="0.74047300000000005"/>
    <n v="68"/>
    <x v="0"/>
  </r>
  <r>
    <x v="49"/>
    <x v="11"/>
    <m/>
    <x v="1"/>
    <m/>
    <x v="0"/>
    <m/>
    <x v="0"/>
    <n v="70.886099999999999"/>
    <n v="121"/>
    <n v="71.200299999999999"/>
    <n v="107"/>
    <n v="103.1405"/>
    <n v="123"/>
    <n v="104.1575"/>
    <n v="104"/>
    <n v="98.706800000000001"/>
    <n v="108"/>
    <n v="95.206199999999995"/>
    <n v="45"/>
    <n v="0.73756999999999995"/>
    <n v="70"/>
    <x v="0"/>
  </r>
  <r>
    <x v="50"/>
    <x v="7"/>
    <m/>
    <x v="1"/>
    <m/>
    <x v="0"/>
    <m/>
    <x v="0"/>
    <n v="71.818799999999996"/>
    <n v="90"/>
    <n v="70.724999999999994"/>
    <n v="120"/>
    <n v="97.013900000000007"/>
    <n v="236"/>
    <n v="99.351799999999997"/>
    <n v="193"/>
    <n v="94.376499999999993"/>
    <n v="37"/>
    <n v="91.720299999999995"/>
    <n v="18"/>
    <n v="0.71486300000000003"/>
    <n v="75"/>
    <x v="0"/>
  </r>
  <r>
    <x v="51"/>
    <x v="13"/>
    <m/>
    <x v="1"/>
    <m/>
    <x v="0"/>
    <m/>
    <x v="0"/>
    <n v="63.234499999999997"/>
    <n v="312"/>
    <n v="64.794799999999995"/>
    <n v="296"/>
    <n v="105.2163"/>
    <n v="86"/>
    <n v="105.4534"/>
    <n v="87"/>
    <n v="96.096500000000006"/>
    <n v="65"/>
    <n v="97.670400000000001"/>
    <n v="88"/>
    <n v="0.70717600000000003"/>
    <n v="77"/>
    <x v="0"/>
  </r>
  <r>
    <x v="52"/>
    <x v="13"/>
    <m/>
    <x v="1"/>
    <m/>
    <x v="0"/>
    <m/>
    <x v="0"/>
    <n v="68.608400000000003"/>
    <n v="206"/>
    <n v="66.805000000000007"/>
    <n v="260"/>
    <n v="102.226"/>
    <n v="142"/>
    <n v="102.3383"/>
    <n v="134"/>
    <n v="92.412000000000006"/>
    <n v="14"/>
    <n v="95.354900000000001"/>
    <n v="46"/>
    <n v="0.69270500000000002"/>
    <n v="80"/>
    <x v="0"/>
  </r>
  <r>
    <x v="53"/>
    <x v="11"/>
    <m/>
    <x v="1"/>
    <m/>
    <x v="0"/>
    <m/>
    <x v="0"/>
    <n v="68.883600000000001"/>
    <n v="192"/>
    <n v="66.721100000000007"/>
    <n v="265"/>
    <n v="98.002600000000001"/>
    <n v="215"/>
    <n v="99.806700000000006"/>
    <n v="186"/>
    <n v="97.679000000000002"/>
    <n v="88"/>
    <n v="95.789699999999996"/>
    <n v="53"/>
    <n v="0.61595500000000003"/>
    <n v="107"/>
    <x v="0"/>
  </r>
  <r>
    <x v="54"/>
    <x v="14"/>
    <m/>
    <x v="1"/>
    <m/>
    <x v="0"/>
    <m/>
    <x v="0"/>
    <n v="70.183499999999995"/>
    <n v="148"/>
    <n v="70.284199999999998"/>
    <n v="144"/>
    <n v="112.2398"/>
    <n v="11"/>
    <n v="107.6656"/>
    <n v="62"/>
    <n v="98.991600000000005"/>
    <n v="114"/>
    <n v="103.74169999999999"/>
    <n v="220"/>
    <n v="0.60514400000000002"/>
    <n v="108"/>
    <x v="0"/>
  </r>
  <r>
    <x v="55"/>
    <x v="14"/>
    <m/>
    <x v="1"/>
    <m/>
    <x v="0"/>
    <m/>
    <x v="0"/>
    <n v="68.559799999999996"/>
    <n v="208"/>
    <n v="68.922799999999995"/>
    <n v="197"/>
    <n v="105.7122"/>
    <n v="74"/>
    <n v="106.9515"/>
    <n v="72"/>
    <n v="104.3741"/>
    <n v="243"/>
    <n v="103.9632"/>
    <n v="227"/>
    <n v="0.58076000000000005"/>
    <n v="117"/>
    <x v="0"/>
  </r>
  <r>
    <x v="56"/>
    <x v="13"/>
    <m/>
    <x v="1"/>
    <m/>
    <x v="0"/>
    <m/>
    <x v="0"/>
    <n v="67.375500000000002"/>
    <n v="245"/>
    <n v="65.6751"/>
    <n v="289"/>
    <n v="105.11499999999999"/>
    <n v="88"/>
    <n v="98.433899999999994"/>
    <n v="211"/>
    <n v="92.176500000000004"/>
    <n v="11"/>
    <n v="96.393100000000004"/>
    <n v="64"/>
    <n v="0.55994200000000005"/>
    <n v="129"/>
    <x v="0"/>
  </r>
  <r>
    <x v="57"/>
    <x v="15"/>
    <m/>
    <x v="1"/>
    <m/>
    <x v="0"/>
    <m/>
    <x v="0"/>
    <n v="64.213800000000006"/>
    <n v="307"/>
    <n v="63.758800000000001"/>
    <n v="313"/>
    <n v="98.075400000000002"/>
    <n v="214"/>
    <n v="96.6995"/>
    <n v="237"/>
    <n v="92.289699999999996"/>
    <n v="12"/>
    <n v="96.649900000000002"/>
    <n v="66"/>
    <n v="0.50147399999999998"/>
    <n v="153"/>
    <x v="0"/>
  </r>
  <r>
    <x v="58"/>
    <x v="13"/>
    <m/>
    <x v="1"/>
    <m/>
    <x v="0"/>
    <m/>
    <x v="0"/>
    <n v="72.066000000000003"/>
    <n v="82"/>
    <n v="70.7761"/>
    <n v="119"/>
    <n v="106.5064"/>
    <n v="60"/>
    <n v="104.1288"/>
    <n v="107"/>
    <n v="103.1195"/>
    <n v="216"/>
    <n v="104.2136"/>
    <n v="234"/>
    <n v="0.49765900000000002"/>
    <n v="156"/>
    <x v="0"/>
  </r>
  <r>
    <x v="59"/>
    <x v="15"/>
    <m/>
    <x v="1"/>
    <m/>
    <x v="0"/>
    <m/>
    <x v="0"/>
    <n v="68.842500000000001"/>
    <n v="196"/>
    <n v="67.735900000000001"/>
    <n v="231"/>
    <n v="98.692999999999998"/>
    <n v="201"/>
    <n v="98.610200000000006"/>
    <n v="207"/>
    <n v="96.368799999999993"/>
    <n v="67"/>
    <n v="99.688500000000005"/>
    <n v="133"/>
    <n v="0.468773"/>
    <n v="171"/>
    <x v="0"/>
  </r>
  <r>
    <x v="60"/>
    <x v="15"/>
    <m/>
    <x v="1"/>
    <m/>
    <x v="0"/>
    <m/>
    <x v="0"/>
    <n v="65.002499999999998"/>
    <n v="292"/>
    <n v="65.861199999999997"/>
    <n v="286"/>
    <n v="102.6611"/>
    <n v="127"/>
    <n v="99.563400000000001"/>
    <n v="189"/>
    <n v="95.619799999999998"/>
    <n v="58"/>
    <n v="101.1011"/>
    <n v="166"/>
    <n v="0.45605099999999998"/>
    <n v="178"/>
    <x v="0"/>
  </r>
  <r>
    <x v="61"/>
    <x v="14"/>
    <m/>
    <x v="1"/>
    <m/>
    <x v="0"/>
    <m/>
    <x v="0"/>
    <n v="71.235699999999994"/>
    <n v="107"/>
    <n v="71.244600000000005"/>
    <n v="104"/>
    <n v="100.2897"/>
    <n v="171"/>
    <n v="96.866900000000001"/>
    <n v="230"/>
    <n v="98.418300000000002"/>
    <n v="100"/>
    <n v="99.926299999999998"/>
    <n v="137"/>
    <n v="0.41154200000000002"/>
    <n v="193"/>
    <x v="0"/>
  </r>
  <r>
    <x v="62"/>
    <x v="14"/>
    <m/>
    <x v="1"/>
    <m/>
    <x v="0"/>
    <m/>
    <x v="0"/>
    <n v="70.030799999999999"/>
    <n v="158"/>
    <n v="70.075100000000006"/>
    <n v="151"/>
    <n v="101.9545"/>
    <n v="145"/>
    <n v="100.48480000000001"/>
    <n v="167"/>
    <n v="105.02760000000001"/>
    <n v="252"/>
    <n v="104.8021"/>
    <n v="245"/>
    <n v="0.38135999999999998"/>
    <n v="209"/>
    <x v="0"/>
  </r>
  <r>
    <x v="63"/>
    <x v="15"/>
    <m/>
    <x v="1"/>
    <m/>
    <x v="0"/>
    <m/>
    <x v="0"/>
    <n v="68.212800000000001"/>
    <n v="222"/>
    <n v="67.463899999999995"/>
    <n v="239"/>
    <n v="100.2384"/>
    <n v="175"/>
    <n v="95.363200000000006"/>
    <n v="257"/>
    <n v="94.658699999999996"/>
    <n v="45"/>
    <n v="99.975399999999993"/>
    <n v="138"/>
    <n v="0.36745299999999997"/>
    <n v="215"/>
    <x v="0"/>
  </r>
  <r>
    <x v="64"/>
    <x v="15"/>
    <m/>
    <x v="1"/>
    <m/>
    <x v="0"/>
    <m/>
    <x v="0"/>
    <n v="76.066400000000002"/>
    <n v="16"/>
    <n v="73.850399999999993"/>
    <n v="35"/>
    <n v="103.4213"/>
    <n v="118"/>
    <n v="99.866500000000002"/>
    <n v="184"/>
    <n v="99.637"/>
    <n v="138"/>
    <n v="106.45"/>
    <n v="263"/>
    <n v="0.32427899999999998"/>
    <n v="236"/>
    <x v="0"/>
  </r>
  <r>
    <x v="12"/>
    <x v="0"/>
    <s v="x"/>
    <x v="0"/>
    <s v="x"/>
    <x v="0"/>
    <m/>
    <x v="0"/>
    <n v="69.514499999999998"/>
    <n v="128"/>
    <n v="69.579700000000003"/>
    <n v="115"/>
    <n v="111.2842"/>
    <n v="15"/>
    <n v="114.3086"/>
    <n v="11"/>
    <n v="92.321899999999999"/>
    <n v="13"/>
    <n v="86.814499999999995"/>
    <n v="1"/>
    <n v="0.95945499999999995"/>
    <n v="1"/>
    <x v="1"/>
  </r>
  <r>
    <x v="13"/>
    <x v="2"/>
    <s v="x"/>
    <x v="0"/>
    <m/>
    <x v="0"/>
    <m/>
    <x v="0"/>
    <n v="68.3767"/>
    <n v="175"/>
    <n v="66.644499999999994"/>
    <n v="251"/>
    <n v="109.09099999999999"/>
    <n v="31"/>
    <n v="111.9746"/>
    <n v="17"/>
    <n v="86.375100000000003"/>
    <n v="1"/>
    <n v="87.020499999999998"/>
    <n v="2"/>
    <n v="0.94782100000000002"/>
    <n v="2"/>
    <x v="1"/>
  </r>
  <r>
    <x v="10"/>
    <x v="0"/>
    <s v="x"/>
    <x v="0"/>
    <s v="x"/>
    <x v="0"/>
    <m/>
    <x v="0"/>
    <n v="76.209100000000007"/>
    <n v="4"/>
    <n v="74.597700000000003"/>
    <n v="8"/>
    <n v="110.9747"/>
    <n v="18"/>
    <n v="114.4555"/>
    <n v="10"/>
    <n v="91.655000000000001"/>
    <n v="10"/>
    <n v="90.200599999999994"/>
    <n v="8"/>
    <n v="0.93927400000000005"/>
    <n v="3"/>
    <x v="1"/>
  </r>
  <r>
    <x v="2"/>
    <x v="2"/>
    <s v="x"/>
    <x v="0"/>
    <s v="x"/>
    <x v="1"/>
    <s v="x"/>
    <x v="0"/>
    <n v="74.107500000000002"/>
    <n v="18"/>
    <n v="73.725700000000003"/>
    <n v="18"/>
    <n v="109.8827"/>
    <n v="25"/>
    <n v="111.73390000000001"/>
    <n v="19"/>
    <n v="89.549599999999998"/>
    <n v="5"/>
    <n v="88.240700000000004"/>
    <n v="4"/>
    <n v="0.93788300000000002"/>
    <n v="4"/>
    <x v="1"/>
  </r>
  <r>
    <x v="11"/>
    <x v="3"/>
    <s v="x"/>
    <x v="1"/>
    <m/>
    <x v="0"/>
    <m/>
    <x v="0"/>
    <n v="68.054199999999994"/>
    <n v="189"/>
    <n v="69.394599999999997"/>
    <n v="121"/>
    <n v="110.9676"/>
    <n v="19"/>
    <n v="112.72629999999999"/>
    <n v="14"/>
    <n v="90.301599999999993"/>
    <n v="8"/>
    <n v="90.325100000000006"/>
    <n v="9"/>
    <n v="0.92742500000000005"/>
    <n v="5"/>
    <x v="1"/>
  </r>
  <r>
    <x v="4"/>
    <x v="2"/>
    <m/>
    <x v="1"/>
    <m/>
    <x v="0"/>
    <m/>
    <x v="0"/>
    <n v="67.366399999999999"/>
    <n v="222"/>
    <n v="66.9893"/>
    <n v="234"/>
    <n v="111.3767"/>
    <n v="14"/>
    <n v="115.8386"/>
    <n v="7"/>
    <n v="95.266000000000005"/>
    <n v="36"/>
    <n v="94.011600000000001"/>
    <n v="32"/>
    <n v="0.91690199999999999"/>
    <n v="6"/>
    <x v="1"/>
  </r>
  <r>
    <x v="5"/>
    <x v="0"/>
    <s v="x"/>
    <x v="0"/>
    <s v="x"/>
    <x v="0"/>
    <m/>
    <x v="0"/>
    <n v="64.471900000000005"/>
    <n v="298"/>
    <n v="64.235299999999995"/>
    <n v="299"/>
    <n v="108.6353"/>
    <n v="35"/>
    <n v="110.15900000000001"/>
    <n v="31"/>
    <n v="92.305599999999998"/>
    <n v="12"/>
    <n v="89.448300000000003"/>
    <n v="7"/>
    <n v="0.91644800000000004"/>
    <n v="7"/>
    <x v="1"/>
  </r>
  <r>
    <x v="34"/>
    <x v="0"/>
    <s v="x"/>
    <x v="0"/>
    <s v="x"/>
    <x v="1"/>
    <m/>
    <x v="0"/>
    <n v="70.590800000000002"/>
    <n v="92"/>
    <n v="70.774199999999993"/>
    <n v="74"/>
    <n v="111.2154"/>
    <n v="16"/>
    <n v="118.7559"/>
    <n v="2"/>
    <n v="96.911900000000003"/>
    <n v="66"/>
    <n v="96.450500000000005"/>
    <n v="67"/>
    <n v="0.91625100000000004"/>
    <n v="8"/>
    <x v="1"/>
  </r>
  <r>
    <x v="16"/>
    <x v="1"/>
    <m/>
    <x v="1"/>
    <m/>
    <x v="0"/>
    <m/>
    <x v="0"/>
    <n v="66.638099999999994"/>
    <n v="248"/>
    <n v="65.965400000000002"/>
    <n v="269"/>
    <n v="104.3843"/>
    <n v="87"/>
    <n v="106.83450000000001"/>
    <n v="66"/>
    <n v="90.031499999999994"/>
    <n v="7"/>
    <n v="87.178200000000004"/>
    <n v="3"/>
    <n v="0.91199699999999995"/>
    <n v="9"/>
    <x v="1"/>
  </r>
  <r>
    <x v="0"/>
    <x v="4"/>
    <s v="x"/>
    <x v="0"/>
    <m/>
    <x v="0"/>
    <m/>
    <x v="0"/>
    <n v="73.156300000000002"/>
    <n v="29"/>
    <n v="72.423000000000002"/>
    <n v="35"/>
    <n v="111.4246"/>
    <n v="13"/>
    <n v="115.3631"/>
    <n v="8"/>
    <n v="95.8249"/>
    <n v="44"/>
    <n v="94.297600000000003"/>
    <n v="40"/>
    <n v="0.910416"/>
    <n v="10"/>
    <x v="1"/>
  </r>
  <r>
    <x v="65"/>
    <x v="6"/>
    <m/>
    <x v="1"/>
    <m/>
    <x v="0"/>
    <m/>
    <x v="0"/>
    <n v="65.747600000000006"/>
    <n v="269"/>
    <n v="65.975800000000007"/>
    <n v="268"/>
    <n v="106.5061"/>
    <n v="59"/>
    <n v="107.5022"/>
    <n v="61"/>
    <n v="89.137900000000002"/>
    <n v="3"/>
    <n v="88.384699999999995"/>
    <n v="5"/>
    <n v="0.90481"/>
    <n v="11"/>
    <x v="1"/>
  </r>
  <r>
    <x v="66"/>
    <x v="3"/>
    <s v="x"/>
    <x v="1"/>
    <m/>
    <x v="0"/>
    <m/>
    <x v="0"/>
    <n v="72.501900000000006"/>
    <n v="38"/>
    <n v="73.881299999999996"/>
    <n v="14"/>
    <n v="112.1353"/>
    <n v="8"/>
    <n v="114.02370000000001"/>
    <n v="12"/>
    <n v="93.547899999999998"/>
    <n v="25"/>
    <n v="93.829599999999999"/>
    <n v="27"/>
    <n v="0.90392700000000004"/>
    <n v="12"/>
    <x v="1"/>
  </r>
  <r>
    <x v="41"/>
    <x v="1"/>
    <s v="x"/>
    <x v="0"/>
    <m/>
    <x v="0"/>
    <m/>
    <x v="0"/>
    <n v="63.297400000000003"/>
    <n v="309"/>
    <n v="63.109099999999998"/>
    <n v="311"/>
    <n v="111.7649"/>
    <n v="11"/>
    <n v="111.34869999999999"/>
    <n v="21"/>
    <n v="92.648799999999994"/>
    <n v="15"/>
    <n v="92.183499999999995"/>
    <n v="17"/>
    <n v="0.89772399999999997"/>
    <n v="13"/>
    <x v="1"/>
  </r>
  <r>
    <x v="6"/>
    <x v="4"/>
    <s v="x"/>
    <x v="0"/>
    <s v="x"/>
    <x v="1"/>
    <m/>
    <x v="0"/>
    <n v="67.631699999999995"/>
    <n v="209"/>
    <n v="67.360500000000002"/>
    <n v="216"/>
    <n v="115.1444"/>
    <n v="1"/>
    <n v="116.5789"/>
    <n v="4"/>
    <n v="99.120699999999999"/>
    <n v="123"/>
    <n v="97.090199999999996"/>
    <n v="79"/>
    <n v="0.89126000000000005"/>
    <n v="15"/>
    <x v="1"/>
  </r>
  <r>
    <x v="18"/>
    <x v="4"/>
    <s v="x"/>
    <x v="1"/>
    <m/>
    <x v="0"/>
    <m/>
    <x v="0"/>
    <n v="69.360200000000006"/>
    <n v="138"/>
    <n v="69.961500000000001"/>
    <n v="101"/>
    <n v="111.5928"/>
    <n v="12"/>
    <n v="112.706"/>
    <n v="15"/>
    <n v="94.373699999999999"/>
    <n v="31"/>
    <n v="93.960800000000006"/>
    <n v="30"/>
    <n v="0.89011399999999996"/>
    <n v="16"/>
    <x v="1"/>
  </r>
  <r>
    <x v="30"/>
    <x v="2"/>
    <m/>
    <x v="1"/>
    <m/>
    <x v="0"/>
    <m/>
    <x v="0"/>
    <n v="69.4923"/>
    <n v="130"/>
    <n v="69.061300000000003"/>
    <n v="136"/>
    <n v="112.00790000000001"/>
    <n v="9"/>
    <n v="114.48139999999999"/>
    <n v="9"/>
    <n v="96.836799999999997"/>
    <n v="63"/>
    <n v="95.463899999999995"/>
    <n v="55"/>
    <n v="0.88984300000000005"/>
    <n v="17"/>
    <x v="1"/>
  </r>
  <r>
    <x v="3"/>
    <x v="5"/>
    <s v="x"/>
    <x v="0"/>
    <m/>
    <x v="0"/>
    <m/>
    <x v="0"/>
    <n v="73.813100000000006"/>
    <n v="21"/>
    <n v="73.730500000000006"/>
    <n v="17"/>
    <n v="108.3978"/>
    <n v="38"/>
    <n v="108.5287"/>
    <n v="50"/>
    <n v="89.881600000000006"/>
    <n v="6"/>
    <n v="90.893699999999995"/>
    <n v="11"/>
    <n v="0.88485400000000003"/>
    <n v="18"/>
    <x v="1"/>
  </r>
  <r>
    <x v="67"/>
    <x v="8"/>
    <m/>
    <x v="1"/>
    <m/>
    <x v="0"/>
    <m/>
    <x v="0"/>
    <n v="68.055999999999997"/>
    <n v="187"/>
    <n v="69.197299999999998"/>
    <n v="130"/>
    <n v="107.75069999999999"/>
    <n v="45"/>
    <n v="110.0228"/>
    <n v="34"/>
    <n v="92.688100000000006"/>
    <n v="16"/>
    <n v="92.182400000000001"/>
    <n v="16"/>
    <n v="0.884378"/>
    <n v="19"/>
    <x v="1"/>
  </r>
  <r>
    <x v="68"/>
    <x v="4"/>
    <s v="x"/>
    <x v="0"/>
    <s v="x"/>
    <x v="1"/>
    <s v="x"/>
    <x v="1"/>
    <n v="72.123500000000007"/>
    <n v="46"/>
    <n v="71.695099999999996"/>
    <n v="51"/>
    <n v="110.28060000000001"/>
    <n v="21"/>
    <n v="112.28660000000001"/>
    <n v="16"/>
    <n v="96.548900000000003"/>
    <n v="56"/>
    <n v="94.249899999999997"/>
    <n v="38"/>
    <n v="0.88222900000000004"/>
    <n v="20"/>
    <x v="1"/>
  </r>
  <r>
    <x v="69"/>
    <x v="6"/>
    <m/>
    <x v="1"/>
    <m/>
    <x v="0"/>
    <m/>
    <x v="0"/>
    <n v="70.4773"/>
    <n v="93"/>
    <n v="69.850200000000001"/>
    <n v="107"/>
    <n v="105.2705"/>
    <n v="76"/>
    <n v="110.2239"/>
    <n v="28"/>
    <n v="92.9011"/>
    <n v="18"/>
    <n v="93.083500000000001"/>
    <n v="20"/>
    <n v="0.87475800000000004"/>
    <n v="21"/>
    <x v="1"/>
  </r>
  <r>
    <x v="23"/>
    <x v="1"/>
    <s v="x"/>
    <x v="0"/>
    <m/>
    <x v="0"/>
    <m/>
    <x v="0"/>
    <n v="73.265600000000006"/>
    <n v="28"/>
    <n v="72.533100000000005"/>
    <n v="32"/>
    <n v="108.4406"/>
    <n v="37"/>
    <n v="110.58799999999999"/>
    <n v="23"/>
    <n v="97.175799999999995"/>
    <n v="71"/>
    <n v="93.6982"/>
    <n v="25"/>
    <n v="0.87056100000000003"/>
    <n v="22"/>
    <x v="1"/>
  </r>
  <r>
    <x v="25"/>
    <x v="1"/>
    <s v="x"/>
    <x v="0"/>
    <m/>
    <x v="0"/>
    <m/>
    <x v="0"/>
    <n v="71.663899999999998"/>
    <n v="57"/>
    <n v="70.980099999999993"/>
    <n v="67"/>
    <n v="110.27509999999999"/>
    <n v="22"/>
    <n v="116.4151"/>
    <n v="6"/>
    <n v="98.0471"/>
    <n v="90"/>
    <n v="99.286600000000007"/>
    <n v="123"/>
    <n v="0.861792"/>
    <n v="23"/>
    <x v="1"/>
  </r>
  <r>
    <x v="27"/>
    <x v="6"/>
    <s v="x"/>
    <x v="0"/>
    <s v="x"/>
    <x v="0"/>
    <m/>
    <x v="0"/>
    <n v="65.142200000000003"/>
    <n v="287"/>
    <n v="64.924599999999998"/>
    <n v="286"/>
    <n v="102.8617"/>
    <n v="126"/>
    <n v="106.43559999999999"/>
    <n v="72"/>
    <n v="93.251800000000003"/>
    <n v="23"/>
    <n v="90.8202"/>
    <n v="10"/>
    <n v="0.86111400000000005"/>
    <n v="24"/>
    <x v="1"/>
  </r>
  <r>
    <x v="39"/>
    <x v="5"/>
    <s v="x"/>
    <x v="1"/>
    <m/>
    <x v="0"/>
    <m/>
    <x v="0"/>
    <n v="68.316100000000006"/>
    <n v="178"/>
    <n v="67.026600000000002"/>
    <n v="231"/>
    <n v="104.9753"/>
    <n v="79"/>
    <n v="110.0055"/>
    <n v="35"/>
    <n v="97.423299999999998"/>
    <n v="75"/>
    <n v="94.193600000000004"/>
    <n v="37"/>
    <n v="0.85625700000000005"/>
    <n v="25"/>
    <x v="1"/>
  </r>
  <r>
    <x v="70"/>
    <x v="10"/>
    <m/>
    <x v="1"/>
    <m/>
    <x v="0"/>
    <m/>
    <x v="0"/>
    <n v="65.910300000000007"/>
    <n v="266"/>
    <n v="66.790999999999997"/>
    <n v="244"/>
    <n v="109.592"/>
    <n v="26"/>
    <n v="108.6906"/>
    <n v="49"/>
    <n v="95.889200000000002"/>
    <n v="48"/>
    <n v="93.390299999999996"/>
    <n v="21"/>
    <n v="0.85129100000000002"/>
    <n v="26"/>
    <x v="1"/>
  </r>
  <r>
    <x v="38"/>
    <x v="5"/>
    <s v="x"/>
    <x v="1"/>
    <m/>
    <x v="0"/>
    <m/>
    <x v="0"/>
    <n v="68.029399999999995"/>
    <n v="191"/>
    <n v="68.106099999999998"/>
    <n v="181"/>
    <n v="100.47329999999999"/>
    <n v="185"/>
    <n v="103.41549999999999"/>
    <n v="121"/>
    <n v="91.225099999999998"/>
    <n v="9"/>
    <n v="89.011600000000001"/>
    <n v="6"/>
    <n v="0.84875299999999998"/>
    <n v="27"/>
    <x v="1"/>
  </r>
  <r>
    <x v="46"/>
    <x v="5"/>
    <m/>
    <x v="1"/>
    <m/>
    <x v="0"/>
    <m/>
    <x v="0"/>
    <n v="69.154799999999994"/>
    <n v="144"/>
    <n v="70.139899999999997"/>
    <n v="93"/>
    <n v="113.98260000000001"/>
    <n v="2"/>
    <n v="110.1662"/>
    <n v="30"/>
    <n v="92.916300000000007"/>
    <n v="19"/>
    <n v="95.1464"/>
    <n v="49"/>
    <n v="0.84364399999999995"/>
    <n v="28"/>
    <x v="1"/>
  </r>
  <r>
    <x v="71"/>
    <x v="9"/>
    <s v="x"/>
    <x v="1"/>
    <m/>
    <x v="0"/>
    <m/>
    <x v="0"/>
    <n v="69.594800000000006"/>
    <n v="124"/>
    <n v="68.538300000000007"/>
    <n v="159"/>
    <n v="108.2894"/>
    <n v="39"/>
    <n v="111.0911"/>
    <n v="22"/>
    <n v="98.412599999999998"/>
    <n v="105"/>
    <n v="96.319000000000003"/>
    <n v="63"/>
    <n v="0.83765400000000001"/>
    <n v="29"/>
    <x v="1"/>
  </r>
  <r>
    <x v="72"/>
    <x v="3"/>
    <m/>
    <x v="1"/>
    <m/>
    <x v="0"/>
    <m/>
    <x v="0"/>
    <n v="64.586200000000005"/>
    <n v="295"/>
    <n v="65.641400000000004"/>
    <n v="278"/>
    <n v="112.31"/>
    <n v="6"/>
    <n v="116.4746"/>
    <n v="5"/>
    <n v="102.0266"/>
    <n v="196"/>
    <n v="101.0134"/>
    <n v="162"/>
    <n v="0.83723899999999996"/>
    <n v="30"/>
    <x v="1"/>
  </r>
  <r>
    <x v="45"/>
    <x v="12"/>
    <m/>
    <x v="1"/>
    <m/>
    <x v="0"/>
    <m/>
    <x v="0"/>
    <n v="65.915099999999995"/>
    <n v="265"/>
    <n v="65.709900000000005"/>
    <n v="276"/>
    <n v="107.5334"/>
    <n v="51"/>
    <n v="107.86"/>
    <n v="58"/>
    <n v="89.531899999999993"/>
    <n v="4"/>
    <n v="93.688100000000006"/>
    <n v="24"/>
    <n v="0.83478300000000005"/>
    <n v="31"/>
    <x v="1"/>
  </r>
  <r>
    <x v="73"/>
    <x v="9"/>
    <m/>
    <x v="1"/>
    <m/>
    <x v="0"/>
    <m/>
    <x v="0"/>
    <n v="71.590500000000006"/>
    <n v="59"/>
    <n v="71.321399999999997"/>
    <n v="56"/>
    <n v="104.8883"/>
    <n v="83"/>
    <n v="108.06959999999999"/>
    <n v="55"/>
    <n v="97.5822"/>
    <n v="83"/>
    <n v="94.0989"/>
    <n v="35"/>
    <n v="0.83088700000000004"/>
    <n v="32"/>
    <x v="1"/>
  </r>
  <r>
    <x v="20"/>
    <x v="3"/>
    <s v="x"/>
    <x v="1"/>
    <m/>
    <x v="0"/>
    <m/>
    <x v="0"/>
    <n v="68.466499999999996"/>
    <n v="167"/>
    <n v="67.139099999999999"/>
    <n v="227"/>
    <n v="105.0137"/>
    <n v="78"/>
    <n v="108.5081"/>
    <n v="52"/>
    <n v="97.570899999999995"/>
    <n v="81"/>
    <n v="94.815200000000004"/>
    <n v="43"/>
    <n v="0.82509999999999994"/>
    <n v="33"/>
    <x v="1"/>
  </r>
  <r>
    <x v="42"/>
    <x v="12"/>
    <m/>
    <x v="1"/>
    <m/>
    <x v="0"/>
    <m/>
    <x v="0"/>
    <n v="64.088800000000006"/>
    <n v="301"/>
    <n v="64.751400000000004"/>
    <n v="292"/>
    <n v="109.20489999999999"/>
    <n v="29"/>
    <n v="110.0622"/>
    <n v="33"/>
    <n v="92.437200000000004"/>
    <n v="14"/>
    <n v="96.365399999999994"/>
    <n v="65"/>
    <n v="0.82176099999999996"/>
    <n v="34"/>
    <x v="1"/>
  </r>
  <r>
    <x v="1"/>
    <x v="8"/>
    <m/>
    <x v="1"/>
    <m/>
    <x v="0"/>
    <m/>
    <x v="0"/>
    <n v="67.287899999999993"/>
    <n v="229"/>
    <n v="68.004900000000006"/>
    <n v="184"/>
    <n v="100.94670000000001"/>
    <n v="171"/>
    <n v="103.4997"/>
    <n v="119"/>
    <n v="92.833399999999997"/>
    <n v="17"/>
    <n v="90.991900000000001"/>
    <n v="12"/>
    <n v="0.814751"/>
    <n v="36"/>
    <x v="1"/>
  </r>
  <r>
    <x v="14"/>
    <x v="7"/>
    <s v="x"/>
    <x v="1"/>
    <m/>
    <x v="0"/>
    <m/>
    <x v="0"/>
    <n v="69.401300000000006"/>
    <n v="136"/>
    <n v="68.961600000000004"/>
    <n v="140"/>
    <n v="109.46510000000001"/>
    <n v="27"/>
    <n v="110.2921"/>
    <n v="27"/>
    <n v="97.0167"/>
    <n v="67"/>
    <n v="96.977999999999994"/>
    <n v="78"/>
    <n v="0.81449099999999997"/>
    <n v="37"/>
    <x v="1"/>
  </r>
  <r>
    <x v="17"/>
    <x v="9"/>
    <m/>
    <x v="1"/>
    <m/>
    <x v="0"/>
    <m/>
    <x v="0"/>
    <n v="66.320300000000003"/>
    <n v="259"/>
    <n v="66.941000000000003"/>
    <n v="238"/>
    <n v="103.8026"/>
    <n v="98"/>
    <n v="108.8779"/>
    <n v="47"/>
    <n v="98.014099999999999"/>
    <n v="88"/>
    <n v="95.754499999999993"/>
    <n v="60"/>
    <n v="0.81412799999999996"/>
    <n v="38"/>
    <x v="1"/>
  </r>
  <r>
    <x v="37"/>
    <x v="7"/>
    <s v="x"/>
    <x v="1"/>
    <m/>
    <x v="0"/>
    <m/>
    <x v="0"/>
    <n v="61.730600000000003"/>
    <n v="313"/>
    <n v="62.944499999999998"/>
    <n v="312"/>
    <n v="106.8775"/>
    <n v="55"/>
    <n v="106.27030000000001"/>
    <n v="77"/>
    <n v="96.182100000000005"/>
    <n v="51"/>
    <n v="93.678899999999999"/>
    <n v="23"/>
    <n v="0.81004399999999999"/>
    <n v="39"/>
    <x v="1"/>
  </r>
  <r>
    <x v="26"/>
    <x v="8"/>
    <s v="x"/>
    <x v="1"/>
    <m/>
    <x v="0"/>
    <m/>
    <x v="0"/>
    <n v="69.7273"/>
    <n v="117"/>
    <n v="67.474400000000003"/>
    <n v="209"/>
    <n v="105.2679"/>
    <n v="77"/>
    <n v="108.3908"/>
    <n v="54"/>
    <n v="98.657700000000006"/>
    <n v="110"/>
    <n v="95.563599999999994"/>
    <n v="58"/>
    <n v="0.80975799999999998"/>
    <n v="40"/>
    <x v="1"/>
  </r>
  <r>
    <x v="74"/>
    <x v="7"/>
    <s v="x"/>
    <x v="1"/>
    <m/>
    <x v="0"/>
    <m/>
    <x v="0"/>
    <n v="69.542500000000004"/>
    <n v="126"/>
    <n v="70.768799999999999"/>
    <n v="75"/>
    <n v="102.3733"/>
    <n v="143"/>
    <n v="103.563"/>
    <n v="116"/>
    <n v="93.654600000000002"/>
    <n v="26"/>
    <n v="91.315899999999999"/>
    <n v="13"/>
    <n v="0.80958799999999997"/>
    <n v="41"/>
    <x v="1"/>
  </r>
  <r>
    <x v="75"/>
    <x v="10"/>
    <s v="x"/>
    <x v="0"/>
    <m/>
    <x v="0"/>
    <m/>
    <x v="0"/>
    <n v="59.628799999999998"/>
    <n v="325"/>
    <n v="59.948099999999997"/>
    <n v="325"/>
    <n v="113.6498"/>
    <n v="3"/>
    <n v="113.1309"/>
    <n v="13"/>
    <n v="100.0723"/>
    <n v="147"/>
    <n v="99.946899999999999"/>
    <n v="135"/>
    <n v="0.80610899999999996"/>
    <n v="42"/>
    <x v="1"/>
  </r>
  <r>
    <x v="8"/>
    <x v="8"/>
    <m/>
    <x v="1"/>
    <m/>
    <x v="0"/>
    <m/>
    <x v="0"/>
    <n v="75.108000000000004"/>
    <n v="10"/>
    <n v="72.465999999999994"/>
    <n v="34"/>
    <n v="108.9914"/>
    <n v="33"/>
    <n v="110.4645"/>
    <n v="25"/>
    <n v="98.547200000000004"/>
    <n v="107"/>
    <n v="97.740700000000004"/>
    <n v="88"/>
    <n v="0.80334499999999998"/>
    <n v="44"/>
    <x v="1"/>
  </r>
  <r>
    <x v="7"/>
    <x v="6"/>
    <s v="x"/>
    <x v="1"/>
    <m/>
    <x v="0"/>
    <m/>
    <x v="0"/>
    <n v="65.566999999999993"/>
    <n v="276"/>
    <n v="64.948499999999996"/>
    <n v="285"/>
    <n v="106.4645"/>
    <n v="60"/>
    <n v="111.5878"/>
    <n v="20"/>
    <n v="101.4773"/>
    <n v="183"/>
    <n v="98.9495"/>
    <n v="118"/>
    <n v="0.79936399999999996"/>
    <n v="45"/>
    <x v="1"/>
  </r>
  <r>
    <x v="76"/>
    <x v="10"/>
    <m/>
    <x v="1"/>
    <m/>
    <x v="0"/>
    <m/>
    <x v="0"/>
    <n v="71.342100000000002"/>
    <n v="62"/>
    <n v="73.054500000000004"/>
    <n v="22"/>
    <n v="108.09229999999999"/>
    <n v="43"/>
    <n v="107.3201"/>
    <n v="63"/>
    <n v="97.882599999999996"/>
    <n v="86"/>
    <n v="95.573700000000002"/>
    <n v="59"/>
    <n v="0.79134599999999999"/>
    <n v="48"/>
    <x v="1"/>
  </r>
  <r>
    <x v="24"/>
    <x v="7"/>
    <m/>
    <x v="1"/>
    <m/>
    <x v="0"/>
    <m/>
    <x v="0"/>
    <n v="66.994"/>
    <n v="237"/>
    <n v="66.267600000000002"/>
    <n v="265"/>
    <n v="107.5849"/>
    <n v="50"/>
    <n v="110.1397"/>
    <n v="32"/>
    <n v="101.09990000000001"/>
    <n v="171"/>
    <n v="98.209400000000002"/>
    <n v="100"/>
    <n v="0.78892399999999996"/>
    <n v="49"/>
    <x v="1"/>
  </r>
  <r>
    <x v="35"/>
    <x v="11"/>
    <m/>
    <x v="1"/>
    <m/>
    <x v="0"/>
    <m/>
    <x v="0"/>
    <n v="68.515500000000003"/>
    <n v="165"/>
    <n v="69.1952"/>
    <n v="132"/>
    <n v="106.211"/>
    <n v="63"/>
    <n v="106.6789"/>
    <n v="67"/>
    <n v="95.870400000000004"/>
    <n v="47"/>
    <n v="95.462999999999994"/>
    <n v="54"/>
    <n v="0.78201900000000002"/>
    <n v="51"/>
    <x v="1"/>
  </r>
  <r>
    <x v="77"/>
    <x v="9"/>
    <s v="x"/>
    <x v="1"/>
    <m/>
    <x v="0"/>
    <m/>
    <x v="0"/>
    <n v="68.055000000000007"/>
    <n v="188"/>
    <n v="68.1404"/>
    <n v="180"/>
    <n v="102.5367"/>
    <n v="136"/>
    <n v="104.4508"/>
    <n v="102"/>
    <n v="96.688500000000005"/>
    <n v="59"/>
    <n v="93.779799999999994"/>
    <n v="26"/>
    <n v="0.77544599999999997"/>
    <n v="52"/>
    <x v="1"/>
  </r>
  <r>
    <x v="44"/>
    <x v="12"/>
    <m/>
    <x v="1"/>
    <m/>
    <x v="0"/>
    <m/>
    <x v="0"/>
    <n v="67.913899999999998"/>
    <n v="195"/>
    <n v="68.507099999999994"/>
    <n v="161"/>
    <n v="109.01"/>
    <n v="32"/>
    <n v="109.44240000000001"/>
    <n v="39"/>
    <n v="99.468000000000004"/>
    <n v="134"/>
    <n v="98.739400000000003"/>
    <n v="112"/>
    <n v="0.76557900000000001"/>
    <n v="54"/>
    <x v="1"/>
  </r>
  <r>
    <x v="57"/>
    <x v="13"/>
    <m/>
    <x v="1"/>
    <m/>
    <x v="0"/>
    <m/>
    <x v="0"/>
    <n v="65.596100000000007"/>
    <n v="275"/>
    <n v="66.593900000000005"/>
    <n v="253"/>
    <n v="105.81529999999999"/>
    <n v="74"/>
    <n v="104.47750000000001"/>
    <n v="100"/>
    <n v="88.366500000000002"/>
    <n v="2"/>
    <n v="94.290999999999997"/>
    <n v="39"/>
    <n v="0.76490100000000005"/>
    <n v="55"/>
    <x v="1"/>
  </r>
  <r>
    <x v="78"/>
    <x v="13"/>
    <m/>
    <x v="1"/>
    <m/>
    <x v="0"/>
    <m/>
    <x v="0"/>
    <n v="70.603399999999993"/>
    <n v="91"/>
    <n v="69.676299999999998"/>
    <n v="112"/>
    <n v="106.18770000000001"/>
    <n v="64"/>
    <n v="104.31270000000001"/>
    <n v="103"/>
    <n v="93.9559"/>
    <n v="28"/>
    <n v="94.180499999999995"/>
    <n v="36"/>
    <n v="0.76405999999999996"/>
    <n v="57"/>
    <x v="1"/>
  </r>
  <r>
    <x v="79"/>
    <x v="12"/>
    <s v="x"/>
    <x v="1"/>
    <m/>
    <x v="0"/>
    <m/>
    <x v="0"/>
    <n v="72.531499999999994"/>
    <n v="37"/>
    <n v="72.930400000000006"/>
    <n v="25"/>
    <n v="109.179"/>
    <n v="30"/>
    <n v="109.02849999999999"/>
    <n v="44"/>
    <n v="100.8597"/>
    <n v="167"/>
    <n v="98.700900000000004"/>
    <n v="109"/>
    <n v="0.75849"/>
    <n v="61"/>
    <x v="1"/>
  </r>
  <r>
    <x v="36"/>
    <x v="11"/>
    <s v="x"/>
    <x v="1"/>
    <m/>
    <x v="0"/>
    <m/>
    <x v="0"/>
    <n v="69.045400000000001"/>
    <n v="146"/>
    <n v="68.783199999999994"/>
    <n v="149"/>
    <n v="105.9083"/>
    <n v="73"/>
    <n v="105.1844"/>
    <n v="89"/>
    <n v="93.8703"/>
    <n v="27"/>
    <n v="95.343000000000004"/>
    <n v="52"/>
    <n v="0.75578100000000004"/>
    <n v="62"/>
    <x v="1"/>
  </r>
  <r>
    <x v="80"/>
    <x v="11"/>
    <m/>
    <x v="1"/>
    <m/>
    <x v="0"/>
    <m/>
    <x v="0"/>
    <n v="72.302700000000002"/>
    <n v="42"/>
    <n v="72.1541"/>
    <n v="42"/>
    <n v="102.5277"/>
    <n v="137"/>
    <n v="103.9853"/>
    <n v="111"/>
    <n v="98.216399999999993"/>
    <n v="95"/>
    <n v="95.801699999999997"/>
    <n v="61"/>
    <n v="0.71963600000000005"/>
    <n v="74"/>
    <x v="1"/>
  </r>
  <r>
    <x v="81"/>
    <x v="10"/>
    <m/>
    <x v="1"/>
    <m/>
    <x v="0"/>
    <m/>
    <x v="0"/>
    <n v="67.527199999999993"/>
    <n v="215"/>
    <n v="67.371200000000002"/>
    <n v="214"/>
    <n v="110.25620000000001"/>
    <n v="23"/>
    <n v="109.3373"/>
    <n v="41"/>
    <n v="99.803899999999999"/>
    <n v="140"/>
    <n v="100.9898"/>
    <n v="161"/>
    <n v="0.71367700000000001"/>
    <n v="75"/>
    <x v="1"/>
  </r>
  <r>
    <x v="82"/>
    <x v="13"/>
    <m/>
    <x v="1"/>
    <m/>
    <x v="0"/>
    <m/>
    <x v="0"/>
    <n v="73.087900000000005"/>
    <n v="30"/>
    <n v="72.262100000000004"/>
    <n v="39"/>
    <n v="108.5205"/>
    <n v="36"/>
    <n v="106.42619999999999"/>
    <n v="73"/>
    <n v="96.7911"/>
    <n v="61"/>
    <n v="99.775199999999998"/>
    <n v="131"/>
    <n v="0.677458"/>
    <n v="88"/>
    <x v="1"/>
  </r>
  <r>
    <x v="83"/>
    <x v="13"/>
    <m/>
    <x v="1"/>
    <m/>
    <x v="0"/>
    <m/>
    <x v="0"/>
    <n v="68.406499999999994"/>
    <n v="172"/>
    <n v="68.403700000000001"/>
    <n v="168"/>
    <n v="107.6463"/>
    <n v="49"/>
    <n v="110.18"/>
    <n v="29"/>
    <n v="106.2933"/>
    <n v="270"/>
    <n v="104.26900000000001"/>
    <n v="224"/>
    <n v="0.653424"/>
    <n v="93"/>
    <x v="1"/>
  </r>
  <r>
    <x v="84"/>
    <x v="14"/>
    <m/>
    <x v="1"/>
    <m/>
    <x v="0"/>
    <m/>
    <x v="0"/>
    <n v="60.845599999999997"/>
    <n v="318"/>
    <n v="62.792400000000001"/>
    <n v="314"/>
    <n v="107.502"/>
    <n v="52"/>
    <n v="105.03060000000001"/>
    <n v="93"/>
    <n v="97.937200000000004"/>
    <n v="87"/>
    <n v="99.805099999999996"/>
    <n v="133"/>
    <n v="0.64264600000000005"/>
    <n v="101"/>
    <x v="1"/>
  </r>
  <r>
    <x v="85"/>
    <x v="11"/>
    <m/>
    <x v="1"/>
    <m/>
    <x v="0"/>
    <m/>
    <x v="0"/>
    <n v="66.8506"/>
    <n v="240"/>
    <n v="65.137100000000004"/>
    <n v="284"/>
    <n v="102.5179"/>
    <n v="138"/>
    <n v="100.3818"/>
    <n v="183"/>
    <n v="99.249300000000005"/>
    <n v="127"/>
    <n v="97.145399999999995"/>
    <n v="80"/>
    <n v="0.59311999999999998"/>
    <n v="121"/>
    <x v="1"/>
  </r>
  <r>
    <x v="86"/>
    <x v="14"/>
    <m/>
    <x v="1"/>
    <m/>
    <x v="0"/>
    <m/>
    <x v="0"/>
    <n v="68.815799999999996"/>
    <n v="151"/>
    <n v="68.328199999999995"/>
    <n v="171"/>
    <n v="103.2051"/>
    <n v="118"/>
    <n v="101.04640000000001"/>
    <n v="171"/>
    <n v="93.522900000000007"/>
    <n v="24"/>
    <n v="98.897999999999996"/>
    <n v="117"/>
    <n v="0.56147199999999997"/>
    <n v="138"/>
    <x v="1"/>
  </r>
  <r>
    <x v="87"/>
    <x v="15"/>
    <m/>
    <x v="1"/>
    <m/>
    <x v="0"/>
    <m/>
    <x v="0"/>
    <n v="65.365899999999996"/>
    <n v="281"/>
    <n v="65.646699999999996"/>
    <n v="277"/>
    <n v="103.2591"/>
    <n v="116"/>
    <n v="100.07850000000001"/>
    <n v="190"/>
    <n v="95.86"/>
    <n v="46"/>
    <n v="98.190399999999997"/>
    <n v="98"/>
    <n v="0.55454099999999995"/>
    <n v="141"/>
    <x v="1"/>
  </r>
  <r>
    <x v="88"/>
    <x v="15"/>
    <m/>
    <x v="1"/>
    <m/>
    <x v="0"/>
    <m/>
    <x v="0"/>
    <n v="68.504300000000001"/>
    <n v="166"/>
    <n v="68.378100000000003"/>
    <n v="170"/>
    <n v="103.3479"/>
    <n v="114"/>
    <n v="101.49509999999999"/>
    <n v="159"/>
    <n v="101.74890000000001"/>
    <n v="190"/>
    <n v="100.2497"/>
    <n v="144"/>
    <n v="0.53543600000000002"/>
    <n v="151"/>
    <x v="1"/>
  </r>
  <r>
    <x v="89"/>
    <x v="14"/>
    <m/>
    <x v="1"/>
    <m/>
    <x v="0"/>
    <m/>
    <x v="0"/>
    <n v="77.671999999999997"/>
    <n v="2"/>
    <n v="76.266099999999994"/>
    <n v="3"/>
    <n v="102.1313"/>
    <n v="148"/>
    <n v="100.2287"/>
    <n v="185"/>
    <n v="99.243099999999998"/>
    <n v="126"/>
    <n v="99.614199999999997"/>
    <n v="129"/>
    <n v="0.51767399999999997"/>
    <n v="154"/>
    <x v="1"/>
  </r>
  <r>
    <x v="90"/>
    <x v="14"/>
    <m/>
    <x v="1"/>
    <m/>
    <x v="0"/>
    <m/>
    <x v="0"/>
    <n v="70.001199999999997"/>
    <n v="109"/>
    <n v="68.168000000000006"/>
    <n v="176"/>
    <n v="108.261"/>
    <n v="41"/>
    <n v="103.87779999999999"/>
    <n v="112"/>
    <n v="101.7873"/>
    <n v="191"/>
    <n v="104.9877"/>
    <n v="238"/>
    <n v="0.46948299999999998"/>
    <n v="174"/>
    <x v="1"/>
  </r>
  <r>
    <x v="91"/>
    <x v="15"/>
    <m/>
    <x v="1"/>
    <m/>
    <x v="0"/>
    <m/>
    <x v="0"/>
    <n v="72.6708"/>
    <n v="35"/>
    <n v="73.357100000000003"/>
    <n v="21"/>
    <n v="100.14830000000001"/>
    <n v="187"/>
    <n v="96.287999999999997"/>
    <n v="254"/>
    <n v="97.6678"/>
    <n v="84"/>
    <n v="103.9392"/>
    <n v="221"/>
    <n v="0.29331800000000002"/>
    <n v="243"/>
    <x v="1"/>
  </r>
  <r>
    <x v="92"/>
    <x v="15"/>
    <m/>
    <x v="1"/>
    <m/>
    <x v="0"/>
    <m/>
    <x v="0"/>
    <n v="70.805700000000002"/>
    <n v="81"/>
    <n v="69.304500000000004"/>
    <n v="127"/>
    <n v="102.1859"/>
    <n v="146"/>
    <n v="97.646699999999996"/>
    <n v="231"/>
    <n v="99.9739"/>
    <n v="144"/>
    <n v="107.60509999999999"/>
    <n v="280"/>
    <n v="0.24660699999999999"/>
    <n v="262"/>
    <x v="1"/>
  </r>
  <r>
    <x v="93"/>
    <x v="15"/>
    <m/>
    <x v="1"/>
    <m/>
    <x v="0"/>
    <m/>
    <x v="0"/>
    <n v="69.472800000000007"/>
    <n v="132"/>
    <n v="68.939099999999996"/>
    <n v="141"/>
    <n v="100.7461"/>
    <n v="175"/>
    <n v="101.4705"/>
    <n v="160"/>
    <n v="110.5521"/>
    <n v="319"/>
    <n v="114.05800000000001"/>
    <n v="319"/>
    <n v="0.20672199999999999"/>
    <n v="283"/>
    <x v="1"/>
  </r>
  <r>
    <x v="0"/>
    <x v="0"/>
    <s v="x"/>
    <x v="0"/>
    <s v="x"/>
    <x v="1"/>
    <m/>
    <x v="0"/>
    <n v="70.012200000000007"/>
    <n v="88"/>
    <n v="69.271000000000001"/>
    <n v="107"/>
    <n v="113.1113"/>
    <n v="9"/>
    <n v="117.6452"/>
    <n v="4"/>
    <n v="91.740899999999996"/>
    <n v="11"/>
    <n v="89.644499999999994"/>
    <n v="5"/>
    <n v="0.95794999999999997"/>
    <n v="1"/>
    <x v="2"/>
  </r>
  <r>
    <x v="13"/>
    <x v="4"/>
    <s v="x"/>
    <x v="0"/>
    <m/>
    <x v="0"/>
    <m/>
    <x v="0"/>
    <n v="60.519500000000001"/>
    <n v="318"/>
    <n v="61.084200000000003"/>
    <n v="315"/>
    <n v="111.789"/>
    <n v="12"/>
    <n v="113.94199999999999"/>
    <n v="13"/>
    <n v="90.810299999999998"/>
    <n v="6"/>
    <n v="88.186899999999994"/>
    <n v="2"/>
    <n v="0.95010499999999998"/>
    <n v="2"/>
    <x v="2"/>
  </r>
  <r>
    <x v="65"/>
    <x v="0"/>
    <s v="x"/>
    <x v="0"/>
    <s v="x"/>
    <x v="0"/>
    <m/>
    <x v="0"/>
    <n v="67.862499999999997"/>
    <n v="168"/>
    <n v="68.685500000000005"/>
    <n v="126"/>
    <n v="114.627"/>
    <n v="5"/>
    <n v="114.95950000000001"/>
    <n v="11"/>
    <n v="90.536799999999999"/>
    <n v="5"/>
    <n v="89.9756"/>
    <n v="7"/>
    <n v="0.94364000000000003"/>
    <n v="3"/>
    <x v="2"/>
  </r>
  <r>
    <x v="14"/>
    <x v="2"/>
    <s v="x"/>
    <x v="1"/>
    <m/>
    <x v="0"/>
    <m/>
    <x v="0"/>
    <n v="68.746200000000002"/>
    <n v="131"/>
    <n v="68.2624"/>
    <n v="145"/>
    <n v="119.00660000000001"/>
    <n v="1"/>
    <n v="118.7808"/>
    <n v="2"/>
    <n v="94.983999999999995"/>
    <n v="41"/>
    <n v="93.751000000000005"/>
    <n v="28"/>
    <n v="0.93827400000000005"/>
    <n v="4"/>
    <x v="2"/>
  </r>
  <r>
    <x v="23"/>
    <x v="2"/>
    <s v="x"/>
    <x v="0"/>
    <s v="x"/>
    <x v="1"/>
    <s v="x"/>
    <x v="1"/>
    <n v="70.069900000000004"/>
    <n v="85"/>
    <n v="70.080500000000001"/>
    <n v="73"/>
    <n v="112.3242"/>
    <n v="11"/>
    <n v="113.6357"/>
    <n v="14"/>
    <n v="91.503900000000002"/>
    <n v="10"/>
    <n v="90.179100000000005"/>
    <n v="8"/>
    <n v="0.93455100000000002"/>
    <n v="5"/>
    <x v="2"/>
  </r>
  <r>
    <x v="12"/>
    <x v="0"/>
    <s v="x"/>
    <x v="1"/>
    <m/>
    <x v="0"/>
    <m/>
    <x v="0"/>
    <n v="68.053799999999995"/>
    <n v="159"/>
    <n v="68.370800000000003"/>
    <n v="135"/>
    <n v="106.71639999999999"/>
    <n v="65"/>
    <n v="111.4277"/>
    <n v="23"/>
    <n v="92.282300000000006"/>
    <n v="16"/>
    <n v="88.546599999999998"/>
    <n v="3"/>
    <n v="0.93359400000000003"/>
    <n v="6"/>
    <x v="2"/>
  </r>
  <r>
    <x v="24"/>
    <x v="4"/>
    <s v="x"/>
    <x v="1"/>
    <m/>
    <x v="0"/>
    <m/>
    <x v="0"/>
    <n v="66.661600000000007"/>
    <n v="204"/>
    <n v="64.578900000000004"/>
    <n v="277"/>
    <n v="109.58029999999999"/>
    <n v="26"/>
    <n v="117.9212"/>
    <n v="3"/>
    <n v="97.632000000000005"/>
    <n v="89"/>
    <n v="94.677999999999997"/>
    <n v="39"/>
    <n v="0.92585200000000001"/>
    <n v="7"/>
    <x v="2"/>
  </r>
  <r>
    <x v="38"/>
    <x v="2"/>
    <s v="x"/>
    <x v="0"/>
    <s v="x"/>
    <x v="1"/>
    <m/>
    <x v="0"/>
    <n v="67.677700000000002"/>
    <n v="175"/>
    <n v="67.096100000000007"/>
    <n v="190"/>
    <n v="114.5271"/>
    <n v="6"/>
    <n v="115.703"/>
    <n v="7"/>
    <n v="93.298900000000003"/>
    <n v="23"/>
    <n v="93.169600000000003"/>
    <n v="24"/>
    <n v="0.92350600000000005"/>
    <n v="8"/>
    <x v="2"/>
  </r>
  <r>
    <x v="94"/>
    <x v="4"/>
    <s v="x"/>
    <x v="0"/>
    <s v="x"/>
    <x v="1"/>
    <s v="x"/>
    <x v="0"/>
    <n v="72.636200000000002"/>
    <n v="22"/>
    <n v="71.158100000000005"/>
    <n v="41"/>
    <n v="106.92359999999999"/>
    <n v="61"/>
    <n v="112.3931"/>
    <n v="20"/>
    <n v="92.101200000000006"/>
    <n v="13"/>
    <n v="90.567099999999996"/>
    <n v="11"/>
    <n v="0.92294100000000001"/>
    <n v="9"/>
    <x v="2"/>
  </r>
  <r>
    <x v="41"/>
    <x v="5"/>
    <s v="x"/>
    <x v="1"/>
    <m/>
    <x v="0"/>
    <m/>
    <x v="0"/>
    <n v="61.050600000000003"/>
    <n v="314"/>
    <n v="61.981699999999996"/>
    <n v="310"/>
    <n v="111.5488"/>
    <n v="13"/>
    <n v="112.1237"/>
    <n v="21"/>
    <n v="92.278499999999994"/>
    <n v="15"/>
    <n v="90.565299999999993"/>
    <n v="10"/>
    <n v="0.92097099999999998"/>
    <n v="10"/>
    <x v="2"/>
  </r>
  <r>
    <x v="16"/>
    <x v="2"/>
    <s v="x"/>
    <x v="1"/>
    <m/>
    <x v="0"/>
    <m/>
    <x v="0"/>
    <n v="69.688400000000001"/>
    <n v="101"/>
    <n v="70.101399999999998"/>
    <n v="72"/>
    <n v="108.762"/>
    <n v="33"/>
    <n v="113.0877"/>
    <n v="17"/>
    <n v="93.504199999999997"/>
    <n v="26"/>
    <n v="91.515299999999996"/>
    <n v="14"/>
    <n v="0.91938799999999998"/>
    <n v="11"/>
    <x v="2"/>
  </r>
  <r>
    <x v="1"/>
    <x v="3"/>
    <s v="x"/>
    <x v="1"/>
    <m/>
    <x v="0"/>
    <m/>
    <x v="0"/>
    <n v="68.887600000000006"/>
    <n v="128"/>
    <n v="68.5565"/>
    <n v="130"/>
    <n v="111.42919999999999"/>
    <n v="14"/>
    <n v="114.1686"/>
    <n v="12"/>
    <n v="91.203900000000004"/>
    <n v="8"/>
    <n v="92.809200000000004"/>
    <n v="19"/>
    <n v="0.91544400000000004"/>
    <n v="12"/>
    <x v="2"/>
  </r>
  <r>
    <x v="95"/>
    <x v="5"/>
    <s v="x"/>
    <x v="1"/>
    <m/>
    <x v="0"/>
    <m/>
    <x v="0"/>
    <n v="74.396900000000002"/>
    <n v="9"/>
    <n v="72.66"/>
    <n v="17"/>
    <n v="108.9502"/>
    <n v="29"/>
    <n v="115.0068"/>
    <n v="10"/>
    <n v="99.064800000000005"/>
    <n v="114"/>
    <n v="93.916300000000007"/>
    <n v="30"/>
    <n v="0.91131200000000001"/>
    <n v="13"/>
    <x v="2"/>
  </r>
  <r>
    <x v="20"/>
    <x v="0"/>
    <s v="x"/>
    <x v="1"/>
    <m/>
    <x v="0"/>
    <m/>
    <x v="0"/>
    <n v="67.026200000000003"/>
    <n v="193"/>
    <n v="65.987300000000005"/>
    <n v="226"/>
    <n v="110.4171"/>
    <n v="21"/>
    <n v="109.6559"/>
    <n v="39"/>
    <n v="90.505300000000005"/>
    <n v="4"/>
    <n v="89.7042"/>
    <n v="6"/>
    <n v="0.90966400000000003"/>
    <n v="14"/>
    <x v="2"/>
  </r>
  <r>
    <x v="30"/>
    <x v="3"/>
    <s v="x"/>
    <x v="0"/>
    <m/>
    <x v="0"/>
    <m/>
    <x v="0"/>
    <n v="73.154799999999994"/>
    <n v="19"/>
    <n v="71.874600000000001"/>
    <n v="28"/>
    <n v="112.4837"/>
    <n v="10"/>
    <n v="120.0258"/>
    <n v="1"/>
    <n v="101.83329999999999"/>
    <n v="174"/>
    <n v="99.070999999999998"/>
    <n v="114"/>
    <n v="0.90083199999999997"/>
    <n v="15"/>
    <x v="2"/>
  </r>
  <r>
    <x v="66"/>
    <x v="9"/>
    <m/>
    <x v="1"/>
    <m/>
    <x v="0"/>
    <m/>
    <x v="0"/>
    <n v="69.697800000000001"/>
    <n v="100"/>
    <n v="69.431399999999996"/>
    <n v="102"/>
    <n v="103.6755"/>
    <n v="102"/>
    <n v="103.0938"/>
    <n v="121"/>
    <n v="86.672399999999996"/>
    <n v="1"/>
    <n v="85.956900000000005"/>
    <n v="1"/>
    <n v="0.88998699999999997"/>
    <n v="16"/>
    <x v="2"/>
  </r>
  <r>
    <x v="3"/>
    <x v="3"/>
    <s v="x"/>
    <x v="1"/>
    <m/>
    <x v="0"/>
    <m/>
    <x v="0"/>
    <n v="73.576400000000007"/>
    <n v="15"/>
    <n v="72.843800000000002"/>
    <n v="15"/>
    <n v="103.7295"/>
    <n v="100"/>
    <n v="108.6867"/>
    <n v="55"/>
    <n v="96.009100000000004"/>
    <n v="56"/>
    <n v="90.809299999999993"/>
    <n v="12"/>
    <n v="0.88761800000000002"/>
    <n v="17"/>
    <x v="2"/>
  </r>
  <r>
    <x v="18"/>
    <x v="6"/>
    <s v="x"/>
    <x v="0"/>
    <s v="x"/>
    <x v="0"/>
    <m/>
    <x v="0"/>
    <n v="65.535700000000006"/>
    <n v="245"/>
    <n v="65.586699999999993"/>
    <n v="240"/>
    <n v="107.06100000000001"/>
    <n v="55"/>
    <n v="109.9152"/>
    <n v="36"/>
    <n v="94.5428"/>
    <n v="36"/>
    <n v="92.282499999999999"/>
    <n v="16"/>
    <n v="0.88192999999999999"/>
    <n v="18"/>
    <x v="2"/>
  </r>
  <r>
    <x v="4"/>
    <x v="1"/>
    <m/>
    <x v="1"/>
    <m/>
    <x v="0"/>
    <m/>
    <x v="0"/>
    <n v="68.761600000000001"/>
    <n v="130"/>
    <n v="67.610299999999995"/>
    <n v="170"/>
    <n v="111.2139"/>
    <n v="18"/>
    <n v="116.75839999999999"/>
    <n v="5"/>
    <n v="100.1583"/>
    <n v="133"/>
    <n v="98.225899999999996"/>
    <n v="94"/>
    <n v="0.87949200000000005"/>
    <n v="19"/>
    <x v="2"/>
  </r>
  <r>
    <x v="34"/>
    <x v="4"/>
    <s v="x"/>
    <x v="0"/>
    <m/>
    <x v="0"/>
    <m/>
    <x v="0"/>
    <n v="68.337599999999995"/>
    <n v="148"/>
    <n v="66.947500000000005"/>
    <n v="195"/>
    <n v="111.1639"/>
    <n v="19"/>
    <n v="110.43680000000001"/>
    <n v="31"/>
    <n v="96.610699999999994"/>
    <n v="69"/>
    <n v="93.177000000000007"/>
    <n v="25"/>
    <n v="0.875919"/>
    <n v="20"/>
    <x v="2"/>
  </r>
  <r>
    <x v="96"/>
    <x v="9"/>
    <s v="x"/>
    <x v="0"/>
    <m/>
    <x v="0"/>
    <m/>
    <x v="0"/>
    <n v="69.415700000000001"/>
    <n v="107"/>
    <n v="70.038600000000002"/>
    <n v="76"/>
    <n v="108.3764"/>
    <n v="37"/>
    <n v="109.3536"/>
    <n v="44"/>
    <n v="94.788200000000003"/>
    <n v="39"/>
    <n v="92.416200000000003"/>
    <n v="17"/>
    <n v="0.87383100000000002"/>
    <n v="21"/>
    <x v="2"/>
  </r>
  <r>
    <x v="11"/>
    <x v="1"/>
    <s v="x"/>
    <x v="0"/>
    <m/>
    <x v="0"/>
    <m/>
    <x v="0"/>
    <n v="64.787499999999994"/>
    <n v="263"/>
    <n v="65.331800000000001"/>
    <n v="251"/>
    <n v="111.2415"/>
    <n v="17"/>
    <n v="115.0189"/>
    <n v="9"/>
    <n v="96.853999999999999"/>
    <n v="73"/>
    <n v="97.228999999999999"/>
    <n v="74"/>
    <n v="0.873506"/>
    <n v="22"/>
    <x v="2"/>
  </r>
  <r>
    <x v="97"/>
    <x v="1"/>
    <m/>
    <x v="1"/>
    <m/>
    <x v="0"/>
    <m/>
    <x v="0"/>
    <n v="66.350399999999993"/>
    <n v="218"/>
    <n v="67.150300000000001"/>
    <n v="187"/>
    <n v="107.02200000000001"/>
    <n v="57"/>
    <n v="109.79089999999999"/>
    <n v="38"/>
    <n v="96.584100000000007"/>
    <n v="68"/>
    <n v="92.889499999999998"/>
    <n v="20"/>
    <n v="0.87240700000000004"/>
    <n v="23"/>
    <x v="2"/>
  </r>
  <r>
    <x v="98"/>
    <x v="5"/>
    <s v="x"/>
    <x v="0"/>
    <m/>
    <x v="0"/>
    <m/>
    <x v="0"/>
    <n v="67.769499999999994"/>
    <n v="173"/>
    <n v="67.134600000000006"/>
    <n v="188"/>
    <n v="108.5575"/>
    <n v="36"/>
    <n v="110.3443"/>
    <n v="32"/>
    <n v="95.596100000000007"/>
    <n v="51"/>
    <n v="93.605400000000003"/>
    <n v="27"/>
    <n v="0.86897800000000003"/>
    <n v="24"/>
    <x v="2"/>
  </r>
  <r>
    <x v="2"/>
    <x v="3"/>
    <s v="x"/>
    <x v="0"/>
    <s v="x"/>
    <x v="0"/>
    <m/>
    <x v="0"/>
    <n v="70.170699999999997"/>
    <n v="78"/>
    <n v="70.501400000000004"/>
    <n v="60"/>
    <n v="106.17319999999999"/>
    <n v="73"/>
    <n v="109.4746"/>
    <n v="41"/>
    <n v="96.925399999999996"/>
    <n v="76"/>
    <n v="93.426900000000003"/>
    <n v="26"/>
    <n v="0.86091399999999996"/>
    <n v="26"/>
    <x v="2"/>
  </r>
  <r>
    <x v="99"/>
    <x v="8"/>
    <s v="x"/>
    <x v="1"/>
    <m/>
    <x v="0"/>
    <m/>
    <x v="0"/>
    <n v="67.205299999999994"/>
    <n v="191"/>
    <n v="67.793400000000005"/>
    <n v="161"/>
    <n v="106.64709999999999"/>
    <n v="68"/>
    <n v="108.8018"/>
    <n v="53"/>
    <n v="95.121099999999998"/>
    <n v="44"/>
    <n v="93.016999999999996"/>
    <n v="22"/>
    <n v="0.85846299999999998"/>
    <n v="27"/>
    <x v="2"/>
  </r>
  <r>
    <x v="68"/>
    <x v="1"/>
    <s v="x"/>
    <x v="0"/>
    <m/>
    <x v="0"/>
    <m/>
    <x v="0"/>
    <n v="67.434799999999996"/>
    <n v="185"/>
    <n v="67.317099999999996"/>
    <n v="178"/>
    <n v="107.3484"/>
    <n v="51"/>
    <n v="109.5354"/>
    <n v="40"/>
    <n v="98.612799999999993"/>
    <n v="102"/>
    <n v="94.242099999999994"/>
    <n v="34"/>
    <n v="0.84933400000000003"/>
    <n v="28"/>
    <x v="2"/>
  </r>
  <r>
    <x v="100"/>
    <x v="12"/>
    <m/>
    <x v="1"/>
    <m/>
    <x v="0"/>
    <m/>
    <x v="0"/>
    <n v="68.707499999999996"/>
    <n v="133"/>
    <n v="67.933199999999999"/>
    <n v="157"/>
    <n v="114.22709999999999"/>
    <n v="7"/>
    <n v="112.7411"/>
    <n v="18"/>
    <n v="95.243700000000004"/>
    <n v="46"/>
    <n v="97.1143"/>
    <n v="72"/>
    <n v="0.84759499999999999"/>
    <n v="29"/>
    <x v="2"/>
  </r>
  <r>
    <x v="101"/>
    <x v="12"/>
    <m/>
    <x v="1"/>
    <m/>
    <x v="0"/>
    <m/>
    <x v="0"/>
    <n v="64.411000000000001"/>
    <n v="277"/>
    <n v="64.231800000000007"/>
    <n v="284"/>
    <n v="100.23609999999999"/>
    <n v="178"/>
    <n v="102.89579999999999"/>
    <n v="126"/>
    <n v="91.435699999999997"/>
    <n v="9"/>
    <n v="88.745400000000004"/>
    <n v="4"/>
    <n v="0.84571399999999997"/>
    <n v="30"/>
    <x v="2"/>
  </r>
  <r>
    <x v="69"/>
    <x v="6"/>
    <s v="x"/>
    <x v="1"/>
    <m/>
    <x v="0"/>
    <m/>
    <x v="0"/>
    <n v="68.924599999999998"/>
    <n v="125"/>
    <n v="69.406499999999994"/>
    <n v="103"/>
    <n v="107.05419999999999"/>
    <n v="56"/>
    <n v="110.50530000000001"/>
    <n v="30"/>
    <n v="96.126900000000006"/>
    <n v="59"/>
    <n v="95.398600000000002"/>
    <n v="47"/>
    <n v="0.84428999999999998"/>
    <n v="31"/>
    <x v="2"/>
  </r>
  <r>
    <x v="102"/>
    <x v="9"/>
    <m/>
    <x v="1"/>
    <m/>
    <x v="0"/>
    <m/>
    <x v="0"/>
    <n v="67.206500000000005"/>
    <n v="190"/>
    <n v="67.311400000000006"/>
    <n v="179"/>
    <n v="104.57470000000001"/>
    <n v="93"/>
    <n v="110.1865"/>
    <n v="33"/>
    <n v="92.874899999999997"/>
    <n v="18"/>
    <n v="95.151700000000005"/>
    <n v="44"/>
    <n v="0.84383900000000001"/>
    <n v="32"/>
    <x v="2"/>
  </r>
  <r>
    <x v="17"/>
    <x v="8"/>
    <s v="x"/>
    <x v="0"/>
    <s v="x"/>
    <x v="0"/>
    <m/>
    <x v="0"/>
    <n v="65.975999999999999"/>
    <n v="232"/>
    <n v="66.296899999999994"/>
    <n v="212"/>
    <n v="107.3241"/>
    <n v="52"/>
    <n v="111.5406"/>
    <n v="22"/>
    <n v="100.69110000000001"/>
    <n v="144"/>
    <n v="96.407300000000006"/>
    <n v="64"/>
    <n v="0.84247700000000003"/>
    <n v="33"/>
    <x v="2"/>
  </r>
  <r>
    <x v="48"/>
    <x v="5"/>
    <s v="x"/>
    <x v="1"/>
    <m/>
    <x v="0"/>
    <m/>
    <x v="0"/>
    <n v="64.422300000000007"/>
    <n v="276"/>
    <n v="64.396900000000002"/>
    <n v="281"/>
    <n v="105.0027"/>
    <n v="86"/>
    <n v="108.3558"/>
    <n v="60"/>
    <n v="97.374700000000004"/>
    <n v="85"/>
    <n v="94.172300000000007"/>
    <n v="33"/>
    <n v="0.83387999999999995"/>
    <n v="34"/>
    <x v="2"/>
  </r>
  <r>
    <x v="27"/>
    <x v="6"/>
    <m/>
    <x v="1"/>
    <m/>
    <x v="0"/>
    <m/>
    <x v="0"/>
    <n v="63.896799999999999"/>
    <n v="292"/>
    <n v="65.407399999999996"/>
    <n v="248"/>
    <n v="110.2392"/>
    <n v="22"/>
    <n v="115.9962"/>
    <n v="6"/>
    <n v="103.7989"/>
    <n v="225"/>
    <n v="100.8951"/>
    <n v="156"/>
    <n v="0.83257300000000001"/>
    <n v="35"/>
    <x v="2"/>
  </r>
  <r>
    <x v="70"/>
    <x v="10"/>
    <m/>
    <x v="1"/>
    <m/>
    <x v="0"/>
    <m/>
    <x v="0"/>
    <n v="66.187600000000003"/>
    <n v="225"/>
    <n v="68.296599999999998"/>
    <n v="142"/>
    <n v="108.12220000000001"/>
    <n v="42"/>
    <n v="109.1647"/>
    <n v="48"/>
    <n v="98.9054"/>
    <n v="109"/>
    <n v="94.997699999999995"/>
    <n v="41"/>
    <n v="0.83181700000000003"/>
    <n v="36"/>
    <x v="2"/>
  </r>
  <r>
    <x v="28"/>
    <x v="8"/>
    <s v="x"/>
    <x v="1"/>
    <m/>
    <x v="0"/>
    <m/>
    <x v="0"/>
    <n v="69.149000000000001"/>
    <n v="117"/>
    <n v="69.041700000000006"/>
    <n v="118"/>
    <n v="105.8933"/>
    <n v="77"/>
    <n v="107.68129999999999"/>
    <n v="63"/>
    <n v="96.262699999999995"/>
    <n v="60"/>
    <n v="93.998699999999999"/>
    <n v="31"/>
    <n v="0.82675399999999999"/>
    <n v="37"/>
    <x v="2"/>
  </r>
  <r>
    <x v="103"/>
    <x v="12"/>
    <m/>
    <x v="1"/>
    <m/>
    <x v="0"/>
    <m/>
    <x v="0"/>
    <n v="53.996000000000002"/>
    <n v="326"/>
    <n v="53.543500000000002"/>
    <n v="326"/>
    <n v="111.15130000000001"/>
    <n v="20"/>
    <n v="109.2684"/>
    <n v="46"/>
    <n v="93.431899999999999"/>
    <n v="25"/>
    <n v="95.621499999999997"/>
    <n v="53"/>
    <n v="0.82262199999999996"/>
    <n v="38"/>
    <x v="2"/>
  </r>
  <r>
    <x v="31"/>
    <x v="7"/>
    <m/>
    <x v="1"/>
    <m/>
    <x v="0"/>
    <m/>
    <x v="0"/>
    <n v="71.510400000000004"/>
    <n v="37"/>
    <n v="71.205500000000001"/>
    <n v="39"/>
    <n v="108.2775"/>
    <n v="38"/>
    <n v="111.4033"/>
    <n v="25"/>
    <n v="97.519599999999997"/>
    <n v="87"/>
    <n v="97.554299999999998"/>
    <n v="82"/>
    <n v="0.82150900000000004"/>
    <n v="39"/>
    <x v="2"/>
  </r>
  <r>
    <x v="104"/>
    <x v="7"/>
    <s v="x"/>
    <x v="0"/>
    <m/>
    <x v="0"/>
    <m/>
    <x v="0"/>
    <n v="72.318100000000001"/>
    <n v="26"/>
    <n v="71.996499999999997"/>
    <n v="24"/>
    <n v="102.9431"/>
    <n v="114"/>
    <n v="103.85939999999999"/>
    <n v="103"/>
    <n v="92.502700000000004"/>
    <n v="17"/>
    <n v="91.0124"/>
    <n v="13"/>
    <n v="0.82031500000000002"/>
    <n v="40"/>
    <x v="2"/>
  </r>
  <r>
    <x v="37"/>
    <x v="12"/>
    <m/>
    <x v="1"/>
    <m/>
    <x v="0"/>
    <m/>
    <x v="0"/>
    <n v="60.356000000000002"/>
    <n v="320"/>
    <n v="60.9255"/>
    <n v="316"/>
    <n v="107.6079"/>
    <n v="49"/>
    <n v="108.45050000000001"/>
    <n v="57"/>
    <n v="95.925200000000004"/>
    <n v="54"/>
    <n v="95.622"/>
    <n v="54"/>
    <n v="0.80964999999999998"/>
    <n v="42"/>
    <x v="2"/>
  </r>
  <r>
    <x v="10"/>
    <x v="7"/>
    <m/>
    <x v="1"/>
    <m/>
    <x v="0"/>
    <m/>
    <x v="0"/>
    <n v="76.178399999999996"/>
    <n v="3"/>
    <n v="75.163300000000007"/>
    <n v="3"/>
    <n v="114.9447"/>
    <n v="4"/>
    <n v="115.55"/>
    <n v="8"/>
    <n v="103.25109999999999"/>
    <n v="208"/>
    <n v="101.99890000000001"/>
    <n v="175"/>
    <n v="0.80760500000000002"/>
    <n v="44"/>
    <x v="2"/>
  </r>
  <r>
    <x v="105"/>
    <x v="11"/>
    <m/>
    <x v="1"/>
    <m/>
    <x v="0"/>
    <m/>
    <x v="0"/>
    <n v="69.210300000000004"/>
    <n v="112"/>
    <n v="69.877700000000004"/>
    <n v="82"/>
    <n v="109.0586"/>
    <n v="28"/>
    <n v="108.3652"/>
    <n v="59"/>
    <n v="96.9255"/>
    <n v="77"/>
    <n v="95.667599999999993"/>
    <n v="55"/>
    <n v="0.80740100000000004"/>
    <n v="45"/>
    <x v="2"/>
  </r>
  <r>
    <x v="44"/>
    <x v="7"/>
    <m/>
    <x v="1"/>
    <m/>
    <x v="0"/>
    <m/>
    <x v="0"/>
    <n v="66.801299999999998"/>
    <n v="199"/>
    <n v="67.39"/>
    <n v="174"/>
    <n v="106.7103"/>
    <n v="66"/>
    <n v="106.7555"/>
    <n v="71"/>
    <n v="94.087599999999995"/>
    <n v="30"/>
    <n v="94.427800000000005"/>
    <n v="37"/>
    <n v="0.80394200000000005"/>
    <n v="47"/>
    <x v="2"/>
  </r>
  <r>
    <x v="106"/>
    <x v="6"/>
    <s v="x"/>
    <x v="1"/>
    <m/>
    <x v="0"/>
    <m/>
    <x v="0"/>
    <n v="64.719099999999997"/>
    <n v="267"/>
    <n v="64.094899999999996"/>
    <n v="288"/>
    <n v="109.1876"/>
    <n v="27"/>
    <n v="113.5851"/>
    <n v="15"/>
    <n v="103.89449999999999"/>
    <n v="231"/>
    <n v="101.74039999999999"/>
    <n v="168"/>
    <n v="0.780138"/>
    <n v="50"/>
    <x v="2"/>
  </r>
  <r>
    <x v="78"/>
    <x v="10"/>
    <s v="x"/>
    <x v="1"/>
    <m/>
    <x v="0"/>
    <m/>
    <x v="0"/>
    <n v="68.131900000000002"/>
    <n v="152"/>
    <n v="67.272199999999998"/>
    <n v="182"/>
    <n v="108.73990000000001"/>
    <n v="35"/>
    <n v="105.7794"/>
    <n v="80"/>
    <n v="93.287800000000004"/>
    <n v="22"/>
    <n v="95.098500000000001"/>
    <n v="43"/>
    <n v="0.772783"/>
    <n v="51"/>
    <x v="2"/>
  </r>
  <r>
    <x v="55"/>
    <x v="11"/>
    <m/>
    <x v="1"/>
    <m/>
    <x v="0"/>
    <m/>
    <x v="0"/>
    <n v="65.368399999999994"/>
    <n v="250"/>
    <n v="66.464100000000002"/>
    <n v="205"/>
    <n v="106.93770000000001"/>
    <n v="59"/>
    <n v="105.1627"/>
    <n v="88"/>
    <n v="95.346599999999995"/>
    <n v="48"/>
    <n v="94.928600000000003"/>
    <n v="40"/>
    <n v="0.76448199999999999"/>
    <n v="54"/>
    <x v="2"/>
  </r>
  <r>
    <x v="107"/>
    <x v="13"/>
    <m/>
    <x v="1"/>
    <m/>
    <x v="0"/>
    <m/>
    <x v="0"/>
    <n v="70.548100000000005"/>
    <n v="68"/>
    <n v="70.735200000000006"/>
    <n v="55"/>
    <n v="108.1981"/>
    <n v="39"/>
    <n v="107.6224"/>
    <n v="64"/>
    <n v="99.0578"/>
    <n v="112"/>
    <n v="97.595200000000006"/>
    <n v="83"/>
    <n v="0.75485999999999998"/>
    <n v="57"/>
    <x v="2"/>
  </r>
  <r>
    <x v="58"/>
    <x v="10"/>
    <m/>
    <x v="1"/>
    <m/>
    <x v="0"/>
    <m/>
    <x v="0"/>
    <n v="70.644099999999995"/>
    <n v="65"/>
    <n v="70.387200000000007"/>
    <n v="64"/>
    <n v="113.2004"/>
    <n v="8"/>
    <n v="108.429"/>
    <n v="58"/>
    <n v="97.546000000000006"/>
    <n v="88"/>
    <n v="98.438100000000006"/>
    <n v="100"/>
    <n v="0.75244100000000003"/>
    <n v="58"/>
    <x v="2"/>
  </r>
  <r>
    <x v="108"/>
    <x v="8"/>
    <m/>
    <x v="1"/>
    <m/>
    <x v="0"/>
    <m/>
    <x v="0"/>
    <n v="75.138099999999994"/>
    <n v="7"/>
    <n v="74.950400000000002"/>
    <n v="7"/>
    <n v="107.48439999999999"/>
    <n v="50"/>
    <n v="109.9194"/>
    <n v="35"/>
    <n v="103.651"/>
    <n v="220"/>
    <n v="99.917000000000002"/>
    <n v="134"/>
    <n v="0.74973400000000001"/>
    <n v="59"/>
    <x v="2"/>
  </r>
  <r>
    <x v="72"/>
    <x v="9"/>
    <m/>
    <x v="1"/>
    <m/>
    <x v="0"/>
    <m/>
    <x v="0"/>
    <n v="63.852800000000002"/>
    <n v="294"/>
    <n v="63.806899999999999"/>
    <n v="293"/>
    <n v="106.0314"/>
    <n v="76"/>
    <n v="106.8096"/>
    <n v="70"/>
    <n v="100.0119"/>
    <n v="131"/>
    <n v="97.093500000000006"/>
    <n v="71"/>
    <n v="0.74965899999999996"/>
    <n v="60"/>
    <x v="2"/>
  </r>
  <r>
    <x v="89"/>
    <x v="11"/>
    <m/>
    <x v="1"/>
    <m/>
    <x v="0"/>
    <m/>
    <x v="0"/>
    <n v="75.729799999999997"/>
    <n v="5"/>
    <n v="74.971599999999995"/>
    <n v="6"/>
    <n v="102.65479999999999"/>
    <n v="117"/>
    <n v="102.91540000000001"/>
    <n v="125"/>
    <n v="92.195800000000006"/>
    <n v="14"/>
    <n v="94.046599999999998"/>
    <n v="32"/>
    <n v="0.73814400000000002"/>
    <n v="66"/>
    <x v="2"/>
  </r>
  <r>
    <x v="109"/>
    <x v="11"/>
    <m/>
    <x v="1"/>
    <m/>
    <x v="0"/>
    <m/>
    <x v="0"/>
    <n v="67.848600000000005"/>
    <n v="169"/>
    <n v="66.411799999999999"/>
    <n v="207"/>
    <n v="103.337"/>
    <n v="107"/>
    <n v="102.5355"/>
    <n v="133"/>
    <n v="93.336200000000005"/>
    <n v="24"/>
    <n v="94.379499999999993"/>
    <n v="36"/>
    <n v="0.72175500000000004"/>
    <n v="74"/>
    <x v="2"/>
  </r>
  <r>
    <x v="110"/>
    <x v="10"/>
    <s v="x"/>
    <x v="1"/>
    <m/>
    <x v="0"/>
    <m/>
    <x v="0"/>
    <n v="64.537999999999997"/>
    <n v="269"/>
    <n v="65.751499999999993"/>
    <n v="235"/>
    <n v="106.2727"/>
    <n v="72"/>
    <n v="106.3002"/>
    <n v="77"/>
    <n v="98.217600000000004"/>
    <n v="98"/>
    <n v="98.311800000000005"/>
    <n v="96"/>
    <n v="0.71062400000000003"/>
    <n v="80"/>
    <x v="2"/>
  </r>
  <r>
    <x v="111"/>
    <x v="13"/>
    <m/>
    <x v="1"/>
    <m/>
    <x v="0"/>
    <m/>
    <x v="0"/>
    <n v="65.566900000000004"/>
    <n v="243"/>
    <n v="66.534499999999994"/>
    <n v="204"/>
    <n v="104.0239"/>
    <n v="97"/>
    <n v="105.02800000000001"/>
    <n v="90"/>
    <n v="98.105699999999999"/>
    <n v="96"/>
    <n v="97.493700000000004"/>
    <n v="80"/>
    <n v="0.70183399999999996"/>
    <n v="82"/>
    <x v="2"/>
  </r>
  <r>
    <x v="112"/>
    <x v="13"/>
    <m/>
    <x v="1"/>
    <m/>
    <x v="0"/>
    <m/>
    <x v="0"/>
    <n v="66.016900000000007"/>
    <n v="231"/>
    <n v="64.545299999999997"/>
    <n v="279"/>
    <n v="106.3861"/>
    <n v="70"/>
    <n v="102.6353"/>
    <n v="130"/>
    <n v="94.286600000000007"/>
    <n v="35"/>
    <n v="96.471400000000003"/>
    <n v="65"/>
    <n v="0.67090099999999997"/>
    <n v="90"/>
    <x v="2"/>
  </r>
  <r>
    <x v="113"/>
    <x v="13"/>
    <m/>
    <x v="1"/>
    <m/>
    <x v="0"/>
    <m/>
    <x v="0"/>
    <n v="58.133899999999997"/>
    <n v="324"/>
    <n v="58.349699999999999"/>
    <n v="324"/>
    <n v="105.82299999999999"/>
    <n v="79"/>
    <n v="104.8519"/>
    <n v="96"/>
    <n v="96.420599999999993"/>
    <n v="64"/>
    <n v="99.353700000000003"/>
    <n v="121"/>
    <n v="0.65008699999999997"/>
    <n v="97"/>
    <x v="2"/>
  </r>
  <r>
    <x v="114"/>
    <x v="14"/>
    <m/>
    <x v="1"/>
    <m/>
    <x v="0"/>
    <m/>
    <x v="0"/>
    <n v="66.737700000000004"/>
    <n v="201"/>
    <n v="66.009399999999999"/>
    <n v="225"/>
    <n v="103.7423"/>
    <n v="99"/>
    <n v="103.4299"/>
    <n v="110"/>
    <n v="100.7355"/>
    <n v="146"/>
    <n v="100.8342"/>
    <n v="154"/>
    <n v="0.57255699999999998"/>
    <n v="127"/>
    <x v="2"/>
  </r>
  <r>
    <x v="40"/>
    <x v="14"/>
    <m/>
    <x v="1"/>
    <m/>
    <x v="0"/>
    <m/>
    <x v="0"/>
    <n v="70.860299999999995"/>
    <n v="55"/>
    <n v="70.952600000000004"/>
    <n v="47"/>
    <n v="101.3026"/>
    <n v="157"/>
    <n v="99.808899999999994"/>
    <n v="182"/>
    <n v="100.0056"/>
    <n v="130"/>
    <n v="98.598699999999994"/>
    <n v="102"/>
    <n v="0.53501699999999996"/>
    <n v="138"/>
    <x v="2"/>
  </r>
  <r>
    <x v="87"/>
    <x v="14"/>
    <m/>
    <x v="1"/>
    <m/>
    <x v="0"/>
    <m/>
    <x v="0"/>
    <n v="65.257099999999994"/>
    <n v="254"/>
    <n v="66.093000000000004"/>
    <n v="222"/>
    <n v="101.6133"/>
    <n v="148"/>
    <n v="99.417500000000004"/>
    <n v="194"/>
    <n v="95.119200000000006"/>
    <n v="43"/>
    <n v="99.984800000000007"/>
    <n v="137"/>
    <n v="0.48364800000000002"/>
    <n v="159"/>
    <x v="2"/>
  </r>
  <r>
    <x v="115"/>
    <x v="15"/>
    <m/>
    <x v="1"/>
    <m/>
    <x v="0"/>
    <m/>
    <x v="0"/>
    <n v="69.130799999999994"/>
    <n v="119"/>
    <n v="68.889899999999997"/>
    <n v="120"/>
    <n v="99.052599999999998"/>
    <n v="211"/>
    <n v="96.826499999999996"/>
    <n v="249"/>
    <n v="96.328199999999995"/>
    <n v="61"/>
    <n v="98.996799999999993"/>
    <n v="111"/>
    <n v="0.43661100000000003"/>
    <n v="179"/>
    <x v="2"/>
  </r>
  <r>
    <x v="116"/>
    <x v="14"/>
    <m/>
    <x v="1"/>
    <m/>
    <x v="0"/>
    <m/>
    <x v="0"/>
    <n v="68.214600000000004"/>
    <n v="150"/>
    <n v="67.619399999999999"/>
    <n v="168"/>
    <n v="100.3472"/>
    <n v="176"/>
    <n v="96.668800000000005"/>
    <n v="251"/>
    <n v="97.635499999999993"/>
    <n v="90"/>
    <n v="99.226699999999994"/>
    <n v="118"/>
    <n v="0.42547499999999999"/>
    <n v="184"/>
    <x v="2"/>
  </r>
  <r>
    <x v="117"/>
    <x v="15"/>
    <m/>
    <x v="1"/>
    <m/>
    <x v="0"/>
    <m/>
    <x v="0"/>
    <n v="65.204899999999995"/>
    <n v="256"/>
    <n v="65.241699999999994"/>
    <n v="257"/>
    <n v="99.508300000000006"/>
    <n v="196"/>
    <n v="96.998599999999996"/>
    <n v="244"/>
    <n v="95.409300000000002"/>
    <n v="49"/>
    <n v="101.5829"/>
    <n v="166"/>
    <n v="0.37026999999999999"/>
    <n v="206"/>
    <x v="2"/>
  </r>
  <r>
    <x v="118"/>
    <x v="15"/>
    <m/>
    <x v="1"/>
    <m/>
    <x v="0"/>
    <m/>
    <x v="0"/>
    <n v="70.739000000000004"/>
    <n v="58"/>
    <n v="70.656400000000005"/>
    <n v="56"/>
    <n v="99.641800000000003"/>
    <n v="190"/>
    <n v="98.237899999999996"/>
    <n v="220"/>
    <n v="100.7546"/>
    <n v="147"/>
    <n v="104.12690000000001"/>
    <n v="214"/>
    <n v="0.33860699999999999"/>
    <n v="225"/>
    <x v="2"/>
  </r>
  <r>
    <x v="119"/>
    <x v="15"/>
    <m/>
    <x v="1"/>
    <m/>
    <x v="0"/>
    <m/>
    <x v="0"/>
    <n v="64.479600000000005"/>
    <n v="272"/>
    <n v="62.897599999999997"/>
    <n v="308"/>
    <n v="95.069500000000005"/>
    <n v="276"/>
    <n v="92.570899999999995"/>
    <n v="295"/>
    <n v="94.007400000000004"/>
    <n v="29"/>
    <n v="102.01609999999999"/>
    <n v="176"/>
    <n v="0.24651400000000001"/>
    <n v="267"/>
    <x v="2"/>
  </r>
  <r>
    <x v="120"/>
    <x v="15"/>
    <m/>
    <x v="1"/>
    <m/>
    <x v="0"/>
    <m/>
    <x v="0"/>
    <n v="72.628600000000006"/>
    <n v="23"/>
    <n v="72.454300000000003"/>
    <n v="20"/>
    <n v="99.282200000000003"/>
    <n v="205"/>
    <n v="96.540800000000004"/>
    <n v="253"/>
    <n v="101.1798"/>
    <n v="157"/>
    <n v="106.5397"/>
    <n v="268"/>
    <n v="0.24354500000000001"/>
    <n v="269"/>
    <x v="2"/>
  </r>
  <r>
    <x v="11"/>
    <x v="0"/>
    <s v="x"/>
    <x v="0"/>
    <s v="x"/>
    <x v="1"/>
    <s v="x"/>
    <x v="0"/>
    <n v="65.3035"/>
    <n v="243"/>
    <n v="66.158000000000001"/>
    <n v="212"/>
    <n v="118.43940000000001"/>
    <n v="1"/>
    <n v="120.2137"/>
    <n v="2"/>
    <n v="92.210700000000003"/>
    <n v="15"/>
    <n v="88.470299999999995"/>
    <n v="3"/>
    <n v="0.97141699999999997"/>
    <n v="1"/>
    <x v="3"/>
  </r>
  <r>
    <x v="95"/>
    <x v="0"/>
    <s v="x"/>
    <x v="0"/>
    <s v="x"/>
    <x v="1"/>
    <s v="x"/>
    <x v="1"/>
    <n v="76.724999999999994"/>
    <n v="3"/>
    <n v="74.679100000000005"/>
    <n v="5"/>
    <n v="115.7773"/>
    <n v="7"/>
    <n v="119.3614"/>
    <n v="3"/>
    <n v="92.015600000000006"/>
    <n v="11"/>
    <n v="91.036000000000001"/>
    <n v="9"/>
    <n v="0.95752199999999998"/>
    <n v="2"/>
    <x v="3"/>
  </r>
  <r>
    <x v="0"/>
    <x v="0"/>
    <s v="x"/>
    <x v="0"/>
    <m/>
    <x v="0"/>
    <m/>
    <x v="0"/>
    <n v="70.641599999999997"/>
    <n v="55"/>
    <n v="69.417000000000002"/>
    <n v="81"/>
    <n v="112.5574"/>
    <n v="15"/>
    <n v="115.3147"/>
    <n v="9"/>
    <n v="92.901799999999994"/>
    <n v="19"/>
    <n v="90.007800000000003"/>
    <n v="6"/>
    <n v="0.94528500000000004"/>
    <n v="3"/>
    <x v="3"/>
  </r>
  <r>
    <x v="27"/>
    <x v="1"/>
    <s v="x"/>
    <x v="0"/>
    <s v="x"/>
    <x v="1"/>
    <m/>
    <x v="0"/>
    <n v="66.4375"/>
    <n v="196"/>
    <n v="67.073400000000007"/>
    <n v="171"/>
    <n v="116.98099999999999"/>
    <n v="4"/>
    <n v="118.3729"/>
    <n v="6"/>
    <n v="95.164299999999997"/>
    <n v="39"/>
    <n v="94.442599999999999"/>
    <n v="33"/>
    <n v="0.93068399999999996"/>
    <n v="4"/>
    <x v="3"/>
  </r>
  <r>
    <x v="30"/>
    <x v="2"/>
    <s v="x"/>
    <x v="1"/>
    <m/>
    <x v="0"/>
    <m/>
    <x v="0"/>
    <n v="71.577799999999996"/>
    <n v="32"/>
    <n v="69.889099999999999"/>
    <n v="62"/>
    <n v="117.2191"/>
    <n v="2"/>
    <n v="124.7564"/>
    <n v="1"/>
    <n v="102.1108"/>
    <n v="190"/>
    <n v="100.2004"/>
    <n v="135"/>
    <n v="0.92557999999999996"/>
    <n v="5"/>
    <x v="3"/>
  </r>
  <r>
    <x v="4"/>
    <x v="3"/>
    <s v="x"/>
    <x v="1"/>
    <m/>
    <x v="0"/>
    <m/>
    <x v="0"/>
    <n v="66.849599999999995"/>
    <n v="177"/>
    <n v="65.993799999999993"/>
    <n v="220"/>
    <n v="114.0505"/>
    <n v="11"/>
    <n v="114.798"/>
    <n v="11"/>
    <n v="93.532700000000006"/>
    <n v="23"/>
    <n v="92.944999999999993"/>
    <n v="17"/>
    <n v="0.91896900000000004"/>
    <n v="6"/>
    <x v="3"/>
  </r>
  <r>
    <x v="121"/>
    <x v="1"/>
    <s v="x"/>
    <x v="0"/>
    <m/>
    <x v="0"/>
    <m/>
    <x v="0"/>
    <n v="65.817099999999996"/>
    <n v="219"/>
    <n v="67.885300000000001"/>
    <n v="132"/>
    <n v="111.8155"/>
    <n v="21"/>
    <n v="114.4969"/>
    <n v="12"/>
    <n v="94.508600000000001"/>
    <n v="34"/>
    <n v="92.816199999999995"/>
    <n v="16"/>
    <n v="0.91790000000000005"/>
    <n v="7"/>
    <x v="3"/>
  </r>
  <r>
    <x v="38"/>
    <x v="2"/>
    <s v="x"/>
    <x v="0"/>
    <m/>
    <x v="0"/>
    <m/>
    <x v="0"/>
    <n v="67.646600000000007"/>
    <n v="148"/>
    <n v="67.327299999999994"/>
    <n v="160"/>
    <n v="115.681"/>
    <n v="8"/>
    <n v="118.6729"/>
    <n v="4"/>
    <n v="97.874799999999993"/>
    <n v="78"/>
    <n v="96.258899999999997"/>
    <n v="59"/>
    <n v="0.91738200000000003"/>
    <n v="8"/>
    <x v="3"/>
  </r>
  <r>
    <x v="23"/>
    <x v="2"/>
    <s v="x"/>
    <x v="1"/>
    <m/>
    <x v="0"/>
    <m/>
    <x v="0"/>
    <n v="71.455600000000004"/>
    <n v="35"/>
    <n v="71.958100000000002"/>
    <n v="26"/>
    <n v="109.01649999999999"/>
    <n v="43"/>
    <n v="110.7366"/>
    <n v="34"/>
    <n v="93.365200000000002"/>
    <n v="22"/>
    <n v="90.107500000000002"/>
    <n v="8"/>
    <n v="0.91456800000000005"/>
    <n v="9"/>
    <x v="3"/>
  </r>
  <r>
    <x v="12"/>
    <x v="2"/>
    <s v="x"/>
    <x v="0"/>
    <s v="x"/>
    <x v="0"/>
    <m/>
    <x v="0"/>
    <n v="67.741"/>
    <n v="146"/>
    <n v="68.174999999999997"/>
    <n v="120"/>
    <n v="108.32680000000001"/>
    <n v="50"/>
    <n v="110.0217"/>
    <n v="39"/>
    <n v="91.086200000000005"/>
    <n v="8"/>
    <n v="89.608900000000006"/>
    <n v="5"/>
    <n v="0.91373099999999996"/>
    <n v="10"/>
    <x v="3"/>
  </r>
  <r>
    <x v="2"/>
    <x v="4"/>
    <m/>
    <x v="1"/>
    <m/>
    <x v="0"/>
    <m/>
    <x v="0"/>
    <n v="67.552300000000002"/>
    <n v="151"/>
    <n v="67.250900000000001"/>
    <n v="163"/>
    <n v="110.0578"/>
    <n v="32"/>
    <n v="114.3502"/>
    <n v="14"/>
    <n v="95.756299999999996"/>
    <n v="44"/>
    <n v="93.648899999999998"/>
    <n v="27"/>
    <n v="0.90860300000000005"/>
    <n v="11"/>
    <x v="3"/>
  </r>
  <r>
    <x v="5"/>
    <x v="4"/>
    <s v="x"/>
    <x v="1"/>
    <m/>
    <x v="0"/>
    <m/>
    <x v="0"/>
    <n v="67.179500000000004"/>
    <n v="167"/>
    <n v="66.044499999999999"/>
    <n v="218"/>
    <n v="111.94840000000001"/>
    <n v="20"/>
    <n v="113.6718"/>
    <n v="19"/>
    <n v="93.7"/>
    <n v="25"/>
    <n v="93.301100000000005"/>
    <n v="21"/>
    <n v="0.90645200000000004"/>
    <n v="12"/>
    <x v="3"/>
  </r>
  <r>
    <x v="66"/>
    <x v="3"/>
    <s v="x"/>
    <x v="0"/>
    <s v="x"/>
    <x v="1"/>
    <m/>
    <x v="0"/>
    <n v="70.565299999999993"/>
    <n v="58"/>
    <n v="69.810900000000004"/>
    <n v="66"/>
    <n v="113.8263"/>
    <n v="13"/>
    <n v="113.396"/>
    <n v="20"/>
    <n v="89.668800000000005"/>
    <n v="3"/>
    <n v="93.3078"/>
    <n v="22"/>
    <n v="0.90398400000000001"/>
    <n v="13"/>
    <x v="3"/>
  </r>
  <r>
    <x v="68"/>
    <x v="3"/>
    <m/>
    <x v="1"/>
    <m/>
    <x v="0"/>
    <m/>
    <x v="0"/>
    <n v="66.895600000000002"/>
    <n v="174"/>
    <n v="67.366399999999999"/>
    <n v="155"/>
    <n v="112.5575"/>
    <n v="14"/>
    <n v="115.0698"/>
    <n v="10"/>
    <n v="96.821399999999997"/>
    <n v="57"/>
    <n v="94.744"/>
    <n v="36"/>
    <n v="0.903362"/>
    <n v="14"/>
    <x v="3"/>
  </r>
  <r>
    <x v="108"/>
    <x v="0"/>
    <s v="x"/>
    <x v="0"/>
    <m/>
    <x v="0"/>
    <m/>
    <x v="0"/>
    <n v="73.931899999999999"/>
    <n v="12"/>
    <n v="73.020799999999994"/>
    <n v="14"/>
    <n v="115.4002"/>
    <n v="9"/>
    <n v="118.43"/>
    <n v="5"/>
    <n v="98.916399999999996"/>
    <n v="106"/>
    <n v="97.949299999999994"/>
    <n v="83"/>
    <n v="0.89876100000000003"/>
    <n v="15"/>
    <x v="3"/>
  </r>
  <r>
    <x v="37"/>
    <x v="5"/>
    <s v="x"/>
    <x v="1"/>
    <m/>
    <x v="0"/>
    <m/>
    <x v="0"/>
    <n v="60.104599999999998"/>
    <n v="325"/>
    <n v="59.976300000000002"/>
    <n v="325"/>
    <n v="112.01"/>
    <n v="18"/>
    <n v="112.54989999999999"/>
    <n v="23"/>
    <n v="94.733800000000002"/>
    <n v="37"/>
    <n v="93.3459"/>
    <n v="24"/>
    <n v="0.89580700000000002"/>
    <n v="16"/>
    <x v="3"/>
  </r>
  <r>
    <x v="17"/>
    <x v="1"/>
    <m/>
    <x v="1"/>
    <m/>
    <x v="0"/>
    <m/>
    <x v="0"/>
    <n v="65.007400000000004"/>
    <n v="256"/>
    <n v="64.434200000000004"/>
    <n v="274"/>
    <n v="114.414"/>
    <n v="10"/>
    <n v="115.93470000000001"/>
    <n v="8"/>
    <n v="98.794600000000003"/>
    <n v="103"/>
    <n v="96.360299999999995"/>
    <n v="61"/>
    <n v="0.89347399999999999"/>
    <n v="17"/>
    <x v="3"/>
  </r>
  <r>
    <x v="10"/>
    <x v="4"/>
    <s v="x"/>
    <x v="0"/>
    <s v="x"/>
    <x v="0"/>
    <m/>
    <x v="0"/>
    <n v="70.724199999999996"/>
    <n v="53"/>
    <n v="69.760400000000004"/>
    <n v="69"/>
    <n v="111.7366"/>
    <n v="22"/>
    <n v="114.0151"/>
    <n v="16"/>
    <n v="97.710700000000003"/>
    <n v="75"/>
    <n v="95.345799999999997"/>
    <n v="45"/>
    <n v="0.88659600000000005"/>
    <n v="18"/>
    <x v="3"/>
  </r>
  <r>
    <x v="41"/>
    <x v="5"/>
    <s v="x"/>
    <x v="0"/>
    <s v="x"/>
    <x v="0"/>
    <m/>
    <x v="0"/>
    <n v="63.467100000000002"/>
    <n v="293"/>
    <n v="63.684699999999999"/>
    <n v="293"/>
    <n v="105.86920000000001"/>
    <n v="68"/>
    <n v="108.8869"/>
    <n v="50"/>
    <n v="94.531300000000002"/>
    <n v="35"/>
    <n v="91.066500000000005"/>
    <n v="10"/>
    <n v="0.88648000000000005"/>
    <n v="19"/>
    <x v="3"/>
  </r>
  <r>
    <x v="84"/>
    <x v="13"/>
    <m/>
    <x v="1"/>
    <m/>
    <x v="0"/>
    <m/>
    <x v="0"/>
    <n v="61.947400000000002"/>
    <n v="312"/>
    <n v="62.818100000000001"/>
    <n v="306"/>
    <n v="117.06189999999999"/>
    <n v="3"/>
    <n v="114.39960000000001"/>
    <n v="13"/>
    <n v="92.366299999999995"/>
    <n v="17"/>
    <n v="95.724900000000005"/>
    <n v="49"/>
    <n v="0.88589799999999996"/>
    <n v="20"/>
    <x v="3"/>
  </r>
  <r>
    <x v="94"/>
    <x v="1"/>
    <s v="x"/>
    <x v="1"/>
    <m/>
    <x v="0"/>
    <m/>
    <x v="0"/>
    <n v="71.058999999999997"/>
    <n v="42"/>
    <n v="70.195599999999999"/>
    <n v="55"/>
    <n v="104.11539999999999"/>
    <n v="109"/>
    <n v="106.86709999999999"/>
    <n v="69"/>
    <n v="92.221100000000007"/>
    <n v="16"/>
    <n v="89.422600000000003"/>
    <n v="4"/>
    <n v="0.88589200000000001"/>
    <n v="21"/>
    <x v="3"/>
  </r>
  <r>
    <x v="13"/>
    <x v="7"/>
    <m/>
    <x v="1"/>
    <m/>
    <x v="0"/>
    <m/>
    <x v="0"/>
    <n v="64.418599999999998"/>
    <n v="271"/>
    <n v="64.873699999999999"/>
    <n v="255"/>
    <n v="111.5947"/>
    <n v="23"/>
    <n v="113.95440000000001"/>
    <n v="17"/>
    <n v="97.265500000000003"/>
    <n v="62"/>
    <n v="95.787899999999993"/>
    <n v="50"/>
    <n v="0.880494"/>
    <n v="22"/>
    <x v="3"/>
  </r>
  <r>
    <x v="24"/>
    <x v="9"/>
    <s v="x"/>
    <x v="0"/>
    <m/>
    <x v="0"/>
    <m/>
    <x v="0"/>
    <n v="65.905500000000004"/>
    <n v="216"/>
    <n v="63.6252"/>
    <n v="295"/>
    <n v="112.0655"/>
    <n v="17"/>
    <n v="114.1657"/>
    <n v="15"/>
    <n v="100.84180000000001"/>
    <n v="150"/>
    <n v="96.755600000000001"/>
    <n v="66"/>
    <n v="0.87021099999999996"/>
    <n v="23"/>
    <x v="3"/>
  </r>
  <r>
    <x v="1"/>
    <x v="6"/>
    <s v="x"/>
    <x v="1"/>
    <m/>
    <x v="0"/>
    <m/>
    <x v="0"/>
    <n v="69.004999999999995"/>
    <n v="105"/>
    <n v="69.338200000000001"/>
    <n v="84"/>
    <n v="109.8523"/>
    <n v="34"/>
    <n v="109.8964"/>
    <n v="40"/>
    <n v="92.832300000000004"/>
    <n v="18"/>
    <n v="93.400300000000001"/>
    <n v="26"/>
    <n v="0.86650499999999997"/>
    <n v="24"/>
    <x v="3"/>
  </r>
  <r>
    <x v="14"/>
    <x v="4"/>
    <s v="x"/>
    <x v="1"/>
    <m/>
    <x v="0"/>
    <m/>
    <x v="0"/>
    <n v="68.388400000000004"/>
    <n v="123"/>
    <n v="68.207899999999995"/>
    <n v="119"/>
    <n v="116.4325"/>
    <n v="6"/>
    <n v="117.93940000000001"/>
    <n v="7"/>
    <n v="102.10250000000001"/>
    <n v="188"/>
    <n v="100.3467"/>
    <n v="137"/>
    <n v="0.86502900000000005"/>
    <n v="25"/>
    <x v="3"/>
  </r>
  <r>
    <x v="48"/>
    <x v="3"/>
    <s v="x"/>
    <x v="1"/>
    <m/>
    <x v="0"/>
    <m/>
    <x v="0"/>
    <n v="64.899600000000007"/>
    <n v="259"/>
    <n v="65.185599999999994"/>
    <n v="247"/>
    <n v="109.54730000000001"/>
    <n v="40"/>
    <n v="112.0723"/>
    <n v="25"/>
    <n v="97.370599999999996"/>
    <n v="65"/>
    <n v="95.647099999999995"/>
    <n v="48"/>
    <n v="0.86086600000000002"/>
    <n v="26"/>
    <x v="3"/>
  </r>
  <r>
    <x v="122"/>
    <x v="9"/>
    <m/>
    <x v="1"/>
    <m/>
    <x v="0"/>
    <m/>
    <x v="0"/>
    <n v="68.472300000000004"/>
    <n v="120"/>
    <n v="68.790800000000004"/>
    <n v="101"/>
    <n v="105.9579"/>
    <n v="65"/>
    <n v="110.5638"/>
    <n v="37"/>
    <n v="97.1935"/>
    <n v="61"/>
    <n v="94.792500000000004"/>
    <n v="38"/>
    <n v="0.85444200000000003"/>
    <n v="27"/>
    <x v="3"/>
  </r>
  <r>
    <x v="44"/>
    <x v="6"/>
    <s v="x"/>
    <x v="1"/>
    <m/>
    <x v="0"/>
    <m/>
    <x v="0"/>
    <n v="63.823"/>
    <n v="284"/>
    <n v="64.196899999999999"/>
    <n v="284"/>
    <n v="104.85469999999999"/>
    <n v="92"/>
    <n v="106.9693"/>
    <n v="67"/>
    <n v="94.084699999999998"/>
    <n v="30"/>
    <n v="92.393699999999995"/>
    <n v="15"/>
    <n v="0.84350599999999998"/>
    <n v="28"/>
    <x v="3"/>
  </r>
  <r>
    <x v="123"/>
    <x v="10"/>
    <m/>
    <x v="1"/>
    <m/>
    <x v="0"/>
    <m/>
    <x v="0"/>
    <n v="66.519000000000005"/>
    <n v="192"/>
    <n v="66.275599999999997"/>
    <n v="208"/>
    <n v="113.89490000000001"/>
    <n v="12"/>
    <n v="112.06489999999999"/>
    <n v="26"/>
    <n v="97.835999999999999"/>
    <n v="77"/>
    <n v="97.262200000000007"/>
    <n v="73"/>
    <n v="0.83605700000000005"/>
    <n v="29"/>
    <x v="3"/>
  </r>
  <r>
    <x v="34"/>
    <x v="8"/>
    <m/>
    <x v="1"/>
    <m/>
    <x v="0"/>
    <m/>
    <x v="0"/>
    <n v="69.051500000000004"/>
    <n v="102"/>
    <n v="67.960400000000007"/>
    <n v="125"/>
    <n v="111.38039999999999"/>
    <n v="26"/>
    <n v="110.8698"/>
    <n v="33"/>
    <n v="98.966800000000006"/>
    <n v="108"/>
    <n v="96.702500000000001"/>
    <n v="65"/>
    <n v="0.82810399999999995"/>
    <n v="31"/>
    <x v="3"/>
  </r>
  <r>
    <x v="124"/>
    <x v="8"/>
    <m/>
    <x v="1"/>
    <m/>
    <x v="0"/>
    <m/>
    <x v="0"/>
    <n v="67.285899999999998"/>
    <n v="164"/>
    <n v="68.7136"/>
    <n v="107"/>
    <n v="101.2773"/>
    <n v="173"/>
    <n v="101.1123"/>
    <n v="167"/>
    <n v="93.218000000000004"/>
    <n v="21"/>
    <n v="88.239599999999996"/>
    <n v="2"/>
    <n v="0.82721599999999995"/>
    <n v="32"/>
    <x v="3"/>
  </r>
  <r>
    <x v="67"/>
    <x v="5"/>
    <m/>
    <x v="1"/>
    <m/>
    <x v="0"/>
    <m/>
    <x v="0"/>
    <n v="66.919899999999998"/>
    <n v="173"/>
    <n v="67.017399999999995"/>
    <n v="173"/>
    <n v="110.28230000000001"/>
    <n v="30"/>
    <n v="113.3772"/>
    <n v="21"/>
    <n v="104.2854"/>
    <n v="237"/>
    <n v="99.493099999999998"/>
    <n v="117"/>
    <n v="0.81791199999999997"/>
    <n v="33"/>
    <x v="3"/>
  </r>
  <r>
    <x v="110"/>
    <x v="8"/>
    <s v="x"/>
    <x v="1"/>
    <m/>
    <x v="0"/>
    <m/>
    <x v="0"/>
    <n v="64.131299999999996"/>
    <n v="281"/>
    <n v="64.432000000000002"/>
    <n v="275"/>
    <n v="111.96639999999999"/>
    <n v="19"/>
    <n v="111.96"/>
    <n v="27"/>
    <n v="98.072299999999998"/>
    <n v="86"/>
    <n v="98.343500000000006"/>
    <n v="89"/>
    <n v="0.81626900000000002"/>
    <n v="34"/>
    <x v="3"/>
  </r>
  <r>
    <x v="125"/>
    <x v="10"/>
    <m/>
    <x v="1"/>
    <m/>
    <x v="0"/>
    <m/>
    <x v="0"/>
    <n v="70.552000000000007"/>
    <n v="59"/>
    <n v="71.497100000000003"/>
    <n v="32"/>
    <n v="109.0921"/>
    <n v="42"/>
    <n v="108.32170000000001"/>
    <n v="54"/>
    <n v="94.330200000000005"/>
    <n v="32"/>
    <n v="95.215699999999998"/>
    <n v="41"/>
    <n v="0.81503199999999998"/>
    <n v="35"/>
    <x v="3"/>
  </r>
  <r>
    <x v="126"/>
    <x v="6"/>
    <s v="x"/>
    <x v="0"/>
    <s v="x"/>
    <x v="0"/>
    <m/>
    <x v="0"/>
    <n v="64.240099999999998"/>
    <n v="277"/>
    <n v="64.682699999999997"/>
    <n v="264"/>
    <n v="108.9222"/>
    <n v="45"/>
    <n v="112.3967"/>
    <n v="24"/>
    <n v="101.9979"/>
    <n v="182"/>
    <n v="98.949700000000007"/>
    <n v="104"/>
    <n v="0.81235199999999996"/>
    <n v="37"/>
    <x v="3"/>
  </r>
  <r>
    <x v="46"/>
    <x v="9"/>
    <m/>
    <x v="1"/>
    <m/>
    <x v="0"/>
    <m/>
    <x v="0"/>
    <n v="64.490899999999996"/>
    <n v="269"/>
    <n v="64.507199999999997"/>
    <n v="271"/>
    <n v="110.4606"/>
    <n v="29"/>
    <n v="113.12309999999999"/>
    <n v="22"/>
    <n v="100.2475"/>
    <n v="136"/>
    <n v="99.631100000000004"/>
    <n v="121"/>
    <n v="0.81161300000000003"/>
    <n v="38"/>
    <x v="3"/>
  </r>
  <r>
    <x v="28"/>
    <x v="5"/>
    <s v="x"/>
    <x v="0"/>
    <m/>
    <x v="0"/>
    <m/>
    <x v="0"/>
    <n v="70.939499999999995"/>
    <n v="46"/>
    <n v="70.421599999999998"/>
    <n v="51"/>
    <n v="108.3214"/>
    <n v="51"/>
    <n v="107.81359999999999"/>
    <n v="61"/>
    <n v="97.950299999999999"/>
    <n v="80"/>
    <n v="95.236000000000004"/>
    <n v="42"/>
    <n v="0.80635800000000002"/>
    <n v="39"/>
    <x v="3"/>
  </r>
  <r>
    <x v="16"/>
    <x v="7"/>
    <s v="x"/>
    <x v="1"/>
    <m/>
    <x v="0"/>
    <m/>
    <x v="0"/>
    <n v="68.984800000000007"/>
    <n v="106"/>
    <n v="70.145600000000002"/>
    <n v="57"/>
    <n v="104.6399"/>
    <n v="101"/>
    <n v="105.8001"/>
    <n v="89"/>
    <n v="95.862700000000004"/>
    <n v="45"/>
    <n v="93.693600000000004"/>
    <n v="28"/>
    <n v="0.80178799999999995"/>
    <n v="40"/>
    <x v="3"/>
  </r>
  <r>
    <x v="127"/>
    <x v="7"/>
    <s v="x"/>
    <x v="1"/>
    <m/>
    <x v="0"/>
    <m/>
    <x v="0"/>
    <n v="67.289400000000001"/>
    <n v="162"/>
    <n v="67.611099999999993"/>
    <n v="146"/>
    <n v="100.2753"/>
    <n v="194"/>
    <n v="101.2715"/>
    <n v="163"/>
    <n v="93.927999999999997"/>
    <n v="29"/>
    <n v="90.022499999999994"/>
    <n v="7"/>
    <n v="0.79479500000000003"/>
    <n v="43"/>
    <x v="3"/>
  </r>
  <r>
    <x v="76"/>
    <x v="10"/>
    <s v="x"/>
    <x v="0"/>
    <m/>
    <x v="0"/>
    <m/>
    <x v="0"/>
    <n v="67.756200000000007"/>
    <n v="145"/>
    <n v="70.499099999999999"/>
    <n v="49"/>
    <n v="107.479"/>
    <n v="54"/>
    <n v="106.187"/>
    <n v="80"/>
    <n v="93.784099999999995"/>
    <n v="27"/>
    <n v="94.892600000000002"/>
    <n v="39"/>
    <n v="0.78469500000000003"/>
    <n v="44"/>
    <x v="3"/>
  </r>
  <r>
    <x v="87"/>
    <x v="11"/>
    <s v="x"/>
    <x v="1"/>
    <m/>
    <x v="0"/>
    <m/>
    <x v="0"/>
    <n v="65.540000000000006"/>
    <n v="234"/>
    <n v="66.011499999999998"/>
    <n v="219"/>
    <n v="111.00109999999999"/>
    <n v="27"/>
    <n v="111.3507"/>
    <n v="30"/>
    <n v="94.387699999999995"/>
    <n v="33"/>
    <n v="99.552300000000002"/>
    <n v="118"/>
    <n v="0.78381100000000004"/>
    <n v="46"/>
    <x v="3"/>
  </r>
  <r>
    <x v="96"/>
    <x v="7"/>
    <s v="x"/>
    <x v="1"/>
    <m/>
    <x v="0"/>
    <m/>
    <x v="0"/>
    <n v="67.555000000000007"/>
    <n v="150"/>
    <n v="66.902000000000001"/>
    <n v="178"/>
    <n v="102.86669999999999"/>
    <n v="130"/>
    <n v="102.25109999999999"/>
    <n v="145"/>
    <n v="92.198999999999998"/>
    <n v="14"/>
    <n v="91.863500000000002"/>
    <n v="12"/>
    <n v="0.77416499999999999"/>
    <n v="48"/>
    <x v="3"/>
  </r>
  <r>
    <x v="20"/>
    <x v="8"/>
    <m/>
    <x v="1"/>
    <m/>
    <x v="0"/>
    <m/>
    <x v="0"/>
    <n v="68.920400000000001"/>
    <n v="109"/>
    <n v="68.0227"/>
    <n v="123"/>
    <n v="101.0188"/>
    <n v="179"/>
    <n v="104.6802"/>
    <n v="106"/>
    <n v="98.339699999999993"/>
    <n v="89"/>
    <n v="94.071799999999996"/>
    <n v="31"/>
    <n v="0.77360600000000002"/>
    <n v="49"/>
    <x v="3"/>
  </r>
  <r>
    <x v="111"/>
    <x v="12"/>
    <m/>
    <x v="1"/>
    <m/>
    <x v="0"/>
    <m/>
    <x v="0"/>
    <n v="65.729299999999995"/>
    <n v="223"/>
    <n v="66.128200000000007"/>
    <n v="214"/>
    <n v="109.6499"/>
    <n v="37"/>
    <n v="109.6448"/>
    <n v="41"/>
    <n v="100.8051"/>
    <n v="149"/>
    <n v="98.655699999999996"/>
    <n v="95"/>
    <n v="0.771096"/>
    <n v="50"/>
    <x v="3"/>
  </r>
  <r>
    <x v="31"/>
    <x v="6"/>
    <m/>
    <x v="1"/>
    <m/>
    <x v="0"/>
    <m/>
    <x v="0"/>
    <n v="70.814099999999996"/>
    <n v="49"/>
    <n v="71.375200000000007"/>
    <n v="36"/>
    <n v="108.7615"/>
    <n v="47"/>
    <n v="111.2419"/>
    <n v="32"/>
    <n v="99.874700000000004"/>
    <n v="125"/>
    <n v="100.18129999999999"/>
    <n v="133"/>
    <n v="0.76929700000000001"/>
    <n v="52"/>
    <x v="3"/>
  </r>
  <r>
    <x v="104"/>
    <x v="12"/>
    <s v="x"/>
    <x v="1"/>
    <m/>
    <x v="0"/>
    <m/>
    <x v="0"/>
    <n v="72.225800000000007"/>
    <n v="27"/>
    <n v="71.380099999999999"/>
    <n v="35"/>
    <n v="107.0809"/>
    <n v="58"/>
    <n v="108.0639"/>
    <n v="59"/>
    <n v="98.575000000000003"/>
    <n v="95"/>
    <n v="97.668999999999997"/>
    <n v="80"/>
    <n v="0.76189499999999999"/>
    <n v="57"/>
    <x v="3"/>
  </r>
  <r>
    <x v="42"/>
    <x v="11"/>
    <m/>
    <x v="1"/>
    <m/>
    <x v="0"/>
    <m/>
    <x v="0"/>
    <n v="67.050200000000004"/>
    <n v="170"/>
    <n v="68.869100000000003"/>
    <n v="98"/>
    <n v="101.41240000000001"/>
    <n v="166"/>
    <n v="100.87560000000001"/>
    <n v="176"/>
    <n v="89.9084"/>
    <n v="5"/>
    <n v="91.325100000000006"/>
    <n v="11"/>
    <n v="0.75837900000000003"/>
    <n v="60"/>
    <x v="3"/>
  </r>
  <r>
    <x v="128"/>
    <x v="10"/>
    <m/>
    <x v="1"/>
    <m/>
    <x v="0"/>
    <m/>
    <x v="0"/>
    <n v="66.806299999999993"/>
    <n v="179"/>
    <n v="67.101200000000006"/>
    <n v="168"/>
    <n v="104.8468"/>
    <n v="93"/>
    <n v="102.89879999999999"/>
    <n v="131"/>
    <n v="90.377399999999994"/>
    <n v="6"/>
    <n v="93.242599999999996"/>
    <n v="19"/>
    <n v="0.75643499999999997"/>
    <n v="62"/>
    <x v="3"/>
  </r>
  <r>
    <x v="32"/>
    <x v="12"/>
    <m/>
    <x v="1"/>
    <m/>
    <x v="0"/>
    <m/>
    <x v="0"/>
    <n v="70.571100000000001"/>
    <n v="57"/>
    <n v="70.139499999999998"/>
    <n v="58"/>
    <n v="103.89790000000001"/>
    <n v="112"/>
    <n v="106.0566"/>
    <n v="85"/>
    <n v="99.9435"/>
    <n v="129"/>
    <n v="96.214500000000001"/>
    <n v="57"/>
    <n v="0.753992"/>
    <n v="63"/>
    <x v="3"/>
  </r>
  <r>
    <x v="105"/>
    <x v="12"/>
    <m/>
    <x v="1"/>
    <m/>
    <x v="0"/>
    <m/>
    <x v="0"/>
    <n v="67.288499999999999"/>
    <n v="163"/>
    <n v="67.339600000000004"/>
    <n v="159"/>
    <n v="112.1421"/>
    <n v="16"/>
    <n v="111.2898"/>
    <n v="31"/>
    <n v="98.731899999999996"/>
    <n v="100"/>
    <n v="101.36750000000001"/>
    <n v="162"/>
    <n v="0.74534400000000001"/>
    <n v="67"/>
    <x v="3"/>
  </r>
  <r>
    <x v="107"/>
    <x v="11"/>
    <m/>
    <x v="1"/>
    <m/>
    <x v="0"/>
    <m/>
    <x v="0"/>
    <n v="69.137"/>
    <n v="99"/>
    <n v="68.635300000000001"/>
    <n v="112"/>
    <n v="104.2163"/>
    <n v="107"/>
    <n v="106.22069999999999"/>
    <n v="78"/>
    <n v="97.942700000000002"/>
    <n v="79"/>
    <n v="96.808499999999995"/>
    <n v="68"/>
    <n v="0.74402900000000005"/>
    <n v="69"/>
    <x v="3"/>
  </r>
  <r>
    <x v="129"/>
    <x v="9"/>
    <m/>
    <x v="1"/>
    <m/>
    <x v="0"/>
    <m/>
    <x v="0"/>
    <n v="66.445700000000002"/>
    <n v="195"/>
    <n v="65.7821"/>
    <n v="230"/>
    <n v="104.2514"/>
    <n v="106"/>
    <n v="105.6669"/>
    <n v="90"/>
    <n v="97.331999999999994"/>
    <n v="63"/>
    <n v="97.126199999999997"/>
    <n v="71"/>
    <n v="0.72496499999999997"/>
    <n v="77"/>
    <x v="3"/>
  </r>
  <r>
    <x v="130"/>
    <x v="11"/>
    <m/>
    <x v="1"/>
    <m/>
    <x v="0"/>
    <m/>
    <x v="0"/>
    <n v="65.641999999999996"/>
    <n v="227"/>
    <n v="66.482900000000001"/>
    <n v="200"/>
    <n v="108.3516"/>
    <n v="48"/>
    <n v="108.6439"/>
    <n v="52"/>
    <n v="102.8064"/>
    <n v="206"/>
    <n v="101.6448"/>
    <n v="168"/>
    <n v="0.682612"/>
    <n v="87"/>
    <x v="3"/>
  </r>
  <r>
    <x v="131"/>
    <x v="13"/>
    <s v="x"/>
    <x v="1"/>
    <m/>
    <x v="0"/>
    <m/>
    <x v="0"/>
    <n v="63.541400000000003"/>
    <n v="289"/>
    <n v="64.312700000000007"/>
    <n v="282"/>
    <n v="99.955399999999997"/>
    <n v="201"/>
    <n v="99.388199999999998"/>
    <n v="202"/>
    <n v="91.5929"/>
    <n v="9"/>
    <n v="93.382300000000001"/>
    <n v="25"/>
    <n v="0.67190499999999997"/>
    <n v="93"/>
    <x v="3"/>
  </r>
  <r>
    <x v="63"/>
    <x v="13"/>
    <m/>
    <x v="1"/>
    <m/>
    <x v="0"/>
    <m/>
    <x v="0"/>
    <n v="63.475099999999998"/>
    <n v="292"/>
    <n v="63.685899999999997"/>
    <n v="292"/>
    <n v="104.51430000000001"/>
    <n v="102"/>
    <n v="101.04430000000001"/>
    <n v="171"/>
    <n v="92.059899999999999"/>
    <n v="13"/>
    <n v="95.291300000000007"/>
    <n v="43"/>
    <n v="0.66242699999999999"/>
    <n v="97"/>
    <x v="3"/>
  </r>
  <r>
    <x v="132"/>
    <x v="13"/>
    <m/>
    <x v="1"/>
    <m/>
    <x v="0"/>
    <m/>
    <x v="0"/>
    <n v="71.415000000000006"/>
    <n v="37"/>
    <n v="70.429900000000004"/>
    <n v="50"/>
    <n v="116.9511"/>
    <n v="5"/>
    <n v="113.7218"/>
    <n v="18"/>
    <n v="107.05029999999999"/>
    <n v="279"/>
    <n v="109.56270000000001"/>
    <n v="301"/>
    <n v="0.60550700000000002"/>
    <n v="118"/>
    <x v="3"/>
  </r>
  <r>
    <x v="133"/>
    <x v="14"/>
    <m/>
    <x v="1"/>
    <m/>
    <x v="0"/>
    <m/>
    <x v="0"/>
    <n v="62.609299999999998"/>
    <n v="305"/>
    <n v="61.0764"/>
    <n v="319"/>
    <n v="98.056100000000001"/>
    <n v="230"/>
    <n v="96.627200000000002"/>
    <n v="243"/>
    <n v="89.710999999999999"/>
    <n v="4"/>
    <n v="93.325500000000005"/>
    <n v="23"/>
    <n v="0.59864499999999998"/>
    <n v="120"/>
    <x v="3"/>
  </r>
  <r>
    <x v="134"/>
    <x v="14"/>
    <m/>
    <x v="1"/>
    <m/>
    <x v="0"/>
    <m/>
    <x v="0"/>
    <n v="66.597700000000003"/>
    <n v="190"/>
    <n v="66.765199999999993"/>
    <n v="186"/>
    <n v="105.208"/>
    <n v="85"/>
    <n v="101.0895"/>
    <n v="169"/>
    <n v="100.41540000000001"/>
    <n v="142"/>
    <n v="100.1037"/>
    <n v="130"/>
    <n v="0.52814399999999995"/>
    <n v="145"/>
    <x v="3"/>
  </r>
  <r>
    <x v="135"/>
    <x v="14"/>
    <m/>
    <x v="1"/>
    <m/>
    <x v="0"/>
    <m/>
    <x v="0"/>
    <n v="69.997699999999995"/>
    <n v="75"/>
    <n v="68.389899999999997"/>
    <n v="117"/>
    <n v="100.4572"/>
    <n v="191"/>
    <n v="97.890100000000004"/>
    <n v="225"/>
    <n v="96.870800000000003"/>
    <n v="58"/>
    <n v="98.302199999999999"/>
    <n v="86"/>
    <n v="0.48792400000000002"/>
    <n v="162"/>
    <x v="3"/>
  </r>
  <r>
    <x v="136"/>
    <x v="15"/>
    <m/>
    <x v="1"/>
    <m/>
    <x v="0"/>
    <m/>
    <x v="0"/>
    <n v="65.846599999999995"/>
    <n v="218"/>
    <n v="65.992500000000007"/>
    <n v="221"/>
    <n v="106.5184"/>
    <n v="61"/>
    <n v="106.3563"/>
    <n v="76"/>
    <n v="110.8047"/>
    <n v="321"/>
    <n v="107.70480000000001"/>
    <n v="281"/>
    <n v="0.46384199999999998"/>
    <n v="176"/>
    <x v="3"/>
  </r>
  <r>
    <x v="112"/>
    <x v="14"/>
    <m/>
    <x v="1"/>
    <m/>
    <x v="0"/>
    <m/>
    <x v="0"/>
    <n v="62.104199999999999"/>
    <n v="310"/>
    <n v="60.946399999999997"/>
    <n v="320"/>
    <n v="108.9913"/>
    <n v="44"/>
    <n v="103.82640000000001"/>
    <n v="115"/>
    <n v="103.7912"/>
    <n v="226"/>
    <n v="105.9743"/>
    <n v="252"/>
    <n v="0.44140099999999999"/>
    <n v="183"/>
    <x v="3"/>
  </r>
  <r>
    <x v="137"/>
    <x v="15"/>
    <m/>
    <x v="1"/>
    <m/>
    <x v="0"/>
    <m/>
    <x v="0"/>
    <n v="69.947400000000002"/>
    <n v="76"/>
    <n v="69.666499999999999"/>
    <n v="74"/>
    <n v="105.2655"/>
    <n v="82"/>
    <n v="100.8907"/>
    <n v="175"/>
    <n v="100.3342"/>
    <n v="138"/>
    <n v="103.8184"/>
    <n v="214"/>
    <n v="0.41849199999999998"/>
    <n v="191"/>
    <x v="3"/>
  </r>
  <r>
    <x v="62"/>
    <x v="15"/>
    <m/>
    <x v="1"/>
    <m/>
    <x v="0"/>
    <m/>
    <x v="0"/>
    <n v="69.610699999999994"/>
    <n v="87"/>
    <n v="68.915499999999994"/>
    <n v="96"/>
    <n v="99.559100000000001"/>
    <n v="208"/>
    <n v="98.592200000000005"/>
    <n v="215"/>
    <n v="98.957400000000007"/>
    <n v="107"/>
    <n v="101.63800000000001"/>
    <n v="166"/>
    <n v="0.41341"/>
    <n v="194"/>
    <x v="3"/>
  </r>
  <r>
    <x v="138"/>
    <x v="15"/>
    <m/>
    <x v="1"/>
    <m/>
    <x v="0"/>
    <m/>
    <x v="0"/>
    <n v="60.713000000000001"/>
    <n v="322"/>
    <n v="60.188000000000002"/>
    <n v="323"/>
    <n v="102.0196"/>
    <n v="147"/>
    <n v="102.5804"/>
    <n v="138"/>
    <n v="101.5197"/>
    <n v="169"/>
    <n v="106.6371"/>
    <n v="264"/>
    <n v="0.39030700000000002"/>
    <n v="200"/>
    <x v="3"/>
  </r>
  <r>
    <x v="139"/>
    <x v="15"/>
    <m/>
    <x v="1"/>
    <m/>
    <x v="0"/>
    <m/>
    <x v="0"/>
    <n v="73.287300000000002"/>
    <n v="19"/>
    <n v="73.141300000000001"/>
    <n v="13"/>
    <n v="92.703999999999994"/>
    <n v="292"/>
    <n v="90.820499999999996"/>
    <n v="308"/>
    <n v="91.981999999999999"/>
    <n v="10"/>
    <n v="100.9975"/>
    <n v="151"/>
    <n v="0.227687"/>
    <n v="273"/>
    <x v="3"/>
  </r>
  <r>
    <x v="0"/>
    <x v="0"/>
    <s v="x"/>
    <x v="0"/>
    <m/>
    <x v="0"/>
    <m/>
    <x v="0"/>
    <n v="71.308300000000003"/>
    <n v="39"/>
    <n v="71.882800000000003"/>
    <n v="23"/>
    <n v="115.4725"/>
    <n v="1"/>
    <n v="119.2993"/>
    <n v="1"/>
    <n v="96.208200000000005"/>
    <n v="56"/>
    <n v="93.878399999999999"/>
    <n v="31"/>
    <n v="0.94023999999999996"/>
    <n v="1"/>
    <x v="4"/>
  </r>
  <r>
    <x v="23"/>
    <x v="0"/>
    <s v="x"/>
    <x v="0"/>
    <s v="x"/>
    <x v="0"/>
    <m/>
    <x v="0"/>
    <n v="71.499499999999998"/>
    <n v="35"/>
    <n v="71.123000000000005"/>
    <n v="38"/>
    <n v="112.59990000000001"/>
    <n v="9"/>
    <n v="116.20140000000001"/>
    <n v="6"/>
    <n v="91.0946"/>
    <n v="13"/>
    <n v="91.702699999999993"/>
    <n v="16"/>
    <n v="0.93836399999999998"/>
    <n v="2"/>
    <x v="4"/>
  </r>
  <r>
    <x v="121"/>
    <x v="0"/>
    <s v="x"/>
    <x v="0"/>
    <s v="x"/>
    <x v="0"/>
    <m/>
    <x v="0"/>
    <n v="66.766800000000003"/>
    <n v="178"/>
    <n v="67.383200000000002"/>
    <n v="141"/>
    <n v="112.5262"/>
    <n v="10"/>
    <n v="115.8837"/>
    <n v="7"/>
    <n v="95.116500000000002"/>
    <n v="42"/>
    <n v="92.431799999999996"/>
    <n v="21"/>
    <n v="0.93088300000000002"/>
    <n v="3"/>
    <x v="4"/>
  </r>
  <r>
    <x v="2"/>
    <x v="3"/>
    <m/>
    <x v="1"/>
    <m/>
    <x v="0"/>
    <m/>
    <x v="0"/>
    <n v="69.375299999999996"/>
    <n v="82"/>
    <n v="69.159899999999993"/>
    <n v="83"/>
    <n v="106.61920000000001"/>
    <n v="76"/>
    <n v="108.8579"/>
    <n v="53"/>
    <n v="87.937700000000007"/>
    <n v="2"/>
    <n v="87.126599999999996"/>
    <n v="2"/>
    <n v="0.92829799999999996"/>
    <n v="4"/>
    <x v="4"/>
  </r>
  <r>
    <x v="34"/>
    <x v="2"/>
    <s v="x"/>
    <x v="0"/>
    <s v="x"/>
    <x v="0"/>
    <m/>
    <x v="0"/>
    <n v="66.7761"/>
    <n v="177"/>
    <n v="65.569199999999995"/>
    <n v="231"/>
    <n v="113.9547"/>
    <n v="6"/>
    <n v="117.1721"/>
    <n v="3"/>
    <n v="90.458500000000001"/>
    <n v="7"/>
    <n v="94.367800000000003"/>
    <n v="41"/>
    <n v="0.92337400000000003"/>
    <n v="5"/>
    <x v="4"/>
  </r>
  <r>
    <x v="11"/>
    <x v="3"/>
    <s v="x"/>
    <x v="1"/>
    <m/>
    <x v="0"/>
    <m/>
    <x v="0"/>
    <n v="63.590699999999998"/>
    <n v="287"/>
    <n v="63.753"/>
    <n v="281"/>
    <n v="109.9195"/>
    <n v="32"/>
    <n v="113.3377"/>
    <n v="15"/>
    <n v="91.848799999999997"/>
    <n v="17"/>
    <n v="91.653300000000002"/>
    <n v="14"/>
    <n v="0.91998400000000002"/>
    <n v="6"/>
    <x v="4"/>
  </r>
  <r>
    <x v="4"/>
    <x v="4"/>
    <s v="x"/>
    <x v="0"/>
    <s v="x"/>
    <x v="1"/>
    <s v="x"/>
    <x v="1"/>
    <n v="69.216999999999999"/>
    <n v="87"/>
    <n v="68.694500000000005"/>
    <n v="97"/>
    <n v="113.9862"/>
    <n v="5"/>
    <n v="113.8817"/>
    <n v="14"/>
    <n v="93.253399999999999"/>
    <n v="25"/>
    <n v="92.112099999999998"/>
    <n v="18"/>
    <n v="0.91981000000000002"/>
    <n v="7"/>
    <x v="4"/>
  </r>
  <r>
    <x v="32"/>
    <x v="2"/>
    <s v="x"/>
    <x v="0"/>
    <s v="x"/>
    <x v="1"/>
    <s v="x"/>
    <x v="0"/>
    <n v="62.642099999999999"/>
    <n v="305"/>
    <n v="62.884700000000002"/>
    <n v="300"/>
    <n v="109.3432"/>
    <n v="36"/>
    <n v="112.3334"/>
    <n v="22"/>
    <n v="93.693299999999994"/>
    <n v="29"/>
    <n v="91.199200000000005"/>
    <n v="10"/>
    <n v="0.91659000000000002"/>
    <n v="8"/>
    <x v="4"/>
  </r>
  <r>
    <x v="15"/>
    <x v="2"/>
    <s v="x"/>
    <x v="1"/>
    <m/>
    <x v="0"/>
    <m/>
    <x v="0"/>
    <n v="66.170900000000003"/>
    <n v="205"/>
    <n v="66.723500000000001"/>
    <n v="173"/>
    <n v="111.42400000000001"/>
    <n v="18"/>
    <n v="112.81010000000001"/>
    <n v="17"/>
    <n v="94.879599999999996"/>
    <n v="40"/>
    <n v="91.872900000000001"/>
    <n v="17"/>
    <n v="0.91379999999999995"/>
    <n v="9"/>
    <x v="4"/>
  </r>
  <r>
    <x v="95"/>
    <x v="4"/>
    <s v="x"/>
    <x v="1"/>
    <m/>
    <x v="0"/>
    <m/>
    <x v="0"/>
    <n v="72.674599999999998"/>
    <n v="19"/>
    <n v="72.287999999999997"/>
    <n v="20"/>
    <n v="111.0668"/>
    <n v="24"/>
    <n v="115.2469"/>
    <n v="10"/>
    <n v="95.795299999999997"/>
    <n v="50"/>
    <n v="93.917599999999993"/>
    <n v="32"/>
    <n v="0.913219"/>
    <n v="10"/>
    <x v="4"/>
  </r>
  <r>
    <x v="69"/>
    <x v="0"/>
    <s v="x"/>
    <x v="0"/>
    <s v="x"/>
    <x v="0"/>
    <m/>
    <x v="0"/>
    <n v="73.982600000000005"/>
    <n v="9"/>
    <n v="72.977999999999994"/>
    <n v="13"/>
    <n v="109.3103"/>
    <n v="37"/>
    <n v="109.6311"/>
    <n v="41"/>
    <n v="88.944100000000006"/>
    <n v="5"/>
    <n v="89.612300000000005"/>
    <n v="4"/>
    <n v="0.910416"/>
    <n v="11"/>
    <x v="4"/>
  </r>
  <r>
    <x v="13"/>
    <x v="1"/>
    <s v="x"/>
    <x v="1"/>
    <m/>
    <x v="0"/>
    <m/>
    <x v="0"/>
    <n v="66.075299999999999"/>
    <n v="209"/>
    <n v="66.022900000000007"/>
    <n v="216"/>
    <n v="108.5515"/>
    <n v="45"/>
    <n v="110.5509"/>
    <n v="32"/>
    <n v="93.987899999999996"/>
    <n v="32"/>
    <n v="90.675200000000004"/>
    <n v="8"/>
    <n v="0.90714099999999998"/>
    <n v="12"/>
    <x v="4"/>
  </r>
  <r>
    <x v="122"/>
    <x v="4"/>
    <m/>
    <x v="1"/>
    <m/>
    <x v="0"/>
    <m/>
    <x v="0"/>
    <n v="66.013499999999993"/>
    <n v="211"/>
    <n v="66.182500000000005"/>
    <n v="212"/>
    <n v="99.189700000000002"/>
    <n v="208"/>
    <n v="102.99769999999999"/>
    <n v="141"/>
    <n v="87.980400000000003"/>
    <n v="3"/>
    <n v="85.888300000000001"/>
    <n v="1"/>
    <n v="0.88983699999999999"/>
    <n v="13"/>
    <x v="4"/>
  </r>
  <r>
    <x v="67"/>
    <x v="3"/>
    <s v="x"/>
    <x v="0"/>
    <s v="x"/>
    <x v="1"/>
    <m/>
    <x v="0"/>
    <n v="69.476900000000001"/>
    <n v="75"/>
    <n v="69.048599999999993"/>
    <n v="89"/>
    <n v="107.0427"/>
    <n v="65"/>
    <n v="110.5226"/>
    <n v="33"/>
    <n v="94.134200000000007"/>
    <n v="34"/>
    <n v="92.165199999999999"/>
    <n v="19"/>
    <n v="0.88981299999999997"/>
    <n v="14"/>
    <x v="4"/>
  </r>
  <r>
    <x v="140"/>
    <x v="6"/>
    <s v="x"/>
    <x v="0"/>
    <m/>
    <x v="0"/>
    <m/>
    <x v="0"/>
    <n v="59.232900000000001"/>
    <n v="328"/>
    <n v="59.089399999999998"/>
    <n v="329"/>
    <n v="111.7182"/>
    <n v="14"/>
    <n v="114.961"/>
    <n v="11"/>
    <n v="99.619200000000006"/>
    <n v="119"/>
    <n v="96.510400000000004"/>
    <n v="66"/>
    <n v="0.88203299999999996"/>
    <n v="15"/>
    <x v="4"/>
  </r>
  <r>
    <x v="141"/>
    <x v="2"/>
    <s v="x"/>
    <x v="1"/>
    <m/>
    <x v="0"/>
    <m/>
    <x v="0"/>
    <n v="73.144599999999997"/>
    <n v="15"/>
    <n v="73.034599999999998"/>
    <n v="12"/>
    <n v="111.4581"/>
    <n v="17"/>
    <n v="115.4075"/>
    <n v="8"/>
    <n v="100.884"/>
    <n v="145"/>
    <n v="97.404799999999994"/>
    <n v="85"/>
    <n v="0.87548300000000001"/>
    <n v="16"/>
    <x v="4"/>
  </r>
  <r>
    <x v="142"/>
    <x v="8"/>
    <m/>
    <x v="1"/>
    <m/>
    <x v="0"/>
    <m/>
    <x v="0"/>
    <n v="68.545500000000004"/>
    <n v="110"/>
    <n v="67.830799999999996"/>
    <n v="122"/>
    <n v="107.9267"/>
    <n v="55"/>
    <n v="110.7842"/>
    <n v="29"/>
    <n v="94.251999999999995"/>
    <n v="36"/>
    <n v="93.981099999999998"/>
    <n v="33"/>
    <n v="0.86894199999999999"/>
    <n v="17"/>
    <x v="4"/>
  </r>
  <r>
    <x v="126"/>
    <x v="5"/>
    <s v="x"/>
    <x v="0"/>
    <m/>
    <x v="0"/>
    <m/>
    <x v="0"/>
    <n v="63.528300000000002"/>
    <n v="290"/>
    <n v="63.573099999999997"/>
    <n v="288"/>
    <n v="110.3706"/>
    <n v="29"/>
    <n v="115.3092"/>
    <n v="9"/>
    <n v="102.0179"/>
    <n v="169"/>
    <n v="98.058700000000002"/>
    <n v="95"/>
    <n v="0.86571500000000001"/>
    <n v="18"/>
    <x v="4"/>
  </r>
  <r>
    <x v="48"/>
    <x v="3"/>
    <s v="x"/>
    <x v="0"/>
    <m/>
    <x v="0"/>
    <m/>
    <x v="0"/>
    <n v="64.7624"/>
    <n v="255"/>
    <n v="63.119399999999999"/>
    <n v="298"/>
    <n v="114.1845"/>
    <n v="2"/>
    <n v="117.2871"/>
    <n v="2"/>
    <n v="102.89870000000001"/>
    <n v="193"/>
    <n v="100.2366"/>
    <n v="131"/>
    <n v="0.85894400000000004"/>
    <n v="19"/>
    <x v="4"/>
  </r>
  <r>
    <x v="108"/>
    <x v="1"/>
    <s v="x"/>
    <x v="0"/>
    <m/>
    <x v="0"/>
    <m/>
    <x v="0"/>
    <n v="72.388900000000007"/>
    <n v="23"/>
    <n v="73.116799999999998"/>
    <n v="11"/>
    <n v="112.41379999999999"/>
    <n v="11"/>
    <n v="113.10120000000001"/>
    <n v="16"/>
    <n v="95.194800000000001"/>
    <n v="44"/>
    <n v="96.715999999999994"/>
    <n v="75"/>
    <n v="0.85812299999999997"/>
    <n v="20"/>
    <x v="4"/>
  </r>
  <r>
    <x v="96"/>
    <x v="1"/>
    <m/>
    <x v="1"/>
    <m/>
    <x v="0"/>
    <m/>
    <x v="0"/>
    <n v="67.146900000000002"/>
    <n v="160"/>
    <n v="67.170500000000004"/>
    <n v="149"/>
    <n v="106.8085"/>
    <n v="72"/>
    <n v="108.3347"/>
    <n v="59"/>
    <n v="93.122100000000003"/>
    <n v="24"/>
    <n v="92.8583"/>
    <n v="25"/>
    <n v="0.85479700000000003"/>
    <n v="21"/>
    <x v="4"/>
  </r>
  <r>
    <x v="143"/>
    <x v="12"/>
    <s v="x"/>
    <x v="0"/>
    <s v="x"/>
    <x v="1"/>
    <m/>
    <x v="0"/>
    <n v="64.144999999999996"/>
    <n v="271"/>
    <n v="64.037499999999994"/>
    <n v="276"/>
    <n v="107.2718"/>
    <n v="63"/>
    <n v="106.43989999999999"/>
    <n v="78"/>
    <n v="90.8172"/>
    <n v="11"/>
    <n v="91.572000000000003"/>
    <n v="12"/>
    <n v="0.84944200000000003"/>
    <n v="22"/>
    <x v="4"/>
  </r>
  <r>
    <x v="144"/>
    <x v="11"/>
    <s v="x"/>
    <x v="0"/>
    <m/>
    <x v="0"/>
    <m/>
    <x v="0"/>
    <n v="69.053700000000006"/>
    <n v="95"/>
    <n v="71.121399999999994"/>
    <n v="39"/>
    <n v="102.36790000000001"/>
    <n v="156"/>
    <n v="104.9757"/>
    <n v="105"/>
    <n v="91.790599999999998"/>
    <n v="16"/>
    <n v="90.327600000000004"/>
    <n v="7"/>
    <n v="0.849194"/>
    <n v="23"/>
    <x v="4"/>
  </r>
  <r>
    <x v="27"/>
    <x v="5"/>
    <m/>
    <x v="1"/>
    <m/>
    <x v="0"/>
    <m/>
    <x v="0"/>
    <n v="65.553399999999996"/>
    <n v="230"/>
    <n v="65.9071"/>
    <n v="221"/>
    <n v="110.0973"/>
    <n v="30"/>
    <n v="114.0908"/>
    <n v="13"/>
    <n v="102.14109999999999"/>
    <n v="173"/>
    <n v="98.360900000000001"/>
    <n v="99"/>
    <n v="0.84632300000000005"/>
    <n v="24"/>
    <x v="4"/>
  </r>
  <r>
    <x v="145"/>
    <x v="10"/>
    <s v="x"/>
    <x v="1"/>
    <m/>
    <x v="0"/>
    <m/>
    <x v="0"/>
    <n v="65.709699999999998"/>
    <n v="223"/>
    <n v="64.945700000000002"/>
    <n v="252"/>
    <n v="104.483"/>
    <n v="121"/>
    <n v="104.3199"/>
    <n v="118"/>
    <n v="91.471199999999996"/>
    <n v="14"/>
    <n v="89.994299999999996"/>
    <n v="5"/>
    <n v="0.84536900000000004"/>
    <n v="25"/>
    <x v="4"/>
  </r>
  <r>
    <x v="6"/>
    <x v="6"/>
    <m/>
    <x v="1"/>
    <m/>
    <x v="0"/>
    <m/>
    <x v="0"/>
    <n v="68.750699999999995"/>
    <n v="104"/>
    <n v="69.898799999999994"/>
    <n v="61"/>
    <n v="106.9834"/>
    <n v="67"/>
    <n v="110.51179999999999"/>
    <n v="34"/>
    <n v="100.23560000000001"/>
    <n v="133"/>
    <n v="95.525999999999996"/>
    <n v="48"/>
    <n v="0.84235099999999996"/>
    <n v="26"/>
    <x v="4"/>
  </r>
  <r>
    <x v="12"/>
    <x v="8"/>
    <s v="x"/>
    <x v="1"/>
    <m/>
    <x v="0"/>
    <m/>
    <x v="0"/>
    <n v="65.629199999999997"/>
    <n v="226"/>
    <n v="65.694199999999995"/>
    <n v="225"/>
    <n v="107.7504"/>
    <n v="57"/>
    <n v="112.72920000000001"/>
    <n v="19"/>
    <n v="100.095"/>
    <n v="128"/>
    <n v="97.733400000000003"/>
    <n v="89"/>
    <n v="0.83774700000000002"/>
    <n v="27"/>
    <x v="4"/>
  </r>
  <r>
    <x v="7"/>
    <x v="5"/>
    <s v="x"/>
    <x v="1"/>
    <m/>
    <x v="0"/>
    <m/>
    <x v="0"/>
    <n v="67.728399999999993"/>
    <n v="139"/>
    <n v="67.868700000000004"/>
    <n v="119"/>
    <n v="104.79640000000001"/>
    <n v="110"/>
    <n v="106.3565"/>
    <n v="79"/>
    <n v="97.434799999999996"/>
    <n v="70"/>
    <n v="92.323499999999996"/>
    <n v="20"/>
    <n v="0.83578799999999998"/>
    <n v="29"/>
    <x v="4"/>
  </r>
  <r>
    <x v="45"/>
    <x v="7"/>
    <m/>
    <x v="1"/>
    <m/>
    <x v="0"/>
    <m/>
    <x v="0"/>
    <n v="64.416499999999999"/>
    <n v="265"/>
    <n v="64.971400000000003"/>
    <n v="250"/>
    <n v="103.3147"/>
    <n v="141"/>
    <n v="104.5585"/>
    <n v="112"/>
    <n v="89.717699999999994"/>
    <n v="6"/>
    <n v="90.995599999999996"/>
    <n v="9"/>
    <n v="0.83170500000000003"/>
    <n v="30"/>
    <x v="4"/>
  </r>
  <r>
    <x v="111"/>
    <x v="9"/>
    <m/>
    <x v="1"/>
    <m/>
    <x v="0"/>
    <m/>
    <x v="0"/>
    <n v="60.872500000000002"/>
    <n v="322"/>
    <n v="61.042700000000004"/>
    <n v="322"/>
    <n v="104.4641"/>
    <n v="122"/>
    <n v="106.7564"/>
    <n v="76"/>
    <n v="94.004199999999997"/>
    <n v="33"/>
    <n v="92.937899999999999"/>
    <n v="26"/>
    <n v="0.83119399999999999"/>
    <n v="31"/>
    <x v="4"/>
  </r>
  <r>
    <x v="41"/>
    <x v="7"/>
    <m/>
    <x v="1"/>
    <m/>
    <x v="0"/>
    <m/>
    <x v="0"/>
    <n v="66.172700000000006"/>
    <n v="204"/>
    <n v="66.721400000000003"/>
    <n v="174"/>
    <n v="106.15949999999999"/>
    <n v="85"/>
    <n v="108.91840000000001"/>
    <n v="52"/>
    <n v="96.905000000000001"/>
    <n v="66"/>
    <n v="94.998000000000005"/>
    <n v="45"/>
    <n v="0.828148"/>
    <n v="34"/>
    <x v="4"/>
  </r>
  <r>
    <x v="44"/>
    <x v="12"/>
    <m/>
    <x v="1"/>
    <m/>
    <x v="0"/>
    <m/>
    <x v="0"/>
    <n v="61.6404"/>
    <n v="318"/>
    <n v="61.677399999999999"/>
    <n v="318"/>
    <n v="97.26"/>
    <n v="242"/>
    <n v="102.11920000000001"/>
    <n v="159"/>
    <n v="88.567700000000002"/>
    <n v="4"/>
    <n v="89.158000000000001"/>
    <n v="3"/>
    <n v="0.82648299999999997"/>
    <n v="35"/>
    <x v="4"/>
  </r>
  <r>
    <x v="146"/>
    <x v="6"/>
    <s v="x"/>
    <x v="0"/>
    <m/>
    <x v="0"/>
    <m/>
    <x v="0"/>
    <n v="63.146700000000003"/>
    <n v="297"/>
    <n v="63.698999999999998"/>
    <n v="283"/>
    <n v="106.6939"/>
    <n v="75"/>
    <n v="110.1734"/>
    <n v="37"/>
    <n v="96.319199999999995"/>
    <n v="58"/>
    <n v="96.306100000000001"/>
    <n v="60"/>
    <n v="0.82448399999999999"/>
    <n v="37"/>
    <x v="4"/>
  </r>
  <r>
    <x v="125"/>
    <x v="8"/>
    <s v="x"/>
    <x v="1"/>
    <m/>
    <x v="0"/>
    <m/>
    <x v="0"/>
    <n v="71.292500000000004"/>
    <n v="40"/>
    <n v="73.337999999999994"/>
    <n v="9"/>
    <n v="109.6585"/>
    <n v="35"/>
    <n v="107.92310000000001"/>
    <n v="63"/>
    <n v="92.320700000000002"/>
    <n v="19"/>
    <n v="94.341399999999993"/>
    <n v="40"/>
    <n v="0.82444099999999998"/>
    <n v="38"/>
    <x v="4"/>
  </r>
  <r>
    <x v="10"/>
    <x v="8"/>
    <s v="x"/>
    <x v="1"/>
    <m/>
    <x v="0"/>
    <m/>
    <x v="0"/>
    <n v="69.292599999999993"/>
    <n v="85"/>
    <n v="69.635400000000004"/>
    <n v="70"/>
    <n v="103.136"/>
    <n v="146"/>
    <n v="107.7834"/>
    <n v="66"/>
    <n v="96.416499999999999"/>
    <n v="60"/>
    <n v="94.305000000000007"/>
    <n v="39"/>
    <n v="0.82292200000000004"/>
    <n v="39"/>
    <x v="4"/>
  </r>
  <r>
    <x v="24"/>
    <x v="9"/>
    <s v="x"/>
    <x v="1"/>
    <m/>
    <x v="0"/>
    <m/>
    <x v="0"/>
    <n v="67.0334"/>
    <n v="164"/>
    <n v="66.235699999999994"/>
    <n v="205"/>
    <n v="110.7269"/>
    <n v="27"/>
    <n v="111.1627"/>
    <n v="27"/>
    <n v="98.840400000000002"/>
    <n v="98"/>
    <n v="97.337500000000006"/>
    <n v="84"/>
    <n v="0.82161600000000001"/>
    <n v="40"/>
    <x v="4"/>
  </r>
  <r>
    <x v="5"/>
    <x v="5"/>
    <m/>
    <x v="1"/>
    <m/>
    <x v="0"/>
    <m/>
    <x v="0"/>
    <n v="63.174100000000003"/>
    <n v="296"/>
    <n v="63.613"/>
    <n v="286"/>
    <n v="108.23399999999999"/>
    <n v="50"/>
    <n v="112.2929"/>
    <n v="23"/>
    <n v="99.773399999999995"/>
    <n v="122"/>
    <n v="99.075699999999998"/>
    <n v="111"/>
    <n v="0.80847100000000005"/>
    <n v="43"/>
    <x v="4"/>
  </r>
  <r>
    <x v="131"/>
    <x v="7"/>
    <s v="x"/>
    <x v="1"/>
    <m/>
    <x v="0"/>
    <m/>
    <x v="0"/>
    <n v="63.104399999999998"/>
    <n v="299"/>
    <n v="63.7286"/>
    <n v="282"/>
    <n v="104.6627"/>
    <n v="114"/>
    <n v="104.5399"/>
    <n v="113"/>
    <n v="87.608000000000004"/>
    <n v="1"/>
    <n v="92.448899999999995"/>
    <n v="22"/>
    <n v="0.80431699999999995"/>
    <n v="45"/>
    <x v="4"/>
  </r>
  <r>
    <x v="103"/>
    <x v="11"/>
    <m/>
    <x v="1"/>
    <m/>
    <x v="0"/>
    <m/>
    <x v="0"/>
    <n v="57.043799999999997"/>
    <n v="332"/>
    <n v="55.973199999999999"/>
    <n v="333"/>
    <n v="111.56699999999999"/>
    <n v="15"/>
    <n v="109.8233"/>
    <n v="40"/>
    <n v="95.624099999999999"/>
    <n v="47"/>
    <n v="97.1721"/>
    <n v="81"/>
    <n v="0.80336799999999997"/>
    <n v="46"/>
    <x v="4"/>
  </r>
  <r>
    <x v="14"/>
    <x v="4"/>
    <s v="x"/>
    <x v="0"/>
    <m/>
    <x v="0"/>
    <m/>
    <x v="0"/>
    <n v="68.882400000000004"/>
    <n v="99"/>
    <n v="67.734399999999994"/>
    <n v="127"/>
    <n v="114.09650000000001"/>
    <n v="3"/>
    <n v="116.2731"/>
    <n v="5"/>
    <n v="103.1721"/>
    <n v="200"/>
    <n v="103.0651"/>
    <n v="186"/>
    <n v="0.80006100000000002"/>
    <n v="47"/>
    <x v="4"/>
  </r>
  <r>
    <x v="68"/>
    <x v="1"/>
    <m/>
    <x v="1"/>
    <m/>
    <x v="0"/>
    <m/>
    <x v="0"/>
    <n v="69.603200000000001"/>
    <n v="71"/>
    <n v="69.593400000000003"/>
    <n v="73"/>
    <n v="103.4564"/>
    <n v="140"/>
    <n v="108.6802"/>
    <n v="54"/>
    <n v="98.109800000000007"/>
    <n v="87"/>
    <n v="96.563599999999994"/>
    <n v="68"/>
    <n v="0.79566000000000003"/>
    <n v="49"/>
    <x v="4"/>
  </r>
  <r>
    <x v="26"/>
    <x v="6"/>
    <m/>
    <x v="1"/>
    <m/>
    <x v="0"/>
    <m/>
    <x v="0"/>
    <n v="64.066100000000006"/>
    <n v="277"/>
    <n v="63.334600000000002"/>
    <n v="292"/>
    <n v="105.6388"/>
    <n v="94"/>
    <n v="108.6733"/>
    <n v="55"/>
    <n v="99.454499999999996"/>
    <n v="115"/>
    <n v="97.045500000000004"/>
    <n v="80"/>
    <n v="0.78607400000000005"/>
    <n v="52"/>
    <x v="4"/>
  </r>
  <r>
    <x v="104"/>
    <x v="7"/>
    <m/>
    <x v="1"/>
    <m/>
    <x v="0"/>
    <m/>
    <x v="0"/>
    <n v="70.249099999999999"/>
    <n v="55"/>
    <n v="70.1858"/>
    <n v="55"/>
    <n v="105.26609999999999"/>
    <n v="101"/>
    <n v="107.881"/>
    <n v="64"/>
    <n v="93.385599999999997"/>
    <n v="26"/>
    <n v="96.568299999999994"/>
    <n v="69"/>
    <n v="0.78142"/>
    <n v="53"/>
    <x v="4"/>
  </r>
  <r>
    <x v="49"/>
    <x v="12"/>
    <m/>
    <x v="1"/>
    <m/>
    <x v="0"/>
    <m/>
    <x v="0"/>
    <n v="67.023200000000003"/>
    <n v="166"/>
    <n v="67.432000000000002"/>
    <n v="136"/>
    <n v="109.8188"/>
    <n v="33"/>
    <n v="110.1537"/>
    <n v="38"/>
    <n v="98.840400000000002"/>
    <n v="99"/>
    <n v="98.811300000000003"/>
    <n v="106"/>
    <n v="0.77723900000000001"/>
    <n v="57"/>
    <x v="4"/>
  </r>
  <r>
    <x v="76"/>
    <x v="12"/>
    <s v="x"/>
    <x v="1"/>
    <m/>
    <x v="0"/>
    <m/>
    <x v="0"/>
    <n v="67.977800000000002"/>
    <n v="130"/>
    <n v="69.346199999999996"/>
    <n v="78"/>
    <n v="107.6327"/>
    <n v="59"/>
    <n v="106.28189999999999"/>
    <n v="84"/>
    <n v="96.125299999999996"/>
    <n v="54"/>
    <n v="95.999300000000005"/>
    <n v="55"/>
    <n v="0.76317599999999997"/>
    <n v="60"/>
    <x v="4"/>
  </r>
  <r>
    <x v="18"/>
    <x v="13"/>
    <m/>
    <x v="1"/>
    <m/>
    <x v="0"/>
    <m/>
    <x v="0"/>
    <n v="65.255099999999999"/>
    <n v="237"/>
    <n v="67.002799999999993"/>
    <n v="158"/>
    <n v="108.8965"/>
    <n v="42"/>
    <n v="108.18980000000001"/>
    <n v="60"/>
    <n v="96.049599999999998"/>
    <n v="51"/>
    <n v="97.923100000000005"/>
    <n v="91"/>
    <n v="0.75889099999999998"/>
    <n v="62"/>
    <x v="4"/>
  </r>
  <r>
    <x v="22"/>
    <x v="10"/>
    <m/>
    <x v="1"/>
    <m/>
    <x v="0"/>
    <m/>
    <x v="0"/>
    <n v="66.752899999999997"/>
    <n v="179"/>
    <n v="67.412199999999999"/>
    <n v="137"/>
    <n v="106.3043"/>
    <n v="83"/>
    <n v="106.3486"/>
    <n v="82"/>
    <n v="96.244600000000005"/>
    <n v="57"/>
    <n v="96.482799999999997"/>
    <n v="63"/>
    <n v="0.75391600000000003"/>
    <n v="64"/>
    <x v="4"/>
  </r>
  <r>
    <x v="147"/>
    <x v="11"/>
    <m/>
    <x v="1"/>
    <m/>
    <x v="0"/>
    <m/>
    <x v="0"/>
    <n v="71.936499999999995"/>
    <n v="27"/>
    <n v="71.164100000000005"/>
    <n v="34"/>
    <n v="111.55540000000001"/>
    <n v="16"/>
    <n v="108.66719999999999"/>
    <n v="56"/>
    <n v="99.9358"/>
    <n v="124"/>
    <n v="98.809899999999999"/>
    <n v="105"/>
    <n v="0.74905100000000002"/>
    <n v="67"/>
    <x v="4"/>
  </r>
  <r>
    <x v="99"/>
    <x v="9"/>
    <m/>
    <x v="1"/>
    <m/>
    <x v="0"/>
    <m/>
    <x v="0"/>
    <n v="66.443100000000001"/>
    <n v="192"/>
    <n v="66.983900000000006"/>
    <n v="159"/>
    <n v="101.07850000000001"/>
    <n v="176"/>
    <n v="105.55670000000001"/>
    <n v="95"/>
    <n v="99.154499999999999"/>
    <n v="108"/>
    <n v="95.984899999999996"/>
    <n v="54"/>
    <n v="0.748977"/>
    <n v="68"/>
    <x v="4"/>
  </r>
  <r>
    <x v="17"/>
    <x v="9"/>
    <s v="x"/>
    <x v="1"/>
    <m/>
    <x v="0"/>
    <m/>
    <x v="0"/>
    <n v="64.725700000000003"/>
    <n v="256"/>
    <n v="64.844200000000001"/>
    <n v="257"/>
    <n v="106.9003"/>
    <n v="69"/>
    <n v="109.1016"/>
    <n v="49"/>
    <n v="103.1665"/>
    <n v="198"/>
    <n v="99.343500000000006"/>
    <n v="117"/>
    <n v="0.74602000000000002"/>
    <n v="69"/>
    <x v="4"/>
  </r>
  <r>
    <x v="84"/>
    <x v="10"/>
    <m/>
    <x v="1"/>
    <m/>
    <x v="0"/>
    <m/>
    <x v="0"/>
    <n v="63.2575"/>
    <n v="294"/>
    <n v="62.517600000000002"/>
    <n v="309"/>
    <n v="111.23180000000001"/>
    <n v="19"/>
    <n v="112.7478"/>
    <n v="18"/>
    <n v="99.929500000000004"/>
    <n v="123"/>
    <n v="102.6657"/>
    <n v="177"/>
    <n v="0.74597500000000005"/>
    <n v="70"/>
    <x v="4"/>
  </r>
  <r>
    <x v="148"/>
    <x v="13"/>
    <m/>
    <x v="1"/>
    <m/>
    <x v="0"/>
    <m/>
    <x v="0"/>
    <n v="67.6935"/>
    <n v="141"/>
    <n v="67.328699999999998"/>
    <n v="143"/>
    <n v="109.2165"/>
    <n v="38"/>
    <n v="107.98690000000001"/>
    <n v="62"/>
    <n v="96.8977"/>
    <n v="65"/>
    <n v="98.346199999999996"/>
    <n v="98"/>
    <n v="0.74562899999999999"/>
    <n v="71"/>
    <x v="4"/>
  </r>
  <r>
    <x v="110"/>
    <x v="11"/>
    <m/>
    <x v="1"/>
    <m/>
    <x v="0"/>
    <m/>
    <x v="0"/>
    <n v="65.556100000000001"/>
    <n v="229"/>
    <n v="64.415400000000005"/>
    <n v="265"/>
    <n v="111.2239"/>
    <n v="20"/>
    <n v="107.664"/>
    <n v="68"/>
    <n v="95.744500000000002"/>
    <n v="49"/>
    <n v="98.812600000000003"/>
    <n v="107"/>
    <n v="0.72841199999999995"/>
    <n v="77"/>
    <x v="4"/>
  </r>
  <r>
    <x v="63"/>
    <x v="14"/>
    <m/>
    <x v="1"/>
    <m/>
    <x v="0"/>
    <m/>
    <x v="0"/>
    <n v="65.9529"/>
    <n v="212"/>
    <n v="66.257400000000004"/>
    <n v="201"/>
    <n v="108.7847"/>
    <n v="43"/>
    <n v="102.0475"/>
    <n v="160"/>
    <n v="91.735600000000005"/>
    <n v="15"/>
    <n v="94.593400000000003"/>
    <n v="43"/>
    <n v="0.70522099999999999"/>
    <n v="87"/>
    <x v="4"/>
  </r>
  <r>
    <x v="58"/>
    <x v="13"/>
    <m/>
    <x v="1"/>
    <m/>
    <x v="0"/>
    <m/>
    <x v="0"/>
    <n v="64.530199999999994"/>
    <n v="261"/>
    <n v="65.0017"/>
    <n v="248"/>
    <n v="108.9603"/>
    <n v="41"/>
    <n v="102.73560000000001"/>
    <n v="149"/>
    <n v="94.208500000000001"/>
    <n v="35"/>
    <n v="95.452699999999993"/>
    <n v="47"/>
    <n v="0.69963600000000004"/>
    <n v="89"/>
    <x v="4"/>
  </r>
  <r>
    <x v="62"/>
    <x v="10"/>
    <s v="x"/>
    <x v="1"/>
    <m/>
    <x v="0"/>
    <m/>
    <x v="0"/>
    <n v="69.058300000000003"/>
    <n v="94"/>
    <n v="67.601900000000001"/>
    <n v="130"/>
    <n v="111.8723"/>
    <n v="13"/>
    <n v="109.1174"/>
    <n v="48"/>
    <n v="101.62739999999999"/>
    <n v="161"/>
    <n v="101.6682"/>
    <n v="157"/>
    <n v="0.69278300000000004"/>
    <n v="90"/>
    <x v="4"/>
  </r>
  <r>
    <x v="149"/>
    <x v="13"/>
    <s v="x"/>
    <x v="1"/>
    <m/>
    <x v="0"/>
    <m/>
    <x v="0"/>
    <n v="70.110399999999998"/>
    <n v="58"/>
    <n v="69.218299999999999"/>
    <n v="81"/>
    <n v="106.8762"/>
    <n v="70"/>
    <n v="105.88200000000001"/>
    <n v="88"/>
    <n v="98.167199999999994"/>
    <n v="88"/>
    <n v="99.325999999999993"/>
    <n v="116"/>
    <n v="0.67591500000000004"/>
    <n v="93"/>
    <x v="4"/>
  </r>
  <r>
    <x v="42"/>
    <x v="14"/>
    <m/>
    <x v="1"/>
    <m/>
    <x v="0"/>
    <m/>
    <x v="0"/>
    <n v="65.292400000000001"/>
    <n v="235"/>
    <n v="66.189300000000003"/>
    <n v="210"/>
    <n v="103.949"/>
    <n v="132"/>
    <n v="99.131"/>
    <n v="214"/>
    <n v="90.461799999999997"/>
    <n v="8"/>
    <n v="93.626000000000005"/>
    <n v="29"/>
    <n v="0.65859400000000001"/>
    <n v="101"/>
    <x v="4"/>
  </r>
  <r>
    <x v="150"/>
    <x v="15"/>
    <m/>
    <x v="1"/>
    <m/>
    <x v="0"/>
    <m/>
    <x v="0"/>
    <n v="68.654399999999995"/>
    <n v="108"/>
    <n v="68.482100000000003"/>
    <n v="106"/>
    <n v="108.4927"/>
    <n v="46"/>
    <n v="104.7593"/>
    <n v="109"/>
    <n v="98.620500000000007"/>
    <n v="94"/>
    <n v="100.3129"/>
    <n v="132"/>
    <n v="0.62217100000000003"/>
    <n v="118"/>
    <x v="4"/>
  </r>
  <r>
    <x v="53"/>
    <x v="14"/>
    <m/>
    <x v="1"/>
    <m/>
    <x v="0"/>
    <m/>
    <x v="0"/>
    <n v="67.540000000000006"/>
    <n v="146"/>
    <n v="67.165300000000002"/>
    <n v="150"/>
    <n v="110.9961"/>
    <n v="25"/>
    <n v="108.9734"/>
    <n v="51"/>
    <n v="102.4421"/>
    <n v="181"/>
    <n v="105.248"/>
    <n v="227"/>
    <n v="0.598692"/>
    <n v="126"/>
    <x v="4"/>
  </r>
  <r>
    <x v="151"/>
    <x v="15"/>
    <m/>
    <x v="1"/>
    <m/>
    <x v="0"/>
    <m/>
    <x v="0"/>
    <n v="64.127600000000001"/>
    <n v="273"/>
    <n v="65.224900000000005"/>
    <n v="241"/>
    <n v="106.4503"/>
    <n v="78"/>
    <n v="104.5827"/>
    <n v="111"/>
    <n v="99.312600000000003"/>
    <n v="112"/>
    <n v="102.5629"/>
    <n v="176"/>
    <n v="0.55583499999999997"/>
    <n v="132"/>
    <x v="4"/>
  </r>
  <r>
    <x v="152"/>
    <x v="14"/>
    <m/>
    <x v="1"/>
    <m/>
    <x v="0"/>
    <m/>
    <x v="0"/>
    <n v="71.881100000000004"/>
    <n v="29"/>
    <n v="69.950100000000006"/>
    <n v="58"/>
    <n v="112.11920000000001"/>
    <n v="12"/>
    <n v="107.0975"/>
    <n v="73"/>
    <n v="103.8058"/>
    <n v="217"/>
    <n v="106.8052"/>
    <n v="260"/>
    <n v="0.50785899999999995"/>
    <n v="153"/>
    <x v="4"/>
  </r>
  <r>
    <x v="116"/>
    <x v="15"/>
    <m/>
    <x v="1"/>
    <m/>
    <x v="0"/>
    <m/>
    <x v="0"/>
    <n v="65.804299999999998"/>
    <n v="220"/>
    <n v="66.266900000000007"/>
    <n v="198"/>
    <n v="96.303100000000001"/>
    <n v="255"/>
    <n v="95.327200000000005"/>
    <n v="271"/>
    <n v="94.760999999999996"/>
    <n v="39"/>
    <n v="96.851500000000001"/>
    <n v="76"/>
    <n v="0.45451799999999998"/>
    <n v="173"/>
    <x v="4"/>
  </r>
  <r>
    <x v="153"/>
    <x v="15"/>
    <m/>
    <x v="1"/>
    <m/>
    <x v="0"/>
    <m/>
    <x v="0"/>
    <n v="68.303200000000004"/>
    <n v="122"/>
    <n v="66.913799999999995"/>
    <n v="163"/>
    <n v="95.180899999999994"/>
    <n v="280"/>
    <n v="95.065399999999997"/>
    <n v="275"/>
    <n v="93.650400000000005"/>
    <n v="28"/>
    <n v="97.325100000000006"/>
    <n v="83"/>
    <n v="0.432869"/>
    <n v="187"/>
    <x v="4"/>
  </r>
  <r>
    <x v="54"/>
    <x v="15"/>
    <m/>
    <x v="1"/>
    <m/>
    <x v="0"/>
    <m/>
    <x v="0"/>
    <n v="69.427000000000007"/>
    <n v="79"/>
    <n v="70.230500000000006"/>
    <n v="51"/>
    <n v="96.286600000000007"/>
    <n v="257"/>
    <n v="91.748900000000006"/>
    <n v="312"/>
    <n v="91.850300000000004"/>
    <n v="18"/>
    <n v="100.4858"/>
    <n v="138"/>
    <n v="0.25998399999999999"/>
    <n v="263"/>
    <x v="4"/>
  </r>
  <r>
    <x v="95"/>
    <x v="0"/>
    <s v="x"/>
    <x v="0"/>
    <s v="x"/>
    <x v="0"/>
    <m/>
    <x v="0"/>
    <n v="73.9268"/>
    <n v="10"/>
    <n v="72.983199999999997"/>
    <n v="9"/>
    <n v="116.3077"/>
    <n v="2"/>
    <n v="118.08580000000001"/>
    <n v="4"/>
    <n v="91.968299999999999"/>
    <n v="10"/>
    <n v="90.4833"/>
    <n v="8"/>
    <n v="0.955291"/>
    <n v="1"/>
    <x v="5"/>
  </r>
  <r>
    <x v="15"/>
    <x v="0"/>
    <s v="x"/>
    <x v="0"/>
    <s v="x"/>
    <x v="1"/>
    <s v="x"/>
    <x v="0"/>
    <n v="65.146199999999993"/>
    <n v="233"/>
    <n v="65.392200000000003"/>
    <n v="218"/>
    <n v="113.20829999999999"/>
    <n v="14"/>
    <n v="116.5324"/>
    <n v="7"/>
    <n v="92.444299999999998"/>
    <n v="13"/>
    <n v="89.683000000000007"/>
    <n v="5"/>
    <n v="0.95310099999999998"/>
    <n v="2"/>
    <x v="5"/>
  </r>
  <r>
    <x v="2"/>
    <x v="0"/>
    <s v="x"/>
    <x v="0"/>
    <s v="x"/>
    <x v="0"/>
    <m/>
    <x v="0"/>
    <n v="69.486400000000003"/>
    <n v="79"/>
    <n v="69.596500000000006"/>
    <n v="65"/>
    <n v="111.56480000000001"/>
    <n v="25"/>
    <n v="112.3509"/>
    <n v="30"/>
    <n v="86.624600000000001"/>
    <n v="1"/>
    <n v="87.437799999999996"/>
    <n v="1"/>
    <n v="0.94700200000000001"/>
    <n v="3"/>
    <x v="5"/>
  </r>
  <r>
    <x v="140"/>
    <x v="2"/>
    <s v="x"/>
    <x v="0"/>
    <s v="x"/>
    <x v="1"/>
    <m/>
    <x v="0"/>
    <n v="59.715200000000003"/>
    <n v="328"/>
    <n v="60.222299999999997"/>
    <n v="327"/>
    <n v="115.3203"/>
    <n v="6"/>
    <n v="118.5962"/>
    <n v="2"/>
    <n v="95.349400000000003"/>
    <n v="37"/>
    <n v="92.455600000000004"/>
    <n v="14"/>
    <n v="0.94601000000000002"/>
    <n v="4"/>
    <x v="5"/>
  </r>
  <r>
    <x v="4"/>
    <x v="0"/>
    <s v="x"/>
    <x v="0"/>
    <s v="x"/>
    <x v="1"/>
    <s v="x"/>
    <x v="1"/>
    <n v="67.157700000000006"/>
    <n v="155"/>
    <n v="66.382000000000005"/>
    <n v="178"/>
    <n v="117.7637"/>
    <n v="1"/>
    <n v="118.38339999999999"/>
    <n v="3"/>
    <n v="91.511300000000006"/>
    <n v="7"/>
    <n v="92.692499999999995"/>
    <n v="18"/>
    <n v="0.94339399999999995"/>
    <n v="5"/>
    <x v="5"/>
  </r>
  <r>
    <x v="145"/>
    <x v="4"/>
    <s v="x"/>
    <x v="0"/>
    <m/>
    <x v="0"/>
    <m/>
    <x v="0"/>
    <n v="65.730599999999995"/>
    <n v="214"/>
    <n v="65.616500000000002"/>
    <n v="209"/>
    <n v="114.7877"/>
    <n v="8"/>
    <n v="116.82429999999999"/>
    <n v="6"/>
    <n v="89.453299999999999"/>
    <n v="3"/>
    <n v="92.521799999999999"/>
    <n v="15"/>
    <n v="0.93596199999999996"/>
    <n v="6"/>
    <x v="5"/>
  </r>
  <r>
    <x v="41"/>
    <x v="2"/>
    <m/>
    <x v="1"/>
    <m/>
    <x v="0"/>
    <m/>
    <x v="0"/>
    <n v="63.119500000000002"/>
    <n v="292"/>
    <n v="64.251900000000006"/>
    <n v="268"/>
    <n v="110.9032"/>
    <n v="31"/>
    <n v="112.63039999999999"/>
    <n v="29"/>
    <n v="90.682900000000004"/>
    <n v="5"/>
    <n v="89.367800000000003"/>
    <n v="3"/>
    <n v="0.93465799999999999"/>
    <n v="7"/>
    <x v="5"/>
  </r>
  <r>
    <x v="69"/>
    <x v="2"/>
    <s v="x"/>
    <x v="0"/>
    <s v="x"/>
    <x v="0"/>
    <m/>
    <x v="0"/>
    <n v="70.782700000000006"/>
    <n v="49"/>
    <n v="69.438699999999997"/>
    <n v="69"/>
    <n v="112.5087"/>
    <n v="18"/>
    <n v="112.6549"/>
    <n v="28"/>
    <n v="88.045299999999997"/>
    <n v="2"/>
    <n v="90.278400000000005"/>
    <n v="6"/>
    <n v="0.92733500000000002"/>
    <n v="8"/>
    <x v="5"/>
  </r>
  <r>
    <x v="32"/>
    <x v="2"/>
    <s v="x"/>
    <x v="0"/>
    <s v="x"/>
    <x v="1"/>
    <m/>
    <x v="0"/>
    <n v="64.4495"/>
    <n v="258"/>
    <n v="64.299800000000005"/>
    <n v="266"/>
    <n v="111.1692"/>
    <n v="29"/>
    <n v="113.0406"/>
    <n v="25"/>
    <n v="93.773099999999999"/>
    <n v="19"/>
    <n v="91.944000000000003"/>
    <n v="13"/>
    <n v="0.91494200000000003"/>
    <n v="9"/>
    <x v="5"/>
  </r>
  <r>
    <x v="3"/>
    <x v="3"/>
    <s v="x"/>
    <x v="1"/>
    <m/>
    <x v="0"/>
    <m/>
    <x v="0"/>
    <n v="73.519400000000005"/>
    <n v="12"/>
    <n v="72.929100000000005"/>
    <n v="10"/>
    <n v="107.89239999999999"/>
    <n v="65"/>
    <n v="109.9813"/>
    <n v="54"/>
    <n v="91.718100000000007"/>
    <n v="9"/>
    <n v="90.312299999999993"/>
    <n v="7"/>
    <n v="0.90601500000000001"/>
    <n v="10"/>
    <x v="5"/>
  </r>
  <r>
    <x v="0"/>
    <x v="5"/>
    <m/>
    <x v="1"/>
    <m/>
    <x v="0"/>
    <m/>
    <x v="0"/>
    <n v="65.953400000000002"/>
    <n v="208"/>
    <n v="65.564499999999995"/>
    <n v="211"/>
    <n v="105.5341"/>
    <n v="108"/>
    <n v="110.2039"/>
    <n v="49"/>
    <n v="92.008700000000005"/>
    <n v="11"/>
    <n v="90.5274"/>
    <n v="9"/>
    <n v="0.90566500000000005"/>
    <n v="11"/>
    <x v="5"/>
  </r>
  <r>
    <x v="13"/>
    <x v="4"/>
    <s v="x"/>
    <x v="0"/>
    <m/>
    <x v="0"/>
    <m/>
    <x v="0"/>
    <n v="62.7363"/>
    <n v="296"/>
    <n v="62.915999999999997"/>
    <n v="300"/>
    <n v="112.2623"/>
    <n v="19"/>
    <n v="115.1422"/>
    <n v="12"/>
    <n v="98.346800000000002"/>
    <n v="79"/>
    <n v="94.6952"/>
    <n v="35"/>
    <n v="0.90450299999999995"/>
    <n v="12"/>
    <x v="5"/>
  </r>
  <r>
    <x v="66"/>
    <x v="5"/>
    <s v="x"/>
    <x v="1"/>
    <m/>
    <x v="0"/>
    <m/>
    <x v="0"/>
    <n v="65.959100000000007"/>
    <n v="207"/>
    <n v="64.927199999999999"/>
    <n v="238"/>
    <n v="107.075"/>
    <n v="80"/>
    <n v="111.0924"/>
    <n v="41"/>
    <n v="95.086799999999997"/>
    <n v="33"/>
    <n v="92.724599999999995"/>
    <n v="19"/>
    <n v="0.88878500000000005"/>
    <n v="13"/>
    <x v="5"/>
  </r>
  <r>
    <x v="12"/>
    <x v="8"/>
    <s v="x"/>
    <x v="1"/>
    <m/>
    <x v="0"/>
    <m/>
    <x v="0"/>
    <n v="67.864000000000004"/>
    <n v="119"/>
    <n v="67.465299999999999"/>
    <n v="129"/>
    <n v="107.6178"/>
    <n v="69"/>
    <n v="113.31399999999999"/>
    <n v="21"/>
    <n v="98.558499999999995"/>
    <n v="85"/>
    <n v="94.742999999999995"/>
    <n v="37"/>
    <n v="0.88679799999999998"/>
    <n v="14"/>
    <x v="5"/>
  </r>
  <r>
    <x v="34"/>
    <x v="3"/>
    <s v="x"/>
    <x v="1"/>
    <m/>
    <x v="0"/>
    <m/>
    <x v="0"/>
    <n v="69.614900000000006"/>
    <n v="73"/>
    <n v="68.4709"/>
    <n v="99"/>
    <n v="114.5988"/>
    <n v="9"/>
    <n v="118.97369999999999"/>
    <n v="1"/>
    <n v="100.2649"/>
    <n v="122"/>
    <n v="99.514600000000002"/>
    <n v="99"/>
    <n v="0.88633899999999999"/>
    <n v="15"/>
    <x v="5"/>
  </r>
  <r>
    <x v="44"/>
    <x v="3"/>
    <s v="x"/>
    <x v="0"/>
    <m/>
    <x v="0"/>
    <m/>
    <x v="0"/>
    <n v="60.414900000000003"/>
    <n v="325"/>
    <n v="61.757599999999996"/>
    <n v="315"/>
    <n v="104.3302"/>
    <n v="133"/>
    <n v="106.803"/>
    <n v="92"/>
    <n v="94.465500000000006"/>
    <n v="24"/>
    <n v="89.369500000000002"/>
    <n v="4"/>
    <n v="0.885884"/>
    <n v="16"/>
    <x v="5"/>
  </r>
  <r>
    <x v="121"/>
    <x v="7"/>
    <m/>
    <x v="1"/>
    <m/>
    <x v="0"/>
    <m/>
    <x v="0"/>
    <n v="66.653999999999996"/>
    <n v="176"/>
    <n v="66.816299999999998"/>
    <n v="164"/>
    <n v="107.80840000000001"/>
    <n v="66"/>
    <n v="111.0917"/>
    <n v="42"/>
    <n v="96.927000000000007"/>
    <n v="59"/>
    <n v="93.025800000000004"/>
    <n v="21"/>
    <n v="0.88503600000000004"/>
    <n v="17"/>
    <x v="5"/>
  </r>
  <r>
    <x v="25"/>
    <x v="5"/>
    <m/>
    <x v="1"/>
    <m/>
    <x v="0"/>
    <m/>
    <x v="0"/>
    <n v="70.406000000000006"/>
    <n v="59"/>
    <n v="71.079700000000003"/>
    <n v="34"/>
    <n v="115.5459"/>
    <n v="4"/>
    <n v="117.3749"/>
    <n v="5"/>
    <n v="96.417400000000001"/>
    <n v="52"/>
    <n v="98.623099999999994"/>
    <n v="87"/>
    <n v="0.88098299999999996"/>
    <n v="18"/>
    <x v="5"/>
  </r>
  <r>
    <x v="27"/>
    <x v="7"/>
    <s v="x"/>
    <x v="1"/>
    <m/>
    <x v="0"/>
    <m/>
    <x v="0"/>
    <n v="60.942799999999998"/>
    <n v="321"/>
    <n v="62.113900000000001"/>
    <n v="310"/>
    <n v="106.9186"/>
    <n v="83"/>
    <n v="108.8565"/>
    <n v="68"/>
    <n v="93.254199999999997"/>
    <n v="16"/>
    <n v="91.506399999999999"/>
    <n v="12"/>
    <n v="0.88044599999999995"/>
    <n v="19"/>
    <x v="5"/>
  </r>
  <r>
    <x v="8"/>
    <x v="4"/>
    <s v="x"/>
    <x v="0"/>
    <s v="x"/>
    <x v="0"/>
    <m/>
    <x v="0"/>
    <n v="67.273899999999998"/>
    <n v="146"/>
    <n v="66.999899999999997"/>
    <n v="154"/>
    <n v="112.64530000000001"/>
    <n v="16"/>
    <n v="115.7993"/>
    <n v="10"/>
    <n v="97.821899999999999"/>
    <n v="72"/>
    <n v="97.504199999999997"/>
    <n v="62"/>
    <n v="0.87842299999999995"/>
    <n v="20"/>
    <x v="5"/>
  </r>
  <r>
    <x v="7"/>
    <x v="6"/>
    <s v="x"/>
    <x v="1"/>
    <m/>
    <x v="0"/>
    <m/>
    <x v="0"/>
    <n v="64.052899999999994"/>
    <n v="266"/>
    <n v="65.596500000000006"/>
    <n v="210"/>
    <n v="110.2021"/>
    <n v="39"/>
    <n v="113.8082"/>
    <n v="19"/>
    <n v="96.804900000000004"/>
    <n v="56"/>
    <n v="95.917599999999993"/>
    <n v="47"/>
    <n v="0.87726599999999999"/>
    <n v="21"/>
    <x v="5"/>
  </r>
  <r>
    <x v="75"/>
    <x v="1"/>
    <s v="x"/>
    <x v="0"/>
    <m/>
    <x v="0"/>
    <m/>
    <x v="0"/>
    <n v="58.582700000000003"/>
    <n v="332"/>
    <n v="59.301499999999997"/>
    <n v="329"/>
    <n v="115.084"/>
    <n v="7"/>
    <n v="115.33929999999999"/>
    <n v="11"/>
    <n v="94.912300000000002"/>
    <n v="30"/>
    <n v="97.239800000000002"/>
    <n v="60"/>
    <n v="0.87685999999999997"/>
    <n v="22"/>
    <x v="5"/>
  </r>
  <r>
    <x v="46"/>
    <x v="9"/>
    <m/>
    <x v="1"/>
    <m/>
    <x v="0"/>
    <m/>
    <x v="0"/>
    <n v="62.305900000000001"/>
    <n v="305"/>
    <n v="63.665599999999998"/>
    <n v="287"/>
    <n v="107.7688"/>
    <n v="67"/>
    <n v="112.0902"/>
    <n v="32"/>
    <n v="97.056600000000003"/>
    <n v="62"/>
    <n v="94.8733"/>
    <n v="39"/>
    <n v="0.871888"/>
    <n v="23"/>
    <x v="5"/>
  </r>
  <r>
    <x v="154"/>
    <x v="4"/>
    <s v="x"/>
    <x v="1"/>
    <m/>
    <x v="0"/>
    <m/>
    <x v="0"/>
    <n v="61.380600000000001"/>
    <n v="319"/>
    <n v="60.848999999999997"/>
    <n v="322"/>
    <n v="106.2136"/>
    <n v="95"/>
    <n v="108.6062"/>
    <n v="71"/>
    <n v="94.4345"/>
    <n v="23"/>
    <n v="92.665599999999998"/>
    <n v="17"/>
    <n v="0.86121400000000004"/>
    <n v="24"/>
    <x v="5"/>
  </r>
  <r>
    <x v="94"/>
    <x v="9"/>
    <m/>
    <x v="1"/>
    <m/>
    <x v="0"/>
    <m/>
    <x v="0"/>
    <n v="70.211100000000002"/>
    <n v="62"/>
    <n v="68.340999999999994"/>
    <n v="105"/>
    <n v="111.526"/>
    <n v="26"/>
    <n v="114.6063"/>
    <n v="15"/>
    <n v="98.372799999999998"/>
    <n v="80"/>
    <n v="97.820499999999996"/>
    <n v="67"/>
    <n v="0.86071600000000004"/>
    <n v="25"/>
    <x v="5"/>
  </r>
  <r>
    <x v="18"/>
    <x v="7"/>
    <s v="x"/>
    <x v="1"/>
    <m/>
    <x v="0"/>
    <m/>
    <x v="0"/>
    <n v="66.208200000000005"/>
    <n v="197"/>
    <n v="67.458699999999993"/>
    <n v="130"/>
    <n v="115.3751"/>
    <n v="5"/>
    <n v="115.08320000000001"/>
    <n v="13"/>
    <n v="98.071100000000001"/>
    <n v="74"/>
    <n v="98.236800000000002"/>
    <n v="80"/>
    <n v="0.86058500000000004"/>
    <n v="26"/>
    <x v="5"/>
  </r>
  <r>
    <x v="6"/>
    <x v="8"/>
    <m/>
    <x v="1"/>
    <m/>
    <x v="0"/>
    <m/>
    <x v="0"/>
    <n v="67.830600000000004"/>
    <n v="122"/>
    <n v="68.751400000000004"/>
    <n v="89"/>
    <n v="106.4606"/>
    <n v="90"/>
    <n v="110.6636"/>
    <n v="45"/>
    <n v="95.365799999999993"/>
    <n v="38"/>
    <n v="94.593199999999996"/>
    <n v="34"/>
    <n v="0.85869099999999998"/>
    <n v="27"/>
    <x v="5"/>
  </r>
  <r>
    <x v="10"/>
    <x v="8"/>
    <m/>
    <x v="1"/>
    <m/>
    <x v="0"/>
    <m/>
    <x v="0"/>
    <n v="69.067300000000003"/>
    <n v="91"/>
    <n v="69.057000000000002"/>
    <n v="78"/>
    <n v="112.9722"/>
    <n v="15"/>
    <n v="116.083"/>
    <n v="9"/>
    <n v="104.1438"/>
    <n v="206"/>
    <n v="99.773600000000002"/>
    <n v="108"/>
    <n v="0.85082999999999998"/>
    <n v="28"/>
    <x v="5"/>
  </r>
  <r>
    <x v="74"/>
    <x v="7"/>
    <s v="x"/>
    <x v="1"/>
    <m/>
    <x v="0"/>
    <m/>
    <x v="0"/>
    <n v="66.320300000000003"/>
    <n v="193"/>
    <n v="67.866200000000006"/>
    <n v="117"/>
    <n v="105.273"/>
    <n v="114"/>
    <n v="107.5194"/>
    <n v="83"/>
    <n v="95.29"/>
    <n v="36"/>
    <n v="92.662099999999995"/>
    <n v="16"/>
    <n v="0.84686099999999997"/>
    <n v="31"/>
    <x v="5"/>
  </r>
  <r>
    <x v="11"/>
    <x v="10"/>
    <m/>
    <x v="1"/>
    <m/>
    <x v="0"/>
    <m/>
    <x v="0"/>
    <n v="62.406999999999996"/>
    <n v="301"/>
    <n v="62.819099999999999"/>
    <n v="301"/>
    <n v="102.9468"/>
    <n v="156"/>
    <n v="103.11069999999999"/>
    <n v="151"/>
    <n v="91.516800000000003"/>
    <n v="8"/>
    <n v="88.963999999999999"/>
    <n v="2"/>
    <n v="0.84515099999999999"/>
    <n v="33"/>
    <x v="5"/>
  </r>
  <r>
    <x v="142"/>
    <x v="10"/>
    <m/>
    <x v="1"/>
    <m/>
    <x v="0"/>
    <m/>
    <x v="0"/>
    <n v="67.692700000000002"/>
    <n v="127"/>
    <n v="67.363600000000005"/>
    <n v="133"/>
    <n v="105.17959999999999"/>
    <n v="115"/>
    <n v="107.47069999999999"/>
    <n v="84"/>
    <n v="96.941199999999995"/>
    <n v="60"/>
    <n v="93.120900000000006"/>
    <n v="22"/>
    <n v="0.83864399999999995"/>
    <n v="37"/>
    <x v="5"/>
  </r>
  <r>
    <x v="155"/>
    <x v="1"/>
    <s v="x"/>
    <x v="1"/>
    <m/>
    <x v="0"/>
    <m/>
    <x v="0"/>
    <n v="65.590999999999994"/>
    <n v="219"/>
    <n v="64.434700000000007"/>
    <n v="259"/>
    <n v="108.6478"/>
    <n v="52"/>
    <n v="110.0334"/>
    <n v="53"/>
    <n v="98.402100000000004"/>
    <n v="82"/>
    <n v="95.525199999999998"/>
    <n v="43"/>
    <n v="0.83562400000000003"/>
    <n v="38"/>
    <x v="5"/>
  </r>
  <r>
    <x v="141"/>
    <x v="1"/>
    <s v="x"/>
    <x v="0"/>
    <m/>
    <x v="0"/>
    <m/>
    <x v="0"/>
    <n v="73.163600000000002"/>
    <n v="15"/>
    <n v="72.471999999999994"/>
    <n v="19"/>
    <n v="107.3875"/>
    <n v="74"/>
    <n v="111.0303"/>
    <n v="43"/>
    <n v="100.6241"/>
    <n v="133"/>
    <n v="96.422399999999996"/>
    <n v="52"/>
    <n v="0.83510399999999996"/>
    <n v="39"/>
    <x v="5"/>
  </r>
  <r>
    <x v="96"/>
    <x v="6"/>
    <s v="x"/>
    <x v="1"/>
    <m/>
    <x v="0"/>
    <m/>
    <x v="0"/>
    <n v="67.429299999999998"/>
    <n v="138"/>
    <n v="67.192400000000006"/>
    <n v="144"/>
    <n v="114.471"/>
    <n v="10"/>
    <n v="116.18899999999999"/>
    <n v="8"/>
    <n v="99.092799999999997"/>
    <n v="94"/>
    <n v="100.9284"/>
    <n v="135"/>
    <n v="0.83469499999999996"/>
    <n v="40"/>
    <x v="5"/>
  </r>
  <r>
    <x v="70"/>
    <x v="8"/>
    <m/>
    <x v="1"/>
    <m/>
    <x v="0"/>
    <m/>
    <x v="0"/>
    <n v="68.297600000000003"/>
    <n v="104"/>
    <n v="68.625600000000006"/>
    <n v="97"/>
    <n v="112.18040000000001"/>
    <n v="22"/>
    <n v="114.7617"/>
    <n v="14"/>
    <n v="100.9316"/>
    <n v="140"/>
    <n v="99.854799999999997"/>
    <n v="111"/>
    <n v="0.83203400000000005"/>
    <n v="41"/>
    <x v="5"/>
  </r>
  <r>
    <x v="156"/>
    <x v="6"/>
    <s v="x"/>
    <x v="0"/>
    <m/>
    <x v="0"/>
    <m/>
    <x v="0"/>
    <n v="66.799899999999994"/>
    <n v="167"/>
    <n v="66.048299999999998"/>
    <n v="194"/>
    <n v="110.652"/>
    <n v="35"/>
    <n v="109.7692"/>
    <n v="58"/>
    <n v="98.549700000000001"/>
    <n v="84"/>
    <n v="95.803600000000003"/>
    <n v="46"/>
    <n v="0.82705799999999996"/>
    <n v="44"/>
    <x v="5"/>
  </r>
  <r>
    <x v="63"/>
    <x v="12"/>
    <s v="x"/>
    <x v="1"/>
    <m/>
    <x v="0"/>
    <m/>
    <x v="0"/>
    <n v="66.481200000000001"/>
    <n v="184"/>
    <n v="63.134"/>
    <n v="297"/>
    <n v="111.1078"/>
    <n v="30"/>
    <n v="111.95610000000001"/>
    <n v="33"/>
    <n v="94.3566"/>
    <n v="21"/>
    <n v="97.822699999999998"/>
    <n v="68"/>
    <n v="0.82519299999999995"/>
    <n v="45"/>
    <x v="5"/>
  </r>
  <r>
    <x v="14"/>
    <x v="9"/>
    <m/>
    <x v="1"/>
    <m/>
    <x v="0"/>
    <m/>
    <x v="0"/>
    <n v="69.4238"/>
    <n v="82"/>
    <n v="68.130799999999994"/>
    <n v="107"/>
    <n v="112.1884"/>
    <n v="21"/>
    <n v="113.11539999999999"/>
    <n v="23"/>
    <n v="99.366299999999995"/>
    <n v="99"/>
    <n v="99.572100000000006"/>
    <n v="100"/>
    <n v="0.81253299999999995"/>
    <n v="47"/>
    <x v="5"/>
  </r>
  <r>
    <x v="128"/>
    <x v="10"/>
    <m/>
    <x v="1"/>
    <m/>
    <x v="0"/>
    <m/>
    <x v="0"/>
    <n v="65.192800000000005"/>
    <n v="227"/>
    <n v="67.319400000000002"/>
    <n v="137"/>
    <n v="107.2243"/>
    <n v="79"/>
    <n v="107.34"/>
    <n v="85"/>
    <n v="94.813999999999993"/>
    <n v="28"/>
    <n v="94.723500000000001"/>
    <n v="36"/>
    <n v="0.80813599999999997"/>
    <n v="48"/>
    <x v="5"/>
  </r>
  <r>
    <x v="109"/>
    <x v="12"/>
    <s v="x"/>
    <x v="1"/>
    <m/>
    <x v="0"/>
    <m/>
    <x v="0"/>
    <n v="65.147999999999996"/>
    <n v="232"/>
    <n v="66.006200000000007"/>
    <n v="196"/>
    <n v="114.1977"/>
    <n v="11"/>
    <n v="114.0138"/>
    <n v="18"/>
    <n v="98.840400000000002"/>
    <n v="91"/>
    <n v="100.6247"/>
    <n v="124"/>
    <n v="0.80792699999999995"/>
    <n v="49"/>
    <x v="5"/>
  </r>
  <r>
    <x v="9"/>
    <x v="1"/>
    <s v="x"/>
    <x v="0"/>
    <m/>
    <x v="0"/>
    <m/>
    <x v="0"/>
    <n v="67.268000000000001"/>
    <n v="149"/>
    <n v="67.775199999999998"/>
    <n v="121"/>
    <n v="104.4746"/>
    <n v="127"/>
    <n v="109.04949999999999"/>
    <n v="65"/>
    <n v="95.037099999999995"/>
    <n v="31"/>
    <n v="96.358099999999993"/>
    <n v="51"/>
    <n v="0.80579199999999995"/>
    <n v="50"/>
    <x v="5"/>
  </r>
  <r>
    <x v="48"/>
    <x v="6"/>
    <s v="x"/>
    <x v="1"/>
    <m/>
    <x v="0"/>
    <m/>
    <x v="0"/>
    <n v="66.2363"/>
    <n v="196"/>
    <n v="64.754400000000004"/>
    <n v="246"/>
    <n v="111.86660000000001"/>
    <n v="23"/>
    <n v="114.03570000000001"/>
    <n v="17"/>
    <n v="104.72929999999999"/>
    <n v="223"/>
    <n v="100.7944"/>
    <n v="131"/>
    <n v="0.80524899999999999"/>
    <n v="51"/>
    <x v="5"/>
  </r>
  <r>
    <x v="53"/>
    <x v="11"/>
    <m/>
    <x v="1"/>
    <m/>
    <x v="0"/>
    <m/>
    <x v="0"/>
    <n v="72.322199999999995"/>
    <n v="23"/>
    <n v="72.708299999999994"/>
    <n v="13"/>
    <n v="110.748"/>
    <n v="34"/>
    <n v="110.2953"/>
    <n v="47"/>
    <n v="95.092600000000004"/>
    <n v="34"/>
    <n v="97.524799999999999"/>
    <n v="63"/>
    <n v="0.80457400000000001"/>
    <n v="53"/>
    <x v="5"/>
  </r>
  <r>
    <x v="98"/>
    <x v="5"/>
    <s v="x"/>
    <x v="0"/>
    <m/>
    <x v="0"/>
    <m/>
    <x v="0"/>
    <n v="68.407700000000006"/>
    <n v="102"/>
    <n v="67.471699999999998"/>
    <n v="128"/>
    <n v="109.4825"/>
    <n v="43"/>
    <n v="112.9542"/>
    <n v="27"/>
    <n v="103.0196"/>
    <n v="188"/>
    <n v="100.5202"/>
    <n v="119"/>
    <n v="0.79268300000000003"/>
    <n v="58"/>
    <x v="5"/>
  </r>
  <r>
    <x v="157"/>
    <x v="3"/>
    <s v="x"/>
    <x v="1"/>
    <m/>
    <x v="0"/>
    <m/>
    <x v="0"/>
    <n v="70.538899999999998"/>
    <n v="54"/>
    <n v="69.022300000000001"/>
    <n v="80"/>
    <n v="108.9795"/>
    <n v="48"/>
    <n v="109.6875"/>
    <n v="59"/>
    <n v="101.8036"/>
    <n v="159"/>
    <n v="97.9833"/>
    <n v="71"/>
    <n v="0.78543700000000005"/>
    <n v="60"/>
    <x v="5"/>
  </r>
  <r>
    <x v="20"/>
    <x v="12"/>
    <m/>
    <x v="1"/>
    <m/>
    <x v="0"/>
    <m/>
    <x v="0"/>
    <n v="66.122699999999995"/>
    <n v="202"/>
    <n v="66.753399999999999"/>
    <n v="167"/>
    <n v="103.42100000000001"/>
    <n v="151"/>
    <n v="107.2025"/>
    <n v="88"/>
    <n v="99.186300000000003"/>
    <n v="97"/>
    <n v="96.177899999999994"/>
    <n v="50"/>
    <n v="0.77695099999999995"/>
    <n v="63"/>
    <x v="5"/>
  </r>
  <r>
    <x v="28"/>
    <x v="9"/>
    <m/>
    <x v="1"/>
    <m/>
    <x v="0"/>
    <m/>
    <x v="0"/>
    <n v="66.527000000000001"/>
    <n v="183"/>
    <n v="65.695700000000002"/>
    <n v="206"/>
    <n v="106.4256"/>
    <n v="92"/>
    <n v="108.9379"/>
    <n v="67"/>
    <n v="102.6934"/>
    <n v="176"/>
    <n v="98.928299999999993"/>
    <n v="90"/>
    <n v="0.75183199999999994"/>
    <n v="71"/>
    <x v="5"/>
  </r>
  <r>
    <x v="57"/>
    <x v="11"/>
    <m/>
    <x v="1"/>
    <m/>
    <x v="0"/>
    <m/>
    <x v="0"/>
    <n v="62.359499999999997"/>
    <n v="304"/>
    <n v="63.395699999999998"/>
    <n v="293"/>
    <n v="101.68049999999999"/>
    <n v="178"/>
    <n v="101.3128"/>
    <n v="178"/>
    <n v="90.711399999999998"/>
    <n v="6"/>
    <n v="93.212299999999999"/>
    <n v="24"/>
    <n v="0.72278699999999996"/>
    <n v="80"/>
    <x v="5"/>
  </r>
  <r>
    <x v="125"/>
    <x v="12"/>
    <m/>
    <x v="1"/>
    <m/>
    <x v="0"/>
    <m/>
    <x v="0"/>
    <n v="66.816500000000005"/>
    <n v="165"/>
    <n v="67.738299999999995"/>
    <n v="123"/>
    <n v="106.3599"/>
    <n v="94"/>
    <n v="103.5669"/>
    <n v="146"/>
    <n v="96.212100000000007"/>
    <n v="47"/>
    <n v="95.475899999999996"/>
    <n v="42"/>
    <n v="0.71818099999999996"/>
    <n v="82"/>
    <x v="5"/>
  </r>
  <r>
    <x v="150"/>
    <x v="13"/>
    <m/>
    <x v="1"/>
    <m/>
    <x v="0"/>
    <m/>
    <x v="0"/>
    <n v="66.974999999999994"/>
    <n v="159"/>
    <n v="67.290099999999995"/>
    <n v="139"/>
    <n v="106.4855"/>
    <n v="89"/>
    <n v="105.82689999999999"/>
    <n v="110"/>
    <n v="97.073800000000006"/>
    <n v="63"/>
    <n v="97.717200000000005"/>
    <n v="65"/>
    <n v="0.71440199999999998"/>
    <n v="83"/>
    <x v="5"/>
  </r>
  <r>
    <x v="158"/>
    <x v="13"/>
    <m/>
    <x v="1"/>
    <m/>
    <x v="0"/>
    <m/>
    <x v="0"/>
    <n v="62.1143"/>
    <n v="308"/>
    <n v="63.636200000000002"/>
    <n v="288"/>
    <n v="103.03440000000001"/>
    <n v="155"/>
    <n v="103.1979"/>
    <n v="150"/>
    <n v="98.255200000000002"/>
    <n v="77"/>
    <n v="95.635300000000001"/>
    <n v="44"/>
    <n v="0.70583399999999996"/>
    <n v="85"/>
    <x v="5"/>
  </r>
  <r>
    <x v="42"/>
    <x v="13"/>
    <m/>
    <x v="1"/>
    <m/>
    <x v="0"/>
    <m/>
    <x v="0"/>
    <n v="68.075900000000004"/>
    <n v="111"/>
    <n v="69.319500000000005"/>
    <n v="71"/>
    <n v="108.8584"/>
    <n v="49"/>
    <n v="107.8532"/>
    <n v="79"/>
    <n v="98.381699999999995"/>
    <n v="81"/>
    <n v="100.2092"/>
    <n v="115"/>
    <n v="0.69959700000000002"/>
    <n v="88"/>
    <x v="5"/>
  </r>
  <r>
    <x v="159"/>
    <x v="14"/>
    <m/>
    <x v="1"/>
    <m/>
    <x v="0"/>
    <m/>
    <x v="0"/>
    <n v="69.531199999999998"/>
    <n v="76"/>
    <n v="68.938900000000004"/>
    <n v="82"/>
    <n v="114.00530000000001"/>
    <n v="12"/>
    <n v="112.17270000000001"/>
    <n v="31"/>
    <n v="101.1652"/>
    <n v="141"/>
    <n v="104.81910000000001"/>
    <n v="209"/>
    <n v="0.68562400000000001"/>
    <n v="95"/>
    <x v="5"/>
  </r>
  <r>
    <x v="160"/>
    <x v="13"/>
    <m/>
    <x v="1"/>
    <m/>
    <x v="0"/>
    <m/>
    <x v="0"/>
    <n v="59.299300000000002"/>
    <n v="330"/>
    <n v="59.204999999999998"/>
    <n v="331"/>
    <n v="99.946600000000004"/>
    <n v="208"/>
    <n v="103.254"/>
    <n v="149"/>
    <n v="96.359499999999997"/>
    <n v="49"/>
    <n v="96.572699999999998"/>
    <n v="54"/>
    <n v="0.68337000000000003"/>
    <n v="97"/>
    <x v="5"/>
  </r>
  <r>
    <x v="161"/>
    <x v="11"/>
    <m/>
    <x v="1"/>
    <m/>
    <x v="0"/>
    <m/>
    <x v="0"/>
    <n v="72.163700000000006"/>
    <n v="24"/>
    <n v="70.552499999999995"/>
    <n v="42"/>
    <n v="107.33110000000001"/>
    <n v="77"/>
    <n v="105.97709999999999"/>
    <n v="105"/>
    <n v="99.730999999999995"/>
    <n v="108"/>
    <n v="99.252499999999998"/>
    <n v="93"/>
    <n v="0.68002700000000005"/>
    <n v="98"/>
    <x v="5"/>
  </r>
  <r>
    <x v="162"/>
    <x v="10"/>
    <m/>
    <x v="1"/>
    <m/>
    <x v="0"/>
    <m/>
    <x v="0"/>
    <n v="72.797899999999998"/>
    <n v="19"/>
    <n v="71.997500000000002"/>
    <n v="24"/>
    <n v="110.8599"/>
    <n v="32"/>
    <n v="110.0711"/>
    <n v="52"/>
    <n v="101.3848"/>
    <n v="148"/>
    <n v="104.9319"/>
    <n v="213"/>
    <n v="0.63410699999999998"/>
    <n v="107"/>
    <x v="5"/>
  </r>
  <r>
    <x v="151"/>
    <x v="11"/>
    <m/>
    <x v="1"/>
    <m/>
    <x v="0"/>
    <m/>
    <x v="0"/>
    <n v="63.603200000000001"/>
    <n v="279"/>
    <n v="64.946899999999999"/>
    <n v="236"/>
    <n v="106.8329"/>
    <n v="85"/>
    <n v="105.8143"/>
    <n v="111"/>
    <n v="100.6185"/>
    <n v="132"/>
    <n v="101.10339999999999"/>
    <n v="136"/>
    <n v="0.62802100000000005"/>
    <n v="110"/>
    <x v="5"/>
  </r>
  <r>
    <x v="152"/>
    <x v="14"/>
    <m/>
    <x v="1"/>
    <m/>
    <x v="0"/>
    <m/>
    <x v="0"/>
    <n v="67.2059"/>
    <n v="152"/>
    <n v="67.378799999999998"/>
    <n v="132"/>
    <n v="107.36020000000001"/>
    <n v="76"/>
    <n v="104.4161"/>
    <n v="134"/>
    <n v="94.826700000000002"/>
    <n v="29"/>
    <n v="99.827600000000004"/>
    <n v="110"/>
    <n v="0.62639800000000001"/>
    <n v="111"/>
    <x v="5"/>
  </r>
  <r>
    <x v="163"/>
    <x v="14"/>
    <m/>
    <x v="1"/>
    <m/>
    <x v="0"/>
    <m/>
    <x v="0"/>
    <n v="70.520499999999998"/>
    <n v="55"/>
    <n v="70.170199999999994"/>
    <n v="49"/>
    <n v="105.9134"/>
    <n v="103"/>
    <n v="101.0235"/>
    <n v="187"/>
    <n v="100.32299999999999"/>
    <n v="125"/>
    <n v="101.9812"/>
    <n v="159"/>
    <n v="0.47290100000000002"/>
    <n v="161"/>
    <x v="5"/>
  </r>
  <r>
    <x v="56"/>
    <x v="15"/>
    <m/>
    <x v="1"/>
    <m/>
    <x v="0"/>
    <m/>
    <x v="0"/>
    <n v="64.977599999999995"/>
    <n v="245"/>
    <n v="64.577500000000001"/>
    <n v="253"/>
    <n v="106.1309"/>
    <n v="98"/>
    <n v="102.55540000000001"/>
    <n v="162"/>
    <n v="100.6046"/>
    <n v="131"/>
    <n v="103.5301"/>
    <n v="177"/>
    <n v="0.47282999999999997"/>
    <n v="162"/>
    <x v="5"/>
  </r>
  <r>
    <x v="132"/>
    <x v="15"/>
    <m/>
    <x v="1"/>
    <m/>
    <x v="0"/>
    <m/>
    <x v="0"/>
    <n v="69.233999999999995"/>
    <n v="86"/>
    <n v="69.322699999999998"/>
    <n v="70"/>
    <n v="108.4158"/>
    <n v="54"/>
    <n v="105.5827"/>
    <n v="114"/>
    <n v="105.3049"/>
    <n v="238"/>
    <n v="107.873"/>
    <n v="269"/>
    <n v="0.438614"/>
    <n v="175"/>
    <x v="5"/>
  </r>
  <r>
    <x v="134"/>
    <x v="15"/>
    <m/>
    <x v="1"/>
    <m/>
    <x v="0"/>
    <m/>
    <x v="0"/>
    <n v="61.728999999999999"/>
    <n v="314"/>
    <n v="62.029200000000003"/>
    <n v="312"/>
    <n v="104.3443"/>
    <n v="131"/>
    <n v="100.227"/>
    <n v="200"/>
    <n v="101.26860000000001"/>
    <n v="142"/>
    <n v="103.0133"/>
    <n v="171"/>
    <n v="0.42181299999999999"/>
    <n v="181"/>
    <x v="5"/>
  </r>
  <r>
    <x v="81"/>
    <x v="14"/>
    <m/>
    <x v="1"/>
    <m/>
    <x v="0"/>
    <m/>
    <x v="0"/>
    <n v="67.290099999999995"/>
    <n v="145"/>
    <n v="66.2393"/>
    <n v="187"/>
    <n v="104.5076"/>
    <n v="126"/>
    <n v="100.9254"/>
    <n v="190"/>
    <n v="103.5035"/>
    <n v="196"/>
    <n v="103.73139999999999"/>
    <n v="184"/>
    <n v="0.42180600000000001"/>
    <n v="182"/>
    <x v="5"/>
  </r>
  <r>
    <x v="120"/>
    <x v="15"/>
    <m/>
    <x v="1"/>
    <m/>
    <x v="0"/>
    <m/>
    <x v="0"/>
    <n v="67.653700000000001"/>
    <n v="129"/>
    <n v="68.378299999999996"/>
    <n v="103"/>
    <n v="101.1053"/>
    <n v="190"/>
    <n v="99.930499999999995"/>
    <n v="206"/>
    <n v="103.17059999999999"/>
    <n v="192"/>
    <n v="108.1392"/>
    <n v="277"/>
    <n v="0.287437"/>
    <n v="240"/>
    <x v="5"/>
  </r>
  <r>
    <x v="164"/>
    <x v="15"/>
    <m/>
    <x v="1"/>
    <m/>
    <x v="0"/>
    <m/>
    <x v="0"/>
    <n v="71.892300000000006"/>
    <n v="28"/>
    <n v="70.785600000000002"/>
    <n v="39"/>
    <n v="98.696200000000005"/>
    <n v="229"/>
    <n v="99.197699999999998"/>
    <n v="213"/>
    <n v="99.729100000000003"/>
    <n v="107"/>
    <n v="107.77290000000001"/>
    <n v="267"/>
    <n v="0.27818500000000002"/>
    <n v="248"/>
    <x v="5"/>
  </r>
  <r>
    <x v="2"/>
    <x v="0"/>
    <s v="x"/>
    <x v="0"/>
    <s v="x"/>
    <x v="1"/>
    <s v="x"/>
    <x v="1"/>
    <n v="68.722300000000004"/>
    <n v="108"/>
    <n v="68.898200000000003"/>
    <n v="98"/>
    <n v="117.8681"/>
    <n v="1"/>
    <n v="120.8601"/>
    <n v="1"/>
    <n v="89.5929"/>
    <n v="5"/>
    <n v="89.791600000000003"/>
    <n v="6"/>
    <n v="0.96823599999999999"/>
    <n v="1"/>
    <x v="6"/>
  </r>
  <r>
    <x v="69"/>
    <x v="0"/>
    <s v="x"/>
    <x v="0"/>
    <s v="x"/>
    <x v="1"/>
    <m/>
    <x v="0"/>
    <n v="70.485799999999998"/>
    <n v="57"/>
    <n v="69.744600000000005"/>
    <n v="74"/>
    <n v="112.8163"/>
    <n v="17"/>
    <n v="111.949"/>
    <n v="30"/>
    <n v="85.718100000000007"/>
    <n v="1"/>
    <n v="85.855999999999995"/>
    <n v="1"/>
    <n v="0.95485900000000001"/>
    <n v="2"/>
    <x v="6"/>
  </r>
  <r>
    <x v="32"/>
    <x v="0"/>
    <s v="x"/>
    <x v="0"/>
    <s v="x"/>
    <x v="1"/>
    <m/>
    <x v="0"/>
    <n v="64.998199999999997"/>
    <n v="250"/>
    <n v="65.5595"/>
    <n v="216"/>
    <n v="113.7163"/>
    <n v="10"/>
    <n v="116.1109"/>
    <n v="6"/>
    <n v="91.734300000000005"/>
    <n v="8"/>
    <n v="89.335099999999997"/>
    <n v="4"/>
    <n v="0.95323599999999997"/>
    <n v="3"/>
    <x v="6"/>
  </r>
  <r>
    <x v="41"/>
    <x v="4"/>
    <s v="x"/>
    <x v="0"/>
    <m/>
    <x v="0"/>
    <m/>
    <x v="0"/>
    <n v="62.093600000000002"/>
    <n v="312"/>
    <n v="62.7376"/>
    <n v="306"/>
    <n v="108.68600000000001"/>
    <n v="55"/>
    <n v="112.3212"/>
    <n v="28"/>
    <n v="86.642700000000005"/>
    <n v="2"/>
    <n v="87.367699999999999"/>
    <n v="2"/>
    <n v="0.94731100000000001"/>
    <n v="4"/>
    <x v="6"/>
  </r>
  <r>
    <x v="95"/>
    <x v="0"/>
    <s v="x"/>
    <x v="0"/>
    <s v="x"/>
    <x v="1"/>
    <m/>
    <x v="0"/>
    <n v="75.893000000000001"/>
    <n v="3"/>
    <n v="74.418700000000001"/>
    <n v="7"/>
    <n v="115.3951"/>
    <n v="3"/>
    <n v="118.7927"/>
    <n v="3"/>
    <n v="94.904200000000003"/>
    <n v="33"/>
    <n v="93.24"/>
    <n v="23"/>
    <n v="0.94187799999999999"/>
    <n v="5"/>
    <x v="6"/>
  </r>
  <r>
    <x v="0"/>
    <x v="2"/>
    <s v="x"/>
    <x v="1"/>
    <m/>
    <x v="0"/>
    <m/>
    <x v="0"/>
    <n v="74.276799999999994"/>
    <n v="11"/>
    <n v="73.275199999999998"/>
    <n v="13"/>
    <n v="112.98390000000001"/>
    <n v="14"/>
    <n v="114.88890000000001"/>
    <n v="9"/>
    <n v="93.064999999999998"/>
    <n v="20"/>
    <n v="90.842699999999994"/>
    <n v="10"/>
    <n v="0.93706299999999998"/>
    <n v="6"/>
    <x v="6"/>
  </r>
  <r>
    <x v="34"/>
    <x v="2"/>
    <s v="x"/>
    <x v="0"/>
    <s v="x"/>
    <x v="0"/>
    <m/>
    <x v="0"/>
    <n v="65.184100000000001"/>
    <n v="234"/>
    <n v="64.727699999999999"/>
    <n v="254"/>
    <n v="114.3155"/>
    <n v="8"/>
    <n v="118.67829999999999"/>
    <n v="4"/>
    <n v="98.694000000000003"/>
    <n v="85"/>
    <n v="95.151799999999994"/>
    <n v="40"/>
    <n v="0.926956"/>
    <n v="7"/>
    <x v="6"/>
  </r>
  <r>
    <x v="140"/>
    <x v="2"/>
    <s v="x"/>
    <x v="1"/>
    <m/>
    <x v="0"/>
    <m/>
    <x v="0"/>
    <n v="62.196300000000001"/>
    <n v="311"/>
    <n v="62.246899999999997"/>
    <n v="317"/>
    <n v="111.1919"/>
    <n v="25"/>
    <n v="112.5181"/>
    <n v="26"/>
    <n v="92.587400000000002"/>
    <n v="16"/>
    <n v="90.423599999999993"/>
    <n v="7"/>
    <n v="0.925118"/>
    <n v="8"/>
    <x v="6"/>
  </r>
  <r>
    <x v="66"/>
    <x v="4"/>
    <s v="x"/>
    <x v="0"/>
    <s v="x"/>
    <x v="0"/>
    <m/>
    <x v="0"/>
    <n v="66.996399999999994"/>
    <n v="172"/>
    <n v="67.271600000000007"/>
    <n v="148"/>
    <n v="106.4896"/>
    <n v="86"/>
    <n v="109.7418"/>
    <n v="49"/>
    <n v="90.940899999999999"/>
    <n v="7"/>
    <n v="89.006799999999998"/>
    <n v="3"/>
    <n v="0.917458"/>
    <n v="9"/>
    <x v="6"/>
  </r>
  <r>
    <x v="20"/>
    <x v="4"/>
    <s v="x"/>
    <x v="0"/>
    <m/>
    <x v="0"/>
    <m/>
    <x v="0"/>
    <n v="64.048699999999997"/>
    <n v="281"/>
    <n v="64.982100000000003"/>
    <n v="244"/>
    <n v="109.1301"/>
    <n v="49"/>
    <n v="111.6589"/>
    <n v="35"/>
    <n v="93.483599999999996"/>
    <n v="23"/>
    <n v="90.565700000000007"/>
    <n v="9"/>
    <n v="0.91741899999999998"/>
    <n v="10"/>
    <x v="6"/>
  </r>
  <r>
    <x v="154"/>
    <x v="3"/>
    <s v="x"/>
    <x v="0"/>
    <m/>
    <x v="0"/>
    <m/>
    <x v="0"/>
    <n v="59.148200000000003"/>
    <n v="336"/>
    <n v="59.683100000000003"/>
    <n v="334"/>
    <n v="112.2148"/>
    <n v="21"/>
    <n v="114.0761"/>
    <n v="14"/>
    <n v="94.959199999999996"/>
    <n v="34"/>
    <n v="93.526700000000005"/>
    <n v="26"/>
    <n v="0.90755399999999997"/>
    <n v="11"/>
    <x v="6"/>
  </r>
  <r>
    <x v="165"/>
    <x v="1"/>
    <m/>
    <x v="1"/>
    <m/>
    <x v="0"/>
    <m/>
    <x v="0"/>
    <n v="62.811199999999999"/>
    <n v="301"/>
    <n v="63.919899999999998"/>
    <n v="283"/>
    <n v="115.0265"/>
    <n v="5"/>
    <n v="119.28449999999999"/>
    <n v="2"/>
    <n v="97.043499999999995"/>
    <n v="60"/>
    <n v="97.801100000000005"/>
    <n v="80"/>
    <n v="0.90751199999999999"/>
    <n v="12"/>
    <x v="6"/>
  </r>
  <r>
    <x v="53"/>
    <x v="9"/>
    <s v="x"/>
    <x v="0"/>
    <s v="x"/>
    <x v="0"/>
    <m/>
    <x v="0"/>
    <n v="68.375399999999999"/>
    <n v="119"/>
    <n v="68.271500000000003"/>
    <n v="116"/>
    <n v="113.30889999999999"/>
    <n v="12"/>
    <n v="112.67610000000001"/>
    <n v="23"/>
    <n v="92.409300000000002"/>
    <n v="15"/>
    <n v="92.483599999999996"/>
    <n v="19"/>
    <n v="0.90645299999999995"/>
    <n v="13"/>
    <x v="6"/>
  </r>
  <r>
    <x v="166"/>
    <x v="1"/>
    <m/>
    <x v="1"/>
    <m/>
    <x v="0"/>
    <m/>
    <x v="0"/>
    <n v="70.798900000000003"/>
    <n v="51"/>
    <n v="69.148899999999998"/>
    <n v="85"/>
    <n v="110.0735"/>
    <n v="40"/>
    <n v="111.6797"/>
    <n v="34"/>
    <n v="95.589399999999998"/>
    <n v="44"/>
    <n v="92.126999999999995"/>
    <n v="16"/>
    <n v="0.90144299999999999"/>
    <n v="14"/>
    <x v="6"/>
  </r>
  <r>
    <x v="141"/>
    <x v="2"/>
    <s v="x"/>
    <x v="0"/>
    <m/>
    <x v="0"/>
    <m/>
    <x v="0"/>
    <n v="72.748400000000004"/>
    <n v="15"/>
    <n v="72.118600000000001"/>
    <n v="19"/>
    <n v="113.04389999999999"/>
    <n v="13"/>
    <n v="116.0628"/>
    <n v="7"/>
    <n v="97.674199999999999"/>
    <n v="71"/>
    <n v="96.171400000000006"/>
    <n v="54"/>
    <n v="0.89678400000000003"/>
    <n v="15"/>
    <x v="6"/>
  </r>
  <r>
    <x v="6"/>
    <x v="5"/>
    <s v="x"/>
    <x v="1"/>
    <m/>
    <x v="0"/>
    <m/>
    <x v="0"/>
    <n v="69.122699999999995"/>
    <n v="94"/>
    <n v="68.579499999999996"/>
    <n v="109"/>
    <n v="109.1781"/>
    <n v="48"/>
    <n v="110.7711"/>
    <n v="41"/>
    <n v="92.785300000000007"/>
    <n v="17"/>
    <n v="92.012299999999996"/>
    <n v="15"/>
    <n v="0.89414099999999996"/>
    <n v="16"/>
    <x v="6"/>
  </r>
  <r>
    <x v="18"/>
    <x v="4"/>
    <s v="x"/>
    <x v="0"/>
    <s v="x"/>
    <x v="0"/>
    <m/>
    <x v="0"/>
    <n v="65.205299999999994"/>
    <n v="233"/>
    <n v="65.322599999999994"/>
    <n v="227"/>
    <n v="115.1371"/>
    <n v="4"/>
    <n v="113.1885"/>
    <n v="19"/>
    <n v="95.681299999999993"/>
    <n v="45"/>
    <n v="94.156800000000004"/>
    <n v="32"/>
    <n v="0.89255200000000001"/>
    <n v="17"/>
    <x v="6"/>
  </r>
  <r>
    <x v="27"/>
    <x v="1"/>
    <s v="x"/>
    <x v="0"/>
    <m/>
    <x v="0"/>
    <m/>
    <x v="0"/>
    <n v="64.303399999999996"/>
    <n v="272"/>
    <n v="65.028700000000001"/>
    <n v="241"/>
    <n v="110.345"/>
    <n v="36"/>
    <n v="112.5868"/>
    <n v="25"/>
    <n v="96.484099999999998"/>
    <n v="53"/>
    <n v="94.313699999999997"/>
    <n v="34"/>
    <n v="0.88458899999999996"/>
    <n v="18"/>
    <x v="6"/>
  </r>
  <r>
    <x v="74"/>
    <x v="5"/>
    <s v="x"/>
    <x v="1"/>
    <m/>
    <x v="0"/>
    <m/>
    <x v="0"/>
    <n v="65.843000000000004"/>
    <n v="203"/>
    <n v="67.923299999999998"/>
    <n v="132"/>
    <n v="104.0596"/>
    <n v="132"/>
    <n v="108.4965"/>
    <n v="64"/>
    <n v="91.956000000000003"/>
    <n v="11"/>
    <n v="91.445700000000002"/>
    <n v="12"/>
    <n v="0.87719999999999998"/>
    <n v="19"/>
    <x v="6"/>
  </r>
  <r>
    <x v="75"/>
    <x v="6"/>
    <s v="x"/>
    <x v="1"/>
    <m/>
    <x v="0"/>
    <m/>
    <x v="0"/>
    <n v="59.973399999999998"/>
    <n v="330"/>
    <n v="60.948999999999998"/>
    <n v="327"/>
    <n v="112.8232"/>
    <n v="16"/>
    <n v="113.3087"/>
    <n v="18"/>
    <n v="95.133899999999997"/>
    <n v="39"/>
    <n v="95.774500000000003"/>
    <n v="50"/>
    <n v="0.87362300000000004"/>
    <n v="20"/>
    <x v="6"/>
  </r>
  <r>
    <x v="145"/>
    <x v="7"/>
    <s v="x"/>
    <x v="1"/>
    <m/>
    <x v="0"/>
    <m/>
    <x v="0"/>
    <n v="64.863900000000001"/>
    <n v="257"/>
    <n v="63.817799999999998"/>
    <n v="285"/>
    <n v="107.69410000000001"/>
    <n v="65"/>
    <n v="109.0287"/>
    <n v="58"/>
    <n v="93.982500000000002"/>
    <n v="25"/>
    <n v="92.473399999999998"/>
    <n v="18"/>
    <n v="0.86920399999999998"/>
    <n v="21"/>
    <x v="6"/>
  </r>
  <r>
    <x v="9"/>
    <x v="5"/>
    <m/>
    <x v="1"/>
    <m/>
    <x v="0"/>
    <m/>
    <x v="0"/>
    <n v="65.715100000000007"/>
    <n v="210"/>
    <n v="66.793199999999999"/>
    <n v="166"/>
    <n v="104.0217"/>
    <n v="133"/>
    <n v="108.7276"/>
    <n v="60"/>
    <n v="95.106399999999994"/>
    <n v="38"/>
    <n v="92.276600000000002"/>
    <n v="17"/>
    <n v="0.868371"/>
    <n v="22"/>
    <x v="6"/>
  </r>
  <r>
    <x v="10"/>
    <x v="9"/>
    <m/>
    <x v="1"/>
    <m/>
    <x v="0"/>
    <m/>
    <x v="0"/>
    <n v="64.665499999999994"/>
    <n v="265"/>
    <n v="65.012100000000004"/>
    <n v="243"/>
    <n v="109.4196"/>
    <n v="44"/>
    <n v="114.35420000000001"/>
    <n v="12"/>
    <n v="102.2513"/>
    <n v="177"/>
    <n v="97.059399999999997"/>
    <n v="65"/>
    <n v="0.86826899999999996"/>
    <n v="23"/>
    <x v="6"/>
  </r>
  <r>
    <x v="167"/>
    <x v="12"/>
    <s v="x"/>
    <x v="1"/>
    <m/>
    <x v="0"/>
    <m/>
    <x v="0"/>
    <n v="72.370599999999996"/>
    <n v="22"/>
    <n v="71.789599999999993"/>
    <n v="24"/>
    <n v="108.0988"/>
    <n v="61"/>
    <n v="112.19889999999999"/>
    <n v="29"/>
    <n v="94.865499999999997"/>
    <n v="31"/>
    <n v="95.297700000000006"/>
    <n v="42"/>
    <n v="0.86733199999999999"/>
    <n v="24"/>
    <x v="6"/>
  </r>
  <r>
    <x v="7"/>
    <x v="8"/>
    <m/>
    <x v="1"/>
    <m/>
    <x v="0"/>
    <m/>
    <x v="0"/>
    <n v="67.089100000000002"/>
    <n v="167"/>
    <n v="68.109499999999997"/>
    <n v="122"/>
    <n v="110.4868"/>
    <n v="34"/>
    <n v="111.81180000000001"/>
    <n v="33"/>
    <n v="95.513499999999993"/>
    <n v="42"/>
    <n v="95.040999999999997"/>
    <n v="39"/>
    <n v="0.86632500000000001"/>
    <n v="25"/>
    <x v="6"/>
  </r>
  <r>
    <x v="14"/>
    <x v="6"/>
    <m/>
    <x v="1"/>
    <m/>
    <x v="0"/>
    <m/>
    <x v="0"/>
    <n v="67.944800000000001"/>
    <n v="136"/>
    <n v="68.030100000000004"/>
    <n v="125"/>
    <n v="110.73139999999999"/>
    <n v="31"/>
    <n v="112.39879999999999"/>
    <n v="27"/>
    <n v="91.851799999999997"/>
    <n v="10"/>
    <n v="95.591300000000004"/>
    <n v="45"/>
    <n v="0.86560800000000004"/>
    <n v="26"/>
    <x v="6"/>
  </r>
  <r>
    <x v="25"/>
    <x v="1"/>
    <s v="x"/>
    <x v="1"/>
    <m/>
    <x v="0"/>
    <m/>
    <x v="0"/>
    <n v="71.404799999999994"/>
    <n v="39"/>
    <n v="71.175299999999993"/>
    <n v="34"/>
    <n v="112.86150000000001"/>
    <n v="15"/>
    <n v="114.8331"/>
    <n v="10"/>
    <n v="98.167400000000001"/>
    <n v="79"/>
    <n v="97.819599999999994"/>
    <n v="81"/>
    <n v="0.86343000000000003"/>
    <n v="27"/>
    <x v="6"/>
  </r>
  <r>
    <x v="23"/>
    <x v="3"/>
    <m/>
    <x v="1"/>
    <m/>
    <x v="0"/>
    <m/>
    <x v="0"/>
    <n v="70.208799999999997"/>
    <n v="65"/>
    <n v="68.753500000000003"/>
    <n v="102"/>
    <n v="110.42789999999999"/>
    <n v="35"/>
    <n v="113.4128"/>
    <n v="17"/>
    <n v="97.653599999999997"/>
    <n v="70"/>
    <n v="96.791200000000003"/>
    <n v="63"/>
    <n v="0.86086600000000002"/>
    <n v="28"/>
    <x v="6"/>
  </r>
  <r>
    <x v="13"/>
    <x v="3"/>
    <s v="x"/>
    <x v="1"/>
    <m/>
    <x v="0"/>
    <m/>
    <x v="0"/>
    <n v="65.592799999999997"/>
    <n v="220"/>
    <n v="65.295100000000005"/>
    <n v="229"/>
    <n v="111.2773"/>
    <n v="23"/>
    <n v="114.1934"/>
    <n v="13"/>
    <n v="99.247299999999996"/>
    <n v="96"/>
    <n v="97.520099999999999"/>
    <n v="72"/>
    <n v="0.85997800000000002"/>
    <n v="29"/>
    <x v="6"/>
  </r>
  <r>
    <x v="126"/>
    <x v="6"/>
    <s v="x"/>
    <x v="0"/>
    <m/>
    <x v="0"/>
    <m/>
    <x v="0"/>
    <n v="66.319800000000001"/>
    <n v="192"/>
    <n v="65.476100000000002"/>
    <n v="220"/>
    <n v="110.97669999999999"/>
    <n v="28"/>
    <n v="110.10339999999999"/>
    <n v="44"/>
    <n v="95.014799999999994"/>
    <n v="36"/>
    <n v="94.694800000000001"/>
    <n v="36"/>
    <n v="0.84989099999999995"/>
    <n v="30"/>
    <x v="6"/>
  </r>
  <r>
    <x v="70"/>
    <x v="8"/>
    <m/>
    <x v="1"/>
    <m/>
    <x v="0"/>
    <m/>
    <x v="0"/>
    <n v="69.926299999999998"/>
    <n v="72"/>
    <n v="69.700299999999999"/>
    <n v="76"/>
    <n v="105.48569999999999"/>
    <n v="106"/>
    <n v="104.72280000000001"/>
    <n v="124"/>
    <n v="90.422499999999999"/>
    <n v="6"/>
    <n v="90.529700000000005"/>
    <n v="8"/>
    <n v="0.842221"/>
    <n v="32"/>
    <x v="6"/>
  </r>
  <r>
    <x v="8"/>
    <x v="7"/>
    <m/>
    <x v="1"/>
    <m/>
    <x v="0"/>
    <m/>
    <x v="0"/>
    <n v="67.217299999999994"/>
    <n v="164"/>
    <n v="67.124600000000001"/>
    <n v="154"/>
    <n v="112.5175"/>
    <n v="20"/>
    <n v="117.79649999999999"/>
    <n v="5"/>
    <n v="106.9744"/>
    <n v="288"/>
    <n v="102.47839999999999"/>
    <n v="172"/>
    <n v="0.83230199999999999"/>
    <n v="34"/>
    <x v="6"/>
  </r>
  <r>
    <x v="16"/>
    <x v="8"/>
    <s v="x"/>
    <x v="1"/>
    <m/>
    <x v="0"/>
    <m/>
    <x v="0"/>
    <n v="69.029799999999994"/>
    <n v="97"/>
    <n v="68.284599999999998"/>
    <n v="115"/>
    <n v="104.67619999999999"/>
    <n v="122"/>
    <n v="104.83540000000001"/>
    <n v="120"/>
    <n v="93.591999999999999"/>
    <n v="24"/>
    <n v="91.679100000000005"/>
    <n v="14"/>
    <n v="0.82377299999999998"/>
    <n v="37"/>
    <x v="6"/>
  </r>
  <r>
    <x v="22"/>
    <x v="7"/>
    <m/>
    <x v="1"/>
    <m/>
    <x v="0"/>
    <m/>
    <x v="0"/>
    <n v="65.048599999999993"/>
    <n v="245"/>
    <n v="66.120400000000004"/>
    <n v="194"/>
    <n v="106.1494"/>
    <n v="91"/>
    <n v="106.7225"/>
    <n v="90"/>
    <n v="94.171099999999996"/>
    <n v="26"/>
    <n v="93.373999999999995"/>
    <n v="24"/>
    <n v="0.82297200000000004"/>
    <n v="38"/>
    <x v="6"/>
  </r>
  <r>
    <x v="35"/>
    <x v="10"/>
    <s v="x"/>
    <x v="0"/>
    <m/>
    <x v="0"/>
    <m/>
    <x v="0"/>
    <n v="68.691900000000004"/>
    <n v="110"/>
    <n v="68.941500000000005"/>
    <n v="95"/>
    <n v="111.07850000000001"/>
    <n v="26"/>
    <n v="109.4072"/>
    <n v="54"/>
    <n v="94.486800000000002"/>
    <n v="28"/>
    <n v="95.892200000000003"/>
    <n v="51"/>
    <n v="0.81999200000000005"/>
    <n v="39"/>
    <x v="6"/>
  </r>
  <r>
    <x v="168"/>
    <x v="12"/>
    <m/>
    <x v="1"/>
    <m/>
    <x v="0"/>
    <m/>
    <x v="0"/>
    <n v="70.931600000000003"/>
    <n v="49"/>
    <n v="71.796700000000001"/>
    <n v="23"/>
    <n v="110.2323"/>
    <n v="37"/>
    <n v="113.99039999999999"/>
    <n v="15"/>
    <n v="101.56610000000001"/>
    <n v="154"/>
    <n v="99.945999999999998"/>
    <n v="116"/>
    <n v="0.81936699999999996"/>
    <n v="40"/>
    <x v="6"/>
  </r>
  <r>
    <x v="129"/>
    <x v="9"/>
    <m/>
    <x v="1"/>
    <m/>
    <x v="0"/>
    <m/>
    <x v="0"/>
    <n v="67.921499999999995"/>
    <n v="138"/>
    <n v="67.218500000000006"/>
    <n v="150"/>
    <n v="110.14409999999999"/>
    <n v="39"/>
    <n v="107.3677"/>
    <n v="76"/>
    <n v="92.293999999999997"/>
    <n v="13"/>
    <n v="94.212000000000003"/>
    <n v="33"/>
    <n v="0.81805000000000005"/>
    <n v="41"/>
    <x v="6"/>
  </r>
  <r>
    <x v="5"/>
    <x v="5"/>
    <s v="x"/>
    <x v="1"/>
    <m/>
    <x v="0"/>
    <m/>
    <x v="0"/>
    <n v="64.889300000000006"/>
    <n v="256"/>
    <n v="64.787599999999998"/>
    <n v="251"/>
    <n v="103.9473"/>
    <n v="135"/>
    <n v="106.61320000000001"/>
    <n v="94"/>
    <n v="96.940600000000003"/>
    <n v="58"/>
    <n v="93.743200000000002"/>
    <n v="28"/>
    <n v="0.81449000000000005"/>
    <n v="42"/>
    <x v="6"/>
  </r>
  <r>
    <x v="65"/>
    <x v="12"/>
    <m/>
    <x v="1"/>
    <m/>
    <x v="0"/>
    <m/>
    <x v="0"/>
    <n v="65.145099999999999"/>
    <n v="237"/>
    <n v="65.198899999999995"/>
    <n v="233"/>
    <n v="112.07340000000001"/>
    <n v="22"/>
    <n v="112.9071"/>
    <n v="22"/>
    <n v="102.3507"/>
    <n v="180"/>
    <n v="99.813800000000001"/>
    <n v="115"/>
    <n v="0.80494299999999996"/>
    <n v="44"/>
    <x v="6"/>
  </r>
  <r>
    <x v="29"/>
    <x v="6"/>
    <s v="x"/>
    <x v="1"/>
    <m/>
    <x v="0"/>
    <m/>
    <x v="0"/>
    <n v="68.061099999999996"/>
    <n v="130"/>
    <n v="66.975899999999996"/>
    <n v="160"/>
    <n v="107.3847"/>
    <n v="71"/>
    <n v="110.3429"/>
    <n v="43"/>
    <n v="98.959199999999996"/>
    <n v="92"/>
    <n v="97.679199999999994"/>
    <n v="76"/>
    <n v="0.802485"/>
    <n v="45"/>
    <x v="6"/>
  </r>
  <r>
    <x v="142"/>
    <x v="7"/>
    <s v="x"/>
    <x v="1"/>
    <m/>
    <x v="0"/>
    <m/>
    <x v="0"/>
    <n v="69.215900000000005"/>
    <n v="92"/>
    <n v="68.398700000000005"/>
    <n v="112"/>
    <n v="106.20659999999999"/>
    <n v="90"/>
    <n v="107.94889999999999"/>
    <n v="70"/>
    <n v="96.689599999999999"/>
    <n v="55"/>
    <n v="95.596500000000006"/>
    <n v="46"/>
    <n v="0.80178700000000003"/>
    <n v="46"/>
    <x v="6"/>
  </r>
  <r>
    <x v="156"/>
    <x v="8"/>
    <s v="x"/>
    <x v="1"/>
    <m/>
    <x v="0"/>
    <m/>
    <x v="0"/>
    <n v="65.445300000000003"/>
    <n v="227"/>
    <n v="65.083799999999997"/>
    <n v="237"/>
    <n v="105.7488"/>
    <n v="99"/>
    <n v="109.9117"/>
    <n v="47"/>
    <n v="95.034800000000004"/>
    <n v="37"/>
    <n v="97.637600000000006"/>
    <n v="73"/>
    <n v="0.79604699999999995"/>
    <n v="48"/>
    <x v="6"/>
  </r>
  <r>
    <x v="169"/>
    <x v="10"/>
    <m/>
    <x v="1"/>
    <m/>
    <x v="0"/>
    <m/>
    <x v="0"/>
    <n v="65.539599999999993"/>
    <n v="223"/>
    <n v="65.123900000000006"/>
    <n v="236"/>
    <n v="109.0386"/>
    <n v="51"/>
    <n v="111.1769"/>
    <n v="37"/>
    <n v="102.7907"/>
    <n v="190"/>
    <n v="99.271100000000004"/>
    <n v="105"/>
    <n v="0.786269"/>
    <n v="52"/>
    <x v="6"/>
  </r>
  <r>
    <x v="121"/>
    <x v="10"/>
    <s v="x"/>
    <x v="0"/>
    <m/>
    <x v="0"/>
    <m/>
    <x v="0"/>
    <n v="69.0578"/>
    <n v="96"/>
    <n v="69.017200000000003"/>
    <n v="90"/>
    <n v="105.37779999999999"/>
    <n v="109"/>
    <n v="106.6808"/>
    <n v="91"/>
    <n v="100.4832"/>
    <n v="126"/>
    <n v="95.487399999999994"/>
    <n v="44"/>
    <n v="0.78155399999999997"/>
    <n v="54"/>
    <x v="6"/>
  </r>
  <r>
    <x v="98"/>
    <x v="3"/>
    <m/>
    <x v="1"/>
    <m/>
    <x v="0"/>
    <m/>
    <x v="0"/>
    <n v="71.372"/>
    <n v="40"/>
    <n v="69.7072"/>
    <n v="75"/>
    <n v="110.18219999999999"/>
    <n v="38"/>
    <n v="110.4747"/>
    <n v="42"/>
    <n v="101.6717"/>
    <n v="161"/>
    <n v="98.952600000000004"/>
    <n v="96"/>
    <n v="0.78017400000000003"/>
    <n v="55"/>
    <x v="6"/>
  </r>
  <r>
    <x v="148"/>
    <x v="9"/>
    <m/>
    <x v="1"/>
    <m/>
    <x v="0"/>
    <m/>
    <x v="0"/>
    <n v="66.862899999999996"/>
    <n v="175"/>
    <n v="66.534999999999997"/>
    <n v="177"/>
    <n v="112.7932"/>
    <n v="18"/>
    <n v="110.8569"/>
    <n v="40"/>
    <n v="97.214500000000001"/>
    <n v="64"/>
    <n v="99.782399999999996"/>
    <n v="113"/>
    <n v="0.77036199999999999"/>
    <n v="59"/>
    <x v="6"/>
  </r>
  <r>
    <x v="150"/>
    <x v="11"/>
    <m/>
    <x v="1"/>
    <m/>
    <x v="0"/>
    <m/>
    <x v="0"/>
    <n v="64.919399999999996"/>
    <n v="252"/>
    <n v="65.232600000000005"/>
    <n v="232"/>
    <n v="105.22490000000001"/>
    <n v="113"/>
    <n v="102.7894"/>
    <n v="157"/>
    <n v="94.201800000000006"/>
    <n v="27"/>
    <n v="93.205399999999997"/>
    <n v="22"/>
    <n v="0.755023"/>
    <n v="67"/>
    <x v="6"/>
  </r>
  <r>
    <x v="143"/>
    <x v="10"/>
    <m/>
    <x v="1"/>
    <m/>
    <x v="0"/>
    <m/>
    <x v="0"/>
    <n v="62.957999999999998"/>
    <n v="299"/>
    <n v="63.191200000000002"/>
    <n v="297"/>
    <n v="109.9854"/>
    <n v="41"/>
    <n v="109.28870000000001"/>
    <n v="55"/>
    <n v="97.944800000000001"/>
    <n v="76"/>
    <n v="100.0801"/>
    <n v="119"/>
    <n v="0.73346100000000003"/>
    <n v="77"/>
    <x v="6"/>
  </r>
  <r>
    <x v="12"/>
    <x v="12"/>
    <m/>
    <x v="1"/>
    <m/>
    <x v="0"/>
    <m/>
    <x v="0"/>
    <n v="65.746499999999997"/>
    <n v="209"/>
    <n v="63.935699999999997"/>
    <n v="281"/>
    <n v="103.1138"/>
    <n v="151"/>
    <n v="104.46420000000001"/>
    <n v="128"/>
    <n v="97.912199999999999"/>
    <n v="75"/>
    <n v="96.662199999999999"/>
    <n v="61"/>
    <n v="0.70943800000000001"/>
    <n v="86"/>
    <x v="6"/>
  </r>
  <r>
    <x v="170"/>
    <x v="13"/>
    <m/>
    <x v="1"/>
    <m/>
    <x v="0"/>
    <m/>
    <x v="0"/>
    <n v="72.604699999999994"/>
    <n v="18"/>
    <n v="73.192899999999995"/>
    <n v="15"/>
    <n v="113.43210000000001"/>
    <n v="11"/>
    <n v="111.11960000000001"/>
    <n v="38"/>
    <n v="100.2556"/>
    <n v="120"/>
    <n v="103.7128"/>
    <n v="198"/>
    <n v="0.68853699999999995"/>
    <n v="91"/>
    <x v="6"/>
  </r>
  <r>
    <x v="59"/>
    <x v="11"/>
    <s v="x"/>
    <x v="1"/>
    <m/>
    <x v="0"/>
    <m/>
    <x v="0"/>
    <n v="69.734200000000001"/>
    <n v="78"/>
    <n v="68.659800000000004"/>
    <n v="107"/>
    <n v="108.8561"/>
    <n v="52"/>
    <n v="106.1652"/>
    <n v="104"/>
    <n v="100.29819999999999"/>
    <n v="122"/>
    <n v="99.343299999999999"/>
    <n v="107"/>
    <n v="0.68217099999999997"/>
    <n v="93"/>
    <x v="6"/>
  </r>
  <r>
    <x v="63"/>
    <x v="11"/>
    <m/>
    <x v="1"/>
    <m/>
    <x v="0"/>
    <m/>
    <x v="0"/>
    <n v="63.688600000000001"/>
    <n v="291"/>
    <n v="63.138500000000001"/>
    <n v="298"/>
    <n v="101.76130000000001"/>
    <n v="168"/>
    <n v="97.460499999999996"/>
    <n v="243"/>
    <n v="92.325000000000003"/>
    <n v="14"/>
    <n v="91.6691"/>
    <n v="13"/>
    <n v="0.66918699999999998"/>
    <n v="96"/>
    <x v="6"/>
  </r>
  <r>
    <x v="21"/>
    <x v="13"/>
    <m/>
    <x v="1"/>
    <m/>
    <x v="0"/>
    <m/>
    <x v="0"/>
    <n v="66.756600000000006"/>
    <n v="179"/>
    <n v="65.877200000000002"/>
    <n v="204"/>
    <n v="101.2043"/>
    <n v="181"/>
    <n v="102.1974"/>
    <n v="171"/>
    <n v="99.7834"/>
    <n v="109"/>
    <n v="96.238600000000005"/>
    <n v="56"/>
    <n v="0.66615899999999995"/>
    <n v="97"/>
    <x v="6"/>
  </r>
  <r>
    <x v="171"/>
    <x v="13"/>
    <m/>
    <x v="1"/>
    <m/>
    <x v="0"/>
    <m/>
    <x v="0"/>
    <n v="68.882099999999994"/>
    <n v="101"/>
    <n v="69.010000000000005"/>
    <n v="92"/>
    <n v="111.05200000000001"/>
    <n v="27"/>
    <n v="109.9731"/>
    <n v="46"/>
    <n v="99.279700000000005"/>
    <n v="97"/>
    <n v="104.7877"/>
    <n v="221"/>
    <n v="0.63539699999999999"/>
    <n v="104"/>
    <x v="6"/>
  </r>
  <r>
    <x v="172"/>
    <x v="15"/>
    <m/>
    <x v="1"/>
    <m/>
    <x v="0"/>
    <m/>
    <x v="0"/>
    <n v="66.967699999999994"/>
    <n v="173"/>
    <n v="68.220100000000002"/>
    <n v="118"/>
    <n v="109.31959999999999"/>
    <n v="46"/>
    <n v="106.8994"/>
    <n v="84"/>
    <n v="101.0322"/>
    <n v="140"/>
    <n v="102.2469"/>
    <n v="168"/>
    <n v="0.62521199999999999"/>
    <n v="112"/>
    <x v="6"/>
  </r>
  <r>
    <x v="80"/>
    <x v="11"/>
    <s v="x"/>
    <x v="1"/>
    <m/>
    <x v="0"/>
    <m/>
    <x v="0"/>
    <n v="65.301100000000005"/>
    <n v="230"/>
    <n v="64.852800000000002"/>
    <n v="247"/>
    <n v="98.719099999999997"/>
    <n v="224"/>
    <n v="99.826899999999995"/>
    <n v="200"/>
    <n v="95.806399999999996"/>
    <n v="46"/>
    <n v="95.672799999999995"/>
    <n v="49"/>
    <n v="0.61982199999999998"/>
    <n v="115"/>
    <x v="6"/>
  </r>
  <r>
    <x v="173"/>
    <x v="14"/>
    <m/>
    <x v="1"/>
    <m/>
    <x v="0"/>
    <m/>
    <x v="0"/>
    <n v="65.053399999999996"/>
    <n v="243"/>
    <n v="65.038600000000002"/>
    <n v="240"/>
    <n v="113.8252"/>
    <n v="9"/>
    <n v="111.94670000000001"/>
    <n v="31"/>
    <n v="105.52209999999999"/>
    <n v="263"/>
    <n v="107.8308"/>
    <n v="284"/>
    <n v="0.60606099999999996"/>
    <n v="121"/>
    <x v="6"/>
  </r>
  <r>
    <x v="174"/>
    <x v="13"/>
    <m/>
    <x v="1"/>
    <m/>
    <x v="0"/>
    <m/>
    <x v="0"/>
    <n v="72.355699999999999"/>
    <n v="24"/>
    <n v="72.414100000000005"/>
    <n v="17"/>
    <n v="109.9851"/>
    <n v="42"/>
    <n v="106.64319999999999"/>
    <n v="93"/>
    <n v="102.7667"/>
    <n v="189"/>
    <n v="103.3789"/>
    <n v="192"/>
    <n v="0.58843900000000005"/>
    <n v="129"/>
    <x v="6"/>
  </r>
  <r>
    <x v="152"/>
    <x v="14"/>
    <m/>
    <x v="1"/>
    <m/>
    <x v="0"/>
    <m/>
    <x v="0"/>
    <n v="71.511099999999999"/>
    <n v="36"/>
    <n v="70.426000000000002"/>
    <n v="48"/>
    <n v="109.7821"/>
    <n v="43"/>
    <n v="107.4327"/>
    <n v="73"/>
    <n v="102.43819999999999"/>
    <n v="182"/>
    <n v="104.5431"/>
    <n v="215"/>
    <n v="0.57775100000000001"/>
    <n v="131"/>
    <x v="6"/>
  </r>
  <r>
    <x v="175"/>
    <x v="14"/>
    <m/>
    <x v="1"/>
    <m/>
    <x v="0"/>
    <m/>
    <x v="0"/>
    <n v="60.916400000000003"/>
    <n v="324"/>
    <n v="61.920900000000003"/>
    <n v="320"/>
    <n v="106.95359999999999"/>
    <n v="78"/>
    <n v="107.8497"/>
    <n v="72"/>
    <n v="101.55540000000001"/>
    <n v="153"/>
    <n v="105.0294"/>
    <n v="228"/>
    <n v="0.5756"/>
    <n v="133"/>
    <x v="6"/>
  </r>
  <r>
    <x v="176"/>
    <x v="15"/>
    <m/>
    <x v="1"/>
    <m/>
    <x v="0"/>
    <m/>
    <x v="0"/>
    <n v="68.343400000000003"/>
    <n v="120"/>
    <n v="67.788200000000003"/>
    <n v="136"/>
    <n v="100.7011"/>
    <n v="189"/>
    <n v="98.769800000000004"/>
    <n v="219"/>
    <n v="97.054199999999994"/>
    <n v="62"/>
    <n v="98.3215"/>
    <n v="90"/>
    <n v="0.51307499999999995"/>
    <n v="159"/>
    <x v="6"/>
  </r>
  <r>
    <x v="85"/>
    <x v="14"/>
    <m/>
    <x v="1"/>
    <m/>
    <x v="0"/>
    <m/>
    <x v="0"/>
    <n v="67.232200000000006"/>
    <n v="163"/>
    <n v="67.453699999999998"/>
    <n v="145"/>
    <n v="108.6632"/>
    <n v="56"/>
    <n v="103.44970000000001"/>
    <n v="149"/>
    <n v="102.7603"/>
    <n v="188"/>
    <n v="103.02119999999999"/>
    <n v="182"/>
    <n v="0.51192899999999997"/>
    <n v="161"/>
    <x v="6"/>
  </r>
  <r>
    <x v="177"/>
    <x v="15"/>
    <m/>
    <x v="1"/>
    <m/>
    <x v="0"/>
    <m/>
    <x v="0"/>
    <n v="71.203999999999994"/>
    <n v="43"/>
    <n v="70.147800000000004"/>
    <n v="57"/>
    <n v="100.8066"/>
    <n v="187"/>
    <n v="100.7145"/>
    <n v="189"/>
    <n v="97.602000000000004"/>
    <n v="68"/>
    <n v="102.6367"/>
    <n v="178"/>
    <n v="0.44585900000000001"/>
    <n v="175"/>
    <x v="6"/>
  </r>
  <r>
    <x v="178"/>
    <x v="15"/>
    <m/>
    <x v="1"/>
    <m/>
    <x v="0"/>
    <m/>
    <x v="0"/>
    <n v="63.731699999999996"/>
    <n v="290"/>
    <n v="63.997599999999998"/>
    <n v="278"/>
    <n v="90.7727"/>
    <n v="325"/>
    <n v="93.313199999999995"/>
    <n v="306"/>
    <n v="102.30589999999999"/>
    <n v="178"/>
    <n v="104.2839"/>
    <n v="208"/>
    <n v="0.21784200000000001"/>
    <n v="286"/>
    <x v="6"/>
  </r>
  <r>
    <x v="179"/>
    <x v="15"/>
    <m/>
    <x v="1"/>
    <m/>
    <x v="0"/>
    <m/>
    <x v="0"/>
    <n v="65.141099999999994"/>
    <n v="238"/>
    <n v="64.698800000000006"/>
    <n v="255"/>
    <n v="92.817999999999998"/>
    <n v="308"/>
    <n v="92.2821"/>
    <n v="317"/>
    <n v="100.9277"/>
    <n v="138"/>
    <n v="104.2745"/>
    <n v="207"/>
    <n v="0.19702"/>
    <n v="292"/>
    <x v="6"/>
  </r>
  <r>
    <x v="69"/>
    <x v="2"/>
    <s v="x"/>
    <x v="0"/>
    <m/>
    <x v="0"/>
    <m/>
    <x v="0"/>
    <n v="67.7774"/>
    <n v="118"/>
    <n v="66.456299999999999"/>
    <n v="163"/>
    <n v="108.9131"/>
    <n v="47"/>
    <n v="108.4135"/>
    <n v="62"/>
    <n v="83.445999999999998"/>
    <n v="1"/>
    <n v="81.127700000000004"/>
    <n v="1"/>
    <n v="0.96558299999999997"/>
    <n v="1"/>
    <x v="7"/>
  </r>
  <r>
    <x v="13"/>
    <x v="0"/>
    <s v="x"/>
    <x v="0"/>
    <s v="x"/>
    <x v="0"/>
    <m/>
    <x v="0"/>
    <n v="66.883899999999997"/>
    <n v="146"/>
    <n v="66.419600000000003"/>
    <n v="165"/>
    <n v="116.78279999999999"/>
    <n v="3"/>
    <n v="119.85120000000001"/>
    <n v="2"/>
    <n v="96.328900000000004"/>
    <n v="61"/>
    <n v="93.053200000000004"/>
    <n v="24"/>
    <n v="0.94835899999999995"/>
    <n v="2"/>
    <x v="7"/>
  </r>
  <r>
    <x v="23"/>
    <x v="0"/>
    <s v="x"/>
    <x v="0"/>
    <s v="x"/>
    <x v="1"/>
    <m/>
    <x v="0"/>
    <n v="67.471500000000006"/>
    <n v="133"/>
    <n v="67.359300000000005"/>
    <n v="127"/>
    <n v="111.6104"/>
    <n v="19"/>
    <n v="112.2406"/>
    <n v="28"/>
    <n v="91.688199999999995"/>
    <n v="8"/>
    <n v="87.540099999999995"/>
    <n v="3"/>
    <n v="0.94574599999999998"/>
    <n v="3"/>
    <x v="7"/>
  </r>
  <r>
    <x v="95"/>
    <x v="0"/>
    <s v="x"/>
    <x v="0"/>
    <s v="x"/>
    <x v="1"/>
    <s v="x"/>
    <x v="1"/>
    <n v="75.774500000000003"/>
    <n v="4"/>
    <n v="74.071200000000005"/>
    <n v="7"/>
    <n v="117.4778"/>
    <n v="2"/>
    <n v="121.90819999999999"/>
    <n v="1"/>
    <n v="96.254199999999997"/>
    <n v="59"/>
    <n v="95.354900000000001"/>
    <n v="49"/>
    <n v="0.94401800000000002"/>
    <n v="4"/>
    <x v="7"/>
  </r>
  <r>
    <x v="66"/>
    <x v="0"/>
    <s v="x"/>
    <x v="0"/>
    <s v="x"/>
    <x v="0"/>
    <m/>
    <x v="0"/>
    <n v="69.310400000000001"/>
    <n v="74"/>
    <n v="68.395300000000006"/>
    <n v="90"/>
    <n v="106.15770000000001"/>
    <n v="85"/>
    <n v="107.706"/>
    <n v="72"/>
    <n v="88.7333"/>
    <n v="3"/>
    <n v="85.781899999999993"/>
    <n v="2"/>
    <n v="0.93197099999999999"/>
    <n v="5"/>
    <x v="7"/>
  </r>
  <r>
    <x v="14"/>
    <x v="3"/>
    <s v="x"/>
    <x v="0"/>
    <m/>
    <x v="0"/>
    <m/>
    <x v="0"/>
    <n v="67.983000000000004"/>
    <n v="110"/>
    <n v="68.432299999999998"/>
    <n v="88"/>
    <n v="114.87309999999999"/>
    <n v="5"/>
    <n v="115.4522"/>
    <n v="12"/>
    <n v="89.832099999999997"/>
    <n v="4"/>
    <n v="92.789699999999996"/>
    <n v="21"/>
    <n v="0.92504799999999998"/>
    <n v="6"/>
    <x v="7"/>
  </r>
  <r>
    <x v="126"/>
    <x v="5"/>
    <m/>
    <x v="1"/>
    <m/>
    <x v="0"/>
    <m/>
    <x v="0"/>
    <n v="65.844800000000006"/>
    <n v="189"/>
    <n v="65.092399999999998"/>
    <n v="232"/>
    <n v="109.66630000000001"/>
    <n v="34"/>
    <n v="112.8715"/>
    <n v="21"/>
    <n v="93.691599999999994"/>
    <n v="23"/>
    <n v="90.716399999999993"/>
    <n v="10"/>
    <n v="0.92503999999999997"/>
    <n v="7"/>
    <x v="7"/>
  </r>
  <r>
    <x v="0"/>
    <x v="2"/>
    <s v="x"/>
    <x v="0"/>
    <m/>
    <x v="0"/>
    <m/>
    <x v="0"/>
    <n v="69.350499999999997"/>
    <n v="72"/>
    <n v="67.492999999999995"/>
    <n v="121"/>
    <n v="112.0145"/>
    <n v="15"/>
    <n v="117.2739"/>
    <n v="4"/>
    <n v="94.6374"/>
    <n v="34"/>
    <n v="94.336799999999997"/>
    <n v="38"/>
    <n v="0.92434300000000003"/>
    <n v="8"/>
    <x v="7"/>
  </r>
  <r>
    <x v="32"/>
    <x v="5"/>
    <s v="x"/>
    <x v="1"/>
    <m/>
    <x v="0"/>
    <m/>
    <x v="0"/>
    <n v="65.398200000000003"/>
    <n v="207"/>
    <n v="66.642499999999998"/>
    <n v="158"/>
    <n v="116.1125"/>
    <n v="4"/>
    <n v="118.1729"/>
    <n v="3"/>
    <n v="97.200400000000002"/>
    <n v="82"/>
    <n v="95.705399999999997"/>
    <n v="55"/>
    <n v="0.91871700000000001"/>
    <n v="9"/>
    <x v="7"/>
  </r>
  <r>
    <x v="27"/>
    <x v="2"/>
    <s v="x"/>
    <x v="0"/>
    <s v="x"/>
    <x v="1"/>
    <s v="x"/>
    <x v="0"/>
    <n v="66.289500000000004"/>
    <n v="169"/>
    <n v="67.654899999999998"/>
    <n v="114"/>
    <n v="108.55119999999999"/>
    <n v="53"/>
    <n v="110.8623"/>
    <n v="35"/>
    <n v="94.863"/>
    <n v="40"/>
    <n v="90.599400000000003"/>
    <n v="9"/>
    <n v="0.91061599999999998"/>
    <n v="10"/>
    <x v="7"/>
  </r>
  <r>
    <x v="39"/>
    <x v="4"/>
    <s v="x"/>
    <x v="0"/>
    <s v="x"/>
    <x v="0"/>
    <m/>
    <x v="0"/>
    <n v="72.447400000000002"/>
    <n v="15"/>
    <n v="71.201400000000007"/>
    <n v="21"/>
    <n v="111.6704"/>
    <n v="18"/>
    <n v="112.273"/>
    <n v="27"/>
    <n v="91.7102"/>
    <n v="9"/>
    <n v="91.798900000000003"/>
    <n v="14"/>
    <n v="0.91013900000000003"/>
    <n v="11"/>
    <x v="7"/>
  </r>
  <r>
    <x v="5"/>
    <x v="2"/>
    <s v="x"/>
    <x v="0"/>
    <s v="x"/>
    <x v="0"/>
    <m/>
    <x v="0"/>
    <n v="69.104500000000002"/>
    <n v="80"/>
    <n v="68.252099999999999"/>
    <n v="94"/>
    <n v="114.15560000000001"/>
    <n v="8"/>
    <n v="116.5286"/>
    <n v="6"/>
    <n v="97.648600000000002"/>
    <n v="89"/>
    <n v="95.585099999999997"/>
    <n v="53"/>
    <n v="0.90707000000000004"/>
    <n v="12"/>
    <x v="7"/>
  </r>
  <r>
    <x v="74"/>
    <x v="1"/>
    <s v="x"/>
    <x v="1"/>
    <m/>
    <x v="0"/>
    <m/>
    <x v="0"/>
    <n v="65.200199999999995"/>
    <n v="218"/>
    <n v="66.936999999999998"/>
    <n v="146"/>
    <n v="105.44670000000001"/>
    <n v="94"/>
    <n v="109.4021"/>
    <n v="48"/>
    <n v="90.095200000000006"/>
    <n v="7"/>
    <n v="89.762799999999999"/>
    <n v="5"/>
    <n v="0.90681699999999998"/>
    <n v="13"/>
    <x v="7"/>
  </r>
  <r>
    <x v="2"/>
    <x v="4"/>
    <s v="x"/>
    <x v="0"/>
    <m/>
    <x v="0"/>
    <m/>
    <x v="0"/>
    <n v="69.563500000000005"/>
    <n v="66"/>
    <n v="68.489400000000003"/>
    <n v="85"/>
    <n v="110.48350000000001"/>
    <n v="25"/>
    <n v="112.60169999999999"/>
    <n v="25"/>
    <n v="94.204499999999996"/>
    <n v="25"/>
    <n v="92.404399999999995"/>
    <n v="19"/>
    <n v="0.90664400000000001"/>
    <n v="14"/>
    <x v="7"/>
  </r>
  <r>
    <x v="108"/>
    <x v="3"/>
    <s v="x"/>
    <x v="1"/>
    <m/>
    <x v="0"/>
    <m/>
    <x v="0"/>
    <n v="71.997799999999998"/>
    <n v="19"/>
    <n v="74.174000000000007"/>
    <n v="6"/>
    <n v="108.0774"/>
    <n v="57"/>
    <n v="110.76560000000001"/>
    <n v="37"/>
    <n v="95.606999999999999"/>
    <n v="48"/>
    <n v="90.979699999999994"/>
    <n v="11"/>
    <n v="0.90576400000000001"/>
    <n v="15"/>
    <x v="7"/>
  </r>
  <r>
    <x v="68"/>
    <x v="4"/>
    <s v="x"/>
    <x v="0"/>
    <m/>
    <x v="0"/>
    <m/>
    <x v="0"/>
    <n v="71.285399999999996"/>
    <n v="30"/>
    <n v="70.527900000000002"/>
    <n v="32"/>
    <n v="109.6083"/>
    <n v="35"/>
    <n v="117.0626"/>
    <n v="5"/>
    <n v="98.838200000000001"/>
    <n v="109"/>
    <n v="96.264200000000002"/>
    <n v="62"/>
    <n v="0.90461100000000005"/>
    <n v="16"/>
    <x v="7"/>
  </r>
  <r>
    <x v="71"/>
    <x v="5"/>
    <s v="x"/>
    <x v="1"/>
    <m/>
    <x v="0"/>
    <m/>
    <x v="0"/>
    <n v="60.4955"/>
    <n v="330"/>
    <n v="60.131999999999998"/>
    <n v="333"/>
    <n v="113.4389"/>
    <n v="9"/>
    <n v="115.7012"/>
    <n v="11"/>
    <n v="97.994900000000001"/>
    <n v="94"/>
    <n v="95.302099999999996"/>
    <n v="47"/>
    <n v="0.90295800000000004"/>
    <n v="17"/>
    <x v="7"/>
  </r>
  <r>
    <x v="121"/>
    <x v="4"/>
    <s v="x"/>
    <x v="0"/>
    <s v="x"/>
    <x v="1"/>
    <m/>
    <x v="0"/>
    <n v="69.127899999999997"/>
    <n v="79"/>
    <n v="68.4696"/>
    <n v="86"/>
    <n v="109.9945"/>
    <n v="29"/>
    <n v="111.9937"/>
    <n v="30"/>
    <n v="95.776799999999994"/>
    <n v="51"/>
    <n v="92.271699999999996"/>
    <n v="17"/>
    <n v="0.902702"/>
    <n v="18"/>
    <x v="7"/>
  </r>
  <r>
    <x v="70"/>
    <x v="8"/>
    <m/>
    <x v="1"/>
    <m/>
    <x v="0"/>
    <m/>
    <x v="0"/>
    <n v="68.725399999999993"/>
    <n v="94"/>
    <n v="69.983900000000006"/>
    <n v="44"/>
    <n v="111.8682"/>
    <n v="17"/>
    <n v="113.0282"/>
    <n v="19"/>
    <n v="93.682299999999998"/>
    <n v="22"/>
    <n v="93.548599999999993"/>
    <n v="30"/>
    <n v="0.89800899999999995"/>
    <n v="19"/>
    <x v="7"/>
  </r>
  <r>
    <x v="6"/>
    <x v="5"/>
    <s v="x"/>
    <x v="1"/>
    <m/>
    <x v="0"/>
    <m/>
    <x v="0"/>
    <n v="69.515600000000006"/>
    <n v="67"/>
    <n v="68.781099999999995"/>
    <n v="75"/>
    <n v="113.11150000000001"/>
    <n v="11"/>
    <n v="116.1857"/>
    <n v="9"/>
    <n v="98.9559"/>
    <n v="113"/>
    <n v="96.541799999999995"/>
    <n v="63"/>
    <n v="0.89378100000000005"/>
    <n v="20"/>
    <x v="7"/>
  </r>
  <r>
    <x v="30"/>
    <x v="3"/>
    <m/>
    <x v="1"/>
    <m/>
    <x v="0"/>
    <m/>
    <x v="0"/>
    <n v="75.325800000000001"/>
    <n v="6"/>
    <n v="73.388800000000003"/>
    <n v="10"/>
    <n v="107.883"/>
    <n v="62"/>
    <n v="109.7782"/>
    <n v="45"/>
    <n v="93.201999999999998"/>
    <n v="18"/>
    <n v="92.031700000000001"/>
    <n v="16"/>
    <n v="0.883683"/>
    <n v="21"/>
    <x v="7"/>
  </r>
  <r>
    <x v="166"/>
    <x v="6"/>
    <m/>
    <x v="1"/>
    <m/>
    <x v="0"/>
    <m/>
    <x v="0"/>
    <n v="70.428600000000003"/>
    <n v="43"/>
    <n v="69.061000000000007"/>
    <n v="65"/>
    <n v="111.9457"/>
    <n v="16"/>
    <n v="116.2067"/>
    <n v="8"/>
    <n v="96.069199999999995"/>
    <n v="56"/>
    <n v="97.548699999999997"/>
    <n v="78"/>
    <n v="0.88212599999999997"/>
    <n v="22"/>
    <x v="7"/>
  </r>
  <r>
    <x v="11"/>
    <x v="1"/>
    <m/>
    <x v="1"/>
    <m/>
    <x v="0"/>
    <m/>
    <x v="0"/>
    <n v="62.714399999999998"/>
    <n v="296"/>
    <n v="63.569699999999997"/>
    <n v="283"/>
    <n v="102.06229999999999"/>
    <n v="163"/>
    <n v="103.9402"/>
    <n v="127"/>
    <n v="89.974400000000003"/>
    <n v="6"/>
    <n v="87.626099999999994"/>
    <n v="4"/>
    <n v="0.87690800000000002"/>
    <n v="23"/>
    <x v="7"/>
  </r>
  <r>
    <x v="18"/>
    <x v="3"/>
    <s v="x"/>
    <x v="0"/>
    <m/>
    <x v="0"/>
    <m/>
    <x v="0"/>
    <n v="67.121499999999997"/>
    <n v="137"/>
    <n v="66.871899999999997"/>
    <n v="148"/>
    <n v="107.5317"/>
    <n v="73"/>
    <n v="109.4507"/>
    <n v="47"/>
    <n v="92.569500000000005"/>
    <n v="13"/>
    <n v="92.388999999999996"/>
    <n v="18"/>
    <n v="0.87532200000000004"/>
    <n v="24"/>
    <x v="7"/>
  </r>
  <r>
    <x v="37"/>
    <x v="1"/>
    <m/>
    <x v="1"/>
    <m/>
    <x v="0"/>
    <m/>
    <x v="0"/>
    <n v="65.098699999999994"/>
    <n v="222"/>
    <n v="65.399699999999996"/>
    <n v="217"/>
    <n v="107.8438"/>
    <n v="63"/>
    <n v="108.66759999999999"/>
    <n v="58"/>
    <n v="96.354299999999995"/>
    <n v="63"/>
    <n v="91.935199999999995"/>
    <n v="15"/>
    <n v="0.87246299999999999"/>
    <n v="25"/>
    <x v="7"/>
  </r>
  <r>
    <x v="41"/>
    <x v="10"/>
    <s v="x"/>
    <x v="1"/>
    <m/>
    <x v="0"/>
    <m/>
    <x v="0"/>
    <n v="58.725900000000003"/>
    <n v="341"/>
    <n v="59.915399999999998"/>
    <n v="334"/>
    <n v="108.59650000000001"/>
    <n v="51"/>
    <n v="112.1296"/>
    <n v="29"/>
    <n v="99.506699999999995"/>
    <n v="121"/>
    <n v="95.770300000000006"/>
    <n v="56"/>
    <n v="0.85979399999999995"/>
    <n v="26"/>
    <x v="7"/>
  </r>
  <r>
    <x v="9"/>
    <x v="9"/>
    <s v="x"/>
    <x v="1"/>
    <m/>
    <x v="0"/>
    <m/>
    <x v="0"/>
    <n v="65.0779"/>
    <n v="224"/>
    <n v="64.627700000000004"/>
    <n v="247"/>
    <n v="104.59229999999999"/>
    <n v="115"/>
    <n v="108.0282"/>
    <n v="66"/>
    <n v="97.586299999999994"/>
    <n v="88"/>
    <n v="92.493499999999997"/>
    <n v="20"/>
    <n v="0.85636500000000004"/>
    <n v="27"/>
    <x v="7"/>
  </r>
  <r>
    <x v="34"/>
    <x v="6"/>
    <s v="x"/>
    <x v="1"/>
    <m/>
    <x v="0"/>
    <m/>
    <x v="0"/>
    <n v="67.539100000000005"/>
    <n v="131"/>
    <n v="66.141099999999994"/>
    <n v="174"/>
    <n v="106.66589999999999"/>
    <n v="79"/>
    <n v="109.2162"/>
    <n v="51"/>
    <n v="96.383399999999995"/>
    <n v="65"/>
    <n v="93.570899999999995"/>
    <n v="31"/>
    <n v="0.85545199999999999"/>
    <n v="28"/>
    <x v="7"/>
  </r>
  <r>
    <x v="26"/>
    <x v="6"/>
    <m/>
    <x v="1"/>
    <m/>
    <x v="0"/>
    <m/>
    <x v="0"/>
    <n v="66.184200000000004"/>
    <n v="175"/>
    <n v="67.169799999999995"/>
    <n v="135"/>
    <n v="112.23350000000001"/>
    <n v="14"/>
    <n v="115.70489999999999"/>
    <n v="10"/>
    <n v="101.88979999999999"/>
    <n v="188"/>
    <n v="99.332800000000006"/>
    <n v="124"/>
    <n v="0.852522"/>
    <n v="29"/>
    <x v="7"/>
  </r>
  <r>
    <x v="180"/>
    <x v="1"/>
    <m/>
    <x v="1"/>
    <m/>
    <x v="0"/>
    <m/>
    <x v="0"/>
    <n v="68.257999999999996"/>
    <n v="104"/>
    <n v="66.983699999999999"/>
    <n v="144"/>
    <n v="100.44880000000001"/>
    <n v="187"/>
    <n v="104.7221"/>
    <n v="110"/>
    <n v="94.917400000000001"/>
    <n v="41"/>
    <n v="89.948899999999995"/>
    <n v="6"/>
    <n v="0.85179899999999997"/>
    <n v="30"/>
    <x v="7"/>
  </r>
  <r>
    <x v="38"/>
    <x v="8"/>
    <s v="x"/>
    <x v="1"/>
    <m/>
    <x v="0"/>
    <m/>
    <x v="0"/>
    <n v="72.418700000000001"/>
    <n v="16"/>
    <n v="70.432900000000004"/>
    <n v="34"/>
    <n v="111.4555"/>
    <n v="20"/>
    <n v="112.8104"/>
    <n v="22"/>
    <n v="101.5167"/>
    <n v="176"/>
    <n v="96.962199999999996"/>
    <n v="68"/>
    <n v="0.85080699999999998"/>
    <n v="31"/>
    <x v="7"/>
  </r>
  <r>
    <x v="15"/>
    <x v="8"/>
    <m/>
    <x v="1"/>
    <m/>
    <x v="0"/>
    <m/>
    <x v="0"/>
    <n v="61.712299999999999"/>
    <n v="318"/>
    <n v="63.355899999999998"/>
    <n v="288"/>
    <n v="107.6511"/>
    <n v="69"/>
    <n v="113.0316"/>
    <n v="18"/>
    <n v="99.724599999999995"/>
    <n v="131"/>
    <n v="97.763599999999997"/>
    <n v="84"/>
    <n v="0.84141999999999995"/>
    <n v="33"/>
    <x v="7"/>
  </r>
  <r>
    <x v="75"/>
    <x v="7"/>
    <m/>
    <x v="1"/>
    <m/>
    <x v="0"/>
    <m/>
    <x v="0"/>
    <n v="62.612099999999998"/>
    <n v="298"/>
    <n v="63.422800000000002"/>
    <n v="286"/>
    <n v="106.91330000000001"/>
    <n v="78"/>
    <n v="108.4606"/>
    <n v="60"/>
    <n v="92.915099999999995"/>
    <n v="15"/>
    <n v="94.121200000000002"/>
    <n v="36"/>
    <n v="0.83627200000000002"/>
    <n v="35"/>
    <x v="7"/>
  </r>
  <r>
    <x v="141"/>
    <x v="7"/>
    <m/>
    <x v="1"/>
    <m/>
    <x v="0"/>
    <m/>
    <x v="0"/>
    <n v="71.5625"/>
    <n v="27"/>
    <n v="68.968699999999998"/>
    <n v="67"/>
    <n v="109.1284"/>
    <n v="44"/>
    <n v="113.3582"/>
    <n v="17"/>
    <n v="101.178"/>
    <n v="168"/>
    <n v="98.644999999999996"/>
    <n v="105"/>
    <n v="0.83184800000000003"/>
    <n v="36"/>
    <x v="7"/>
  </r>
  <r>
    <x v="124"/>
    <x v="9"/>
    <m/>
    <x v="1"/>
    <m/>
    <x v="0"/>
    <m/>
    <x v="0"/>
    <n v="63.649299999999997"/>
    <n v="277"/>
    <n v="65.376599999999996"/>
    <n v="218"/>
    <n v="103.44329999999999"/>
    <n v="136"/>
    <n v="105.0415"/>
    <n v="102"/>
    <n v="95.924599999999998"/>
    <n v="53"/>
    <n v="91.428299999999993"/>
    <n v="13"/>
    <n v="0.831488"/>
    <n v="37"/>
    <x v="7"/>
  </r>
  <r>
    <x v="10"/>
    <x v="10"/>
    <s v="x"/>
    <x v="0"/>
    <m/>
    <x v="0"/>
    <m/>
    <x v="0"/>
    <n v="64.403599999999997"/>
    <n v="262"/>
    <n v="65.537499999999994"/>
    <n v="208"/>
    <n v="111.43049999999999"/>
    <n v="21"/>
    <n v="116.26260000000001"/>
    <n v="7"/>
    <n v="105.8351"/>
    <n v="267"/>
    <n v="101.3051"/>
    <n v="165"/>
    <n v="0.82972999999999997"/>
    <n v="38"/>
    <x v="7"/>
  </r>
  <r>
    <x v="145"/>
    <x v="7"/>
    <s v="x"/>
    <x v="1"/>
    <m/>
    <x v="0"/>
    <m/>
    <x v="0"/>
    <n v="65.992999999999995"/>
    <n v="181"/>
    <n v="65.094099999999997"/>
    <n v="231"/>
    <n v="107.8173"/>
    <n v="64"/>
    <n v="111.4631"/>
    <n v="33"/>
    <n v="100.2696"/>
    <n v="145"/>
    <n v="97.822000000000003"/>
    <n v="86"/>
    <n v="0.81776199999999999"/>
    <n v="43"/>
    <x v="7"/>
  </r>
  <r>
    <x v="169"/>
    <x v="12"/>
    <m/>
    <x v="1"/>
    <m/>
    <x v="0"/>
    <m/>
    <x v="0"/>
    <n v="65.133700000000005"/>
    <n v="221"/>
    <n v="64.401899999999998"/>
    <n v="260"/>
    <n v="105.8472"/>
    <n v="88"/>
    <n v="107.9807"/>
    <n v="67"/>
    <n v="97.412800000000004"/>
    <n v="87"/>
    <n v="95.004900000000006"/>
    <n v="43"/>
    <n v="0.81340299999999999"/>
    <n v="44"/>
    <x v="7"/>
  </r>
  <r>
    <x v="181"/>
    <x v="9"/>
    <s v="x"/>
    <x v="1"/>
    <m/>
    <x v="0"/>
    <m/>
    <x v="0"/>
    <n v="62.2883"/>
    <n v="309"/>
    <n v="64.132000000000005"/>
    <n v="267"/>
    <n v="105.57380000000001"/>
    <n v="92"/>
    <n v="110.80840000000001"/>
    <n v="36"/>
    <n v="100.68810000000001"/>
    <n v="157"/>
    <n v="97.522000000000006"/>
    <n v="77"/>
    <n v="0.81288000000000005"/>
    <n v="45"/>
    <x v="7"/>
  </r>
  <r>
    <x v="67"/>
    <x v="8"/>
    <s v="x"/>
    <x v="1"/>
    <m/>
    <x v="0"/>
    <m/>
    <x v="0"/>
    <n v="68.184899999999999"/>
    <n v="106"/>
    <n v="66.868700000000004"/>
    <n v="149"/>
    <n v="109.1335"/>
    <n v="43"/>
    <n v="109.0287"/>
    <n v="55"/>
    <n v="95.348500000000001"/>
    <n v="45"/>
    <n v="96.242199999999997"/>
    <n v="61"/>
    <n v="0.80760900000000002"/>
    <n v="47"/>
    <x v="7"/>
  </r>
  <r>
    <x v="3"/>
    <x v="9"/>
    <s v="x"/>
    <x v="1"/>
    <m/>
    <x v="0"/>
    <m/>
    <x v="0"/>
    <n v="68.746700000000004"/>
    <n v="92"/>
    <n v="67.2714"/>
    <n v="129"/>
    <n v="103.1284"/>
    <n v="141"/>
    <n v="107.6215"/>
    <n v="74"/>
    <n v="98.89"/>
    <n v="111"/>
    <n v="95.117099999999994"/>
    <n v="45"/>
    <n v="0.80539899999999998"/>
    <n v="48"/>
    <x v="7"/>
  </r>
  <r>
    <x v="109"/>
    <x v="12"/>
    <m/>
    <x v="1"/>
    <m/>
    <x v="0"/>
    <m/>
    <x v="0"/>
    <n v="66.120900000000006"/>
    <n v="178"/>
    <n v="67.092299999999994"/>
    <n v="138"/>
    <n v="108.2766"/>
    <n v="55"/>
    <n v="107.9363"/>
    <n v="68"/>
    <n v="94.858500000000006"/>
    <n v="39"/>
    <n v="95.493700000000004"/>
    <n v="51"/>
    <n v="0.80353399999999997"/>
    <n v="49"/>
    <x v="7"/>
  </r>
  <r>
    <x v="84"/>
    <x v="12"/>
    <m/>
    <x v="1"/>
    <m/>
    <x v="0"/>
    <m/>
    <x v="0"/>
    <n v="61.518500000000003"/>
    <n v="322"/>
    <n v="61.238799999999998"/>
    <n v="324"/>
    <n v="117.6271"/>
    <n v="1"/>
    <n v="114.9799"/>
    <n v="13"/>
    <n v="100.5955"/>
    <n v="152"/>
    <n v="102.078"/>
    <n v="175"/>
    <n v="0.79717499999999997"/>
    <n v="52"/>
    <x v="7"/>
  </r>
  <r>
    <x v="59"/>
    <x v="7"/>
    <s v="x"/>
    <x v="1"/>
    <m/>
    <x v="0"/>
    <m/>
    <x v="0"/>
    <n v="71.967399999999998"/>
    <n v="22"/>
    <n v="71.873199999999997"/>
    <n v="16"/>
    <n v="107.60250000000001"/>
    <n v="70"/>
    <n v="110.11920000000001"/>
    <n v="41"/>
    <n v="96.841099999999997"/>
    <n v="75"/>
    <n v="98.467299999999994"/>
    <n v="95"/>
    <n v="0.78349299999999999"/>
    <n v="60"/>
    <x v="7"/>
  </r>
  <r>
    <x v="182"/>
    <x v="11"/>
    <s v="x"/>
    <x v="1"/>
    <m/>
    <x v="0"/>
    <m/>
    <x v="0"/>
    <n v="64.316400000000002"/>
    <n v="265"/>
    <n v="64.5792"/>
    <n v="251"/>
    <n v="101.0395"/>
    <n v="174"/>
    <n v="103.90430000000001"/>
    <n v="129"/>
    <n v="92.860500000000002"/>
    <n v="14"/>
    <n v="93.221000000000004"/>
    <n v="26"/>
    <n v="0.77690599999999999"/>
    <n v="61"/>
    <x v="7"/>
  </r>
  <r>
    <x v="16"/>
    <x v="11"/>
    <m/>
    <x v="1"/>
    <m/>
    <x v="0"/>
    <m/>
    <x v="0"/>
    <n v="69.860399999999998"/>
    <n v="59"/>
    <n v="68.2547"/>
    <n v="93"/>
    <n v="104.2522"/>
    <n v="120"/>
    <n v="106.2569"/>
    <n v="88"/>
    <n v="97.165899999999993"/>
    <n v="81"/>
    <n v="95.5351"/>
    <n v="52"/>
    <n v="0.77262900000000001"/>
    <n v="63"/>
    <x v="7"/>
  </r>
  <r>
    <x v="48"/>
    <x v="6"/>
    <m/>
    <x v="1"/>
    <m/>
    <x v="0"/>
    <m/>
    <x v="0"/>
    <n v="67.689300000000003"/>
    <n v="123"/>
    <n v="66.484999999999999"/>
    <n v="162"/>
    <n v="109.90949999999999"/>
    <n v="30"/>
    <n v="111.7364"/>
    <n v="32"/>
    <n v="103.5741"/>
    <n v="226"/>
    <n v="100.6032"/>
    <n v="148"/>
    <n v="0.76977200000000001"/>
    <n v="64"/>
    <x v="7"/>
  </r>
  <r>
    <x v="183"/>
    <x v="13"/>
    <m/>
    <x v="1"/>
    <m/>
    <x v="0"/>
    <m/>
    <x v="0"/>
    <n v="67.583500000000001"/>
    <n v="128"/>
    <n v="68.648399999999995"/>
    <n v="79"/>
    <n v="114.6974"/>
    <n v="6"/>
    <n v="112.5865"/>
    <n v="26"/>
    <n v="99.988299999999995"/>
    <n v="139"/>
    <n v="102.02719999999999"/>
    <n v="174"/>
    <n v="0.75630900000000001"/>
    <n v="73"/>
    <x v="7"/>
  </r>
  <r>
    <x v="111"/>
    <x v="10"/>
    <m/>
    <x v="1"/>
    <m/>
    <x v="0"/>
    <m/>
    <x v="0"/>
    <n v="61.311"/>
    <n v="325"/>
    <n v="61.855400000000003"/>
    <n v="318"/>
    <n v="108.1962"/>
    <n v="56"/>
    <n v="109.1155"/>
    <n v="53"/>
    <n v="102.1995"/>
    <n v="198"/>
    <n v="99.241100000000003"/>
    <n v="122"/>
    <n v="0.74853800000000004"/>
    <n v="76"/>
    <x v="7"/>
  </r>
  <r>
    <x v="72"/>
    <x v="12"/>
    <s v="x"/>
    <x v="1"/>
    <m/>
    <x v="0"/>
    <m/>
    <x v="0"/>
    <n v="65.5077"/>
    <n v="204"/>
    <n v="65.585300000000004"/>
    <n v="203"/>
    <n v="102.1484"/>
    <n v="160"/>
    <n v="102.3203"/>
    <n v="150"/>
    <n v="92.946700000000007"/>
    <n v="16"/>
    <n v="93.921499999999995"/>
    <n v="35"/>
    <n v="0.72809199999999996"/>
    <n v="83"/>
    <x v="7"/>
  </r>
  <r>
    <x v="184"/>
    <x v="13"/>
    <m/>
    <x v="1"/>
    <m/>
    <x v="0"/>
    <m/>
    <x v="0"/>
    <n v="64.377399999999994"/>
    <n v="264"/>
    <n v="62.919499999999999"/>
    <n v="300"/>
    <n v="98.13"/>
    <n v="227"/>
    <n v="97.094499999999996"/>
    <n v="248"/>
    <n v="88.648700000000005"/>
    <n v="2"/>
    <n v="90.441199999999995"/>
    <n v="7"/>
    <n v="0.69345699999999999"/>
    <n v="86"/>
    <x v="7"/>
  </r>
  <r>
    <x v="35"/>
    <x v="10"/>
    <s v="x"/>
    <x v="1"/>
    <m/>
    <x v="0"/>
    <m/>
    <x v="0"/>
    <n v="65.9726"/>
    <n v="182"/>
    <n v="65.903499999999994"/>
    <n v="187"/>
    <n v="109.5453"/>
    <n v="37"/>
    <n v="109.2259"/>
    <n v="50"/>
    <n v="101.57599999999999"/>
    <n v="178"/>
    <n v="101.75279999999999"/>
    <n v="170"/>
    <n v="0.69318100000000005"/>
    <n v="87"/>
    <x v="7"/>
  </r>
  <r>
    <x v="185"/>
    <x v="11"/>
    <m/>
    <x v="1"/>
    <m/>
    <x v="0"/>
    <m/>
    <x v="0"/>
    <n v="64.793800000000005"/>
    <n v="246"/>
    <n v="66.012600000000006"/>
    <n v="180"/>
    <n v="101.2427"/>
    <n v="172"/>
    <n v="101.256"/>
    <n v="170"/>
    <n v="92.160600000000002"/>
    <n v="10"/>
    <n v="95.038899999999998"/>
    <n v="44"/>
    <n v="0.67452299999999998"/>
    <n v="91"/>
    <x v="7"/>
  </r>
  <r>
    <x v="175"/>
    <x v="13"/>
    <m/>
    <x v="1"/>
    <m/>
    <x v="0"/>
    <m/>
    <x v="0"/>
    <n v="61.040700000000001"/>
    <n v="327"/>
    <n v="61.164200000000001"/>
    <n v="325"/>
    <n v="105.1724"/>
    <n v="101"/>
    <n v="103.9704"/>
    <n v="126"/>
    <n v="94.454099999999997"/>
    <n v="30"/>
    <n v="98.721199999999996"/>
    <n v="108"/>
    <n v="0.64469100000000001"/>
    <n v="103"/>
    <x v="7"/>
  </r>
  <r>
    <x v="89"/>
    <x v="15"/>
    <m/>
    <x v="1"/>
    <m/>
    <x v="0"/>
    <m/>
    <x v="0"/>
    <n v="72.094300000000004"/>
    <n v="17"/>
    <n v="70.990499999999997"/>
    <n v="24"/>
    <n v="107.67"/>
    <n v="67"/>
    <n v="105.0436"/>
    <n v="101"/>
    <n v="96.7363"/>
    <n v="71"/>
    <n v="100.24120000000001"/>
    <n v="142"/>
    <n v="0.631382"/>
    <n v="106"/>
    <x v="7"/>
  </r>
  <r>
    <x v="186"/>
    <x v="14"/>
    <m/>
    <x v="1"/>
    <m/>
    <x v="0"/>
    <m/>
    <x v="0"/>
    <n v="71.602500000000006"/>
    <n v="26"/>
    <n v="72.908799999999999"/>
    <n v="12"/>
    <n v="102.0672"/>
    <n v="162"/>
    <n v="99.728999999999999"/>
    <n v="206"/>
    <n v="97.228899999999996"/>
    <n v="83"/>
    <n v="95.380099999999999"/>
    <n v="50"/>
    <n v="0.62544900000000003"/>
    <n v="109"/>
    <x v="7"/>
  </r>
  <r>
    <x v="171"/>
    <x v="13"/>
    <m/>
    <x v="1"/>
    <m/>
    <x v="0"/>
    <m/>
    <x v="0"/>
    <n v="66.423100000000005"/>
    <n v="163"/>
    <n v="66.832999999999998"/>
    <n v="151"/>
    <n v="109.0291"/>
    <n v="46"/>
    <n v="106.1421"/>
    <n v="91"/>
    <n v="96.784300000000002"/>
    <n v="72"/>
    <n v="101.8901"/>
    <n v="172"/>
    <n v="0.61542399999999997"/>
    <n v="113"/>
    <x v="7"/>
  </r>
  <r>
    <x v="172"/>
    <x v="11"/>
    <m/>
    <x v="1"/>
    <m/>
    <x v="0"/>
    <m/>
    <x v="0"/>
    <n v="65.8934"/>
    <n v="186"/>
    <n v="65.987099999999998"/>
    <n v="183"/>
    <n v="109.4819"/>
    <n v="39"/>
    <n v="107.8385"/>
    <n v="70"/>
    <n v="101.5784"/>
    <n v="179"/>
    <n v="104.1996"/>
    <n v="225"/>
    <n v="0.59742700000000004"/>
    <n v="116"/>
    <x v="7"/>
  </r>
  <r>
    <x v="187"/>
    <x v="14"/>
    <m/>
    <x v="1"/>
    <m/>
    <x v="0"/>
    <m/>
    <x v="0"/>
    <n v="66.097300000000004"/>
    <n v="179"/>
    <n v="66.271000000000001"/>
    <n v="171"/>
    <n v="101.51860000000001"/>
    <n v="168"/>
    <n v="99.320499999999996"/>
    <n v="215"/>
    <n v="93.167699999999996"/>
    <n v="17"/>
    <n v="97.501900000000006"/>
    <n v="76"/>
    <n v="0.55293199999999998"/>
    <n v="134"/>
    <x v="7"/>
  </r>
  <r>
    <x v="188"/>
    <x v="14"/>
    <m/>
    <x v="1"/>
    <m/>
    <x v="0"/>
    <m/>
    <x v="0"/>
    <n v="67.146299999999997"/>
    <n v="136"/>
    <n v="66.702100000000002"/>
    <n v="155"/>
    <n v="105.108"/>
    <n v="104"/>
    <n v="100.0742"/>
    <n v="201"/>
    <n v="96.299800000000005"/>
    <n v="60"/>
    <n v="98.495199999999997"/>
    <n v="99"/>
    <n v="0.545597"/>
    <n v="137"/>
    <x v="7"/>
  </r>
  <r>
    <x v="189"/>
    <x v="15"/>
    <m/>
    <x v="1"/>
    <m/>
    <x v="0"/>
    <m/>
    <x v="0"/>
    <n v="66.876900000000006"/>
    <n v="147"/>
    <n v="66.088200000000001"/>
    <n v="177"/>
    <n v="103.6198"/>
    <n v="130"/>
    <n v="101.6664"/>
    <n v="158"/>
    <n v="102.6229"/>
    <n v="205"/>
    <n v="101.3664"/>
    <n v="166"/>
    <n v="0.508494"/>
    <n v="158"/>
    <x v="7"/>
  </r>
  <r>
    <x v="190"/>
    <x v="14"/>
    <m/>
    <x v="1"/>
    <m/>
    <x v="0"/>
    <m/>
    <x v="0"/>
    <n v="66.992599999999996"/>
    <n v="142"/>
    <n v="68.412700000000001"/>
    <n v="89"/>
    <n v="103.2525"/>
    <n v="138"/>
    <n v="101.13590000000001"/>
    <n v="173"/>
    <n v="98.519400000000005"/>
    <n v="102"/>
    <n v="101.0018"/>
    <n v="158"/>
    <n v="0.50381699999999996"/>
    <n v="161"/>
    <x v="7"/>
  </r>
  <r>
    <x v="191"/>
    <x v="15"/>
    <m/>
    <x v="1"/>
    <m/>
    <x v="0"/>
    <m/>
    <x v="0"/>
    <n v="71.174300000000002"/>
    <n v="31"/>
    <n v="69.884500000000003"/>
    <n v="48"/>
    <n v="102.7826"/>
    <n v="147"/>
    <n v="101.2514"/>
    <n v="171"/>
    <n v="99.534300000000002"/>
    <n v="124"/>
    <n v="101.2088"/>
    <n v="162"/>
    <n v="0.50121000000000004"/>
    <n v="164"/>
    <x v="7"/>
  </r>
  <r>
    <x v="119"/>
    <x v="15"/>
    <m/>
    <x v="1"/>
    <m/>
    <x v="0"/>
    <m/>
    <x v="0"/>
    <n v="66.169399999999996"/>
    <n v="177"/>
    <n v="64.518799999999999"/>
    <n v="255"/>
    <n v="105.2414"/>
    <n v="98"/>
    <n v="101.0658"/>
    <n v="176"/>
    <n v="96.465000000000003"/>
    <n v="66"/>
    <n v="102.7761"/>
    <n v="190"/>
    <n v="0.451903"/>
    <n v="185"/>
    <x v="7"/>
  </r>
  <r>
    <x v="135"/>
    <x v="15"/>
    <m/>
    <x v="1"/>
    <m/>
    <x v="0"/>
    <m/>
    <x v="0"/>
    <n v="70.836299999999994"/>
    <n v="37"/>
    <n v="70.296099999999996"/>
    <n v="36"/>
    <n v="105.20489999999999"/>
    <n v="100"/>
    <n v="104.5025"/>
    <n v="114"/>
    <n v="106.5386"/>
    <n v="279"/>
    <n v="107.8091"/>
    <n v="293"/>
    <n v="0.41138599999999997"/>
    <n v="200"/>
    <x v="7"/>
  </r>
  <r>
    <x v="2"/>
    <x v="0"/>
    <s v="x"/>
    <x v="1"/>
    <m/>
    <x v="0"/>
    <m/>
    <x v="0"/>
    <n v="69.918899999999994"/>
    <n v="68"/>
    <n v="68.384699999999995"/>
    <n v="119"/>
    <n v="116.1563"/>
    <n v="4"/>
    <n v="118.87779999999999"/>
    <n v="1"/>
    <n v="91.097700000000003"/>
    <n v="9"/>
    <n v="88.795000000000002"/>
    <n v="5"/>
    <n v="0.96627799999999997"/>
    <n v="1"/>
    <x v="8"/>
  </r>
  <r>
    <x v="0"/>
    <x v="0"/>
    <s v="x"/>
    <x v="0"/>
    <s v="x"/>
    <x v="1"/>
    <s v="x"/>
    <x v="1"/>
    <n v="67.622799999999998"/>
    <n v="158"/>
    <n v="66.684299999999993"/>
    <n v="198"/>
    <n v="114.7741"/>
    <n v="6"/>
    <n v="116.9563"/>
    <n v="6"/>
    <n v="91.28"/>
    <n v="10"/>
    <n v="89.206100000000006"/>
    <n v="6"/>
    <n v="0.95749799999999996"/>
    <n v="2"/>
    <x v="8"/>
  </r>
  <r>
    <x v="68"/>
    <x v="0"/>
    <s v="x"/>
    <x v="0"/>
    <m/>
    <x v="0"/>
    <m/>
    <x v="0"/>
    <n v="71.3215"/>
    <n v="30"/>
    <n v="70.744100000000003"/>
    <n v="37"/>
    <n v="114.26600000000001"/>
    <n v="7"/>
    <n v="115.7085"/>
    <n v="10"/>
    <n v="94.187799999999996"/>
    <n v="40"/>
    <n v="91.889099999999999"/>
    <n v="22"/>
    <n v="0.93405099999999996"/>
    <n v="3"/>
    <x v="8"/>
  </r>
  <r>
    <x v="15"/>
    <x v="2"/>
    <s v="x"/>
    <x v="0"/>
    <m/>
    <x v="0"/>
    <m/>
    <x v="0"/>
    <n v="64.750699999999995"/>
    <n v="281"/>
    <n v="65.824100000000001"/>
    <n v="236"/>
    <n v="113.6388"/>
    <n v="9"/>
    <n v="116.15819999999999"/>
    <n v="8"/>
    <n v="94.143199999999993"/>
    <n v="39"/>
    <n v="92.656400000000005"/>
    <n v="29"/>
    <n v="0.93083800000000005"/>
    <n v="4"/>
    <x v="8"/>
  </r>
  <r>
    <x v="126"/>
    <x v="2"/>
    <s v="x"/>
    <x v="0"/>
    <s v="x"/>
    <x v="1"/>
    <m/>
    <x v="0"/>
    <n v="63.989100000000001"/>
    <n v="298"/>
    <n v="63.412999999999997"/>
    <n v="312"/>
    <n v="111.91119999999999"/>
    <n v="17"/>
    <n v="115.8246"/>
    <n v="9"/>
    <n v="97.724599999999995"/>
    <n v="98"/>
    <n v="92.837599999999995"/>
    <n v="31"/>
    <n v="0.92717499999999997"/>
    <n v="5"/>
    <x v="8"/>
  </r>
  <r>
    <x v="12"/>
    <x v="0"/>
    <s v="x"/>
    <x v="0"/>
    <s v="x"/>
    <x v="0"/>
    <m/>
    <x v="0"/>
    <n v="70.251800000000003"/>
    <n v="57"/>
    <n v="69.402600000000007"/>
    <n v="71"/>
    <n v="111.7162"/>
    <n v="19"/>
    <n v="111.7599"/>
    <n v="26"/>
    <n v="92.029399999999995"/>
    <n v="21"/>
    <n v="89.6768"/>
    <n v="9"/>
    <n v="0.92632899999999996"/>
    <n v="6"/>
    <x v="8"/>
  </r>
  <r>
    <x v="167"/>
    <x v="2"/>
    <s v="x"/>
    <x v="0"/>
    <s v="x"/>
    <x v="0"/>
    <m/>
    <x v="0"/>
    <n v="72.0244"/>
    <n v="24"/>
    <n v="71.048000000000002"/>
    <n v="31"/>
    <n v="109.5895"/>
    <n v="33"/>
    <n v="113.9432"/>
    <n v="17"/>
    <n v="95.613600000000005"/>
    <n v="50"/>
    <n v="91.5124"/>
    <n v="19"/>
    <n v="0.92560699999999996"/>
    <n v="7"/>
    <x v="8"/>
  </r>
  <r>
    <x v="41"/>
    <x v="3"/>
    <s v="x"/>
    <x v="1"/>
    <m/>
    <x v="0"/>
    <m/>
    <x v="0"/>
    <n v="60.0458"/>
    <n v="341"/>
    <n v="60.210900000000002"/>
    <n v="340"/>
    <n v="111.4756"/>
    <n v="21"/>
    <n v="113.3768"/>
    <n v="19"/>
    <n v="92.853899999999996"/>
    <n v="28"/>
    <n v="91.376999999999995"/>
    <n v="16"/>
    <n v="0.922786"/>
    <n v="8"/>
    <x v="8"/>
  </r>
  <r>
    <x v="140"/>
    <x v="4"/>
    <m/>
    <x v="1"/>
    <m/>
    <x v="0"/>
    <m/>
    <x v="0"/>
    <n v="66.591300000000004"/>
    <n v="214"/>
    <n v="66.566199999999995"/>
    <n v="207"/>
    <n v="109.9958"/>
    <n v="31"/>
    <n v="115.21939999999999"/>
    <n v="12"/>
    <n v="97.787899999999993"/>
    <n v="100"/>
    <n v="93.512100000000004"/>
    <n v="37"/>
    <n v="0.91687200000000002"/>
    <n v="9"/>
    <x v="8"/>
  </r>
  <r>
    <x v="70"/>
    <x v="6"/>
    <s v="x"/>
    <x v="1"/>
    <m/>
    <x v="0"/>
    <m/>
    <x v="0"/>
    <n v="71.448899999999995"/>
    <n v="29"/>
    <n v="72.818600000000004"/>
    <n v="12"/>
    <n v="115.54770000000001"/>
    <n v="5"/>
    <n v="115.5427"/>
    <n v="11"/>
    <n v="91.659499999999994"/>
    <n v="12"/>
    <n v="93.917599999999993"/>
    <n v="44"/>
    <n v="0.91552599999999995"/>
    <n v="10"/>
    <x v="8"/>
  </r>
  <r>
    <x v="168"/>
    <x v="4"/>
    <s v="x"/>
    <x v="0"/>
    <s v="x"/>
    <x v="0"/>
    <m/>
    <x v="0"/>
    <n v="67.519000000000005"/>
    <n v="164"/>
    <n v="65.818399999999997"/>
    <n v="237"/>
    <n v="112.7598"/>
    <n v="12"/>
    <n v="117.53"/>
    <n v="4"/>
    <n v="98.089799999999997"/>
    <n v="106"/>
    <n v="95.608000000000004"/>
    <n v="60"/>
    <n v="0.914825"/>
    <n v="11"/>
    <x v="8"/>
  </r>
  <r>
    <x v="169"/>
    <x v="1"/>
    <m/>
    <x v="1"/>
    <m/>
    <x v="0"/>
    <m/>
    <x v="0"/>
    <n v="62.057099999999998"/>
    <n v="329"/>
    <n v="61.204099999999997"/>
    <n v="336"/>
    <n v="104.0827"/>
    <n v="112"/>
    <n v="105.8365"/>
    <n v="92"/>
    <n v="89.364400000000003"/>
    <n v="4"/>
    <n v="86.539599999999993"/>
    <n v="2"/>
    <n v="0.91010100000000005"/>
    <n v="12"/>
    <x v="8"/>
  </r>
  <r>
    <x v="3"/>
    <x v="3"/>
    <s v="x"/>
    <x v="1"/>
    <m/>
    <x v="0"/>
    <m/>
    <x v="0"/>
    <n v="70.327100000000002"/>
    <n v="53"/>
    <n v="70.172899999999998"/>
    <n v="51"/>
    <n v="111.324"/>
    <n v="23"/>
    <n v="116.2984"/>
    <n v="7"/>
    <n v="95.808700000000002"/>
    <n v="53"/>
    <n v="95.673500000000004"/>
    <n v="61"/>
    <n v="0.90421799999999997"/>
    <n v="13"/>
    <x v="8"/>
  </r>
  <r>
    <x v="121"/>
    <x v="2"/>
    <s v="x"/>
    <x v="1"/>
    <m/>
    <x v="0"/>
    <m/>
    <x v="0"/>
    <n v="72.532799999999995"/>
    <n v="20"/>
    <n v="72.865600000000001"/>
    <n v="11"/>
    <n v="113.4836"/>
    <n v="10"/>
    <n v="116.99809999999999"/>
    <n v="5"/>
    <n v="100.265"/>
    <n v="149"/>
    <n v="96.3553"/>
    <n v="67"/>
    <n v="0.903115"/>
    <n v="14"/>
    <x v="8"/>
  </r>
  <r>
    <x v="74"/>
    <x v="3"/>
    <s v="x"/>
    <x v="0"/>
    <m/>
    <x v="0"/>
    <m/>
    <x v="0"/>
    <n v="66.738299999999995"/>
    <n v="203"/>
    <n v="67.150599999999997"/>
    <n v="180"/>
    <n v="106.5055"/>
    <n v="80"/>
    <n v="107.2779"/>
    <n v="71"/>
    <n v="91.453999999999994"/>
    <n v="11"/>
    <n v="88.759299999999996"/>
    <n v="4"/>
    <n v="0.89836400000000005"/>
    <n v="15"/>
    <x v="8"/>
  </r>
  <r>
    <x v="75"/>
    <x v="1"/>
    <s v="x"/>
    <x v="0"/>
    <s v="x"/>
    <x v="1"/>
    <s v="x"/>
    <x v="0"/>
    <n v="64.527299999999997"/>
    <n v="287"/>
    <n v="65.161699999999996"/>
    <n v="269"/>
    <n v="108.49290000000001"/>
    <n v="47"/>
    <n v="108.1695"/>
    <n v="55"/>
    <n v="92.537199999999999"/>
    <n v="24"/>
    <n v="89.628600000000006"/>
    <n v="8"/>
    <n v="0.89681200000000005"/>
    <n v="16"/>
    <x v="8"/>
  </r>
  <r>
    <x v="145"/>
    <x v="1"/>
    <s v="x"/>
    <x v="1"/>
    <m/>
    <x v="0"/>
    <m/>
    <x v="0"/>
    <n v="66.494299999999996"/>
    <n v="222"/>
    <n v="65.627499999999998"/>
    <n v="246"/>
    <n v="107.133"/>
    <n v="64"/>
    <n v="109.98560000000001"/>
    <n v="43"/>
    <n v="97.105199999999996"/>
    <n v="84"/>
    <n v="91.801500000000004"/>
    <n v="21"/>
    <n v="0.88877499999999998"/>
    <n v="17"/>
    <x v="8"/>
  </r>
  <r>
    <x v="84"/>
    <x v="10"/>
    <m/>
    <x v="1"/>
    <m/>
    <x v="0"/>
    <m/>
    <x v="0"/>
    <n v="62.666499999999999"/>
    <n v="322"/>
    <n v="61.534700000000001"/>
    <n v="332"/>
    <n v="117.1305"/>
    <n v="1"/>
    <n v="113.6422"/>
    <n v="18"/>
    <n v="95.665499999999994"/>
    <n v="51"/>
    <n v="95.405699999999996"/>
    <n v="58"/>
    <n v="0.88200299999999998"/>
    <n v="18"/>
    <x v="8"/>
  </r>
  <r>
    <x v="26"/>
    <x v="8"/>
    <s v="x"/>
    <x v="1"/>
    <m/>
    <x v="0"/>
    <m/>
    <x v="0"/>
    <n v="68.562100000000001"/>
    <n v="116"/>
    <n v="68.461100000000002"/>
    <n v="113"/>
    <n v="114.0441"/>
    <n v="8"/>
    <n v="117.8527"/>
    <n v="3"/>
    <n v="99.397999999999996"/>
    <n v="132"/>
    <n v="99.062100000000001"/>
    <n v="122"/>
    <n v="0.88052600000000003"/>
    <n v="19"/>
    <x v="8"/>
  </r>
  <r>
    <x v="18"/>
    <x v="5"/>
    <s v="x"/>
    <x v="0"/>
    <m/>
    <x v="0"/>
    <m/>
    <x v="0"/>
    <n v="70.519599999999997"/>
    <n v="46"/>
    <n v="70.736599999999996"/>
    <n v="38"/>
    <n v="110.8022"/>
    <n v="26"/>
    <n v="114.0637"/>
    <n v="15"/>
    <n v="95.688000000000002"/>
    <n v="52"/>
    <n v="95.887900000000002"/>
    <n v="64"/>
    <n v="0.88039000000000001"/>
    <n v="20"/>
    <x v="8"/>
  </r>
  <r>
    <x v="111"/>
    <x v="7"/>
    <s v="x"/>
    <x v="0"/>
    <m/>
    <x v="0"/>
    <m/>
    <x v="0"/>
    <n v="59.076599999999999"/>
    <n v="345"/>
    <n v="59.9"/>
    <n v="342"/>
    <n v="107.26860000000001"/>
    <n v="60"/>
    <n v="106.1109"/>
    <n v="86"/>
    <n v="91.691500000000005"/>
    <n v="15"/>
    <n v="89.247500000000002"/>
    <n v="7"/>
    <n v="0.87977700000000003"/>
    <n v="21"/>
    <x v="8"/>
  </r>
  <r>
    <x v="27"/>
    <x v="1"/>
    <s v="x"/>
    <x v="0"/>
    <s v="x"/>
    <x v="1"/>
    <m/>
    <x v="0"/>
    <n v="66.673000000000002"/>
    <n v="209"/>
    <n v="67.115899999999996"/>
    <n v="182"/>
    <n v="108.39230000000001"/>
    <n v="49"/>
    <n v="109.21469999999999"/>
    <n v="47"/>
    <n v="95.432599999999994"/>
    <n v="45"/>
    <n v="91.951999999999998"/>
    <n v="23"/>
    <n v="0.87852699999999995"/>
    <n v="22"/>
    <x v="8"/>
  </r>
  <r>
    <x v="6"/>
    <x v="5"/>
    <m/>
    <x v="1"/>
    <m/>
    <x v="0"/>
    <m/>
    <x v="0"/>
    <n v="64.580200000000005"/>
    <n v="286"/>
    <n v="63.774900000000002"/>
    <n v="303"/>
    <n v="111.18040000000001"/>
    <n v="24"/>
    <n v="111.824"/>
    <n v="24"/>
    <n v="98.190899999999999"/>
    <n v="108"/>
    <n v="94.228700000000003"/>
    <n v="47"/>
    <n v="0.87748400000000004"/>
    <n v="23"/>
    <x v="8"/>
  </r>
  <r>
    <x v="13"/>
    <x v="4"/>
    <s v="x"/>
    <x v="1"/>
    <m/>
    <x v="0"/>
    <m/>
    <x v="0"/>
    <n v="62.341999999999999"/>
    <n v="327"/>
    <n v="61.861400000000003"/>
    <n v="331"/>
    <n v="106.77079999999999"/>
    <n v="74"/>
    <n v="109.9858"/>
    <n v="42"/>
    <n v="96.484099999999998"/>
    <n v="73"/>
    <n v="92.914500000000004"/>
    <n v="32"/>
    <n v="0.87432200000000004"/>
    <n v="24"/>
    <x v="8"/>
  </r>
  <r>
    <x v="25"/>
    <x v="5"/>
    <m/>
    <x v="1"/>
    <m/>
    <x v="0"/>
    <m/>
    <x v="0"/>
    <n v="64.347200000000001"/>
    <n v="290"/>
    <n v="63.727899999999998"/>
    <n v="304"/>
    <n v="116.6644"/>
    <n v="2"/>
    <n v="118.1491"/>
    <n v="2"/>
    <n v="105.7914"/>
    <n v="280"/>
    <n v="99.857500000000002"/>
    <n v="138"/>
    <n v="0.87372899999999998"/>
    <n v="25"/>
    <x v="8"/>
  </r>
  <r>
    <x v="166"/>
    <x v="6"/>
    <m/>
    <x v="1"/>
    <m/>
    <x v="0"/>
    <m/>
    <x v="0"/>
    <n v="70.025400000000005"/>
    <n v="63"/>
    <n v="69.057199999999995"/>
    <n v="84"/>
    <n v="104.51430000000001"/>
    <n v="102"/>
    <n v="107.7848"/>
    <n v="62"/>
    <n v="91.679000000000002"/>
    <n v="13"/>
    <n v="91.136499999999998"/>
    <n v="15"/>
    <n v="0.87318899999999999"/>
    <n v="26"/>
    <x v="8"/>
  </r>
  <r>
    <x v="34"/>
    <x v="8"/>
    <m/>
    <x v="1"/>
    <m/>
    <x v="0"/>
    <m/>
    <x v="0"/>
    <n v="74.099800000000002"/>
    <n v="9"/>
    <n v="72.723299999999995"/>
    <n v="14"/>
    <n v="108.86790000000001"/>
    <n v="43"/>
    <n v="111.595"/>
    <n v="27"/>
    <n v="93.678600000000003"/>
    <n v="31"/>
    <n v="94.526700000000005"/>
    <n v="48"/>
    <n v="0.87089899999999998"/>
    <n v="27"/>
    <x v="8"/>
  </r>
  <r>
    <x v="180"/>
    <x v="7"/>
    <m/>
    <x v="1"/>
    <m/>
    <x v="0"/>
    <m/>
    <x v="0"/>
    <n v="67.833200000000005"/>
    <n v="144"/>
    <n v="66.853999999999999"/>
    <n v="191"/>
    <n v="100.35509999999999"/>
    <n v="188"/>
    <n v="102.4203"/>
    <n v="153"/>
    <n v="88.543999999999997"/>
    <n v="1"/>
    <n v="86.992599999999996"/>
    <n v="3"/>
    <n v="0.86732500000000001"/>
    <n v="28"/>
    <x v="8"/>
  </r>
  <r>
    <x v="129"/>
    <x v="9"/>
    <s v="x"/>
    <x v="0"/>
    <m/>
    <x v="0"/>
    <m/>
    <x v="0"/>
    <n v="67.443399999999997"/>
    <n v="170"/>
    <n v="67.988299999999995"/>
    <n v="135"/>
    <n v="116.3831"/>
    <n v="3"/>
    <n v="114.38039999999999"/>
    <n v="14"/>
    <n v="97.803600000000003"/>
    <n v="101"/>
    <n v="97.408799999999999"/>
    <n v="85"/>
    <n v="0.86377999999999999"/>
    <n v="29"/>
    <x v="8"/>
  </r>
  <r>
    <x v="105"/>
    <x v="10"/>
    <m/>
    <x v="1"/>
    <m/>
    <x v="0"/>
    <m/>
    <x v="0"/>
    <n v="70.000500000000002"/>
    <n v="65"/>
    <n v="69.447999999999993"/>
    <n v="69"/>
    <n v="106.76430000000001"/>
    <n v="75"/>
    <n v="105.4755"/>
    <n v="100"/>
    <n v="90.513599999999997"/>
    <n v="8"/>
    <n v="89.837900000000005"/>
    <n v="10"/>
    <n v="0.86358900000000005"/>
    <n v="30"/>
    <x v="8"/>
  </r>
  <r>
    <x v="94"/>
    <x v="9"/>
    <s v="x"/>
    <x v="1"/>
    <m/>
    <x v="0"/>
    <m/>
    <x v="0"/>
    <n v="70.816100000000006"/>
    <n v="38"/>
    <n v="69.691400000000002"/>
    <n v="63"/>
    <n v="102.02079999999999"/>
    <n v="152"/>
    <n v="107.223"/>
    <n v="72"/>
    <n v="93.515900000000002"/>
    <n v="30"/>
    <n v="91.441900000000004"/>
    <n v="17"/>
    <n v="0.86186600000000002"/>
    <n v="31"/>
    <x v="8"/>
  </r>
  <r>
    <x v="39"/>
    <x v="9"/>
    <s v="x"/>
    <x v="1"/>
    <m/>
    <x v="0"/>
    <m/>
    <x v="0"/>
    <n v="71.678600000000003"/>
    <n v="26"/>
    <n v="70.517499999999998"/>
    <n v="40"/>
    <n v="107.1079"/>
    <n v="65"/>
    <n v="107.35299999999999"/>
    <n v="67"/>
    <n v="91.682900000000004"/>
    <n v="14"/>
    <n v="91.590400000000002"/>
    <n v="20"/>
    <n v="0.86130300000000004"/>
    <n v="32"/>
    <x v="8"/>
  </r>
  <r>
    <x v="124"/>
    <x v="12"/>
    <m/>
    <x v="1"/>
    <m/>
    <x v="0"/>
    <m/>
    <x v="0"/>
    <n v="66.236999999999995"/>
    <n v="230"/>
    <n v="66.609099999999998"/>
    <n v="204"/>
    <n v="108.9568"/>
    <n v="41"/>
    <n v="111.35590000000001"/>
    <n v="29"/>
    <n v="96.409599999999998"/>
    <n v="70"/>
    <n v="95.127300000000005"/>
    <n v="54"/>
    <n v="0.85953500000000005"/>
    <n v="33"/>
    <x v="8"/>
  </r>
  <r>
    <x v="128"/>
    <x v="12"/>
    <s v="x"/>
    <x v="1"/>
    <m/>
    <x v="0"/>
    <m/>
    <x v="0"/>
    <n v="63.3504"/>
    <n v="312"/>
    <n v="64.061700000000002"/>
    <n v="299"/>
    <n v="106.26260000000001"/>
    <n v="83"/>
    <n v="106.9823"/>
    <n v="76"/>
    <n v="90.105699999999999"/>
    <n v="7"/>
    <n v="91.481300000000005"/>
    <n v="18"/>
    <n v="0.85816000000000003"/>
    <n v="34"/>
    <x v="8"/>
  </r>
  <r>
    <x v="49"/>
    <x v="12"/>
    <m/>
    <x v="1"/>
    <m/>
    <x v="0"/>
    <m/>
    <x v="0"/>
    <n v="64.120999999999995"/>
    <n v="296"/>
    <n v="64.625399999999999"/>
    <n v="280"/>
    <n v="107.8931"/>
    <n v="54"/>
    <n v="109.40989999999999"/>
    <n v="46"/>
    <n v="95.999200000000002"/>
    <n v="60"/>
    <n v="93.9251"/>
    <n v="46"/>
    <n v="0.85257499999999997"/>
    <n v="35"/>
    <x v="8"/>
  </r>
  <r>
    <x v="141"/>
    <x v="5"/>
    <s v="x"/>
    <x v="0"/>
    <s v="x"/>
    <x v="0"/>
    <m/>
    <x v="0"/>
    <n v="70.697000000000003"/>
    <n v="41"/>
    <n v="69.488299999999995"/>
    <n v="68"/>
    <n v="103.3137"/>
    <n v="128"/>
    <n v="104.1957"/>
    <n v="124"/>
    <n v="91.957899999999995"/>
    <n v="19"/>
    <n v="89.878900000000002"/>
    <n v="11"/>
    <n v="0.84550700000000001"/>
    <n v="38"/>
    <x v="8"/>
  </r>
  <r>
    <x v="38"/>
    <x v="6"/>
    <m/>
    <x v="1"/>
    <m/>
    <x v="0"/>
    <m/>
    <x v="0"/>
    <n v="69.018600000000006"/>
    <n v="90"/>
    <n v="68.006399999999999"/>
    <n v="131"/>
    <n v="107.54640000000001"/>
    <n v="58"/>
    <n v="110.3771"/>
    <n v="41"/>
    <n v="98.647900000000007"/>
    <n v="119"/>
    <n v="95.427099999999996"/>
    <n v="59"/>
    <n v="0.84206999999999999"/>
    <n v="39"/>
    <x v="8"/>
  </r>
  <r>
    <x v="101"/>
    <x v="6"/>
    <m/>
    <x v="1"/>
    <m/>
    <x v="0"/>
    <m/>
    <x v="0"/>
    <n v="65.1905"/>
    <n v="262"/>
    <n v="64.104299999999995"/>
    <n v="295"/>
    <n v="103.7747"/>
    <n v="121"/>
    <n v="107.92610000000001"/>
    <n v="56"/>
    <n v="93.724500000000006"/>
    <n v="33"/>
    <n v="93.335999999999999"/>
    <n v="35"/>
    <n v="0.841611"/>
    <n v="40"/>
    <x v="8"/>
  </r>
  <r>
    <x v="123"/>
    <x v="4"/>
    <s v="x"/>
    <x v="1"/>
    <m/>
    <x v="0"/>
    <m/>
    <x v="0"/>
    <n v="68.032499999999999"/>
    <n v="134"/>
    <n v="68.637699999999995"/>
    <n v="106"/>
    <n v="112.148"/>
    <n v="14"/>
    <n v="113.06100000000001"/>
    <n v="21"/>
    <n v="98.022999999999996"/>
    <n v="104"/>
    <n v="97.906300000000002"/>
    <n v="94"/>
    <n v="0.83957199999999998"/>
    <n v="41"/>
    <x v="8"/>
  </r>
  <r>
    <x v="156"/>
    <x v="8"/>
    <m/>
    <x v="1"/>
    <m/>
    <x v="0"/>
    <m/>
    <x v="0"/>
    <n v="67.489400000000003"/>
    <n v="167"/>
    <n v="67.345200000000006"/>
    <n v="167"/>
    <n v="107.2269"/>
    <n v="61"/>
    <n v="107.4345"/>
    <n v="63"/>
    <n v="94.015799999999999"/>
    <n v="35"/>
    <n v="93.085400000000007"/>
    <n v="33"/>
    <n v="0.83871399999999996"/>
    <n v="42"/>
    <x v="8"/>
  </r>
  <r>
    <x v="66"/>
    <x v="7"/>
    <m/>
    <x v="1"/>
    <m/>
    <x v="0"/>
    <m/>
    <x v="0"/>
    <n v="68.376400000000004"/>
    <n v="124"/>
    <n v="67.290199999999999"/>
    <n v="172"/>
    <n v="110.3721"/>
    <n v="28"/>
    <n v="113.1934"/>
    <n v="20"/>
    <n v="100.76600000000001"/>
    <n v="158"/>
    <n v="98.139700000000005"/>
    <n v="102"/>
    <n v="0.83768699999999996"/>
    <n v="43"/>
    <x v="8"/>
  </r>
  <r>
    <x v="108"/>
    <x v="12"/>
    <s v="x"/>
    <x v="0"/>
    <m/>
    <x v="0"/>
    <m/>
    <x v="0"/>
    <n v="73.210499999999996"/>
    <n v="13"/>
    <n v="73.210300000000004"/>
    <n v="10"/>
    <n v="108.3075"/>
    <n v="51"/>
    <n v="109.5266"/>
    <n v="45"/>
    <n v="95.611800000000002"/>
    <n v="49"/>
    <n v="95.1524"/>
    <n v="55"/>
    <n v="0.83450599999999997"/>
    <n v="44"/>
    <x v="8"/>
  </r>
  <r>
    <x v="98"/>
    <x v="3"/>
    <m/>
    <x v="1"/>
    <m/>
    <x v="0"/>
    <m/>
    <x v="0"/>
    <n v="70.473399999999998"/>
    <n v="47"/>
    <n v="69.749700000000004"/>
    <n v="61"/>
    <n v="109.4408"/>
    <n v="37"/>
    <n v="111.5836"/>
    <n v="28"/>
    <n v="98.942700000000002"/>
    <n v="126"/>
    <n v="96.970500000000001"/>
    <n v="75"/>
    <n v="0.83399699999999999"/>
    <n v="45"/>
    <x v="8"/>
  </r>
  <r>
    <x v="14"/>
    <x v="8"/>
    <s v="x"/>
    <x v="1"/>
    <m/>
    <x v="0"/>
    <m/>
    <x v="0"/>
    <n v="69.167199999999994"/>
    <n v="85"/>
    <n v="68.817800000000005"/>
    <n v="95"/>
    <n v="110.9178"/>
    <n v="25"/>
    <n v="110.4838"/>
    <n v="39"/>
    <n v="97.109899999999996"/>
    <n v="85"/>
    <n v="96.209400000000002"/>
    <n v="66"/>
    <n v="0.83074599999999998"/>
    <n v="46"/>
    <x v="8"/>
  </r>
  <r>
    <x v="59"/>
    <x v="11"/>
    <m/>
    <x v="1"/>
    <m/>
    <x v="0"/>
    <m/>
    <x v="0"/>
    <n v="70.015799999999999"/>
    <n v="64"/>
    <n v="70.125399999999999"/>
    <n v="52"/>
    <n v="106.9294"/>
    <n v="66"/>
    <n v="108.4629"/>
    <n v="53"/>
    <n v="92.646600000000007"/>
    <n v="25"/>
    <n v="94.585999999999999"/>
    <n v="49"/>
    <n v="0.82840100000000005"/>
    <n v="47"/>
    <x v="8"/>
  </r>
  <r>
    <x v="58"/>
    <x v="11"/>
    <s v="x"/>
    <x v="1"/>
    <m/>
    <x v="0"/>
    <m/>
    <x v="0"/>
    <n v="67.939499999999995"/>
    <n v="139"/>
    <n v="67.248400000000004"/>
    <n v="175"/>
    <n v="111.96510000000001"/>
    <n v="15"/>
    <n v="107.28619999999999"/>
    <n v="69"/>
    <n v="90.040400000000005"/>
    <n v="6"/>
    <n v="93.901300000000006"/>
    <n v="42"/>
    <n v="0.82236299999999996"/>
    <n v="49"/>
    <x v="8"/>
  </r>
  <r>
    <x v="4"/>
    <x v="9"/>
    <m/>
    <x v="1"/>
    <m/>
    <x v="0"/>
    <m/>
    <x v="0"/>
    <n v="66.589600000000004"/>
    <n v="215"/>
    <n v="65.409499999999994"/>
    <n v="258"/>
    <n v="107.18380000000001"/>
    <n v="63"/>
    <n v="111.3105"/>
    <n v="30"/>
    <n v="98.138400000000004"/>
    <n v="107"/>
    <n v="98.039500000000004"/>
    <n v="98"/>
    <n v="0.81152800000000003"/>
    <n v="52"/>
    <x v="8"/>
  </r>
  <r>
    <x v="30"/>
    <x v="7"/>
    <s v="x"/>
    <x v="1"/>
    <m/>
    <x v="0"/>
    <m/>
    <x v="0"/>
    <n v="70.786500000000004"/>
    <n v="39"/>
    <n v="70.281099999999995"/>
    <n v="46"/>
    <n v="100.7884"/>
    <n v="180"/>
    <n v="104.611"/>
    <n v="112"/>
    <n v="94.693200000000004"/>
    <n v="43"/>
    <n v="92.692599999999999"/>
    <n v="30"/>
    <n v="0.800759"/>
    <n v="57"/>
    <x v="8"/>
  </r>
  <r>
    <x v="171"/>
    <x v="10"/>
    <s v="x"/>
    <x v="0"/>
    <m/>
    <x v="0"/>
    <m/>
    <x v="0"/>
    <n v="65.532600000000002"/>
    <n v="254"/>
    <n v="65.781700000000001"/>
    <n v="240"/>
    <n v="113.4091"/>
    <n v="11"/>
    <n v="114.0527"/>
    <n v="16"/>
    <n v="97.426500000000004"/>
    <n v="91"/>
    <n v="102.03489999999999"/>
    <n v="178"/>
    <n v="0.78253099999999998"/>
    <n v="60"/>
    <x v="8"/>
  </r>
  <r>
    <x v="192"/>
    <x v="11"/>
    <m/>
    <x v="1"/>
    <m/>
    <x v="0"/>
    <m/>
    <x v="0"/>
    <n v="65.826599999999999"/>
    <n v="245"/>
    <n v="65.066800000000001"/>
    <n v="272"/>
    <n v="104.43170000000001"/>
    <n v="103"/>
    <n v="102.7302"/>
    <n v="151"/>
    <n v="93.686300000000003"/>
    <n v="32"/>
    <n v="93.259399999999999"/>
    <n v="34"/>
    <n v="0.75255700000000003"/>
    <n v="71"/>
    <x v="8"/>
  </r>
  <r>
    <x v="193"/>
    <x v="11"/>
    <m/>
    <x v="1"/>
    <m/>
    <x v="0"/>
    <m/>
    <x v="0"/>
    <n v="71.610799999999998"/>
    <n v="27"/>
    <n v="72.084199999999996"/>
    <n v="20"/>
    <n v="109.2381"/>
    <n v="38"/>
    <n v="110.7958"/>
    <n v="35"/>
    <n v="104.0244"/>
    <n v="244"/>
    <n v="102.6934"/>
    <n v="194"/>
    <n v="0.70543599999999995"/>
    <n v="87"/>
    <x v="8"/>
  </r>
  <r>
    <x v="130"/>
    <x v="13"/>
    <s v="x"/>
    <x v="1"/>
    <m/>
    <x v="0"/>
    <m/>
    <x v="0"/>
    <n v="68.769300000000001"/>
    <n v="102"/>
    <n v="69.5351"/>
    <n v="65"/>
    <n v="104.4282"/>
    <n v="104"/>
    <n v="105.86450000000001"/>
    <n v="90"/>
    <n v="97.691000000000003"/>
    <n v="96"/>
    <n v="98.398799999999994"/>
    <n v="107"/>
    <n v="0.69867900000000005"/>
    <n v="93"/>
    <x v="8"/>
  </r>
  <r>
    <x v="62"/>
    <x v="13"/>
    <m/>
    <x v="1"/>
    <m/>
    <x v="0"/>
    <m/>
    <x v="0"/>
    <n v="63.6599"/>
    <n v="305"/>
    <n v="63.714300000000001"/>
    <n v="306"/>
    <n v="108.8523"/>
    <n v="45"/>
    <n v="105.1683"/>
    <n v="103"/>
    <n v="97.771900000000002"/>
    <n v="99"/>
    <n v="98.558300000000003"/>
    <n v="111"/>
    <n v="0.67841700000000005"/>
    <n v="98"/>
    <x v="8"/>
  </r>
  <r>
    <x v="86"/>
    <x v="13"/>
    <m/>
    <x v="1"/>
    <m/>
    <x v="0"/>
    <m/>
    <x v="0"/>
    <n v="70.464699999999993"/>
    <n v="49"/>
    <n v="70.054400000000001"/>
    <n v="56"/>
    <n v="111.9319"/>
    <n v="16"/>
    <n v="109.6887"/>
    <n v="44"/>
    <n v="101.43219999999999"/>
    <n v="175"/>
    <n v="103.0312"/>
    <n v="207"/>
    <n v="0.67262"/>
    <n v="101"/>
    <x v="8"/>
  </r>
  <r>
    <x v="161"/>
    <x v="10"/>
    <m/>
    <x v="1"/>
    <m/>
    <x v="0"/>
    <m/>
    <x v="0"/>
    <n v="72.0852"/>
    <n v="23"/>
    <n v="71.847300000000004"/>
    <n v="23"/>
    <n v="109.0478"/>
    <n v="40"/>
    <n v="111.0211"/>
    <n v="34"/>
    <n v="108.1713"/>
    <n v="315"/>
    <n v="104.5017"/>
    <n v="234"/>
    <n v="0.66728900000000002"/>
    <n v="105"/>
    <x v="8"/>
  </r>
  <r>
    <x v="87"/>
    <x v="15"/>
    <m/>
    <x v="1"/>
    <m/>
    <x v="0"/>
    <m/>
    <x v="0"/>
    <n v="67.572500000000005"/>
    <n v="162"/>
    <n v="67.555400000000006"/>
    <n v="157"/>
    <n v="104.6583"/>
    <n v="99"/>
    <n v="103.4121"/>
    <n v="139"/>
    <n v="94.596299999999999"/>
    <n v="41"/>
    <n v="99.943100000000001"/>
    <n v="140"/>
    <n v="0.59685900000000003"/>
    <n v="126"/>
    <x v="8"/>
  </r>
  <r>
    <x v="136"/>
    <x v="13"/>
    <m/>
    <x v="1"/>
    <m/>
    <x v="0"/>
    <m/>
    <x v="0"/>
    <n v="70.273399999999995"/>
    <n v="55"/>
    <n v="70.301299999999998"/>
    <n v="44"/>
    <n v="106.8378"/>
    <n v="71"/>
    <n v="107.399"/>
    <n v="65"/>
    <n v="102.1336"/>
    <n v="185"/>
    <n v="103.8548"/>
    <n v="223"/>
    <n v="0.59529699999999997"/>
    <n v="129"/>
    <x v="8"/>
  </r>
  <r>
    <x v="89"/>
    <x v="15"/>
    <m/>
    <x v="1"/>
    <m/>
    <x v="0"/>
    <m/>
    <x v="0"/>
    <n v="68.687899999999999"/>
    <n v="108"/>
    <n v="67.997100000000003"/>
    <n v="133"/>
    <n v="100.09139999999999"/>
    <n v="192"/>
    <n v="98.995699999999999"/>
    <n v="201"/>
    <n v="95.938000000000002"/>
    <n v="57"/>
    <n v="96.663600000000002"/>
    <n v="73"/>
    <n v="0.56811500000000004"/>
    <n v="142"/>
    <x v="8"/>
  </r>
  <r>
    <x v="51"/>
    <x v="14"/>
    <m/>
    <x v="1"/>
    <m/>
    <x v="0"/>
    <m/>
    <x v="0"/>
    <n v="67.402100000000004"/>
    <n v="174"/>
    <n v="67.565600000000003"/>
    <n v="154"/>
    <n v="99.888000000000005"/>
    <n v="194"/>
    <n v="98.7179"/>
    <n v="209"/>
    <n v="97.496300000000005"/>
    <n v="93"/>
    <n v="96.862399999999994"/>
    <n v="74"/>
    <n v="0.554338"/>
    <n v="147"/>
    <x v="8"/>
  </r>
  <r>
    <x v="187"/>
    <x v="14"/>
    <m/>
    <x v="1"/>
    <m/>
    <x v="0"/>
    <m/>
    <x v="0"/>
    <n v="70.104399999999998"/>
    <n v="61"/>
    <n v="69.816299999999998"/>
    <n v="60"/>
    <n v="107.9646"/>
    <n v="53"/>
    <n v="103.8837"/>
    <n v="133"/>
    <n v="98.597399999999993"/>
    <n v="118"/>
    <n v="102.4671"/>
    <n v="191"/>
    <n v="0.53939499999999996"/>
    <n v="153"/>
    <x v="8"/>
  </r>
  <r>
    <x v="163"/>
    <x v="14"/>
    <m/>
    <x v="1"/>
    <m/>
    <x v="0"/>
    <m/>
    <x v="0"/>
    <n v="68.546800000000005"/>
    <n v="118"/>
    <n v="68.728399999999993"/>
    <n v="98"/>
    <n v="105.2366"/>
    <n v="94"/>
    <n v="101.98350000000001"/>
    <n v="160"/>
    <n v="100.31959999999999"/>
    <n v="150"/>
    <n v="102.4178"/>
    <n v="188"/>
    <n v="0.48778500000000002"/>
    <n v="175"/>
    <x v="8"/>
  </r>
  <r>
    <x v="188"/>
    <x v="14"/>
    <m/>
    <x v="1"/>
    <m/>
    <x v="0"/>
    <m/>
    <x v="0"/>
    <n v="67.664000000000001"/>
    <n v="157"/>
    <n v="67.064400000000006"/>
    <n v="185"/>
    <n v="101.3257"/>
    <n v="165"/>
    <n v="99.373599999999996"/>
    <n v="198"/>
    <n v="96.817300000000003"/>
    <n v="77"/>
    <n v="100.2647"/>
    <n v="146"/>
    <n v="0.474358"/>
    <n v="181"/>
    <x v="8"/>
  </r>
  <r>
    <x v="117"/>
    <x v="15"/>
    <m/>
    <x v="1"/>
    <m/>
    <x v="0"/>
    <m/>
    <x v="0"/>
    <n v="69.827500000000001"/>
    <n v="71"/>
    <n v="70.063999999999993"/>
    <n v="55"/>
    <n v="107.2011"/>
    <n v="62"/>
    <n v="104.4722"/>
    <n v="117"/>
    <n v="99.227500000000006"/>
    <n v="130"/>
    <n v="105.5154"/>
    <n v="256"/>
    <n v="0.47146700000000002"/>
    <n v="183"/>
    <x v="8"/>
  </r>
  <r>
    <x v="63"/>
    <x v="15"/>
    <m/>
    <x v="1"/>
    <m/>
    <x v="0"/>
    <m/>
    <x v="0"/>
    <n v="66.888099999999994"/>
    <n v="194"/>
    <n v="65.785799999999995"/>
    <n v="238"/>
    <n v="92.6387"/>
    <n v="307"/>
    <n v="91.037800000000004"/>
    <n v="313"/>
    <n v="91.733599999999996"/>
    <n v="16"/>
    <n v="93.448099999999997"/>
    <n v="36"/>
    <n v="0.42543199999999998"/>
    <n v="198"/>
    <x v="8"/>
  </r>
  <r>
    <x v="194"/>
    <x v="15"/>
    <m/>
    <x v="1"/>
    <m/>
    <x v="0"/>
    <m/>
    <x v="0"/>
    <n v="67.863200000000006"/>
    <n v="140"/>
    <n v="66.626499999999993"/>
    <n v="202"/>
    <n v="93.218999999999994"/>
    <n v="302"/>
    <n v="90.1584"/>
    <n v="319"/>
    <n v="94.045199999999994"/>
    <n v="36"/>
    <n v="96.648600000000002"/>
    <n v="72"/>
    <n v="0.31015199999999998"/>
    <n v="237"/>
    <x v="8"/>
  </r>
  <r>
    <x v="15"/>
    <x v="0"/>
    <s v="x"/>
    <x v="0"/>
    <m/>
    <x v="0"/>
    <m/>
    <x v="0"/>
    <n v="64.483000000000004"/>
    <n v="269"/>
    <n v="65.619699999999995"/>
    <n v="229"/>
    <n v="119.2011"/>
    <n v="1"/>
    <n v="122.7577"/>
    <n v="1"/>
    <n v="93.425799999999995"/>
    <n v="19"/>
    <n v="93.061499999999995"/>
    <n v="22"/>
    <n v="0.96026400000000001"/>
    <n v="1"/>
    <x v="9"/>
  </r>
  <r>
    <x v="0"/>
    <x v="0"/>
    <s v="x"/>
    <x v="0"/>
    <m/>
    <x v="0"/>
    <m/>
    <x v="0"/>
    <n v="70.7577"/>
    <n v="32"/>
    <n v="69.644099999999995"/>
    <n v="44"/>
    <n v="114.4312"/>
    <n v="10"/>
    <n v="117.0254"/>
    <n v="5"/>
    <n v="90.833100000000002"/>
    <n v="8"/>
    <n v="90.596999999999994"/>
    <n v="8"/>
    <n v="0.94996199999999997"/>
    <n v="2"/>
    <x v="9"/>
  </r>
  <r>
    <x v="2"/>
    <x v="0"/>
    <s v="x"/>
    <x v="0"/>
    <s v="x"/>
    <x v="0"/>
    <m/>
    <x v="0"/>
    <n v="70.376099999999994"/>
    <n v="38"/>
    <n v="69.552499999999995"/>
    <n v="48"/>
    <n v="116.7659"/>
    <n v="6"/>
    <n v="118.10550000000001"/>
    <n v="4"/>
    <n v="92.559600000000003"/>
    <n v="15"/>
    <n v="92.614400000000003"/>
    <n v="21"/>
    <n v="0.94246099999999999"/>
    <n v="3"/>
    <x v="9"/>
  </r>
  <r>
    <x v="34"/>
    <x v="3"/>
    <s v="x"/>
    <x v="1"/>
    <m/>
    <x v="0"/>
    <m/>
    <x v="0"/>
    <n v="68.139700000000005"/>
    <n v="103"/>
    <n v="66.940600000000003"/>
    <n v="157"/>
    <n v="109.4233"/>
    <n v="42"/>
    <n v="114.2741"/>
    <n v="13"/>
    <n v="89.971999999999994"/>
    <n v="5"/>
    <n v="89.946600000000004"/>
    <n v="5"/>
    <n v="0.94007799999999997"/>
    <n v="4"/>
    <x v="9"/>
  </r>
  <r>
    <x v="13"/>
    <x v="0"/>
    <s v="x"/>
    <x v="1"/>
    <m/>
    <x v="0"/>
    <m/>
    <x v="0"/>
    <n v="63.701799999999999"/>
    <n v="300"/>
    <n v="63.281799999999997"/>
    <n v="314"/>
    <n v="115.89700000000001"/>
    <n v="8"/>
    <n v="116.95820000000001"/>
    <n v="6"/>
    <n v="95.435000000000002"/>
    <n v="43"/>
    <n v="92.302700000000002"/>
    <n v="17"/>
    <n v="0.93834399999999996"/>
    <n v="5"/>
    <x v="9"/>
  </r>
  <r>
    <x v="49"/>
    <x v="2"/>
    <s v="x"/>
    <x v="0"/>
    <m/>
    <x v="0"/>
    <m/>
    <x v="0"/>
    <n v="64.149199999999993"/>
    <n v="284"/>
    <n v="64.169600000000003"/>
    <n v="287"/>
    <n v="110.62009999999999"/>
    <n v="28"/>
    <n v="111.798"/>
    <n v="27"/>
    <n v="91.863600000000005"/>
    <n v="10"/>
    <n v="88.544200000000004"/>
    <n v="1"/>
    <n v="0.93593800000000005"/>
    <n v="6"/>
    <x v="9"/>
  </r>
  <r>
    <x v="12"/>
    <x v="3"/>
    <s v="x"/>
    <x v="0"/>
    <s v="x"/>
    <x v="1"/>
    <m/>
    <x v="0"/>
    <n v="67.182699999999997"/>
    <n v="160"/>
    <n v="66.775800000000004"/>
    <n v="164"/>
    <n v="113.6506"/>
    <n v="12"/>
    <n v="116.2402"/>
    <n v="8"/>
    <n v="94.906400000000005"/>
    <n v="35"/>
    <n v="93.258799999999994"/>
    <n v="27"/>
    <n v="0.92643799999999998"/>
    <n v="7"/>
    <x v="9"/>
  </r>
  <r>
    <x v="25"/>
    <x v="2"/>
    <s v="x"/>
    <x v="1"/>
    <m/>
    <x v="0"/>
    <m/>
    <x v="0"/>
    <n v="64.575000000000003"/>
    <n v="267"/>
    <n v="64.4465"/>
    <n v="273"/>
    <n v="115.9097"/>
    <n v="7"/>
    <n v="121.10250000000001"/>
    <n v="2"/>
    <n v="100.4776"/>
    <n v="140"/>
    <n v="97.474100000000007"/>
    <n v="76"/>
    <n v="0.92386699999999999"/>
    <n v="8"/>
    <x v="9"/>
  </r>
  <r>
    <x v="74"/>
    <x v="4"/>
    <s v="x"/>
    <x v="1"/>
    <m/>
    <x v="0"/>
    <m/>
    <x v="0"/>
    <n v="66.106300000000005"/>
    <n v="203"/>
    <n v="67.156400000000005"/>
    <n v="145"/>
    <n v="109.59050000000001"/>
    <n v="39"/>
    <n v="113.3805"/>
    <n v="19"/>
    <n v="93.340199999999996"/>
    <n v="18"/>
    <n v="91.319400000000002"/>
    <n v="14"/>
    <n v="0.92332800000000004"/>
    <n v="9"/>
    <x v="9"/>
  </r>
  <r>
    <x v="41"/>
    <x v="3"/>
    <s v="x"/>
    <x v="0"/>
    <m/>
    <x v="0"/>
    <m/>
    <x v="0"/>
    <n v="57.072200000000002"/>
    <n v="345"/>
    <n v="57.615400000000001"/>
    <n v="345"/>
    <n v="118.351"/>
    <n v="2"/>
    <n v="119.7906"/>
    <n v="3"/>
    <n v="101.3777"/>
    <n v="171"/>
    <n v="96.650300000000001"/>
    <n v="61"/>
    <n v="0.92189900000000002"/>
    <n v="10"/>
    <x v="9"/>
  </r>
  <r>
    <x v="66"/>
    <x v="3"/>
    <m/>
    <x v="1"/>
    <m/>
    <x v="0"/>
    <m/>
    <x v="0"/>
    <n v="68.303600000000003"/>
    <n v="94"/>
    <n v="67.706000000000003"/>
    <n v="112"/>
    <n v="107.791"/>
    <n v="53"/>
    <n v="109.27079999999999"/>
    <n v="49"/>
    <n v="92.951300000000003"/>
    <n v="16"/>
    <n v="89.155500000000004"/>
    <n v="3"/>
    <n v="0.91210800000000003"/>
    <n v="11"/>
    <x v="9"/>
  </r>
  <r>
    <x v="70"/>
    <x v="4"/>
    <s v="x"/>
    <x v="0"/>
    <m/>
    <x v="0"/>
    <m/>
    <x v="0"/>
    <n v="71.221599999999995"/>
    <n v="25"/>
    <n v="71.155199999999994"/>
    <n v="23"/>
    <n v="113.2313"/>
    <n v="13"/>
    <n v="116.8365"/>
    <n v="7"/>
    <n v="95.103099999999998"/>
    <n v="37"/>
    <n v="95.592100000000002"/>
    <n v="51"/>
    <n v="0.909528"/>
    <n v="12"/>
    <x v="9"/>
  </r>
  <r>
    <x v="23"/>
    <x v="4"/>
    <s v="x"/>
    <x v="0"/>
    <s v="x"/>
    <x v="1"/>
    <s v="x"/>
    <x v="1"/>
    <n v="66.219499999999996"/>
    <n v="197"/>
    <n v="66.264799999999994"/>
    <n v="193"/>
    <n v="108.5852"/>
    <n v="48"/>
    <n v="113.8185"/>
    <n v="17"/>
    <n v="98.411000000000001"/>
    <n v="93"/>
    <n v="93.8292"/>
    <n v="30"/>
    <n v="0.90211799999999998"/>
    <n v="13"/>
    <x v="9"/>
  </r>
  <r>
    <x v="95"/>
    <x v="2"/>
    <s v="x"/>
    <x v="0"/>
    <s v="x"/>
    <x v="0"/>
    <m/>
    <x v="0"/>
    <n v="72.261300000000006"/>
    <n v="17"/>
    <n v="71.319100000000006"/>
    <n v="21"/>
    <n v="105.4297"/>
    <n v="83"/>
    <n v="109.1614"/>
    <n v="51"/>
    <n v="93.4452"/>
    <n v="20"/>
    <n v="90.342699999999994"/>
    <n v="7"/>
    <n v="0.89807400000000004"/>
    <n v="14"/>
    <x v="9"/>
  </r>
  <r>
    <x v="84"/>
    <x v="10"/>
    <m/>
    <x v="1"/>
    <m/>
    <x v="0"/>
    <m/>
    <x v="0"/>
    <n v="64.009799999999998"/>
    <n v="290"/>
    <n v="63.741599999999998"/>
    <n v="302"/>
    <n v="110.5461"/>
    <n v="30"/>
    <n v="108.39660000000001"/>
    <n v="61"/>
    <n v="89.897400000000005"/>
    <n v="4"/>
    <n v="89.738299999999995"/>
    <n v="4"/>
    <n v="0.89773700000000001"/>
    <n v="15"/>
    <x v="9"/>
  </r>
  <r>
    <x v="68"/>
    <x v="4"/>
    <s v="x"/>
    <x v="1"/>
    <m/>
    <x v="0"/>
    <m/>
    <x v="0"/>
    <n v="66.376800000000003"/>
    <n v="191"/>
    <n v="66.644199999999998"/>
    <n v="173"/>
    <n v="109.9216"/>
    <n v="34"/>
    <n v="111.56270000000001"/>
    <n v="29"/>
    <n v="94.682500000000005"/>
    <n v="32"/>
    <n v="92.5685"/>
    <n v="20"/>
    <n v="0.89532599999999996"/>
    <n v="16"/>
    <x v="9"/>
  </r>
  <r>
    <x v="4"/>
    <x v="2"/>
    <s v="x"/>
    <x v="0"/>
    <s v="x"/>
    <x v="0"/>
    <m/>
    <x v="0"/>
    <n v="63.863799999999998"/>
    <n v="295"/>
    <n v="63.918700000000001"/>
    <n v="297"/>
    <n v="109.40479999999999"/>
    <n v="43"/>
    <n v="113.4598"/>
    <n v="18"/>
    <n v="96.625799999999998"/>
    <n v="60"/>
    <n v="95.228899999999996"/>
    <n v="45"/>
    <n v="0.88229999999999997"/>
    <n v="17"/>
    <x v="9"/>
  </r>
  <r>
    <x v="1"/>
    <x v="5"/>
    <s v="x"/>
    <x v="1"/>
    <m/>
    <x v="0"/>
    <m/>
    <x v="0"/>
    <n v="63.942"/>
    <n v="291"/>
    <n v="64.1785"/>
    <n v="286"/>
    <n v="107.0048"/>
    <n v="62"/>
    <n v="108.1173"/>
    <n v="64"/>
    <n v="92.523200000000003"/>
    <n v="14"/>
    <n v="90.919799999999995"/>
    <n v="10"/>
    <n v="0.87998100000000001"/>
    <n v="18"/>
    <x v="9"/>
  </r>
  <r>
    <x v="126"/>
    <x v="1"/>
    <s v="x"/>
    <x v="1"/>
    <m/>
    <x v="0"/>
    <m/>
    <x v="0"/>
    <n v="64.383899999999997"/>
    <n v="275"/>
    <n v="63.578800000000001"/>
    <n v="308"/>
    <n v="107.7522"/>
    <n v="54"/>
    <n v="111.202"/>
    <n v="32"/>
    <n v="99.9148"/>
    <n v="122"/>
    <n v="93.554500000000004"/>
    <n v="28"/>
    <n v="0.87945200000000001"/>
    <n v="19"/>
    <x v="9"/>
  </r>
  <r>
    <x v="108"/>
    <x v="6"/>
    <s v="x"/>
    <x v="1"/>
    <m/>
    <x v="0"/>
    <m/>
    <x v="0"/>
    <n v="72.541399999999996"/>
    <n v="13"/>
    <n v="71.681100000000001"/>
    <n v="16"/>
    <n v="113.95610000000001"/>
    <n v="11"/>
    <n v="113.1615"/>
    <n v="21"/>
    <n v="96.537899999999993"/>
    <n v="58"/>
    <n v="95.297200000000004"/>
    <n v="46"/>
    <n v="0.87824000000000002"/>
    <n v="20"/>
    <x v="9"/>
  </r>
  <r>
    <x v="152"/>
    <x v="11"/>
    <m/>
    <x v="1"/>
    <m/>
    <x v="0"/>
    <m/>
    <x v="0"/>
    <n v="69.637600000000006"/>
    <n v="45"/>
    <n v="69.110900000000001"/>
    <n v="56"/>
    <n v="114.8511"/>
    <n v="9"/>
    <n v="109.9871"/>
    <n v="39"/>
    <n v="88.135800000000003"/>
    <n v="2"/>
    <n v="93.127700000000004"/>
    <n v="26"/>
    <n v="0.87141100000000005"/>
    <n v="21"/>
    <x v="9"/>
  </r>
  <r>
    <x v="11"/>
    <x v="7"/>
    <s v="x"/>
    <x v="1"/>
    <m/>
    <x v="0"/>
    <m/>
    <x v="0"/>
    <n v="66.438000000000002"/>
    <n v="185"/>
    <n v="66.700199999999995"/>
    <n v="168"/>
    <n v="106.7756"/>
    <n v="65"/>
    <n v="109.6508"/>
    <n v="46"/>
    <n v="98.081699999999998"/>
    <n v="85"/>
    <n v="93.108000000000004"/>
    <n v="25"/>
    <n v="0.86769300000000005"/>
    <n v="22"/>
    <x v="9"/>
  </r>
  <r>
    <x v="166"/>
    <x v="10"/>
    <m/>
    <x v="1"/>
    <m/>
    <x v="0"/>
    <m/>
    <x v="0"/>
    <n v="65.401499999999999"/>
    <n v="243"/>
    <n v="65.012200000000007"/>
    <n v="252"/>
    <n v="103.777"/>
    <n v="119"/>
    <n v="106.7393"/>
    <n v="80"/>
    <n v="92.321899999999999"/>
    <n v="12"/>
    <n v="90.658500000000004"/>
    <n v="9"/>
    <n v="0.86736199999999997"/>
    <n v="23"/>
    <x v="9"/>
  </r>
  <r>
    <x v="156"/>
    <x v="8"/>
    <m/>
    <x v="1"/>
    <m/>
    <x v="0"/>
    <m/>
    <x v="0"/>
    <n v="67.441500000000005"/>
    <n v="142"/>
    <n v="67.983099999999993"/>
    <n v="101"/>
    <n v="106.342"/>
    <n v="73"/>
    <n v="108.5438"/>
    <n v="57"/>
    <n v="92.514300000000006"/>
    <n v="13"/>
    <n v="92.341899999999995"/>
    <n v="18"/>
    <n v="0.86518499999999998"/>
    <n v="24"/>
    <x v="9"/>
  </r>
  <r>
    <x v="143"/>
    <x v="8"/>
    <s v="x"/>
    <x v="1"/>
    <m/>
    <x v="0"/>
    <m/>
    <x v="0"/>
    <n v="64.391400000000004"/>
    <n v="274"/>
    <n v="65.8399"/>
    <n v="220"/>
    <n v="112.85169999999999"/>
    <n v="14"/>
    <n v="112.50539999999999"/>
    <n v="23"/>
    <n v="94.522800000000004"/>
    <n v="30"/>
    <n v="95.719200000000001"/>
    <n v="53"/>
    <n v="0.86508700000000005"/>
    <n v="25"/>
    <x v="9"/>
  </r>
  <r>
    <x v="167"/>
    <x v="1"/>
    <s v="x"/>
    <x v="1"/>
    <m/>
    <x v="0"/>
    <m/>
    <x v="0"/>
    <n v="69.251999999999995"/>
    <n v="59"/>
    <n v="68.035300000000007"/>
    <n v="97"/>
    <n v="104.78919999999999"/>
    <n v="98"/>
    <n v="107.584"/>
    <n v="70"/>
    <n v="95.742699999999999"/>
    <n v="45"/>
    <n v="92.074299999999994"/>
    <n v="16"/>
    <n v="0.85696099999999997"/>
    <n v="26"/>
    <x v="9"/>
  </r>
  <r>
    <x v="140"/>
    <x v="5"/>
    <m/>
    <x v="1"/>
    <m/>
    <x v="0"/>
    <m/>
    <x v="0"/>
    <n v="65.104100000000003"/>
    <n v="249"/>
    <n v="64.876599999999996"/>
    <n v="255"/>
    <n v="107.95269999999999"/>
    <n v="52"/>
    <n v="111.50409999999999"/>
    <n v="31"/>
    <n v="101.0925"/>
    <n v="160"/>
    <n v="95.549899999999994"/>
    <n v="49"/>
    <n v="0.85516999999999999"/>
    <n v="27"/>
    <x v="9"/>
  </r>
  <r>
    <x v="169"/>
    <x v="6"/>
    <s v="x"/>
    <x v="1"/>
    <m/>
    <x v="0"/>
    <m/>
    <x v="0"/>
    <n v="66.045699999999997"/>
    <n v="205"/>
    <n v="65.311800000000005"/>
    <n v="243"/>
    <n v="107.21040000000001"/>
    <n v="58"/>
    <n v="108.4174"/>
    <n v="60"/>
    <n v="93.617999999999995"/>
    <n v="24"/>
    <n v="93.088999999999999"/>
    <n v="23"/>
    <n v="0.85232799999999997"/>
    <n v="28"/>
    <x v="9"/>
  </r>
  <r>
    <x v="6"/>
    <x v="12"/>
    <s v="x"/>
    <x v="0"/>
    <m/>
    <x v="0"/>
    <m/>
    <x v="0"/>
    <n v="68.589799999999997"/>
    <n v="83"/>
    <n v="67.697999999999993"/>
    <n v="114"/>
    <n v="110.6293"/>
    <n v="27"/>
    <n v="113.99460000000001"/>
    <n v="16"/>
    <n v="101.23779999999999"/>
    <n v="166"/>
    <n v="97.985799999999998"/>
    <n v="86"/>
    <n v="0.85072099999999995"/>
    <n v="29"/>
    <x v="9"/>
  </r>
  <r>
    <x v="10"/>
    <x v="1"/>
    <s v="x"/>
    <x v="0"/>
    <s v="x"/>
    <x v="0"/>
    <m/>
    <x v="0"/>
    <n v="67.051299999999998"/>
    <n v="169"/>
    <n v="66.236900000000006"/>
    <n v="194"/>
    <n v="112.6932"/>
    <n v="16"/>
    <n v="114.0809"/>
    <n v="15"/>
    <n v="98.897099999999995"/>
    <n v="102"/>
    <n v="98.095399999999998"/>
    <n v="89"/>
    <n v="0.85019500000000003"/>
    <n v="30"/>
    <x v="9"/>
  </r>
  <r>
    <x v="50"/>
    <x v="5"/>
    <m/>
    <x v="1"/>
    <m/>
    <x v="0"/>
    <m/>
    <x v="0"/>
    <n v="66.396699999999996"/>
    <n v="190"/>
    <n v="67.192700000000002"/>
    <n v="143"/>
    <n v="105.087"/>
    <n v="92"/>
    <n v="109.46299999999999"/>
    <n v="48"/>
    <n v="99.456900000000005"/>
    <n v="110"/>
    <n v="94.1892"/>
    <n v="35"/>
    <n v="0.84918499999999997"/>
    <n v="31"/>
    <x v="9"/>
  </r>
  <r>
    <x v="18"/>
    <x v="5"/>
    <m/>
    <x v="1"/>
    <m/>
    <x v="0"/>
    <m/>
    <x v="0"/>
    <n v="65.404899999999998"/>
    <n v="242"/>
    <n v="66.111800000000002"/>
    <n v="204"/>
    <n v="109.2818"/>
    <n v="44"/>
    <n v="111.5789"/>
    <n v="28"/>
    <n v="97.208500000000001"/>
    <n v="72"/>
    <n v="96.127099999999999"/>
    <n v="56"/>
    <n v="0.84738000000000002"/>
    <n v="32"/>
    <x v="9"/>
  </r>
  <r>
    <x v="121"/>
    <x v="7"/>
    <m/>
    <x v="1"/>
    <m/>
    <x v="0"/>
    <m/>
    <x v="0"/>
    <n v="66.211200000000005"/>
    <n v="199"/>
    <n v="66.236199999999997"/>
    <n v="195"/>
    <n v="109.5659"/>
    <n v="40"/>
    <n v="113.3295"/>
    <n v="20"/>
    <n v="98.962199999999996"/>
    <n v="106"/>
    <n v="97.819299999999998"/>
    <n v="81"/>
    <n v="0.84455800000000003"/>
    <n v="33"/>
    <x v="9"/>
  </r>
  <r>
    <x v="14"/>
    <x v="12"/>
    <s v="x"/>
    <x v="1"/>
    <m/>
    <x v="0"/>
    <m/>
    <x v="0"/>
    <n v="68.028599999999997"/>
    <n v="111"/>
    <n v="67.670100000000005"/>
    <n v="116"/>
    <n v="110.5722"/>
    <n v="29"/>
    <n v="109.1328"/>
    <n v="52"/>
    <n v="95.232200000000006"/>
    <n v="39"/>
    <n v="94.938999999999993"/>
    <n v="41"/>
    <n v="0.83233900000000005"/>
    <n v="34"/>
    <x v="9"/>
  </r>
  <r>
    <x v="101"/>
    <x v="10"/>
    <s v="x"/>
    <x v="0"/>
    <m/>
    <x v="0"/>
    <m/>
    <x v="0"/>
    <n v="63.9236"/>
    <n v="292"/>
    <n v="63.799900000000001"/>
    <n v="300"/>
    <n v="109.1121"/>
    <n v="46"/>
    <n v="109.8189"/>
    <n v="44"/>
    <n v="94.848200000000006"/>
    <n v="34"/>
    <n v="95.578800000000001"/>
    <n v="50"/>
    <n v="0.83161799999999997"/>
    <n v="35"/>
    <x v="9"/>
  </r>
  <r>
    <x v="39"/>
    <x v="12"/>
    <m/>
    <x v="1"/>
    <m/>
    <x v="0"/>
    <m/>
    <x v="0"/>
    <n v="72.605800000000002"/>
    <n v="12"/>
    <n v="72.144599999999997"/>
    <n v="13"/>
    <n v="109.8463"/>
    <n v="35"/>
    <n v="111.55840000000001"/>
    <n v="30"/>
    <n v="98.125699999999995"/>
    <n v="86"/>
    <n v="97.093699999999998"/>
    <n v="67"/>
    <n v="0.83160299999999998"/>
    <n v="36"/>
    <x v="9"/>
  </r>
  <r>
    <x v="98"/>
    <x v="1"/>
    <m/>
    <x v="1"/>
    <m/>
    <x v="0"/>
    <m/>
    <x v="0"/>
    <n v="68.009799999999998"/>
    <n v="112"/>
    <n v="67.729299999999995"/>
    <n v="110"/>
    <n v="111.0209"/>
    <n v="24"/>
    <n v="114.09350000000001"/>
    <n v="14"/>
    <n v="98.703599999999994"/>
    <n v="99"/>
    <n v="99.4773"/>
    <n v="114"/>
    <n v="0.828712"/>
    <n v="37"/>
    <x v="9"/>
  </r>
  <r>
    <x v="128"/>
    <x v="7"/>
    <m/>
    <x v="1"/>
    <m/>
    <x v="0"/>
    <m/>
    <x v="0"/>
    <n v="60.9557"/>
    <n v="340"/>
    <n v="61.403500000000001"/>
    <n v="332"/>
    <n v="108.0705"/>
    <n v="50"/>
    <n v="108.35720000000001"/>
    <n v="62"/>
    <n v="95.345200000000006"/>
    <n v="40"/>
    <n v="94.734800000000007"/>
    <n v="39"/>
    <n v="0.82419799999999999"/>
    <n v="39"/>
    <x v="9"/>
  </r>
  <r>
    <x v="145"/>
    <x v="6"/>
    <m/>
    <x v="1"/>
    <m/>
    <x v="0"/>
    <m/>
    <x v="0"/>
    <n v="63.3643"/>
    <n v="306"/>
    <n v="62.4497"/>
    <n v="325"/>
    <n v="106.31570000000001"/>
    <n v="74"/>
    <n v="107.6803"/>
    <n v="66"/>
    <n v="96.104900000000001"/>
    <n v="50"/>
    <n v="94.159300000000002"/>
    <n v="34"/>
    <n v="0.823909"/>
    <n v="40"/>
    <x v="9"/>
  </r>
  <r>
    <x v="180"/>
    <x v="9"/>
    <s v="x"/>
    <x v="0"/>
    <m/>
    <x v="0"/>
    <m/>
    <x v="0"/>
    <n v="69.8065"/>
    <n v="43"/>
    <n v="69.047399999999996"/>
    <n v="57"/>
    <n v="98.826800000000006"/>
    <n v="229"/>
    <n v="100.986"/>
    <n v="183"/>
    <n v="89.5274"/>
    <n v="3"/>
    <n v="88.593199999999996"/>
    <n v="2"/>
    <n v="0.81841600000000003"/>
    <n v="42"/>
    <x v="9"/>
  </r>
  <r>
    <x v="181"/>
    <x v="8"/>
    <s v="x"/>
    <x v="1"/>
    <m/>
    <x v="0"/>
    <m/>
    <x v="0"/>
    <n v="61.804299999999998"/>
    <n v="332"/>
    <n v="62.807299999999998"/>
    <n v="323"/>
    <n v="105.3073"/>
    <n v="88"/>
    <n v="109.05589999999999"/>
    <n v="55"/>
    <n v="100.8622"/>
    <n v="153"/>
    <n v="95.739900000000006"/>
    <n v="54"/>
    <n v="0.81721600000000005"/>
    <n v="43"/>
    <x v="9"/>
  </r>
  <r>
    <x v="195"/>
    <x v="9"/>
    <m/>
    <x v="1"/>
    <m/>
    <x v="0"/>
    <m/>
    <x v="0"/>
    <n v="59.965200000000003"/>
    <n v="342"/>
    <n v="60.504199999999997"/>
    <n v="341"/>
    <n v="105.4044"/>
    <n v="84"/>
    <n v="109.8158"/>
    <n v="45"/>
    <n v="104.1575"/>
    <n v="241"/>
    <n v="96.790599999999998"/>
    <n v="64"/>
    <n v="0.81029600000000002"/>
    <n v="44"/>
    <x v="9"/>
  </r>
  <r>
    <x v="75"/>
    <x v="8"/>
    <s v="x"/>
    <x v="0"/>
    <s v="x"/>
    <x v="1"/>
    <s v="x"/>
    <x v="0"/>
    <n v="65.457700000000003"/>
    <n v="236"/>
    <n v="64.418700000000001"/>
    <n v="276"/>
    <n v="109.5098"/>
    <n v="41"/>
    <n v="110.4816"/>
    <n v="37"/>
    <n v="98.036799999999999"/>
    <n v="84"/>
    <n v="97.494900000000001"/>
    <n v="77"/>
    <n v="0.80815400000000004"/>
    <n v="45"/>
    <x v="9"/>
  </r>
  <r>
    <x v="27"/>
    <x v="9"/>
    <m/>
    <x v="1"/>
    <m/>
    <x v="0"/>
    <m/>
    <x v="0"/>
    <n v="65.704800000000006"/>
    <n v="226"/>
    <n v="65.833399999999997"/>
    <n v="221"/>
    <n v="102.3626"/>
    <n v="154"/>
    <n v="106.45869999999999"/>
    <n v="84"/>
    <n v="100.0946"/>
    <n v="131"/>
    <n v="94.0441"/>
    <n v="32"/>
    <n v="0.80626600000000004"/>
    <n v="46"/>
    <x v="9"/>
  </r>
  <r>
    <x v="9"/>
    <x v="12"/>
    <m/>
    <x v="1"/>
    <m/>
    <x v="0"/>
    <m/>
    <x v="0"/>
    <n v="64.581400000000002"/>
    <n v="266"/>
    <n v="63.322200000000002"/>
    <n v="313"/>
    <n v="103.0684"/>
    <n v="133"/>
    <n v="106.3344"/>
    <n v="87"/>
    <n v="97.023200000000003"/>
    <n v="67"/>
    <n v="94.121099999999998"/>
    <n v="33"/>
    <n v="0.80267200000000005"/>
    <n v="48"/>
    <x v="9"/>
  </r>
  <r>
    <x v="32"/>
    <x v="6"/>
    <s v="x"/>
    <x v="1"/>
    <m/>
    <x v="0"/>
    <m/>
    <x v="0"/>
    <n v="67.2393"/>
    <n v="155"/>
    <n v="66.218800000000002"/>
    <n v="196"/>
    <n v="103.5282"/>
    <n v="124"/>
    <n v="105.187"/>
    <n v="97"/>
    <n v="96.861500000000007"/>
    <n v="64"/>
    <n v="93.778700000000001"/>
    <n v="29"/>
    <n v="0.78922000000000003"/>
    <n v="53"/>
    <x v="9"/>
  </r>
  <r>
    <x v="104"/>
    <x v="10"/>
    <m/>
    <x v="1"/>
    <m/>
    <x v="0"/>
    <m/>
    <x v="0"/>
    <n v="63.0989"/>
    <n v="312"/>
    <n v="62.937199999999997"/>
    <n v="318"/>
    <n v="106.8412"/>
    <n v="63"/>
    <n v="107.0116"/>
    <n v="76"/>
    <n v="96.061599999999999"/>
    <n v="49"/>
    <n v="95.424999999999997"/>
    <n v="47"/>
    <n v="0.78882600000000003"/>
    <n v="54"/>
    <x v="9"/>
  </r>
  <r>
    <x v="141"/>
    <x v="7"/>
    <m/>
    <x v="1"/>
    <m/>
    <x v="0"/>
    <m/>
    <x v="0"/>
    <n v="67.618200000000002"/>
    <n v="133"/>
    <n v="67.145300000000006"/>
    <n v="146"/>
    <n v="103.5544"/>
    <n v="123"/>
    <n v="105.9635"/>
    <n v="89"/>
    <n v="98.867699999999999"/>
    <n v="101"/>
    <n v="94.754800000000003"/>
    <n v="40"/>
    <n v="0.78342100000000003"/>
    <n v="57"/>
    <x v="9"/>
  </r>
  <r>
    <x v="136"/>
    <x v="11"/>
    <m/>
    <x v="1"/>
    <m/>
    <x v="0"/>
    <m/>
    <x v="0"/>
    <n v="72.440100000000001"/>
    <n v="14"/>
    <n v="72.876999999999995"/>
    <n v="7"/>
    <n v="117.0802"/>
    <n v="4"/>
    <n v="115.9563"/>
    <n v="9"/>
    <n v="105.2766"/>
    <n v="265"/>
    <n v="103.94499999999999"/>
    <n v="222"/>
    <n v="0.77860399999999996"/>
    <n v="60"/>
    <x v="9"/>
  </r>
  <r>
    <x v="21"/>
    <x v="9"/>
    <m/>
    <x v="1"/>
    <m/>
    <x v="0"/>
    <m/>
    <x v="0"/>
    <n v="64.839299999999994"/>
    <n v="258"/>
    <n v="64.736199999999997"/>
    <n v="261"/>
    <n v="103.8391"/>
    <n v="117"/>
    <n v="105.91549999999999"/>
    <n v="91"/>
    <n v="96.692999999999998"/>
    <n v="61"/>
    <n v="95.204800000000006"/>
    <n v="44"/>
    <n v="0.77312400000000003"/>
    <n v="61"/>
    <x v="9"/>
  </r>
  <r>
    <x v="113"/>
    <x v="11"/>
    <m/>
    <x v="1"/>
    <m/>
    <x v="0"/>
    <m/>
    <x v="0"/>
    <n v="64.034000000000006"/>
    <n v="288"/>
    <n v="64.259500000000003"/>
    <n v="283"/>
    <n v="106.59869999999999"/>
    <n v="66"/>
    <n v="105.0343"/>
    <n v="102"/>
    <n v="97.742900000000006"/>
    <n v="79"/>
    <n v="96.383300000000006"/>
    <n v="58"/>
    <n v="0.72878699999999996"/>
    <n v="74"/>
    <x v="9"/>
  </r>
  <r>
    <x v="109"/>
    <x v="12"/>
    <s v="x"/>
    <x v="0"/>
    <s v="x"/>
    <x v="1"/>
    <m/>
    <x v="0"/>
    <n v="65.618899999999996"/>
    <n v="228"/>
    <n v="66.498699999999999"/>
    <n v="177"/>
    <n v="107.977"/>
    <n v="51"/>
    <n v="109.1301"/>
    <n v="53"/>
    <n v="101.8681"/>
    <n v="184"/>
    <n v="101.0565"/>
    <n v="145"/>
    <n v="0.70762899999999995"/>
    <n v="78"/>
    <x v="9"/>
  </r>
  <r>
    <x v="131"/>
    <x v="13"/>
    <m/>
    <x v="1"/>
    <m/>
    <x v="0"/>
    <m/>
    <x v="0"/>
    <n v="66.2316"/>
    <n v="196"/>
    <n v="66.272199999999998"/>
    <n v="192"/>
    <n v="106.5111"/>
    <n v="68"/>
    <n v="104.3282"/>
    <n v="112"/>
    <n v="95.543400000000005"/>
    <n v="44"/>
    <n v="97.1023"/>
    <n v="68"/>
    <n v="0.69538999999999995"/>
    <n v="82"/>
    <x v="9"/>
  </r>
  <r>
    <x v="189"/>
    <x v="11"/>
    <s v="x"/>
    <x v="1"/>
    <m/>
    <x v="0"/>
    <m/>
    <x v="0"/>
    <n v="64.049700000000001"/>
    <n v="287"/>
    <n v="64.780500000000004"/>
    <n v="258"/>
    <n v="106.2067"/>
    <n v="77"/>
    <n v="104.3969"/>
    <n v="109"/>
    <n v="96.197199999999995"/>
    <n v="52"/>
    <n v="97.601799999999997"/>
    <n v="79"/>
    <n v="0.68438500000000002"/>
    <n v="83"/>
    <x v="9"/>
  </r>
  <r>
    <x v="192"/>
    <x v="13"/>
    <m/>
    <x v="1"/>
    <m/>
    <x v="0"/>
    <m/>
    <x v="0"/>
    <n v="64.415099999999995"/>
    <n v="271"/>
    <n v="64.572599999999994"/>
    <n v="270"/>
    <n v="112.4804"/>
    <n v="18"/>
    <n v="110.9243"/>
    <n v="33"/>
    <n v="103.3314"/>
    <n v="208"/>
    <n v="103.7717"/>
    <n v="217"/>
    <n v="0.68276899999999996"/>
    <n v="84"/>
    <x v="9"/>
  </r>
  <r>
    <x v="69"/>
    <x v="10"/>
    <m/>
    <x v="1"/>
    <m/>
    <x v="0"/>
    <m/>
    <x v="0"/>
    <n v="69.316699999999997"/>
    <n v="56"/>
    <n v="68.550200000000004"/>
    <n v="70"/>
    <n v="102.785"/>
    <n v="142"/>
    <n v="102.0442"/>
    <n v="157"/>
    <n v="97.365700000000004"/>
    <n v="76"/>
    <n v="95.933700000000002"/>
    <n v="55"/>
    <n v="0.67042500000000005"/>
    <n v="90"/>
    <x v="9"/>
  </r>
  <r>
    <x v="196"/>
    <x v="14"/>
    <m/>
    <x v="1"/>
    <m/>
    <x v="0"/>
    <m/>
    <x v="0"/>
    <n v="74.459199999999996"/>
    <n v="6"/>
    <n v="73.9482"/>
    <n v="4"/>
    <n v="110.15560000000001"/>
    <n v="32"/>
    <n v="108.45699999999999"/>
    <n v="58"/>
    <n v="98.627399999999994"/>
    <n v="96"/>
    <n v="103.0628"/>
    <n v="205"/>
    <n v="0.64260099999999998"/>
    <n v="99"/>
    <x v="9"/>
  </r>
  <r>
    <x v="197"/>
    <x v="13"/>
    <m/>
    <x v="1"/>
    <m/>
    <x v="0"/>
    <m/>
    <x v="0"/>
    <n v="65.647999999999996"/>
    <n v="227"/>
    <n v="65.847200000000001"/>
    <n v="219"/>
    <n v="92.886899999999997"/>
    <n v="309"/>
    <n v="94.541300000000007"/>
    <n v="290"/>
    <n v="91.023099999999999"/>
    <n v="9"/>
    <n v="90.256100000000004"/>
    <n v="6"/>
    <n v="0.63028300000000004"/>
    <n v="107"/>
    <x v="9"/>
  </r>
  <r>
    <x v="198"/>
    <x v="14"/>
    <m/>
    <x v="1"/>
    <m/>
    <x v="0"/>
    <m/>
    <x v="0"/>
    <n v="66.6267"/>
    <n v="180"/>
    <n v="67.984200000000001"/>
    <n v="100"/>
    <n v="106.5384"/>
    <n v="67"/>
    <n v="105.1764"/>
    <n v="98"/>
    <n v="99.647300000000001"/>
    <n v="113"/>
    <n v="101.3395"/>
    <n v="155"/>
    <n v="0.60524500000000003"/>
    <n v="116"/>
    <x v="9"/>
  </r>
  <r>
    <x v="199"/>
    <x v="13"/>
    <m/>
    <x v="1"/>
    <m/>
    <x v="0"/>
    <m/>
    <x v="0"/>
    <n v="64.856999999999999"/>
    <n v="257"/>
    <n v="66.399500000000003"/>
    <n v="185"/>
    <n v="100.3648"/>
    <n v="199"/>
    <n v="100.2028"/>
    <n v="199"/>
    <n v="98.276399999999995"/>
    <n v="91"/>
    <n v="96.599199999999996"/>
    <n v="60"/>
    <n v="0.60377000000000003"/>
    <n v="119"/>
    <x v="9"/>
  </r>
  <r>
    <x v="185"/>
    <x v="14"/>
    <m/>
    <x v="1"/>
    <m/>
    <x v="0"/>
    <m/>
    <x v="0"/>
    <n v="66.743600000000001"/>
    <n v="173"/>
    <n v="66.747900000000001"/>
    <n v="167"/>
    <n v="102.99299999999999"/>
    <n v="138"/>
    <n v="102.2825"/>
    <n v="152"/>
    <n v="97.5702"/>
    <n v="78"/>
    <n v="98.640299999999996"/>
    <n v="100"/>
    <n v="0.60276099999999999"/>
    <n v="120"/>
    <x v="9"/>
  </r>
  <r>
    <x v="51"/>
    <x v="14"/>
    <m/>
    <x v="1"/>
    <m/>
    <x v="0"/>
    <m/>
    <x v="0"/>
    <n v="65.269599999999997"/>
    <n v="247"/>
    <n v="65.406400000000005"/>
    <n v="239"/>
    <n v="103.07259999999999"/>
    <n v="132"/>
    <n v="102.0934"/>
    <n v="156"/>
    <n v="100.01139999999999"/>
    <n v="125"/>
    <n v="98.737499999999997"/>
    <n v="102"/>
    <n v="0.59492500000000004"/>
    <n v="121"/>
    <x v="9"/>
  </r>
  <r>
    <x v="93"/>
    <x v="15"/>
    <m/>
    <x v="1"/>
    <m/>
    <x v="0"/>
    <m/>
    <x v="0"/>
    <n v="69.4649"/>
    <n v="52"/>
    <n v="68.893100000000004"/>
    <n v="62"/>
    <n v="101.2503"/>
    <n v="182"/>
    <n v="99.722399999999993"/>
    <n v="209"/>
    <n v="96.378699999999995"/>
    <n v="54"/>
    <n v="97.419499999999999"/>
    <n v="73"/>
    <n v="0.56677"/>
    <n v="135"/>
    <x v="9"/>
  </r>
  <r>
    <x v="60"/>
    <x v="15"/>
    <m/>
    <x v="1"/>
    <m/>
    <x v="0"/>
    <m/>
    <x v="0"/>
    <n v="63.014800000000001"/>
    <n v="313"/>
    <n v="63.9724"/>
    <n v="295"/>
    <n v="103.40479999999999"/>
    <n v="126"/>
    <n v="101.58880000000001"/>
    <n v="173"/>
    <n v="99.673100000000005"/>
    <n v="114"/>
    <n v="101.851"/>
    <n v="170"/>
    <n v="0.492589"/>
    <n v="164"/>
    <x v="9"/>
  </r>
  <r>
    <x v="54"/>
    <x v="15"/>
    <m/>
    <x v="1"/>
    <m/>
    <x v="0"/>
    <m/>
    <x v="0"/>
    <n v="67.535799999999995"/>
    <n v="137"/>
    <n v="68.068200000000004"/>
    <n v="95"/>
    <n v="97.466499999999996"/>
    <n v="255"/>
    <n v="94.201700000000002"/>
    <n v="293"/>
    <n v="90.420699999999997"/>
    <n v="7"/>
    <n v="96.723100000000002"/>
    <n v="63"/>
    <n v="0.42464000000000002"/>
    <n v="194"/>
    <x v="9"/>
  </r>
  <r>
    <x v="118"/>
    <x v="15"/>
    <m/>
    <x v="1"/>
    <m/>
    <x v="0"/>
    <m/>
    <x v="0"/>
    <n v="68.808599999999998"/>
    <n v="76"/>
    <n v="67.793400000000005"/>
    <n v="109"/>
    <n v="102.48569999999999"/>
    <n v="151"/>
    <n v="101.61409999999999"/>
    <n v="172"/>
    <n v="102.8142"/>
    <n v="199"/>
    <n v="105.8219"/>
    <n v="259"/>
    <n v="0.38541900000000001"/>
    <n v="210"/>
    <x v="9"/>
  </r>
  <r>
    <x v="200"/>
    <x v="15"/>
    <m/>
    <x v="1"/>
    <m/>
    <x v="0"/>
    <m/>
    <x v="0"/>
    <n v="64.660899999999998"/>
    <n v="265"/>
    <n v="65.331400000000002"/>
    <n v="242"/>
    <n v="101.967"/>
    <n v="163"/>
    <n v="99.558599999999998"/>
    <n v="212"/>
    <n v="103.5429"/>
    <n v="218"/>
    <n v="103.74930000000001"/>
    <n v="215"/>
    <n v="0.383635"/>
    <n v="212"/>
    <x v="9"/>
  </r>
  <r>
    <x v="119"/>
    <x v="15"/>
    <m/>
    <x v="1"/>
    <m/>
    <x v="0"/>
    <m/>
    <x v="0"/>
    <n v="66.211799999999997"/>
    <n v="198"/>
    <n v="65.006399999999999"/>
    <n v="253"/>
    <n v="92.031400000000005"/>
    <n v="319"/>
    <n v="93.230999999999995"/>
    <n v="303"/>
    <n v="96.522900000000007"/>
    <n v="57"/>
    <n v="104.108"/>
    <n v="228"/>
    <n v="0.21942900000000001"/>
    <n v="290"/>
    <x v="9"/>
  </r>
  <r>
    <x v="12"/>
    <x v="0"/>
    <s v="x"/>
    <x v="0"/>
    <s v="x"/>
    <x v="1"/>
    <s v="x"/>
    <x v="1"/>
    <n v="66.118399999999994"/>
    <n v="177"/>
    <n v="65.673500000000004"/>
    <n v="191"/>
    <n v="116.4605"/>
    <n v="4"/>
    <n v="118.6576"/>
    <n v="2"/>
    <n v="89.6755"/>
    <n v="7"/>
    <n v="89.285499999999999"/>
    <n v="5"/>
    <n v="0.96340700000000001"/>
    <n v="1"/>
    <x v="10"/>
  </r>
  <r>
    <x v="27"/>
    <x v="0"/>
    <s v="x"/>
    <x v="0"/>
    <m/>
    <x v="0"/>
    <m/>
    <x v="0"/>
    <n v="65.364500000000007"/>
    <n v="210"/>
    <n v="65.5715"/>
    <n v="198"/>
    <n v="109.7376"/>
    <n v="31"/>
    <n v="112.9404"/>
    <n v="19"/>
    <n v="90.255099999999999"/>
    <n v="11"/>
    <n v="86.723699999999994"/>
    <n v="2"/>
    <n v="0.95424100000000001"/>
    <n v="2"/>
    <x v="10"/>
  </r>
  <r>
    <x v="15"/>
    <x v="2"/>
    <s v="x"/>
    <x v="0"/>
    <s v="x"/>
    <x v="1"/>
    <m/>
    <x v="0"/>
    <n v="66.768699999999995"/>
    <n v="143"/>
    <n v="67.906999999999996"/>
    <n v="84"/>
    <n v="111.7826"/>
    <n v="18"/>
    <n v="116.1609"/>
    <n v="6"/>
    <n v="88.862499999999997"/>
    <n v="2"/>
    <n v="89.882800000000003"/>
    <n v="9"/>
    <n v="0.95023500000000005"/>
    <n v="3"/>
    <x v="10"/>
  </r>
  <r>
    <x v="2"/>
    <x v="2"/>
    <s v="x"/>
    <x v="0"/>
    <s v="x"/>
    <x v="1"/>
    <s v="x"/>
    <x v="0"/>
    <n v="67.616500000000002"/>
    <n v="102"/>
    <n v="67.718999999999994"/>
    <n v="93"/>
    <n v="110.6377"/>
    <n v="23"/>
    <n v="113.60339999999999"/>
    <n v="15"/>
    <n v="91.061599999999999"/>
    <n v="14"/>
    <n v="89.513999999999996"/>
    <n v="7"/>
    <n v="0.939384"/>
    <n v="4"/>
    <x v="10"/>
  </r>
  <r>
    <x v="95"/>
    <x v="0"/>
    <s v="x"/>
    <x v="0"/>
    <s v="x"/>
    <x v="0"/>
    <m/>
    <x v="0"/>
    <n v="72.926500000000004"/>
    <n v="8"/>
    <n v="72.232900000000001"/>
    <n v="9"/>
    <n v="112.15179999999999"/>
    <n v="15"/>
    <n v="115.7779"/>
    <n v="7"/>
    <n v="91.999499999999998"/>
    <n v="21"/>
    <n v="91.440200000000004"/>
    <n v="15"/>
    <n v="0.93784000000000001"/>
    <n v="5"/>
    <x v="10"/>
  </r>
  <r>
    <x v="39"/>
    <x v="2"/>
    <m/>
    <x v="1"/>
    <m/>
    <x v="0"/>
    <m/>
    <x v="0"/>
    <n v="66.465299999999999"/>
    <n v="155"/>
    <n v="66.300799999999995"/>
    <n v="150"/>
    <n v="120.50579999999999"/>
    <n v="1"/>
    <n v="123.2176"/>
    <n v="1"/>
    <n v="98.398300000000006"/>
    <n v="109"/>
    <n v="98.032399999999996"/>
    <n v="107"/>
    <n v="0.93273700000000004"/>
    <n v="6"/>
    <x v="10"/>
  </r>
  <r>
    <x v="68"/>
    <x v="0"/>
    <s v="x"/>
    <x v="0"/>
    <s v="x"/>
    <x v="0"/>
    <m/>
    <x v="0"/>
    <n v="65.864599999999996"/>
    <n v="190"/>
    <n v="65.889899999999997"/>
    <n v="180"/>
    <n v="112.80670000000001"/>
    <n v="11"/>
    <n v="113.5377"/>
    <n v="16"/>
    <n v="91.852000000000004"/>
    <n v="20"/>
    <n v="90.527900000000002"/>
    <n v="12"/>
    <n v="0.93115000000000003"/>
    <n v="7"/>
    <x v="10"/>
  </r>
  <r>
    <x v="69"/>
    <x v="8"/>
    <m/>
    <x v="1"/>
    <m/>
    <x v="0"/>
    <m/>
    <x v="0"/>
    <n v="67.518100000000004"/>
    <n v="109"/>
    <n v="68.317899999999995"/>
    <n v="68"/>
    <n v="110.1803"/>
    <n v="26"/>
    <n v="113.1039"/>
    <n v="18"/>
    <n v="92.051900000000003"/>
    <n v="22"/>
    <n v="91.730999999999995"/>
    <n v="16"/>
    <n v="0.91748300000000005"/>
    <n v="8"/>
    <x v="10"/>
  </r>
  <r>
    <x v="146"/>
    <x v="1"/>
    <m/>
    <x v="1"/>
    <m/>
    <x v="0"/>
    <m/>
    <x v="0"/>
    <n v="66.927400000000006"/>
    <n v="134"/>
    <n v="67.008799999999994"/>
    <n v="122"/>
    <n v="113.6251"/>
    <n v="9"/>
    <n v="115.3159"/>
    <n v="8"/>
    <n v="92.6357"/>
    <n v="26"/>
    <n v="94.075599999999994"/>
    <n v="39"/>
    <n v="0.91222700000000001"/>
    <n v="9"/>
    <x v="10"/>
  </r>
  <r>
    <x v="41"/>
    <x v="3"/>
    <s v="x"/>
    <x v="0"/>
    <m/>
    <x v="0"/>
    <m/>
    <x v="0"/>
    <n v="58.965699999999998"/>
    <n v="345"/>
    <n v="58.963700000000003"/>
    <n v="344"/>
    <n v="107.6313"/>
    <n v="50"/>
    <n v="109.6301"/>
    <n v="35"/>
    <n v="88.8797"/>
    <n v="3"/>
    <n v="89.724299999999999"/>
    <n v="8"/>
    <n v="0.90922899999999995"/>
    <n v="10"/>
    <x v="10"/>
  </r>
  <r>
    <x v="168"/>
    <x v="4"/>
    <s v="x"/>
    <x v="0"/>
    <s v="x"/>
    <x v="0"/>
    <m/>
    <x v="0"/>
    <n v="67.136399999999995"/>
    <n v="121"/>
    <n v="66.466300000000004"/>
    <n v="145"/>
    <n v="110.1153"/>
    <n v="27"/>
    <n v="114.86360000000001"/>
    <n v="11"/>
    <n v="96.799899999999994"/>
    <n v="75"/>
    <n v="94.637799999999999"/>
    <n v="47"/>
    <n v="0.90268499999999996"/>
    <n v="11"/>
    <x v="10"/>
  </r>
  <r>
    <x v="7"/>
    <x v="3"/>
    <s v="x"/>
    <x v="0"/>
    <m/>
    <x v="0"/>
    <m/>
    <x v="0"/>
    <n v="66.999200000000002"/>
    <n v="129"/>
    <n v="67.507400000000004"/>
    <n v="104"/>
    <n v="115.0583"/>
    <n v="7"/>
    <n v="117.8019"/>
    <n v="4"/>
    <n v="98.185299999999998"/>
    <n v="103"/>
    <n v="97.164699999999996"/>
    <n v="83"/>
    <n v="0.90157699999999996"/>
    <n v="12"/>
    <x v="10"/>
  </r>
  <r>
    <x v="98"/>
    <x v="1"/>
    <s v="x"/>
    <x v="1"/>
    <m/>
    <x v="0"/>
    <m/>
    <x v="0"/>
    <n v="65.832599999999999"/>
    <n v="192"/>
    <n v="65.5869"/>
    <n v="196"/>
    <n v="109.6189"/>
    <n v="32"/>
    <n v="113.3553"/>
    <n v="17"/>
    <n v="97.488200000000006"/>
    <n v="88"/>
    <n v="93.839200000000005"/>
    <n v="33"/>
    <n v="0.897787"/>
    <n v="13"/>
    <x v="10"/>
  </r>
  <r>
    <x v="201"/>
    <x v="7"/>
    <s v="x"/>
    <x v="1"/>
    <m/>
    <x v="0"/>
    <m/>
    <x v="0"/>
    <n v="63.272199999999998"/>
    <n v="293"/>
    <n v="62.837499999999999"/>
    <n v="303"/>
    <n v="109.19459999999999"/>
    <n v="35"/>
    <n v="109.18729999999999"/>
    <n v="41"/>
    <n v="89.926000000000002"/>
    <n v="9"/>
    <n v="90.936700000000002"/>
    <n v="13"/>
    <n v="0.89122900000000005"/>
    <n v="14"/>
    <x v="10"/>
  </r>
  <r>
    <x v="140"/>
    <x v="4"/>
    <s v="x"/>
    <x v="1"/>
    <m/>
    <x v="0"/>
    <m/>
    <x v="0"/>
    <n v="63.630499999999998"/>
    <n v="281"/>
    <n v="63.254600000000003"/>
    <n v="294"/>
    <n v="105.8721"/>
    <n v="79"/>
    <n v="108.2437"/>
    <n v="52"/>
    <n v="91.401399999999995"/>
    <n v="16"/>
    <n v="90.226600000000005"/>
    <n v="10"/>
    <n v="0.890289"/>
    <n v="15"/>
    <x v="10"/>
  </r>
  <r>
    <x v="0"/>
    <x v="2"/>
    <m/>
    <x v="1"/>
    <m/>
    <x v="0"/>
    <m/>
    <x v="0"/>
    <n v="68.288200000000003"/>
    <n v="74"/>
    <n v="67.581800000000001"/>
    <n v="100"/>
    <n v="112.61660000000001"/>
    <n v="12"/>
    <n v="115.14190000000001"/>
    <n v="9"/>
    <n v="99.596500000000006"/>
    <n v="143"/>
    <n v="96.386899999999997"/>
    <n v="72"/>
    <n v="0.88540399999999997"/>
    <n v="16"/>
    <x v="10"/>
  </r>
  <r>
    <x v="123"/>
    <x v="1"/>
    <s v="x"/>
    <x v="1"/>
    <m/>
    <x v="0"/>
    <m/>
    <x v="0"/>
    <n v="66.386499999999998"/>
    <n v="161"/>
    <n v="66.707099999999997"/>
    <n v="136"/>
    <n v="108.81"/>
    <n v="41"/>
    <n v="108.72320000000001"/>
    <n v="46"/>
    <n v="89.635900000000007"/>
    <n v="6"/>
    <n v="91.095299999999995"/>
    <n v="14"/>
    <n v="0.884355"/>
    <n v="17"/>
    <x v="10"/>
  </r>
  <r>
    <x v="6"/>
    <x v="4"/>
    <s v="x"/>
    <x v="0"/>
    <m/>
    <x v="0"/>
    <m/>
    <x v="0"/>
    <n v="70.675399999999996"/>
    <n v="25"/>
    <n v="71.380099999999999"/>
    <n v="15"/>
    <n v="107.28830000000001"/>
    <n v="58"/>
    <n v="109.9601"/>
    <n v="29"/>
    <n v="93.815399999999997"/>
    <n v="37"/>
    <n v="92.522599999999997"/>
    <n v="20"/>
    <n v="0.87928099999999998"/>
    <n v="18"/>
    <x v="10"/>
  </r>
  <r>
    <x v="4"/>
    <x v="6"/>
    <s v="x"/>
    <x v="0"/>
    <s v="x"/>
    <x v="0"/>
    <m/>
    <x v="0"/>
    <n v="65.099599999999995"/>
    <n v="223"/>
    <n v="64.867599999999996"/>
    <n v="234"/>
    <n v="115.67310000000001"/>
    <n v="6"/>
    <n v="118.5885"/>
    <n v="3"/>
    <n v="100.7488"/>
    <n v="170"/>
    <n v="100.08329999999999"/>
    <n v="146"/>
    <n v="0.87556100000000003"/>
    <n v="19"/>
    <x v="10"/>
  </r>
  <r>
    <x v="66"/>
    <x v="3"/>
    <s v="x"/>
    <x v="0"/>
    <s v="x"/>
    <x v="1"/>
    <m/>
    <x v="0"/>
    <n v="67.836600000000004"/>
    <n v="91"/>
    <n v="67.644300000000001"/>
    <n v="97"/>
    <n v="99.940799999999996"/>
    <n v="188"/>
    <n v="102.45229999999999"/>
    <n v="139"/>
    <n v="89.026600000000002"/>
    <n v="4"/>
    <n v="86.516400000000004"/>
    <n v="1"/>
    <n v="0.87481600000000004"/>
    <n v="20"/>
    <x v="10"/>
  </r>
  <r>
    <x v="167"/>
    <x v="8"/>
    <s v="x"/>
    <x v="1"/>
    <m/>
    <x v="0"/>
    <m/>
    <x v="0"/>
    <n v="67.371899999999997"/>
    <n v="113"/>
    <n v="67.217500000000001"/>
    <n v="113"/>
    <n v="104.8916"/>
    <n v="98"/>
    <n v="108.6262"/>
    <n v="50"/>
    <n v="93.613600000000005"/>
    <n v="35"/>
    <n v="91.874600000000001"/>
    <n v="17"/>
    <n v="0.87281799999999998"/>
    <n v="21"/>
    <x v="10"/>
  </r>
  <r>
    <x v="180"/>
    <x v="4"/>
    <s v="x"/>
    <x v="1"/>
    <m/>
    <x v="0"/>
    <m/>
    <x v="0"/>
    <n v="67.796499999999995"/>
    <n v="94"/>
    <n v="67.657399999999996"/>
    <n v="96"/>
    <n v="102.1193"/>
    <n v="149"/>
    <n v="106.69589999999999"/>
    <n v="72"/>
    <n v="91.799199999999999"/>
    <n v="18"/>
    <n v="90.330500000000001"/>
    <n v="11"/>
    <n v="0.87156100000000003"/>
    <n v="22"/>
    <x v="10"/>
  </r>
  <r>
    <x v="181"/>
    <x v="3"/>
    <m/>
    <x v="1"/>
    <m/>
    <x v="0"/>
    <m/>
    <x v="0"/>
    <n v="61.420400000000001"/>
    <n v="328"/>
    <n v="61.382800000000003"/>
    <n v="326"/>
    <n v="107.44799999999999"/>
    <n v="55"/>
    <n v="111.7586"/>
    <n v="23"/>
    <n v="100.20359999999999"/>
    <n v="156"/>
    <n v="95.213800000000006"/>
    <n v="55"/>
    <n v="0.86324199999999995"/>
    <n v="23"/>
    <x v="10"/>
  </r>
  <r>
    <x v="157"/>
    <x v="9"/>
    <m/>
    <x v="1"/>
    <m/>
    <x v="0"/>
    <m/>
    <x v="0"/>
    <n v="60.991300000000003"/>
    <n v="333"/>
    <n v="60.427900000000001"/>
    <n v="339"/>
    <n v="102.8552"/>
    <n v="133"/>
    <n v="103.51009999999999"/>
    <n v="121"/>
    <n v="87.612499999999997"/>
    <n v="1"/>
    <n v="88.729299999999995"/>
    <n v="3"/>
    <n v="0.85469399999999995"/>
    <n v="24"/>
    <x v="10"/>
  </r>
  <r>
    <x v="14"/>
    <x v="6"/>
    <s v="x"/>
    <x v="1"/>
    <m/>
    <x v="0"/>
    <m/>
    <x v="0"/>
    <n v="66.878399999999999"/>
    <n v="138"/>
    <n v="65.924000000000007"/>
    <n v="176"/>
    <n v="110.6649"/>
    <n v="22"/>
    <n v="109.6611"/>
    <n v="32"/>
    <n v="94.435299999999998"/>
    <n v="44"/>
    <n v="94.050399999999996"/>
    <n v="37"/>
    <n v="0.85395799999999999"/>
    <n v="25"/>
    <x v="10"/>
  </r>
  <r>
    <x v="127"/>
    <x v="8"/>
    <s v="x"/>
    <x v="1"/>
    <m/>
    <x v="0"/>
    <m/>
    <x v="0"/>
    <n v="67.623000000000005"/>
    <n v="99"/>
    <n v="67.298699999999997"/>
    <n v="110"/>
    <n v="108.2958"/>
    <n v="43"/>
    <n v="110.18040000000001"/>
    <n v="28"/>
    <n v="98.741500000000002"/>
    <n v="120"/>
    <n v="94.775599999999997"/>
    <n v="50"/>
    <n v="0.849665"/>
    <n v="26"/>
    <x v="10"/>
  </r>
  <r>
    <x v="17"/>
    <x v="7"/>
    <m/>
    <x v="1"/>
    <m/>
    <x v="0"/>
    <m/>
    <x v="0"/>
    <n v="63.344799999999999"/>
    <n v="290"/>
    <n v="63.413200000000003"/>
    <n v="290"/>
    <n v="101.7572"/>
    <n v="159"/>
    <n v="103.1698"/>
    <n v="130"/>
    <n v="91.271100000000004"/>
    <n v="15"/>
    <n v="89.130499999999998"/>
    <n v="4"/>
    <n v="0.84319100000000002"/>
    <n v="27"/>
    <x v="10"/>
  </r>
  <r>
    <x v="162"/>
    <x v="10"/>
    <m/>
    <x v="1"/>
    <m/>
    <x v="0"/>
    <m/>
    <x v="0"/>
    <n v="67.520399999999995"/>
    <n v="108"/>
    <n v="67.317499999999995"/>
    <n v="109"/>
    <n v="109.32599999999999"/>
    <n v="34"/>
    <n v="109.1621"/>
    <n v="42"/>
    <n v="95.209800000000001"/>
    <n v="54"/>
    <n v="94.413700000000006"/>
    <n v="44"/>
    <n v="0.84146799999999999"/>
    <n v="28"/>
    <x v="10"/>
  </r>
  <r>
    <x v="34"/>
    <x v="12"/>
    <m/>
    <x v="1"/>
    <m/>
    <x v="0"/>
    <m/>
    <x v="0"/>
    <n v="66.9636"/>
    <n v="131"/>
    <n v="65.994900000000001"/>
    <n v="171"/>
    <n v="108.17230000000001"/>
    <n v="45"/>
    <n v="111.3908"/>
    <n v="26"/>
    <n v="98.885300000000001"/>
    <n v="123"/>
    <n v="96.347200000000001"/>
    <n v="71"/>
    <n v="0.84137399999999996"/>
    <n v="29"/>
    <x v="10"/>
  </r>
  <r>
    <x v="152"/>
    <x v="13"/>
    <m/>
    <x v="1"/>
    <m/>
    <x v="0"/>
    <m/>
    <x v="0"/>
    <n v="68.949799999999996"/>
    <n v="50"/>
    <n v="68.453900000000004"/>
    <n v="64"/>
    <n v="117.67270000000001"/>
    <n v="2"/>
    <n v="114.14319999999999"/>
    <n v="13"/>
    <n v="96.848600000000005"/>
    <n v="76"/>
    <n v="98.941400000000002"/>
    <n v="126"/>
    <n v="0.83803000000000005"/>
    <n v="30"/>
    <x v="10"/>
  </r>
  <r>
    <x v="58"/>
    <x v="5"/>
    <s v="x"/>
    <x v="1"/>
    <m/>
    <x v="0"/>
    <m/>
    <x v="0"/>
    <n v="66.222499999999997"/>
    <n v="172"/>
    <n v="66.082300000000004"/>
    <n v="164"/>
    <n v="111.221"/>
    <n v="21"/>
    <n v="107.9331"/>
    <n v="57"/>
    <n v="93.220500000000001"/>
    <n v="30"/>
    <n v="93.606499999999997"/>
    <n v="30"/>
    <n v="0.83722600000000003"/>
    <n v="31"/>
    <x v="10"/>
  </r>
  <r>
    <x v="1"/>
    <x v="5"/>
    <s v="x"/>
    <x v="0"/>
    <m/>
    <x v="0"/>
    <m/>
    <x v="0"/>
    <n v="64.048599999999993"/>
    <n v="275"/>
    <n v="63.737200000000001"/>
    <n v="281"/>
    <n v="105.0352"/>
    <n v="96"/>
    <n v="107.64919999999999"/>
    <n v="59"/>
    <n v="94.356999999999999"/>
    <n v="42"/>
    <n v="93.372299999999996"/>
    <n v="27"/>
    <n v="0.83702500000000002"/>
    <n v="32"/>
    <x v="10"/>
  </r>
  <r>
    <x v="74"/>
    <x v="9"/>
    <s v="x"/>
    <x v="1"/>
    <m/>
    <x v="0"/>
    <m/>
    <x v="0"/>
    <n v="64.807599999999994"/>
    <n v="238"/>
    <n v="65.447100000000006"/>
    <n v="202"/>
    <n v="111.36799999999999"/>
    <n v="20"/>
    <n v="114.9153"/>
    <n v="10"/>
    <n v="101.87949999999999"/>
    <n v="194"/>
    <n v="99.754099999999994"/>
    <n v="140"/>
    <n v="0.83577199999999996"/>
    <n v="33"/>
    <x v="10"/>
  </r>
  <r>
    <x v="169"/>
    <x v="1"/>
    <m/>
    <x v="1"/>
    <m/>
    <x v="0"/>
    <m/>
    <x v="0"/>
    <n v="67.942300000000003"/>
    <n v="83"/>
    <n v="66.950900000000004"/>
    <n v="126"/>
    <n v="109.9401"/>
    <n v="29"/>
    <n v="112.4097"/>
    <n v="21"/>
    <n v="100.7389"/>
    <n v="169"/>
    <n v="97.833500000000001"/>
    <n v="100"/>
    <n v="0.83162100000000005"/>
    <n v="34"/>
    <x v="10"/>
  </r>
  <r>
    <x v="202"/>
    <x v="10"/>
    <m/>
    <x v="1"/>
    <m/>
    <x v="0"/>
    <m/>
    <x v="0"/>
    <n v="60.792000000000002"/>
    <n v="337"/>
    <n v="61.1614"/>
    <n v="329"/>
    <n v="106.5193"/>
    <n v="68"/>
    <n v="106.8588"/>
    <n v="69"/>
    <n v="89.941900000000004"/>
    <n v="10"/>
    <n v="93.030299999999997"/>
    <n v="22"/>
    <n v="0.83113700000000001"/>
    <n v="35"/>
    <x v="10"/>
  </r>
  <r>
    <x v="156"/>
    <x v="5"/>
    <m/>
    <x v="1"/>
    <m/>
    <x v="0"/>
    <m/>
    <x v="0"/>
    <n v="68.980599999999995"/>
    <n v="49"/>
    <n v="69.725200000000001"/>
    <n v="30"/>
    <n v="107.48180000000001"/>
    <n v="54"/>
    <n v="106.8185"/>
    <n v="71"/>
    <n v="94.639600000000002"/>
    <n v="45"/>
    <n v="93.001800000000003"/>
    <n v="21"/>
    <n v="0.83102200000000004"/>
    <n v="36"/>
    <x v="10"/>
  </r>
  <r>
    <x v="26"/>
    <x v="10"/>
    <m/>
    <x v="1"/>
    <m/>
    <x v="0"/>
    <m/>
    <x v="0"/>
    <n v="66.589399999999998"/>
    <n v="150"/>
    <n v="67.2119"/>
    <n v="114"/>
    <n v="107.8545"/>
    <n v="47"/>
    <n v="108.8378"/>
    <n v="45"/>
    <n v="92.4816"/>
    <n v="25"/>
    <n v="94.772400000000005"/>
    <n v="49"/>
    <n v="0.83080900000000002"/>
    <n v="37"/>
    <x v="10"/>
  </r>
  <r>
    <x v="46"/>
    <x v="8"/>
    <s v="x"/>
    <x v="1"/>
    <m/>
    <x v="0"/>
    <m/>
    <x v="0"/>
    <n v="67.535300000000007"/>
    <n v="106"/>
    <n v="67.036799999999999"/>
    <n v="120"/>
    <n v="117.3257"/>
    <n v="3"/>
    <n v="117.5104"/>
    <n v="5"/>
    <n v="102.3886"/>
    <n v="201"/>
    <n v="102.413"/>
    <n v="195"/>
    <n v="0.829403"/>
    <n v="38"/>
    <x v="10"/>
  </r>
  <r>
    <x v="23"/>
    <x v="7"/>
    <m/>
    <x v="1"/>
    <m/>
    <x v="0"/>
    <m/>
    <x v="0"/>
    <n v="64.173400000000001"/>
    <n v="273"/>
    <n v="63.941099999999999"/>
    <n v="273"/>
    <n v="106.0234"/>
    <n v="77"/>
    <n v="109.0886"/>
    <n v="43"/>
    <n v="98.967799999999997"/>
    <n v="127"/>
    <n v="95.779899999999998"/>
    <n v="61"/>
    <n v="0.81701100000000004"/>
    <n v="41"/>
    <x v="10"/>
  </r>
  <r>
    <x v="25"/>
    <x v="6"/>
    <m/>
    <x v="1"/>
    <m/>
    <x v="0"/>
    <m/>
    <x v="0"/>
    <n v="61.853000000000002"/>
    <n v="324"/>
    <n v="61.328499999999998"/>
    <n v="327"/>
    <n v="105.7932"/>
    <n v="82"/>
    <n v="107.71299999999999"/>
    <n v="58"/>
    <n v="98.037099999999995"/>
    <n v="100"/>
    <n v="94.888499999999993"/>
    <n v="51"/>
    <n v="0.81120099999999995"/>
    <n v="42"/>
    <x v="10"/>
  </r>
  <r>
    <x v="129"/>
    <x v="6"/>
    <m/>
    <x v="1"/>
    <m/>
    <x v="0"/>
    <m/>
    <x v="0"/>
    <n v="64.491100000000003"/>
    <n v="250"/>
    <n v="64.027100000000004"/>
    <n v="270"/>
    <n v="113.5955"/>
    <n v="10"/>
    <n v="112.8068"/>
    <n v="20"/>
    <n v="97.141999999999996"/>
    <n v="82"/>
    <n v="99.446100000000001"/>
    <n v="135"/>
    <n v="0.80995200000000001"/>
    <n v="43"/>
    <x v="10"/>
  </r>
  <r>
    <x v="109"/>
    <x v="10"/>
    <s v="x"/>
    <x v="1"/>
    <m/>
    <x v="0"/>
    <m/>
    <x v="0"/>
    <n v="65.1751"/>
    <n v="218"/>
    <n v="66.358599999999996"/>
    <n v="147"/>
    <n v="104.1292"/>
    <n v="110"/>
    <n v="105.6999"/>
    <n v="84"/>
    <n v="90.847300000000004"/>
    <n v="12"/>
    <n v="93.357799999999997"/>
    <n v="26"/>
    <n v="0.80657299999999998"/>
    <n v="44"/>
    <x v="10"/>
  </r>
  <r>
    <x v="126"/>
    <x v="9"/>
    <m/>
    <x v="1"/>
    <m/>
    <x v="0"/>
    <m/>
    <x v="0"/>
    <n v="65.250900000000001"/>
    <n v="215"/>
    <n v="64.912599999999998"/>
    <n v="228"/>
    <n v="106.45650000000001"/>
    <n v="69"/>
    <n v="109.5359"/>
    <n v="37"/>
    <n v="99.449600000000004"/>
    <n v="137"/>
    <n v="97.072699999999998"/>
    <n v="82"/>
    <n v="0.80044999999999999"/>
    <n v="45"/>
    <x v="10"/>
  </r>
  <r>
    <x v="49"/>
    <x v="5"/>
    <m/>
    <x v="1"/>
    <m/>
    <x v="0"/>
    <m/>
    <x v="0"/>
    <n v="66.7547"/>
    <n v="145"/>
    <n v="66.705799999999996"/>
    <n v="137"/>
    <n v="103.8913"/>
    <n v="115"/>
    <n v="105.3074"/>
    <n v="92"/>
    <n v="94.889600000000002"/>
    <n v="49"/>
    <n v="93.882099999999994"/>
    <n v="34"/>
    <n v="0.78929899999999997"/>
    <n v="46"/>
    <x v="10"/>
  </r>
  <r>
    <x v="24"/>
    <x v="12"/>
    <s v="x"/>
    <x v="0"/>
    <m/>
    <x v="0"/>
    <m/>
    <x v="0"/>
    <n v="67.999399999999994"/>
    <n v="81"/>
    <n v="68.107799999999997"/>
    <n v="80"/>
    <n v="107.7067"/>
    <n v="49"/>
    <n v="109.67570000000001"/>
    <n v="31"/>
    <n v="99.628100000000003"/>
    <n v="144"/>
    <n v="98.019599999999997"/>
    <n v="106"/>
    <n v="0.78451000000000004"/>
    <n v="49"/>
    <x v="10"/>
  </r>
  <r>
    <x v="203"/>
    <x v="13"/>
    <m/>
    <x v="1"/>
    <m/>
    <x v="0"/>
    <m/>
    <x v="0"/>
    <n v="65.037800000000004"/>
    <n v="228"/>
    <n v="64.166300000000007"/>
    <n v="261"/>
    <n v="107.3471"/>
    <n v="57"/>
    <n v="108.7195"/>
    <n v="47"/>
    <n v="98.656899999999993"/>
    <n v="119"/>
    <n v="97.498199999999997"/>
    <n v="93"/>
    <n v="0.77778000000000003"/>
    <n v="50"/>
    <x v="10"/>
  </r>
  <r>
    <x v="204"/>
    <x v="10"/>
    <s v="x"/>
    <x v="1"/>
    <m/>
    <x v="0"/>
    <m/>
    <x v="0"/>
    <n v="59.781999999999996"/>
    <n v="342"/>
    <n v="59.849800000000002"/>
    <n v="342"/>
    <n v="97.666600000000003"/>
    <n v="240"/>
    <n v="99.433000000000007"/>
    <n v="208"/>
    <n v="95.072299999999998"/>
    <n v="52"/>
    <n v="89.369900000000001"/>
    <n v="6"/>
    <n v="0.77330299999999996"/>
    <n v="52"/>
    <x v="10"/>
  </r>
  <r>
    <x v="18"/>
    <x v="9"/>
    <m/>
    <x v="1"/>
    <m/>
    <x v="0"/>
    <m/>
    <x v="0"/>
    <n v="67.698400000000007"/>
    <n v="98"/>
    <n v="67.575299999999999"/>
    <n v="101"/>
    <n v="103.35080000000001"/>
    <n v="122"/>
    <n v="105.8775"/>
    <n v="81"/>
    <n v="98.516800000000003"/>
    <n v="113"/>
    <n v="95.396500000000003"/>
    <n v="59"/>
    <n v="0.76830699999999996"/>
    <n v="55"/>
    <x v="10"/>
  </r>
  <r>
    <x v="161"/>
    <x v="11"/>
    <m/>
    <x v="1"/>
    <m/>
    <x v="0"/>
    <m/>
    <x v="0"/>
    <n v="70.774500000000003"/>
    <n v="21"/>
    <n v="70.852900000000005"/>
    <n v="19"/>
    <n v="108.89709999999999"/>
    <n v="38"/>
    <n v="106.6245"/>
    <n v="73"/>
    <n v="95.885999999999996"/>
    <n v="63"/>
    <n v="96.213399999999993"/>
    <n v="69"/>
    <n v="0.76522800000000002"/>
    <n v="56"/>
    <x v="10"/>
  </r>
  <r>
    <x v="147"/>
    <x v="13"/>
    <m/>
    <x v="1"/>
    <m/>
    <x v="0"/>
    <m/>
    <x v="0"/>
    <n v="71.166399999999996"/>
    <n v="18"/>
    <n v="70.546800000000005"/>
    <n v="22"/>
    <n v="115.69880000000001"/>
    <n v="5"/>
    <n v="114.25790000000001"/>
    <n v="12"/>
    <n v="100.6866"/>
    <n v="167"/>
    <n v="103.18210000000001"/>
    <n v="213"/>
    <n v="0.76361000000000001"/>
    <n v="57"/>
    <x v="10"/>
  </r>
  <r>
    <x v="130"/>
    <x v="11"/>
    <s v="x"/>
    <x v="0"/>
    <m/>
    <x v="0"/>
    <m/>
    <x v="0"/>
    <n v="67.107699999999994"/>
    <n v="123"/>
    <n v="67.1738"/>
    <n v="115"/>
    <n v="104.36839999999999"/>
    <n v="106"/>
    <n v="104.4235"/>
    <n v="106"/>
    <n v="93.230500000000006"/>
    <n v="31"/>
    <n v="94.395200000000003"/>
    <n v="43"/>
    <n v="0.76153099999999996"/>
    <n v="58"/>
    <x v="10"/>
  </r>
  <r>
    <x v="70"/>
    <x v="13"/>
    <m/>
    <x v="1"/>
    <m/>
    <x v="0"/>
    <m/>
    <x v="0"/>
    <n v="72.506900000000002"/>
    <n v="9"/>
    <n v="73.224000000000004"/>
    <n v="5"/>
    <n v="108.0408"/>
    <n v="46"/>
    <n v="103.62050000000001"/>
    <n v="120"/>
    <n v="93.218900000000005"/>
    <n v="29"/>
    <n v="93.7577"/>
    <n v="31"/>
    <n v="0.75955499999999998"/>
    <n v="61"/>
    <x v="10"/>
  </r>
  <r>
    <x v="205"/>
    <x v="13"/>
    <m/>
    <x v="1"/>
    <m/>
    <x v="0"/>
    <m/>
    <x v="0"/>
    <n v="65.957400000000007"/>
    <n v="185"/>
    <n v="65.679400000000001"/>
    <n v="190"/>
    <n v="114.633"/>
    <n v="8"/>
    <n v="111.4897"/>
    <n v="25"/>
    <n v="99.777900000000002"/>
    <n v="148"/>
    <n v="101.008"/>
    <n v="162"/>
    <n v="0.75683800000000001"/>
    <n v="62"/>
    <x v="10"/>
  </r>
  <r>
    <x v="206"/>
    <x v="7"/>
    <m/>
    <x v="1"/>
    <m/>
    <x v="0"/>
    <m/>
    <x v="0"/>
    <n v="64.409899999999993"/>
    <n v="260"/>
    <n v="64.934600000000003"/>
    <n v="225"/>
    <n v="107.11499999999999"/>
    <n v="60"/>
    <n v="109.2343"/>
    <n v="40"/>
    <n v="99.995500000000007"/>
    <n v="149"/>
    <n v="99.2821"/>
    <n v="134"/>
    <n v="0.749996"/>
    <n v="65"/>
    <x v="10"/>
  </r>
  <r>
    <x v="53"/>
    <x v="11"/>
    <m/>
    <x v="1"/>
    <m/>
    <x v="0"/>
    <m/>
    <x v="0"/>
    <n v="68.455100000000002"/>
    <n v="66"/>
    <n v="68.133799999999994"/>
    <n v="79"/>
    <n v="112.3976"/>
    <n v="13"/>
    <n v="109.65949999999999"/>
    <n v="33"/>
    <n v="98.186999999999998"/>
    <n v="104"/>
    <n v="100.167"/>
    <n v="148"/>
    <n v="0.73908600000000002"/>
    <n v="69"/>
    <x v="10"/>
  </r>
  <r>
    <x v="117"/>
    <x v="14"/>
    <m/>
    <x v="1"/>
    <m/>
    <x v="0"/>
    <m/>
    <x v="0"/>
    <n v="68.317300000000003"/>
    <n v="72"/>
    <n v="68.608800000000002"/>
    <n v="56"/>
    <n v="110.0147"/>
    <n v="28"/>
    <n v="107.3817"/>
    <n v="62"/>
    <n v="94.782899999999998"/>
    <n v="48"/>
    <n v="98.193100000000001"/>
    <n v="109"/>
    <n v="0.73666600000000004"/>
    <n v="72"/>
    <x v="10"/>
  </r>
  <r>
    <x v="83"/>
    <x v="12"/>
    <m/>
    <x v="1"/>
    <m/>
    <x v="0"/>
    <m/>
    <x v="0"/>
    <n v="64.468000000000004"/>
    <n v="255"/>
    <n v="64.772000000000006"/>
    <n v="241"/>
    <n v="108.88549999999999"/>
    <n v="39"/>
    <n v="111.5288"/>
    <n v="24"/>
    <n v="104.9198"/>
    <n v="262"/>
    <n v="102.41070000000001"/>
    <n v="194"/>
    <n v="0.72727799999999998"/>
    <n v="75"/>
    <x v="10"/>
  </r>
  <r>
    <x v="62"/>
    <x v="11"/>
    <m/>
    <x v="1"/>
    <m/>
    <x v="0"/>
    <m/>
    <x v="0"/>
    <n v="66.360699999999994"/>
    <n v="164"/>
    <n v="65.628500000000003"/>
    <n v="193"/>
    <n v="106.8279"/>
    <n v="62"/>
    <n v="101.84350000000001"/>
    <n v="151"/>
    <n v="93.354600000000005"/>
    <n v="32"/>
    <n v="94.484499999999997"/>
    <n v="46"/>
    <n v="0.70318700000000001"/>
    <n v="81"/>
    <x v="10"/>
  </r>
  <r>
    <x v="73"/>
    <x v="12"/>
    <s v="x"/>
    <x v="1"/>
    <m/>
    <x v="0"/>
    <m/>
    <x v="0"/>
    <n v="65.243200000000002"/>
    <n v="216"/>
    <n v="65.574299999999994"/>
    <n v="197"/>
    <n v="101.20959999999999"/>
    <n v="169"/>
    <n v="102.13160000000001"/>
    <n v="146"/>
    <n v="96.7881"/>
    <n v="74"/>
    <n v="94.980099999999993"/>
    <n v="53"/>
    <n v="0.69737700000000002"/>
    <n v="87"/>
    <x v="10"/>
  </r>
  <r>
    <x v="207"/>
    <x v="15"/>
    <m/>
    <x v="1"/>
    <m/>
    <x v="0"/>
    <m/>
    <x v="0"/>
    <n v="68.553600000000003"/>
    <n v="62"/>
    <n v="67.026300000000006"/>
    <n v="121"/>
    <n v="105.6296"/>
    <n v="85"/>
    <n v="105.5522"/>
    <n v="86"/>
    <n v="95.410899999999998"/>
    <n v="55"/>
    <n v="98.787400000000005"/>
    <n v="122"/>
    <n v="0.68172500000000003"/>
    <n v="98"/>
    <x v="10"/>
  </r>
  <r>
    <x v="208"/>
    <x v="14"/>
    <m/>
    <x v="1"/>
    <m/>
    <x v="0"/>
    <m/>
    <x v="0"/>
    <n v="66.800399999999996"/>
    <n v="140"/>
    <n v="68.207800000000006"/>
    <n v="73"/>
    <n v="105.69289999999999"/>
    <n v="84"/>
    <n v="107.17400000000001"/>
    <n v="64"/>
    <n v="101.07559999999999"/>
    <n v="175"/>
    <n v="101.1803"/>
    <n v="166"/>
    <n v="0.65966999999999998"/>
    <n v="107"/>
    <x v="10"/>
  </r>
  <r>
    <x v="87"/>
    <x v="15"/>
    <m/>
    <x v="1"/>
    <m/>
    <x v="0"/>
    <m/>
    <x v="0"/>
    <n v="63.268700000000003"/>
    <n v="295"/>
    <n v="63.640300000000003"/>
    <n v="282"/>
    <n v="105.0145"/>
    <n v="97"/>
    <n v="101.35769999999999"/>
    <n v="164"/>
    <n v="94.652500000000003"/>
    <n v="47"/>
    <n v="97.380399999999995"/>
    <n v="90"/>
    <n v="0.61309899999999995"/>
    <n v="121"/>
    <x v="10"/>
  </r>
  <r>
    <x v="93"/>
    <x v="15"/>
    <m/>
    <x v="1"/>
    <m/>
    <x v="0"/>
    <m/>
    <x v="0"/>
    <n v="70.191299999999998"/>
    <n v="31"/>
    <n v="69.466700000000003"/>
    <n v="35"/>
    <n v="111.4371"/>
    <n v="19"/>
    <n v="107.1992"/>
    <n v="63"/>
    <n v="102.30589999999999"/>
    <n v="200"/>
    <n v="103.1621"/>
    <n v="212"/>
    <n v="0.60860400000000003"/>
    <n v="122"/>
    <x v="10"/>
  </r>
  <r>
    <x v="209"/>
    <x v="14"/>
    <m/>
    <x v="1"/>
    <m/>
    <x v="0"/>
    <m/>
    <x v="0"/>
    <n v="65.218000000000004"/>
    <n v="217"/>
    <n v="64.148899999999998"/>
    <n v="262"/>
    <n v="103.69289999999999"/>
    <n v="117"/>
    <n v="102.19240000000001"/>
    <n v="144"/>
    <n v="97.623000000000005"/>
    <n v="90"/>
    <n v="98.6083"/>
    <n v="117"/>
    <n v="0.60122500000000001"/>
    <n v="128"/>
    <x v="10"/>
  </r>
  <r>
    <x v="196"/>
    <x v="15"/>
    <m/>
    <x v="1"/>
    <m/>
    <x v="0"/>
    <m/>
    <x v="0"/>
    <n v="74.972700000000003"/>
    <n v="2"/>
    <n v="74.442800000000005"/>
    <n v="2"/>
    <n v="108.8421"/>
    <n v="40"/>
    <n v="106.8891"/>
    <n v="68"/>
    <n v="102.68559999999999"/>
    <n v="210"/>
    <n v="106.5365"/>
    <n v="277"/>
    <n v="0.50949999999999995"/>
    <n v="161"/>
    <x v="10"/>
  </r>
  <r>
    <x v="210"/>
    <x v="14"/>
    <s v="x"/>
    <x v="1"/>
    <m/>
    <x v="0"/>
    <m/>
    <x v="0"/>
    <n v="68.635000000000005"/>
    <n v="57"/>
    <n v="67.735500000000002"/>
    <n v="92"/>
    <n v="100.4777"/>
    <n v="178"/>
    <n v="98.803200000000004"/>
    <n v="217"/>
    <n v="96.478800000000007"/>
    <n v="70"/>
    <n v="101.0852"/>
    <n v="163"/>
    <n v="0.434728"/>
    <n v="188"/>
    <x v="10"/>
  </r>
  <r>
    <x v="35"/>
    <x v="15"/>
    <m/>
    <x v="1"/>
    <m/>
    <x v="0"/>
    <m/>
    <x v="0"/>
    <n v="68.222099999999998"/>
    <n v="77"/>
    <n v="68.706400000000002"/>
    <n v="53"/>
    <n v="94.913600000000002"/>
    <n v="282"/>
    <n v="97.150300000000001"/>
    <n v="247"/>
    <n v="99.162599999999998"/>
    <n v="131"/>
    <n v="99.748400000000004"/>
    <n v="139"/>
    <n v="0.42469899999999999"/>
    <n v="192"/>
    <x v="10"/>
  </r>
  <r>
    <x v="179"/>
    <x v="15"/>
    <m/>
    <x v="1"/>
    <m/>
    <x v="0"/>
    <m/>
    <x v="0"/>
    <n v="69.792299999999997"/>
    <n v="36"/>
    <n v="69.7714"/>
    <n v="29"/>
    <n v="97.946700000000007"/>
    <n v="234"/>
    <n v="97.327799999999996"/>
    <n v="243"/>
    <n v="98.540300000000002"/>
    <n v="114"/>
    <n v="103.547"/>
    <n v="222"/>
    <n v="0.32908500000000002"/>
    <n v="235"/>
    <x v="10"/>
  </r>
  <r>
    <x v="66"/>
    <x v="0"/>
    <s v="x"/>
    <x v="0"/>
    <s v="x"/>
    <x v="1"/>
    <s v="x"/>
    <x v="1"/>
    <n v="66.668000000000006"/>
    <n v="138"/>
    <n v="67.232900000000001"/>
    <n v="112"/>
    <n v="108.6223"/>
    <n v="31"/>
    <n v="112.1925"/>
    <n v="18"/>
    <n v="85.264399999999995"/>
    <n v="2"/>
    <n v="83.799400000000006"/>
    <n v="1"/>
    <n v="0.96628700000000001"/>
    <n v="1"/>
    <x v="11"/>
  </r>
  <r>
    <x v="4"/>
    <x v="4"/>
    <s v="x"/>
    <x v="0"/>
    <s v="x"/>
    <x v="0"/>
    <m/>
    <x v="0"/>
    <n v="62.645800000000001"/>
    <n v="300"/>
    <n v="62.492699999999999"/>
    <n v="299"/>
    <n v="114.4507"/>
    <n v="8"/>
    <n v="113.9367"/>
    <n v="9"/>
    <n v="85.6828"/>
    <n v="3"/>
    <n v="87.155100000000004"/>
    <n v="4"/>
    <n v="0.95612200000000003"/>
    <n v="2"/>
    <x v="11"/>
  </r>
  <r>
    <x v="14"/>
    <x v="0"/>
    <s v="x"/>
    <x v="1"/>
    <m/>
    <x v="0"/>
    <m/>
    <x v="0"/>
    <n v="65.064099999999996"/>
    <n v="215"/>
    <n v="64.624300000000005"/>
    <n v="231"/>
    <n v="117.92"/>
    <n v="1"/>
    <n v="118.3677"/>
    <n v="2"/>
    <n v="91.5809"/>
    <n v="21"/>
    <n v="91.925600000000003"/>
    <n v="26"/>
    <n v="0.94821100000000003"/>
    <n v="3"/>
    <x v="11"/>
  </r>
  <r>
    <x v="7"/>
    <x v="0"/>
    <s v="x"/>
    <x v="0"/>
    <m/>
    <x v="0"/>
    <m/>
    <x v="0"/>
    <n v="67.518900000000002"/>
    <n v="101"/>
    <n v="67.794700000000006"/>
    <n v="86"/>
    <n v="117.4251"/>
    <n v="2"/>
    <n v="120.4208"/>
    <n v="1"/>
    <n v="92.293199999999999"/>
    <n v="30"/>
    <n v="94.176900000000003"/>
    <n v="44"/>
    <n v="0.94411199999999995"/>
    <n v="4"/>
    <x v="11"/>
  </r>
  <r>
    <x v="15"/>
    <x v="2"/>
    <s v="x"/>
    <x v="0"/>
    <s v="x"/>
    <x v="0"/>
    <m/>
    <x v="0"/>
    <n v="63.558799999999998"/>
    <n v="275"/>
    <n v="64.305999999999997"/>
    <n v="248"/>
    <n v="108.62179999999999"/>
    <n v="32"/>
    <n v="111.7563"/>
    <n v="21"/>
    <n v="91.190299999999993"/>
    <n v="16"/>
    <n v="89.258799999999994"/>
    <n v="10"/>
    <n v="0.92988899999999997"/>
    <n v="5"/>
    <x v="11"/>
  </r>
  <r>
    <x v="0"/>
    <x v="2"/>
    <s v="x"/>
    <x v="0"/>
    <s v="x"/>
    <x v="0"/>
    <m/>
    <x v="0"/>
    <n v="68.660200000000003"/>
    <n v="68"/>
    <n v="67.914400000000001"/>
    <n v="81"/>
    <n v="114.4513"/>
    <n v="7"/>
    <n v="117.2188"/>
    <n v="4"/>
    <n v="95.1267"/>
    <n v="59"/>
    <n v="93.706400000000002"/>
    <n v="39"/>
    <n v="0.92920700000000001"/>
    <n v="6"/>
    <x v="11"/>
  </r>
  <r>
    <x v="2"/>
    <x v="0"/>
    <s v="x"/>
    <x v="0"/>
    <m/>
    <x v="0"/>
    <m/>
    <x v="0"/>
    <n v="67.635999999999996"/>
    <n v="95"/>
    <n v="67.702699999999993"/>
    <n v="91"/>
    <n v="109.6229"/>
    <n v="24"/>
    <n v="110.3897"/>
    <n v="34"/>
    <n v="89.302999999999997"/>
    <n v="9"/>
    <n v="88.356099999999998"/>
    <n v="6"/>
    <n v="0.92826799999999998"/>
    <n v="7"/>
    <x v="11"/>
  </r>
  <r>
    <x v="13"/>
    <x v="8"/>
    <m/>
    <x v="1"/>
    <m/>
    <x v="0"/>
    <m/>
    <x v="0"/>
    <n v="60.202500000000001"/>
    <n v="342"/>
    <n v="60.187199999999997"/>
    <n v="339"/>
    <n v="114.7007"/>
    <n v="6"/>
    <n v="113.6168"/>
    <n v="10"/>
    <n v="91.251000000000005"/>
    <n v="17"/>
    <n v="90.956900000000005"/>
    <n v="18"/>
    <n v="0.928118"/>
    <n v="8"/>
    <x v="11"/>
  </r>
  <r>
    <x v="140"/>
    <x v="2"/>
    <m/>
    <x v="1"/>
    <m/>
    <x v="0"/>
    <m/>
    <x v="0"/>
    <n v="62.041600000000003"/>
    <n v="311"/>
    <n v="61.879100000000001"/>
    <n v="313"/>
    <n v="102.31489999999999"/>
    <n v="140"/>
    <n v="105.971"/>
    <n v="74"/>
    <n v="88.490600000000001"/>
    <n v="6"/>
    <n v="85.314400000000006"/>
    <n v="2"/>
    <n v="0.923682"/>
    <n v="9"/>
    <x v="11"/>
  </r>
  <r>
    <x v="27"/>
    <x v="4"/>
    <s v="x"/>
    <x v="0"/>
    <m/>
    <x v="0"/>
    <m/>
    <x v="0"/>
    <n v="64.110500000000002"/>
    <n v="251"/>
    <n v="64.399900000000002"/>
    <n v="244"/>
    <n v="105.28189999999999"/>
    <n v="87"/>
    <n v="110.50660000000001"/>
    <n v="32"/>
    <n v="92.829899999999995"/>
    <n v="35"/>
    <n v="89.680199999999999"/>
    <n v="12"/>
    <n v="0.91694200000000003"/>
    <n v="10"/>
    <x v="11"/>
  </r>
  <r>
    <x v="181"/>
    <x v="3"/>
    <s v="x"/>
    <x v="0"/>
    <s v="x"/>
    <x v="1"/>
    <s v="x"/>
    <x v="0"/>
    <n v="63.828800000000001"/>
    <n v="266"/>
    <n v="64.980900000000005"/>
    <n v="215"/>
    <n v="115.60250000000001"/>
    <n v="4"/>
    <n v="118.0446"/>
    <n v="3"/>
    <n v="97.597300000000004"/>
    <n v="100"/>
    <n v="96.465000000000003"/>
    <n v="84"/>
    <n v="0.91065300000000005"/>
    <n v="11"/>
    <x v="11"/>
  </r>
  <r>
    <x v="123"/>
    <x v="4"/>
    <m/>
    <x v="1"/>
    <m/>
    <x v="0"/>
    <m/>
    <x v="0"/>
    <n v="64.753699999999995"/>
    <n v="228"/>
    <n v="64.845699999999994"/>
    <n v="220"/>
    <n v="103.4442"/>
    <n v="116"/>
    <n v="108.9021"/>
    <n v="43"/>
    <n v="92.597999999999999"/>
    <n v="33"/>
    <n v="89.253699999999995"/>
    <n v="9"/>
    <n v="0.90788800000000003"/>
    <n v="12"/>
    <x v="11"/>
  </r>
  <r>
    <x v="41"/>
    <x v="1"/>
    <m/>
    <x v="1"/>
    <m/>
    <x v="0"/>
    <m/>
    <x v="0"/>
    <n v="61.407600000000002"/>
    <n v="327"/>
    <n v="61.951599999999999"/>
    <n v="310"/>
    <n v="105.0175"/>
    <n v="91"/>
    <n v="104.9075"/>
    <n v="94"/>
    <n v="89.877099999999999"/>
    <n v="11"/>
    <n v="86.222999999999999"/>
    <n v="3"/>
    <n v="0.90513600000000005"/>
    <n v="13"/>
    <x v="11"/>
  </r>
  <r>
    <x v="29"/>
    <x v="2"/>
    <s v="x"/>
    <x v="0"/>
    <m/>
    <x v="0"/>
    <m/>
    <x v="0"/>
    <n v="64.337800000000001"/>
    <n v="241"/>
    <n v="63.254399999999997"/>
    <n v="282"/>
    <n v="108.20869999999999"/>
    <n v="37"/>
    <n v="111.20359999999999"/>
    <n v="26"/>
    <n v="93.923699999999997"/>
    <n v="41"/>
    <n v="91.599000000000004"/>
    <n v="23"/>
    <n v="0.90294099999999999"/>
    <n v="14"/>
    <x v="11"/>
  </r>
  <r>
    <x v="68"/>
    <x v="3"/>
    <s v="x"/>
    <x v="0"/>
    <s v="x"/>
    <x v="1"/>
    <m/>
    <x v="0"/>
    <n v="65.621300000000005"/>
    <n v="189"/>
    <n v="64.518799999999999"/>
    <n v="235"/>
    <n v="107.71420000000001"/>
    <n v="42"/>
    <n v="113.0001"/>
    <n v="12"/>
    <n v="92.013599999999997"/>
    <n v="25"/>
    <n v="93.122500000000002"/>
    <n v="36"/>
    <n v="0.90246599999999999"/>
    <n v="15"/>
    <x v="11"/>
  </r>
  <r>
    <x v="201"/>
    <x v="3"/>
    <s v="x"/>
    <x v="1"/>
    <m/>
    <x v="0"/>
    <m/>
    <x v="0"/>
    <n v="64.612499999999997"/>
    <n v="233"/>
    <n v="65.117800000000003"/>
    <n v="207"/>
    <n v="106.0539"/>
    <n v="73"/>
    <n v="106.3669"/>
    <n v="69"/>
    <n v="89.410399999999996"/>
    <n v="10"/>
    <n v="87.958500000000001"/>
    <n v="5"/>
    <n v="0.89892499999999997"/>
    <n v="16"/>
    <x v="11"/>
  </r>
  <r>
    <x v="46"/>
    <x v="6"/>
    <s v="x"/>
    <x v="1"/>
    <m/>
    <x v="0"/>
    <m/>
    <x v="0"/>
    <n v="65.093400000000003"/>
    <n v="213"/>
    <n v="64.997399999999999"/>
    <n v="213"/>
    <n v="115.80500000000001"/>
    <n v="3"/>
    <n v="116.5534"/>
    <n v="6"/>
    <n v="97.019900000000007"/>
    <n v="87"/>
    <n v="97.229299999999995"/>
    <n v="98"/>
    <n v="0.88940600000000003"/>
    <n v="17"/>
    <x v="11"/>
  </r>
  <r>
    <x v="38"/>
    <x v="1"/>
    <m/>
    <x v="1"/>
    <m/>
    <x v="0"/>
    <m/>
    <x v="0"/>
    <n v="67.301400000000001"/>
    <n v="111"/>
    <n v="67.6554"/>
    <n v="94"/>
    <n v="105.7822"/>
    <n v="77"/>
    <n v="107.66370000000001"/>
    <n v="55"/>
    <n v="91.588700000000003"/>
    <n v="22"/>
    <n v="90.312200000000004"/>
    <n v="16"/>
    <n v="0.88298600000000005"/>
    <n v="18"/>
    <x v="11"/>
  </r>
  <r>
    <x v="6"/>
    <x v="4"/>
    <s v="x"/>
    <x v="0"/>
    <s v="x"/>
    <x v="0"/>
    <m/>
    <x v="0"/>
    <n v="63.733199999999997"/>
    <n v="271"/>
    <n v="64.944500000000005"/>
    <n v="217"/>
    <n v="106.2915"/>
    <n v="69"/>
    <n v="112.1973"/>
    <n v="17"/>
    <n v="96.963399999999993"/>
    <n v="85"/>
    <n v="94.3506"/>
    <n v="45"/>
    <n v="0.87998299999999996"/>
    <n v="19"/>
    <x v="11"/>
  </r>
  <r>
    <x v="83"/>
    <x v="8"/>
    <s v="x"/>
    <x v="1"/>
    <m/>
    <x v="0"/>
    <m/>
    <x v="0"/>
    <n v="64.034199999999998"/>
    <n v="256"/>
    <n v="64.991600000000005"/>
    <n v="214"/>
    <n v="112.5949"/>
    <n v="10"/>
    <n v="116.8317"/>
    <n v="5"/>
    <n v="98.687600000000003"/>
    <n v="136"/>
    <n v="98.522400000000005"/>
    <n v="119"/>
    <n v="0.87655300000000003"/>
    <n v="20"/>
    <x v="11"/>
  </r>
  <r>
    <x v="167"/>
    <x v="3"/>
    <m/>
    <x v="1"/>
    <m/>
    <x v="0"/>
    <m/>
    <x v="0"/>
    <n v="63.688600000000001"/>
    <n v="272"/>
    <n v="62.7742"/>
    <n v="293"/>
    <n v="107.8689"/>
    <n v="38"/>
    <n v="112.351"/>
    <n v="16"/>
    <n v="96.643600000000006"/>
    <n v="82"/>
    <n v="94.763499999999993"/>
    <n v="54"/>
    <n v="0.87629400000000002"/>
    <n v="21"/>
    <x v="11"/>
  </r>
  <r>
    <x v="10"/>
    <x v="5"/>
    <s v="x"/>
    <x v="0"/>
    <m/>
    <x v="0"/>
    <m/>
    <x v="0"/>
    <n v="67.035700000000006"/>
    <n v="123"/>
    <n v="66.9529"/>
    <n v="123"/>
    <n v="108.9482"/>
    <n v="28"/>
    <n v="111.8518"/>
    <n v="19"/>
    <n v="94.747200000000007"/>
    <n v="53"/>
    <n v="94.458600000000004"/>
    <n v="49"/>
    <n v="0.87475199999999997"/>
    <n v="22"/>
    <x v="11"/>
  </r>
  <r>
    <x v="39"/>
    <x v="7"/>
    <m/>
    <x v="1"/>
    <m/>
    <x v="0"/>
    <m/>
    <x v="0"/>
    <n v="68.204999999999998"/>
    <n v="81"/>
    <n v="67.415300000000002"/>
    <n v="103"/>
    <n v="111.01439999999999"/>
    <n v="20"/>
    <n v="112.3819"/>
    <n v="15"/>
    <n v="96.079700000000003"/>
    <n v="73"/>
    <n v="95.164599999999993"/>
    <n v="64"/>
    <n v="0.871286"/>
    <n v="23"/>
    <x v="11"/>
  </r>
  <r>
    <x v="49"/>
    <x v="6"/>
    <s v="x"/>
    <x v="1"/>
    <m/>
    <x v="0"/>
    <m/>
    <x v="0"/>
    <n v="66.385300000000001"/>
    <n v="153"/>
    <n v="66.836699999999993"/>
    <n v="126"/>
    <n v="102.5206"/>
    <n v="133"/>
    <n v="104.77370000000001"/>
    <n v="97"/>
    <n v="91.876499999999993"/>
    <n v="23"/>
    <n v="88.876300000000001"/>
    <n v="7"/>
    <n v="0.86902999999999997"/>
    <n v="24"/>
    <x v="11"/>
  </r>
  <r>
    <x v="69"/>
    <x v="5"/>
    <s v="x"/>
    <x v="1"/>
    <m/>
    <x v="0"/>
    <m/>
    <x v="0"/>
    <n v="69.816400000000002"/>
    <n v="31"/>
    <n v="69.665999999999997"/>
    <n v="28"/>
    <n v="107.77970000000001"/>
    <n v="41"/>
    <n v="107.0489"/>
    <n v="61"/>
    <n v="92.528899999999993"/>
    <n v="32"/>
    <n v="90.975899999999996"/>
    <n v="19"/>
    <n v="0.86656699999999998"/>
    <n v="25"/>
    <x v="11"/>
  </r>
  <r>
    <x v="109"/>
    <x v="1"/>
    <s v="x"/>
    <x v="1"/>
    <m/>
    <x v="0"/>
    <m/>
    <x v="0"/>
    <n v="68.803799999999995"/>
    <n v="62"/>
    <n v="68.423199999999994"/>
    <n v="63"/>
    <n v="111.348"/>
    <n v="19"/>
    <n v="111.49420000000001"/>
    <n v="23"/>
    <n v="94.093000000000004"/>
    <n v="42"/>
    <n v="94.857100000000003"/>
    <n v="57"/>
    <n v="0.86511199999999999"/>
    <n v="26"/>
    <x v="11"/>
  </r>
  <r>
    <x v="129"/>
    <x v="12"/>
    <m/>
    <x v="1"/>
    <m/>
    <x v="0"/>
    <m/>
    <x v="0"/>
    <n v="64.517399999999995"/>
    <n v="237"/>
    <n v="64.808899999999994"/>
    <n v="223"/>
    <n v="115.5519"/>
    <n v="5"/>
    <n v="113.3361"/>
    <n v="11"/>
    <n v="98.0809"/>
    <n v="115"/>
    <n v="96.688900000000004"/>
    <n v="88"/>
    <n v="0.86138899999999996"/>
    <n v="27"/>
    <x v="11"/>
  </r>
  <r>
    <x v="25"/>
    <x v="6"/>
    <m/>
    <x v="1"/>
    <m/>
    <x v="0"/>
    <m/>
    <x v="0"/>
    <n v="61.932600000000001"/>
    <n v="314"/>
    <n v="61.559600000000003"/>
    <n v="320"/>
    <n v="110.3295"/>
    <n v="22"/>
    <n v="112.95699999999999"/>
    <n v="13"/>
    <n v="99.173400000000001"/>
    <n v="143"/>
    <n v="96.5989"/>
    <n v="87"/>
    <n v="0.85803399999999996"/>
    <n v="28"/>
    <x v="11"/>
  </r>
  <r>
    <x v="95"/>
    <x v="8"/>
    <s v="x"/>
    <x v="1"/>
    <m/>
    <x v="0"/>
    <m/>
    <x v="0"/>
    <n v="71.533000000000001"/>
    <n v="6"/>
    <n v="70.614999999999995"/>
    <n v="16"/>
    <n v="106.1302"/>
    <n v="71"/>
    <n v="111.35299999999999"/>
    <n v="25"/>
    <n v="96.849900000000005"/>
    <n v="84"/>
    <n v="95.372500000000002"/>
    <n v="68"/>
    <n v="0.85588500000000001"/>
    <n v="29"/>
    <x v="11"/>
  </r>
  <r>
    <x v="24"/>
    <x v="8"/>
    <m/>
    <x v="1"/>
    <m/>
    <x v="0"/>
    <m/>
    <x v="0"/>
    <n v="68.692999999999998"/>
    <n v="66"/>
    <n v="68.151799999999994"/>
    <n v="74"/>
    <n v="112.277"/>
    <n v="14"/>
    <n v="114.0926"/>
    <n v="8"/>
    <n v="101.67359999999999"/>
    <n v="191"/>
    <n v="98.010400000000004"/>
    <n v="110"/>
    <n v="0.851607"/>
    <n v="30"/>
    <x v="11"/>
  </r>
  <r>
    <x v="156"/>
    <x v="1"/>
    <m/>
    <x v="1"/>
    <m/>
    <x v="0"/>
    <m/>
    <x v="0"/>
    <n v="68.944500000000005"/>
    <n v="51"/>
    <n v="68.770200000000003"/>
    <n v="53"/>
    <n v="102.6943"/>
    <n v="128"/>
    <n v="103.9361"/>
    <n v="113"/>
    <n v="92.055400000000006"/>
    <n v="27"/>
    <n v="89.317700000000002"/>
    <n v="11"/>
    <n v="0.85108300000000003"/>
    <n v="31"/>
    <x v="11"/>
  </r>
  <r>
    <x v="124"/>
    <x v="12"/>
    <s v="x"/>
    <x v="1"/>
    <m/>
    <x v="0"/>
    <m/>
    <x v="0"/>
    <n v="63.1783"/>
    <n v="289"/>
    <n v="63.0456"/>
    <n v="288"/>
    <n v="107.6562"/>
    <n v="44"/>
    <n v="110.6366"/>
    <n v="31"/>
    <n v="97.274000000000001"/>
    <n v="95"/>
    <n v="95.184200000000004"/>
    <n v="65"/>
    <n v="0.84941500000000003"/>
    <n v="32"/>
    <x v="11"/>
  </r>
  <r>
    <x v="127"/>
    <x v="9"/>
    <s v="x"/>
    <x v="1"/>
    <m/>
    <x v="0"/>
    <m/>
    <x v="0"/>
    <n v="70.2898"/>
    <n v="25"/>
    <n v="69.328900000000004"/>
    <n v="34"/>
    <n v="111.8972"/>
    <n v="16"/>
    <n v="115.6354"/>
    <n v="7"/>
    <n v="99.802000000000007"/>
    <n v="152"/>
    <n v="100.0209"/>
    <n v="148"/>
    <n v="0.84133899999999995"/>
    <n v="34"/>
    <x v="11"/>
  </r>
  <r>
    <x v="146"/>
    <x v="7"/>
    <s v="x"/>
    <x v="0"/>
    <s v="x"/>
    <x v="1"/>
    <m/>
    <x v="0"/>
    <n v="64.769499999999994"/>
    <n v="226"/>
    <n v="64.558999999999997"/>
    <n v="233"/>
    <n v="107.13930000000001"/>
    <n v="53"/>
    <n v="107.2784"/>
    <n v="59"/>
    <n v="93.690299999999993"/>
    <n v="39"/>
    <n v="92.891499999999994"/>
    <n v="34"/>
    <n v="0.83969400000000005"/>
    <n v="35"/>
    <x v="11"/>
  </r>
  <r>
    <x v="19"/>
    <x v="10"/>
    <s v="x"/>
    <x v="1"/>
    <m/>
    <x v="0"/>
    <m/>
    <x v="0"/>
    <n v="70.938699999999997"/>
    <n v="14"/>
    <n v="70.771900000000002"/>
    <n v="12"/>
    <n v="108.4528"/>
    <n v="35"/>
    <n v="110.43049999999999"/>
    <n v="33"/>
    <n v="94.122500000000002"/>
    <n v="43"/>
    <n v="95.956199999999995"/>
    <n v="77"/>
    <n v="0.83419900000000002"/>
    <n v="37"/>
    <x v="11"/>
  </r>
  <r>
    <x v="1"/>
    <x v="9"/>
    <m/>
    <x v="1"/>
    <m/>
    <x v="0"/>
    <m/>
    <x v="0"/>
    <n v="65.024900000000002"/>
    <n v="216"/>
    <n v="64.290499999999994"/>
    <n v="250"/>
    <n v="100.7256"/>
    <n v="171"/>
    <n v="103.2159"/>
    <n v="130"/>
    <n v="90.708600000000004"/>
    <n v="15"/>
    <n v="89.848799999999997"/>
    <n v="13"/>
    <n v="0.83131699999999997"/>
    <n v="39"/>
    <x v="11"/>
  </r>
  <r>
    <x v="211"/>
    <x v="12"/>
    <m/>
    <x v="1"/>
    <m/>
    <x v="0"/>
    <m/>
    <x v="0"/>
    <n v="65.809299999999993"/>
    <n v="183"/>
    <n v="65.082800000000006"/>
    <n v="210"/>
    <n v="107.4502"/>
    <n v="47"/>
    <n v="104.2118"/>
    <n v="106"/>
    <n v="87.394599999999997"/>
    <n v="5"/>
    <n v="90.932100000000005"/>
    <n v="17"/>
    <n v="0.82743900000000004"/>
    <n v="40"/>
    <x v="11"/>
  </r>
  <r>
    <x v="174"/>
    <x v="11"/>
    <m/>
    <x v="1"/>
    <m/>
    <x v="0"/>
    <m/>
    <x v="0"/>
    <n v="66.293499999999995"/>
    <n v="159"/>
    <n v="66.363100000000003"/>
    <n v="153"/>
    <n v="107.06619999999999"/>
    <n v="54"/>
    <n v="111.3948"/>
    <n v="24"/>
    <n v="100.0296"/>
    <n v="155"/>
    <n v="97.304199999999994"/>
    <n v="100"/>
    <n v="0.82567000000000002"/>
    <n v="41"/>
    <x v="11"/>
  </r>
  <r>
    <x v="75"/>
    <x v="5"/>
    <s v="x"/>
    <x v="1"/>
    <m/>
    <x v="0"/>
    <m/>
    <x v="0"/>
    <n v="64.573099999999997"/>
    <n v="234"/>
    <n v="64.419799999999995"/>
    <n v="242"/>
    <n v="105.58499999999999"/>
    <n v="79"/>
    <n v="107.7735"/>
    <n v="54"/>
    <n v="97.834900000000005"/>
    <n v="108"/>
    <n v="94.360299999999995"/>
    <n v="46"/>
    <n v="0.82178300000000004"/>
    <n v="43"/>
    <x v="11"/>
  </r>
  <r>
    <x v="8"/>
    <x v="10"/>
    <s v="x"/>
    <x v="0"/>
    <m/>
    <x v="0"/>
    <m/>
    <x v="0"/>
    <n v="68.858900000000006"/>
    <n v="58"/>
    <n v="68.899900000000002"/>
    <n v="46"/>
    <n v="102.319"/>
    <n v="139"/>
    <n v="102.9085"/>
    <n v="132"/>
    <n v="90.329700000000003"/>
    <n v="13"/>
    <n v="90.257300000000001"/>
    <n v="15"/>
    <n v="0.81884199999999996"/>
    <n v="44"/>
    <x v="11"/>
  </r>
  <r>
    <x v="152"/>
    <x v="12"/>
    <m/>
    <x v="1"/>
    <m/>
    <x v="0"/>
    <m/>
    <x v="0"/>
    <n v="68.227099999999993"/>
    <n v="79"/>
    <n v="67.317999999999998"/>
    <n v="107"/>
    <n v="112.44970000000001"/>
    <n v="11"/>
    <n v="108.77200000000001"/>
    <n v="45"/>
    <n v="94.444699999999997"/>
    <n v="49"/>
    <n v="95.517600000000002"/>
    <n v="71"/>
    <n v="0.81672999999999996"/>
    <n v="46"/>
    <x v="11"/>
  </r>
  <r>
    <x v="32"/>
    <x v="5"/>
    <m/>
    <x v="1"/>
    <m/>
    <x v="0"/>
    <m/>
    <x v="0"/>
    <n v="69.538899999999998"/>
    <n v="37"/>
    <n v="69.321899999999999"/>
    <n v="35"/>
    <n v="105.8964"/>
    <n v="75"/>
    <n v="108.45350000000001"/>
    <n v="48"/>
    <n v="97.799899999999994"/>
    <n v="106"/>
    <n v="95.399799999999999"/>
    <n v="69"/>
    <n v="0.81378899999999998"/>
    <n v="47"/>
    <x v="11"/>
  </r>
  <r>
    <x v="131"/>
    <x v="12"/>
    <m/>
    <x v="1"/>
    <m/>
    <x v="0"/>
    <m/>
    <x v="0"/>
    <n v="62.507399999999997"/>
    <n v="303"/>
    <n v="63.210900000000002"/>
    <n v="285"/>
    <n v="107.66500000000001"/>
    <n v="43"/>
    <n v="105.3449"/>
    <n v="84"/>
    <n v="92.264300000000006"/>
    <n v="29"/>
    <n v="92.672600000000003"/>
    <n v="32"/>
    <n v="0.81365100000000001"/>
    <n v="48"/>
    <x v="11"/>
  </r>
  <r>
    <x v="11"/>
    <x v="6"/>
    <s v="x"/>
    <x v="1"/>
    <m/>
    <x v="0"/>
    <m/>
    <x v="0"/>
    <n v="65.616200000000006"/>
    <n v="190"/>
    <n v="65.989599999999996"/>
    <n v="166"/>
    <n v="104.0076"/>
    <n v="103"/>
    <n v="107.5025"/>
    <n v="57"/>
    <n v="99.375299999999996"/>
    <n v="147"/>
    <n v="94.662000000000006"/>
    <n v="53"/>
    <n v="0.81196199999999996"/>
    <n v="49"/>
    <x v="11"/>
  </r>
  <r>
    <x v="5"/>
    <x v="9"/>
    <m/>
    <x v="1"/>
    <m/>
    <x v="0"/>
    <m/>
    <x v="0"/>
    <n v="66.770899999999997"/>
    <n v="134"/>
    <n v="66.814499999999995"/>
    <n v="129"/>
    <n v="105.52889999999999"/>
    <n v="81"/>
    <n v="109.8045"/>
    <n v="36"/>
    <n v="98.341099999999997"/>
    <n v="124"/>
    <n v="96.762699999999995"/>
    <n v="90"/>
    <n v="0.81062100000000004"/>
    <n v="50"/>
    <x v="11"/>
  </r>
  <r>
    <x v="121"/>
    <x v="7"/>
    <m/>
    <x v="1"/>
    <m/>
    <x v="0"/>
    <m/>
    <x v="0"/>
    <n v="66.939599999999999"/>
    <n v="126"/>
    <n v="67.676299999999998"/>
    <n v="93"/>
    <n v="98.729600000000005"/>
    <n v="213"/>
    <n v="103.59139999999999"/>
    <n v="121"/>
    <n v="95.161199999999994"/>
    <n v="60"/>
    <n v="91.355099999999993"/>
    <n v="21"/>
    <n v="0.80931200000000003"/>
    <n v="51"/>
    <x v="11"/>
  </r>
  <r>
    <x v="73"/>
    <x v="9"/>
    <m/>
    <x v="1"/>
    <m/>
    <x v="0"/>
    <m/>
    <x v="0"/>
    <n v="65.714699999999993"/>
    <n v="186"/>
    <n v="64.976600000000005"/>
    <n v="216"/>
    <n v="101.7469"/>
    <n v="154"/>
    <n v="104.03449999999999"/>
    <n v="112"/>
    <n v="95.493700000000004"/>
    <n v="62"/>
    <n v="91.778300000000002"/>
    <n v="25"/>
    <n v="0.80868499999999999"/>
    <n v="52"/>
    <x v="11"/>
  </r>
  <r>
    <x v="185"/>
    <x v="10"/>
    <m/>
    <x v="1"/>
    <m/>
    <x v="0"/>
    <m/>
    <x v="0"/>
    <n v="66.381200000000007"/>
    <n v="154"/>
    <n v="66.623800000000003"/>
    <n v="135"/>
    <n v="106.6609"/>
    <n v="62"/>
    <n v="105.1566"/>
    <n v="87"/>
    <n v="92.332300000000004"/>
    <n v="31"/>
    <n v="92.875900000000001"/>
    <n v="33"/>
    <n v="0.806612"/>
    <n v="53"/>
    <x v="11"/>
  </r>
  <r>
    <x v="212"/>
    <x v="11"/>
    <s v="x"/>
    <x v="0"/>
    <m/>
    <x v="0"/>
    <m/>
    <x v="0"/>
    <n v="67.051900000000003"/>
    <n v="122"/>
    <n v="66.489199999999997"/>
    <n v="141"/>
    <n v="107.3454"/>
    <n v="51"/>
    <n v="107.9554"/>
    <n v="52"/>
    <n v="97.857100000000003"/>
    <n v="110"/>
    <n v="96.515500000000003"/>
    <n v="86"/>
    <n v="0.78383800000000003"/>
    <n v="57"/>
    <x v="11"/>
  </r>
  <r>
    <x v="169"/>
    <x v="7"/>
    <s v="x"/>
    <x v="1"/>
    <m/>
    <x v="0"/>
    <m/>
    <x v="0"/>
    <n v="67.862499999999997"/>
    <n v="90"/>
    <n v="67.017799999999994"/>
    <n v="120"/>
    <n v="107.0557"/>
    <n v="55"/>
    <n v="110.16540000000001"/>
    <n v="35"/>
    <n v="100.22499999999999"/>
    <n v="158"/>
    <n v="99.000500000000002"/>
    <n v="129"/>
    <n v="0.77361999999999997"/>
    <n v="59"/>
    <x v="11"/>
  </r>
  <r>
    <x v="26"/>
    <x v="10"/>
    <s v="x"/>
    <x v="1"/>
    <m/>
    <x v="0"/>
    <m/>
    <x v="0"/>
    <n v="66.351799999999997"/>
    <n v="156"/>
    <n v="65.881699999999995"/>
    <n v="175"/>
    <n v="101.4592"/>
    <n v="161"/>
    <n v="104.48"/>
    <n v="102"/>
    <n v="96.589100000000002"/>
    <n v="79"/>
    <n v="93.914100000000005"/>
    <n v="42"/>
    <n v="0.77312999999999998"/>
    <n v="60"/>
    <x v="11"/>
  </r>
  <r>
    <x v="40"/>
    <x v="13"/>
    <m/>
    <x v="1"/>
    <m/>
    <x v="0"/>
    <m/>
    <x v="0"/>
    <n v="65.0779"/>
    <n v="214"/>
    <n v="65.926400000000001"/>
    <n v="170"/>
    <n v="109.3647"/>
    <n v="27"/>
    <n v="109.6939"/>
    <n v="37"/>
    <n v="95.505300000000005"/>
    <n v="63"/>
    <n v="98.748900000000006"/>
    <n v="126"/>
    <n v="0.77008799999999999"/>
    <n v="61"/>
    <x v="11"/>
  </r>
  <r>
    <x v="53"/>
    <x v="13"/>
    <m/>
    <x v="1"/>
    <m/>
    <x v="0"/>
    <m/>
    <x v="0"/>
    <n v="64.570300000000003"/>
    <n v="235"/>
    <n v="65.201400000000007"/>
    <n v="205"/>
    <n v="112.7877"/>
    <n v="9"/>
    <n v="111.00790000000001"/>
    <n v="28"/>
    <n v="95.8001"/>
    <n v="67"/>
    <n v="100.73569999999999"/>
    <n v="164"/>
    <n v="0.75336700000000001"/>
    <n v="65"/>
    <x v="11"/>
  </r>
  <r>
    <x v="161"/>
    <x v="11"/>
    <m/>
    <x v="1"/>
    <m/>
    <x v="0"/>
    <m/>
    <x v="0"/>
    <n v="65.263499999999993"/>
    <n v="204"/>
    <n v="65.110600000000005"/>
    <n v="208"/>
    <n v="103.3711"/>
    <n v="118"/>
    <n v="103.28660000000001"/>
    <n v="126"/>
    <n v="95.627799999999993"/>
    <n v="65"/>
    <n v="94.922799999999995"/>
    <n v="59"/>
    <n v="0.72533800000000004"/>
    <n v="74"/>
    <x v="11"/>
  </r>
  <r>
    <x v="147"/>
    <x v="14"/>
    <m/>
    <x v="1"/>
    <m/>
    <x v="0"/>
    <m/>
    <x v="0"/>
    <n v="70.231099999999998"/>
    <n v="26"/>
    <n v="70.605500000000006"/>
    <n v="17"/>
    <n v="112.0595"/>
    <n v="15"/>
    <n v="112.7653"/>
    <n v="14"/>
    <n v="104.87350000000001"/>
    <n v="266"/>
    <n v="105.4032"/>
    <n v="263"/>
    <n v="0.68491000000000002"/>
    <n v="89"/>
    <x v="11"/>
  </r>
  <r>
    <x v="205"/>
    <x v="11"/>
    <m/>
    <x v="1"/>
    <m/>
    <x v="0"/>
    <m/>
    <x v="0"/>
    <n v="63.785800000000002"/>
    <n v="267"/>
    <n v="64.112799999999993"/>
    <n v="258"/>
    <n v="112.4359"/>
    <n v="12"/>
    <n v="111.1901"/>
    <n v="27"/>
    <n v="102.55289999999999"/>
    <n v="211"/>
    <n v="104.0986"/>
    <n v="242"/>
    <n v="0.680894"/>
    <n v="91"/>
    <x v="11"/>
  </r>
  <r>
    <x v="202"/>
    <x v="13"/>
    <s v="x"/>
    <x v="1"/>
    <m/>
    <x v="0"/>
    <m/>
    <x v="0"/>
    <n v="63.860999999999997"/>
    <n v="265"/>
    <n v="64.396699999999996"/>
    <n v="245"/>
    <n v="106.62350000000001"/>
    <n v="65"/>
    <n v="106.119"/>
    <n v="72"/>
    <n v="99.3506"/>
    <n v="145"/>
    <n v="99.987099999999998"/>
    <n v="147"/>
    <n v="0.66474"/>
    <n v="97"/>
    <x v="11"/>
  </r>
  <r>
    <x v="110"/>
    <x v="14"/>
    <m/>
    <x v="1"/>
    <m/>
    <x v="0"/>
    <m/>
    <x v="0"/>
    <n v="63.195399999999999"/>
    <n v="287"/>
    <n v="63.2361"/>
    <n v="283"/>
    <n v="105.76949999999999"/>
    <n v="78"/>
    <n v="104.839"/>
    <n v="96"/>
    <n v="102.67189999999999"/>
    <n v="213"/>
    <n v="100.2427"/>
    <n v="154"/>
    <n v="0.62610900000000003"/>
    <n v="111"/>
    <x v="11"/>
  </r>
  <r>
    <x v="62"/>
    <x v="11"/>
    <m/>
    <x v="1"/>
    <m/>
    <x v="0"/>
    <m/>
    <x v="0"/>
    <n v="63.773600000000002"/>
    <n v="268"/>
    <n v="63.840899999999998"/>
    <n v="266"/>
    <n v="108.5586"/>
    <n v="34"/>
    <n v="103.8571"/>
    <n v="114"/>
    <n v="100.8193"/>
    <n v="170"/>
    <n v="100.7899"/>
    <n v="166"/>
    <n v="0.585341"/>
    <n v="127"/>
    <x v="11"/>
  </r>
  <r>
    <x v="213"/>
    <x v="14"/>
    <s v="x"/>
    <x v="0"/>
    <m/>
    <x v="0"/>
    <m/>
    <x v="0"/>
    <n v="69.197299999999998"/>
    <n v="45"/>
    <n v="68.687100000000001"/>
    <n v="54"/>
    <n v="103.5861"/>
    <n v="110"/>
    <n v="102.1036"/>
    <n v="145"/>
    <n v="95.832499999999996"/>
    <n v="69"/>
    <n v="99.472300000000004"/>
    <n v="137"/>
    <n v="0.57450400000000001"/>
    <n v="131"/>
    <x v="11"/>
  </r>
  <r>
    <x v="149"/>
    <x v="13"/>
    <m/>
    <x v="1"/>
    <m/>
    <x v="0"/>
    <m/>
    <x v="0"/>
    <n v="73.539400000000001"/>
    <n v="1"/>
    <n v="72.896699999999996"/>
    <n v="1"/>
    <n v="105.92319999999999"/>
    <n v="74"/>
    <n v="105.7153"/>
    <n v="78"/>
    <n v="98.618499999999997"/>
    <n v="133"/>
    <n v="103.1156"/>
    <n v="214"/>
    <n v="0.57109799999999999"/>
    <n v="134"/>
    <x v="11"/>
  </r>
  <r>
    <x v="151"/>
    <x v="14"/>
    <m/>
    <x v="1"/>
    <m/>
    <x v="0"/>
    <m/>
    <x v="0"/>
    <n v="62.784399999999998"/>
    <n v="299"/>
    <n v="63.126199999999997"/>
    <n v="287"/>
    <n v="102.0149"/>
    <n v="147"/>
    <n v="100.0872"/>
    <n v="185"/>
    <n v="95.779399999999995"/>
    <n v="66"/>
    <n v="98.314300000000003"/>
    <n v="115"/>
    <n v="0.551203"/>
    <n v="142"/>
    <x v="11"/>
  </r>
  <r>
    <x v="153"/>
    <x v="15"/>
    <m/>
    <x v="1"/>
    <m/>
    <x v="0"/>
    <m/>
    <x v="0"/>
    <n v="65.389700000000005"/>
    <n v="197"/>
    <n v="64.886600000000001"/>
    <n v="219"/>
    <n v="101.7422"/>
    <n v="155"/>
    <n v="96.258499999999998"/>
    <n v="253"/>
    <n v="89.014799999999994"/>
    <n v="7"/>
    <n v="96.880799999999994"/>
    <n v="91"/>
    <n v="0.48148299999999999"/>
    <n v="170"/>
    <x v="11"/>
  </r>
  <r>
    <x v="196"/>
    <x v="15"/>
    <m/>
    <x v="1"/>
    <m/>
    <x v="0"/>
    <m/>
    <x v="0"/>
    <n v="70.312799999999996"/>
    <n v="24"/>
    <n v="69.648899999999998"/>
    <n v="29"/>
    <n v="112.36409999999999"/>
    <n v="13"/>
    <n v="109.61150000000001"/>
    <n v="39"/>
    <n v="107.89400000000001"/>
    <n v="317"/>
    <n v="110.50830000000001"/>
    <n v="325"/>
    <n v="0.47658899999999998"/>
    <n v="172"/>
    <x v="11"/>
  </r>
  <r>
    <x v="214"/>
    <x v="15"/>
    <m/>
    <x v="1"/>
    <m/>
    <x v="0"/>
    <m/>
    <x v="0"/>
    <n v="64.328999999999994"/>
    <n v="242"/>
    <n v="64.4803"/>
    <n v="239"/>
    <n v="100.4855"/>
    <n v="176"/>
    <n v="97.496600000000001"/>
    <n v="236"/>
    <n v="98.979200000000006"/>
    <n v="138"/>
    <n v="98.770499999999998"/>
    <n v="127"/>
    <n v="0.46274500000000002"/>
    <n v="184"/>
    <x v="11"/>
  </r>
  <r>
    <x v="35"/>
    <x v="15"/>
    <m/>
    <x v="1"/>
    <m/>
    <x v="0"/>
    <m/>
    <x v="0"/>
    <n v="66.854699999999994"/>
    <n v="129"/>
    <n v="65.674400000000006"/>
    <n v="182"/>
    <n v="100.071"/>
    <n v="181"/>
    <n v="100.47620000000001"/>
    <n v="178"/>
    <n v="99.092600000000004"/>
    <n v="142"/>
    <n v="101.946"/>
    <n v="193"/>
    <n v="0.458345"/>
    <n v="187"/>
    <x v="11"/>
  </r>
  <r>
    <x v="215"/>
    <x v="15"/>
    <m/>
    <x v="1"/>
    <m/>
    <x v="0"/>
    <m/>
    <x v="0"/>
    <n v="66.788399999999996"/>
    <n v="131"/>
    <n v="66.834199999999996"/>
    <n v="127"/>
    <n v="92.000100000000003"/>
    <n v="313"/>
    <n v="91.118799999999993"/>
    <n v="318"/>
    <n v="91.288200000000003"/>
    <n v="19"/>
    <n v="95.227800000000002"/>
    <n v="66"/>
    <n v="0.37583899999999998"/>
    <n v="219"/>
    <x v="11"/>
  </r>
  <r>
    <x v="115"/>
    <x v="15"/>
    <m/>
    <x v="1"/>
    <m/>
    <x v="0"/>
    <m/>
    <x v="0"/>
    <n v="66.046000000000006"/>
    <n v="170"/>
    <n v="65.912099999999995"/>
    <n v="171"/>
    <n v="100.69329999999999"/>
    <n v="172"/>
    <n v="100.9509"/>
    <n v="167"/>
    <n v="105.9028"/>
    <n v="282"/>
    <n v="108.9177"/>
    <n v="313"/>
    <n v="0.29452400000000001"/>
    <n v="256"/>
    <x v="11"/>
  </r>
  <r>
    <x v="10"/>
    <x v="0"/>
    <s v="x"/>
    <x v="0"/>
    <s v="x"/>
    <x v="0"/>
    <m/>
    <x v="0"/>
    <n v="64.520899999999997"/>
    <n v="275"/>
    <n v="64.381100000000004"/>
    <n v="273"/>
    <n v="112.26730000000001"/>
    <n v="37"/>
    <n v="113.1181"/>
    <n v="35"/>
    <n v="88.812899999999999"/>
    <n v="2"/>
    <n v="86.900400000000005"/>
    <n v="1"/>
    <n v="0.95400799999999997"/>
    <n v="1"/>
    <x v="12"/>
  </r>
  <r>
    <x v="66"/>
    <x v="3"/>
    <s v="x"/>
    <x v="0"/>
    <m/>
    <x v="0"/>
    <m/>
    <x v="0"/>
    <n v="69.148899999999998"/>
    <n v="63"/>
    <n v="68.9392"/>
    <n v="58"/>
    <n v="118.6927"/>
    <n v="3"/>
    <n v="117.3621"/>
    <n v="10"/>
    <n v="88.088899999999995"/>
    <n v="1"/>
    <n v="90.595500000000001"/>
    <n v="6"/>
    <n v="0.951519"/>
    <n v="2"/>
    <x v="12"/>
  </r>
  <r>
    <x v="4"/>
    <x v="0"/>
    <s v="x"/>
    <x v="0"/>
    <s v="x"/>
    <x v="1"/>
    <m/>
    <x v="0"/>
    <n v="63.069400000000002"/>
    <n v="325"/>
    <n v="63.179600000000001"/>
    <n v="316"/>
    <n v="111.6412"/>
    <n v="46"/>
    <n v="115.753"/>
    <n v="17"/>
    <n v="91.525800000000004"/>
    <n v="10"/>
    <n v="89.994299999999996"/>
    <n v="5"/>
    <n v="0.94758399999999998"/>
    <n v="3"/>
    <x v="12"/>
  </r>
  <r>
    <x v="157"/>
    <x v="0"/>
    <s v="x"/>
    <x v="0"/>
    <m/>
    <x v="0"/>
    <m/>
    <x v="0"/>
    <n v="60.501100000000001"/>
    <n v="346"/>
    <n v="60.966299999999997"/>
    <n v="345"/>
    <n v="108.67140000000001"/>
    <n v="80"/>
    <n v="113.9682"/>
    <n v="25"/>
    <n v="91.097399999999993"/>
    <n v="6"/>
    <n v="89.458100000000002"/>
    <n v="3"/>
    <n v="0.94184400000000001"/>
    <n v="4"/>
    <x v="12"/>
  </r>
  <r>
    <x v="146"/>
    <x v="0"/>
    <s v="x"/>
    <x v="1"/>
    <m/>
    <x v="0"/>
    <m/>
    <x v="0"/>
    <n v="64.4923"/>
    <n v="276"/>
    <n v="65.020200000000003"/>
    <n v="245"/>
    <n v="115.962"/>
    <n v="9"/>
    <n v="117.733"/>
    <n v="8"/>
    <n v="92.409400000000005"/>
    <n v="12"/>
    <n v="92.69"/>
    <n v="10"/>
    <n v="0.93993199999999999"/>
    <n v="5"/>
    <x v="12"/>
  </r>
  <r>
    <x v="121"/>
    <x v="2"/>
    <s v="x"/>
    <x v="1"/>
    <m/>
    <x v="0"/>
    <m/>
    <x v="0"/>
    <n v="67.5107"/>
    <n v="125"/>
    <n v="67.148399999999995"/>
    <n v="132"/>
    <n v="114.1827"/>
    <n v="18"/>
    <n v="115.84480000000001"/>
    <n v="16"/>
    <n v="96.731800000000007"/>
    <n v="27"/>
    <n v="93.724900000000005"/>
    <n v="14"/>
    <n v="0.91958399999999996"/>
    <n v="6"/>
    <x v="12"/>
  </r>
  <r>
    <x v="0"/>
    <x v="4"/>
    <m/>
    <x v="1"/>
    <m/>
    <x v="0"/>
    <m/>
    <x v="0"/>
    <n v="65.403999999999996"/>
    <n v="230"/>
    <n v="66.016099999999994"/>
    <n v="196"/>
    <n v="119.9164"/>
    <n v="2"/>
    <n v="124.3884"/>
    <n v="2"/>
    <n v="102.42910000000001"/>
    <n v="111"/>
    <n v="101.43259999999999"/>
    <n v="102"/>
    <n v="0.91262900000000002"/>
    <n v="7"/>
    <x v="12"/>
  </r>
  <r>
    <x v="46"/>
    <x v="4"/>
    <s v="x"/>
    <x v="1"/>
    <m/>
    <x v="0"/>
    <m/>
    <x v="0"/>
    <n v="65.492800000000003"/>
    <n v="226"/>
    <n v="65.133499999999998"/>
    <n v="241"/>
    <n v="121.4365"/>
    <n v="1"/>
    <n v="125.6888"/>
    <n v="1"/>
    <n v="103.33499999999999"/>
    <n v="131"/>
    <n v="102.5492"/>
    <n v="126"/>
    <n v="0.91212499999999996"/>
    <n v="8"/>
    <x v="12"/>
  </r>
  <r>
    <x v="2"/>
    <x v="2"/>
    <s v="x"/>
    <x v="1"/>
    <m/>
    <x v="0"/>
    <m/>
    <x v="0"/>
    <n v="68.748699999999999"/>
    <n v="73"/>
    <n v="68.212999999999994"/>
    <n v="81"/>
    <n v="115.1071"/>
    <n v="13"/>
    <n v="118.5993"/>
    <n v="6"/>
    <n v="101.6079"/>
    <n v="100"/>
    <n v="96.899000000000001"/>
    <n v="45"/>
    <n v="0.91083999999999998"/>
    <n v="9"/>
    <x v="12"/>
  </r>
  <r>
    <x v="27"/>
    <x v="3"/>
    <s v="x"/>
    <x v="0"/>
    <s v="x"/>
    <x v="0"/>
    <m/>
    <x v="0"/>
    <n v="66.066999999999993"/>
    <n v="200"/>
    <n v="65.619100000000003"/>
    <n v="214"/>
    <n v="113.38639999999999"/>
    <n v="24"/>
    <n v="117.2647"/>
    <n v="11"/>
    <n v="97.999300000000005"/>
    <n v="45"/>
    <n v="96.511899999999997"/>
    <n v="39"/>
    <n v="0.90376900000000004"/>
    <n v="10"/>
    <x v="12"/>
  </r>
  <r>
    <x v="41"/>
    <x v="2"/>
    <s v="x"/>
    <x v="0"/>
    <s v="x"/>
    <x v="1"/>
    <m/>
    <x v="0"/>
    <n v="63.820099999999996"/>
    <n v="297"/>
    <n v="64.356099999999998"/>
    <n v="275"/>
    <n v="115.2419"/>
    <n v="12"/>
    <n v="119.4575"/>
    <n v="5"/>
    <n v="101.0851"/>
    <n v="96"/>
    <n v="98.677599999999998"/>
    <n v="59"/>
    <n v="0.90004099999999998"/>
    <n v="11"/>
    <x v="12"/>
  </r>
  <r>
    <x v="109"/>
    <x v="1"/>
    <m/>
    <x v="1"/>
    <m/>
    <x v="0"/>
    <m/>
    <x v="0"/>
    <n v="70.567099999999996"/>
    <n v="27"/>
    <n v="70.643799999999999"/>
    <n v="21"/>
    <n v="105.33540000000001"/>
    <n v="161"/>
    <n v="107.895"/>
    <n v="106"/>
    <n v="90.850499999999997"/>
    <n v="4"/>
    <n v="89.366100000000003"/>
    <n v="2"/>
    <n v="0.89722800000000003"/>
    <n v="12"/>
    <x v="12"/>
  </r>
  <r>
    <x v="141"/>
    <x v="12"/>
    <s v="x"/>
    <x v="0"/>
    <m/>
    <x v="0"/>
    <m/>
    <x v="0"/>
    <n v="62.935000000000002"/>
    <n v="328"/>
    <n v="63.313400000000001"/>
    <n v="312"/>
    <n v="111.6884"/>
    <n v="44"/>
    <n v="113.5177"/>
    <n v="29"/>
    <n v="97.049499999999995"/>
    <n v="31"/>
    <n v="94.061199999999999"/>
    <n v="16"/>
    <n v="0.89680000000000004"/>
    <n v="13"/>
    <x v="12"/>
  </r>
  <r>
    <x v="181"/>
    <x v="2"/>
    <s v="x"/>
    <x v="0"/>
    <s v="x"/>
    <x v="0"/>
    <m/>
    <x v="0"/>
    <n v="63.059399999999997"/>
    <n v="326"/>
    <n v="62.821100000000001"/>
    <n v="327"/>
    <n v="117.1425"/>
    <n v="5"/>
    <n v="122.2637"/>
    <n v="3"/>
    <n v="103.02379999999999"/>
    <n v="121"/>
    <n v="101.6228"/>
    <n v="104"/>
    <n v="0.89345200000000002"/>
    <n v="14"/>
    <x v="12"/>
  </r>
  <r>
    <x v="68"/>
    <x v="4"/>
    <s v="x"/>
    <x v="1"/>
    <m/>
    <x v="0"/>
    <m/>
    <x v="0"/>
    <n v="60.447099999999999"/>
    <n v="347"/>
    <n v="61.332099999999997"/>
    <n v="343"/>
    <n v="111.7167"/>
    <n v="43"/>
    <n v="113.22410000000001"/>
    <n v="34"/>
    <n v="97.7423"/>
    <n v="41"/>
    <n v="94.1875"/>
    <n v="18"/>
    <n v="0.89253800000000005"/>
    <n v="15"/>
    <x v="12"/>
  </r>
  <r>
    <x v="32"/>
    <x v="3"/>
    <s v="x"/>
    <x v="0"/>
    <m/>
    <x v="0"/>
    <m/>
    <x v="0"/>
    <n v="70.405100000000004"/>
    <n v="34"/>
    <n v="70.0548"/>
    <n v="32"/>
    <n v="115.4258"/>
    <n v="11"/>
    <n v="116.7863"/>
    <n v="14"/>
    <n v="99.958799999999997"/>
    <n v="74"/>
    <n v="97.504599999999996"/>
    <n v="49"/>
    <n v="0.88846199999999997"/>
    <n v="16"/>
    <x v="12"/>
  </r>
  <r>
    <x v="12"/>
    <x v="8"/>
    <s v="x"/>
    <x v="0"/>
    <s v="x"/>
    <x v="1"/>
    <s v="x"/>
    <x v="0"/>
    <n v="66.825299999999999"/>
    <n v="156"/>
    <n v="66.044499999999999"/>
    <n v="195"/>
    <n v="112.29989999999999"/>
    <n v="36"/>
    <n v="114.94280000000001"/>
    <n v="19"/>
    <n v="98.739199999999997"/>
    <n v="57"/>
    <n v="96.303100000000001"/>
    <n v="35"/>
    <n v="0.88439699999999999"/>
    <n v="17"/>
    <x v="12"/>
  </r>
  <r>
    <x v="13"/>
    <x v="7"/>
    <s v="x"/>
    <x v="1"/>
    <m/>
    <x v="0"/>
    <m/>
    <x v="0"/>
    <n v="62.901899999999998"/>
    <n v="329"/>
    <n v="63.969499999999996"/>
    <n v="291"/>
    <n v="112.8605"/>
    <n v="28"/>
    <n v="115.09099999999999"/>
    <n v="18"/>
    <n v="97.504499999999993"/>
    <n v="38"/>
    <n v="96.455200000000005"/>
    <n v="37"/>
    <n v="0.88405599999999995"/>
    <n v="18"/>
    <x v="12"/>
  </r>
  <r>
    <x v="15"/>
    <x v="5"/>
    <m/>
    <x v="1"/>
    <m/>
    <x v="0"/>
    <m/>
    <x v="0"/>
    <n v="65.025199999999998"/>
    <n v="249"/>
    <n v="65.403000000000006"/>
    <n v="224"/>
    <n v="106.6784"/>
    <n v="128"/>
    <n v="107.1348"/>
    <n v="122"/>
    <n v="91.108099999999993"/>
    <n v="8"/>
    <n v="89.884600000000006"/>
    <n v="4"/>
    <n v="0.88277300000000003"/>
    <n v="19"/>
    <x v="12"/>
  </r>
  <r>
    <x v="14"/>
    <x v="8"/>
    <s v="x"/>
    <x v="1"/>
    <m/>
    <x v="0"/>
    <m/>
    <x v="0"/>
    <n v="66.503"/>
    <n v="171"/>
    <n v="66.134699999999995"/>
    <n v="189"/>
    <n v="113.90479999999999"/>
    <n v="20"/>
    <n v="111.4871"/>
    <n v="49"/>
    <n v="97.0929"/>
    <n v="32"/>
    <n v="93.718900000000005"/>
    <n v="13"/>
    <n v="0.88043000000000005"/>
    <n v="20"/>
    <x v="12"/>
  </r>
  <r>
    <x v="49"/>
    <x v="3"/>
    <s v="x"/>
    <x v="0"/>
    <m/>
    <x v="0"/>
    <m/>
    <x v="0"/>
    <n v="63.668100000000003"/>
    <n v="302"/>
    <n v="64.057699999999997"/>
    <n v="285"/>
    <n v="106.9316"/>
    <n v="122"/>
    <n v="108.01560000000001"/>
    <n v="103"/>
    <n v="90.8125"/>
    <n v="3"/>
    <n v="90.926500000000004"/>
    <n v="7"/>
    <n v="0.87874200000000002"/>
    <n v="21"/>
    <x v="12"/>
  </r>
  <r>
    <x v="38"/>
    <x v="7"/>
    <m/>
    <x v="1"/>
    <m/>
    <x v="0"/>
    <m/>
    <x v="0"/>
    <n v="69.436199999999999"/>
    <n v="51"/>
    <n v="68.496499999999997"/>
    <n v="72"/>
    <n v="113.29519999999999"/>
    <n v="26"/>
    <n v="113.9907"/>
    <n v="24"/>
    <n v="97.392399999999995"/>
    <n v="36"/>
    <n v="96.0137"/>
    <n v="29"/>
    <n v="0.87800800000000001"/>
    <n v="22"/>
    <x v="12"/>
  </r>
  <r>
    <x v="127"/>
    <x v="4"/>
    <s v="x"/>
    <x v="0"/>
    <m/>
    <x v="0"/>
    <m/>
    <x v="0"/>
    <n v="71.953000000000003"/>
    <n v="12"/>
    <n v="71.661100000000005"/>
    <n v="13"/>
    <n v="113.4576"/>
    <n v="23"/>
    <n v="115.92189999999999"/>
    <n v="15"/>
    <n v="100.9743"/>
    <n v="92"/>
    <n v="97.816299999999998"/>
    <n v="54"/>
    <n v="0.87577300000000002"/>
    <n v="23"/>
    <x v="12"/>
  </r>
  <r>
    <x v="1"/>
    <x v="1"/>
    <m/>
    <x v="1"/>
    <m/>
    <x v="0"/>
    <m/>
    <x v="0"/>
    <n v="63.7057"/>
    <n v="299"/>
    <n v="63.159100000000002"/>
    <n v="317"/>
    <n v="107.3402"/>
    <n v="107"/>
    <n v="107.85639999999999"/>
    <n v="109"/>
    <n v="91.921099999999996"/>
    <n v="11"/>
    <n v="91.418999999999997"/>
    <n v="9"/>
    <n v="0.870062"/>
    <n v="24"/>
    <x v="12"/>
  </r>
  <r>
    <x v="23"/>
    <x v="6"/>
    <s v="x"/>
    <x v="0"/>
    <s v="x"/>
    <x v="1"/>
    <s v="x"/>
    <x v="1"/>
    <n v="65.922899999999998"/>
    <n v="207"/>
    <n v="64.978899999999996"/>
    <n v="247"/>
    <n v="108.26909999999999"/>
    <n v="85"/>
    <n v="109.4778"/>
    <n v="80"/>
    <n v="95.464399999999998"/>
    <n v="20"/>
    <n v="92.881500000000003"/>
    <n v="11"/>
    <n v="0.86882000000000004"/>
    <n v="25"/>
    <x v="12"/>
  </r>
  <r>
    <x v="95"/>
    <x v="5"/>
    <s v="x"/>
    <x v="1"/>
    <m/>
    <x v="0"/>
    <m/>
    <x v="0"/>
    <n v="69.974000000000004"/>
    <n v="44"/>
    <n v="70.942499999999995"/>
    <n v="18"/>
    <n v="107.95959999999999"/>
    <n v="93"/>
    <n v="111.0116"/>
    <n v="58"/>
    <n v="97.887600000000006"/>
    <n v="44"/>
    <n v="94.489000000000004"/>
    <n v="22"/>
    <n v="0.86450800000000005"/>
    <n v="26"/>
    <x v="12"/>
  </r>
  <r>
    <x v="122"/>
    <x v="12"/>
    <m/>
    <x v="1"/>
    <m/>
    <x v="0"/>
    <m/>
    <x v="0"/>
    <n v="70.221599999999995"/>
    <n v="37"/>
    <n v="70.866399999999999"/>
    <n v="19"/>
    <n v="115.63160000000001"/>
    <n v="10"/>
    <n v="120.1418"/>
    <n v="4"/>
    <n v="98.996600000000001"/>
    <n v="60"/>
    <n v="102.5341"/>
    <n v="125"/>
    <n v="0.86086399999999996"/>
    <n v="27"/>
    <x v="12"/>
  </r>
  <r>
    <x v="123"/>
    <x v="6"/>
    <m/>
    <x v="1"/>
    <m/>
    <x v="0"/>
    <m/>
    <x v="0"/>
    <n v="65.650199999999998"/>
    <n v="219"/>
    <n v="66.096400000000003"/>
    <n v="192"/>
    <n v="111.7988"/>
    <n v="41"/>
    <n v="112.7491"/>
    <n v="38"/>
    <n v="99.343299999999999"/>
    <n v="66"/>
    <n v="96.492099999999994"/>
    <n v="38"/>
    <n v="0.85699999999999998"/>
    <n v="28"/>
    <x v="12"/>
  </r>
  <r>
    <x v="5"/>
    <x v="1"/>
    <m/>
    <x v="1"/>
    <m/>
    <x v="0"/>
    <m/>
    <x v="0"/>
    <n v="71.957599999999999"/>
    <n v="11"/>
    <n v="71.284300000000002"/>
    <n v="17"/>
    <n v="113.35290000000001"/>
    <n v="25"/>
    <n v="116.88290000000001"/>
    <n v="13"/>
    <n v="104.5585"/>
    <n v="165"/>
    <n v="100.25360000000001"/>
    <n v="81"/>
    <n v="0.853823"/>
    <n v="29"/>
    <x v="12"/>
  </r>
  <r>
    <x v="8"/>
    <x v="6"/>
    <s v="x"/>
    <x v="1"/>
    <m/>
    <x v="0"/>
    <m/>
    <x v="0"/>
    <n v="69.992800000000003"/>
    <n v="43"/>
    <n v="68.8245"/>
    <n v="63"/>
    <n v="114.70569999999999"/>
    <n v="15"/>
    <n v="117.12269999999999"/>
    <n v="12"/>
    <n v="103.3085"/>
    <n v="130"/>
    <n v="100.56059999999999"/>
    <n v="90"/>
    <n v="0.85236900000000004"/>
    <n v="30"/>
    <x v="12"/>
  </r>
  <r>
    <x v="168"/>
    <x v="5"/>
    <s v="x"/>
    <x v="0"/>
    <m/>
    <x v="0"/>
    <m/>
    <x v="0"/>
    <n v="63.902799999999999"/>
    <n v="293"/>
    <n v="62.571599999999997"/>
    <n v="331"/>
    <n v="114.1024"/>
    <n v="19"/>
    <n v="118.569"/>
    <n v="7"/>
    <n v="105.6855"/>
    <n v="195"/>
    <n v="102.0226"/>
    <n v="114"/>
    <n v="0.84921500000000005"/>
    <n v="31"/>
    <x v="12"/>
  </r>
  <r>
    <x v="202"/>
    <x v="10"/>
    <s v="x"/>
    <x v="1"/>
    <m/>
    <x v="0"/>
    <m/>
    <x v="0"/>
    <n v="64.55"/>
    <n v="273"/>
    <n v="65.094999999999999"/>
    <n v="242"/>
    <n v="111.8338"/>
    <n v="39"/>
    <n v="111.1981"/>
    <n v="55"/>
    <n v="92.823300000000003"/>
    <n v="13"/>
    <n v="96.254199999999997"/>
    <n v="33"/>
    <n v="0.84019600000000005"/>
    <n v="33"/>
    <x v="12"/>
  </r>
  <r>
    <x v="201"/>
    <x v="1"/>
    <s v="x"/>
    <x v="1"/>
    <m/>
    <x v="0"/>
    <m/>
    <x v="0"/>
    <n v="67.358000000000004"/>
    <n v="132"/>
    <n v="67.186700000000002"/>
    <n v="130"/>
    <n v="103.02809999999999"/>
    <n v="208"/>
    <n v="104.6245"/>
    <n v="175"/>
    <n v="91.100200000000001"/>
    <n v="7"/>
    <n v="91.224299999999999"/>
    <n v="8"/>
    <n v="0.82865900000000003"/>
    <n v="34"/>
    <x v="12"/>
  </r>
  <r>
    <x v="20"/>
    <x v="9"/>
    <s v="x"/>
    <x v="0"/>
    <m/>
    <x v="0"/>
    <m/>
    <x v="0"/>
    <n v="67.0989"/>
    <n v="144"/>
    <n v="66.475999999999999"/>
    <n v="167"/>
    <n v="108.9756"/>
    <n v="74"/>
    <n v="112.48099999999999"/>
    <n v="39"/>
    <n v="101.7299"/>
    <n v="103"/>
    <n v="98.693600000000004"/>
    <n v="60"/>
    <n v="0.81813899999999995"/>
    <n v="37"/>
    <x v="12"/>
  </r>
  <r>
    <x v="34"/>
    <x v="6"/>
    <s v="x"/>
    <x v="1"/>
    <m/>
    <x v="0"/>
    <m/>
    <x v="0"/>
    <n v="69.421800000000005"/>
    <n v="52"/>
    <n v="68.166300000000007"/>
    <n v="83"/>
    <n v="106.3702"/>
    <n v="134"/>
    <n v="109.49890000000001"/>
    <n v="78"/>
    <n v="100.59829999999999"/>
    <n v="85"/>
    <n v="96.326899999999995"/>
    <n v="36"/>
    <n v="0.81365399999999999"/>
    <n v="39"/>
    <x v="12"/>
  </r>
  <r>
    <x v="97"/>
    <x v="12"/>
    <m/>
    <x v="1"/>
    <m/>
    <x v="0"/>
    <m/>
    <x v="0"/>
    <n v="64.903899999999993"/>
    <n v="252"/>
    <n v="64.921099999999996"/>
    <n v="251"/>
    <n v="109.0643"/>
    <n v="73"/>
    <n v="114.267"/>
    <n v="22"/>
    <n v="103.5057"/>
    <n v="139"/>
    <n v="100.631"/>
    <n v="92"/>
    <n v="0.81174599999999997"/>
    <n v="40"/>
    <x v="12"/>
  </r>
  <r>
    <x v="18"/>
    <x v="10"/>
    <m/>
    <x v="1"/>
    <m/>
    <x v="0"/>
    <m/>
    <x v="0"/>
    <n v="65.754900000000006"/>
    <n v="212"/>
    <n v="65.830500000000001"/>
    <n v="204"/>
    <n v="109.08669999999999"/>
    <n v="72"/>
    <n v="112.79389999999999"/>
    <n v="37"/>
    <n v="102.8081"/>
    <n v="117"/>
    <n v="99.576599999999999"/>
    <n v="69"/>
    <n v="0.80741499999999999"/>
    <n v="42"/>
    <x v="12"/>
  </r>
  <r>
    <x v="167"/>
    <x v="7"/>
    <m/>
    <x v="1"/>
    <m/>
    <x v="0"/>
    <m/>
    <x v="0"/>
    <n v="65.726600000000005"/>
    <n v="216"/>
    <n v="65.354100000000003"/>
    <n v="230"/>
    <n v="105.0928"/>
    <n v="167"/>
    <n v="107.9999"/>
    <n v="104"/>
    <n v="98.371499999999997"/>
    <n v="50"/>
    <n v="95.519800000000004"/>
    <n v="25"/>
    <n v="0.80410700000000002"/>
    <n v="44"/>
    <x v="12"/>
  </r>
  <r>
    <x v="69"/>
    <x v="8"/>
    <s v="x"/>
    <x v="1"/>
    <m/>
    <x v="0"/>
    <m/>
    <x v="0"/>
    <n v="70.584299999999999"/>
    <n v="26"/>
    <n v="69.403700000000001"/>
    <n v="50"/>
    <n v="107.8849"/>
    <n v="94"/>
    <n v="110.429"/>
    <n v="66"/>
    <n v="98.781300000000002"/>
    <n v="59"/>
    <n v="97.782700000000006"/>
    <n v="53"/>
    <n v="0.80197399999999996"/>
    <n v="45"/>
    <x v="12"/>
  </r>
  <r>
    <x v="125"/>
    <x v="7"/>
    <m/>
    <x v="1"/>
    <m/>
    <x v="0"/>
    <m/>
    <x v="0"/>
    <n v="68.220200000000006"/>
    <n v="101"/>
    <n v="67.334100000000007"/>
    <n v="121"/>
    <n v="107.2343"/>
    <n v="110"/>
    <n v="109.3604"/>
    <n v="81"/>
    <n v="97.760900000000007"/>
    <n v="42"/>
    <n v="96.850099999999998"/>
    <n v="44"/>
    <n v="0.80171700000000001"/>
    <n v="46"/>
    <x v="12"/>
  </r>
  <r>
    <x v="71"/>
    <x v="9"/>
    <m/>
    <x v="1"/>
    <m/>
    <x v="0"/>
    <m/>
    <x v="0"/>
    <n v="69.012600000000006"/>
    <n v="68"/>
    <n v="69.271799999999999"/>
    <n v="53"/>
    <n v="107.01909999999999"/>
    <n v="119"/>
    <n v="108.3383"/>
    <n v="97"/>
    <n v="98.0732"/>
    <n v="47"/>
    <n v="95.988799999999998"/>
    <n v="27"/>
    <n v="0.80088099999999995"/>
    <n v="47"/>
    <x v="12"/>
  </r>
  <r>
    <x v="216"/>
    <x v="12"/>
    <m/>
    <x v="1"/>
    <m/>
    <x v="0"/>
    <m/>
    <x v="0"/>
    <n v="65.2851"/>
    <n v="236"/>
    <n v="66.154700000000005"/>
    <n v="188"/>
    <n v="102.4522"/>
    <n v="221"/>
    <n v="108.20010000000001"/>
    <n v="99"/>
    <n v="99.193600000000004"/>
    <n v="64"/>
    <n v="96.030100000000004"/>
    <n v="30"/>
    <n v="0.797732"/>
    <n v="48"/>
    <x v="12"/>
  </r>
  <r>
    <x v="65"/>
    <x v="9"/>
    <m/>
    <x v="1"/>
    <m/>
    <x v="0"/>
    <m/>
    <x v="0"/>
    <n v="66.108000000000004"/>
    <n v="194"/>
    <n v="65.716700000000003"/>
    <n v="209"/>
    <n v="107.72969999999999"/>
    <n v="97"/>
    <n v="110.32299999999999"/>
    <n v="68"/>
    <n v="101.02979999999999"/>
    <n v="94"/>
    <n v="98.136499999999998"/>
    <n v="55"/>
    <n v="0.79349400000000003"/>
    <n v="49"/>
    <x v="12"/>
  </r>
  <r>
    <x v="70"/>
    <x v="9"/>
    <m/>
    <x v="1"/>
    <m/>
    <x v="0"/>
    <m/>
    <x v="0"/>
    <n v="73.511499999999998"/>
    <n v="6"/>
    <n v="72.194900000000004"/>
    <n v="8"/>
    <n v="112.5551"/>
    <n v="32"/>
    <n v="113.7187"/>
    <n v="27"/>
    <n v="103.54170000000001"/>
    <n v="140"/>
    <n v="101.2405"/>
    <n v="100"/>
    <n v="0.79193500000000006"/>
    <n v="50"/>
    <x v="12"/>
  </r>
  <r>
    <x v="217"/>
    <x v="5"/>
    <m/>
    <x v="1"/>
    <m/>
    <x v="0"/>
    <m/>
    <x v="0"/>
    <n v="71.696399999999997"/>
    <n v="15"/>
    <n v="71.607100000000003"/>
    <n v="14"/>
    <n v="105.68380000000001"/>
    <n v="155"/>
    <n v="108.3801"/>
    <n v="94"/>
    <n v="98.097700000000003"/>
    <n v="48"/>
    <n v="96.788899999999998"/>
    <n v="43"/>
    <n v="0.785968"/>
    <n v="52"/>
    <x v="12"/>
  </r>
  <r>
    <x v="72"/>
    <x v="12"/>
    <s v="x"/>
    <x v="0"/>
    <s v="x"/>
    <x v="0"/>
    <m/>
    <x v="0"/>
    <n v="65.725399999999993"/>
    <n v="217"/>
    <n v="65.236699999999999"/>
    <n v="236"/>
    <n v="110.7795"/>
    <n v="51"/>
    <n v="113.3938"/>
    <n v="30"/>
    <n v="101.9537"/>
    <n v="105"/>
    <n v="101.3973"/>
    <n v="101"/>
    <n v="0.78345799999999999"/>
    <n v="53"/>
    <x v="12"/>
  </r>
  <r>
    <x v="183"/>
    <x v="10"/>
    <s v="x"/>
    <x v="1"/>
    <m/>
    <x v="0"/>
    <m/>
    <x v="0"/>
    <n v="64.088399999999993"/>
    <n v="289"/>
    <n v="64.244500000000002"/>
    <n v="278"/>
    <n v="116.8623"/>
    <n v="6"/>
    <n v="114.6785"/>
    <n v="20"/>
    <n v="105.22029999999999"/>
    <n v="183"/>
    <n v="103.1756"/>
    <n v="140"/>
    <n v="0.77127900000000005"/>
    <n v="55"/>
    <x v="12"/>
  </r>
  <r>
    <x v="184"/>
    <x v="10"/>
    <s v="x"/>
    <x v="1"/>
    <m/>
    <x v="0"/>
    <m/>
    <x v="0"/>
    <n v="65.1297"/>
    <n v="244"/>
    <n v="63.607199999999999"/>
    <n v="304"/>
    <n v="116.0776"/>
    <n v="8"/>
    <n v="111.6118"/>
    <n v="47"/>
    <n v="96.742800000000003"/>
    <n v="28"/>
    <n v="100.76139999999999"/>
    <n v="95"/>
    <n v="0.76424999999999998"/>
    <n v="59"/>
    <x v="12"/>
  </r>
  <r>
    <x v="73"/>
    <x v="8"/>
    <m/>
    <x v="1"/>
    <m/>
    <x v="0"/>
    <m/>
    <x v="0"/>
    <n v="67.252700000000004"/>
    <n v="136"/>
    <n v="66.445599999999999"/>
    <n v="171"/>
    <n v="103.7381"/>
    <n v="196"/>
    <n v="105.8999"/>
    <n v="141"/>
    <n v="100.1348"/>
    <n v="79"/>
    <n v="96.240799999999993"/>
    <n v="32"/>
    <n v="0.75023600000000001"/>
    <n v="64"/>
    <x v="12"/>
  </r>
  <r>
    <x v="24"/>
    <x v="10"/>
    <m/>
    <x v="1"/>
    <m/>
    <x v="0"/>
    <m/>
    <x v="0"/>
    <n v="64.783500000000004"/>
    <n v="258"/>
    <n v="66.093900000000005"/>
    <n v="193"/>
    <n v="108.169"/>
    <n v="88"/>
    <n v="113.5673"/>
    <n v="28"/>
    <n v="106.2332"/>
    <n v="211"/>
    <n v="103.4021"/>
    <n v="144"/>
    <n v="0.74618399999999996"/>
    <n v="66"/>
    <x v="12"/>
  </r>
  <r>
    <x v="78"/>
    <x v="11"/>
    <m/>
    <x v="1"/>
    <m/>
    <x v="0"/>
    <m/>
    <x v="0"/>
    <n v="70.364400000000003"/>
    <n v="35"/>
    <n v="69.528899999999993"/>
    <n v="44"/>
    <n v="107.5398"/>
    <n v="103"/>
    <n v="106.01430000000001"/>
    <n v="139"/>
    <n v="97.279399999999995"/>
    <n v="34"/>
    <n v="96.653700000000001"/>
    <n v="42"/>
    <n v="0.74327500000000002"/>
    <n v="67"/>
    <x v="12"/>
  </r>
  <r>
    <x v="36"/>
    <x v="11"/>
    <m/>
    <x v="1"/>
    <m/>
    <x v="0"/>
    <m/>
    <x v="0"/>
    <n v="68.751599999999996"/>
    <n v="72"/>
    <n v="68.467799999999997"/>
    <n v="73"/>
    <n v="105.6648"/>
    <n v="156"/>
    <n v="105.2906"/>
    <n v="162"/>
    <n v="96.901899999999998"/>
    <n v="29"/>
    <n v="96.005300000000005"/>
    <n v="28"/>
    <n v="0.74301399999999995"/>
    <n v="68"/>
    <x v="12"/>
  </r>
  <r>
    <x v="161"/>
    <x v="11"/>
    <m/>
    <x v="1"/>
    <m/>
    <x v="0"/>
    <m/>
    <x v="0"/>
    <n v="66.914199999999994"/>
    <n v="152"/>
    <n v="66.460099999999997"/>
    <n v="170"/>
    <n v="113.90260000000001"/>
    <n v="21"/>
    <n v="112.07340000000001"/>
    <n v="42"/>
    <n v="100.00960000000001"/>
    <n v="77"/>
    <n v="102.6728"/>
    <n v="129"/>
    <n v="0.73252700000000004"/>
    <n v="71"/>
    <x v="12"/>
  </r>
  <r>
    <x v="218"/>
    <x v="13"/>
    <m/>
    <x v="1"/>
    <m/>
    <x v="0"/>
    <m/>
    <x v="0"/>
    <n v="64.286000000000001"/>
    <n v="280"/>
    <n v="64.249899999999997"/>
    <n v="277"/>
    <n v="110.8021"/>
    <n v="50"/>
    <n v="107.4579"/>
    <n v="117"/>
    <n v="91.150300000000001"/>
    <n v="9"/>
    <n v="99.037400000000005"/>
    <n v="63"/>
    <n v="0.71877899999999995"/>
    <n v="78"/>
    <x v="12"/>
  </r>
  <r>
    <x v="175"/>
    <x v="14"/>
    <m/>
    <x v="1"/>
    <m/>
    <x v="0"/>
    <m/>
    <x v="0"/>
    <n v="60.779000000000003"/>
    <n v="343"/>
    <n v="61.406500000000001"/>
    <n v="342"/>
    <n v="104.9603"/>
    <n v="169"/>
    <n v="103.1066"/>
    <n v="199"/>
    <n v="96.497900000000001"/>
    <n v="25"/>
    <n v="97.296000000000006"/>
    <n v="46"/>
    <n v="0.66084600000000004"/>
    <n v="98"/>
    <x v="12"/>
  </r>
  <r>
    <x v="219"/>
    <x v="13"/>
    <s v="x"/>
    <x v="1"/>
    <m/>
    <x v="0"/>
    <m/>
    <x v="0"/>
    <n v="65.979799999999997"/>
    <n v="203"/>
    <n v="65.008300000000006"/>
    <n v="246"/>
    <n v="113.1045"/>
    <n v="27"/>
    <n v="107.54340000000001"/>
    <n v="116"/>
    <n v="97.877099999999999"/>
    <n v="43"/>
    <n v="101.5988"/>
    <n v="103"/>
    <n v="0.65789399999999998"/>
    <n v="99"/>
    <x v="12"/>
  </r>
  <r>
    <x v="220"/>
    <x v="11"/>
    <m/>
    <x v="1"/>
    <m/>
    <x v="0"/>
    <m/>
    <x v="0"/>
    <n v="70.8446"/>
    <n v="25"/>
    <n v="72.144199999999998"/>
    <n v="10"/>
    <n v="111.7659"/>
    <n v="42"/>
    <n v="110.90470000000001"/>
    <n v="60"/>
    <n v="105.6623"/>
    <n v="194"/>
    <n v="105.6262"/>
    <n v="192"/>
    <n v="0.63663800000000004"/>
    <n v="105"/>
    <x v="12"/>
  </r>
  <r>
    <x v="100"/>
    <x v="13"/>
    <m/>
    <x v="1"/>
    <m/>
    <x v="0"/>
    <m/>
    <x v="0"/>
    <n v="66.6096"/>
    <n v="165"/>
    <n v="66.876199999999997"/>
    <n v="144"/>
    <n v="106.31789999999999"/>
    <n v="136"/>
    <n v="106.6874"/>
    <n v="128"/>
    <n v="100.5727"/>
    <n v="84"/>
    <n v="102.3065"/>
    <n v="118"/>
    <n v="0.61826599999999998"/>
    <n v="113"/>
    <x v="12"/>
  </r>
  <r>
    <x v="107"/>
    <x v="13"/>
    <m/>
    <x v="1"/>
    <m/>
    <x v="0"/>
    <m/>
    <x v="0"/>
    <n v="70.989800000000002"/>
    <n v="21"/>
    <n v="69.887100000000004"/>
    <n v="36"/>
    <n v="110.0513"/>
    <n v="60"/>
    <n v="109.87130000000001"/>
    <n v="74"/>
    <n v="104.9101"/>
    <n v="175"/>
    <n v="105.6575"/>
    <n v="193"/>
    <n v="0.61057499999999998"/>
    <n v="115"/>
    <x v="12"/>
  </r>
  <r>
    <x v="134"/>
    <x v="14"/>
    <m/>
    <x v="1"/>
    <m/>
    <x v="0"/>
    <m/>
    <x v="0"/>
    <n v="67.117900000000006"/>
    <n v="142"/>
    <n v="66.121300000000005"/>
    <n v="190"/>
    <n v="114.8933"/>
    <n v="14"/>
    <n v="111.3351"/>
    <n v="53"/>
    <n v="106.8502"/>
    <n v="224"/>
    <n v="108.3447"/>
    <n v="240"/>
    <n v="0.57764400000000005"/>
    <n v="129"/>
    <x v="12"/>
  </r>
  <r>
    <x v="76"/>
    <x v="14"/>
    <m/>
    <x v="1"/>
    <m/>
    <x v="0"/>
    <m/>
    <x v="0"/>
    <n v="67.593299999999999"/>
    <n v="123"/>
    <n v="67.499600000000001"/>
    <n v="112"/>
    <n v="103.1606"/>
    <n v="207"/>
    <n v="104.51090000000001"/>
    <n v="177"/>
    <n v="103.8617"/>
    <n v="147"/>
    <n v="104.90940000000001"/>
    <n v="172"/>
    <n v="0.48905900000000002"/>
    <n v="163"/>
    <x v="12"/>
  </r>
  <r>
    <x v="81"/>
    <x v="15"/>
    <m/>
    <x v="1"/>
    <m/>
    <x v="0"/>
    <m/>
    <x v="0"/>
    <n v="63.997999999999998"/>
    <n v="291"/>
    <n v="64.382499999999993"/>
    <n v="272"/>
    <n v="110.6741"/>
    <n v="54"/>
    <n v="105.6284"/>
    <n v="150"/>
    <n v="105.0247"/>
    <n v="179"/>
    <n v="106.4341"/>
    <n v="207"/>
    <n v="0.47816999999999998"/>
    <n v="169"/>
    <x v="12"/>
  </r>
  <r>
    <x v="221"/>
    <x v="15"/>
    <m/>
    <x v="1"/>
    <m/>
    <x v="0"/>
    <m/>
    <x v="0"/>
    <n v="60.651200000000003"/>
    <n v="344"/>
    <n v="60.156500000000001"/>
    <n v="347"/>
    <n v="102.5043"/>
    <n v="218"/>
    <n v="103.2247"/>
    <n v="197"/>
    <n v="106.56010000000001"/>
    <n v="219"/>
    <n v="104.3188"/>
    <n v="164"/>
    <n v="0.46972599999999998"/>
    <n v="173"/>
    <x v="12"/>
  </r>
  <r>
    <x v="151"/>
    <x v="15"/>
    <m/>
    <x v="1"/>
    <m/>
    <x v="0"/>
    <m/>
    <x v="0"/>
    <n v="63.094900000000003"/>
    <n v="323"/>
    <n v="63.242800000000003"/>
    <n v="313"/>
    <n v="103.5767"/>
    <n v="202"/>
    <n v="101.87"/>
    <n v="225"/>
    <n v="100.2026"/>
    <n v="80"/>
    <n v="103.36960000000001"/>
    <n v="143"/>
    <n v="0.45808300000000002"/>
    <n v="177"/>
    <x v="12"/>
  </r>
  <r>
    <x v="192"/>
    <x v="14"/>
    <m/>
    <x v="1"/>
    <m/>
    <x v="0"/>
    <m/>
    <x v="0"/>
    <n v="62.455500000000001"/>
    <n v="338"/>
    <n v="61.979500000000002"/>
    <n v="339"/>
    <n v="104.57810000000001"/>
    <n v="174"/>
    <n v="100.9265"/>
    <n v="238"/>
    <n v="100.94499999999999"/>
    <n v="91"/>
    <n v="102.7681"/>
    <n v="131"/>
    <n v="0.44820100000000002"/>
    <n v="184"/>
    <x v="12"/>
  </r>
  <r>
    <x v="176"/>
    <x v="15"/>
    <m/>
    <x v="1"/>
    <m/>
    <x v="0"/>
    <m/>
    <x v="0"/>
    <n v="70.174999999999997"/>
    <n v="38"/>
    <n v="70.066699999999997"/>
    <n v="31"/>
    <n v="108.13930000000001"/>
    <n v="90"/>
    <n v="108.3479"/>
    <n v="95"/>
    <n v="110.2093"/>
    <n v="300"/>
    <n v="110.67829999999999"/>
    <n v="287"/>
    <n v="0.43912400000000001"/>
    <n v="190"/>
    <x v="12"/>
  </r>
  <r>
    <x v="222"/>
    <x v="15"/>
    <m/>
    <x v="1"/>
    <m/>
    <x v="0"/>
    <m/>
    <x v="0"/>
    <n v="68.456299999999999"/>
    <n v="86"/>
    <n v="67.183000000000007"/>
    <n v="131"/>
    <n v="102.06659999999999"/>
    <n v="230"/>
    <n v="97.3108"/>
    <n v="298"/>
    <n v="99.711200000000005"/>
    <n v="71"/>
    <n v="102.49039999999999"/>
    <n v="124"/>
    <n v="0.35517199999999999"/>
    <n v="232"/>
    <x v="12"/>
  </r>
  <r>
    <x v="92"/>
    <x v="15"/>
    <m/>
    <x v="1"/>
    <m/>
    <x v="0"/>
    <m/>
    <x v="0"/>
    <n v="67.824399999999997"/>
    <n v="112"/>
    <n v="67.375200000000007"/>
    <n v="116"/>
    <n v="109.18770000000001"/>
    <n v="69"/>
    <n v="106.1519"/>
    <n v="135"/>
    <n v="106.0762"/>
    <n v="207"/>
    <n v="112.1348"/>
    <n v="316"/>
    <n v="0.347385"/>
    <n v="237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Cinderella" cacheId="8" applyNumberFormats="0" applyBorderFormats="0" applyFontFormats="0" applyPatternFormats="0" applyAlignmentFormats="0" applyWidthHeightFormats="0" dataCaption="" updatedVersion="6" showHeaders="0" compact="0" compactData="0">
  <location ref="A3:K32" firstHeaderRow="0" firstDataRow="1" firstDataCol="2" rowPageCount="1" colPageCount="1"/>
  <pivotFields count="23">
    <pivotField name="TeamName" axis="axisRow" compact="0" outline="0" multipleItemSelectionAllowed="1" showAll="0" sortType="ascending" defaultSubtotal="0">
      <items count="223">
        <item x="103"/>
        <item x="185"/>
        <item x="17"/>
        <item x="139"/>
        <item x="119"/>
        <item x="151"/>
        <item x="64"/>
        <item x="175"/>
        <item x="10"/>
        <item x="71"/>
        <item x="142"/>
        <item x="200"/>
        <item x="194"/>
        <item x="77"/>
        <item x="85"/>
        <item x="168"/>
        <item x="152"/>
        <item x="190"/>
        <item x="174"/>
        <item x="48"/>
        <item x="60"/>
        <item x="144"/>
        <item x="131"/>
        <item x="75"/>
        <item x="70"/>
        <item x="221"/>
        <item x="170"/>
        <item x="186"/>
        <item x="26"/>
        <item x="56"/>
        <item x="79"/>
        <item x="31"/>
        <item x="135"/>
        <item x="1"/>
        <item x="166"/>
        <item x="182"/>
        <item x="222"/>
        <item x="73"/>
        <item x="83"/>
        <item sd="0" x="23"/>
        <item x="178"/>
        <item x="171"/>
        <item x="46"/>
        <item x="53"/>
        <item x="72"/>
        <item x="220"/>
        <item x="138"/>
        <item x="106"/>
        <item x="208"/>
        <item x="165"/>
        <item x="0"/>
        <item x="89"/>
        <item x="134"/>
        <item x="114"/>
        <item x="137"/>
        <item sd="0" x="4"/>
        <item x="120"/>
        <item x="61"/>
        <item x="213"/>
        <item x="180"/>
        <item x="143"/>
        <item x="125"/>
        <item x="140"/>
        <item x="21"/>
        <item x="94"/>
        <item x="14"/>
        <item x="54"/>
        <item x="202"/>
        <item x="33"/>
        <item x="57"/>
        <item x="193"/>
        <item x="11"/>
        <item x="55"/>
        <item x="7"/>
        <item x="199"/>
        <item x="147"/>
        <item x="122"/>
        <item x="127"/>
        <item x="88"/>
        <item x="164"/>
        <item x="214"/>
        <item sd="0" x="2"/>
        <item x="167"/>
        <item x="22"/>
        <item sd="0" x="12"/>
        <item x="212"/>
        <item x="207"/>
        <item x="117"/>
        <item x="115"/>
        <item x="196"/>
        <item x="162"/>
        <item x="107"/>
        <item sd="0" x="66"/>
        <item x="209"/>
        <item x="67"/>
        <item x="78"/>
        <item x="6"/>
        <item x="3"/>
        <item x="217"/>
        <item x="52"/>
        <item x="69"/>
        <item x="219"/>
        <item x="29"/>
        <item x="160"/>
        <item x="181"/>
        <item sd="0" x="27"/>
        <item x="211"/>
        <item x="76"/>
        <item x="124"/>
        <item x="19"/>
        <item x="16"/>
        <item x="179"/>
        <item x="39"/>
        <item x="116"/>
        <item x="62"/>
        <item x="189"/>
        <item x="187"/>
        <item x="176"/>
        <item x="58"/>
        <item x="216"/>
        <item x="96"/>
        <item x="123"/>
        <item x="161"/>
        <item x="132"/>
        <item x="210"/>
        <item x="95"/>
        <item x="215"/>
        <item x="218"/>
        <item x="24"/>
        <item x="183"/>
        <item x="163"/>
        <item x="198"/>
        <item x="111"/>
        <item x="149"/>
        <item x="25"/>
        <item x="136"/>
        <item x="130"/>
        <item sd="0" x="15"/>
        <item x="5"/>
        <item x="38"/>
        <item x="128"/>
        <item x="150"/>
        <item x="8"/>
        <item x="110"/>
        <item x="42"/>
        <item x="195"/>
        <item x="43"/>
        <item x="13"/>
        <item x="172"/>
        <item x="113"/>
        <item x="97"/>
        <item x="74"/>
        <item x="191"/>
        <item x="101"/>
        <item x="188"/>
        <item x="65"/>
        <item x="201"/>
        <item x="129"/>
        <item x="197"/>
        <item x="86"/>
        <item x="80"/>
        <item x="49"/>
        <item x="99"/>
        <item x="59"/>
        <item x="148"/>
        <item x="102"/>
        <item x="91"/>
        <item x="205"/>
        <item x="204"/>
        <item x="133"/>
        <item x="153"/>
        <item x="44"/>
        <item x="206"/>
        <item x="203"/>
        <item x="50"/>
        <item x="20"/>
        <item x="184"/>
        <item sd="0" x="68"/>
        <item x="169"/>
        <item x="141"/>
        <item x="34"/>
        <item x="145"/>
        <item x="159"/>
        <item x="92"/>
        <item x="28"/>
        <item x="82"/>
        <item x="36"/>
        <item x="104"/>
        <item x="51"/>
        <item x="112"/>
        <item sd="0" x="32"/>
        <item x="173"/>
        <item x="93"/>
        <item x="45"/>
        <item x="156"/>
        <item x="9"/>
        <item x="177"/>
        <item x="37"/>
        <item x="84"/>
        <item x="105"/>
        <item x="118"/>
        <item x="40"/>
        <item x="98"/>
        <item x="109"/>
        <item x="87"/>
        <item x="121"/>
        <item x="157"/>
        <item x="155"/>
        <item x="90"/>
        <item x="30"/>
        <item x="108"/>
        <item x="154"/>
        <item x="81"/>
        <item x="126"/>
        <item x="35"/>
        <item x="100"/>
        <item x="146"/>
        <item x="63"/>
        <item x="41"/>
        <item x="192"/>
        <item x="158"/>
        <item x="47"/>
        <item x="18"/>
      </items>
    </pivotField>
    <pivotField name="S" axis="axisRow" compact="0" outline="0" multipleItemSelectionAllowed="1" showAll="0" sortType="ascending">
      <items count="17">
        <item h="1" x="0"/>
        <item h="1" x="2"/>
        <item h="1" x="4"/>
        <item h="1" x="3"/>
        <item h="1" x="1"/>
        <item h="1" x="5"/>
        <item h="1" x="6"/>
        <item h="1" x="8"/>
        <item h="1" x="7"/>
        <item x="9"/>
        <item x="12"/>
        <item x="10"/>
        <item x="11"/>
        <item x="13"/>
        <item x="14"/>
        <item x="15"/>
        <item t="default"/>
      </items>
    </pivotField>
    <pivotField name="R32" compact="0" outline="0" multipleItemSelectionAllowed="1" showAll="0"/>
    <pivotField name="S16" axis="axisPage" compact="0" outline="0" multipleItemSelectionAllowed="1" showAll="0">
      <items count="3">
        <item x="0"/>
        <item h="1" x="1"/>
        <item t="default"/>
      </items>
    </pivotField>
    <pivotField name="E8" compact="0" outline="0" multipleItemSelectionAllowed="1" showAll="0"/>
    <pivotField name="F4" compact="0" outline="0" multipleItemSelectionAllowed="1" showAll="0"/>
    <pivotField name="C2" compact="0" outline="0" multipleItemSelectionAllowed="1" showAll="0"/>
    <pivotField name="Champ" compact="0" outline="0" multipleItemSelectionAllowed="1" showAll="0"/>
    <pivotField name="Tempo" compact="0" outline="0" multipleItemSelectionAllowed="1" showAll="0"/>
    <pivotField name="RankTempo" compact="0" outline="0" multipleItemSelectionAllowed="1" showAll="0"/>
    <pivotField name="AdjTempo" dataField="1" compact="0" outline="0" multipleItemSelectionAllowed="1" showAll="0"/>
    <pivotField name="RankAdjTempo" dataField="1" compact="0" outline="0" multipleItemSelectionAllowed="1" showAll="0"/>
    <pivotField name="OE" compact="0" outline="0" multipleItemSelectionAllowed="1" showAll="0"/>
    <pivotField name="RankOE" compact="0" outline="0" multipleItemSelectionAllowed="1" showAll="0"/>
    <pivotField name="AdjOE" dataField="1" compact="0" outline="0" multipleItemSelectionAllowed="1" showAll="0"/>
    <pivotField name="RankAdjOE" dataField="1" compact="0" outline="0" multipleItemSelectionAllowed="1" showAll="0"/>
    <pivotField name="DE" compact="0" outline="0" multipleItemSelectionAllowed="1" showAll="0"/>
    <pivotField name="RankDE" compact="0" outline="0" multipleItemSelectionAllowed="1" showAll="0"/>
    <pivotField name="AdjDE" dataField="1" compact="0" outline="0" multipleItemSelectionAllowed="1" showAll="0"/>
    <pivotField name="RankAdjDE" dataField="1" compact="0" outline="0" multipleItemSelectionAllowed="1" showAll="0"/>
    <pivotField name="Pythag" dataField="1" compact="0" outline="0" multipleItemSelectionAllowed="1" showAll="0"/>
    <pivotField name="RankPythag" dataField="1" compact="0" outline="0" multipleItemSelectionAllowed="1" showAll="0"/>
    <pivotField name="Year" dataField="1" compact="0" outline="0" multipleItemSelectionAllowed="1" showAll="0"/>
  </pivotFields>
  <rowFields count="2">
    <field x="0"/>
    <field x="1"/>
  </rowFields>
  <rowItems count="29">
    <i>
      <x v="8"/>
      <x v="11"/>
    </i>
    <i>
      <x v="21"/>
      <x v="12"/>
    </i>
    <i>
      <x v="23"/>
      <x v="11"/>
    </i>
    <i>
      <x v="41"/>
      <x v="11"/>
    </i>
    <i>
      <x v="43"/>
      <x v="9"/>
    </i>
    <i>
      <x v="44"/>
      <x v="10"/>
    </i>
    <i>
      <x v="58"/>
      <x v="14"/>
    </i>
    <i>
      <x v="59"/>
      <x v="9"/>
    </i>
    <i>
      <x v="60"/>
      <x v="10"/>
    </i>
    <i>
      <x v="83"/>
      <x v="9"/>
    </i>
    <i>
      <x v="85"/>
      <x v="12"/>
    </i>
    <i>
      <x v="96"/>
      <x v="10"/>
    </i>
    <i>
      <x v="107"/>
      <x v="11"/>
    </i>
    <i>
      <x v="112"/>
      <x v="11"/>
    </i>
    <i>
      <x v="120"/>
      <x v="9"/>
    </i>
    <i>
      <x v="128"/>
      <x v="9"/>
    </i>
    <i r="1">
      <x v="10"/>
    </i>
    <i>
      <x v="136"/>
      <x v="12"/>
    </i>
    <i>
      <x v="142"/>
      <x v="11"/>
    </i>
    <i>
      <x v="153"/>
      <x v="11"/>
    </i>
    <i>
      <x v="157"/>
      <x v="9"/>
    </i>
    <i>
      <x v="171"/>
      <x v="10"/>
    </i>
    <i>
      <x v="175"/>
      <x v="9"/>
    </i>
    <i>
      <x v="179"/>
      <x v="10"/>
    </i>
    <i>
      <x v="203"/>
      <x v="10"/>
    </i>
    <i>
      <x v="205"/>
      <x v="11"/>
    </i>
    <i>
      <x v="210"/>
      <x v="10"/>
    </i>
    <i>
      <x v="214"/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3" hier="0"/>
  </pageFields>
  <dataFields count="9">
    <dataField name="SUM of Year" fld="22" baseField="0"/>
    <dataField name="AVERAGE of RankPythag" fld="21" subtotal="average" baseField="0"/>
    <dataField name="AVERAGE of Pythag" fld="20" subtotal="average" baseField="0"/>
    <dataField name="AVERAGE of RankAdjOE" fld="15" subtotal="average" baseField="0"/>
    <dataField name="AVERAGE of AdjOE" fld="14" subtotal="average" baseField="0"/>
    <dataField name="AVERAGE of RankAdjDE" fld="19" subtotal="average" baseField="0"/>
    <dataField name="AVERAGE of AdjDE" fld="18" subtotal="average" baseField="0"/>
    <dataField name="AVERAGE of RankAdjTempo" fld="11" subtotal="average" baseField="0"/>
    <dataField name="AVERAGE of AdjTempo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F4" cacheId="8" applyNumberFormats="0" applyBorderFormats="0" applyFontFormats="0" applyPatternFormats="0" applyAlignmentFormats="0" applyWidthHeightFormats="0" dataCaption="" updatedVersion="6" showHeaders="0" compact="0" compactData="0">
  <location ref="A3:L47" firstHeaderRow="0" firstDataRow="1" firstDataCol="2" rowPageCount="1" colPageCount="1"/>
  <pivotFields count="23">
    <pivotField name="TeamName" axis="axisRow" compact="0" outline="0" multipleItemSelectionAllowed="1" showAll="0" sortType="ascending" defaultSubtotal="0">
      <items count="223">
        <item x="103"/>
        <item x="185"/>
        <item x="17"/>
        <item x="139"/>
        <item x="119"/>
        <item x="151"/>
        <item x="64"/>
        <item x="175"/>
        <item x="10"/>
        <item x="71"/>
        <item x="142"/>
        <item x="200"/>
        <item x="194"/>
        <item x="77"/>
        <item x="85"/>
        <item x="168"/>
        <item x="152"/>
        <item x="190"/>
        <item x="174"/>
        <item x="48"/>
        <item x="60"/>
        <item x="144"/>
        <item x="131"/>
        <item x="75"/>
        <item x="70"/>
        <item x="221"/>
        <item x="170"/>
        <item x="186"/>
        <item x="26"/>
        <item x="56"/>
        <item x="79"/>
        <item x="31"/>
        <item x="135"/>
        <item x="1"/>
        <item x="166"/>
        <item x="182"/>
        <item x="222"/>
        <item x="73"/>
        <item x="83"/>
        <item x="23"/>
        <item x="178"/>
        <item x="171"/>
        <item x="46"/>
        <item x="53"/>
        <item x="72"/>
        <item x="220"/>
        <item x="138"/>
        <item x="106"/>
        <item x="208"/>
        <item x="165"/>
        <item x="0"/>
        <item x="89"/>
        <item x="134"/>
        <item x="114"/>
        <item x="137"/>
        <item x="4"/>
        <item x="120"/>
        <item x="61"/>
        <item x="213"/>
        <item x="180"/>
        <item x="143"/>
        <item x="125"/>
        <item x="140"/>
        <item x="21"/>
        <item x="94"/>
        <item x="14"/>
        <item x="54"/>
        <item x="202"/>
        <item x="33"/>
        <item x="57"/>
        <item x="193"/>
        <item x="11"/>
        <item x="55"/>
        <item x="7"/>
        <item x="199"/>
        <item x="147"/>
        <item x="122"/>
        <item x="127"/>
        <item x="88"/>
        <item x="164"/>
        <item x="214"/>
        <item x="2"/>
        <item x="167"/>
        <item x="22"/>
        <item x="12"/>
        <item x="212"/>
        <item x="207"/>
        <item x="117"/>
        <item x="115"/>
        <item x="196"/>
        <item x="162"/>
        <item x="107"/>
        <item x="66"/>
        <item x="209"/>
        <item x="67"/>
        <item x="78"/>
        <item x="6"/>
        <item x="3"/>
        <item x="217"/>
        <item x="52"/>
        <item x="69"/>
        <item x="219"/>
        <item x="29"/>
        <item x="160"/>
        <item x="181"/>
        <item x="27"/>
        <item x="211"/>
        <item x="76"/>
        <item x="124"/>
        <item x="19"/>
        <item x="16"/>
        <item x="179"/>
        <item x="39"/>
        <item x="116"/>
        <item x="62"/>
        <item x="189"/>
        <item x="187"/>
        <item x="176"/>
        <item x="58"/>
        <item x="216"/>
        <item x="96"/>
        <item x="123"/>
        <item x="161"/>
        <item x="132"/>
        <item x="210"/>
        <item x="95"/>
        <item x="215"/>
        <item x="218"/>
        <item x="24"/>
        <item x="183"/>
        <item x="163"/>
        <item x="198"/>
        <item x="111"/>
        <item x="149"/>
        <item x="25"/>
        <item x="136"/>
        <item x="130"/>
        <item x="15"/>
        <item x="5"/>
        <item x="38"/>
        <item x="128"/>
        <item x="150"/>
        <item x="8"/>
        <item x="110"/>
        <item x="42"/>
        <item x="195"/>
        <item x="43"/>
        <item x="13"/>
        <item x="172"/>
        <item x="113"/>
        <item x="97"/>
        <item x="74"/>
        <item x="191"/>
        <item x="101"/>
        <item x="188"/>
        <item x="65"/>
        <item x="201"/>
        <item x="129"/>
        <item x="197"/>
        <item x="86"/>
        <item x="80"/>
        <item x="49"/>
        <item x="99"/>
        <item x="59"/>
        <item x="148"/>
        <item x="102"/>
        <item x="91"/>
        <item x="205"/>
        <item x="204"/>
        <item x="133"/>
        <item x="153"/>
        <item x="44"/>
        <item x="206"/>
        <item x="203"/>
        <item x="50"/>
        <item x="20"/>
        <item x="184"/>
        <item x="68"/>
        <item x="169"/>
        <item x="141"/>
        <item x="34"/>
        <item x="145"/>
        <item x="159"/>
        <item x="92"/>
        <item x="28"/>
        <item x="82"/>
        <item x="36"/>
        <item x="104"/>
        <item x="51"/>
        <item x="112"/>
        <item x="32"/>
        <item x="173"/>
        <item x="93"/>
        <item x="45"/>
        <item x="156"/>
        <item x="9"/>
        <item x="177"/>
        <item x="37"/>
        <item x="84"/>
        <item x="105"/>
        <item x="118"/>
        <item x="40"/>
        <item x="98"/>
        <item x="109"/>
        <item x="87"/>
        <item x="121"/>
        <item x="157"/>
        <item x="155"/>
        <item x="90"/>
        <item x="30"/>
        <item x="108"/>
        <item x="154"/>
        <item x="81"/>
        <item x="126"/>
        <item x="35"/>
        <item x="100"/>
        <item x="146"/>
        <item x="63"/>
        <item x="41"/>
        <item x="192"/>
        <item x="158"/>
        <item x="47"/>
        <item x="18"/>
      </items>
    </pivotField>
    <pivotField name="S" axis="axisRow" dataField="1" compact="0" outline="0" multipleItemSelectionAllowed="1" showAll="0" sortType="ascending">
      <items count="17">
        <item x="0"/>
        <item x="2"/>
        <item x="4"/>
        <item x="3"/>
        <item x="1"/>
        <item x="5"/>
        <item x="6"/>
        <item x="8"/>
        <item x="7"/>
        <item x="9"/>
        <item x="12"/>
        <item x="10"/>
        <item x="11"/>
        <item x="13"/>
        <item x="14"/>
        <item x="15"/>
        <item t="default"/>
      </items>
    </pivotField>
    <pivotField name="R32" compact="0" outline="0" multipleItemSelectionAllowed="1" showAll="0"/>
    <pivotField name="S16" compact="0" outline="0" multipleItemSelectionAllowed="1" showAll="0"/>
    <pivotField name="E8" compact="0" outline="0" multipleItemSelectionAllowed="1" showAll="0"/>
    <pivotField name="F4" axis="axisPage" compact="0" outline="0" multipleItemSelectionAllowed="1" showAll="0">
      <items count="3">
        <item h="1" x="0"/>
        <item x="1"/>
        <item t="default"/>
      </items>
    </pivotField>
    <pivotField name="C2" compact="0" outline="0" multipleItemSelectionAllowed="1" showAll="0"/>
    <pivotField name="Champ" compact="0" outline="0" multipleItemSelectionAllowed="1" showAll="0"/>
    <pivotField name="Tempo" compact="0" outline="0" multipleItemSelectionAllowed="1" showAll="0"/>
    <pivotField name="RankTempo" compact="0" outline="0" multipleItemSelectionAllowed="1" showAll="0"/>
    <pivotField name="AdjTempo" dataField="1" compact="0" outline="0" multipleItemSelectionAllowed="1" showAll="0"/>
    <pivotField name="RankAdjTempo" dataField="1" compact="0" outline="0" multipleItemSelectionAllowed="1" showAll="0"/>
    <pivotField name="OE" compact="0" outline="0" multipleItemSelectionAllowed="1" showAll="0"/>
    <pivotField name="RankOE" compact="0" outline="0" multipleItemSelectionAllowed="1" showAll="0"/>
    <pivotField name="AdjOE" dataField="1" compact="0" outline="0" multipleItemSelectionAllowed="1" showAll="0"/>
    <pivotField name="RankAdjOE" dataField="1" compact="0" outline="0" multipleItemSelectionAllowed="1" showAll="0"/>
    <pivotField name="DE" compact="0" outline="0" multipleItemSelectionAllowed="1" showAll="0"/>
    <pivotField name="RankDE" compact="0" outline="0" multipleItemSelectionAllowed="1" showAll="0"/>
    <pivotField name="AdjDE" dataField="1" compact="0" outline="0" multipleItemSelectionAllowed="1" showAll="0"/>
    <pivotField name="RankAdjDE" dataField="1" compact="0" outline="0" multipleItemSelectionAllowed="1" showAll="0"/>
    <pivotField name="Pythag" dataField="1" compact="0" outline="0" multipleItemSelectionAllowed="1" showAll="0"/>
    <pivotField name="RankPythag" dataField="1" compact="0" outline="0" multipleItemSelectionAllowed="1" showAll="0"/>
    <pivotField name="Year" dataField="1" compact="0" outline="0" multipleItemSelectionAllowed="1" showAll="0"/>
  </pivotFields>
  <rowFields count="2">
    <field x="0"/>
    <field x="1"/>
  </rowFields>
  <rowItems count="44">
    <i>
      <x v="23"/>
      <x v="4"/>
    </i>
    <i r="1">
      <x v="7"/>
    </i>
    <i>
      <x v="39"/>
      <x/>
    </i>
    <i r="1">
      <x v="1"/>
    </i>
    <i r="1">
      <x v="2"/>
    </i>
    <i r="1">
      <x v="6"/>
    </i>
    <i>
      <x v="50"/>
      <x/>
    </i>
    <i>
      <x v="55"/>
      <x/>
    </i>
    <i r="1">
      <x v="2"/>
    </i>
    <i>
      <x v="60"/>
      <x v="10"/>
    </i>
    <i>
      <x v="62"/>
      <x v="1"/>
    </i>
    <i>
      <x v="64"/>
      <x v="2"/>
    </i>
    <i>
      <x v="71"/>
      <x/>
    </i>
    <i>
      <x v="73"/>
      <x v="4"/>
    </i>
    <i>
      <x v="81"/>
      <x/>
    </i>
    <i r="1">
      <x v="1"/>
    </i>
    <i>
      <x v="84"/>
      <x/>
    </i>
    <i r="1">
      <x v="3"/>
    </i>
    <i r="1">
      <x v="7"/>
    </i>
    <i>
      <x v="92"/>
      <x/>
    </i>
    <i r="1">
      <x v="3"/>
    </i>
    <i>
      <x v="94"/>
      <x v="3"/>
    </i>
    <i>
      <x v="96"/>
      <x v="2"/>
    </i>
    <i>
      <x v="97"/>
      <x/>
    </i>
    <i>
      <x v="100"/>
      <x/>
    </i>
    <i>
      <x v="104"/>
      <x v="3"/>
    </i>
    <i>
      <x v="105"/>
      <x v="1"/>
    </i>
    <i r="1">
      <x v="4"/>
    </i>
    <i>
      <x v="125"/>
      <x/>
    </i>
    <i>
      <x v="137"/>
      <x/>
    </i>
    <i r="1">
      <x v="1"/>
    </i>
    <i>
      <x v="138"/>
      <x v="1"/>
    </i>
    <i>
      <x v="139"/>
      <x v="1"/>
    </i>
    <i>
      <x v="177"/>
      <x v="2"/>
    </i>
    <i r="1">
      <x v="3"/>
    </i>
    <i>
      <x v="180"/>
      <x/>
    </i>
    <i>
      <x v="190"/>
      <x/>
    </i>
    <i r="1">
      <x v="1"/>
    </i>
    <i>
      <x v="203"/>
      <x v="10"/>
    </i>
    <i>
      <x v="205"/>
      <x v="2"/>
    </i>
    <i>
      <x v="213"/>
      <x v="1"/>
    </i>
    <i>
      <x v="216"/>
      <x v="8"/>
    </i>
    <i>
      <x v="218"/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5" hier="0"/>
  </pageFields>
  <dataFields count="10">
    <dataField name="AVERAGE of Year" fld="22" subtotal="average" baseField="0"/>
    <dataField name="AVERAGE of RankPythag" fld="21" subtotal="average" baseField="0"/>
    <dataField name="AVERAGE of Pythag" fld="20" subtotal="average" baseField="0"/>
    <dataField name="AVERAGE of RankAdjOE" fld="15" subtotal="average" baseField="0"/>
    <dataField name="AVERAGE of AdjOE" fld="14" subtotal="average" baseField="0"/>
    <dataField name="AVERAGE of RankAdjDE" fld="19" subtotal="average" baseField="0"/>
    <dataField name="AVERAGE of AdjDE" fld="18" subtotal="average" baseField="0"/>
    <dataField name="AVERAGE of RankAdjTempo" fld="11" subtotal="average" baseField="0"/>
    <dataField name="AVERAGE of AdjTempo" fld="10" subtotal="average" baseField="0"/>
    <dataField name="AVERAGE of S" fld="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Champs" cacheId="8" applyNumberFormats="0" applyBorderFormats="0" applyFontFormats="0" applyPatternFormats="0" applyAlignmentFormats="0" applyWidthHeightFormats="0" dataCaption="" updatedVersion="6" showHeaders="0" compact="0" compactData="0">
  <location ref="A4:K27" firstHeaderRow="0" firstDataRow="1" firstDataCol="2" rowPageCount="1" colPageCount="1"/>
  <pivotFields count="23">
    <pivotField name="TeamName" axis="axisRow" compact="0" outline="0" multipleItemSelectionAllowed="1" showAll="0" sortType="ascending">
      <items count="224">
        <item x="103"/>
        <item x="185"/>
        <item x="17"/>
        <item x="139"/>
        <item x="119"/>
        <item x="151"/>
        <item x="64"/>
        <item x="175"/>
        <item x="10"/>
        <item x="71"/>
        <item x="142"/>
        <item x="200"/>
        <item x="194"/>
        <item x="77"/>
        <item x="85"/>
        <item x="168"/>
        <item x="152"/>
        <item x="190"/>
        <item x="174"/>
        <item x="48"/>
        <item x="60"/>
        <item x="144"/>
        <item x="131"/>
        <item x="75"/>
        <item x="70"/>
        <item x="221"/>
        <item x="170"/>
        <item x="186"/>
        <item x="26"/>
        <item x="56"/>
        <item x="79"/>
        <item x="31"/>
        <item x="135"/>
        <item x="1"/>
        <item x="166"/>
        <item x="182"/>
        <item x="222"/>
        <item x="73"/>
        <item x="83"/>
        <item x="23"/>
        <item x="178"/>
        <item x="171"/>
        <item x="46"/>
        <item x="53"/>
        <item x="72"/>
        <item x="220"/>
        <item x="138"/>
        <item x="106"/>
        <item x="208"/>
        <item x="165"/>
        <item x="0"/>
        <item x="89"/>
        <item x="134"/>
        <item x="114"/>
        <item x="137"/>
        <item x="4"/>
        <item x="120"/>
        <item x="61"/>
        <item x="213"/>
        <item x="180"/>
        <item x="143"/>
        <item x="125"/>
        <item x="140"/>
        <item x="21"/>
        <item x="94"/>
        <item x="14"/>
        <item x="54"/>
        <item x="202"/>
        <item x="33"/>
        <item x="57"/>
        <item x="193"/>
        <item x="11"/>
        <item x="55"/>
        <item x="7"/>
        <item x="199"/>
        <item x="147"/>
        <item x="122"/>
        <item x="127"/>
        <item x="88"/>
        <item x="164"/>
        <item x="214"/>
        <item x="2"/>
        <item x="167"/>
        <item x="22"/>
        <item x="12"/>
        <item x="212"/>
        <item x="207"/>
        <item x="117"/>
        <item x="115"/>
        <item x="196"/>
        <item x="162"/>
        <item x="107"/>
        <item x="66"/>
        <item x="209"/>
        <item x="67"/>
        <item x="78"/>
        <item x="6"/>
        <item x="3"/>
        <item x="217"/>
        <item x="52"/>
        <item x="69"/>
        <item x="219"/>
        <item x="29"/>
        <item x="160"/>
        <item x="181"/>
        <item x="27"/>
        <item x="211"/>
        <item x="76"/>
        <item x="124"/>
        <item x="19"/>
        <item x="16"/>
        <item x="179"/>
        <item x="39"/>
        <item x="116"/>
        <item x="62"/>
        <item x="189"/>
        <item x="187"/>
        <item x="176"/>
        <item x="58"/>
        <item x="216"/>
        <item x="96"/>
        <item x="123"/>
        <item x="161"/>
        <item x="132"/>
        <item x="210"/>
        <item x="95"/>
        <item x="215"/>
        <item x="218"/>
        <item x="24"/>
        <item x="183"/>
        <item x="163"/>
        <item x="198"/>
        <item x="111"/>
        <item x="149"/>
        <item x="25"/>
        <item x="136"/>
        <item x="130"/>
        <item x="15"/>
        <item x="5"/>
        <item x="38"/>
        <item x="128"/>
        <item x="150"/>
        <item x="8"/>
        <item x="110"/>
        <item x="42"/>
        <item x="195"/>
        <item x="43"/>
        <item x="13"/>
        <item x="172"/>
        <item x="113"/>
        <item x="97"/>
        <item x="74"/>
        <item x="191"/>
        <item x="101"/>
        <item x="188"/>
        <item x="65"/>
        <item x="201"/>
        <item x="129"/>
        <item x="197"/>
        <item x="86"/>
        <item x="80"/>
        <item x="49"/>
        <item x="99"/>
        <item x="59"/>
        <item x="148"/>
        <item x="102"/>
        <item x="91"/>
        <item x="205"/>
        <item x="204"/>
        <item x="133"/>
        <item x="153"/>
        <item x="44"/>
        <item x="206"/>
        <item x="203"/>
        <item x="50"/>
        <item x="20"/>
        <item x="184"/>
        <item x="68"/>
        <item x="169"/>
        <item x="141"/>
        <item x="34"/>
        <item x="145"/>
        <item x="159"/>
        <item x="92"/>
        <item x="28"/>
        <item x="82"/>
        <item x="36"/>
        <item x="104"/>
        <item x="51"/>
        <item x="112"/>
        <item x="32"/>
        <item x="173"/>
        <item x="93"/>
        <item x="45"/>
        <item x="156"/>
        <item x="9"/>
        <item x="177"/>
        <item x="37"/>
        <item x="84"/>
        <item x="105"/>
        <item x="118"/>
        <item x="40"/>
        <item x="98"/>
        <item x="109"/>
        <item x="87"/>
        <item x="121"/>
        <item x="157"/>
        <item x="155"/>
        <item x="90"/>
        <item x="30"/>
        <item x="108"/>
        <item x="154"/>
        <item x="81"/>
        <item x="126"/>
        <item x="35"/>
        <item x="100"/>
        <item x="146"/>
        <item x="63"/>
        <item x="41"/>
        <item x="192"/>
        <item x="158"/>
        <item x="47"/>
        <item x="18"/>
        <item t="default"/>
      </items>
    </pivotField>
    <pivotField name="S" compact="0" outline="0" multipleItemSelectionAllowed="1" showAll="0"/>
    <pivotField name="R32" compact="0" outline="0" multipleItemSelectionAllowed="1" showAll="0"/>
    <pivotField name="S16" compact="0" outline="0" multipleItemSelectionAllowed="1" showAll="0"/>
    <pivotField name="E8" compact="0" outline="0" multipleItemSelectionAllowed="1" showAll="0"/>
    <pivotField name="F4" compact="0" outline="0" multipleItemSelectionAllowed="1" showAll="0"/>
    <pivotField name="C2" compact="0" outline="0" multipleItemSelectionAllowed="1" showAll="0"/>
    <pivotField name="Champ" axis="axisPage" compact="0" outline="0" multipleItemSelectionAllowed="1" showAll="0">
      <items count="3">
        <item h="1" x="0"/>
        <item x="1"/>
        <item t="default"/>
      </items>
    </pivotField>
    <pivotField name="Tempo" compact="0" outline="0" multipleItemSelectionAllowed="1" showAll="0"/>
    <pivotField name="RankTempo" compact="0" outline="0" multipleItemSelectionAllowed="1" showAll="0"/>
    <pivotField name="AdjTempo" dataField="1" compact="0" outline="0" multipleItemSelectionAllowed="1" showAll="0"/>
    <pivotField name="RankAdjTempo" dataField="1" compact="0" outline="0" multipleItemSelectionAllowed="1" showAll="0"/>
    <pivotField name="OE" compact="0" outline="0" multipleItemSelectionAllowed="1" showAll="0"/>
    <pivotField name="RankOE" compact="0" outline="0" multipleItemSelectionAllowed="1" showAll="0"/>
    <pivotField name="AdjOE" dataField="1" compact="0" outline="0" multipleItemSelectionAllowed="1" showAll="0"/>
    <pivotField name="RankAdjOE" dataField="1" compact="0" outline="0" multipleItemSelectionAllowed="1" showAll="0"/>
    <pivotField name="DE" compact="0" outline="0" multipleItemSelectionAllowed="1" showAll="0"/>
    <pivotField name="RankDE" compact="0" outline="0" multipleItemSelectionAllowed="1" showAll="0"/>
    <pivotField name="AdjDE" dataField="1" compact="0" outline="0" multipleItemSelectionAllowed="1" showAll="0"/>
    <pivotField name="RankAdjDE" dataField="1" compact="0" outline="0" multipleItemSelectionAllowed="1" showAll="0"/>
    <pivotField name="Pythag" dataField="1" compact="0" outline="0" multipleItemSelectionAllowed="1" showAll="0"/>
    <pivotField name="RankPythag" dataField="1" compact="0" outline="0" multipleItemSelectionAllowed="1" showAll="0"/>
    <pivotField name="Year" axis="axisRow" dataField="1" compact="0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0"/>
    <field x="22"/>
  </rowFields>
  <rowItems count="23">
    <i>
      <x v="39"/>
      <x v="2"/>
    </i>
    <i r="1">
      <x v="9"/>
    </i>
    <i r="1">
      <x v="12"/>
    </i>
    <i t="default">
      <x v="39"/>
    </i>
    <i>
      <x v="50"/>
      <x v="8"/>
    </i>
    <i t="default">
      <x v="50"/>
    </i>
    <i>
      <x v="55"/>
      <x v="4"/>
    </i>
    <i r="1">
      <x v="5"/>
    </i>
    <i t="default">
      <x v="55"/>
    </i>
    <i>
      <x v="81"/>
      <x v="6"/>
    </i>
    <i t="default">
      <x v="81"/>
    </i>
    <i>
      <x v="84"/>
      <x v="10"/>
    </i>
    <i t="default">
      <x v="84"/>
    </i>
    <i>
      <x v="92"/>
      <x v="11"/>
    </i>
    <i t="default">
      <x v="92"/>
    </i>
    <i>
      <x v="97"/>
      <x/>
    </i>
    <i t="default">
      <x v="97"/>
    </i>
    <i>
      <x v="125"/>
      <x v="3"/>
    </i>
    <i r="1">
      <x v="7"/>
    </i>
    <i t="default">
      <x v="125"/>
    </i>
    <i>
      <x v="177"/>
      <x v="1"/>
    </i>
    <i t="default">
      <x v="17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7" hier="0"/>
  </pageFields>
  <dataFields count="9">
    <dataField name="AVERAGE of Year" fld="22" subtotal="average" baseField="0"/>
    <dataField name="SUM of RankPythag" fld="21" baseField="0"/>
    <dataField name="SUM of Pythag" fld="20" baseField="0"/>
    <dataField name="SUM of RankAdjOE" fld="15" baseField="0"/>
    <dataField name="SUM of AdjOE" fld="14" baseField="0"/>
    <dataField name="SUM of RankAdjDE" fld="19" baseField="0"/>
    <dataField name="SUM of AdjDE" fld="18" baseField="0"/>
    <dataField name="SUM of RankAdjTempo" fld="11" baseField="0"/>
    <dataField name="SUM of AdjTempo" fld="1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264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11.71875" customWidth="1"/>
    <col min="4" max="4" width="7.71875" customWidth="1"/>
    <col min="5" max="5" width="11.5546875" customWidth="1"/>
    <col min="6" max="6" width="10.109375" customWidth="1"/>
    <col min="7" max="7" width="14.5546875" customWidth="1"/>
    <col min="8" max="8" width="8.71875" customWidth="1"/>
    <col min="9" max="9" width="8.27734375" customWidth="1"/>
    <col min="10" max="10" width="8.71875" customWidth="1"/>
    <col min="11" max="11" width="11.27734375" customWidth="1"/>
    <col min="12" max="12" width="8.71875" customWidth="1"/>
    <col min="13" max="13" width="8.109375" customWidth="1"/>
    <col min="14" max="14" width="8.71875" customWidth="1"/>
    <col min="15" max="15" width="11.109375" customWidth="1"/>
    <col min="16" max="16" width="8.71875" customWidth="1"/>
  </cols>
  <sheetData>
    <row r="1" spans="1:16" ht="15.75" customHeight="1" x14ac:dyDescent="0.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ht="15.75" customHeight="1" x14ac:dyDescent="0.4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</row>
    <row r="3" spans="1:16" ht="15.75" customHeight="1" x14ac:dyDescent="0.4">
      <c r="A3" s="2" t="s">
        <v>17</v>
      </c>
      <c r="B3" s="2">
        <v>2002</v>
      </c>
      <c r="C3" s="2">
        <v>22</v>
      </c>
      <c r="D3" s="2">
        <v>66.864500000000007</v>
      </c>
      <c r="E3" s="2">
        <v>257</v>
      </c>
      <c r="F3" s="2">
        <v>66.260599999999997</v>
      </c>
      <c r="G3" s="2">
        <v>276</v>
      </c>
      <c r="H3" s="2">
        <v>100.5385</v>
      </c>
      <c r="I3" s="2">
        <v>165</v>
      </c>
      <c r="J3" s="2">
        <v>103.5962</v>
      </c>
      <c r="K3" s="2">
        <v>111</v>
      </c>
      <c r="L3" s="2">
        <v>91.556399999999996</v>
      </c>
      <c r="M3" s="2">
        <v>10</v>
      </c>
      <c r="N3" s="2">
        <v>87.636099999999999</v>
      </c>
      <c r="O3" s="2">
        <v>1</v>
      </c>
      <c r="P3" s="2">
        <v>0.87258800000000003</v>
      </c>
    </row>
    <row r="4" spans="1:16" ht="15.75" customHeight="1" x14ac:dyDescent="0.4">
      <c r="A4" s="2" t="s">
        <v>18</v>
      </c>
      <c r="B4" s="2">
        <v>2002</v>
      </c>
      <c r="C4" s="2">
        <v>29</v>
      </c>
      <c r="D4" s="2">
        <v>62.528199999999998</v>
      </c>
      <c r="E4" s="2">
        <v>318</v>
      </c>
      <c r="F4" s="2">
        <v>63.6569</v>
      </c>
      <c r="G4" s="2">
        <v>315</v>
      </c>
      <c r="H4" s="2">
        <v>110.9894</v>
      </c>
      <c r="I4" s="2">
        <v>18</v>
      </c>
      <c r="J4" s="2">
        <v>108.17919999999999</v>
      </c>
      <c r="K4" s="2">
        <v>54</v>
      </c>
      <c r="L4" s="2">
        <v>90.414299999999997</v>
      </c>
      <c r="M4" s="2">
        <v>5</v>
      </c>
      <c r="N4" s="2">
        <v>93.208799999999997</v>
      </c>
      <c r="O4" s="2">
        <v>27</v>
      </c>
      <c r="P4" s="2">
        <v>0.84721000000000002</v>
      </c>
    </row>
    <row r="5" spans="1:16" ht="15.75" customHeight="1" x14ac:dyDescent="0.4">
      <c r="A5" s="2" t="s">
        <v>19</v>
      </c>
      <c r="B5" s="2">
        <v>2003</v>
      </c>
      <c r="C5" s="2">
        <v>14</v>
      </c>
      <c r="D5" s="2">
        <v>69.395300000000006</v>
      </c>
      <c r="E5" s="2">
        <v>137</v>
      </c>
      <c r="F5" s="2">
        <v>69.114999999999995</v>
      </c>
      <c r="G5" s="2">
        <v>135</v>
      </c>
      <c r="H5" s="2">
        <v>112.61669999999999</v>
      </c>
      <c r="I5" s="2">
        <v>5</v>
      </c>
      <c r="J5" s="2">
        <v>118.9785</v>
      </c>
      <c r="K5" s="2">
        <v>1</v>
      </c>
      <c r="L5" s="2">
        <v>104.46939999999999</v>
      </c>
      <c r="M5" s="2">
        <v>244</v>
      </c>
      <c r="N5" s="2">
        <v>98.842200000000005</v>
      </c>
      <c r="O5" s="2">
        <v>115</v>
      </c>
      <c r="P5" s="2">
        <v>0.89400400000000002</v>
      </c>
    </row>
    <row r="6" spans="1:16" ht="15.75" customHeight="1" x14ac:dyDescent="0.4">
      <c r="A6" s="2" t="s">
        <v>20</v>
      </c>
      <c r="B6" s="2">
        <v>2004</v>
      </c>
      <c r="C6" s="2">
        <v>25</v>
      </c>
      <c r="D6" s="2">
        <v>67.819599999999994</v>
      </c>
      <c r="E6" s="2">
        <v>172</v>
      </c>
      <c r="F6" s="2">
        <v>66.9358</v>
      </c>
      <c r="G6" s="2">
        <v>196</v>
      </c>
      <c r="H6" s="2">
        <v>102.85339999999999</v>
      </c>
      <c r="I6" s="2">
        <v>115</v>
      </c>
      <c r="J6" s="2">
        <v>106.34269999999999</v>
      </c>
      <c r="K6" s="2">
        <v>76</v>
      </c>
      <c r="L6" s="2">
        <v>94.100099999999998</v>
      </c>
      <c r="M6" s="2">
        <v>32</v>
      </c>
      <c r="N6" s="2">
        <v>90.446899999999999</v>
      </c>
      <c r="O6" s="2">
        <v>9</v>
      </c>
      <c r="P6" s="2">
        <v>0.86551800000000001</v>
      </c>
    </row>
    <row r="7" spans="1:16" ht="15.75" customHeight="1" x14ac:dyDescent="0.4">
      <c r="A7" s="2" t="s">
        <v>21</v>
      </c>
      <c r="B7" s="2">
        <v>2005</v>
      </c>
      <c r="C7" s="2">
        <v>30</v>
      </c>
      <c r="D7" s="2">
        <v>66.096199999999996</v>
      </c>
      <c r="E7" s="2">
        <v>208</v>
      </c>
      <c r="F7" s="2">
        <v>66.511700000000005</v>
      </c>
      <c r="G7" s="2">
        <v>196</v>
      </c>
      <c r="H7" s="2">
        <v>105.6623</v>
      </c>
      <c r="I7" s="2">
        <v>73</v>
      </c>
      <c r="J7" s="2">
        <v>107.33369999999999</v>
      </c>
      <c r="K7" s="2">
        <v>64</v>
      </c>
      <c r="L7" s="2">
        <v>95.382599999999996</v>
      </c>
      <c r="M7" s="2">
        <v>41</v>
      </c>
      <c r="N7" s="2">
        <v>93.160499999999999</v>
      </c>
      <c r="O7" s="2">
        <v>18</v>
      </c>
      <c r="P7" s="2">
        <v>0.83597900000000003</v>
      </c>
    </row>
    <row r="8" spans="1:16" ht="15.75" customHeight="1" x14ac:dyDescent="0.4">
      <c r="A8" s="2" t="s">
        <v>22</v>
      </c>
      <c r="B8" s="2">
        <v>2006</v>
      </c>
      <c r="C8" s="2">
        <v>28</v>
      </c>
      <c r="D8" s="2">
        <v>69.525400000000005</v>
      </c>
      <c r="E8" s="2">
        <v>73</v>
      </c>
      <c r="F8" s="2">
        <v>69.765199999999993</v>
      </c>
      <c r="G8" s="2">
        <v>65</v>
      </c>
      <c r="H8" s="2">
        <v>107.9456</v>
      </c>
      <c r="I8" s="2">
        <v>54</v>
      </c>
      <c r="J8" s="2">
        <v>110.50320000000001</v>
      </c>
      <c r="K8" s="2">
        <v>35</v>
      </c>
      <c r="L8" s="2">
        <v>96.089200000000005</v>
      </c>
      <c r="M8" s="2">
        <v>52</v>
      </c>
      <c r="N8" s="2">
        <v>95.826800000000006</v>
      </c>
      <c r="O8" s="2">
        <v>50</v>
      </c>
      <c r="P8" s="2">
        <v>0.83736900000000003</v>
      </c>
    </row>
    <row r="9" spans="1:16" ht="15.75" customHeight="1" x14ac:dyDescent="0.4">
      <c r="A9" s="2" t="s">
        <v>23</v>
      </c>
      <c r="B9" s="2">
        <v>2007</v>
      </c>
      <c r="C9" s="2">
        <v>29</v>
      </c>
      <c r="D9" s="2">
        <v>71.2637</v>
      </c>
      <c r="E9" s="2">
        <v>42</v>
      </c>
      <c r="F9" s="2">
        <v>71.552800000000005</v>
      </c>
      <c r="G9" s="2">
        <v>29</v>
      </c>
      <c r="H9" s="2">
        <v>106.20189999999999</v>
      </c>
      <c r="I9" s="2">
        <v>96</v>
      </c>
      <c r="J9" s="2">
        <v>109.1212</v>
      </c>
      <c r="K9" s="2">
        <v>64</v>
      </c>
      <c r="L9" s="2">
        <v>95.166600000000003</v>
      </c>
      <c r="M9" s="2">
        <v>35</v>
      </c>
      <c r="N9" s="2">
        <v>93.924000000000007</v>
      </c>
      <c r="O9" s="2">
        <v>28</v>
      </c>
      <c r="P9" s="2">
        <v>0.84873200000000004</v>
      </c>
    </row>
    <row r="10" spans="1:16" ht="15.75" customHeight="1" x14ac:dyDescent="0.4">
      <c r="A10" s="2" t="s">
        <v>24</v>
      </c>
      <c r="B10" s="2">
        <v>2007</v>
      </c>
      <c r="C10" s="2">
        <v>30</v>
      </c>
      <c r="D10" s="2">
        <v>67.899100000000004</v>
      </c>
      <c r="E10" s="2">
        <v>117</v>
      </c>
      <c r="F10" s="2">
        <v>66.934899999999999</v>
      </c>
      <c r="G10" s="2">
        <v>157</v>
      </c>
      <c r="H10" s="2">
        <v>107.5578</v>
      </c>
      <c r="I10" s="2">
        <v>70</v>
      </c>
      <c r="J10" s="2">
        <v>108.9881</v>
      </c>
      <c r="K10" s="2">
        <v>66</v>
      </c>
      <c r="L10" s="2">
        <v>96.014099999999999</v>
      </c>
      <c r="M10" s="2">
        <v>44</v>
      </c>
      <c r="N10" s="2">
        <v>93.913600000000002</v>
      </c>
      <c r="O10" s="2">
        <v>27</v>
      </c>
      <c r="P10" s="2">
        <v>0.84708700000000003</v>
      </c>
    </row>
    <row r="11" spans="1:16" ht="15.7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15.7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6" ht="15.7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1:16" ht="15.7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1:16" ht="15.7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ht="15.7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1:16" ht="15.75" customHeight="1" x14ac:dyDescent="0.4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1:16" ht="15.75" customHeight="1" x14ac:dyDescent="0.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1:16" ht="15.75" customHeight="1" x14ac:dyDescent="0.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1:16" ht="15.75" customHeight="1" x14ac:dyDescent="0.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1:16" ht="15.75" customHeight="1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ht="15.75" customHeight="1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r="23" spans="1:16" ht="15.75" customHeight="1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1:16" ht="15.75" customHeight="1" x14ac:dyDescent="0.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1:16" ht="15.75" customHeight="1" x14ac:dyDescent="0.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1:16" ht="15.75" customHeight="1" x14ac:dyDescent="0.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1:16" ht="15.75" customHeight="1" x14ac:dyDescent="0.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1:16" ht="15.75" customHeight="1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1:16" ht="12.3" x14ac:dyDescent="0.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1:16" ht="12.3" x14ac:dyDescent="0.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1:16" ht="12.3" x14ac:dyDescent="0.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1:16" ht="12.3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1:16" ht="12.3" x14ac:dyDescent="0.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pans="1:16" ht="12.3" x14ac:dyDescent="0.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</row>
    <row r="35" spans="1:16" ht="12.3" x14ac:dyDescent="0.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r="36" spans="1:16" ht="12.3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</row>
    <row r="37" spans="1:16" ht="12.3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 spans="1:16" ht="12.3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 spans="1:16" ht="12.3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r="40" spans="1:16" ht="12.3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</row>
    <row r="41" spans="1:16" ht="12.3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</row>
    <row r="42" spans="1:16" ht="12.3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r="43" spans="1:16" ht="12.3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  <row r="44" spans="1:16" ht="12.3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r="45" spans="1:16" ht="12.3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r="46" spans="1:16" ht="12.3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</row>
    <row r="47" spans="1:16" ht="12.3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r="48" spans="1:16" ht="12.3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 spans="1:16" ht="12.3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</row>
    <row r="50" spans="1:16" ht="12.3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</row>
    <row r="51" spans="1:16" ht="12.3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</row>
    <row r="52" spans="1:16" ht="12.3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1:16" ht="12.3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1:16" ht="12.3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 spans="1:16" ht="12.3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</row>
    <row r="56" spans="1:16" ht="12.3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</row>
    <row r="57" spans="1:16" ht="12.3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</row>
    <row r="58" spans="1:16" ht="12.3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6" ht="12.3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16" ht="12.3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16" ht="12.3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16" ht="12.3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12.3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12.3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12.3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12.3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12.3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12.3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12.3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12.3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12.3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12.3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12.3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12.3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12.3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12.3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12.3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12.3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12.3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12.3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12.3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12.3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12.3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12.3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12.3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12.3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12.3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12.3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12.3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12.3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12.3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12.3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12.3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12.3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12.3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12.3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12.3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12.3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12.3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12.3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12.3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12.3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12.3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12.3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12.3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12.3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12.3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12.3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12.3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12.3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12.3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12.3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12.3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12.3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12.3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12.3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12.3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12.3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12.3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12.3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12.3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12.3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12.3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12.3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12.3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12.3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12.3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12.3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12.3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12.3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12.3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12.3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12.3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12.3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12.3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12.3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12.3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12.3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12.3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12.3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12.3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12.3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12.3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12.3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12.3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12.3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12.3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12.3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12.3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12.3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12.3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12.3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12.3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12.3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12.3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12.3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12.3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12.3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12.3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12.3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2.3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2.3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2.3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2.3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2.3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2.3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2.3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2.3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2.3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2.3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2.3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2.3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2.3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2.3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2.3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2.3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2.3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2.3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12.3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12.3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12.3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12.3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12.3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12.3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12.3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12.3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12.3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12.3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12.3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12.3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12.3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12.3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12.3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12.3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12.3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12.3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12.3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12.3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12.3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12.3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12.3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12.3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  <row r="203" spans="1:16" ht="12.3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</row>
    <row r="204" spans="1:16" ht="12.3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</row>
    <row r="205" spans="1:16" ht="12.3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</row>
    <row r="206" spans="1:16" ht="12.3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</row>
    <row r="207" spans="1:16" ht="12.3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</row>
    <row r="208" spans="1:16" ht="12.3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</row>
    <row r="209" spans="1:16" ht="12.3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</row>
    <row r="210" spans="1:16" ht="12.3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</row>
    <row r="211" spans="1:16" ht="12.3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</row>
    <row r="212" spans="1:16" ht="12.3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</row>
    <row r="213" spans="1:16" ht="12.3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</row>
    <row r="214" spans="1:16" ht="12.3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</row>
    <row r="215" spans="1:16" ht="12.3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</row>
    <row r="216" spans="1:16" ht="12.3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</row>
    <row r="217" spans="1:16" ht="12.3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</row>
    <row r="218" spans="1:16" ht="12.3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</row>
    <row r="219" spans="1:16" ht="12.3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</row>
    <row r="220" spans="1:16" ht="12.3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</row>
    <row r="221" spans="1:16" ht="12.3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</row>
    <row r="222" spans="1:16" ht="12.3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</row>
    <row r="223" spans="1:16" ht="12.3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</row>
    <row r="224" spans="1:16" ht="12.3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</row>
    <row r="225" spans="1:16" ht="12.3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</row>
    <row r="226" spans="1:16" ht="12.3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</row>
    <row r="227" spans="1:16" ht="12.3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</row>
    <row r="228" spans="1:16" ht="12.3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</row>
    <row r="229" spans="1:16" ht="12.3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</row>
    <row r="230" spans="1:16" ht="12.3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</row>
    <row r="231" spans="1:16" ht="12.3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</row>
    <row r="232" spans="1:16" ht="12.3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</row>
    <row r="233" spans="1:16" ht="12.3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spans="1:16" ht="12.3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</row>
    <row r="235" spans="1:16" ht="12.3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</row>
    <row r="236" spans="1:16" ht="12.3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</row>
    <row r="237" spans="1:16" ht="12.3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</row>
    <row r="238" spans="1:16" ht="12.3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</row>
    <row r="239" spans="1:16" ht="12.3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</row>
    <row r="240" spans="1:16" ht="12.3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</row>
    <row r="241" spans="1:16" ht="12.3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</row>
    <row r="242" spans="1:16" ht="12.3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</row>
    <row r="243" spans="1:16" ht="12.3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</row>
    <row r="244" spans="1:16" ht="12.3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</row>
    <row r="245" spans="1:16" ht="12.3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</row>
    <row r="246" spans="1:16" ht="12.3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</row>
    <row r="247" spans="1:16" ht="12.3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</row>
    <row r="248" spans="1:16" ht="12.3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</row>
    <row r="249" spans="1:16" ht="12.3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</row>
    <row r="250" spans="1:16" ht="12.3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</row>
    <row r="251" spans="1:16" ht="12.3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</row>
    <row r="252" spans="1:16" ht="12.3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</row>
    <row r="253" spans="1:16" ht="12.3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</row>
    <row r="254" spans="1:16" ht="12.3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</row>
    <row r="255" spans="1:16" ht="12.3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</row>
    <row r="256" spans="1:16" ht="12.3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</row>
    <row r="257" spans="1:16" ht="12.3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</row>
    <row r="258" spans="1:16" ht="12.3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</row>
    <row r="259" spans="1:16" ht="12.3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</row>
    <row r="260" spans="1:16" ht="12.3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</row>
    <row r="261" spans="1:16" ht="12.3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</row>
    <row r="262" spans="1:16" ht="12.3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</row>
    <row r="263" spans="1:16" ht="12.3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</row>
    <row r="264" spans="1:16" ht="12.3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W4401"/>
  <sheetViews>
    <sheetView tabSelected="1" workbookViewId="0">
      <selection activeCell="W9" sqref="W9"/>
    </sheetView>
  </sheetViews>
  <sheetFormatPr defaultColWidth="14.44140625" defaultRowHeight="15.75" customHeight="1" x14ac:dyDescent="0.4"/>
  <cols>
    <col min="1" max="1" width="14.71875" customWidth="1"/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2.3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2.3" x14ac:dyDescent="0.4">
      <c r="A2" s="2" t="s">
        <v>43</v>
      </c>
      <c r="B2" s="2">
        <v>1</v>
      </c>
      <c r="C2" s="4" t="s">
        <v>33</v>
      </c>
      <c r="D2" s="4" t="s">
        <v>33</v>
      </c>
      <c r="E2" s="4" t="s">
        <v>33</v>
      </c>
      <c r="F2" s="2"/>
      <c r="G2" s="2"/>
      <c r="H2" s="2"/>
      <c r="I2" s="2">
        <v>64.520899999999997</v>
      </c>
      <c r="J2" s="2">
        <v>275</v>
      </c>
      <c r="K2" s="2">
        <v>64.381100000000004</v>
      </c>
      <c r="L2" s="2">
        <v>273</v>
      </c>
      <c r="M2" s="2">
        <v>112.26730000000001</v>
      </c>
      <c r="N2" s="2">
        <v>37</v>
      </c>
      <c r="O2" s="2">
        <v>113.1181</v>
      </c>
      <c r="P2" s="2">
        <v>35</v>
      </c>
      <c r="Q2" s="2">
        <v>88.812899999999999</v>
      </c>
      <c r="R2" s="2">
        <v>2</v>
      </c>
      <c r="S2" s="2">
        <v>86.900400000000005</v>
      </c>
      <c r="T2" s="2">
        <v>1</v>
      </c>
      <c r="U2" s="2">
        <v>0.95400799999999997</v>
      </c>
      <c r="V2" s="2">
        <v>1</v>
      </c>
      <c r="W2" s="2">
        <v>2014</v>
      </c>
    </row>
    <row r="3" spans="1:23" ht="12.3" x14ac:dyDescent="0.4">
      <c r="A3" s="2" t="s">
        <v>86</v>
      </c>
      <c r="B3" s="2">
        <v>4</v>
      </c>
      <c r="C3" s="4" t="s">
        <v>33</v>
      </c>
      <c r="D3" s="4" t="s">
        <v>33</v>
      </c>
      <c r="E3" s="2"/>
      <c r="F3" s="2"/>
      <c r="G3" s="2"/>
      <c r="H3" s="2"/>
      <c r="I3" s="2">
        <v>69.148899999999998</v>
      </c>
      <c r="J3" s="2">
        <v>63</v>
      </c>
      <c r="K3" s="2">
        <v>68.9392</v>
      </c>
      <c r="L3" s="2">
        <v>58</v>
      </c>
      <c r="M3" s="2">
        <v>118.6927</v>
      </c>
      <c r="N3" s="2">
        <v>3</v>
      </c>
      <c r="O3" s="2">
        <v>117.3621</v>
      </c>
      <c r="P3" s="2">
        <v>10</v>
      </c>
      <c r="Q3" s="2">
        <v>88.088899999999995</v>
      </c>
      <c r="R3" s="2">
        <v>1</v>
      </c>
      <c r="S3" s="2">
        <v>90.595500000000001</v>
      </c>
      <c r="T3" s="2">
        <v>6</v>
      </c>
      <c r="U3" s="2">
        <v>0.951519</v>
      </c>
      <c r="V3" s="2">
        <v>2</v>
      </c>
      <c r="W3" s="2">
        <v>2014</v>
      </c>
    </row>
    <row r="4" spans="1:23" ht="12.3" x14ac:dyDescent="0.4">
      <c r="A4" s="2" t="s">
        <v>37</v>
      </c>
      <c r="B4" s="2">
        <v>1</v>
      </c>
      <c r="C4" s="4" t="s">
        <v>33</v>
      </c>
      <c r="D4" s="4" t="s">
        <v>33</v>
      </c>
      <c r="E4" s="4" t="s">
        <v>33</v>
      </c>
      <c r="F4" s="4" t="s">
        <v>33</v>
      </c>
      <c r="G4" s="2"/>
      <c r="H4" s="2"/>
      <c r="I4" s="2">
        <v>63.069400000000002</v>
      </c>
      <c r="J4" s="2">
        <v>325</v>
      </c>
      <c r="K4" s="2">
        <v>63.179600000000001</v>
      </c>
      <c r="L4" s="2">
        <v>316</v>
      </c>
      <c r="M4" s="2">
        <v>111.6412</v>
      </c>
      <c r="N4" s="2">
        <v>46</v>
      </c>
      <c r="O4" s="2">
        <v>115.753</v>
      </c>
      <c r="P4" s="2">
        <v>17</v>
      </c>
      <c r="Q4" s="2">
        <v>91.525800000000004</v>
      </c>
      <c r="R4" s="2">
        <v>10</v>
      </c>
      <c r="S4" s="2">
        <v>89.994299999999996</v>
      </c>
      <c r="T4" s="2">
        <v>5</v>
      </c>
      <c r="U4" s="2">
        <v>0.94758399999999998</v>
      </c>
      <c r="V4" s="2">
        <v>3</v>
      </c>
      <c r="W4" s="2">
        <v>2014</v>
      </c>
    </row>
    <row r="5" spans="1:23" ht="12.3" x14ac:dyDescent="0.4">
      <c r="A5" s="2" t="s">
        <v>87</v>
      </c>
      <c r="B5" s="2">
        <v>1</v>
      </c>
      <c r="C5" s="4" t="s">
        <v>33</v>
      </c>
      <c r="D5" s="4" t="s">
        <v>33</v>
      </c>
      <c r="E5" s="2"/>
      <c r="F5" s="2"/>
      <c r="G5" s="2"/>
      <c r="H5" s="2"/>
      <c r="I5" s="2">
        <v>60.501100000000001</v>
      </c>
      <c r="J5" s="2">
        <v>346</v>
      </c>
      <c r="K5" s="2">
        <v>60.966299999999997</v>
      </c>
      <c r="L5" s="2">
        <v>345</v>
      </c>
      <c r="M5" s="2">
        <v>108.67140000000001</v>
      </c>
      <c r="N5" s="2">
        <v>80</v>
      </c>
      <c r="O5" s="2">
        <v>113.9682</v>
      </c>
      <c r="P5" s="2">
        <v>25</v>
      </c>
      <c r="Q5" s="2">
        <v>91.097399999999993</v>
      </c>
      <c r="R5" s="2">
        <v>6</v>
      </c>
      <c r="S5" s="2">
        <v>89.458100000000002</v>
      </c>
      <c r="T5" s="2">
        <v>3</v>
      </c>
      <c r="U5" s="2">
        <v>0.94184400000000001</v>
      </c>
      <c r="V5" s="2">
        <v>4</v>
      </c>
      <c r="W5" s="2">
        <v>2014</v>
      </c>
    </row>
    <row r="6" spans="1:23" ht="12.3" x14ac:dyDescent="0.4">
      <c r="A6" s="2" t="s">
        <v>192</v>
      </c>
      <c r="B6" s="2">
        <v>1</v>
      </c>
      <c r="C6" s="4" t="s">
        <v>33</v>
      </c>
      <c r="D6" s="2"/>
      <c r="E6" s="2"/>
      <c r="F6" s="2"/>
      <c r="G6" s="2"/>
      <c r="H6" s="2"/>
      <c r="I6" s="2">
        <v>64.4923</v>
      </c>
      <c r="J6" s="2">
        <v>276</v>
      </c>
      <c r="K6" s="2">
        <v>65.020200000000003</v>
      </c>
      <c r="L6" s="2">
        <v>245</v>
      </c>
      <c r="M6" s="2">
        <v>115.962</v>
      </c>
      <c r="N6" s="2">
        <v>9</v>
      </c>
      <c r="O6" s="2">
        <v>117.733</v>
      </c>
      <c r="P6" s="2">
        <v>8</v>
      </c>
      <c r="Q6" s="2">
        <v>92.409400000000005</v>
      </c>
      <c r="R6" s="2">
        <v>12</v>
      </c>
      <c r="S6" s="2">
        <v>92.69</v>
      </c>
      <c r="T6" s="2">
        <v>10</v>
      </c>
      <c r="U6" s="2">
        <v>0.93993199999999999</v>
      </c>
      <c r="V6" s="2">
        <v>5</v>
      </c>
      <c r="W6" s="2">
        <v>2014</v>
      </c>
    </row>
    <row r="7" spans="1:23" ht="12.3" x14ac:dyDescent="0.4">
      <c r="A7" s="2" t="s">
        <v>78</v>
      </c>
      <c r="B7" s="2">
        <v>2</v>
      </c>
      <c r="C7" s="4" t="s">
        <v>33</v>
      </c>
      <c r="D7" s="2"/>
      <c r="E7" s="2"/>
      <c r="F7" s="2"/>
      <c r="G7" s="2"/>
      <c r="H7" s="2"/>
      <c r="I7" s="2">
        <v>67.5107</v>
      </c>
      <c r="J7" s="2">
        <v>125</v>
      </c>
      <c r="K7" s="2">
        <v>67.148399999999995</v>
      </c>
      <c r="L7" s="2">
        <v>132</v>
      </c>
      <c r="M7" s="2">
        <v>114.1827</v>
      </c>
      <c r="N7" s="2">
        <v>18</v>
      </c>
      <c r="O7" s="2">
        <v>115.84480000000001</v>
      </c>
      <c r="P7" s="2">
        <v>16</v>
      </c>
      <c r="Q7" s="2">
        <v>96.731800000000007</v>
      </c>
      <c r="R7" s="2">
        <v>27</v>
      </c>
      <c r="S7" s="2">
        <v>93.724900000000005</v>
      </c>
      <c r="T7" s="2">
        <v>14</v>
      </c>
      <c r="U7" s="2">
        <v>0.91958399999999996</v>
      </c>
      <c r="V7" s="2">
        <v>6</v>
      </c>
      <c r="W7" s="2">
        <v>2014</v>
      </c>
    </row>
    <row r="8" spans="1:23" ht="12.3" x14ac:dyDescent="0.4">
      <c r="A8" s="2" t="s">
        <v>32</v>
      </c>
      <c r="B8" s="2">
        <v>3</v>
      </c>
      <c r="C8" s="2"/>
      <c r="D8" s="2"/>
      <c r="E8" s="2"/>
      <c r="F8" s="2"/>
      <c r="G8" s="2"/>
      <c r="H8" s="2"/>
      <c r="I8" s="2">
        <v>65.403999999999996</v>
      </c>
      <c r="J8" s="2">
        <v>230</v>
      </c>
      <c r="K8" s="2">
        <v>66.016099999999994</v>
      </c>
      <c r="L8" s="2">
        <v>196</v>
      </c>
      <c r="M8" s="2">
        <v>119.9164</v>
      </c>
      <c r="N8" s="2">
        <v>2</v>
      </c>
      <c r="O8" s="2">
        <v>124.3884</v>
      </c>
      <c r="P8" s="2">
        <v>2</v>
      </c>
      <c r="Q8" s="2">
        <v>102.42910000000001</v>
      </c>
      <c r="R8" s="2">
        <v>111</v>
      </c>
      <c r="S8" s="2">
        <v>101.43259999999999</v>
      </c>
      <c r="T8" s="2">
        <v>102</v>
      </c>
      <c r="U8" s="2">
        <v>0.91262900000000002</v>
      </c>
      <c r="V8" s="2">
        <v>7</v>
      </c>
      <c r="W8" s="2">
        <v>2014</v>
      </c>
    </row>
    <row r="9" spans="1:23" ht="12.3" x14ac:dyDescent="0.4">
      <c r="A9" s="2" t="s">
        <v>90</v>
      </c>
      <c r="B9" s="2">
        <v>3</v>
      </c>
      <c r="C9" s="4" t="s">
        <v>33</v>
      </c>
      <c r="D9" s="2"/>
      <c r="E9" s="2"/>
      <c r="F9" s="2"/>
      <c r="G9" s="2"/>
      <c r="H9" s="2"/>
      <c r="I9" s="2">
        <v>65.492800000000003</v>
      </c>
      <c r="J9" s="2">
        <v>226</v>
      </c>
      <c r="K9" s="2">
        <v>65.133499999999998</v>
      </c>
      <c r="L9" s="2">
        <v>241</v>
      </c>
      <c r="M9" s="2">
        <v>121.4365</v>
      </c>
      <c r="N9" s="2">
        <v>1</v>
      </c>
      <c r="O9" s="2">
        <v>125.6888</v>
      </c>
      <c r="P9" s="2">
        <v>1</v>
      </c>
      <c r="Q9" s="2">
        <v>103.33499999999999</v>
      </c>
      <c r="R9" s="2">
        <v>131</v>
      </c>
      <c r="S9" s="2">
        <v>102.5492</v>
      </c>
      <c r="T9" s="2">
        <v>126</v>
      </c>
      <c r="U9" s="2">
        <v>0.91212499999999996</v>
      </c>
      <c r="V9" s="2">
        <v>8</v>
      </c>
      <c r="W9" s="2">
        <v>2014</v>
      </c>
    </row>
    <row r="10" spans="1:23" ht="12.3" x14ac:dyDescent="0.4">
      <c r="A10" s="2" t="s">
        <v>35</v>
      </c>
      <c r="B10" s="2">
        <v>2</v>
      </c>
      <c r="C10" s="4" t="s">
        <v>33</v>
      </c>
      <c r="D10" s="2"/>
      <c r="E10" s="2"/>
      <c r="F10" s="2"/>
      <c r="G10" s="2"/>
      <c r="H10" s="2"/>
      <c r="I10" s="2">
        <v>68.748699999999999</v>
      </c>
      <c r="J10" s="2">
        <v>73</v>
      </c>
      <c r="K10" s="2">
        <v>68.212999999999994</v>
      </c>
      <c r="L10" s="2">
        <v>81</v>
      </c>
      <c r="M10" s="2">
        <v>115.1071</v>
      </c>
      <c r="N10" s="2">
        <v>13</v>
      </c>
      <c r="O10" s="2">
        <v>118.5993</v>
      </c>
      <c r="P10" s="2">
        <v>6</v>
      </c>
      <c r="Q10" s="2">
        <v>101.6079</v>
      </c>
      <c r="R10" s="2">
        <v>100</v>
      </c>
      <c r="S10" s="2">
        <v>96.899000000000001</v>
      </c>
      <c r="T10" s="2">
        <v>45</v>
      </c>
      <c r="U10" s="2">
        <v>0.91083999999999998</v>
      </c>
      <c r="V10" s="2">
        <v>9</v>
      </c>
      <c r="W10" s="2">
        <v>2014</v>
      </c>
    </row>
    <row r="11" spans="1:23" ht="12.3" x14ac:dyDescent="0.4">
      <c r="A11" s="2" t="s">
        <v>58</v>
      </c>
      <c r="B11" s="2">
        <v>4</v>
      </c>
      <c r="C11" s="4" t="s">
        <v>33</v>
      </c>
      <c r="D11" s="4" t="s">
        <v>33</v>
      </c>
      <c r="E11" s="4" t="s">
        <v>33</v>
      </c>
      <c r="F11" s="2"/>
      <c r="G11" s="2"/>
      <c r="H11" s="2"/>
      <c r="I11" s="2">
        <v>66.066999999999993</v>
      </c>
      <c r="J11" s="2">
        <v>200</v>
      </c>
      <c r="K11" s="2">
        <v>65.619100000000003</v>
      </c>
      <c r="L11" s="2">
        <v>214</v>
      </c>
      <c r="M11" s="2">
        <v>113.38639999999999</v>
      </c>
      <c r="N11" s="2">
        <v>24</v>
      </c>
      <c r="O11" s="2">
        <v>117.2647</v>
      </c>
      <c r="P11" s="2">
        <v>11</v>
      </c>
      <c r="Q11" s="2">
        <v>97.999300000000005</v>
      </c>
      <c r="R11" s="2">
        <v>45</v>
      </c>
      <c r="S11" s="2">
        <v>96.511899999999997</v>
      </c>
      <c r="T11" s="2">
        <v>39</v>
      </c>
      <c r="U11" s="2">
        <v>0.90376900000000004</v>
      </c>
      <c r="V11" s="2">
        <v>10</v>
      </c>
      <c r="W11" s="2">
        <v>2014</v>
      </c>
    </row>
    <row r="12" spans="1:23" ht="12.3" x14ac:dyDescent="0.4">
      <c r="A12" s="2" t="s">
        <v>76</v>
      </c>
      <c r="B12" s="2">
        <v>2</v>
      </c>
      <c r="C12" s="4" t="s">
        <v>33</v>
      </c>
      <c r="D12" s="4" t="s">
        <v>33</v>
      </c>
      <c r="E12" s="4" t="s">
        <v>33</v>
      </c>
      <c r="F12" s="4" t="s">
        <v>33</v>
      </c>
      <c r="G12" s="2"/>
      <c r="H12" s="2"/>
      <c r="I12" s="2">
        <v>63.820099999999996</v>
      </c>
      <c r="J12" s="2">
        <v>297</v>
      </c>
      <c r="K12" s="2">
        <v>64.356099999999998</v>
      </c>
      <c r="L12" s="2">
        <v>275</v>
      </c>
      <c r="M12" s="2">
        <v>115.2419</v>
      </c>
      <c r="N12" s="2">
        <v>12</v>
      </c>
      <c r="O12" s="2">
        <v>119.4575</v>
      </c>
      <c r="P12" s="2">
        <v>5</v>
      </c>
      <c r="Q12" s="2">
        <v>101.0851</v>
      </c>
      <c r="R12" s="2">
        <v>96</v>
      </c>
      <c r="S12" s="2">
        <v>98.677599999999998</v>
      </c>
      <c r="T12" s="2">
        <v>59</v>
      </c>
      <c r="U12" s="2">
        <v>0.90004099999999998</v>
      </c>
      <c r="V12" s="2">
        <v>11</v>
      </c>
      <c r="W12" s="2">
        <v>2014</v>
      </c>
    </row>
    <row r="13" spans="1:23" ht="12.3" x14ac:dyDescent="0.4">
      <c r="A13" s="2" t="s">
        <v>137</v>
      </c>
      <c r="B13" s="2">
        <v>5</v>
      </c>
      <c r="C13" s="2"/>
      <c r="D13" s="2"/>
      <c r="E13" s="2"/>
      <c r="F13" s="2"/>
      <c r="G13" s="2"/>
      <c r="H13" s="2"/>
      <c r="I13" s="2">
        <v>70.567099999999996</v>
      </c>
      <c r="J13" s="2">
        <v>27</v>
      </c>
      <c r="K13" s="2">
        <v>70.643799999999999</v>
      </c>
      <c r="L13" s="2">
        <v>21</v>
      </c>
      <c r="M13" s="2">
        <v>105.33540000000001</v>
      </c>
      <c r="N13" s="2">
        <v>161</v>
      </c>
      <c r="O13" s="2">
        <v>107.895</v>
      </c>
      <c r="P13" s="2">
        <v>106</v>
      </c>
      <c r="Q13" s="2">
        <v>90.850499999999997</v>
      </c>
      <c r="R13" s="2">
        <v>4</v>
      </c>
      <c r="S13" s="2">
        <v>89.366100000000003</v>
      </c>
      <c r="T13" s="2">
        <v>2</v>
      </c>
      <c r="U13" s="2">
        <v>0.89722800000000003</v>
      </c>
      <c r="V13" s="2">
        <v>12</v>
      </c>
      <c r="W13" s="2">
        <v>2014</v>
      </c>
    </row>
    <row r="14" spans="1:23" ht="12.3" x14ac:dyDescent="0.4">
      <c r="A14" s="2" t="s">
        <v>81</v>
      </c>
      <c r="B14" s="2">
        <v>11</v>
      </c>
      <c r="C14" s="4" t="s">
        <v>33</v>
      </c>
      <c r="D14" s="4" t="s">
        <v>33</v>
      </c>
      <c r="E14" s="2"/>
      <c r="F14" s="2"/>
      <c r="G14" s="2"/>
      <c r="H14" s="2"/>
      <c r="I14" s="2">
        <v>62.935000000000002</v>
      </c>
      <c r="J14" s="2">
        <v>328</v>
      </c>
      <c r="K14" s="2">
        <v>63.313400000000001</v>
      </c>
      <c r="L14" s="2">
        <v>312</v>
      </c>
      <c r="M14" s="2">
        <v>111.6884</v>
      </c>
      <c r="N14" s="2">
        <v>44</v>
      </c>
      <c r="O14" s="2">
        <v>113.5177</v>
      </c>
      <c r="P14" s="2">
        <v>29</v>
      </c>
      <c r="Q14" s="2">
        <v>97.049499999999995</v>
      </c>
      <c r="R14" s="2">
        <v>31</v>
      </c>
      <c r="S14" s="2">
        <v>94.061199999999999</v>
      </c>
      <c r="T14" s="2">
        <v>16</v>
      </c>
      <c r="U14" s="2">
        <v>0.89680000000000004</v>
      </c>
      <c r="V14" s="2">
        <v>13</v>
      </c>
      <c r="W14" s="2">
        <v>2014</v>
      </c>
    </row>
    <row r="15" spans="1:23" ht="12.3" x14ac:dyDescent="0.4">
      <c r="A15" s="2" t="s">
        <v>154</v>
      </c>
      <c r="B15" s="2">
        <v>2</v>
      </c>
      <c r="C15" s="4" t="s">
        <v>33</v>
      </c>
      <c r="D15" s="4" t="s">
        <v>33</v>
      </c>
      <c r="E15" s="4" t="s">
        <v>33</v>
      </c>
      <c r="F15" s="2"/>
      <c r="G15" s="2"/>
      <c r="H15" s="2"/>
      <c r="I15" s="2">
        <v>63.059399999999997</v>
      </c>
      <c r="J15" s="2">
        <v>326</v>
      </c>
      <c r="K15" s="2">
        <v>62.821100000000001</v>
      </c>
      <c r="L15" s="2">
        <v>327</v>
      </c>
      <c r="M15" s="2">
        <v>117.1425</v>
      </c>
      <c r="N15" s="2">
        <v>5</v>
      </c>
      <c r="O15" s="2">
        <v>122.2637</v>
      </c>
      <c r="P15" s="2">
        <v>3</v>
      </c>
      <c r="Q15" s="2">
        <v>103.02379999999999</v>
      </c>
      <c r="R15" s="2">
        <v>121</v>
      </c>
      <c r="S15" s="2">
        <v>101.6228</v>
      </c>
      <c r="T15" s="2">
        <v>104</v>
      </c>
      <c r="U15" s="2">
        <v>0.89345200000000002</v>
      </c>
      <c r="V15" s="2">
        <v>14</v>
      </c>
      <c r="W15" s="2">
        <v>2014</v>
      </c>
    </row>
    <row r="16" spans="1:23" ht="12.3" x14ac:dyDescent="0.4">
      <c r="A16" s="2" t="s">
        <v>23</v>
      </c>
      <c r="B16" s="2">
        <v>3</v>
      </c>
      <c r="C16" s="4" t="s">
        <v>33</v>
      </c>
      <c r="D16" s="2"/>
      <c r="E16" s="2"/>
      <c r="F16" s="2"/>
      <c r="G16" s="2"/>
      <c r="H16" s="2"/>
      <c r="I16" s="2">
        <v>60.447099999999999</v>
      </c>
      <c r="J16" s="2">
        <v>347</v>
      </c>
      <c r="K16" s="2">
        <v>61.332099999999997</v>
      </c>
      <c r="L16" s="2">
        <v>343</v>
      </c>
      <c r="M16" s="2">
        <v>111.7167</v>
      </c>
      <c r="N16" s="2">
        <v>43</v>
      </c>
      <c r="O16" s="2">
        <v>113.22410000000001</v>
      </c>
      <c r="P16" s="2">
        <v>34</v>
      </c>
      <c r="Q16" s="2">
        <v>97.7423</v>
      </c>
      <c r="R16" s="2">
        <v>41</v>
      </c>
      <c r="S16" s="2">
        <v>94.1875</v>
      </c>
      <c r="T16" s="2">
        <v>18</v>
      </c>
      <c r="U16" s="2">
        <v>0.89253800000000005</v>
      </c>
      <c r="V16" s="2">
        <v>15</v>
      </c>
      <c r="W16" s="2">
        <v>2014</v>
      </c>
    </row>
    <row r="17" spans="1:23" ht="12.3" x14ac:dyDescent="0.4">
      <c r="A17" s="2" t="s">
        <v>65</v>
      </c>
      <c r="B17" s="2">
        <v>4</v>
      </c>
      <c r="C17" s="4" t="s">
        <v>33</v>
      </c>
      <c r="D17" s="4" t="s">
        <v>33</v>
      </c>
      <c r="E17" s="2"/>
      <c r="F17" s="2"/>
      <c r="G17" s="2"/>
      <c r="H17" s="2"/>
      <c r="I17" s="2">
        <v>70.405100000000004</v>
      </c>
      <c r="J17" s="2">
        <v>34</v>
      </c>
      <c r="K17" s="2">
        <v>70.0548</v>
      </c>
      <c r="L17" s="2">
        <v>32</v>
      </c>
      <c r="M17" s="2">
        <v>115.4258</v>
      </c>
      <c r="N17" s="2">
        <v>11</v>
      </c>
      <c r="O17" s="2">
        <v>116.7863</v>
      </c>
      <c r="P17" s="2">
        <v>14</v>
      </c>
      <c r="Q17" s="2">
        <v>99.958799999999997</v>
      </c>
      <c r="R17" s="2">
        <v>74</v>
      </c>
      <c r="S17" s="2">
        <v>97.504599999999996</v>
      </c>
      <c r="T17" s="2">
        <v>49</v>
      </c>
      <c r="U17" s="2">
        <v>0.88846199999999997</v>
      </c>
      <c r="V17" s="2">
        <v>16</v>
      </c>
      <c r="W17" s="2">
        <v>2014</v>
      </c>
    </row>
    <row r="18" spans="1:23" ht="12.3" x14ac:dyDescent="0.4">
      <c r="A18" s="2" t="s">
        <v>45</v>
      </c>
      <c r="B18" s="2">
        <v>8</v>
      </c>
      <c r="C18" s="4" t="s">
        <v>33</v>
      </c>
      <c r="D18" s="4" t="s">
        <v>33</v>
      </c>
      <c r="E18" s="4" t="s">
        <v>33</v>
      </c>
      <c r="F18" s="4" t="s">
        <v>33</v>
      </c>
      <c r="G18" s="4" t="s">
        <v>33</v>
      </c>
      <c r="H18" s="2"/>
      <c r="I18" s="2">
        <v>66.825299999999999</v>
      </c>
      <c r="J18" s="2">
        <v>156</v>
      </c>
      <c r="K18" s="2">
        <v>66.044499999999999</v>
      </c>
      <c r="L18" s="2">
        <v>195</v>
      </c>
      <c r="M18" s="2">
        <v>112.29989999999999</v>
      </c>
      <c r="N18" s="2">
        <v>36</v>
      </c>
      <c r="O18" s="2">
        <v>114.94280000000001</v>
      </c>
      <c r="P18" s="2">
        <v>19</v>
      </c>
      <c r="Q18" s="2">
        <v>98.739199999999997</v>
      </c>
      <c r="R18" s="2">
        <v>57</v>
      </c>
      <c r="S18" s="2">
        <v>96.303100000000001</v>
      </c>
      <c r="T18" s="2">
        <v>35</v>
      </c>
      <c r="U18" s="2">
        <v>0.88439699999999999</v>
      </c>
      <c r="V18" s="2">
        <v>17</v>
      </c>
      <c r="W18" s="2">
        <v>2014</v>
      </c>
    </row>
    <row r="19" spans="1:23" ht="12.3" x14ac:dyDescent="0.4">
      <c r="A19" s="2" t="s">
        <v>46</v>
      </c>
      <c r="B19" s="2">
        <v>9</v>
      </c>
      <c r="C19" s="4" t="s">
        <v>33</v>
      </c>
      <c r="D19" s="2"/>
      <c r="E19" s="2"/>
      <c r="F19" s="2"/>
      <c r="G19" s="2"/>
      <c r="H19" s="2"/>
      <c r="I19" s="2">
        <v>62.901899999999998</v>
      </c>
      <c r="J19" s="2">
        <v>329</v>
      </c>
      <c r="K19" s="2">
        <v>63.969499999999996</v>
      </c>
      <c r="L19" s="2">
        <v>291</v>
      </c>
      <c r="M19" s="2">
        <v>112.8605</v>
      </c>
      <c r="N19" s="2">
        <v>28</v>
      </c>
      <c r="O19" s="2">
        <v>115.09099999999999</v>
      </c>
      <c r="P19" s="2">
        <v>18</v>
      </c>
      <c r="Q19" s="2">
        <v>97.504499999999993</v>
      </c>
      <c r="R19" s="2">
        <v>38</v>
      </c>
      <c r="S19" s="2">
        <v>96.455200000000005</v>
      </c>
      <c r="T19" s="2">
        <v>37</v>
      </c>
      <c r="U19" s="2">
        <v>0.88405599999999995</v>
      </c>
      <c r="V19" s="2">
        <v>18</v>
      </c>
      <c r="W19" s="2">
        <v>2014</v>
      </c>
    </row>
    <row r="20" spans="1:23" ht="12.3" x14ac:dyDescent="0.4">
      <c r="A20" s="2" t="s">
        <v>21</v>
      </c>
      <c r="B20" s="2">
        <v>6</v>
      </c>
      <c r="C20" s="2"/>
      <c r="D20" s="2"/>
      <c r="E20" s="2"/>
      <c r="F20" s="2"/>
      <c r="G20" s="2"/>
      <c r="H20" s="2"/>
      <c r="I20" s="2">
        <v>65.025199999999998</v>
      </c>
      <c r="J20" s="2">
        <v>249</v>
      </c>
      <c r="K20" s="2">
        <v>65.403000000000006</v>
      </c>
      <c r="L20" s="2">
        <v>224</v>
      </c>
      <c r="M20" s="2">
        <v>106.6784</v>
      </c>
      <c r="N20" s="2">
        <v>128</v>
      </c>
      <c r="O20" s="2">
        <v>107.1348</v>
      </c>
      <c r="P20" s="2">
        <v>122</v>
      </c>
      <c r="Q20" s="2">
        <v>91.108099999999993</v>
      </c>
      <c r="R20" s="2">
        <v>8</v>
      </c>
      <c r="S20" s="2">
        <v>89.884600000000006</v>
      </c>
      <c r="T20" s="2">
        <v>4</v>
      </c>
      <c r="U20" s="2">
        <v>0.88277300000000003</v>
      </c>
      <c r="V20" s="2">
        <v>19</v>
      </c>
      <c r="W20" s="2">
        <v>2014</v>
      </c>
    </row>
    <row r="21" spans="1:23" ht="12.3" x14ac:dyDescent="0.4">
      <c r="A21" s="2" t="s">
        <v>47</v>
      </c>
      <c r="B21" s="2">
        <v>8</v>
      </c>
      <c r="C21" s="4" t="s">
        <v>33</v>
      </c>
      <c r="D21" s="2"/>
      <c r="E21" s="2"/>
      <c r="F21" s="2"/>
      <c r="G21" s="2"/>
      <c r="H21" s="2"/>
      <c r="I21" s="2">
        <v>66.503</v>
      </c>
      <c r="J21" s="2">
        <v>171</v>
      </c>
      <c r="K21" s="2">
        <v>66.134699999999995</v>
      </c>
      <c r="L21" s="2">
        <v>189</v>
      </c>
      <c r="M21" s="2">
        <v>113.90479999999999</v>
      </c>
      <c r="N21" s="2">
        <v>20</v>
      </c>
      <c r="O21" s="2">
        <v>111.4871</v>
      </c>
      <c r="P21" s="2">
        <v>49</v>
      </c>
      <c r="Q21" s="2">
        <v>97.0929</v>
      </c>
      <c r="R21" s="2">
        <v>32</v>
      </c>
      <c r="S21" s="2">
        <v>93.718900000000005</v>
      </c>
      <c r="T21" s="2">
        <v>13</v>
      </c>
      <c r="U21" s="2">
        <v>0.88043000000000005</v>
      </c>
      <c r="V21" s="2">
        <v>20</v>
      </c>
      <c r="W21" s="2">
        <v>2014</v>
      </c>
    </row>
    <row r="22" spans="1:23" ht="12.3" x14ac:dyDescent="0.4">
      <c r="A22" s="2" t="s">
        <v>97</v>
      </c>
      <c r="B22" s="2">
        <v>4</v>
      </c>
      <c r="C22" s="4" t="s">
        <v>33</v>
      </c>
      <c r="D22" s="4" t="s">
        <v>33</v>
      </c>
      <c r="E22" s="2"/>
      <c r="F22" s="2"/>
      <c r="G22" s="2"/>
      <c r="H22" s="2"/>
      <c r="I22" s="2">
        <v>63.668100000000003</v>
      </c>
      <c r="J22" s="2">
        <v>302</v>
      </c>
      <c r="K22" s="2">
        <v>64.057699999999997</v>
      </c>
      <c r="L22" s="2">
        <v>285</v>
      </c>
      <c r="M22" s="2">
        <v>106.9316</v>
      </c>
      <c r="N22" s="2">
        <v>122</v>
      </c>
      <c r="O22" s="2">
        <v>108.01560000000001</v>
      </c>
      <c r="P22" s="2">
        <v>103</v>
      </c>
      <c r="Q22" s="2">
        <v>90.8125</v>
      </c>
      <c r="R22" s="2">
        <v>3</v>
      </c>
      <c r="S22" s="2">
        <v>90.926500000000004</v>
      </c>
      <c r="T22" s="2">
        <v>7</v>
      </c>
      <c r="U22" s="2">
        <v>0.87874200000000002</v>
      </c>
      <c r="V22" s="2">
        <v>21</v>
      </c>
      <c r="W22" s="2">
        <v>2014</v>
      </c>
    </row>
    <row r="23" spans="1:23" ht="12.3" hidden="1" x14ac:dyDescent="0.4">
      <c r="A23" s="2" t="s">
        <v>17</v>
      </c>
      <c r="B23" s="2"/>
      <c r="C23" s="2"/>
      <c r="D23" s="2"/>
      <c r="E23" s="2"/>
      <c r="F23" s="2"/>
      <c r="G23" s="2"/>
      <c r="H23" s="2"/>
      <c r="I23" s="2">
        <v>66.864500000000007</v>
      </c>
      <c r="J23" s="2">
        <v>257</v>
      </c>
      <c r="K23" s="2">
        <v>66.260599999999997</v>
      </c>
      <c r="L23" s="2">
        <v>276</v>
      </c>
      <c r="M23" s="2">
        <v>100.5385</v>
      </c>
      <c r="N23" s="2">
        <v>165</v>
      </c>
      <c r="O23" s="2">
        <v>103.5962</v>
      </c>
      <c r="P23" s="2">
        <v>111</v>
      </c>
      <c r="Q23" s="2">
        <v>91.556399999999996</v>
      </c>
      <c r="R23" s="2">
        <v>10</v>
      </c>
      <c r="S23" s="2">
        <v>87.636099999999999</v>
      </c>
      <c r="T23" s="2">
        <v>1</v>
      </c>
      <c r="U23" s="2">
        <v>0.87258800000000003</v>
      </c>
      <c r="V23" s="2">
        <v>22</v>
      </c>
      <c r="W23" s="2">
        <v>2002</v>
      </c>
    </row>
    <row r="24" spans="1:23" ht="12.3" x14ac:dyDescent="0.4">
      <c r="A24" s="2" t="s">
        <v>72</v>
      </c>
      <c r="B24" s="2">
        <v>9</v>
      </c>
      <c r="C24" s="2"/>
      <c r="D24" s="2"/>
      <c r="E24" s="2"/>
      <c r="F24" s="2"/>
      <c r="G24" s="2"/>
      <c r="H24" s="2"/>
      <c r="I24" s="2">
        <v>69.436199999999999</v>
      </c>
      <c r="J24" s="2">
        <v>51</v>
      </c>
      <c r="K24" s="2">
        <v>68.496499999999997</v>
      </c>
      <c r="L24" s="2">
        <v>72</v>
      </c>
      <c r="M24" s="2">
        <v>113.29519999999999</v>
      </c>
      <c r="N24" s="2">
        <v>26</v>
      </c>
      <c r="O24" s="2">
        <v>113.9907</v>
      </c>
      <c r="P24" s="2">
        <v>24</v>
      </c>
      <c r="Q24" s="2">
        <v>97.392399999999995</v>
      </c>
      <c r="R24" s="2">
        <v>36</v>
      </c>
      <c r="S24" s="2">
        <v>96.0137</v>
      </c>
      <c r="T24" s="2">
        <v>29</v>
      </c>
      <c r="U24" s="2">
        <v>0.87800800000000001</v>
      </c>
      <c r="V24" s="2">
        <v>22</v>
      </c>
      <c r="W24" s="2">
        <v>2014</v>
      </c>
    </row>
    <row r="25" spans="1:23" ht="12.3" x14ac:dyDescent="0.4">
      <c r="A25" s="2" t="s">
        <v>146</v>
      </c>
      <c r="B25" s="2">
        <v>3</v>
      </c>
      <c r="C25" s="4" t="s">
        <v>33</v>
      </c>
      <c r="D25" s="4" t="s">
        <v>33</v>
      </c>
      <c r="E25" s="2"/>
      <c r="F25" s="2"/>
      <c r="G25" s="2"/>
      <c r="H25" s="2"/>
      <c r="I25" s="2">
        <v>71.953000000000003</v>
      </c>
      <c r="J25" s="2">
        <v>12</v>
      </c>
      <c r="K25" s="2">
        <v>71.661100000000005</v>
      </c>
      <c r="L25" s="2">
        <v>13</v>
      </c>
      <c r="M25" s="2">
        <v>113.4576</v>
      </c>
      <c r="N25" s="2">
        <v>23</v>
      </c>
      <c r="O25" s="2">
        <v>115.92189999999999</v>
      </c>
      <c r="P25" s="2">
        <v>15</v>
      </c>
      <c r="Q25" s="2">
        <v>100.9743</v>
      </c>
      <c r="R25" s="2">
        <v>92</v>
      </c>
      <c r="S25" s="2">
        <v>97.816299999999998</v>
      </c>
      <c r="T25" s="2">
        <v>54</v>
      </c>
      <c r="U25" s="2">
        <v>0.87577300000000002</v>
      </c>
      <c r="V25" s="2">
        <v>23</v>
      </c>
      <c r="W25" s="2">
        <v>2014</v>
      </c>
    </row>
    <row r="26" spans="1:23" ht="12.3" x14ac:dyDescent="0.4">
      <c r="A26" s="2" t="s">
        <v>34</v>
      </c>
      <c r="B26" s="2">
        <v>5</v>
      </c>
      <c r="C26" s="2"/>
      <c r="D26" s="2"/>
      <c r="E26" s="2"/>
      <c r="F26" s="2"/>
      <c r="G26" s="2"/>
      <c r="H26" s="2"/>
      <c r="I26" s="2">
        <v>63.7057</v>
      </c>
      <c r="J26" s="2">
        <v>299</v>
      </c>
      <c r="K26" s="2">
        <v>63.159100000000002</v>
      </c>
      <c r="L26" s="2">
        <v>317</v>
      </c>
      <c r="M26" s="2">
        <v>107.3402</v>
      </c>
      <c r="N26" s="2">
        <v>107</v>
      </c>
      <c r="O26" s="2">
        <v>107.85639999999999</v>
      </c>
      <c r="P26" s="2">
        <v>109</v>
      </c>
      <c r="Q26" s="2">
        <v>91.921099999999996</v>
      </c>
      <c r="R26" s="2">
        <v>11</v>
      </c>
      <c r="S26" s="2">
        <v>91.418999999999997</v>
      </c>
      <c r="T26" s="2">
        <v>9</v>
      </c>
      <c r="U26" s="2">
        <v>0.870062</v>
      </c>
      <c r="V26" s="2">
        <v>24</v>
      </c>
      <c r="W26" s="2">
        <v>2014</v>
      </c>
    </row>
    <row r="27" spans="1:23" ht="12.3" x14ac:dyDescent="0.4">
      <c r="A27" s="2" t="s">
        <v>54</v>
      </c>
      <c r="B27" s="2">
        <v>7</v>
      </c>
      <c r="C27" s="4" t="s">
        <v>33</v>
      </c>
      <c r="D27" s="4" t="s">
        <v>33</v>
      </c>
      <c r="E27" s="4" t="s">
        <v>33</v>
      </c>
      <c r="F27" s="4" t="s">
        <v>33</v>
      </c>
      <c r="G27" s="4" t="s">
        <v>33</v>
      </c>
      <c r="H27" s="4" t="s">
        <v>33</v>
      </c>
      <c r="I27" s="2">
        <v>65.922899999999998</v>
      </c>
      <c r="J27" s="2">
        <v>207</v>
      </c>
      <c r="K27" s="2">
        <v>64.978899999999996</v>
      </c>
      <c r="L27" s="2">
        <v>247</v>
      </c>
      <c r="M27" s="2">
        <v>108.26909999999999</v>
      </c>
      <c r="N27" s="2">
        <v>85</v>
      </c>
      <c r="O27" s="2">
        <v>109.4778</v>
      </c>
      <c r="P27" s="2">
        <v>80</v>
      </c>
      <c r="Q27" s="2">
        <v>95.464399999999998</v>
      </c>
      <c r="R27" s="2">
        <v>20</v>
      </c>
      <c r="S27" s="2">
        <v>92.881500000000003</v>
      </c>
      <c r="T27" s="2">
        <v>11</v>
      </c>
      <c r="U27" s="2">
        <v>0.86882000000000004</v>
      </c>
      <c r="V27" s="2">
        <v>25</v>
      </c>
      <c r="W27" s="2">
        <v>2014</v>
      </c>
    </row>
    <row r="28" spans="1:23" ht="12.3" x14ac:dyDescent="0.4">
      <c r="A28" s="2" t="s">
        <v>168</v>
      </c>
      <c r="B28" s="2">
        <v>6</v>
      </c>
      <c r="C28" s="4" t="s">
        <v>33</v>
      </c>
      <c r="D28" s="2"/>
      <c r="E28" s="2"/>
      <c r="F28" s="2"/>
      <c r="G28" s="2"/>
      <c r="H28" s="2"/>
      <c r="I28" s="2">
        <v>69.974000000000004</v>
      </c>
      <c r="J28" s="2">
        <v>44</v>
      </c>
      <c r="K28" s="2">
        <v>70.942499999999995</v>
      </c>
      <c r="L28" s="2">
        <v>18</v>
      </c>
      <c r="M28" s="2">
        <v>107.95959999999999</v>
      </c>
      <c r="N28" s="2">
        <v>93</v>
      </c>
      <c r="O28" s="2">
        <v>111.0116</v>
      </c>
      <c r="P28" s="2">
        <v>58</v>
      </c>
      <c r="Q28" s="2">
        <v>97.887600000000006</v>
      </c>
      <c r="R28" s="2">
        <v>44</v>
      </c>
      <c r="S28" s="2">
        <v>94.489000000000004</v>
      </c>
      <c r="T28" s="2">
        <v>22</v>
      </c>
      <c r="U28" s="2">
        <v>0.86450800000000005</v>
      </c>
      <c r="V28" s="2">
        <v>26</v>
      </c>
      <c r="W28" s="2">
        <v>2014</v>
      </c>
    </row>
    <row r="29" spans="1:23" ht="12.3" x14ac:dyDescent="0.4">
      <c r="A29" s="2" t="s">
        <v>84</v>
      </c>
      <c r="B29" s="2">
        <v>11</v>
      </c>
      <c r="C29" s="2"/>
      <c r="D29" s="2"/>
      <c r="E29" s="2"/>
      <c r="F29" s="2"/>
      <c r="G29" s="2"/>
      <c r="H29" s="2"/>
      <c r="I29" s="2">
        <v>70.221599999999995</v>
      </c>
      <c r="J29" s="2">
        <v>37</v>
      </c>
      <c r="K29" s="2">
        <v>70.866399999999999</v>
      </c>
      <c r="L29" s="2">
        <v>19</v>
      </c>
      <c r="M29" s="2">
        <v>115.63160000000001</v>
      </c>
      <c r="N29" s="2">
        <v>10</v>
      </c>
      <c r="O29" s="2">
        <v>120.1418</v>
      </c>
      <c r="P29" s="2">
        <v>4</v>
      </c>
      <c r="Q29" s="2">
        <v>98.996600000000001</v>
      </c>
      <c r="R29" s="2">
        <v>60</v>
      </c>
      <c r="S29" s="2">
        <v>102.5341</v>
      </c>
      <c r="T29" s="2">
        <v>125</v>
      </c>
      <c r="U29" s="2">
        <v>0.86086399999999996</v>
      </c>
      <c r="V29" s="2">
        <v>27</v>
      </c>
      <c r="W29" s="2">
        <v>2014</v>
      </c>
    </row>
    <row r="30" spans="1:23" ht="12.3" hidden="1" x14ac:dyDescent="0.4">
      <c r="A30" s="2" t="s">
        <v>18</v>
      </c>
      <c r="B30" s="2"/>
      <c r="C30" s="2"/>
      <c r="D30" s="2"/>
      <c r="E30" s="2"/>
      <c r="F30" s="2"/>
      <c r="G30" s="2"/>
      <c r="H30" s="2"/>
      <c r="I30" s="2">
        <v>62.528199999999998</v>
      </c>
      <c r="J30" s="2">
        <v>318</v>
      </c>
      <c r="K30" s="2">
        <v>63.6569</v>
      </c>
      <c r="L30" s="2">
        <v>315</v>
      </c>
      <c r="M30" s="2">
        <v>110.9894</v>
      </c>
      <c r="N30" s="2">
        <v>18</v>
      </c>
      <c r="O30" s="2">
        <v>108.17919999999999</v>
      </c>
      <c r="P30" s="2">
        <v>54</v>
      </c>
      <c r="Q30" s="2">
        <v>90.414299999999997</v>
      </c>
      <c r="R30" s="2">
        <v>5</v>
      </c>
      <c r="S30" s="2">
        <v>93.208799999999997</v>
      </c>
      <c r="T30" s="2">
        <v>27</v>
      </c>
      <c r="U30" s="2">
        <v>0.84721000000000002</v>
      </c>
      <c r="V30" s="2">
        <v>29</v>
      </c>
      <c r="W30" s="2">
        <v>2002</v>
      </c>
    </row>
    <row r="31" spans="1:23" ht="12.3" x14ac:dyDescent="0.4">
      <c r="A31" s="2" t="s">
        <v>115</v>
      </c>
      <c r="B31" s="2">
        <v>7</v>
      </c>
      <c r="C31" s="2"/>
      <c r="D31" s="2"/>
      <c r="E31" s="2"/>
      <c r="F31" s="2"/>
      <c r="G31" s="2"/>
      <c r="H31" s="2"/>
      <c r="I31" s="2">
        <v>65.650199999999998</v>
      </c>
      <c r="J31" s="2">
        <v>219</v>
      </c>
      <c r="K31" s="2">
        <v>66.096400000000003</v>
      </c>
      <c r="L31" s="2">
        <v>192</v>
      </c>
      <c r="M31" s="2">
        <v>111.7988</v>
      </c>
      <c r="N31" s="2">
        <v>41</v>
      </c>
      <c r="O31" s="2">
        <v>112.7491</v>
      </c>
      <c r="P31" s="2">
        <v>38</v>
      </c>
      <c r="Q31" s="2">
        <v>99.343299999999999</v>
      </c>
      <c r="R31" s="2">
        <v>66</v>
      </c>
      <c r="S31" s="2">
        <v>96.492099999999994</v>
      </c>
      <c r="T31" s="2">
        <v>38</v>
      </c>
      <c r="U31" s="2">
        <v>0.85699999999999998</v>
      </c>
      <c r="V31" s="2">
        <v>28</v>
      </c>
      <c r="W31" s="2">
        <v>2014</v>
      </c>
    </row>
    <row r="32" spans="1:23" ht="12.3" x14ac:dyDescent="0.4">
      <c r="A32" s="2" t="s">
        <v>38</v>
      </c>
      <c r="B32" s="2">
        <v>5</v>
      </c>
      <c r="C32" s="2"/>
      <c r="D32" s="2"/>
      <c r="E32" s="2"/>
      <c r="F32" s="2"/>
      <c r="G32" s="2"/>
      <c r="H32" s="2"/>
      <c r="I32" s="2">
        <v>71.957599999999999</v>
      </c>
      <c r="J32" s="2">
        <v>11</v>
      </c>
      <c r="K32" s="2">
        <v>71.284300000000002</v>
      </c>
      <c r="L32" s="2">
        <v>17</v>
      </c>
      <c r="M32" s="2">
        <v>113.35290000000001</v>
      </c>
      <c r="N32" s="2">
        <v>25</v>
      </c>
      <c r="O32" s="2">
        <v>116.88290000000001</v>
      </c>
      <c r="P32" s="2">
        <v>13</v>
      </c>
      <c r="Q32" s="2">
        <v>104.5585</v>
      </c>
      <c r="R32" s="2">
        <v>165</v>
      </c>
      <c r="S32" s="2">
        <v>100.25360000000001</v>
      </c>
      <c r="T32" s="2">
        <v>81</v>
      </c>
      <c r="U32" s="2">
        <v>0.853823</v>
      </c>
      <c r="V32" s="2">
        <v>29</v>
      </c>
      <c r="W32" s="2">
        <v>2014</v>
      </c>
    </row>
    <row r="33" spans="1:23" ht="12.3" x14ac:dyDescent="0.4">
      <c r="A33" s="2" t="s">
        <v>41</v>
      </c>
      <c r="B33" s="2">
        <v>7</v>
      </c>
      <c r="C33" s="4" t="s">
        <v>33</v>
      </c>
      <c r="D33" s="2"/>
      <c r="E33" s="2"/>
      <c r="F33" s="2"/>
      <c r="G33" s="2"/>
      <c r="H33" s="2"/>
      <c r="I33" s="2">
        <v>69.992800000000003</v>
      </c>
      <c r="J33" s="2">
        <v>43</v>
      </c>
      <c r="K33" s="2">
        <v>68.8245</v>
      </c>
      <c r="L33" s="2">
        <v>63</v>
      </c>
      <c r="M33" s="2">
        <v>114.70569999999999</v>
      </c>
      <c r="N33" s="2">
        <v>15</v>
      </c>
      <c r="O33" s="2">
        <v>117.12269999999999</v>
      </c>
      <c r="P33" s="2">
        <v>12</v>
      </c>
      <c r="Q33" s="2">
        <v>103.3085</v>
      </c>
      <c r="R33" s="2">
        <v>130</v>
      </c>
      <c r="S33" s="2">
        <v>100.56059999999999</v>
      </c>
      <c r="T33" s="2">
        <v>90</v>
      </c>
      <c r="U33" s="2">
        <v>0.85236900000000004</v>
      </c>
      <c r="V33" s="2">
        <v>30</v>
      </c>
      <c r="W33" s="2">
        <v>2014</v>
      </c>
    </row>
    <row r="34" spans="1:23" ht="12.3" x14ac:dyDescent="0.4">
      <c r="A34" s="2" t="s">
        <v>158</v>
      </c>
      <c r="B34" s="2">
        <v>6</v>
      </c>
      <c r="C34" s="4" t="s">
        <v>33</v>
      </c>
      <c r="D34" s="4" t="s">
        <v>33</v>
      </c>
      <c r="E34" s="2"/>
      <c r="F34" s="2"/>
      <c r="G34" s="2"/>
      <c r="H34" s="2"/>
      <c r="I34" s="2">
        <v>63.902799999999999</v>
      </c>
      <c r="J34" s="2">
        <v>293</v>
      </c>
      <c r="K34" s="2">
        <v>62.571599999999997</v>
      </c>
      <c r="L34" s="2">
        <v>331</v>
      </c>
      <c r="M34" s="2">
        <v>114.1024</v>
      </c>
      <c r="N34" s="2">
        <v>19</v>
      </c>
      <c r="O34" s="2">
        <v>118.569</v>
      </c>
      <c r="P34" s="2">
        <v>7</v>
      </c>
      <c r="Q34" s="2">
        <v>105.6855</v>
      </c>
      <c r="R34" s="2">
        <v>195</v>
      </c>
      <c r="S34" s="2">
        <v>102.0226</v>
      </c>
      <c r="T34" s="2">
        <v>114</v>
      </c>
      <c r="U34" s="2">
        <v>0.84921500000000005</v>
      </c>
      <c r="V34" s="2">
        <v>31</v>
      </c>
      <c r="W34" s="2">
        <v>2014</v>
      </c>
    </row>
    <row r="35" spans="1:23" ht="12.3" hidden="1" x14ac:dyDescent="0.4">
      <c r="A35" s="2" t="s">
        <v>62</v>
      </c>
      <c r="B35" s="2"/>
      <c r="C35" s="2"/>
      <c r="D35" s="2"/>
      <c r="E35" s="2"/>
      <c r="F35" s="2"/>
      <c r="G35" s="2"/>
      <c r="H35" s="2"/>
      <c r="I35" s="2">
        <v>73.781499999999994</v>
      </c>
      <c r="J35" s="2">
        <v>43</v>
      </c>
      <c r="K35" s="2">
        <v>72.427999999999997</v>
      </c>
      <c r="L35" s="2">
        <v>61</v>
      </c>
      <c r="M35" s="2">
        <v>105.7543</v>
      </c>
      <c r="N35" s="2">
        <v>73</v>
      </c>
      <c r="O35" s="2">
        <v>108.34</v>
      </c>
      <c r="P35" s="2">
        <v>50</v>
      </c>
      <c r="Q35" s="2">
        <v>93.508300000000006</v>
      </c>
      <c r="R35" s="2">
        <v>25</v>
      </c>
      <c r="S35" s="2">
        <v>93.931799999999996</v>
      </c>
      <c r="T35" s="2">
        <v>32</v>
      </c>
      <c r="U35" s="2">
        <v>0.83768699999999996</v>
      </c>
      <c r="V35" s="2">
        <v>34</v>
      </c>
      <c r="W35" s="2">
        <v>2002</v>
      </c>
    </row>
    <row r="36" spans="1:23" ht="12.3" x14ac:dyDescent="0.4">
      <c r="A36" s="2" t="s">
        <v>255</v>
      </c>
      <c r="B36" s="2">
        <v>12</v>
      </c>
      <c r="C36" s="4" t="s">
        <v>33</v>
      </c>
      <c r="D36" s="2"/>
      <c r="E36" s="2"/>
      <c r="F36" s="2"/>
      <c r="G36" s="2"/>
      <c r="H36" s="2"/>
      <c r="I36" s="2">
        <v>64.55</v>
      </c>
      <c r="J36" s="2">
        <v>273</v>
      </c>
      <c r="K36" s="2">
        <v>65.094999999999999</v>
      </c>
      <c r="L36" s="2">
        <v>242</v>
      </c>
      <c r="M36" s="2">
        <v>111.8338</v>
      </c>
      <c r="N36" s="2">
        <v>39</v>
      </c>
      <c r="O36" s="2">
        <v>111.1981</v>
      </c>
      <c r="P36" s="2">
        <v>55</v>
      </c>
      <c r="Q36" s="2">
        <v>92.823300000000003</v>
      </c>
      <c r="R36" s="2">
        <v>13</v>
      </c>
      <c r="S36" s="2">
        <v>96.254199999999997</v>
      </c>
      <c r="T36" s="2">
        <v>33</v>
      </c>
      <c r="U36" s="2">
        <v>0.84019600000000005</v>
      </c>
      <c r="V36" s="2">
        <v>33</v>
      </c>
      <c r="W36" s="2">
        <v>2014</v>
      </c>
    </row>
    <row r="37" spans="1:23" ht="12.3" hidden="1" x14ac:dyDescent="0.4">
      <c r="A37" s="2" t="s">
        <v>64</v>
      </c>
      <c r="B37" s="2"/>
      <c r="C37" s="2"/>
      <c r="D37" s="2"/>
      <c r="E37" s="2"/>
      <c r="F37" s="2"/>
      <c r="G37" s="2"/>
      <c r="H37" s="2"/>
      <c r="I37" s="2">
        <v>66.873800000000003</v>
      </c>
      <c r="J37" s="2">
        <v>256</v>
      </c>
      <c r="K37" s="2">
        <v>68.506600000000006</v>
      </c>
      <c r="L37" s="2">
        <v>210</v>
      </c>
      <c r="M37" s="2">
        <v>108.9666</v>
      </c>
      <c r="N37" s="2">
        <v>32</v>
      </c>
      <c r="O37" s="2">
        <v>110.1182</v>
      </c>
      <c r="P37" s="2">
        <v>33</v>
      </c>
      <c r="Q37" s="2">
        <v>94.496899999999997</v>
      </c>
      <c r="R37" s="2">
        <v>41</v>
      </c>
      <c r="S37" s="2">
        <v>96.039400000000001</v>
      </c>
      <c r="T37" s="2">
        <v>59</v>
      </c>
      <c r="U37" s="2">
        <v>0.82823199999999997</v>
      </c>
      <c r="V37" s="2">
        <v>36</v>
      </c>
      <c r="W37" s="2">
        <v>2002</v>
      </c>
    </row>
    <row r="38" spans="1:23" ht="12.3" x14ac:dyDescent="0.4">
      <c r="A38" s="2" t="s">
        <v>116</v>
      </c>
      <c r="B38" s="2">
        <v>5</v>
      </c>
      <c r="C38" s="4" t="s">
        <v>33</v>
      </c>
      <c r="D38" s="2"/>
      <c r="E38" s="2"/>
      <c r="F38" s="2"/>
      <c r="G38" s="2"/>
      <c r="H38" s="2"/>
      <c r="I38" s="2">
        <v>67.358000000000004</v>
      </c>
      <c r="J38" s="2">
        <v>132</v>
      </c>
      <c r="K38" s="2">
        <v>67.186700000000002</v>
      </c>
      <c r="L38" s="2">
        <v>130</v>
      </c>
      <c r="M38" s="2">
        <v>103.02809999999999</v>
      </c>
      <c r="N38" s="2">
        <v>208</v>
      </c>
      <c r="O38" s="2">
        <v>104.6245</v>
      </c>
      <c r="P38" s="2">
        <v>175</v>
      </c>
      <c r="Q38" s="2">
        <v>91.100200000000001</v>
      </c>
      <c r="R38" s="2">
        <v>7</v>
      </c>
      <c r="S38" s="2">
        <v>91.224299999999999</v>
      </c>
      <c r="T38" s="2">
        <v>8</v>
      </c>
      <c r="U38" s="2">
        <v>0.82865900000000003</v>
      </c>
      <c r="V38" s="2">
        <v>34</v>
      </c>
      <c r="W38" s="2">
        <v>2014</v>
      </c>
    </row>
    <row r="39" spans="1:23" ht="12.3" x14ac:dyDescent="0.4">
      <c r="A39" s="2" t="s">
        <v>52</v>
      </c>
      <c r="B39" s="2">
        <v>10</v>
      </c>
      <c r="C39" s="4" t="s">
        <v>33</v>
      </c>
      <c r="D39" s="4" t="s">
        <v>33</v>
      </c>
      <c r="E39" s="2"/>
      <c r="F39" s="2"/>
      <c r="G39" s="2"/>
      <c r="H39" s="2"/>
      <c r="I39" s="2">
        <v>67.0989</v>
      </c>
      <c r="J39" s="2">
        <v>144</v>
      </c>
      <c r="K39" s="2">
        <v>66.475999999999999</v>
      </c>
      <c r="L39" s="2">
        <v>167</v>
      </c>
      <c r="M39" s="2">
        <v>108.9756</v>
      </c>
      <c r="N39" s="2">
        <v>74</v>
      </c>
      <c r="O39" s="2">
        <v>112.48099999999999</v>
      </c>
      <c r="P39" s="2">
        <v>39</v>
      </c>
      <c r="Q39" s="2">
        <v>101.7299</v>
      </c>
      <c r="R39" s="2">
        <v>103</v>
      </c>
      <c r="S39" s="2">
        <v>98.693600000000004</v>
      </c>
      <c r="T39" s="2">
        <v>60</v>
      </c>
      <c r="U39" s="2">
        <v>0.81813899999999995</v>
      </c>
      <c r="V39" s="2">
        <v>37</v>
      </c>
      <c r="W39" s="2">
        <v>2014</v>
      </c>
    </row>
    <row r="40" spans="1:23" ht="12.3" x14ac:dyDescent="0.4">
      <c r="A40" s="2" t="s">
        <v>67</v>
      </c>
      <c r="B40" s="2">
        <v>7</v>
      </c>
      <c r="C40" s="4" t="s">
        <v>33</v>
      </c>
      <c r="D40" s="2"/>
      <c r="E40" s="2"/>
      <c r="F40" s="2"/>
      <c r="G40" s="2"/>
      <c r="H40" s="2"/>
      <c r="I40" s="2">
        <v>69.421800000000005</v>
      </c>
      <c r="J40" s="2">
        <v>52</v>
      </c>
      <c r="K40" s="2">
        <v>68.166300000000007</v>
      </c>
      <c r="L40" s="2">
        <v>83</v>
      </c>
      <c r="M40" s="2">
        <v>106.3702</v>
      </c>
      <c r="N40" s="2">
        <v>134</v>
      </c>
      <c r="O40" s="2">
        <v>109.49890000000001</v>
      </c>
      <c r="P40" s="2">
        <v>78</v>
      </c>
      <c r="Q40" s="2">
        <v>100.59829999999999</v>
      </c>
      <c r="R40" s="2">
        <v>85</v>
      </c>
      <c r="S40" s="2">
        <v>96.326899999999995</v>
      </c>
      <c r="T40" s="2">
        <v>36</v>
      </c>
      <c r="U40" s="2">
        <v>0.81365399999999999</v>
      </c>
      <c r="V40" s="2">
        <v>39</v>
      </c>
      <c r="W40" s="2">
        <v>2014</v>
      </c>
    </row>
    <row r="41" spans="1:23" ht="12.3" x14ac:dyDescent="0.4">
      <c r="A41" s="2" t="s">
        <v>120</v>
      </c>
      <c r="B41" s="2">
        <v>11</v>
      </c>
      <c r="C41" s="2"/>
      <c r="D41" s="2"/>
      <c r="E41" s="2"/>
      <c r="F41" s="2"/>
      <c r="G41" s="2"/>
      <c r="H41" s="2"/>
      <c r="I41" s="2">
        <v>64.903899999999993</v>
      </c>
      <c r="J41" s="2">
        <v>252</v>
      </c>
      <c r="K41" s="2">
        <v>64.921099999999996</v>
      </c>
      <c r="L41" s="2">
        <v>251</v>
      </c>
      <c r="M41" s="2">
        <v>109.0643</v>
      </c>
      <c r="N41" s="2">
        <v>73</v>
      </c>
      <c r="O41" s="2">
        <v>114.267</v>
      </c>
      <c r="P41" s="2">
        <v>22</v>
      </c>
      <c r="Q41" s="2">
        <v>103.5057</v>
      </c>
      <c r="R41" s="2">
        <v>139</v>
      </c>
      <c r="S41" s="2">
        <v>100.631</v>
      </c>
      <c r="T41" s="2">
        <v>92</v>
      </c>
      <c r="U41" s="2">
        <v>0.81174599999999997</v>
      </c>
      <c r="V41" s="2">
        <v>40</v>
      </c>
      <c r="W41" s="2">
        <v>2014</v>
      </c>
    </row>
    <row r="42" spans="1:23" ht="12.3" x14ac:dyDescent="0.4">
      <c r="A42" s="2" t="s">
        <v>50</v>
      </c>
      <c r="B42" s="2">
        <v>12</v>
      </c>
      <c r="C42" s="2"/>
      <c r="D42" s="2"/>
      <c r="E42" s="2"/>
      <c r="F42" s="2"/>
      <c r="G42" s="2"/>
      <c r="H42" s="2"/>
      <c r="I42" s="2">
        <v>65.754900000000006</v>
      </c>
      <c r="J42" s="2">
        <v>212</v>
      </c>
      <c r="K42" s="2">
        <v>65.830500000000001</v>
      </c>
      <c r="L42" s="2">
        <v>204</v>
      </c>
      <c r="M42" s="2">
        <v>109.08669999999999</v>
      </c>
      <c r="N42" s="2">
        <v>72</v>
      </c>
      <c r="O42" s="2">
        <v>112.79389999999999</v>
      </c>
      <c r="P42" s="2">
        <v>37</v>
      </c>
      <c r="Q42" s="2">
        <v>102.8081</v>
      </c>
      <c r="R42" s="2">
        <v>117</v>
      </c>
      <c r="S42" s="2">
        <v>99.576599999999999</v>
      </c>
      <c r="T42" s="2">
        <v>69</v>
      </c>
      <c r="U42" s="2">
        <v>0.80741499999999999</v>
      </c>
      <c r="V42" s="2">
        <v>42</v>
      </c>
      <c r="W42" s="2">
        <v>2014</v>
      </c>
    </row>
    <row r="43" spans="1:23" ht="12.3" x14ac:dyDescent="0.4">
      <c r="A43" s="2" t="s">
        <v>148</v>
      </c>
      <c r="B43" s="2">
        <v>9</v>
      </c>
      <c r="C43" s="2"/>
      <c r="D43" s="2"/>
      <c r="E43" s="2"/>
      <c r="F43" s="2"/>
      <c r="G43" s="2"/>
      <c r="H43" s="2"/>
      <c r="I43" s="2">
        <v>65.726600000000005</v>
      </c>
      <c r="J43" s="2">
        <v>216</v>
      </c>
      <c r="K43" s="2">
        <v>65.354100000000003</v>
      </c>
      <c r="L43" s="2">
        <v>230</v>
      </c>
      <c r="M43" s="2">
        <v>105.0928</v>
      </c>
      <c r="N43" s="2">
        <v>167</v>
      </c>
      <c r="O43" s="2">
        <v>107.9999</v>
      </c>
      <c r="P43" s="2">
        <v>104</v>
      </c>
      <c r="Q43" s="2">
        <v>98.371499999999997</v>
      </c>
      <c r="R43" s="2">
        <v>50</v>
      </c>
      <c r="S43" s="2">
        <v>95.519800000000004</v>
      </c>
      <c r="T43" s="2">
        <v>25</v>
      </c>
      <c r="U43" s="2">
        <v>0.80410700000000002</v>
      </c>
      <c r="V43" s="2">
        <v>44</v>
      </c>
      <c r="W43" s="2">
        <v>2014</v>
      </c>
    </row>
    <row r="44" spans="1:23" ht="12.3" hidden="1" x14ac:dyDescent="0.4">
      <c r="A44" s="2" t="s">
        <v>71</v>
      </c>
      <c r="B44" s="2"/>
      <c r="C44" s="2"/>
      <c r="D44" s="2"/>
      <c r="E44" s="2"/>
      <c r="F44" s="2"/>
      <c r="G44" s="2"/>
      <c r="H44" s="2"/>
      <c r="I44" s="2">
        <v>73.141800000000003</v>
      </c>
      <c r="J44" s="2">
        <v>56</v>
      </c>
      <c r="K44" s="2">
        <v>71.996600000000001</v>
      </c>
      <c r="L44" s="2">
        <v>75</v>
      </c>
      <c r="M44" s="2">
        <v>108.5468</v>
      </c>
      <c r="N44" s="2">
        <v>37</v>
      </c>
      <c r="O44" s="2">
        <v>108.6044</v>
      </c>
      <c r="P44" s="2">
        <v>45</v>
      </c>
      <c r="Q44" s="2">
        <v>94.926500000000004</v>
      </c>
      <c r="R44" s="2">
        <v>48</v>
      </c>
      <c r="S44" s="2">
        <v>95.654799999999994</v>
      </c>
      <c r="T44" s="2">
        <v>50</v>
      </c>
      <c r="U44" s="2">
        <v>0.81154999999999999</v>
      </c>
      <c r="V44" s="2">
        <v>43</v>
      </c>
      <c r="W44" s="2">
        <v>2002</v>
      </c>
    </row>
    <row r="45" spans="1:23" ht="12.3" x14ac:dyDescent="0.4">
      <c r="A45" s="2" t="s">
        <v>71</v>
      </c>
      <c r="B45" s="2">
        <v>8</v>
      </c>
      <c r="C45" s="4" t="s">
        <v>33</v>
      </c>
      <c r="D45" s="2"/>
      <c r="E45" s="2"/>
      <c r="F45" s="2"/>
      <c r="G45" s="2"/>
      <c r="H45" s="2"/>
      <c r="I45" s="2">
        <v>70.584299999999999</v>
      </c>
      <c r="J45" s="2">
        <v>26</v>
      </c>
      <c r="K45" s="2">
        <v>69.403700000000001</v>
      </c>
      <c r="L45" s="2">
        <v>50</v>
      </c>
      <c r="M45" s="2">
        <v>107.8849</v>
      </c>
      <c r="N45" s="2">
        <v>94</v>
      </c>
      <c r="O45" s="2">
        <v>110.429</v>
      </c>
      <c r="P45" s="2">
        <v>66</v>
      </c>
      <c r="Q45" s="2">
        <v>98.781300000000002</v>
      </c>
      <c r="R45" s="2">
        <v>59</v>
      </c>
      <c r="S45" s="2">
        <v>97.782700000000006</v>
      </c>
      <c r="T45" s="2">
        <v>53</v>
      </c>
      <c r="U45" s="2">
        <v>0.80197399999999996</v>
      </c>
      <c r="V45" s="2">
        <v>45</v>
      </c>
      <c r="W45" s="2">
        <v>2014</v>
      </c>
    </row>
    <row r="46" spans="1:23" ht="12.3" x14ac:dyDescent="0.4">
      <c r="A46" s="2" t="s">
        <v>232</v>
      </c>
      <c r="B46" s="2">
        <v>9</v>
      </c>
      <c r="C46" s="2"/>
      <c r="D46" s="2"/>
      <c r="E46" s="2"/>
      <c r="F46" s="2"/>
      <c r="G46" s="2"/>
      <c r="H46" s="2"/>
      <c r="I46" s="2">
        <v>68.220200000000006</v>
      </c>
      <c r="J46" s="2">
        <v>101</v>
      </c>
      <c r="K46" s="2">
        <v>67.334100000000007</v>
      </c>
      <c r="L46" s="2">
        <v>121</v>
      </c>
      <c r="M46" s="2">
        <v>107.2343</v>
      </c>
      <c r="N46" s="2">
        <v>110</v>
      </c>
      <c r="O46" s="2">
        <v>109.3604</v>
      </c>
      <c r="P46" s="2">
        <v>81</v>
      </c>
      <c r="Q46" s="2">
        <v>97.760900000000007</v>
      </c>
      <c r="R46" s="2">
        <v>42</v>
      </c>
      <c r="S46" s="2">
        <v>96.850099999999998</v>
      </c>
      <c r="T46" s="2">
        <v>44</v>
      </c>
      <c r="U46" s="2">
        <v>0.80171700000000001</v>
      </c>
      <c r="V46" s="2">
        <v>46</v>
      </c>
      <c r="W46" s="2">
        <v>2014</v>
      </c>
    </row>
    <row r="47" spans="1:23" ht="12.3" x14ac:dyDescent="0.4">
      <c r="A47" s="2" t="s">
        <v>99</v>
      </c>
      <c r="B47" s="2">
        <v>10</v>
      </c>
      <c r="C47" s="2"/>
      <c r="D47" s="2"/>
      <c r="E47" s="2"/>
      <c r="F47" s="2"/>
      <c r="G47" s="2"/>
      <c r="H47" s="2"/>
      <c r="I47" s="2">
        <v>69.012600000000006</v>
      </c>
      <c r="J47" s="2">
        <v>68</v>
      </c>
      <c r="K47" s="2">
        <v>69.271799999999999</v>
      </c>
      <c r="L47" s="2">
        <v>53</v>
      </c>
      <c r="M47" s="2">
        <v>107.01909999999999</v>
      </c>
      <c r="N47" s="2">
        <v>119</v>
      </c>
      <c r="O47" s="2">
        <v>108.3383</v>
      </c>
      <c r="P47" s="2">
        <v>97</v>
      </c>
      <c r="Q47" s="2">
        <v>98.0732</v>
      </c>
      <c r="R47" s="2">
        <v>47</v>
      </c>
      <c r="S47" s="2">
        <v>95.988799999999998</v>
      </c>
      <c r="T47" s="2">
        <v>27</v>
      </c>
      <c r="U47" s="2">
        <v>0.80088099999999995</v>
      </c>
      <c r="V47" s="2">
        <v>47</v>
      </c>
      <c r="W47" s="2">
        <v>2014</v>
      </c>
    </row>
    <row r="48" spans="1:23" ht="12.3" hidden="1" x14ac:dyDescent="0.4">
      <c r="A48" s="2" t="s">
        <v>75</v>
      </c>
      <c r="B48" s="2"/>
      <c r="C48" s="2"/>
      <c r="D48" s="2"/>
      <c r="E48" s="2"/>
      <c r="F48" s="2"/>
      <c r="G48" s="2"/>
      <c r="H48" s="2"/>
      <c r="I48" s="2">
        <v>68.952600000000004</v>
      </c>
      <c r="J48" s="2">
        <v>190</v>
      </c>
      <c r="K48" s="2">
        <v>70.068899999999999</v>
      </c>
      <c r="L48" s="2">
        <v>152</v>
      </c>
      <c r="M48" s="2">
        <v>108.1297</v>
      </c>
      <c r="N48" s="2">
        <v>43</v>
      </c>
      <c r="O48" s="2">
        <v>110.6973</v>
      </c>
      <c r="P48" s="2">
        <v>26</v>
      </c>
      <c r="Q48" s="2">
        <v>101.24550000000001</v>
      </c>
      <c r="R48" s="2">
        <v>173</v>
      </c>
      <c r="S48" s="2">
        <v>98.179500000000004</v>
      </c>
      <c r="T48" s="2">
        <v>97</v>
      </c>
      <c r="U48" s="2">
        <v>0.79899299999999995</v>
      </c>
      <c r="V48" s="2">
        <v>47</v>
      </c>
      <c r="W48" s="2">
        <v>2002</v>
      </c>
    </row>
    <row r="49" spans="1:23" ht="12.3" x14ac:dyDescent="0.4">
      <c r="A49" s="2" t="s">
        <v>136</v>
      </c>
      <c r="B49" s="2">
        <v>11</v>
      </c>
      <c r="C49" s="2"/>
      <c r="D49" s="2"/>
      <c r="E49" s="2"/>
      <c r="F49" s="2"/>
      <c r="G49" s="2"/>
      <c r="H49" s="2"/>
      <c r="I49" s="2">
        <v>65.2851</v>
      </c>
      <c r="J49" s="2">
        <v>236</v>
      </c>
      <c r="K49" s="2">
        <v>66.154700000000005</v>
      </c>
      <c r="L49" s="2">
        <v>188</v>
      </c>
      <c r="M49" s="2">
        <v>102.4522</v>
      </c>
      <c r="N49" s="2">
        <v>221</v>
      </c>
      <c r="O49" s="2">
        <v>108.20010000000001</v>
      </c>
      <c r="P49" s="2">
        <v>99</v>
      </c>
      <c r="Q49" s="2">
        <v>99.193600000000004</v>
      </c>
      <c r="R49" s="2">
        <v>64</v>
      </c>
      <c r="S49" s="2">
        <v>96.030100000000004</v>
      </c>
      <c r="T49" s="2">
        <v>30</v>
      </c>
      <c r="U49" s="2">
        <v>0.797732</v>
      </c>
      <c r="V49" s="2">
        <v>48</v>
      </c>
      <c r="W49" s="2">
        <v>2014</v>
      </c>
    </row>
    <row r="50" spans="1:23" ht="12.3" x14ac:dyDescent="0.4">
      <c r="A50" s="2" t="s">
        <v>91</v>
      </c>
      <c r="B50" s="2">
        <v>10</v>
      </c>
      <c r="C50" s="2"/>
      <c r="D50" s="2"/>
      <c r="E50" s="2"/>
      <c r="F50" s="2"/>
      <c r="G50" s="2"/>
      <c r="H50" s="2"/>
      <c r="I50" s="2">
        <v>66.108000000000004</v>
      </c>
      <c r="J50" s="2">
        <v>194</v>
      </c>
      <c r="K50" s="2">
        <v>65.716700000000003</v>
      </c>
      <c r="L50" s="2">
        <v>209</v>
      </c>
      <c r="M50" s="2">
        <v>107.72969999999999</v>
      </c>
      <c r="N50" s="2">
        <v>97</v>
      </c>
      <c r="O50" s="2">
        <v>110.32299999999999</v>
      </c>
      <c r="P50" s="2">
        <v>68</v>
      </c>
      <c r="Q50" s="2">
        <v>101.02979999999999</v>
      </c>
      <c r="R50" s="2">
        <v>94</v>
      </c>
      <c r="S50" s="2">
        <v>98.136499999999998</v>
      </c>
      <c r="T50" s="2">
        <v>55</v>
      </c>
      <c r="U50" s="2">
        <v>0.79349400000000003</v>
      </c>
      <c r="V50" s="2">
        <v>49</v>
      </c>
      <c r="W50" s="2">
        <v>2014</v>
      </c>
    </row>
    <row r="51" spans="1:23" ht="12.3" hidden="1" x14ac:dyDescent="0.4">
      <c r="A51" s="2" t="s">
        <v>78</v>
      </c>
      <c r="B51" s="2"/>
      <c r="C51" s="2"/>
      <c r="D51" s="2"/>
      <c r="E51" s="2"/>
      <c r="F51" s="2"/>
      <c r="G51" s="2"/>
      <c r="H51" s="2"/>
      <c r="I51" s="2">
        <v>68.674800000000005</v>
      </c>
      <c r="J51" s="2">
        <v>202</v>
      </c>
      <c r="K51" s="2">
        <v>68.765699999999995</v>
      </c>
      <c r="L51" s="2">
        <v>203</v>
      </c>
      <c r="M51" s="2">
        <v>101.602</v>
      </c>
      <c r="N51" s="2">
        <v>148</v>
      </c>
      <c r="O51" s="2">
        <v>103.4068</v>
      </c>
      <c r="P51" s="2">
        <v>115</v>
      </c>
      <c r="Q51" s="2">
        <v>95.0364</v>
      </c>
      <c r="R51" s="2">
        <v>52</v>
      </c>
      <c r="S51" s="2">
        <v>92.071600000000004</v>
      </c>
      <c r="T51" s="2">
        <v>21</v>
      </c>
      <c r="U51" s="2">
        <v>0.79170099999999999</v>
      </c>
      <c r="V51" s="2">
        <v>50</v>
      </c>
      <c r="W51" s="2">
        <v>2002</v>
      </c>
    </row>
    <row r="52" spans="1:23" ht="12.3" x14ac:dyDescent="0.4">
      <c r="A52" s="2" t="s">
        <v>96</v>
      </c>
      <c r="B52" s="2">
        <v>10</v>
      </c>
      <c r="C52" s="2"/>
      <c r="D52" s="2"/>
      <c r="E52" s="2"/>
      <c r="F52" s="2"/>
      <c r="G52" s="2"/>
      <c r="H52" s="2"/>
      <c r="I52" s="2">
        <v>73.511499999999998</v>
      </c>
      <c r="J52" s="2">
        <v>6</v>
      </c>
      <c r="K52" s="2">
        <v>72.194900000000004</v>
      </c>
      <c r="L52" s="2">
        <v>8</v>
      </c>
      <c r="M52" s="2">
        <v>112.5551</v>
      </c>
      <c r="N52" s="2">
        <v>32</v>
      </c>
      <c r="O52" s="2">
        <v>113.7187</v>
      </c>
      <c r="P52" s="2">
        <v>27</v>
      </c>
      <c r="Q52" s="2">
        <v>103.54170000000001</v>
      </c>
      <c r="R52" s="2">
        <v>140</v>
      </c>
      <c r="S52" s="2">
        <v>101.2405</v>
      </c>
      <c r="T52" s="2">
        <v>100</v>
      </c>
      <c r="U52" s="2">
        <v>0.79193500000000006</v>
      </c>
      <c r="V52" s="2">
        <v>50</v>
      </c>
      <c r="W52" s="2">
        <v>2014</v>
      </c>
    </row>
    <row r="53" spans="1:23" ht="12.3" hidden="1" x14ac:dyDescent="0.4">
      <c r="A53" s="2" t="s">
        <v>80</v>
      </c>
      <c r="B53" s="2"/>
      <c r="C53" s="2"/>
      <c r="D53" s="2"/>
      <c r="E53" s="2"/>
      <c r="F53" s="2"/>
      <c r="G53" s="2"/>
      <c r="H53" s="2"/>
      <c r="I53" s="2">
        <v>73.541399999999996</v>
      </c>
      <c r="J53" s="2">
        <v>47</v>
      </c>
      <c r="K53" s="2">
        <v>72.985799999999998</v>
      </c>
      <c r="L53" s="2">
        <v>51</v>
      </c>
      <c r="M53" s="2">
        <v>100.703</v>
      </c>
      <c r="N53" s="2">
        <v>161</v>
      </c>
      <c r="O53" s="2">
        <v>106.62990000000001</v>
      </c>
      <c r="P53" s="2">
        <v>76</v>
      </c>
      <c r="Q53" s="2">
        <v>98.621899999999997</v>
      </c>
      <c r="R53" s="2">
        <v>105</v>
      </c>
      <c r="S53" s="2">
        <v>95.385599999999997</v>
      </c>
      <c r="T53" s="2">
        <v>47</v>
      </c>
      <c r="U53" s="2">
        <v>0.78270700000000004</v>
      </c>
      <c r="V53" s="2">
        <v>52</v>
      </c>
      <c r="W53" s="2">
        <v>2002</v>
      </c>
    </row>
    <row r="54" spans="1:23" ht="12.3" hidden="1" x14ac:dyDescent="0.4">
      <c r="A54" s="2" t="s">
        <v>81</v>
      </c>
      <c r="B54" s="2"/>
      <c r="C54" s="2"/>
      <c r="D54" s="2"/>
      <c r="E54" s="2"/>
      <c r="F54" s="2"/>
      <c r="G54" s="2"/>
      <c r="H54" s="2"/>
      <c r="I54" s="2">
        <v>68.662700000000001</v>
      </c>
      <c r="J54" s="2">
        <v>204</v>
      </c>
      <c r="K54" s="2">
        <v>67.9148</v>
      </c>
      <c r="L54" s="2">
        <v>226</v>
      </c>
      <c r="M54" s="2">
        <v>102.536</v>
      </c>
      <c r="N54" s="2">
        <v>131</v>
      </c>
      <c r="O54" s="2">
        <v>107.8862</v>
      </c>
      <c r="P54" s="2">
        <v>58</v>
      </c>
      <c r="Q54" s="2">
        <v>102.0346</v>
      </c>
      <c r="R54" s="2">
        <v>187</v>
      </c>
      <c r="S54" s="2">
        <v>96.766900000000007</v>
      </c>
      <c r="T54" s="2">
        <v>74</v>
      </c>
      <c r="U54" s="2">
        <v>0.777451</v>
      </c>
      <c r="V54" s="2">
        <v>53</v>
      </c>
      <c r="W54" s="2">
        <v>2002</v>
      </c>
    </row>
    <row r="55" spans="1:23" ht="12.3" x14ac:dyDescent="0.4">
      <c r="A55" s="2" t="s">
        <v>155</v>
      </c>
      <c r="B55" s="2">
        <v>6</v>
      </c>
      <c r="C55" s="2"/>
      <c r="D55" s="2"/>
      <c r="E55" s="2"/>
      <c r="F55" s="2"/>
      <c r="G55" s="2"/>
      <c r="H55" s="2"/>
      <c r="I55" s="2">
        <v>71.696399999999997</v>
      </c>
      <c r="J55" s="2">
        <v>15</v>
      </c>
      <c r="K55" s="2">
        <v>71.607100000000003</v>
      </c>
      <c r="L55" s="2">
        <v>14</v>
      </c>
      <c r="M55" s="2">
        <v>105.68380000000001</v>
      </c>
      <c r="N55" s="2">
        <v>155</v>
      </c>
      <c r="O55" s="2">
        <v>108.3801</v>
      </c>
      <c r="P55" s="2">
        <v>94</v>
      </c>
      <c r="Q55" s="2">
        <v>98.097700000000003</v>
      </c>
      <c r="R55" s="2">
        <v>48</v>
      </c>
      <c r="S55" s="2">
        <v>96.788899999999998</v>
      </c>
      <c r="T55" s="2">
        <v>43</v>
      </c>
      <c r="U55" s="2">
        <v>0.785968</v>
      </c>
      <c r="V55" s="2">
        <v>52</v>
      </c>
      <c r="W55" s="2">
        <v>2014</v>
      </c>
    </row>
    <row r="56" spans="1:23" ht="12.3" x14ac:dyDescent="0.4">
      <c r="A56" s="2" t="s">
        <v>64</v>
      </c>
      <c r="B56" s="2">
        <v>11</v>
      </c>
      <c r="C56" s="4" t="s">
        <v>33</v>
      </c>
      <c r="D56" s="4" t="s">
        <v>33</v>
      </c>
      <c r="E56" s="4" t="s">
        <v>33</v>
      </c>
      <c r="F56" s="2"/>
      <c r="G56" s="2"/>
      <c r="H56" s="2"/>
      <c r="I56" s="2">
        <v>65.725399999999993</v>
      </c>
      <c r="J56" s="2">
        <v>217</v>
      </c>
      <c r="K56" s="2">
        <v>65.236699999999999</v>
      </c>
      <c r="L56" s="2">
        <v>236</v>
      </c>
      <c r="M56" s="2">
        <v>110.7795</v>
      </c>
      <c r="N56" s="2">
        <v>51</v>
      </c>
      <c r="O56" s="2">
        <v>113.3938</v>
      </c>
      <c r="P56" s="2">
        <v>30</v>
      </c>
      <c r="Q56" s="2">
        <v>101.9537</v>
      </c>
      <c r="R56" s="2">
        <v>105</v>
      </c>
      <c r="S56" s="2">
        <v>101.3973</v>
      </c>
      <c r="T56" s="2">
        <v>101</v>
      </c>
      <c r="U56" s="2">
        <v>0.78345799999999999</v>
      </c>
      <c r="V56" s="2">
        <v>53</v>
      </c>
      <c r="W56" s="2">
        <v>2014</v>
      </c>
    </row>
    <row r="57" spans="1:23" ht="12.3" hidden="1" x14ac:dyDescent="0.4">
      <c r="A57" s="2" t="s">
        <v>84</v>
      </c>
      <c r="B57" s="2"/>
      <c r="C57" s="2"/>
      <c r="D57" s="2"/>
      <c r="E57" s="2"/>
      <c r="F57" s="2"/>
      <c r="G57" s="2"/>
      <c r="H57" s="2"/>
      <c r="I57" s="2">
        <v>69.035700000000006</v>
      </c>
      <c r="J57" s="2">
        <v>187</v>
      </c>
      <c r="K57" s="2">
        <v>70.511899999999997</v>
      </c>
      <c r="L57" s="2">
        <v>130</v>
      </c>
      <c r="M57" s="2">
        <v>105.5797</v>
      </c>
      <c r="N57" s="2">
        <v>77</v>
      </c>
      <c r="O57" s="2">
        <v>107.1986</v>
      </c>
      <c r="P57" s="2">
        <v>67</v>
      </c>
      <c r="Q57" s="2">
        <v>99.121099999999998</v>
      </c>
      <c r="R57" s="2">
        <v>120</v>
      </c>
      <c r="S57" s="2">
        <v>96.274000000000001</v>
      </c>
      <c r="T57" s="2">
        <v>61</v>
      </c>
      <c r="U57" s="2">
        <v>0.77488000000000001</v>
      </c>
      <c r="V57" s="2">
        <v>56</v>
      </c>
      <c r="W57" s="2">
        <v>2002</v>
      </c>
    </row>
    <row r="58" spans="1:23" ht="12.3" hidden="1" x14ac:dyDescent="0.4">
      <c r="A58" s="2" t="s">
        <v>85</v>
      </c>
      <c r="B58" s="2"/>
      <c r="C58" s="2"/>
      <c r="D58" s="2"/>
      <c r="E58" s="2"/>
      <c r="F58" s="2"/>
      <c r="G58" s="2"/>
      <c r="H58" s="2"/>
      <c r="I58" s="2">
        <v>67.535700000000006</v>
      </c>
      <c r="J58" s="2">
        <v>238</v>
      </c>
      <c r="K58" s="2">
        <v>66.496499999999997</v>
      </c>
      <c r="L58" s="2">
        <v>270</v>
      </c>
      <c r="M58" s="2">
        <v>100.8064</v>
      </c>
      <c r="N58" s="2">
        <v>159</v>
      </c>
      <c r="O58" s="2">
        <v>102.7591</v>
      </c>
      <c r="P58" s="2">
        <v>128</v>
      </c>
      <c r="Q58" s="2">
        <v>94.3566</v>
      </c>
      <c r="R58" s="2">
        <v>35</v>
      </c>
      <c r="S58" s="2">
        <v>92.353099999999998</v>
      </c>
      <c r="T58" s="2">
        <v>22</v>
      </c>
      <c r="U58" s="2">
        <v>0.77343899999999999</v>
      </c>
      <c r="V58" s="2">
        <v>57</v>
      </c>
      <c r="W58" s="2">
        <v>2002</v>
      </c>
    </row>
    <row r="59" spans="1:23" ht="12.3" hidden="1" x14ac:dyDescent="0.4">
      <c r="A59" s="2" t="s">
        <v>86</v>
      </c>
      <c r="B59" s="2"/>
      <c r="C59" s="2"/>
      <c r="D59" s="2"/>
      <c r="E59" s="2"/>
      <c r="F59" s="2"/>
      <c r="G59" s="2"/>
      <c r="H59" s="2"/>
      <c r="I59" s="2">
        <v>75.083399999999997</v>
      </c>
      <c r="J59" s="2">
        <v>22</v>
      </c>
      <c r="K59" s="2">
        <v>74.512600000000006</v>
      </c>
      <c r="L59" s="2">
        <v>22</v>
      </c>
      <c r="M59" s="2">
        <v>101.4853</v>
      </c>
      <c r="N59" s="2">
        <v>150</v>
      </c>
      <c r="O59" s="2">
        <v>106.39709999999999</v>
      </c>
      <c r="P59" s="2">
        <v>78</v>
      </c>
      <c r="Q59" s="2">
        <v>95.904399999999995</v>
      </c>
      <c r="R59" s="2">
        <v>61</v>
      </c>
      <c r="S59" s="2">
        <v>95.691500000000005</v>
      </c>
      <c r="T59" s="2">
        <v>51</v>
      </c>
      <c r="U59" s="2">
        <v>0.77198599999999995</v>
      </c>
      <c r="V59" s="2">
        <v>58</v>
      </c>
      <c r="W59" s="2">
        <v>2002</v>
      </c>
    </row>
    <row r="60" spans="1:23" ht="12.3" hidden="1" x14ac:dyDescent="0.4">
      <c r="A60" s="2" t="s">
        <v>87</v>
      </c>
      <c r="B60" s="2"/>
      <c r="C60" s="2"/>
      <c r="D60" s="2"/>
      <c r="E60" s="2"/>
      <c r="F60" s="2"/>
      <c r="G60" s="2"/>
      <c r="H60" s="2"/>
      <c r="I60" s="2">
        <v>74.305400000000006</v>
      </c>
      <c r="J60" s="2">
        <v>30</v>
      </c>
      <c r="K60" s="2">
        <v>71.434200000000004</v>
      </c>
      <c r="L60" s="2">
        <v>93</v>
      </c>
      <c r="M60" s="2">
        <v>107.19289999999999</v>
      </c>
      <c r="N60" s="2">
        <v>54</v>
      </c>
      <c r="O60" s="2">
        <v>108.9896</v>
      </c>
      <c r="P60" s="2">
        <v>42</v>
      </c>
      <c r="Q60" s="2">
        <v>100.50920000000001</v>
      </c>
      <c r="R60" s="2">
        <v>159</v>
      </c>
      <c r="S60" s="2">
        <v>98.310400000000001</v>
      </c>
      <c r="T60" s="2">
        <v>101</v>
      </c>
      <c r="U60" s="2">
        <v>0.76600999999999997</v>
      </c>
      <c r="V60" s="2">
        <v>59</v>
      </c>
      <c r="W60" s="2">
        <v>2002</v>
      </c>
    </row>
    <row r="61" spans="1:23" ht="12.3" hidden="1" x14ac:dyDescent="0.4">
      <c r="A61" s="2" t="s">
        <v>88</v>
      </c>
      <c r="B61" s="2"/>
      <c r="C61" s="2"/>
      <c r="D61" s="2"/>
      <c r="E61" s="2"/>
      <c r="F61" s="2"/>
      <c r="G61" s="2"/>
      <c r="H61" s="2"/>
      <c r="I61" s="2">
        <v>64.1173</v>
      </c>
      <c r="J61" s="2">
        <v>309</v>
      </c>
      <c r="K61" s="2">
        <v>64.023600000000002</v>
      </c>
      <c r="L61" s="2">
        <v>311</v>
      </c>
      <c r="M61" s="2">
        <v>107.4365</v>
      </c>
      <c r="N61" s="2">
        <v>49</v>
      </c>
      <c r="O61" s="2">
        <v>109.69799999999999</v>
      </c>
      <c r="P61" s="2">
        <v>37</v>
      </c>
      <c r="Q61" s="2">
        <v>102.75320000000001</v>
      </c>
      <c r="R61" s="2">
        <v>206</v>
      </c>
      <c r="S61" s="2">
        <v>99.092699999999994</v>
      </c>
      <c r="T61" s="2">
        <v>116</v>
      </c>
      <c r="U61" s="2">
        <v>0.76301300000000005</v>
      </c>
      <c r="V61" s="2">
        <v>60</v>
      </c>
      <c r="W61" s="2">
        <v>2002</v>
      </c>
    </row>
    <row r="62" spans="1:23" ht="12.3" hidden="1" x14ac:dyDescent="0.4">
      <c r="A62" s="2" t="s">
        <v>89</v>
      </c>
      <c r="B62" s="2"/>
      <c r="C62" s="2"/>
      <c r="D62" s="2"/>
      <c r="E62" s="2"/>
      <c r="F62" s="2"/>
      <c r="G62" s="2"/>
      <c r="H62" s="2"/>
      <c r="I62" s="2">
        <v>66.473299999999995</v>
      </c>
      <c r="J62" s="2">
        <v>270</v>
      </c>
      <c r="K62" s="2">
        <v>67.629900000000006</v>
      </c>
      <c r="L62" s="2">
        <v>232</v>
      </c>
      <c r="M62" s="2">
        <v>109.34820000000001</v>
      </c>
      <c r="N62" s="2">
        <v>28</v>
      </c>
      <c r="O62" s="2">
        <v>107.8142</v>
      </c>
      <c r="P62" s="2">
        <v>59</v>
      </c>
      <c r="Q62" s="2">
        <v>99.1858</v>
      </c>
      <c r="R62" s="2">
        <v>126</v>
      </c>
      <c r="S62" s="2">
        <v>97.421199999999999</v>
      </c>
      <c r="T62" s="2">
        <v>86</v>
      </c>
      <c r="U62" s="2">
        <v>0.76236800000000005</v>
      </c>
      <c r="V62" s="2">
        <v>61</v>
      </c>
      <c r="W62" s="2">
        <v>2002</v>
      </c>
    </row>
    <row r="63" spans="1:23" ht="12.3" x14ac:dyDescent="0.4">
      <c r="A63" s="2" t="s">
        <v>360</v>
      </c>
      <c r="B63" s="2">
        <v>12</v>
      </c>
      <c r="C63" s="4" t="s">
        <v>33</v>
      </c>
      <c r="D63" s="2"/>
      <c r="E63" s="2"/>
      <c r="F63" s="2"/>
      <c r="G63" s="2"/>
      <c r="H63" s="2"/>
      <c r="I63" s="2">
        <v>64.088399999999993</v>
      </c>
      <c r="J63" s="2">
        <v>289</v>
      </c>
      <c r="K63" s="2">
        <v>64.244500000000002</v>
      </c>
      <c r="L63" s="2">
        <v>278</v>
      </c>
      <c r="M63" s="2">
        <v>116.8623</v>
      </c>
      <c r="N63" s="2">
        <v>6</v>
      </c>
      <c r="O63" s="2">
        <v>114.6785</v>
      </c>
      <c r="P63" s="2">
        <v>20</v>
      </c>
      <c r="Q63" s="2">
        <v>105.22029999999999</v>
      </c>
      <c r="R63" s="2">
        <v>183</v>
      </c>
      <c r="S63" s="2">
        <v>103.1756</v>
      </c>
      <c r="T63" s="2">
        <v>140</v>
      </c>
      <c r="U63" s="2">
        <v>0.77127900000000005</v>
      </c>
      <c r="V63" s="2">
        <v>55</v>
      </c>
      <c r="W63" s="2">
        <v>2014</v>
      </c>
    </row>
    <row r="64" spans="1:23" ht="12.3" hidden="1" x14ac:dyDescent="0.4">
      <c r="A64" s="2" t="s">
        <v>91</v>
      </c>
      <c r="B64" s="2"/>
      <c r="C64" s="2"/>
      <c r="D64" s="2"/>
      <c r="E64" s="2"/>
      <c r="F64" s="2"/>
      <c r="G64" s="2"/>
      <c r="H64" s="2"/>
      <c r="I64" s="2">
        <v>68.418899999999994</v>
      </c>
      <c r="J64" s="2">
        <v>213</v>
      </c>
      <c r="K64" s="2">
        <v>68.991</v>
      </c>
      <c r="L64" s="2">
        <v>193</v>
      </c>
      <c r="M64" s="2">
        <v>112.03189999999999</v>
      </c>
      <c r="N64" s="2">
        <v>13</v>
      </c>
      <c r="O64" s="2">
        <v>113.49379999999999</v>
      </c>
      <c r="P64" s="2">
        <v>16</v>
      </c>
      <c r="Q64" s="2">
        <v>105.2551</v>
      </c>
      <c r="R64" s="2">
        <v>256</v>
      </c>
      <c r="S64" s="2">
        <v>102.73779999999999</v>
      </c>
      <c r="T64" s="2">
        <v>201</v>
      </c>
      <c r="U64" s="2">
        <v>0.758602</v>
      </c>
      <c r="V64" s="2">
        <v>63</v>
      </c>
      <c r="W64" s="2">
        <v>2002</v>
      </c>
    </row>
    <row r="65" spans="1:23" ht="12.3" hidden="1" x14ac:dyDescent="0.4">
      <c r="A65" s="2" t="s">
        <v>23</v>
      </c>
      <c r="B65" s="2"/>
      <c r="C65" s="2"/>
      <c r="D65" s="2"/>
      <c r="E65" s="2"/>
      <c r="F65" s="2"/>
      <c r="G65" s="2"/>
      <c r="H65" s="2"/>
      <c r="I65" s="2">
        <v>71.843500000000006</v>
      </c>
      <c r="J65" s="2">
        <v>88</v>
      </c>
      <c r="K65" s="2">
        <v>71.353300000000004</v>
      </c>
      <c r="L65" s="2">
        <v>98</v>
      </c>
      <c r="M65" s="2">
        <v>102.47880000000001</v>
      </c>
      <c r="N65" s="2">
        <v>135</v>
      </c>
      <c r="O65" s="2">
        <v>103.5697</v>
      </c>
      <c r="P65" s="2">
        <v>112</v>
      </c>
      <c r="Q65" s="2">
        <v>94.302700000000002</v>
      </c>
      <c r="R65" s="2">
        <v>33</v>
      </c>
      <c r="S65" s="2">
        <v>94.138400000000004</v>
      </c>
      <c r="T65" s="2">
        <v>34</v>
      </c>
      <c r="U65" s="2">
        <v>0.74988699999999997</v>
      </c>
      <c r="V65" s="2">
        <v>64</v>
      </c>
      <c r="W65" s="2">
        <v>2002</v>
      </c>
    </row>
    <row r="66" spans="1:23" ht="12.3" hidden="1" x14ac:dyDescent="0.4">
      <c r="A66" s="2" t="s">
        <v>92</v>
      </c>
      <c r="B66" s="2"/>
      <c r="C66" s="2"/>
      <c r="D66" s="2"/>
      <c r="E66" s="2"/>
      <c r="F66" s="2"/>
      <c r="G66" s="2"/>
      <c r="H66" s="2"/>
      <c r="I66" s="2">
        <v>73.453199999999995</v>
      </c>
      <c r="J66" s="2">
        <v>49</v>
      </c>
      <c r="K66" s="2">
        <v>71.765500000000003</v>
      </c>
      <c r="L66" s="2">
        <v>84</v>
      </c>
      <c r="M66" s="2">
        <v>104.19450000000001</v>
      </c>
      <c r="N66" s="2">
        <v>105</v>
      </c>
      <c r="O66" s="2">
        <v>108.6005</v>
      </c>
      <c r="P66" s="2">
        <v>46</v>
      </c>
      <c r="Q66" s="2">
        <v>103.82599999999999</v>
      </c>
      <c r="R66" s="2">
        <v>230</v>
      </c>
      <c r="S66" s="2">
        <v>98.884900000000002</v>
      </c>
      <c r="T66" s="2">
        <v>112</v>
      </c>
      <c r="U66" s="2">
        <v>0.74607199999999996</v>
      </c>
      <c r="V66" s="2">
        <v>65</v>
      </c>
      <c r="W66" s="2">
        <v>2002</v>
      </c>
    </row>
    <row r="67" spans="1:23" ht="12.3" x14ac:dyDescent="0.4">
      <c r="A67" s="2" t="s">
        <v>282</v>
      </c>
      <c r="B67" s="2">
        <v>12</v>
      </c>
      <c r="C67" s="4" t="s">
        <v>33</v>
      </c>
      <c r="D67" s="2"/>
      <c r="E67" s="2"/>
      <c r="F67" s="2"/>
      <c r="G67" s="2"/>
      <c r="H67" s="2"/>
      <c r="I67" s="2">
        <v>65.1297</v>
      </c>
      <c r="J67" s="2">
        <v>244</v>
      </c>
      <c r="K67" s="2">
        <v>63.607199999999999</v>
      </c>
      <c r="L67" s="2">
        <v>304</v>
      </c>
      <c r="M67" s="2">
        <v>116.0776</v>
      </c>
      <c r="N67" s="2">
        <v>8</v>
      </c>
      <c r="O67" s="2">
        <v>111.6118</v>
      </c>
      <c r="P67" s="2">
        <v>47</v>
      </c>
      <c r="Q67" s="2">
        <v>96.742800000000003</v>
      </c>
      <c r="R67" s="2">
        <v>28</v>
      </c>
      <c r="S67" s="2">
        <v>100.76139999999999</v>
      </c>
      <c r="T67" s="2">
        <v>95</v>
      </c>
      <c r="U67" s="2">
        <v>0.76424999999999998</v>
      </c>
      <c r="V67" s="2">
        <v>59</v>
      </c>
      <c r="W67" s="2">
        <v>2014</v>
      </c>
    </row>
    <row r="68" spans="1:23" ht="12.3" hidden="1" x14ac:dyDescent="0.4">
      <c r="A68" s="2" t="s">
        <v>94</v>
      </c>
      <c r="B68" s="2"/>
      <c r="C68" s="2"/>
      <c r="D68" s="2"/>
      <c r="E68" s="2"/>
      <c r="F68" s="2"/>
      <c r="G68" s="2"/>
      <c r="H68" s="2"/>
      <c r="I68" s="2">
        <v>67.4131</v>
      </c>
      <c r="J68" s="2">
        <v>243</v>
      </c>
      <c r="K68" s="2">
        <v>67.235100000000003</v>
      </c>
      <c r="L68" s="2">
        <v>246</v>
      </c>
      <c r="M68" s="2">
        <v>104.54430000000001</v>
      </c>
      <c r="N68" s="2">
        <v>98</v>
      </c>
      <c r="O68" s="2">
        <v>107.70529999999999</v>
      </c>
      <c r="P68" s="2">
        <v>60</v>
      </c>
      <c r="Q68" s="2">
        <v>97.661600000000007</v>
      </c>
      <c r="R68" s="2">
        <v>86</v>
      </c>
      <c r="S68" s="2">
        <v>98.220600000000005</v>
      </c>
      <c r="T68" s="2">
        <v>98</v>
      </c>
      <c r="U68" s="2">
        <v>0.74270899999999995</v>
      </c>
      <c r="V68" s="2">
        <v>67</v>
      </c>
      <c r="W68" s="2">
        <v>2002</v>
      </c>
    </row>
    <row r="69" spans="1:23" ht="12.3" x14ac:dyDescent="0.4">
      <c r="A69" s="2" t="s">
        <v>129</v>
      </c>
      <c r="B69" s="2">
        <v>8</v>
      </c>
      <c r="C69" s="2"/>
      <c r="D69" s="2"/>
      <c r="E69" s="2"/>
      <c r="F69" s="2"/>
      <c r="G69" s="2"/>
      <c r="H69" s="2"/>
      <c r="I69" s="2">
        <v>67.252700000000004</v>
      </c>
      <c r="J69" s="2">
        <v>136</v>
      </c>
      <c r="K69" s="2">
        <v>66.445599999999999</v>
      </c>
      <c r="L69" s="2">
        <v>171</v>
      </c>
      <c r="M69" s="2">
        <v>103.7381</v>
      </c>
      <c r="N69" s="2">
        <v>196</v>
      </c>
      <c r="O69" s="2">
        <v>105.8999</v>
      </c>
      <c r="P69" s="2">
        <v>141</v>
      </c>
      <c r="Q69" s="2">
        <v>100.1348</v>
      </c>
      <c r="R69" s="2">
        <v>79</v>
      </c>
      <c r="S69" s="2">
        <v>96.240799999999993</v>
      </c>
      <c r="T69" s="2">
        <v>32</v>
      </c>
      <c r="U69" s="2">
        <v>0.75023600000000001</v>
      </c>
      <c r="V69" s="2">
        <v>64</v>
      </c>
      <c r="W69" s="2">
        <v>2014</v>
      </c>
    </row>
    <row r="70" spans="1:23" ht="12.3" hidden="1" x14ac:dyDescent="0.4">
      <c r="A70" s="2" t="s">
        <v>96</v>
      </c>
      <c r="B70" s="2"/>
      <c r="C70" s="2"/>
      <c r="D70" s="2"/>
      <c r="E70" s="2"/>
      <c r="F70" s="2"/>
      <c r="G70" s="2"/>
      <c r="H70" s="2"/>
      <c r="I70" s="2">
        <v>64.945800000000006</v>
      </c>
      <c r="J70" s="2">
        <v>294</v>
      </c>
      <c r="K70" s="2">
        <v>66.406700000000001</v>
      </c>
      <c r="L70" s="2">
        <v>273</v>
      </c>
      <c r="M70" s="2">
        <v>105.30800000000001</v>
      </c>
      <c r="N70" s="2">
        <v>83</v>
      </c>
      <c r="O70" s="2">
        <v>106.5866</v>
      </c>
      <c r="P70" s="2">
        <v>77</v>
      </c>
      <c r="Q70" s="2">
        <v>99.335999999999999</v>
      </c>
      <c r="R70" s="2">
        <v>129</v>
      </c>
      <c r="S70" s="2">
        <v>97.398200000000003</v>
      </c>
      <c r="T70" s="2">
        <v>85</v>
      </c>
      <c r="U70" s="2">
        <v>0.73821800000000004</v>
      </c>
      <c r="V70" s="2">
        <v>69</v>
      </c>
      <c r="W70" s="2">
        <v>2002</v>
      </c>
    </row>
    <row r="71" spans="1:23" ht="12.3" x14ac:dyDescent="0.4">
      <c r="A71" s="2" t="s">
        <v>55</v>
      </c>
      <c r="B71" s="2">
        <v>12</v>
      </c>
      <c r="C71" s="2"/>
      <c r="D71" s="2"/>
      <c r="E71" s="2"/>
      <c r="F71" s="2"/>
      <c r="G71" s="2"/>
      <c r="H71" s="2"/>
      <c r="I71" s="2">
        <v>64.783500000000004</v>
      </c>
      <c r="J71" s="2">
        <v>258</v>
      </c>
      <c r="K71" s="2">
        <v>66.093900000000005</v>
      </c>
      <c r="L71" s="2">
        <v>193</v>
      </c>
      <c r="M71" s="2">
        <v>108.169</v>
      </c>
      <c r="N71" s="2">
        <v>88</v>
      </c>
      <c r="O71" s="2">
        <v>113.5673</v>
      </c>
      <c r="P71" s="2">
        <v>28</v>
      </c>
      <c r="Q71" s="2">
        <v>106.2332</v>
      </c>
      <c r="R71" s="2">
        <v>211</v>
      </c>
      <c r="S71" s="2">
        <v>103.4021</v>
      </c>
      <c r="T71" s="2">
        <v>144</v>
      </c>
      <c r="U71" s="2">
        <v>0.74618399999999996</v>
      </c>
      <c r="V71" s="2">
        <v>66</v>
      </c>
      <c r="W71" s="2">
        <v>2014</v>
      </c>
    </row>
    <row r="72" spans="1:23" ht="12.3" hidden="1" x14ac:dyDescent="0.4">
      <c r="A72" s="2" t="s">
        <v>98</v>
      </c>
      <c r="B72" s="2"/>
      <c r="C72" s="2"/>
      <c r="D72" s="2"/>
      <c r="E72" s="2"/>
      <c r="F72" s="2"/>
      <c r="G72" s="2"/>
      <c r="H72" s="2"/>
      <c r="I72" s="2">
        <v>62.3489</v>
      </c>
      <c r="J72" s="2">
        <v>319</v>
      </c>
      <c r="K72" s="2">
        <v>64.363500000000002</v>
      </c>
      <c r="L72" s="2">
        <v>305</v>
      </c>
      <c r="M72" s="2">
        <v>105.3035</v>
      </c>
      <c r="N72" s="2">
        <v>84</v>
      </c>
      <c r="O72" s="2">
        <v>103.4264</v>
      </c>
      <c r="P72" s="2">
        <v>114</v>
      </c>
      <c r="Q72" s="2">
        <v>92.95</v>
      </c>
      <c r="R72" s="2">
        <v>19</v>
      </c>
      <c r="S72" s="2">
        <v>94.663700000000006</v>
      </c>
      <c r="T72" s="2">
        <v>39</v>
      </c>
      <c r="U72" s="2">
        <v>0.73460199999999998</v>
      </c>
      <c r="V72" s="2">
        <v>71</v>
      </c>
      <c r="W72" s="2">
        <v>2002</v>
      </c>
    </row>
    <row r="73" spans="1:23" ht="12.3" hidden="1" x14ac:dyDescent="0.4">
      <c r="A73" s="2" t="s">
        <v>99</v>
      </c>
      <c r="B73" s="2"/>
      <c r="C73" s="2"/>
      <c r="D73" s="2"/>
      <c r="E73" s="2"/>
      <c r="F73" s="2"/>
      <c r="G73" s="2"/>
      <c r="H73" s="2"/>
      <c r="I73" s="2">
        <v>73.306100000000001</v>
      </c>
      <c r="J73" s="2">
        <v>51</v>
      </c>
      <c r="K73" s="2">
        <v>73.286799999999999</v>
      </c>
      <c r="L73" s="2">
        <v>46</v>
      </c>
      <c r="M73" s="2">
        <v>103.7834</v>
      </c>
      <c r="N73" s="2">
        <v>114</v>
      </c>
      <c r="O73" s="2">
        <v>104.60129999999999</v>
      </c>
      <c r="P73" s="2">
        <v>95</v>
      </c>
      <c r="Q73" s="2">
        <v>99.158100000000005</v>
      </c>
      <c r="R73" s="2">
        <v>122</v>
      </c>
      <c r="S73" s="2">
        <v>95.798299999999998</v>
      </c>
      <c r="T73" s="2">
        <v>54</v>
      </c>
      <c r="U73" s="2">
        <v>0.73321199999999997</v>
      </c>
      <c r="V73" s="2">
        <v>72</v>
      </c>
      <c r="W73" s="2">
        <v>2002</v>
      </c>
    </row>
    <row r="74" spans="1:23" ht="12.3" hidden="1" x14ac:dyDescent="0.4">
      <c r="A74" s="2" t="s">
        <v>100</v>
      </c>
      <c r="B74" s="2"/>
      <c r="C74" s="2"/>
      <c r="D74" s="2"/>
      <c r="E74" s="2"/>
      <c r="F74" s="2"/>
      <c r="G74" s="2"/>
      <c r="H74" s="2"/>
      <c r="I74" s="2">
        <v>62.751300000000001</v>
      </c>
      <c r="J74" s="2">
        <v>315</v>
      </c>
      <c r="K74" s="2">
        <v>62.500999999999998</v>
      </c>
      <c r="L74" s="2">
        <v>319</v>
      </c>
      <c r="M74" s="2">
        <v>99.436499999999995</v>
      </c>
      <c r="N74" s="2">
        <v>192</v>
      </c>
      <c r="O74" s="2">
        <v>102.5872</v>
      </c>
      <c r="P74" s="2">
        <v>130</v>
      </c>
      <c r="Q74" s="2">
        <v>97.505899999999997</v>
      </c>
      <c r="R74" s="2">
        <v>84</v>
      </c>
      <c r="S74" s="2">
        <v>94.102999999999994</v>
      </c>
      <c r="T74" s="2">
        <v>33</v>
      </c>
      <c r="U74" s="2">
        <v>0.72962499999999997</v>
      </c>
      <c r="V74" s="2">
        <v>73</v>
      </c>
      <c r="W74" s="2">
        <v>2002</v>
      </c>
    </row>
    <row r="75" spans="1:23" ht="12.3" hidden="1" x14ac:dyDescent="0.4">
      <c r="A75" s="2" t="s">
        <v>101</v>
      </c>
      <c r="B75" s="2"/>
      <c r="C75" s="2"/>
      <c r="D75" s="2"/>
      <c r="E75" s="2"/>
      <c r="F75" s="2"/>
      <c r="G75" s="2"/>
      <c r="H75" s="2"/>
      <c r="I75" s="2">
        <v>70.148099999999999</v>
      </c>
      <c r="J75" s="2">
        <v>152</v>
      </c>
      <c r="K75" s="2">
        <v>70.377799999999993</v>
      </c>
      <c r="L75" s="2">
        <v>135</v>
      </c>
      <c r="M75" s="2">
        <v>110.8193</v>
      </c>
      <c r="N75" s="2">
        <v>19</v>
      </c>
      <c r="O75" s="2">
        <v>108.97239999999999</v>
      </c>
      <c r="P75" s="2">
        <v>43</v>
      </c>
      <c r="Q75" s="2">
        <v>101.25539999999999</v>
      </c>
      <c r="R75" s="2">
        <v>174</v>
      </c>
      <c r="S75" s="2">
        <v>100.0074</v>
      </c>
      <c r="T75" s="2">
        <v>140</v>
      </c>
      <c r="U75" s="2">
        <v>0.72855099999999995</v>
      </c>
      <c r="V75" s="2">
        <v>74</v>
      </c>
      <c r="W75" s="2">
        <v>2002</v>
      </c>
    </row>
    <row r="76" spans="1:23" ht="12.3" x14ac:dyDescent="0.4">
      <c r="A76" s="2" t="s">
        <v>139</v>
      </c>
      <c r="B76" s="2">
        <v>13</v>
      </c>
      <c r="C76" s="2"/>
      <c r="D76" s="2"/>
      <c r="E76" s="2"/>
      <c r="F76" s="2"/>
      <c r="G76" s="2"/>
      <c r="H76" s="2"/>
      <c r="I76" s="2">
        <v>70.364400000000003</v>
      </c>
      <c r="J76" s="2">
        <v>35</v>
      </c>
      <c r="K76" s="2">
        <v>69.528899999999993</v>
      </c>
      <c r="L76" s="2">
        <v>44</v>
      </c>
      <c r="M76" s="2">
        <v>107.5398</v>
      </c>
      <c r="N76" s="2">
        <v>103</v>
      </c>
      <c r="O76" s="2">
        <v>106.01430000000001</v>
      </c>
      <c r="P76" s="2">
        <v>139</v>
      </c>
      <c r="Q76" s="2">
        <v>97.279399999999995</v>
      </c>
      <c r="R76" s="2">
        <v>34</v>
      </c>
      <c r="S76" s="2">
        <v>96.653700000000001</v>
      </c>
      <c r="T76" s="2">
        <v>42</v>
      </c>
      <c r="U76" s="2">
        <v>0.74327500000000002</v>
      </c>
      <c r="V76" s="2">
        <v>67</v>
      </c>
      <c r="W76" s="2">
        <v>2014</v>
      </c>
    </row>
    <row r="77" spans="1:23" ht="12.3" hidden="1" x14ac:dyDescent="0.4">
      <c r="A77" s="2" t="s">
        <v>103</v>
      </c>
      <c r="B77" s="2"/>
      <c r="C77" s="2"/>
      <c r="D77" s="2"/>
      <c r="E77" s="2"/>
      <c r="F77" s="2"/>
      <c r="G77" s="2"/>
      <c r="H77" s="2"/>
      <c r="I77" s="2">
        <v>74.1601</v>
      </c>
      <c r="J77" s="2">
        <v>31</v>
      </c>
      <c r="K77" s="2">
        <v>73.216300000000004</v>
      </c>
      <c r="L77" s="2">
        <v>47</v>
      </c>
      <c r="M77" s="2">
        <v>102.2865</v>
      </c>
      <c r="N77" s="2">
        <v>139</v>
      </c>
      <c r="O77" s="2">
        <v>103.6747</v>
      </c>
      <c r="P77" s="2">
        <v>110</v>
      </c>
      <c r="Q77" s="2">
        <v>98.018299999999996</v>
      </c>
      <c r="R77" s="2">
        <v>91</v>
      </c>
      <c r="S77" s="2">
        <v>95.985900000000001</v>
      </c>
      <c r="T77" s="2">
        <v>57</v>
      </c>
      <c r="U77" s="2">
        <v>0.70809599999999995</v>
      </c>
      <c r="V77" s="2">
        <v>76</v>
      </c>
      <c r="W77" s="2">
        <v>2002</v>
      </c>
    </row>
    <row r="78" spans="1:23" ht="12.3" x14ac:dyDescent="0.4">
      <c r="A78" s="2" t="s">
        <v>69</v>
      </c>
      <c r="B78" s="2">
        <v>13</v>
      </c>
      <c r="C78" s="2"/>
      <c r="D78" s="2"/>
      <c r="E78" s="2"/>
      <c r="F78" s="2"/>
      <c r="G78" s="2"/>
      <c r="H78" s="2"/>
      <c r="I78" s="2">
        <v>68.751599999999996</v>
      </c>
      <c r="J78" s="2">
        <v>72</v>
      </c>
      <c r="K78" s="2">
        <v>68.467799999999997</v>
      </c>
      <c r="L78" s="2">
        <v>73</v>
      </c>
      <c r="M78" s="2">
        <v>105.6648</v>
      </c>
      <c r="N78" s="2">
        <v>156</v>
      </c>
      <c r="O78" s="2">
        <v>105.2906</v>
      </c>
      <c r="P78" s="2">
        <v>162</v>
      </c>
      <c r="Q78" s="2">
        <v>96.901899999999998</v>
      </c>
      <c r="R78" s="2">
        <v>29</v>
      </c>
      <c r="S78" s="2">
        <v>96.005300000000005</v>
      </c>
      <c r="T78" s="2">
        <v>28</v>
      </c>
      <c r="U78" s="2">
        <v>0.74301399999999995</v>
      </c>
      <c r="V78" s="2">
        <v>68</v>
      </c>
      <c r="W78" s="2">
        <v>2014</v>
      </c>
    </row>
    <row r="79" spans="1:23" ht="12.3" hidden="1" x14ac:dyDescent="0.4">
      <c r="A79" s="2" t="s">
        <v>105</v>
      </c>
      <c r="B79" s="2"/>
      <c r="C79" s="2"/>
      <c r="D79" s="2"/>
      <c r="E79" s="2"/>
      <c r="F79" s="2"/>
      <c r="G79" s="2"/>
      <c r="H79" s="2"/>
      <c r="I79" s="2">
        <v>65.134399999999999</v>
      </c>
      <c r="J79" s="2">
        <v>291</v>
      </c>
      <c r="K79" s="2">
        <v>63.680399999999999</v>
      </c>
      <c r="L79" s="2">
        <v>314</v>
      </c>
      <c r="M79" s="2">
        <v>104.3125</v>
      </c>
      <c r="N79" s="2">
        <v>101</v>
      </c>
      <c r="O79" s="2">
        <v>102.3335</v>
      </c>
      <c r="P79" s="2">
        <v>135</v>
      </c>
      <c r="Q79" s="2">
        <v>92.361199999999997</v>
      </c>
      <c r="R79" s="2">
        <v>13</v>
      </c>
      <c r="S79" s="2">
        <v>95.073999999999998</v>
      </c>
      <c r="T79" s="2">
        <v>43</v>
      </c>
      <c r="U79" s="2">
        <v>0.69976700000000003</v>
      </c>
      <c r="V79" s="2">
        <v>78</v>
      </c>
      <c r="W79" s="2">
        <v>2002</v>
      </c>
    </row>
    <row r="80" spans="1:23" ht="12.3" hidden="1" x14ac:dyDescent="0.4">
      <c r="A80" s="2" t="s">
        <v>106</v>
      </c>
      <c r="B80" s="2"/>
      <c r="C80" s="2"/>
      <c r="D80" s="2"/>
      <c r="E80" s="2"/>
      <c r="F80" s="2"/>
      <c r="G80" s="2"/>
      <c r="H80" s="2"/>
      <c r="I80" s="2">
        <v>71.2072</v>
      </c>
      <c r="J80" s="2">
        <v>108</v>
      </c>
      <c r="K80" s="2">
        <v>72.909000000000006</v>
      </c>
      <c r="L80" s="2">
        <v>54</v>
      </c>
      <c r="M80" s="2">
        <v>112.8903</v>
      </c>
      <c r="N80" s="2">
        <v>6</v>
      </c>
      <c r="O80" s="2">
        <v>113.834</v>
      </c>
      <c r="P80" s="2">
        <v>13</v>
      </c>
      <c r="Q80" s="2">
        <v>108.779</v>
      </c>
      <c r="R80" s="2">
        <v>307</v>
      </c>
      <c r="S80" s="2">
        <v>106.0181</v>
      </c>
      <c r="T80" s="2">
        <v>258</v>
      </c>
      <c r="U80" s="2">
        <v>0.69381400000000004</v>
      </c>
      <c r="V80" s="2">
        <v>79</v>
      </c>
      <c r="W80" s="2">
        <v>2002</v>
      </c>
    </row>
    <row r="81" spans="1:23" ht="12.3" x14ac:dyDescent="0.4">
      <c r="A81" s="2" t="s">
        <v>118</v>
      </c>
      <c r="B81" s="2">
        <v>13</v>
      </c>
      <c r="C81" s="2"/>
      <c r="D81" s="2"/>
      <c r="E81" s="2"/>
      <c r="F81" s="2"/>
      <c r="G81" s="2"/>
      <c r="H81" s="2"/>
      <c r="I81" s="2">
        <v>66.914199999999994</v>
      </c>
      <c r="J81" s="2">
        <v>152</v>
      </c>
      <c r="K81" s="2">
        <v>66.460099999999997</v>
      </c>
      <c r="L81" s="2">
        <v>170</v>
      </c>
      <c r="M81" s="2">
        <v>113.90260000000001</v>
      </c>
      <c r="N81" s="2">
        <v>21</v>
      </c>
      <c r="O81" s="2">
        <v>112.07340000000001</v>
      </c>
      <c r="P81" s="2">
        <v>42</v>
      </c>
      <c r="Q81" s="2">
        <v>100.00960000000001</v>
      </c>
      <c r="R81" s="2">
        <v>77</v>
      </c>
      <c r="S81" s="2">
        <v>102.6728</v>
      </c>
      <c r="T81" s="2">
        <v>129</v>
      </c>
      <c r="U81" s="2">
        <v>0.73252700000000004</v>
      </c>
      <c r="V81" s="2">
        <v>71</v>
      </c>
      <c r="W81" s="2">
        <v>2014</v>
      </c>
    </row>
    <row r="82" spans="1:23" ht="12.3" hidden="1" x14ac:dyDescent="0.4">
      <c r="A82" s="2" t="s">
        <v>108</v>
      </c>
      <c r="B82" s="2"/>
      <c r="C82" s="2"/>
      <c r="D82" s="2"/>
      <c r="E82" s="2"/>
      <c r="F82" s="2"/>
      <c r="G82" s="2"/>
      <c r="H82" s="2"/>
      <c r="I82" s="2">
        <v>76.288300000000007</v>
      </c>
      <c r="J82" s="2">
        <v>14</v>
      </c>
      <c r="K82" s="2">
        <v>75.299000000000007</v>
      </c>
      <c r="L82" s="2">
        <v>14</v>
      </c>
      <c r="M82" s="2">
        <v>102.84480000000001</v>
      </c>
      <c r="N82" s="2">
        <v>125</v>
      </c>
      <c r="O82" s="2">
        <v>104.2533</v>
      </c>
      <c r="P82" s="2">
        <v>101</v>
      </c>
      <c r="Q82" s="2">
        <v>96.969899999999996</v>
      </c>
      <c r="R82" s="2">
        <v>77</v>
      </c>
      <c r="S82" s="2">
        <v>97.484999999999999</v>
      </c>
      <c r="T82" s="2">
        <v>87</v>
      </c>
      <c r="U82" s="2">
        <v>0.68393899999999996</v>
      </c>
      <c r="V82" s="2">
        <v>81</v>
      </c>
      <c r="W82" s="2">
        <v>2002</v>
      </c>
    </row>
    <row r="83" spans="1:23" ht="12.3" hidden="1" x14ac:dyDescent="0.4">
      <c r="A83" s="2" t="s">
        <v>109</v>
      </c>
      <c r="B83" s="2"/>
      <c r="C83" s="2"/>
      <c r="D83" s="2"/>
      <c r="E83" s="2"/>
      <c r="F83" s="2"/>
      <c r="G83" s="2"/>
      <c r="H83" s="2"/>
      <c r="I83" s="2">
        <v>71.981399999999994</v>
      </c>
      <c r="J83" s="2">
        <v>83</v>
      </c>
      <c r="K83" s="2">
        <v>73.788600000000002</v>
      </c>
      <c r="L83" s="2">
        <v>39</v>
      </c>
      <c r="M83" s="2">
        <v>105.7942</v>
      </c>
      <c r="N83" s="2">
        <v>71</v>
      </c>
      <c r="O83" s="2">
        <v>107.4528</v>
      </c>
      <c r="P83" s="2">
        <v>65</v>
      </c>
      <c r="Q83" s="2">
        <v>101.5736</v>
      </c>
      <c r="R83" s="2">
        <v>180</v>
      </c>
      <c r="S83" s="2">
        <v>100.58459999999999</v>
      </c>
      <c r="T83" s="2">
        <v>156</v>
      </c>
      <c r="U83" s="2">
        <v>0.68126699999999996</v>
      </c>
      <c r="V83" s="2">
        <v>82</v>
      </c>
      <c r="W83" s="2">
        <v>2002</v>
      </c>
    </row>
    <row r="84" spans="1:23" ht="12.3" hidden="1" x14ac:dyDescent="0.4">
      <c r="A84" s="2" t="s">
        <v>110</v>
      </c>
      <c r="B84" s="2"/>
      <c r="C84" s="2"/>
      <c r="D84" s="2"/>
      <c r="E84" s="2"/>
      <c r="F84" s="2"/>
      <c r="G84" s="2"/>
      <c r="H84" s="2"/>
      <c r="I84" s="2">
        <v>64.8001</v>
      </c>
      <c r="J84" s="2">
        <v>300</v>
      </c>
      <c r="K84" s="2">
        <v>66.230699999999999</v>
      </c>
      <c r="L84" s="2">
        <v>277</v>
      </c>
      <c r="M84" s="2">
        <v>106.38979999999999</v>
      </c>
      <c r="N84" s="2">
        <v>62</v>
      </c>
      <c r="O84" s="2">
        <v>106.73309999999999</v>
      </c>
      <c r="P84" s="2">
        <v>74</v>
      </c>
      <c r="Q84" s="2">
        <v>98.537000000000006</v>
      </c>
      <c r="R84" s="2">
        <v>103</v>
      </c>
      <c r="S84" s="2">
        <v>99.997799999999998</v>
      </c>
      <c r="T84" s="2">
        <v>139</v>
      </c>
      <c r="U84" s="2">
        <v>0.67909200000000003</v>
      </c>
      <c r="V84" s="2">
        <v>83</v>
      </c>
      <c r="W84" s="2">
        <v>2002</v>
      </c>
    </row>
    <row r="85" spans="1:23" ht="12.3" hidden="1" x14ac:dyDescent="0.4">
      <c r="A85" s="2" t="s">
        <v>111</v>
      </c>
      <c r="B85" s="2"/>
      <c r="C85" s="2"/>
      <c r="D85" s="2"/>
      <c r="E85" s="2"/>
      <c r="F85" s="2"/>
      <c r="G85" s="2"/>
      <c r="H85" s="2"/>
      <c r="I85" s="2">
        <v>71.017099999999999</v>
      </c>
      <c r="J85" s="2">
        <v>112</v>
      </c>
      <c r="K85" s="2">
        <v>71.0334</v>
      </c>
      <c r="L85" s="2">
        <v>113</v>
      </c>
      <c r="M85" s="2">
        <v>101.3777</v>
      </c>
      <c r="N85" s="2">
        <v>151</v>
      </c>
      <c r="O85" s="2">
        <v>105.0753</v>
      </c>
      <c r="P85" s="2">
        <v>91</v>
      </c>
      <c r="Q85" s="2">
        <v>102.6463</v>
      </c>
      <c r="R85" s="2">
        <v>201</v>
      </c>
      <c r="S85" s="2">
        <v>98.482200000000006</v>
      </c>
      <c r="T85" s="2">
        <v>103</v>
      </c>
      <c r="U85" s="2">
        <v>0.67813699999999999</v>
      </c>
      <c r="V85" s="2">
        <v>84</v>
      </c>
      <c r="W85" s="2">
        <v>2002</v>
      </c>
    </row>
    <row r="86" spans="1:23" ht="12.3" hidden="1" x14ac:dyDescent="0.4">
      <c r="A86" s="2" t="s">
        <v>112</v>
      </c>
      <c r="B86" s="2"/>
      <c r="C86" s="2"/>
      <c r="D86" s="2"/>
      <c r="E86" s="2"/>
      <c r="F86" s="2"/>
      <c r="G86" s="2"/>
      <c r="H86" s="2"/>
      <c r="I86" s="2">
        <v>73.045500000000004</v>
      </c>
      <c r="J86" s="2">
        <v>62</v>
      </c>
      <c r="K86" s="2">
        <v>73.999700000000004</v>
      </c>
      <c r="L86" s="2">
        <v>31</v>
      </c>
      <c r="M86" s="2">
        <v>100.08759999999999</v>
      </c>
      <c r="N86" s="2">
        <v>180</v>
      </c>
      <c r="O86" s="2">
        <v>100.7336</v>
      </c>
      <c r="P86" s="2">
        <v>161</v>
      </c>
      <c r="Q86" s="2">
        <v>95.962999999999994</v>
      </c>
      <c r="R86" s="2">
        <v>63</v>
      </c>
      <c r="S86" s="2">
        <v>94.625600000000006</v>
      </c>
      <c r="T86" s="2">
        <v>36</v>
      </c>
      <c r="U86" s="2">
        <v>0.67246099999999998</v>
      </c>
      <c r="V86" s="2">
        <v>85</v>
      </c>
      <c r="W86" s="2">
        <v>2002</v>
      </c>
    </row>
    <row r="87" spans="1:23" ht="12.3" hidden="1" x14ac:dyDescent="0.4">
      <c r="A87" s="2" t="s">
        <v>113</v>
      </c>
      <c r="B87" s="2"/>
      <c r="C87" s="2"/>
      <c r="D87" s="2"/>
      <c r="E87" s="2"/>
      <c r="F87" s="2"/>
      <c r="G87" s="2"/>
      <c r="H87" s="2"/>
      <c r="I87" s="2">
        <v>71.269599999999997</v>
      </c>
      <c r="J87" s="2">
        <v>106</v>
      </c>
      <c r="K87" s="2">
        <v>71.708399999999997</v>
      </c>
      <c r="L87" s="2">
        <v>85</v>
      </c>
      <c r="M87" s="2">
        <v>92.166399999999996</v>
      </c>
      <c r="N87" s="2">
        <v>298</v>
      </c>
      <c r="O87" s="2">
        <v>95.558400000000006</v>
      </c>
      <c r="P87" s="2">
        <v>253</v>
      </c>
      <c r="Q87" s="2">
        <v>93.410799999999995</v>
      </c>
      <c r="R87" s="2">
        <v>24</v>
      </c>
      <c r="S87" s="2">
        <v>90.233599999999996</v>
      </c>
      <c r="T87" s="2">
        <v>7</v>
      </c>
      <c r="U87" s="2">
        <v>0.65911500000000001</v>
      </c>
      <c r="V87" s="2">
        <v>86</v>
      </c>
      <c r="W87" s="2">
        <v>2002</v>
      </c>
    </row>
    <row r="88" spans="1:23" ht="12.3" hidden="1" x14ac:dyDescent="0.4">
      <c r="A88" s="2" t="s">
        <v>114</v>
      </c>
      <c r="B88" s="2"/>
      <c r="C88" s="2"/>
      <c r="D88" s="2"/>
      <c r="E88" s="2"/>
      <c r="F88" s="2"/>
      <c r="G88" s="2"/>
      <c r="H88" s="2"/>
      <c r="I88" s="2">
        <v>69.226200000000006</v>
      </c>
      <c r="J88" s="2">
        <v>184</v>
      </c>
      <c r="K88" s="2">
        <v>68.167299999999997</v>
      </c>
      <c r="L88" s="2">
        <v>219</v>
      </c>
      <c r="M88" s="2">
        <v>111.8253</v>
      </c>
      <c r="N88" s="2">
        <v>14</v>
      </c>
      <c r="O88" s="2">
        <v>108.1228</v>
      </c>
      <c r="P88" s="2">
        <v>55</v>
      </c>
      <c r="Q88" s="2">
        <v>100.32810000000001</v>
      </c>
      <c r="R88" s="2">
        <v>152</v>
      </c>
      <c r="S88" s="2">
        <v>102.131</v>
      </c>
      <c r="T88" s="2">
        <v>188</v>
      </c>
      <c r="U88" s="2">
        <v>0.65827999999999998</v>
      </c>
      <c r="V88" s="2">
        <v>87</v>
      </c>
      <c r="W88" s="2">
        <v>2002</v>
      </c>
    </row>
    <row r="89" spans="1:23" ht="12.3" hidden="1" x14ac:dyDescent="0.4">
      <c r="A89" s="2" t="s">
        <v>115</v>
      </c>
      <c r="B89" s="2"/>
      <c r="C89" s="2"/>
      <c r="D89" s="2"/>
      <c r="E89" s="2"/>
      <c r="F89" s="2"/>
      <c r="G89" s="2"/>
      <c r="H89" s="2"/>
      <c r="I89" s="2">
        <v>66.924599999999998</v>
      </c>
      <c r="J89" s="2">
        <v>254</v>
      </c>
      <c r="K89" s="2">
        <v>67.9084</v>
      </c>
      <c r="L89" s="2">
        <v>227</v>
      </c>
      <c r="M89" s="2">
        <v>107.8925</v>
      </c>
      <c r="N89" s="2">
        <v>44</v>
      </c>
      <c r="O89" s="2">
        <v>107.9879</v>
      </c>
      <c r="P89" s="2">
        <v>56</v>
      </c>
      <c r="Q89" s="2">
        <v>102.8417</v>
      </c>
      <c r="R89" s="2">
        <v>208</v>
      </c>
      <c r="S89" s="2">
        <v>102.0279</v>
      </c>
      <c r="T89" s="2">
        <v>187</v>
      </c>
      <c r="U89" s="2">
        <v>0.657663</v>
      </c>
      <c r="V89" s="2">
        <v>88</v>
      </c>
      <c r="W89" s="2">
        <v>2002</v>
      </c>
    </row>
    <row r="90" spans="1:23" ht="12.3" hidden="1" x14ac:dyDescent="0.4">
      <c r="A90" s="2" t="s">
        <v>116</v>
      </c>
      <c r="B90" s="2"/>
      <c r="C90" s="2"/>
      <c r="D90" s="2"/>
      <c r="E90" s="2"/>
      <c r="F90" s="2"/>
      <c r="G90" s="2"/>
      <c r="H90" s="2"/>
      <c r="I90" s="2">
        <v>67.153199999999998</v>
      </c>
      <c r="J90" s="2">
        <v>249</v>
      </c>
      <c r="K90" s="2">
        <v>67.025000000000006</v>
      </c>
      <c r="L90" s="2">
        <v>252</v>
      </c>
      <c r="M90" s="2">
        <v>93.446200000000005</v>
      </c>
      <c r="N90" s="2">
        <v>286</v>
      </c>
      <c r="O90" s="2">
        <v>94.1203</v>
      </c>
      <c r="P90" s="2">
        <v>277</v>
      </c>
      <c r="Q90" s="2">
        <v>93.088800000000006</v>
      </c>
      <c r="R90" s="2">
        <v>21</v>
      </c>
      <c r="S90" s="2">
        <v>89.116600000000005</v>
      </c>
      <c r="T90" s="2">
        <v>5</v>
      </c>
      <c r="U90" s="2">
        <v>0.65208500000000003</v>
      </c>
      <c r="V90" s="2">
        <v>89</v>
      </c>
      <c r="W90" s="2">
        <v>2002</v>
      </c>
    </row>
    <row r="91" spans="1:23" ht="12.3" hidden="1" x14ac:dyDescent="0.4">
      <c r="A91" s="2" t="s">
        <v>117</v>
      </c>
      <c r="B91" s="2"/>
      <c r="C91" s="2"/>
      <c r="D91" s="2"/>
      <c r="E91" s="2"/>
      <c r="F91" s="2"/>
      <c r="G91" s="2"/>
      <c r="H91" s="2"/>
      <c r="I91" s="2">
        <v>70.792199999999994</v>
      </c>
      <c r="J91" s="2">
        <v>124</v>
      </c>
      <c r="K91" s="2">
        <v>71.552400000000006</v>
      </c>
      <c r="L91" s="2">
        <v>89</v>
      </c>
      <c r="M91" s="2">
        <v>97.170299999999997</v>
      </c>
      <c r="N91" s="2">
        <v>234</v>
      </c>
      <c r="O91" s="2">
        <v>97.629000000000005</v>
      </c>
      <c r="P91" s="2">
        <v>220</v>
      </c>
      <c r="Q91" s="2">
        <v>92.717200000000005</v>
      </c>
      <c r="R91" s="2">
        <v>17</v>
      </c>
      <c r="S91" s="2">
        <v>92.498000000000005</v>
      </c>
      <c r="T91" s="2">
        <v>24</v>
      </c>
      <c r="U91" s="2">
        <v>0.65041499999999997</v>
      </c>
      <c r="V91" s="2">
        <v>90</v>
      </c>
      <c r="W91" s="2">
        <v>2002</v>
      </c>
    </row>
    <row r="92" spans="1:23" ht="12.3" hidden="1" x14ac:dyDescent="0.4">
      <c r="A92" s="2" t="s">
        <v>118</v>
      </c>
      <c r="B92" s="2"/>
      <c r="C92" s="2"/>
      <c r="D92" s="2"/>
      <c r="E92" s="2"/>
      <c r="F92" s="2"/>
      <c r="G92" s="2"/>
      <c r="H92" s="2"/>
      <c r="I92" s="2">
        <v>70.350999999999999</v>
      </c>
      <c r="J92" s="2">
        <v>141</v>
      </c>
      <c r="K92" s="2">
        <v>69.477699999999999</v>
      </c>
      <c r="L92" s="2">
        <v>171</v>
      </c>
      <c r="M92" s="2">
        <v>106.4849</v>
      </c>
      <c r="N92" s="2">
        <v>61</v>
      </c>
      <c r="O92" s="2">
        <v>107.4439</v>
      </c>
      <c r="P92" s="2">
        <v>66</v>
      </c>
      <c r="Q92" s="2">
        <v>100.8369</v>
      </c>
      <c r="R92" s="2">
        <v>167</v>
      </c>
      <c r="S92" s="2">
        <v>101.8771</v>
      </c>
      <c r="T92" s="2">
        <v>184</v>
      </c>
      <c r="U92" s="2">
        <v>0.64835600000000004</v>
      </c>
      <c r="V92" s="2">
        <v>91</v>
      </c>
      <c r="W92" s="2">
        <v>2002</v>
      </c>
    </row>
    <row r="93" spans="1:23" ht="12.3" hidden="1" x14ac:dyDescent="0.4">
      <c r="A93" s="2" t="s">
        <v>119</v>
      </c>
      <c r="B93" s="2"/>
      <c r="C93" s="2"/>
      <c r="D93" s="2"/>
      <c r="E93" s="2"/>
      <c r="F93" s="2"/>
      <c r="G93" s="2"/>
      <c r="H93" s="2"/>
      <c r="I93" s="2">
        <v>71.493899999999996</v>
      </c>
      <c r="J93" s="2">
        <v>99</v>
      </c>
      <c r="K93" s="2">
        <v>69.835700000000003</v>
      </c>
      <c r="L93" s="2">
        <v>161</v>
      </c>
      <c r="M93" s="2">
        <v>97.924000000000007</v>
      </c>
      <c r="N93" s="2">
        <v>218</v>
      </c>
      <c r="O93" s="2">
        <v>101.9892</v>
      </c>
      <c r="P93" s="2">
        <v>140</v>
      </c>
      <c r="Q93" s="2">
        <v>98.787700000000001</v>
      </c>
      <c r="R93" s="2">
        <v>109</v>
      </c>
      <c r="S93" s="2">
        <v>96.712900000000005</v>
      </c>
      <c r="T93" s="2">
        <v>69</v>
      </c>
      <c r="U93" s="2">
        <v>0.648142</v>
      </c>
      <c r="V93" s="2">
        <v>92</v>
      </c>
      <c r="W93" s="2">
        <v>2002</v>
      </c>
    </row>
    <row r="94" spans="1:23" ht="12.3" hidden="1" x14ac:dyDescent="0.4">
      <c r="A94" s="2" t="s">
        <v>120</v>
      </c>
      <c r="B94" s="2"/>
      <c r="C94" s="2"/>
      <c r="D94" s="2"/>
      <c r="E94" s="2"/>
      <c r="F94" s="2"/>
      <c r="G94" s="2"/>
      <c r="H94" s="2"/>
      <c r="I94" s="2">
        <v>73.046800000000005</v>
      </c>
      <c r="J94" s="2">
        <v>61</v>
      </c>
      <c r="K94" s="2">
        <v>72.702600000000004</v>
      </c>
      <c r="L94" s="2">
        <v>59</v>
      </c>
      <c r="M94" s="2">
        <v>96.804500000000004</v>
      </c>
      <c r="N94" s="2">
        <v>240</v>
      </c>
      <c r="O94" s="2">
        <v>99.898200000000003</v>
      </c>
      <c r="P94" s="2">
        <v>183</v>
      </c>
      <c r="Q94" s="2">
        <v>95.032200000000003</v>
      </c>
      <c r="R94" s="2">
        <v>51</v>
      </c>
      <c r="S94" s="2">
        <v>94.783500000000004</v>
      </c>
      <c r="T94" s="2">
        <v>41</v>
      </c>
      <c r="U94" s="2">
        <v>0.64666000000000001</v>
      </c>
      <c r="V94" s="2">
        <v>93</v>
      </c>
      <c r="W94" s="2">
        <v>2002</v>
      </c>
    </row>
    <row r="95" spans="1:23" ht="12.3" hidden="1" x14ac:dyDescent="0.4">
      <c r="A95" s="2" t="s">
        <v>121</v>
      </c>
      <c r="B95" s="2"/>
      <c r="C95" s="2"/>
      <c r="D95" s="2"/>
      <c r="E95" s="2"/>
      <c r="F95" s="2"/>
      <c r="G95" s="2"/>
      <c r="H95" s="2"/>
      <c r="I95" s="2">
        <v>68.581999999999994</v>
      </c>
      <c r="J95" s="2">
        <v>207</v>
      </c>
      <c r="K95" s="2">
        <v>69.554500000000004</v>
      </c>
      <c r="L95" s="2">
        <v>168</v>
      </c>
      <c r="M95" s="2">
        <v>103.17059999999999</v>
      </c>
      <c r="N95" s="2">
        <v>120</v>
      </c>
      <c r="O95" s="2">
        <v>106.38630000000001</v>
      </c>
      <c r="P95" s="2">
        <v>79</v>
      </c>
      <c r="Q95" s="2">
        <v>104.30880000000001</v>
      </c>
      <c r="R95" s="2">
        <v>241</v>
      </c>
      <c r="S95" s="2">
        <v>101.00700000000001</v>
      </c>
      <c r="T95" s="2">
        <v>163</v>
      </c>
      <c r="U95" s="2">
        <v>0.64490099999999995</v>
      </c>
      <c r="V95" s="2">
        <v>94</v>
      </c>
      <c r="W95" s="2">
        <v>2002</v>
      </c>
    </row>
    <row r="96" spans="1:23" ht="12.3" hidden="1" x14ac:dyDescent="0.4">
      <c r="A96" s="2" t="s">
        <v>122</v>
      </c>
      <c r="B96" s="2"/>
      <c r="C96" s="2"/>
      <c r="D96" s="2"/>
      <c r="E96" s="2"/>
      <c r="F96" s="2"/>
      <c r="G96" s="2"/>
      <c r="H96" s="2"/>
      <c r="I96" s="2">
        <v>71.863399999999999</v>
      </c>
      <c r="J96" s="2">
        <v>86</v>
      </c>
      <c r="K96" s="2">
        <v>73.458200000000005</v>
      </c>
      <c r="L96" s="2">
        <v>45</v>
      </c>
      <c r="M96" s="2">
        <v>102.67149999999999</v>
      </c>
      <c r="N96" s="2">
        <v>126</v>
      </c>
      <c r="O96" s="2">
        <v>102.2196</v>
      </c>
      <c r="P96" s="2">
        <v>139</v>
      </c>
      <c r="Q96" s="2">
        <v>98.0398</v>
      </c>
      <c r="R96" s="2">
        <v>93</v>
      </c>
      <c r="S96" s="2">
        <v>97.246600000000001</v>
      </c>
      <c r="T96" s="2">
        <v>80</v>
      </c>
      <c r="U96" s="2">
        <v>0.63958000000000004</v>
      </c>
      <c r="V96" s="2">
        <v>95</v>
      </c>
      <c r="W96" s="2">
        <v>2002</v>
      </c>
    </row>
    <row r="97" spans="1:23" ht="12.3" hidden="1" x14ac:dyDescent="0.4">
      <c r="A97" s="2" t="s">
        <v>123</v>
      </c>
      <c r="B97" s="2"/>
      <c r="C97" s="2"/>
      <c r="D97" s="2"/>
      <c r="E97" s="2"/>
      <c r="F97" s="2"/>
      <c r="G97" s="2"/>
      <c r="H97" s="2"/>
      <c r="I97" s="2">
        <v>71.866600000000005</v>
      </c>
      <c r="J97" s="2">
        <v>85</v>
      </c>
      <c r="K97" s="2">
        <v>71.1648</v>
      </c>
      <c r="L97" s="2">
        <v>108</v>
      </c>
      <c r="M97" s="2">
        <v>93.771600000000007</v>
      </c>
      <c r="N97" s="2">
        <v>283</v>
      </c>
      <c r="O97" s="2">
        <v>95.283699999999996</v>
      </c>
      <c r="P97" s="2">
        <v>261</v>
      </c>
      <c r="Q97" s="2">
        <v>91.463300000000004</v>
      </c>
      <c r="R97" s="2">
        <v>9</v>
      </c>
      <c r="S97" s="2">
        <v>90.672399999999996</v>
      </c>
      <c r="T97" s="2">
        <v>11</v>
      </c>
      <c r="U97" s="2">
        <v>0.63887000000000005</v>
      </c>
      <c r="V97" s="2">
        <v>96</v>
      </c>
      <c r="W97" s="2">
        <v>2002</v>
      </c>
    </row>
    <row r="98" spans="1:23" ht="12.3" hidden="1" x14ac:dyDescent="0.4">
      <c r="A98" s="2" t="s">
        <v>124</v>
      </c>
      <c r="B98" s="2"/>
      <c r="C98" s="2"/>
      <c r="D98" s="2"/>
      <c r="E98" s="2"/>
      <c r="F98" s="2"/>
      <c r="G98" s="2"/>
      <c r="H98" s="2"/>
      <c r="I98" s="2">
        <v>62.9664</v>
      </c>
      <c r="J98" s="2">
        <v>313</v>
      </c>
      <c r="K98" s="2">
        <v>63.220500000000001</v>
      </c>
      <c r="L98" s="2">
        <v>318</v>
      </c>
      <c r="M98" s="2">
        <v>95.022499999999994</v>
      </c>
      <c r="N98" s="2">
        <v>263</v>
      </c>
      <c r="O98" s="2">
        <v>97.096100000000007</v>
      </c>
      <c r="P98" s="2">
        <v>226</v>
      </c>
      <c r="Q98" s="2">
        <v>94.151799999999994</v>
      </c>
      <c r="R98" s="2">
        <v>31</v>
      </c>
      <c r="S98" s="2">
        <v>92.481700000000004</v>
      </c>
      <c r="T98" s="2">
        <v>23</v>
      </c>
      <c r="U98" s="2">
        <v>0.63643799999999995</v>
      </c>
      <c r="V98" s="2">
        <v>97</v>
      </c>
      <c r="W98" s="2">
        <v>2002</v>
      </c>
    </row>
    <row r="99" spans="1:23" ht="12.3" hidden="1" x14ac:dyDescent="0.4">
      <c r="A99" s="2" t="s">
        <v>125</v>
      </c>
      <c r="B99" s="2"/>
      <c r="C99" s="2"/>
      <c r="D99" s="2"/>
      <c r="E99" s="2"/>
      <c r="F99" s="2"/>
      <c r="G99" s="2"/>
      <c r="H99" s="2"/>
      <c r="I99" s="2">
        <v>70.096299999999999</v>
      </c>
      <c r="J99" s="2">
        <v>156</v>
      </c>
      <c r="K99" s="2">
        <v>70.469499999999996</v>
      </c>
      <c r="L99" s="2">
        <v>132</v>
      </c>
      <c r="M99" s="2">
        <v>103.7826</v>
      </c>
      <c r="N99" s="2">
        <v>115</v>
      </c>
      <c r="O99" s="2">
        <v>103.8484</v>
      </c>
      <c r="P99" s="2">
        <v>109</v>
      </c>
      <c r="Q99" s="2">
        <v>96.388000000000005</v>
      </c>
      <c r="R99" s="2">
        <v>68</v>
      </c>
      <c r="S99" s="2">
        <v>98.942400000000006</v>
      </c>
      <c r="T99" s="2">
        <v>113</v>
      </c>
      <c r="U99" s="2">
        <v>0.63565099999999997</v>
      </c>
      <c r="V99" s="2">
        <v>98</v>
      </c>
      <c r="W99" s="2">
        <v>2002</v>
      </c>
    </row>
    <row r="100" spans="1:23" ht="12.3" hidden="1" x14ac:dyDescent="0.4">
      <c r="A100" s="2" t="s">
        <v>126</v>
      </c>
      <c r="B100" s="2"/>
      <c r="C100" s="2"/>
      <c r="D100" s="2"/>
      <c r="E100" s="2"/>
      <c r="F100" s="2"/>
      <c r="G100" s="2"/>
      <c r="H100" s="2"/>
      <c r="I100" s="2">
        <v>64.701800000000006</v>
      </c>
      <c r="J100" s="2">
        <v>301</v>
      </c>
      <c r="K100" s="2">
        <v>66.390500000000003</v>
      </c>
      <c r="L100" s="2">
        <v>274</v>
      </c>
      <c r="M100" s="2">
        <v>107.4374</v>
      </c>
      <c r="N100" s="2">
        <v>48</v>
      </c>
      <c r="O100" s="2">
        <v>107.1815</v>
      </c>
      <c r="P100" s="2">
        <v>68</v>
      </c>
      <c r="Q100" s="2">
        <v>100.44199999999999</v>
      </c>
      <c r="R100" s="2">
        <v>157</v>
      </c>
      <c r="S100" s="2">
        <v>102.1336</v>
      </c>
      <c r="T100" s="2">
        <v>189</v>
      </c>
      <c r="U100" s="2">
        <v>0.63524499999999995</v>
      </c>
      <c r="V100" s="2">
        <v>99</v>
      </c>
      <c r="W100" s="2">
        <v>2002</v>
      </c>
    </row>
    <row r="101" spans="1:23" ht="12.3" hidden="1" x14ac:dyDescent="0.4">
      <c r="A101" s="2" t="s">
        <v>127</v>
      </c>
      <c r="B101" s="2"/>
      <c r="C101" s="2"/>
      <c r="D101" s="2"/>
      <c r="E101" s="2"/>
      <c r="F101" s="2"/>
      <c r="G101" s="2"/>
      <c r="H101" s="2"/>
      <c r="I101" s="2">
        <v>71.495000000000005</v>
      </c>
      <c r="J101" s="2">
        <v>98</v>
      </c>
      <c r="K101" s="2">
        <v>70.006799999999998</v>
      </c>
      <c r="L101" s="2">
        <v>153</v>
      </c>
      <c r="M101" s="2">
        <v>101.0313</v>
      </c>
      <c r="N101" s="2">
        <v>154</v>
      </c>
      <c r="O101" s="2">
        <v>101.41</v>
      </c>
      <c r="P101" s="2">
        <v>149</v>
      </c>
      <c r="Q101" s="2">
        <v>95.171099999999996</v>
      </c>
      <c r="R101" s="2">
        <v>54</v>
      </c>
      <c r="S101" s="2">
        <v>96.7179</v>
      </c>
      <c r="T101" s="2">
        <v>70</v>
      </c>
      <c r="U101" s="2">
        <v>0.63292499999999996</v>
      </c>
      <c r="V101" s="2">
        <v>100</v>
      </c>
      <c r="W101" s="2">
        <v>2002</v>
      </c>
    </row>
    <row r="102" spans="1:23" ht="12.3" hidden="1" x14ac:dyDescent="0.4">
      <c r="A102" s="2" t="s">
        <v>128</v>
      </c>
      <c r="B102" s="2"/>
      <c r="C102" s="2"/>
      <c r="D102" s="2"/>
      <c r="E102" s="2"/>
      <c r="F102" s="2"/>
      <c r="G102" s="2"/>
      <c r="H102" s="2"/>
      <c r="I102" s="2">
        <v>70.220799999999997</v>
      </c>
      <c r="J102" s="2">
        <v>146</v>
      </c>
      <c r="K102" s="2">
        <v>69.101500000000001</v>
      </c>
      <c r="L102" s="2">
        <v>186</v>
      </c>
      <c r="M102" s="2">
        <v>99.367500000000007</v>
      </c>
      <c r="N102" s="2">
        <v>194</v>
      </c>
      <c r="O102" s="2">
        <v>99.242199999999997</v>
      </c>
      <c r="P102" s="2">
        <v>196</v>
      </c>
      <c r="Q102" s="2">
        <v>95.424499999999995</v>
      </c>
      <c r="R102" s="2">
        <v>56</v>
      </c>
      <c r="S102" s="2">
        <v>94.739099999999993</v>
      </c>
      <c r="T102" s="2">
        <v>40</v>
      </c>
      <c r="U102" s="2">
        <v>0.63041999999999998</v>
      </c>
      <c r="V102" s="2">
        <v>101</v>
      </c>
      <c r="W102" s="2">
        <v>2002</v>
      </c>
    </row>
    <row r="103" spans="1:23" ht="12.3" hidden="1" x14ac:dyDescent="0.4">
      <c r="A103" s="2" t="s">
        <v>129</v>
      </c>
      <c r="B103" s="2"/>
      <c r="C103" s="2"/>
      <c r="D103" s="2"/>
      <c r="E103" s="2"/>
      <c r="F103" s="2"/>
      <c r="G103" s="2"/>
      <c r="H103" s="2"/>
      <c r="I103" s="2">
        <v>74.428600000000003</v>
      </c>
      <c r="J103" s="2">
        <v>28</v>
      </c>
      <c r="K103" s="2">
        <v>73.209800000000001</v>
      </c>
      <c r="L103" s="2">
        <v>48</v>
      </c>
      <c r="M103" s="2">
        <v>107.16419999999999</v>
      </c>
      <c r="N103" s="2">
        <v>55</v>
      </c>
      <c r="O103" s="2">
        <v>107.9609</v>
      </c>
      <c r="P103" s="2">
        <v>57</v>
      </c>
      <c r="Q103" s="2">
        <v>105.5228</v>
      </c>
      <c r="R103" s="2">
        <v>262</v>
      </c>
      <c r="S103" s="2">
        <v>103.15170000000001</v>
      </c>
      <c r="T103" s="2">
        <v>208</v>
      </c>
      <c r="U103" s="2">
        <v>0.62809000000000004</v>
      </c>
      <c r="V103" s="2">
        <v>102</v>
      </c>
      <c r="W103" s="2">
        <v>2002</v>
      </c>
    </row>
    <row r="104" spans="1:23" ht="12.3" hidden="1" x14ac:dyDescent="0.4">
      <c r="A104" s="2" t="s">
        <v>130</v>
      </c>
      <c r="B104" s="2"/>
      <c r="C104" s="2"/>
      <c r="D104" s="2"/>
      <c r="E104" s="2"/>
      <c r="F104" s="2"/>
      <c r="G104" s="2"/>
      <c r="H104" s="2"/>
      <c r="I104" s="2">
        <v>69.009900000000002</v>
      </c>
      <c r="J104" s="2">
        <v>189</v>
      </c>
      <c r="K104" s="2">
        <v>67.545000000000002</v>
      </c>
      <c r="L104" s="2">
        <v>236</v>
      </c>
      <c r="M104" s="2">
        <v>104.2581</v>
      </c>
      <c r="N104" s="2">
        <v>104</v>
      </c>
      <c r="O104" s="2">
        <v>108.43</v>
      </c>
      <c r="P104" s="2">
        <v>48</v>
      </c>
      <c r="Q104" s="2">
        <v>105.4422</v>
      </c>
      <c r="R104" s="2">
        <v>260</v>
      </c>
      <c r="S104" s="2">
        <v>103.7527</v>
      </c>
      <c r="T104" s="2">
        <v>223</v>
      </c>
      <c r="U104" s="2">
        <v>0.62412500000000004</v>
      </c>
      <c r="V104" s="2">
        <v>103</v>
      </c>
      <c r="W104" s="2">
        <v>2002</v>
      </c>
    </row>
    <row r="105" spans="1:23" ht="12.3" hidden="1" x14ac:dyDescent="0.4">
      <c r="A105" s="2" t="s">
        <v>131</v>
      </c>
      <c r="B105" s="2"/>
      <c r="C105" s="2"/>
      <c r="D105" s="2"/>
      <c r="E105" s="2"/>
      <c r="F105" s="2"/>
      <c r="G105" s="2"/>
      <c r="H105" s="2"/>
      <c r="I105" s="2">
        <v>73.124600000000001</v>
      </c>
      <c r="J105" s="2">
        <v>57</v>
      </c>
      <c r="K105" s="2">
        <v>72.903700000000001</v>
      </c>
      <c r="L105" s="2">
        <v>55</v>
      </c>
      <c r="M105" s="2">
        <v>97.796800000000005</v>
      </c>
      <c r="N105" s="2">
        <v>223</v>
      </c>
      <c r="O105" s="2">
        <v>102.62609999999999</v>
      </c>
      <c r="P105" s="2">
        <v>129</v>
      </c>
      <c r="Q105" s="2">
        <v>105.61669999999999</v>
      </c>
      <c r="R105" s="2">
        <v>265</v>
      </c>
      <c r="S105" s="2">
        <v>98.252499999999998</v>
      </c>
      <c r="T105" s="2">
        <v>99</v>
      </c>
      <c r="U105" s="2">
        <v>0.62265800000000004</v>
      </c>
      <c r="V105" s="2">
        <v>104</v>
      </c>
      <c r="W105" s="2">
        <v>2002</v>
      </c>
    </row>
    <row r="106" spans="1:23" ht="12.3" hidden="1" x14ac:dyDescent="0.4">
      <c r="A106" s="2" t="s">
        <v>132</v>
      </c>
      <c r="B106" s="2"/>
      <c r="C106" s="2"/>
      <c r="D106" s="2"/>
      <c r="E106" s="2"/>
      <c r="F106" s="2"/>
      <c r="G106" s="2"/>
      <c r="H106" s="2"/>
      <c r="I106" s="2">
        <v>64.988</v>
      </c>
      <c r="J106" s="2">
        <v>293</v>
      </c>
      <c r="K106" s="2">
        <v>64.745599999999996</v>
      </c>
      <c r="L106" s="2">
        <v>299</v>
      </c>
      <c r="M106" s="2">
        <v>100.26430000000001</v>
      </c>
      <c r="N106" s="2">
        <v>172</v>
      </c>
      <c r="O106" s="2">
        <v>101.018</v>
      </c>
      <c r="P106" s="2">
        <v>155</v>
      </c>
      <c r="Q106" s="2">
        <v>97.942899999999995</v>
      </c>
      <c r="R106" s="2">
        <v>90</v>
      </c>
      <c r="S106" s="2">
        <v>96.757400000000004</v>
      </c>
      <c r="T106" s="2">
        <v>73</v>
      </c>
      <c r="U106" s="2">
        <v>0.62141400000000002</v>
      </c>
      <c r="V106" s="2">
        <v>105</v>
      </c>
      <c r="W106" s="2">
        <v>2002</v>
      </c>
    </row>
    <row r="107" spans="1:23" ht="12.3" hidden="1" x14ac:dyDescent="0.4">
      <c r="A107" s="2" t="s">
        <v>133</v>
      </c>
      <c r="B107" s="2"/>
      <c r="C107" s="2"/>
      <c r="D107" s="2"/>
      <c r="E107" s="2"/>
      <c r="F107" s="2"/>
      <c r="G107" s="2"/>
      <c r="H107" s="2"/>
      <c r="I107" s="2">
        <v>70.471100000000007</v>
      </c>
      <c r="J107" s="2">
        <v>136</v>
      </c>
      <c r="K107" s="2">
        <v>70.3386</v>
      </c>
      <c r="L107" s="2">
        <v>139</v>
      </c>
      <c r="M107" s="2">
        <v>104.6824</v>
      </c>
      <c r="N107" s="2">
        <v>95</v>
      </c>
      <c r="O107" s="2">
        <v>105.87</v>
      </c>
      <c r="P107" s="2">
        <v>81</v>
      </c>
      <c r="Q107" s="2">
        <v>100.5753</v>
      </c>
      <c r="R107" s="2">
        <v>162</v>
      </c>
      <c r="S107" s="2">
        <v>101.5994</v>
      </c>
      <c r="T107" s="2">
        <v>178</v>
      </c>
      <c r="U107" s="2">
        <v>0.61621300000000001</v>
      </c>
      <c r="V107" s="2">
        <v>106</v>
      </c>
      <c r="W107" s="2">
        <v>2002</v>
      </c>
    </row>
    <row r="108" spans="1:23" ht="12.3" x14ac:dyDescent="0.4">
      <c r="A108" s="2" t="s">
        <v>371</v>
      </c>
      <c r="B108" s="2">
        <v>14</v>
      </c>
      <c r="C108" s="2"/>
      <c r="D108" s="2"/>
      <c r="E108" s="2"/>
      <c r="F108" s="2"/>
      <c r="G108" s="2"/>
      <c r="H108" s="2"/>
      <c r="I108" s="2">
        <v>64.286000000000001</v>
      </c>
      <c r="J108" s="2">
        <v>280</v>
      </c>
      <c r="K108" s="2">
        <v>64.249899999999997</v>
      </c>
      <c r="L108" s="2">
        <v>277</v>
      </c>
      <c r="M108" s="2">
        <v>110.8021</v>
      </c>
      <c r="N108" s="2">
        <v>50</v>
      </c>
      <c r="O108" s="2">
        <v>107.4579</v>
      </c>
      <c r="P108" s="2">
        <v>117</v>
      </c>
      <c r="Q108" s="2">
        <v>91.150300000000001</v>
      </c>
      <c r="R108" s="2">
        <v>9</v>
      </c>
      <c r="S108" s="2">
        <v>99.037400000000005</v>
      </c>
      <c r="T108" s="2">
        <v>63</v>
      </c>
      <c r="U108" s="2">
        <v>0.71877899999999995</v>
      </c>
      <c r="V108" s="2">
        <v>78</v>
      </c>
      <c r="W108" s="2">
        <v>2014</v>
      </c>
    </row>
    <row r="109" spans="1:23" ht="12.3" x14ac:dyDescent="0.4">
      <c r="A109" s="2" t="s">
        <v>226</v>
      </c>
      <c r="B109" s="2">
        <v>15</v>
      </c>
      <c r="C109" s="2"/>
      <c r="D109" s="2"/>
      <c r="E109" s="2"/>
      <c r="F109" s="2"/>
      <c r="G109" s="2"/>
      <c r="H109" s="2"/>
      <c r="I109" s="2">
        <v>60.779000000000003</v>
      </c>
      <c r="J109" s="2">
        <v>343</v>
      </c>
      <c r="K109" s="2">
        <v>61.406500000000001</v>
      </c>
      <c r="L109" s="2">
        <v>342</v>
      </c>
      <c r="M109" s="2">
        <v>104.9603</v>
      </c>
      <c r="N109" s="2">
        <v>169</v>
      </c>
      <c r="O109" s="2">
        <v>103.1066</v>
      </c>
      <c r="P109" s="2">
        <v>199</v>
      </c>
      <c r="Q109" s="2">
        <v>96.497900000000001</v>
      </c>
      <c r="R109" s="2">
        <v>25</v>
      </c>
      <c r="S109" s="2">
        <v>97.296000000000006</v>
      </c>
      <c r="T109" s="2">
        <v>46</v>
      </c>
      <c r="U109" s="2">
        <v>0.66084600000000004</v>
      </c>
      <c r="V109" s="2">
        <v>98</v>
      </c>
      <c r="W109" s="2">
        <v>2014</v>
      </c>
    </row>
    <row r="110" spans="1:23" ht="12.3" hidden="1" x14ac:dyDescent="0.4">
      <c r="A110" s="2" t="s">
        <v>136</v>
      </c>
      <c r="B110" s="2"/>
      <c r="C110" s="2"/>
      <c r="D110" s="2"/>
      <c r="E110" s="2"/>
      <c r="F110" s="2"/>
      <c r="G110" s="2"/>
      <c r="H110" s="2"/>
      <c r="I110" s="2">
        <v>68.672799999999995</v>
      </c>
      <c r="J110" s="2">
        <v>203</v>
      </c>
      <c r="K110" s="2">
        <v>68.314800000000005</v>
      </c>
      <c r="L110" s="2">
        <v>215</v>
      </c>
      <c r="M110" s="2">
        <v>101.3575</v>
      </c>
      <c r="N110" s="2">
        <v>152</v>
      </c>
      <c r="O110" s="2">
        <v>102.994</v>
      </c>
      <c r="P110" s="2">
        <v>124</v>
      </c>
      <c r="Q110" s="2">
        <v>102.312</v>
      </c>
      <c r="R110" s="2">
        <v>195</v>
      </c>
      <c r="S110" s="2">
        <v>99.401600000000002</v>
      </c>
      <c r="T110" s="2">
        <v>123</v>
      </c>
      <c r="U110" s="2">
        <v>0.60067499999999996</v>
      </c>
      <c r="V110" s="2">
        <v>109</v>
      </c>
      <c r="W110" s="2">
        <v>2002</v>
      </c>
    </row>
    <row r="111" spans="1:23" ht="12.3" hidden="1" x14ac:dyDescent="0.4">
      <c r="A111" s="2" t="s">
        <v>137</v>
      </c>
      <c r="B111" s="2"/>
      <c r="C111" s="2"/>
      <c r="D111" s="2"/>
      <c r="E111" s="2"/>
      <c r="F111" s="2"/>
      <c r="G111" s="2"/>
      <c r="H111" s="2"/>
      <c r="I111" s="2">
        <v>72.252200000000002</v>
      </c>
      <c r="J111" s="2">
        <v>78</v>
      </c>
      <c r="K111" s="2">
        <v>71.890299999999996</v>
      </c>
      <c r="L111" s="2">
        <v>81</v>
      </c>
      <c r="M111" s="2">
        <v>99.678700000000006</v>
      </c>
      <c r="N111" s="2">
        <v>187</v>
      </c>
      <c r="O111" s="2">
        <v>100.64579999999999</v>
      </c>
      <c r="P111" s="2">
        <v>163</v>
      </c>
      <c r="Q111" s="2">
        <v>94.521199999999993</v>
      </c>
      <c r="R111" s="2">
        <v>43</v>
      </c>
      <c r="S111" s="2">
        <v>97.2714</v>
      </c>
      <c r="T111" s="2">
        <v>82</v>
      </c>
      <c r="U111" s="2">
        <v>0.59680500000000003</v>
      </c>
      <c r="V111" s="2">
        <v>110</v>
      </c>
      <c r="W111" s="2">
        <v>2002</v>
      </c>
    </row>
    <row r="112" spans="1:23" ht="12.3" hidden="1" x14ac:dyDescent="0.4">
      <c r="A112" s="2" t="s">
        <v>138</v>
      </c>
      <c r="B112" s="2"/>
      <c r="C112" s="2"/>
      <c r="D112" s="2"/>
      <c r="E112" s="2"/>
      <c r="F112" s="2"/>
      <c r="G112" s="2"/>
      <c r="H112" s="2"/>
      <c r="I112" s="2">
        <v>71.123900000000006</v>
      </c>
      <c r="J112" s="2">
        <v>111</v>
      </c>
      <c r="K112" s="2">
        <v>71.811499999999995</v>
      </c>
      <c r="L112" s="2">
        <v>83</v>
      </c>
      <c r="M112" s="2">
        <v>105.65519999999999</v>
      </c>
      <c r="N112" s="2">
        <v>75</v>
      </c>
      <c r="O112" s="2">
        <v>102.5831</v>
      </c>
      <c r="P112" s="2">
        <v>131</v>
      </c>
      <c r="Q112" s="2">
        <v>97.495500000000007</v>
      </c>
      <c r="R112" s="2">
        <v>82</v>
      </c>
      <c r="S112" s="2">
        <v>99.210700000000003</v>
      </c>
      <c r="T112" s="2">
        <v>119</v>
      </c>
      <c r="U112" s="2">
        <v>0.59493700000000005</v>
      </c>
      <c r="V112" s="2">
        <v>111</v>
      </c>
      <c r="W112" s="2">
        <v>2002</v>
      </c>
    </row>
    <row r="113" spans="1:23" ht="12.3" hidden="1" x14ac:dyDescent="0.4">
      <c r="A113" s="2" t="s">
        <v>139</v>
      </c>
      <c r="B113" s="2"/>
      <c r="C113" s="2"/>
      <c r="D113" s="2"/>
      <c r="E113" s="2"/>
      <c r="F113" s="2"/>
      <c r="G113" s="2"/>
      <c r="H113" s="2"/>
      <c r="I113" s="2">
        <v>71.34</v>
      </c>
      <c r="J113" s="2">
        <v>105</v>
      </c>
      <c r="K113" s="2">
        <v>70.199100000000001</v>
      </c>
      <c r="L113" s="2">
        <v>148</v>
      </c>
      <c r="M113" s="2">
        <v>104.7724</v>
      </c>
      <c r="N113" s="2">
        <v>93</v>
      </c>
      <c r="O113" s="2">
        <v>101.5813</v>
      </c>
      <c r="P113" s="2">
        <v>147</v>
      </c>
      <c r="Q113" s="2">
        <v>92.486900000000006</v>
      </c>
      <c r="R113" s="2">
        <v>15</v>
      </c>
      <c r="S113" s="2">
        <v>98.380499999999998</v>
      </c>
      <c r="T113" s="2">
        <v>102</v>
      </c>
      <c r="U113" s="2">
        <v>0.59101999999999999</v>
      </c>
      <c r="V113" s="2">
        <v>112</v>
      </c>
      <c r="W113" s="2">
        <v>2002</v>
      </c>
    </row>
    <row r="114" spans="1:23" ht="12.3" hidden="1" x14ac:dyDescent="0.4">
      <c r="A114" s="2" t="s">
        <v>140</v>
      </c>
      <c r="B114" s="2"/>
      <c r="C114" s="2"/>
      <c r="D114" s="2"/>
      <c r="E114" s="2"/>
      <c r="F114" s="2"/>
      <c r="G114" s="2"/>
      <c r="H114" s="2"/>
      <c r="I114" s="2">
        <v>69.523300000000006</v>
      </c>
      <c r="J114" s="2">
        <v>176</v>
      </c>
      <c r="K114" s="2">
        <v>69.288700000000006</v>
      </c>
      <c r="L114" s="2">
        <v>179</v>
      </c>
      <c r="M114" s="2">
        <v>104.2966</v>
      </c>
      <c r="N114" s="2">
        <v>102</v>
      </c>
      <c r="O114" s="2">
        <v>104.3416</v>
      </c>
      <c r="P114" s="2">
        <v>99</v>
      </c>
      <c r="Q114" s="2">
        <v>102.24630000000001</v>
      </c>
      <c r="R114" s="2">
        <v>191</v>
      </c>
      <c r="S114" s="2">
        <v>101.20310000000001</v>
      </c>
      <c r="T114" s="2">
        <v>169</v>
      </c>
      <c r="U114" s="2">
        <v>0.58691499999999996</v>
      </c>
      <c r="V114" s="2">
        <v>113</v>
      </c>
      <c r="W114" s="2">
        <v>2002</v>
      </c>
    </row>
    <row r="115" spans="1:23" ht="12.3" hidden="1" x14ac:dyDescent="0.4">
      <c r="A115" s="2" t="s">
        <v>141</v>
      </c>
      <c r="B115" s="2"/>
      <c r="C115" s="2"/>
      <c r="D115" s="2"/>
      <c r="E115" s="2"/>
      <c r="F115" s="2"/>
      <c r="G115" s="2"/>
      <c r="H115" s="2"/>
      <c r="I115" s="2">
        <v>65.807599999999994</v>
      </c>
      <c r="J115" s="2">
        <v>281</v>
      </c>
      <c r="K115" s="2">
        <v>66.218000000000004</v>
      </c>
      <c r="L115" s="2">
        <v>278</v>
      </c>
      <c r="M115" s="2">
        <v>105.91589999999999</v>
      </c>
      <c r="N115" s="2">
        <v>68</v>
      </c>
      <c r="O115" s="2">
        <v>104.1999</v>
      </c>
      <c r="P115" s="2">
        <v>103</v>
      </c>
      <c r="Q115" s="2">
        <v>101.92529999999999</v>
      </c>
      <c r="R115" s="2">
        <v>184</v>
      </c>
      <c r="S115" s="2">
        <v>101.0746</v>
      </c>
      <c r="T115" s="2">
        <v>165</v>
      </c>
      <c r="U115" s="2">
        <v>0.58666600000000002</v>
      </c>
      <c r="V115" s="2">
        <v>114</v>
      </c>
      <c r="W115" s="2">
        <v>2002</v>
      </c>
    </row>
    <row r="116" spans="1:23" ht="12.3" hidden="1" x14ac:dyDescent="0.4">
      <c r="A116" s="2" t="s">
        <v>142</v>
      </c>
      <c r="B116" s="2"/>
      <c r="C116" s="2"/>
      <c r="D116" s="2"/>
      <c r="E116" s="2"/>
      <c r="F116" s="2"/>
      <c r="G116" s="2"/>
      <c r="H116" s="2"/>
      <c r="I116" s="2">
        <v>79.129199999999997</v>
      </c>
      <c r="J116" s="2">
        <v>4</v>
      </c>
      <c r="K116" s="2">
        <v>78.133099999999999</v>
      </c>
      <c r="L116" s="2">
        <v>4</v>
      </c>
      <c r="M116" s="2">
        <v>106.08710000000001</v>
      </c>
      <c r="N116" s="2">
        <v>65</v>
      </c>
      <c r="O116" s="2">
        <v>107.16419999999999</v>
      </c>
      <c r="P116" s="2">
        <v>69</v>
      </c>
      <c r="Q116" s="2">
        <v>105.5564</v>
      </c>
      <c r="R116" s="2">
        <v>264</v>
      </c>
      <c r="S116" s="2">
        <v>103.9679</v>
      </c>
      <c r="T116" s="2">
        <v>228</v>
      </c>
      <c r="U116" s="2">
        <v>0.58618499999999996</v>
      </c>
      <c r="V116" s="2">
        <v>115</v>
      </c>
      <c r="W116" s="2">
        <v>2002</v>
      </c>
    </row>
    <row r="117" spans="1:23" ht="12.3" hidden="1" x14ac:dyDescent="0.4">
      <c r="A117" s="2" t="s">
        <v>143</v>
      </c>
      <c r="B117" s="2"/>
      <c r="C117" s="2"/>
      <c r="D117" s="2"/>
      <c r="E117" s="2"/>
      <c r="F117" s="2"/>
      <c r="G117" s="2"/>
      <c r="H117" s="2"/>
      <c r="I117" s="2">
        <v>70.1036</v>
      </c>
      <c r="J117" s="2">
        <v>154</v>
      </c>
      <c r="K117" s="2">
        <v>70.331000000000003</v>
      </c>
      <c r="L117" s="2">
        <v>140</v>
      </c>
      <c r="M117" s="2">
        <v>105.8486</v>
      </c>
      <c r="N117" s="2">
        <v>69</v>
      </c>
      <c r="O117" s="2">
        <v>104.13379999999999</v>
      </c>
      <c r="P117" s="2">
        <v>106</v>
      </c>
      <c r="Q117" s="2">
        <v>96.282499999999999</v>
      </c>
      <c r="R117" s="2">
        <v>66</v>
      </c>
      <c r="S117" s="2">
        <v>101.0732</v>
      </c>
      <c r="T117" s="2">
        <v>164</v>
      </c>
      <c r="U117" s="2">
        <v>0.58493200000000001</v>
      </c>
      <c r="V117" s="2">
        <v>116</v>
      </c>
      <c r="W117" s="2">
        <v>2002</v>
      </c>
    </row>
    <row r="118" spans="1:23" ht="12.3" x14ac:dyDescent="0.4">
      <c r="A118" s="2" t="s">
        <v>318</v>
      </c>
      <c r="B118" s="2">
        <v>14</v>
      </c>
      <c r="C118" s="4" t="s">
        <v>33</v>
      </c>
      <c r="D118" s="2"/>
      <c r="E118" s="2"/>
      <c r="F118" s="2"/>
      <c r="G118" s="2"/>
      <c r="H118" s="2"/>
      <c r="I118" s="2">
        <v>65.979799999999997</v>
      </c>
      <c r="J118" s="2">
        <v>203</v>
      </c>
      <c r="K118" s="2">
        <v>65.008300000000006</v>
      </c>
      <c r="L118" s="2">
        <v>246</v>
      </c>
      <c r="M118" s="2">
        <v>113.1045</v>
      </c>
      <c r="N118" s="2">
        <v>27</v>
      </c>
      <c r="O118" s="2">
        <v>107.54340000000001</v>
      </c>
      <c r="P118" s="2">
        <v>116</v>
      </c>
      <c r="Q118" s="2">
        <v>97.877099999999999</v>
      </c>
      <c r="R118" s="2">
        <v>43</v>
      </c>
      <c r="S118" s="2">
        <v>101.5988</v>
      </c>
      <c r="T118" s="2">
        <v>103</v>
      </c>
      <c r="U118" s="2">
        <v>0.65789399999999998</v>
      </c>
      <c r="V118" s="2">
        <v>99</v>
      </c>
      <c r="W118" s="2">
        <v>2014</v>
      </c>
    </row>
    <row r="119" spans="1:23" ht="12.3" hidden="1" x14ac:dyDescent="0.4">
      <c r="A119" s="2" t="s">
        <v>145</v>
      </c>
      <c r="B119" s="2"/>
      <c r="C119" s="2"/>
      <c r="D119" s="2"/>
      <c r="E119" s="2"/>
      <c r="F119" s="2"/>
      <c r="G119" s="2"/>
      <c r="H119" s="2"/>
      <c r="I119" s="2">
        <v>72.495900000000006</v>
      </c>
      <c r="J119" s="2">
        <v>71</v>
      </c>
      <c r="K119" s="2">
        <v>72.979299999999995</v>
      </c>
      <c r="L119" s="2">
        <v>53</v>
      </c>
      <c r="M119" s="2">
        <v>100.0946</v>
      </c>
      <c r="N119" s="2">
        <v>178</v>
      </c>
      <c r="O119" s="2">
        <v>101.777</v>
      </c>
      <c r="P119" s="2">
        <v>144</v>
      </c>
      <c r="Q119" s="2">
        <v>99.160899999999998</v>
      </c>
      <c r="R119" s="2">
        <v>123</v>
      </c>
      <c r="S119" s="2">
        <v>99.072999999999993</v>
      </c>
      <c r="T119" s="2">
        <v>114</v>
      </c>
      <c r="U119" s="2">
        <v>0.57680299999999995</v>
      </c>
      <c r="V119" s="2">
        <v>118</v>
      </c>
      <c r="W119" s="2">
        <v>2002</v>
      </c>
    </row>
    <row r="120" spans="1:23" ht="12.3" hidden="1" x14ac:dyDescent="0.4">
      <c r="A120" s="2" t="s">
        <v>146</v>
      </c>
      <c r="B120" s="2"/>
      <c r="C120" s="2"/>
      <c r="D120" s="2"/>
      <c r="E120" s="2"/>
      <c r="F120" s="2"/>
      <c r="G120" s="2"/>
      <c r="H120" s="2"/>
      <c r="I120" s="2">
        <v>67.429900000000004</v>
      </c>
      <c r="J120" s="2">
        <v>242</v>
      </c>
      <c r="K120" s="2">
        <v>67.169899999999998</v>
      </c>
      <c r="L120" s="2">
        <v>248</v>
      </c>
      <c r="M120" s="2">
        <v>103.2315</v>
      </c>
      <c r="N120" s="2">
        <v>119</v>
      </c>
      <c r="O120" s="2">
        <v>105.443</v>
      </c>
      <c r="P120" s="2">
        <v>88</v>
      </c>
      <c r="Q120" s="2">
        <v>103.10169999999999</v>
      </c>
      <c r="R120" s="2">
        <v>215</v>
      </c>
      <c r="S120" s="2">
        <v>102.65260000000001</v>
      </c>
      <c r="T120" s="2">
        <v>197</v>
      </c>
      <c r="U120" s="2">
        <v>0.57650199999999996</v>
      </c>
      <c r="V120" s="2">
        <v>119</v>
      </c>
      <c r="W120" s="2">
        <v>2002</v>
      </c>
    </row>
    <row r="121" spans="1:23" ht="12.3" hidden="1" x14ac:dyDescent="0.4">
      <c r="A121" s="2" t="s">
        <v>147</v>
      </c>
      <c r="B121" s="2"/>
      <c r="C121" s="2"/>
      <c r="D121" s="2"/>
      <c r="E121" s="2"/>
      <c r="F121" s="2"/>
      <c r="G121" s="2"/>
      <c r="H121" s="2"/>
      <c r="I121" s="2">
        <v>68.3339</v>
      </c>
      <c r="J121" s="2">
        <v>216</v>
      </c>
      <c r="K121" s="2">
        <v>69.401300000000006</v>
      </c>
      <c r="L121" s="2">
        <v>173</v>
      </c>
      <c r="M121" s="2">
        <v>102.4607</v>
      </c>
      <c r="N121" s="2">
        <v>137</v>
      </c>
      <c r="O121" s="2">
        <v>102.9699</v>
      </c>
      <c r="P121" s="2">
        <v>125</v>
      </c>
      <c r="Q121" s="2">
        <v>97.356200000000001</v>
      </c>
      <c r="R121" s="2">
        <v>80</v>
      </c>
      <c r="S121" s="2">
        <v>100.4798</v>
      </c>
      <c r="T121" s="2">
        <v>153</v>
      </c>
      <c r="U121" s="2">
        <v>0.56991700000000001</v>
      </c>
      <c r="V121" s="2">
        <v>120</v>
      </c>
      <c r="W121" s="2">
        <v>2002</v>
      </c>
    </row>
    <row r="122" spans="1:23" ht="12.3" hidden="1" x14ac:dyDescent="0.4">
      <c r="A122" s="2" t="s">
        <v>148</v>
      </c>
      <c r="B122" s="2"/>
      <c r="C122" s="2"/>
      <c r="D122" s="2"/>
      <c r="E122" s="2"/>
      <c r="F122" s="2"/>
      <c r="G122" s="2"/>
      <c r="H122" s="2"/>
      <c r="I122" s="2">
        <v>68.359700000000004</v>
      </c>
      <c r="J122" s="2">
        <v>215</v>
      </c>
      <c r="K122" s="2">
        <v>67.338800000000006</v>
      </c>
      <c r="L122" s="2">
        <v>243</v>
      </c>
      <c r="M122" s="2">
        <v>100.08799999999999</v>
      </c>
      <c r="N122" s="2">
        <v>179</v>
      </c>
      <c r="O122" s="2">
        <v>101.3098</v>
      </c>
      <c r="P122" s="2">
        <v>151</v>
      </c>
      <c r="Q122" s="2">
        <v>102.9473</v>
      </c>
      <c r="R122" s="2">
        <v>212</v>
      </c>
      <c r="S122" s="2">
        <v>98.865099999999998</v>
      </c>
      <c r="T122" s="2">
        <v>110</v>
      </c>
      <c r="U122" s="2">
        <v>0.56977</v>
      </c>
      <c r="V122" s="2">
        <v>121</v>
      </c>
      <c r="W122" s="2">
        <v>2002</v>
      </c>
    </row>
    <row r="123" spans="1:23" ht="12.3" hidden="1" x14ac:dyDescent="0.4">
      <c r="A123" s="2" t="s">
        <v>149</v>
      </c>
      <c r="B123" s="2"/>
      <c r="C123" s="2"/>
      <c r="D123" s="2"/>
      <c r="E123" s="2"/>
      <c r="F123" s="2"/>
      <c r="G123" s="2"/>
      <c r="H123" s="2"/>
      <c r="I123" s="2">
        <v>64.8292</v>
      </c>
      <c r="J123" s="2">
        <v>298</v>
      </c>
      <c r="K123" s="2">
        <v>63.505699999999997</v>
      </c>
      <c r="L123" s="2">
        <v>316</v>
      </c>
      <c r="M123" s="2">
        <v>98.679100000000005</v>
      </c>
      <c r="N123" s="2">
        <v>202</v>
      </c>
      <c r="O123" s="2">
        <v>100.21639999999999</v>
      </c>
      <c r="P123" s="2">
        <v>172</v>
      </c>
      <c r="Q123" s="2">
        <v>103.542</v>
      </c>
      <c r="R123" s="2">
        <v>225</v>
      </c>
      <c r="S123" s="2">
        <v>97.853999999999999</v>
      </c>
      <c r="T123" s="2">
        <v>92</v>
      </c>
      <c r="U123" s="2">
        <v>0.56815800000000005</v>
      </c>
      <c r="V123" s="2">
        <v>122</v>
      </c>
      <c r="W123" s="2">
        <v>2002</v>
      </c>
    </row>
    <row r="124" spans="1:23" ht="12.3" hidden="1" x14ac:dyDescent="0.4">
      <c r="A124" s="2" t="s">
        <v>150</v>
      </c>
      <c r="B124" s="2"/>
      <c r="C124" s="2"/>
      <c r="D124" s="2"/>
      <c r="E124" s="2"/>
      <c r="F124" s="2"/>
      <c r="G124" s="2"/>
      <c r="H124" s="2"/>
      <c r="I124" s="2">
        <v>70.166899999999998</v>
      </c>
      <c r="J124" s="2">
        <v>149</v>
      </c>
      <c r="K124" s="2">
        <v>70.637900000000002</v>
      </c>
      <c r="L124" s="2">
        <v>125</v>
      </c>
      <c r="M124" s="2">
        <v>102.5204</v>
      </c>
      <c r="N124" s="2">
        <v>132</v>
      </c>
      <c r="O124" s="2">
        <v>100.92270000000001</v>
      </c>
      <c r="P124" s="2">
        <v>158</v>
      </c>
      <c r="Q124" s="2">
        <v>99.685599999999994</v>
      </c>
      <c r="R124" s="2">
        <v>140</v>
      </c>
      <c r="S124" s="2">
        <v>98.604399999999998</v>
      </c>
      <c r="T124" s="2">
        <v>108</v>
      </c>
      <c r="U124" s="2">
        <v>0.56641900000000001</v>
      </c>
      <c r="V124" s="2">
        <v>123</v>
      </c>
      <c r="W124" s="2">
        <v>2002</v>
      </c>
    </row>
    <row r="125" spans="1:23" ht="12.3" hidden="1" x14ac:dyDescent="0.4">
      <c r="A125" s="2" t="s">
        <v>151</v>
      </c>
      <c r="B125" s="2"/>
      <c r="C125" s="2"/>
      <c r="D125" s="2"/>
      <c r="E125" s="2"/>
      <c r="F125" s="2"/>
      <c r="G125" s="2"/>
      <c r="H125" s="2"/>
      <c r="I125" s="2">
        <v>68.881200000000007</v>
      </c>
      <c r="J125" s="2">
        <v>193</v>
      </c>
      <c r="K125" s="2">
        <v>69.049199999999999</v>
      </c>
      <c r="L125" s="2">
        <v>188</v>
      </c>
      <c r="M125" s="2">
        <v>108.85899999999999</v>
      </c>
      <c r="N125" s="2">
        <v>34</v>
      </c>
      <c r="O125" s="2">
        <v>105.6516</v>
      </c>
      <c r="P125" s="2">
        <v>84</v>
      </c>
      <c r="Q125" s="2">
        <v>104.54940000000001</v>
      </c>
      <c r="R125" s="2">
        <v>246</v>
      </c>
      <c r="S125" s="2">
        <v>103.2577</v>
      </c>
      <c r="T125" s="2">
        <v>211</v>
      </c>
      <c r="U125" s="2">
        <v>0.56551200000000001</v>
      </c>
      <c r="V125" s="2">
        <v>124</v>
      </c>
      <c r="W125" s="2">
        <v>2002</v>
      </c>
    </row>
    <row r="126" spans="1:23" ht="12.3" hidden="1" x14ac:dyDescent="0.4">
      <c r="A126" s="2" t="s">
        <v>152</v>
      </c>
      <c r="B126" s="2"/>
      <c r="C126" s="2"/>
      <c r="D126" s="2"/>
      <c r="E126" s="2"/>
      <c r="F126" s="2"/>
      <c r="G126" s="2"/>
      <c r="H126" s="2"/>
      <c r="I126" s="2">
        <v>70.3994</v>
      </c>
      <c r="J126" s="2">
        <v>138</v>
      </c>
      <c r="K126" s="2">
        <v>71.2102</v>
      </c>
      <c r="L126" s="2">
        <v>106</v>
      </c>
      <c r="M126" s="2">
        <v>108.9057</v>
      </c>
      <c r="N126" s="2">
        <v>33</v>
      </c>
      <c r="O126" s="2">
        <v>106.6613</v>
      </c>
      <c r="P126" s="2">
        <v>75</v>
      </c>
      <c r="Q126" s="2">
        <v>103.6048</v>
      </c>
      <c r="R126" s="2">
        <v>226</v>
      </c>
      <c r="S126" s="2">
        <v>104.3643</v>
      </c>
      <c r="T126" s="2">
        <v>239</v>
      </c>
      <c r="U126" s="2">
        <v>0.56226600000000004</v>
      </c>
      <c r="V126" s="2">
        <v>125</v>
      </c>
      <c r="W126" s="2">
        <v>2002</v>
      </c>
    </row>
    <row r="127" spans="1:23" ht="12.3" hidden="1" x14ac:dyDescent="0.4">
      <c r="A127" s="2" t="s">
        <v>153</v>
      </c>
      <c r="B127" s="2"/>
      <c r="C127" s="2"/>
      <c r="D127" s="2"/>
      <c r="E127" s="2"/>
      <c r="F127" s="2"/>
      <c r="G127" s="2"/>
      <c r="H127" s="2"/>
      <c r="I127" s="2">
        <v>76.412499999999994</v>
      </c>
      <c r="J127" s="2">
        <v>13</v>
      </c>
      <c r="K127" s="2">
        <v>75.648799999999994</v>
      </c>
      <c r="L127" s="2">
        <v>11</v>
      </c>
      <c r="M127" s="2">
        <v>104.72499999999999</v>
      </c>
      <c r="N127" s="2">
        <v>94</v>
      </c>
      <c r="O127" s="2">
        <v>104.9442</v>
      </c>
      <c r="P127" s="2">
        <v>92</v>
      </c>
      <c r="Q127" s="2">
        <v>99.359800000000007</v>
      </c>
      <c r="R127" s="2">
        <v>130</v>
      </c>
      <c r="S127" s="2">
        <v>102.70740000000001</v>
      </c>
      <c r="T127" s="2">
        <v>199</v>
      </c>
      <c r="U127" s="2">
        <v>0.56162599999999996</v>
      </c>
      <c r="V127" s="2">
        <v>126</v>
      </c>
      <c r="W127" s="2">
        <v>2002</v>
      </c>
    </row>
    <row r="128" spans="1:23" ht="12.3" hidden="1" x14ac:dyDescent="0.4">
      <c r="A128" s="2" t="s">
        <v>154</v>
      </c>
      <c r="B128" s="2"/>
      <c r="C128" s="2"/>
      <c r="D128" s="2"/>
      <c r="E128" s="2"/>
      <c r="F128" s="2"/>
      <c r="G128" s="2"/>
      <c r="H128" s="2"/>
      <c r="I128" s="2">
        <v>66.482500000000002</v>
      </c>
      <c r="J128" s="2">
        <v>269</v>
      </c>
      <c r="K128" s="2">
        <v>66.869399999999999</v>
      </c>
      <c r="L128" s="2">
        <v>258</v>
      </c>
      <c r="M128" s="2">
        <v>100.42959999999999</v>
      </c>
      <c r="N128" s="2">
        <v>168</v>
      </c>
      <c r="O128" s="2">
        <v>102.3257</v>
      </c>
      <c r="P128" s="2">
        <v>136</v>
      </c>
      <c r="Q128" s="2">
        <v>105.8597</v>
      </c>
      <c r="R128" s="2">
        <v>271</v>
      </c>
      <c r="S128" s="2">
        <v>100.1465</v>
      </c>
      <c r="T128" s="2">
        <v>144</v>
      </c>
      <c r="U128" s="2">
        <v>0.56157599999999996</v>
      </c>
      <c r="V128" s="2">
        <v>127</v>
      </c>
      <c r="W128" s="2">
        <v>2002</v>
      </c>
    </row>
    <row r="129" spans="1:23" ht="12.3" hidden="1" x14ac:dyDescent="0.4">
      <c r="A129" s="2" t="s">
        <v>155</v>
      </c>
      <c r="B129" s="2"/>
      <c r="C129" s="2"/>
      <c r="D129" s="2"/>
      <c r="E129" s="2"/>
      <c r="F129" s="2"/>
      <c r="G129" s="2"/>
      <c r="H129" s="2"/>
      <c r="I129" s="2">
        <v>65.274299999999997</v>
      </c>
      <c r="J129" s="2">
        <v>289</v>
      </c>
      <c r="K129" s="2">
        <v>65.262100000000004</v>
      </c>
      <c r="L129" s="2">
        <v>292</v>
      </c>
      <c r="M129" s="2">
        <v>98.305300000000003</v>
      </c>
      <c r="N129" s="2">
        <v>206</v>
      </c>
      <c r="O129" s="2">
        <v>99.959199999999996</v>
      </c>
      <c r="P129" s="2">
        <v>181</v>
      </c>
      <c r="Q129" s="2">
        <v>100.8193</v>
      </c>
      <c r="R129" s="2">
        <v>166</v>
      </c>
      <c r="S129" s="2">
        <v>97.861599999999996</v>
      </c>
      <c r="T129" s="2">
        <v>93</v>
      </c>
      <c r="U129" s="2">
        <v>0.56067299999999998</v>
      </c>
      <c r="V129" s="2">
        <v>128</v>
      </c>
      <c r="W129" s="2">
        <v>2002</v>
      </c>
    </row>
    <row r="130" spans="1:23" ht="12.3" x14ac:dyDescent="0.4">
      <c r="A130" s="2" t="s">
        <v>174</v>
      </c>
      <c r="B130" s="2">
        <v>13</v>
      </c>
      <c r="C130" s="2"/>
      <c r="D130" s="2"/>
      <c r="E130" s="2"/>
      <c r="F130" s="2"/>
      <c r="G130" s="2"/>
      <c r="H130" s="2"/>
      <c r="I130" s="2">
        <v>70.8446</v>
      </c>
      <c r="J130" s="2">
        <v>25</v>
      </c>
      <c r="K130" s="2">
        <v>72.144199999999998</v>
      </c>
      <c r="L130" s="2">
        <v>10</v>
      </c>
      <c r="M130" s="2">
        <v>111.7659</v>
      </c>
      <c r="N130" s="2">
        <v>42</v>
      </c>
      <c r="O130" s="2">
        <v>110.90470000000001</v>
      </c>
      <c r="P130" s="2">
        <v>60</v>
      </c>
      <c r="Q130" s="2">
        <v>105.6623</v>
      </c>
      <c r="R130" s="2">
        <v>194</v>
      </c>
      <c r="S130" s="2">
        <v>105.6262</v>
      </c>
      <c r="T130" s="2">
        <v>192</v>
      </c>
      <c r="U130" s="2">
        <v>0.63663800000000004</v>
      </c>
      <c r="V130" s="2">
        <v>105</v>
      </c>
      <c r="W130" s="2">
        <v>2014</v>
      </c>
    </row>
    <row r="131" spans="1:23" ht="12.3" hidden="1" x14ac:dyDescent="0.4">
      <c r="A131" s="2" t="s">
        <v>157</v>
      </c>
      <c r="B131" s="2"/>
      <c r="C131" s="2"/>
      <c r="D131" s="2"/>
      <c r="E131" s="2"/>
      <c r="F131" s="2"/>
      <c r="G131" s="2"/>
      <c r="H131" s="2"/>
      <c r="I131" s="2">
        <v>67.173500000000004</v>
      </c>
      <c r="J131" s="2">
        <v>247</v>
      </c>
      <c r="K131" s="2">
        <v>68.149100000000004</v>
      </c>
      <c r="L131" s="2">
        <v>220</v>
      </c>
      <c r="M131" s="2">
        <v>100.3857</v>
      </c>
      <c r="N131" s="2">
        <v>169</v>
      </c>
      <c r="O131" s="2">
        <v>101.5162</v>
      </c>
      <c r="P131" s="2">
        <v>148</v>
      </c>
      <c r="Q131" s="2">
        <v>100.8783</v>
      </c>
      <c r="R131" s="2">
        <v>168</v>
      </c>
      <c r="S131" s="2">
        <v>99.435199999999995</v>
      </c>
      <c r="T131" s="2">
        <v>128</v>
      </c>
      <c r="U131" s="2">
        <v>0.55926699999999996</v>
      </c>
      <c r="V131" s="2">
        <v>130</v>
      </c>
      <c r="W131" s="2">
        <v>2002</v>
      </c>
    </row>
    <row r="132" spans="1:23" ht="12.3" hidden="1" x14ac:dyDescent="0.4">
      <c r="A132" s="2" t="s">
        <v>158</v>
      </c>
      <c r="B132" s="2"/>
      <c r="C132" s="2"/>
      <c r="D132" s="2"/>
      <c r="E132" s="2"/>
      <c r="F132" s="2"/>
      <c r="G132" s="2"/>
      <c r="H132" s="2"/>
      <c r="I132" s="2">
        <v>70.775599999999997</v>
      </c>
      <c r="J132" s="2">
        <v>126</v>
      </c>
      <c r="K132" s="2">
        <v>69.823999999999998</v>
      </c>
      <c r="L132" s="2">
        <v>162</v>
      </c>
      <c r="M132" s="2">
        <v>104.8828</v>
      </c>
      <c r="N132" s="2">
        <v>91</v>
      </c>
      <c r="O132" s="2">
        <v>104.6392</v>
      </c>
      <c r="P132" s="2">
        <v>94</v>
      </c>
      <c r="Q132" s="2">
        <v>103.6377</v>
      </c>
      <c r="R132" s="2">
        <v>227</v>
      </c>
      <c r="S132" s="2">
        <v>102.5304</v>
      </c>
      <c r="T132" s="2">
        <v>196</v>
      </c>
      <c r="U132" s="2">
        <v>0.55826600000000004</v>
      </c>
      <c r="V132" s="2">
        <v>131</v>
      </c>
      <c r="W132" s="2">
        <v>2002</v>
      </c>
    </row>
    <row r="133" spans="1:23" ht="12.3" hidden="1" x14ac:dyDescent="0.4">
      <c r="A133" s="2" t="s">
        <v>159</v>
      </c>
      <c r="B133" s="2"/>
      <c r="C133" s="2"/>
      <c r="D133" s="2"/>
      <c r="E133" s="2"/>
      <c r="F133" s="2"/>
      <c r="G133" s="2"/>
      <c r="H133" s="2"/>
      <c r="I133" s="2">
        <v>70.159300000000002</v>
      </c>
      <c r="J133" s="2">
        <v>151</v>
      </c>
      <c r="K133" s="2">
        <v>68.865700000000004</v>
      </c>
      <c r="L133" s="2">
        <v>200</v>
      </c>
      <c r="M133" s="2">
        <v>98.475200000000001</v>
      </c>
      <c r="N133" s="2">
        <v>204</v>
      </c>
      <c r="O133" s="2">
        <v>102.47880000000001</v>
      </c>
      <c r="P133" s="2">
        <v>133</v>
      </c>
      <c r="Q133" s="2">
        <v>100.816</v>
      </c>
      <c r="R133" s="2">
        <v>165</v>
      </c>
      <c r="S133" s="2">
        <v>100.4455</v>
      </c>
      <c r="T133" s="2">
        <v>152</v>
      </c>
      <c r="U133" s="2">
        <v>0.55736200000000002</v>
      </c>
      <c r="V133" s="2">
        <v>132</v>
      </c>
      <c r="W133" s="2">
        <v>2002</v>
      </c>
    </row>
    <row r="134" spans="1:23" ht="12.3" hidden="1" x14ac:dyDescent="0.4">
      <c r="A134" s="2" t="s">
        <v>160</v>
      </c>
      <c r="B134" s="2"/>
      <c r="C134" s="2"/>
      <c r="D134" s="2"/>
      <c r="E134" s="2"/>
      <c r="F134" s="2"/>
      <c r="G134" s="2"/>
      <c r="H134" s="2"/>
      <c r="I134" s="2">
        <v>72.412499999999994</v>
      </c>
      <c r="J134" s="2">
        <v>72</v>
      </c>
      <c r="K134" s="2">
        <v>74.337900000000005</v>
      </c>
      <c r="L134" s="2">
        <v>23</v>
      </c>
      <c r="M134" s="2">
        <v>104.0458</v>
      </c>
      <c r="N134" s="2">
        <v>108</v>
      </c>
      <c r="O134" s="2">
        <v>101.8171</v>
      </c>
      <c r="P134" s="2">
        <v>142</v>
      </c>
      <c r="Q134" s="2">
        <v>95.937100000000001</v>
      </c>
      <c r="R134" s="2">
        <v>62</v>
      </c>
      <c r="S134" s="2">
        <v>99.828299999999999</v>
      </c>
      <c r="T134" s="2">
        <v>134</v>
      </c>
      <c r="U134" s="2">
        <v>0.55647100000000005</v>
      </c>
      <c r="V134" s="2">
        <v>133</v>
      </c>
      <c r="W134" s="2">
        <v>2002</v>
      </c>
    </row>
    <row r="135" spans="1:23" ht="12.3" hidden="1" x14ac:dyDescent="0.4">
      <c r="A135" s="2" t="s">
        <v>161</v>
      </c>
      <c r="B135" s="2"/>
      <c r="C135" s="2"/>
      <c r="D135" s="2"/>
      <c r="E135" s="2"/>
      <c r="F135" s="2"/>
      <c r="G135" s="2"/>
      <c r="H135" s="2"/>
      <c r="I135" s="2">
        <v>71.608800000000002</v>
      </c>
      <c r="J135" s="2">
        <v>95</v>
      </c>
      <c r="K135" s="2">
        <v>70.498400000000004</v>
      </c>
      <c r="L135" s="2">
        <v>131</v>
      </c>
      <c r="M135" s="2">
        <v>98.832599999999999</v>
      </c>
      <c r="N135" s="2">
        <v>199</v>
      </c>
      <c r="O135" s="2">
        <v>102.25020000000001</v>
      </c>
      <c r="P135" s="2">
        <v>137</v>
      </c>
      <c r="Q135" s="2">
        <v>102.8394</v>
      </c>
      <c r="R135" s="2">
        <v>207</v>
      </c>
      <c r="S135" s="2">
        <v>100.29389999999999</v>
      </c>
      <c r="T135" s="2">
        <v>148</v>
      </c>
      <c r="U135" s="2">
        <v>0.55530999999999997</v>
      </c>
      <c r="V135" s="2">
        <v>134</v>
      </c>
      <c r="W135" s="2">
        <v>2002</v>
      </c>
    </row>
    <row r="136" spans="1:23" ht="12.3" hidden="1" x14ac:dyDescent="0.4">
      <c r="A136" s="2" t="s">
        <v>162</v>
      </c>
      <c r="B136" s="2"/>
      <c r="C136" s="2"/>
      <c r="D136" s="2"/>
      <c r="E136" s="2"/>
      <c r="F136" s="2"/>
      <c r="G136" s="2"/>
      <c r="H136" s="2"/>
      <c r="I136" s="2">
        <v>68.180199999999999</v>
      </c>
      <c r="J136" s="2">
        <v>225</v>
      </c>
      <c r="K136" s="2">
        <v>68.474400000000003</v>
      </c>
      <c r="L136" s="2">
        <v>213</v>
      </c>
      <c r="M136" s="2">
        <v>105.5262</v>
      </c>
      <c r="N136" s="2">
        <v>78</v>
      </c>
      <c r="O136" s="2">
        <v>105.3182</v>
      </c>
      <c r="P136" s="2">
        <v>89</v>
      </c>
      <c r="Q136" s="2">
        <v>103.68429999999999</v>
      </c>
      <c r="R136" s="2">
        <v>229</v>
      </c>
      <c r="S136" s="2">
        <v>103.45829999999999</v>
      </c>
      <c r="T136" s="2">
        <v>213</v>
      </c>
      <c r="U136" s="2">
        <v>0.55104600000000004</v>
      </c>
      <c r="V136" s="2">
        <v>135</v>
      </c>
      <c r="W136" s="2">
        <v>2002</v>
      </c>
    </row>
    <row r="137" spans="1:23" ht="12.3" hidden="1" x14ac:dyDescent="0.4">
      <c r="A137" s="2" t="s">
        <v>163</v>
      </c>
      <c r="B137" s="2"/>
      <c r="C137" s="2"/>
      <c r="D137" s="2"/>
      <c r="E137" s="2"/>
      <c r="F137" s="2"/>
      <c r="G137" s="2"/>
      <c r="H137" s="2"/>
      <c r="I137" s="2">
        <v>65.801900000000003</v>
      </c>
      <c r="J137" s="2">
        <v>282</v>
      </c>
      <c r="K137" s="2">
        <v>65.088099999999997</v>
      </c>
      <c r="L137" s="2">
        <v>294</v>
      </c>
      <c r="M137" s="2">
        <v>105.7852</v>
      </c>
      <c r="N137" s="2">
        <v>72</v>
      </c>
      <c r="O137" s="2">
        <v>103.3976</v>
      </c>
      <c r="P137" s="2">
        <v>116</v>
      </c>
      <c r="Q137" s="2">
        <v>100.4328</v>
      </c>
      <c r="R137" s="2">
        <v>156</v>
      </c>
      <c r="S137" s="2">
        <v>101.6592</v>
      </c>
      <c r="T137" s="2">
        <v>179</v>
      </c>
      <c r="U137" s="2">
        <v>0.54859400000000003</v>
      </c>
      <c r="V137" s="2">
        <v>136</v>
      </c>
      <c r="W137" s="2">
        <v>2002</v>
      </c>
    </row>
    <row r="138" spans="1:23" ht="12.3" hidden="1" x14ac:dyDescent="0.4">
      <c r="A138" s="2" t="s">
        <v>164</v>
      </c>
      <c r="B138" s="2"/>
      <c r="C138" s="2"/>
      <c r="D138" s="2"/>
      <c r="E138" s="2"/>
      <c r="F138" s="2"/>
      <c r="G138" s="2"/>
      <c r="H138" s="2"/>
      <c r="I138" s="2">
        <v>66.387100000000004</v>
      </c>
      <c r="J138" s="2">
        <v>273</v>
      </c>
      <c r="K138" s="2">
        <v>67.264200000000002</v>
      </c>
      <c r="L138" s="2">
        <v>245</v>
      </c>
      <c r="M138" s="2">
        <v>100.2548</v>
      </c>
      <c r="N138" s="2">
        <v>173</v>
      </c>
      <c r="O138" s="2">
        <v>100.77249999999999</v>
      </c>
      <c r="P138" s="2">
        <v>160</v>
      </c>
      <c r="Q138" s="2">
        <v>101.3339</v>
      </c>
      <c r="R138" s="2">
        <v>176</v>
      </c>
      <c r="S138" s="2">
        <v>99.19</v>
      </c>
      <c r="T138" s="2">
        <v>118</v>
      </c>
      <c r="U138" s="2">
        <v>0.545381</v>
      </c>
      <c r="V138" s="2">
        <v>137</v>
      </c>
      <c r="W138" s="2">
        <v>2002</v>
      </c>
    </row>
    <row r="139" spans="1:23" ht="12.3" hidden="1" x14ac:dyDescent="0.4">
      <c r="A139" s="2" t="s">
        <v>165</v>
      </c>
      <c r="B139" s="2"/>
      <c r="C139" s="2"/>
      <c r="D139" s="2"/>
      <c r="E139" s="2"/>
      <c r="F139" s="2"/>
      <c r="G139" s="2"/>
      <c r="H139" s="2"/>
      <c r="I139" s="2">
        <v>70.300299999999993</v>
      </c>
      <c r="J139" s="2">
        <v>144</v>
      </c>
      <c r="K139" s="2">
        <v>72.212699999999998</v>
      </c>
      <c r="L139" s="2">
        <v>69</v>
      </c>
      <c r="M139" s="2">
        <v>105.35639999999999</v>
      </c>
      <c r="N139" s="2">
        <v>82</v>
      </c>
      <c r="O139" s="2">
        <v>105.7513</v>
      </c>
      <c r="P139" s="2">
        <v>82</v>
      </c>
      <c r="Q139" s="2">
        <v>104.34610000000001</v>
      </c>
      <c r="R139" s="2">
        <v>242</v>
      </c>
      <c r="S139" s="2">
        <v>104.22</v>
      </c>
      <c r="T139" s="2">
        <v>235</v>
      </c>
      <c r="U139" s="2">
        <v>0.54183700000000001</v>
      </c>
      <c r="V139" s="2">
        <v>138</v>
      </c>
      <c r="W139" s="2">
        <v>2002</v>
      </c>
    </row>
    <row r="140" spans="1:23" ht="12.3" hidden="1" x14ac:dyDescent="0.4">
      <c r="A140" s="2" t="s">
        <v>166</v>
      </c>
      <c r="B140" s="2"/>
      <c r="C140" s="2"/>
      <c r="D140" s="2"/>
      <c r="E140" s="2"/>
      <c r="F140" s="2"/>
      <c r="G140" s="2"/>
      <c r="H140" s="2"/>
      <c r="I140" s="2">
        <v>71.688800000000001</v>
      </c>
      <c r="J140" s="2">
        <v>92</v>
      </c>
      <c r="K140" s="2">
        <v>71.085899999999995</v>
      </c>
      <c r="L140" s="2">
        <v>111</v>
      </c>
      <c r="M140" s="2">
        <v>100.52549999999999</v>
      </c>
      <c r="N140" s="2">
        <v>166</v>
      </c>
      <c r="O140" s="2">
        <v>100.8449</v>
      </c>
      <c r="P140" s="2">
        <v>159</v>
      </c>
      <c r="Q140" s="2">
        <v>99.938999999999993</v>
      </c>
      <c r="R140" s="2">
        <v>145</v>
      </c>
      <c r="S140" s="2">
        <v>99.424700000000001</v>
      </c>
      <c r="T140" s="2">
        <v>126</v>
      </c>
      <c r="U140" s="2">
        <v>0.54068499999999997</v>
      </c>
      <c r="V140" s="2">
        <v>139</v>
      </c>
      <c r="W140" s="2">
        <v>2002</v>
      </c>
    </row>
    <row r="141" spans="1:23" ht="12.3" hidden="1" x14ac:dyDescent="0.4">
      <c r="A141" s="2" t="s">
        <v>20</v>
      </c>
      <c r="B141" s="2"/>
      <c r="C141" s="2"/>
      <c r="D141" s="2"/>
      <c r="E141" s="2"/>
      <c r="F141" s="2"/>
      <c r="G141" s="2"/>
      <c r="H141" s="2"/>
      <c r="I141" s="2">
        <v>71.368499999999997</v>
      </c>
      <c r="J141" s="2">
        <v>102</v>
      </c>
      <c r="K141" s="2">
        <v>69.727800000000002</v>
      </c>
      <c r="L141" s="2">
        <v>165</v>
      </c>
      <c r="M141" s="2">
        <v>100.6062</v>
      </c>
      <c r="N141" s="2">
        <v>164</v>
      </c>
      <c r="O141" s="2">
        <v>103.28060000000001</v>
      </c>
      <c r="P141" s="2">
        <v>118</v>
      </c>
      <c r="Q141" s="2">
        <v>103.0921</v>
      </c>
      <c r="R141" s="2">
        <v>214</v>
      </c>
      <c r="S141" s="2">
        <v>101.9273</v>
      </c>
      <c r="T141" s="2">
        <v>185</v>
      </c>
      <c r="U141" s="2">
        <v>0.53784900000000002</v>
      </c>
      <c r="V141" s="2">
        <v>140</v>
      </c>
      <c r="W141" s="2">
        <v>2002</v>
      </c>
    </row>
    <row r="142" spans="1:23" ht="12.3" hidden="1" x14ac:dyDescent="0.4">
      <c r="A142" s="2" t="s">
        <v>167</v>
      </c>
      <c r="B142" s="2"/>
      <c r="C142" s="2"/>
      <c r="D142" s="2"/>
      <c r="E142" s="2"/>
      <c r="F142" s="2"/>
      <c r="G142" s="2"/>
      <c r="H142" s="2"/>
      <c r="I142" s="2">
        <v>61.601999999999997</v>
      </c>
      <c r="J142" s="2">
        <v>322</v>
      </c>
      <c r="K142" s="2">
        <v>61.884799999999998</v>
      </c>
      <c r="L142" s="2">
        <v>322</v>
      </c>
      <c r="M142" s="2">
        <v>101.6305</v>
      </c>
      <c r="N142" s="2">
        <v>147</v>
      </c>
      <c r="O142" s="2">
        <v>103.3368</v>
      </c>
      <c r="P142" s="2">
        <v>117</v>
      </c>
      <c r="Q142" s="2">
        <v>105.9169</v>
      </c>
      <c r="R142" s="2">
        <v>273</v>
      </c>
      <c r="S142" s="2">
        <v>101.98309999999999</v>
      </c>
      <c r="T142" s="2">
        <v>186</v>
      </c>
      <c r="U142" s="2">
        <v>0.53783700000000001</v>
      </c>
      <c r="V142" s="2">
        <v>141</v>
      </c>
      <c r="W142" s="2">
        <v>2002</v>
      </c>
    </row>
    <row r="143" spans="1:23" ht="12.3" hidden="1" x14ac:dyDescent="0.4">
      <c r="A143" s="2" t="s">
        <v>168</v>
      </c>
      <c r="B143" s="2"/>
      <c r="C143" s="2"/>
      <c r="D143" s="2"/>
      <c r="E143" s="2"/>
      <c r="F143" s="2"/>
      <c r="G143" s="2"/>
      <c r="H143" s="2"/>
      <c r="I143" s="2">
        <v>72.696399999999997</v>
      </c>
      <c r="J143" s="2">
        <v>66</v>
      </c>
      <c r="K143" s="2">
        <v>71.157799999999995</v>
      </c>
      <c r="L143" s="2">
        <v>109</v>
      </c>
      <c r="M143" s="2">
        <v>99.028899999999993</v>
      </c>
      <c r="N143" s="2">
        <v>197</v>
      </c>
      <c r="O143" s="2">
        <v>103.10599999999999</v>
      </c>
      <c r="P143" s="2">
        <v>122</v>
      </c>
      <c r="Q143" s="2">
        <v>108.5209</v>
      </c>
      <c r="R143" s="2">
        <v>305</v>
      </c>
      <c r="S143" s="2">
        <v>101.76349999999999</v>
      </c>
      <c r="T143" s="2">
        <v>181</v>
      </c>
      <c r="U143" s="2">
        <v>0.537609</v>
      </c>
      <c r="V143" s="2">
        <v>142</v>
      </c>
      <c r="W143" s="2">
        <v>2002</v>
      </c>
    </row>
    <row r="144" spans="1:23" ht="12.3" hidden="1" x14ac:dyDescent="0.4">
      <c r="A144" s="2" t="s">
        <v>24</v>
      </c>
      <c r="B144" s="2"/>
      <c r="C144" s="2"/>
      <c r="D144" s="2"/>
      <c r="E144" s="2"/>
      <c r="F144" s="2"/>
      <c r="G144" s="2"/>
      <c r="H144" s="2"/>
      <c r="I144" s="2">
        <v>72.5471</v>
      </c>
      <c r="J144" s="2">
        <v>69</v>
      </c>
      <c r="K144" s="2">
        <v>71.103999999999999</v>
      </c>
      <c r="L144" s="2">
        <v>110</v>
      </c>
      <c r="M144" s="2">
        <v>102.2403</v>
      </c>
      <c r="N144" s="2">
        <v>140</v>
      </c>
      <c r="O144" s="2">
        <v>104.2538</v>
      </c>
      <c r="P144" s="2">
        <v>100</v>
      </c>
      <c r="Q144" s="2">
        <v>104.0517</v>
      </c>
      <c r="R144" s="2">
        <v>237</v>
      </c>
      <c r="S144" s="2">
        <v>103.07899999999999</v>
      </c>
      <c r="T144" s="2">
        <v>207</v>
      </c>
      <c r="U144" s="2">
        <v>0.53253600000000001</v>
      </c>
      <c r="V144" s="2">
        <v>143</v>
      </c>
      <c r="W144" s="2">
        <v>2002</v>
      </c>
    </row>
    <row r="145" spans="1:23" ht="12.3" hidden="1" x14ac:dyDescent="0.4">
      <c r="A145" s="2" t="s">
        <v>169</v>
      </c>
      <c r="B145" s="2"/>
      <c r="C145" s="2"/>
      <c r="D145" s="2"/>
      <c r="E145" s="2"/>
      <c r="F145" s="2"/>
      <c r="G145" s="2"/>
      <c r="H145" s="2"/>
      <c r="I145" s="2">
        <v>66.444100000000006</v>
      </c>
      <c r="J145" s="2">
        <v>272</v>
      </c>
      <c r="K145" s="2">
        <v>67.8292</v>
      </c>
      <c r="L145" s="2">
        <v>229</v>
      </c>
      <c r="M145" s="2">
        <v>99.245199999999997</v>
      </c>
      <c r="N145" s="2">
        <v>195</v>
      </c>
      <c r="O145" s="2">
        <v>101.7683</v>
      </c>
      <c r="P145" s="2">
        <v>145</v>
      </c>
      <c r="Q145" s="2">
        <v>102.0889</v>
      </c>
      <c r="R145" s="2">
        <v>188</v>
      </c>
      <c r="S145" s="2">
        <v>100.72669999999999</v>
      </c>
      <c r="T145" s="2">
        <v>158</v>
      </c>
      <c r="U145" s="2">
        <v>0.52954199999999996</v>
      </c>
      <c r="V145" s="2">
        <v>144</v>
      </c>
      <c r="W145" s="2">
        <v>2002</v>
      </c>
    </row>
    <row r="146" spans="1:23" ht="12.3" hidden="1" x14ac:dyDescent="0.4">
      <c r="A146" s="2" t="s">
        <v>170</v>
      </c>
      <c r="B146" s="2"/>
      <c r="C146" s="2"/>
      <c r="D146" s="2"/>
      <c r="E146" s="2"/>
      <c r="F146" s="2"/>
      <c r="G146" s="2"/>
      <c r="H146" s="2"/>
      <c r="I146" s="2">
        <v>68.732299999999995</v>
      </c>
      <c r="J146" s="2">
        <v>200</v>
      </c>
      <c r="K146" s="2">
        <v>69.709000000000003</v>
      </c>
      <c r="L146" s="2">
        <v>166</v>
      </c>
      <c r="M146" s="2">
        <v>104.97969999999999</v>
      </c>
      <c r="N146" s="2">
        <v>89</v>
      </c>
      <c r="O146" s="2">
        <v>103.2383</v>
      </c>
      <c r="P146" s="2">
        <v>119</v>
      </c>
      <c r="Q146" s="2">
        <v>100.4212</v>
      </c>
      <c r="R146" s="2">
        <v>155</v>
      </c>
      <c r="S146" s="2">
        <v>102.3635</v>
      </c>
      <c r="T146" s="2">
        <v>194</v>
      </c>
      <c r="U146" s="2">
        <v>0.52444800000000003</v>
      </c>
      <c r="V146" s="2">
        <v>145</v>
      </c>
      <c r="W146" s="2">
        <v>2002</v>
      </c>
    </row>
    <row r="147" spans="1:23" ht="12.3" hidden="1" x14ac:dyDescent="0.4">
      <c r="A147" s="2" t="s">
        <v>171</v>
      </c>
      <c r="B147" s="2"/>
      <c r="C147" s="2"/>
      <c r="D147" s="2"/>
      <c r="E147" s="2"/>
      <c r="F147" s="2"/>
      <c r="G147" s="2"/>
      <c r="H147" s="2"/>
      <c r="I147" s="2">
        <v>66.156199999999998</v>
      </c>
      <c r="J147" s="2">
        <v>276</v>
      </c>
      <c r="K147" s="2">
        <v>66.778899999999993</v>
      </c>
      <c r="L147" s="2">
        <v>262</v>
      </c>
      <c r="M147" s="2">
        <v>109.5903</v>
      </c>
      <c r="N147" s="2">
        <v>26</v>
      </c>
      <c r="O147" s="2">
        <v>108.2388</v>
      </c>
      <c r="P147" s="2">
        <v>52</v>
      </c>
      <c r="Q147" s="2">
        <v>105.40260000000001</v>
      </c>
      <c r="R147" s="2">
        <v>259</v>
      </c>
      <c r="S147" s="2">
        <v>107.3518</v>
      </c>
      <c r="T147" s="2">
        <v>277</v>
      </c>
      <c r="U147" s="2">
        <v>0.52364100000000002</v>
      </c>
      <c r="V147" s="2">
        <v>146</v>
      </c>
      <c r="W147" s="2">
        <v>2002</v>
      </c>
    </row>
    <row r="148" spans="1:23" ht="12.3" hidden="1" x14ac:dyDescent="0.4">
      <c r="A148" s="2" t="s">
        <v>172</v>
      </c>
      <c r="B148" s="2"/>
      <c r="C148" s="2"/>
      <c r="D148" s="2"/>
      <c r="E148" s="2"/>
      <c r="F148" s="2"/>
      <c r="G148" s="2"/>
      <c r="H148" s="2"/>
      <c r="I148" s="2">
        <v>66.697999999999993</v>
      </c>
      <c r="J148" s="2">
        <v>262</v>
      </c>
      <c r="K148" s="2">
        <v>65.637799999999999</v>
      </c>
      <c r="L148" s="2">
        <v>291</v>
      </c>
      <c r="M148" s="2">
        <v>103.9623</v>
      </c>
      <c r="N148" s="2">
        <v>110</v>
      </c>
      <c r="O148" s="2">
        <v>101.8952</v>
      </c>
      <c r="P148" s="2">
        <v>141</v>
      </c>
      <c r="Q148" s="2">
        <v>99.067300000000003</v>
      </c>
      <c r="R148" s="2">
        <v>118</v>
      </c>
      <c r="S148" s="2">
        <v>101.31270000000001</v>
      </c>
      <c r="T148" s="2">
        <v>174</v>
      </c>
      <c r="U148" s="2">
        <v>0.51647600000000005</v>
      </c>
      <c r="V148" s="2">
        <v>147</v>
      </c>
      <c r="W148" s="2">
        <v>2002</v>
      </c>
    </row>
    <row r="149" spans="1:23" ht="12.3" hidden="1" x14ac:dyDescent="0.4">
      <c r="A149" s="2" t="s">
        <v>173</v>
      </c>
      <c r="B149" s="2"/>
      <c r="C149" s="2"/>
      <c r="D149" s="2"/>
      <c r="E149" s="2"/>
      <c r="F149" s="2"/>
      <c r="G149" s="2"/>
      <c r="H149" s="2"/>
      <c r="I149" s="2">
        <v>70.162000000000006</v>
      </c>
      <c r="J149" s="2">
        <v>150</v>
      </c>
      <c r="K149" s="2">
        <v>69.4114</v>
      </c>
      <c r="L149" s="2">
        <v>172</v>
      </c>
      <c r="M149" s="2">
        <v>100.0076</v>
      </c>
      <c r="N149" s="2">
        <v>183</v>
      </c>
      <c r="O149" s="2">
        <v>100.61239999999999</v>
      </c>
      <c r="P149" s="2">
        <v>164</v>
      </c>
      <c r="Q149" s="2">
        <v>101.6403</v>
      </c>
      <c r="R149" s="2">
        <v>181</v>
      </c>
      <c r="S149" s="2">
        <v>100.0934</v>
      </c>
      <c r="T149" s="2">
        <v>143</v>
      </c>
      <c r="U149" s="2">
        <v>0.51486500000000002</v>
      </c>
      <c r="V149" s="2">
        <v>148</v>
      </c>
      <c r="W149" s="2">
        <v>2002</v>
      </c>
    </row>
    <row r="150" spans="1:23" ht="12.3" hidden="1" x14ac:dyDescent="0.4">
      <c r="A150" s="2" t="s">
        <v>174</v>
      </c>
      <c r="B150" s="2"/>
      <c r="C150" s="2"/>
      <c r="D150" s="2"/>
      <c r="E150" s="2"/>
      <c r="F150" s="2"/>
      <c r="G150" s="2"/>
      <c r="H150" s="2"/>
      <c r="I150" s="2">
        <v>66.97</v>
      </c>
      <c r="J150" s="2">
        <v>252</v>
      </c>
      <c r="K150" s="2">
        <v>67.822800000000001</v>
      </c>
      <c r="L150" s="2">
        <v>230</v>
      </c>
      <c r="M150" s="2">
        <v>99.447800000000001</v>
      </c>
      <c r="N150" s="2">
        <v>191</v>
      </c>
      <c r="O150" s="2">
        <v>101.1232</v>
      </c>
      <c r="P150" s="2">
        <v>154</v>
      </c>
      <c r="Q150" s="2">
        <v>99.772199999999998</v>
      </c>
      <c r="R150" s="2">
        <v>141</v>
      </c>
      <c r="S150" s="2">
        <v>100.7474</v>
      </c>
      <c r="T150" s="2">
        <v>159</v>
      </c>
      <c r="U150" s="2">
        <v>0.51070300000000002</v>
      </c>
      <c r="V150" s="2">
        <v>149</v>
      </c>
      <c r="W150" s="2">
        <v>2002</v>
      </c>
    </row>
    <row r="151" spans="1:23" ht="12.3" hidden="1" x14ac:dyDescent="0.4">
      <c r="A151" s="2" t="s">
        <v>175</v>
      </c>
      <c r="B151" s="2"/>
      <c r="C151" s="2"/>
      <c r="D151" s="2"/>
      <c r="E151" s="2"/>
      <c r="F151" s="2"/>
      <c r="G151" s="2"/>
      <c r="H151" s="2"/>
      <c r="I151" s="2">
        <v>66.857699999999994</v>
      </c>
      <c r="J151" s="2">
        <v>258</v>
      </c>
      <c r="K151" s="2">
        <v>66.0274</v>
      </c>
      <c r="L151" s="2">
        <v>285</v>
      </c>
      <c r="M151" s="2">
        <v>92.104399999999998</v>
      </c>
      <c r="N151" s="2">
        <v>300</v>
      </c>
      <c r="O151" s="2">
        <v>96.261600000000001</v>
      </c>
      <c r="P151" s="2">
        <v>245</v>
      </c>
      <c r="Q151" s="2">
        <v>98.994799999999998</v>
      </c>
      <c r="R151" s="2">
        <v>115</v>
      </c>
      <c r="S151" s="2">
        <v>96.038200000000003</v>
      </c>
      <c r="T151" s="2">
        <v>58</v>
      </c>
      <c r="U151" s="2">
        <v>0.50667799999999996</v>
      </c>
      <c r="V151" s="2">
        <v>150</v>
      </c>
      <c r="W151" s="2">
        <v>2002</v>
      </c>
    </row>
    <row r="152" spans="1:23" ht="12.3" hidden="1" x14ac:dyDescent="0.4">
      <c r="A152" s="2" t="s">
        <v>176</v>
      </c>
      <c r="B152" s="2"/>
      <c r="C152" s="2"/>
      <c r="D152" s="2"/>
      <c r="E152" s="2"/>
      <c r="F152" s="2"/>
      <c r="G152" s="2"/>
      <c r="H152" s="2"/>
      <c r="I152" s="2">
        <v>58.9375</v>
      </c>
      <c r="J152" s="2">
        <v>325</v>
      </c>
      <c r="K152" s="2">
        <v>59.336399999999998</v>
      </c>
      <c r="L152" s="2">
        <v>325</v>
      </c>
      <c r="M152" s="2">
        <v>100.3544</v>
      </c>
      <c r="N152" s="2">
        <v>170</v>
      </c>
      <c r="O152" s="2">
        <v>100.2666</v>
      </c>
      <c r="P152" s="2">
        <v>171</v>
      </c>
      <c r="Q152" s="2">
        <v>98.516999999999996</v>
      </c>
      <c r="R152" s="2">
        <v>101</v>
      </c>
      <c r="S152" s="2">
        <v>100.0342</v>
      </c>
      <c r="T152" s="2">
        <v>141</v>
      </c>
      <c r="U152" s="2">
        <v>0.50667200000000001</v>
      </c>
      <c r="V152" s="2">
        <v>151</v>
      </c>
      <c r="W152" s="2">
        <v>2002</v>
      </c>
    </row>
    <row r="153" spans="1:23" ht="12.3" hidden="1" x14ac:dyDescent="0.4">
      <c r="A153" s="2" t="s">
        <v>177</v>
      </c>
      <c r="B153" s="2"/>
      <c r="C153" s="2"/>
      <c r="D153" s="2"/>
      <c r="E153" s="2"/>
      <c r="F153" s="2"/>
      <c r="G153" s="2"/>
      <c r="H153" s="2"/>
      <c r="I153" s="2">
        <v>70.630099999999999</v>
      </c>
      <c r="J153" s="2">
        <v>131</v>
      </c>
      <c r="K153" s="2">
        <v>71.316299999999998</v>
      </c>
      <c r="L153" s="2">
        <v>100</v>
      </c>
      <c r="M153" s="2">
        <v>107.125</v>
      </c>
      <c r="N153" s="2">
        <v>56</v>
      </c>
      <c r="O153" s="2">
        <v>101.69540000000001</v>
      </c>
      <c r="P153" s="2">
        <v>146</v>
      </c>
      <c r="Q153" s="2">
        <v>99.918199999999999</v>
      </c>
      <c r="R153" s="2">
        <v>143</v>
      </c>
      <c r="S153" s="2">
        <v>101.5192</v>
      </c>
      <c r="T153" s="2">
        <v>175</v>
      </c>
      <c r="U153" s="2">
        <v>0.50498500000000002</v>
      </c>
      <c r="V153" s="2">
        <v>152</v>
      </c>
      <c r="W153" s="2">
        <v>2002</v>
      </c>
    </row>
    <row r="154" spans="1:23" ht="12.3" x14ac:dyDescent="0.4">
      <c r="A154" s="2" t="s">
        <v>162</v>
      </c>
      <c r="B154" s="2">
        <v>14</v>
      </c>
      <c r="C154" s="2"/>
      <c r="D154" s="2"/>
      <c r="E154" s="2"/>
      <c r="F154" s="2"/>
      <c r="G154" s="2"/>
      <c r="H154" s="2"/>
      <c r="I154" s="2">
        <v>66.6096</v>
      </c>
      <c r="J154" s="2">
        <v>165</v>
      </c>
      <c r="K154" s="2">
        <v>66.876199999999997</v>
      </c>
      <c r="L154" s="2">
        <v>144</v>
      </c>
      <c r="M154" s="2">
        <v>106.31789999999999</v>
      </c>
      <c r="N154" s="2">
        <v>136</v>
      </c>
      <c r="O154" s="2">
        <v>106.6874</v>
      </c>
      <c r="P154" s="2">
        <v>128</v>
      </c>
      <c r="Q154" s="2">
        <v>100.5727</v>
      </c>
      <c r="R154" s="2">
        <v>84</v>
      </c>
      <c r="S154" s="2">
        <v>102.3065</v>
      </c>
      <c r="T154" s="2">
        <v>118</v>
      </c>
      <c r="U154" s="2">
        <v>0.61826599999999998</v>
      </c>
      <c r="V154" s="2">
        <v>113</v>
      </c>
      <c r="W154" s="2">
        <v>2014</v>
      </c>
    </row>
    <row r="155" spans="1:23" ht="12.3" hidden="1" x14ac:dyDescent="0.4">
      <c r="A155" s="2" t="s">
        <v>179</v>
      </c>
      <c r="B155" s="2"/>
      <c r="C155" s="2"/>
      <c r="D155" s="2"/>
      <c r="E155" s="2"/>
      <c r="F155" s="2"/>
      <c r="G155" s="2"/>
      <c r="H155" s="2"/>
      <c r="I155" s="2">
        <v>69.481300000000005</v>
      </c>
      <c r="J155" s="2">
        <v>178</v>
      </c>
      <c r="K155" s="2">
        <v>68.562200000000004</v>
      </c>
      <c r="L155" s="2">
        <v>208</v>
      </c>
      <c r="M155" s="2">
        <v>102.1681</v>
      </c>
      <c r="N155" s="2">
        <v>143</v>
      </c>
      <c r="O155" s="2">
        <v>103.2197</v>
      </c>
      <c r="P155" s="2">
        <v>120</v>
      </c>
      <c r="Q155" s="2">
        <v>100.0549</v>
      </c>
      <c r="R155" s="2">
        <v>147</v>
      </c>
      <c r="S155" s="2">
        <v>103.18429999999999</v>
      </c>
      <c r="T155" s="2">
        <v>209</v>
      </c>
      <c r="U155" s="2">
        <v>0.50098600000000004</v>
      </c>
      <c r="V155" s="2">
        <v>154</v>
      </c>
      <c r="W155" s="2">
        <v>2002</v>
      </c>
    </row>
    <row r="156" spans="1:23" ht="12.3" hidden="1" x14ac:dyDescent="0.4">
      <c r="A156" s="2" t="s">
        <v>180</v>
      </c>
      <c r="B156" s="2"/>
      <c r="C156" s="2"/>
      <c r="D156" s="2"/>
      <c r="E156" s="2"/>
      <c r="F156" s="2"/>
      <c r="G156" s="2"/>
      <c r="H156" s="2"/>
      <c r="I156" s="2">
        <v>69.947400000000002</v>
      </c>
      <c r="J156" s="2">
        <v>163</v>
      </c>
      <c r="K156" s="2">
        <v>70.367999999999995</v>
      </c>
      <c r="L156" s="2">
        <v>136</v>
      </c>
      <c r="M156" s="2">
        <v>105.8074</v>
      </c>
      <c r="N156" s="2">
        <v>70</v>
      </c>
      <c r="O156" s="2">
        <v>102.2488</v>
      </c>
      <c r="P156" s="2">
        <v>138</v>
      </c>
      <c r="Q156" s="2">
        <v>101.68210000000001</v>
      </c>
      <c r="R156" s="2">
        <v>182</v>
      </c>
      <c r="S156" s="2">
        <v>102.2671</v>
      </c>
      <c r="T156" s="2">
        <v>192</v>
      </c>
      <c r="U156" s="2">
        <v>0.49948399999999998</v>
      </c>
      <c r="V156" s="2">
        <v>155</v>
      </c>
      <c r="W156" s="2">
        <v>2002</v>
      </c>
    </row>
    <row r="157" spans="1:23" ht="12.3" x14ac:dyDescent="0.4">
      <c r="A157" s="2" t="s">
        <v>117</v>
      </c>
      <c r="B157" s="2">
        <v>14</v>
      </c>
      <c r="C157" s="2"/>
      <c r="D157" s="2"/>
      <c r="E157" s="2"/>
      <c r="F157" s="2"/>
      <c r="G157" s="2"/>
      <c r="H157" s="2"/>
      <c r="I157" s="2">
        <v>70.989800000000002</v>
      </c>
      <c r="J157" s="2">
        <v>21</v>
      </c>
      <c r="K157" s="2">
        <v>69.887100000000004</v>
      </c>
      <c r="L157" s="2">
        <v>36</v>
      </c>
      <c r="M157" s="2">
        <v>110.0513</v>
      </c>
      <c r="N157" s="2">
        <v>60</v>
      </c>
      <c r="O157" s="2">
        <v>109.87130000000001</v>
      </c>
      <c r="P157" s="2">
        <v>74</v>
      </c>
      <c r="Q157" s="2">
        <v>104.9101</v>
      </c>
      <c r="R157" s="2">
        <v>175</v>
      </c>
      <c r="S157" s="2">
        <v>105.6575</v>
      </c>
      <c r="T157" s="2">
        <v>193</v>
      </c>
      <c r="U157" s="2">
        <v>0.61057499999999998</v>
      </c>
      <c r="V157" s="2">
        <v>115</v>
      </c>
      <c r="W157" s="2">
        <v>2014</v>
      </c>
    </row>
    <row r="158" spans="1:23" ht="12.3" hidden="1" x14ac:dyDescent="0.4">
      <c r="A158" s="2" t="s">
        <v>182</v>
      </c>
      <c r="B158" s="2"/>
      <c r="C158" s="2"/>
      <c r="D158" s="2"/>
      <c r="E158" s="2"/>
      <c r="F158" s="2"/>
      <c r="G158" s="2"/>
      <c r="H158" s="2"/>
      <c r="I158" s="2">
        <v>69.971000000000004</v>
      </c>
      <c r="J158" s="2">
        <v>161</v>
      </c>
      <c r="K158" s="2">
        <v>69.960800000000006</v>
      </c>
      <c r="L158" s="2">
        <v>156</v>
      </c>
      <c r="M158" s="2">
        <v>100.0361</v>
      </c>
      <c r="N158" s="2">
        <v>181</v>
      </c>
      <c r="O158" s="2">
        <v>97.929599999999994</v>
      </c>
      <c r="P158" s="2">
        <v>215</v>
      </c>
      <c r="Q158" s="2">
        <v>93.627799999999993</v>
      </c>
      <c r="R158" s="2">
        <v>26</v>
      </c>
      <c r="S158" s="2">
        <v>98.088899999999995</v>
      </c>
      <c r="T158" s="2">
        <v>95</v>
      </c>
      <c r="U158" s="2">
        <v>0.49532700000000002</v>
      </c>
      <c r="V158" s="2">
        <v>157</v>
      </c>
      <c r="W158" s="2">
        <v>2002</v>
      </c>
    </row>
    <row r="159" spans="1:23" ht="12.3" hidden="1" x14ac:dyDescent="0.4">
      <c r="A159" s="2" t="s">
        <v>183</v>
      </c>
      <c r="B159" s="2"/>
      <c r="C159" s="2"/>
      <c r="D159" s="2"/>
      <c r="E159" s="2"/>
      <c r="F159" s="2"/>
      <c r="G159" s="2"/>
      <c r="H159" s="2"/>
      <c r="I159" s="2">
        <v>69.205600000000004</v>
      </c>
      <c r="J159" s="2">
        <v>185</v>
      </c>
      <c r="K159" s="2">
        <v>69.808099999999996</v>
      </c>
      <c r="L159" s="2">
        <v>163</v>
      </c>
      <c r="M159" s="2">
        <v>95.046000000000006</v>
      </c>
      <c r="N159" s="2">
        <v>262</v>
      </c>
      <c r="O159" s="2">
        <v>96.500600000000006</v>
      </c>
      <c r="P159" s="2">
        <v>240</v>
      </c>
      <c r="Q159" s="2">
        <v>97.340699999999998</v>
      </c>
      <c r="R159" s="2">
        <v>79</v>
      </c>
      <c r="S159" s="2">
        <v>96.690700000000007</v>
      </c>
      <c r="T159" s="2">
        <v>68</v>
      </c>
      <c r="U159" s="2">
        <v>0.49434299999999998</v>
      </c>
      <c r="V159" s="2">
        <v>158</v>
      </c>
      <c r="W159" s="2">
        <v>2002</v>
      </c>
    </row>
    <row r="160" spans="1:23" ht="12.3" hidden="1" x14ac:dyDescent="0.4">
      <c r="A160" s="2" t="s">
        <v>184</v>
      </c>
      <c r="B160" s="2"/>
      <c r="C160" s="2"/>
      <c r="D160" s="2"/>
      <c r="E160" s="2"/>
      <c r="F160" s="2"/>
      <c r="G160" s="2"/>
      <c r="H160" s="2"/>
      <c r="I160" s="2">
        <v>73.096199999999996</v>
      </c>
      <c r="J160" s="2">
        <v>60</v>
      </c>
      <c r="K160" s="2">
        <v>73.895600000000002</v>
      </c>
      <c r="L160" s="2">
        <v>34</v>
      </c>
      <c r="M160" s="2">
        <v>104.92059999999999</v>
      </c>
      <c r="N160" s="2">
        <v>90</v>
      </c>
      <c r="O160" s="2">
        <v>105.7423</v>
      </c>
      <c r="P160" s="2">
        <v>83</v>
      </c>
      <c r="Q160" s="2">
        <v>106.4216</v>
      </c>
      <c r="R160" s="2">
        <v>280</v>
      </c>
      <c r="S160" s="2">
        <v>105.95229999999999</v>
      </c>
      <c r="T160" s="2">
        <v>257</v>
      </c>
      <c r="U160" s="2">
        <v>0.49429699999999999</v>
      </c>
      <c r="V160" s="2">
        <v>159</v>
      </c>
      <c r="W160" s="2">
        <v>2002</v>
      </c>
    </row>
    <row r="161" spans="1:23" ht="12.3" hidden="1" x14ac:dyDescent="0.4">
      <c r="A161" s="2" t="s">
        <v>185</v>
      </c>
      <c r="B161" s="2"/>
      <c r="C161" s="2"/>
      <c r="D161" s="2"/>
      <c r="E161" s="2"/>
      <c r="F161" s="2"/>
      <c r="G161" s="2"/>
      <c r="H161" s="2"/>
      <c r="I161" s="2">
        <v>73.9114</v>
      </c>
      <c r="J161" s="2">
        <v>39</v>
      </c>
      <c r="K161" s="2">
        <v>73.822900000000004</v>
      </c>
      <c r="L161" s="2">
        <v>37</v>
      </c>
      <c r="M161" s="2">
        <v>103.1575</v>
      </c>
      <c r="N161" s="2">
        <v>121</v>
      </c>
      <c r="O161" s="2">
        <v>100.7118</v>
      </c>
      <c r="P161" s="2">
        <v>162</v>
      </c>
      <c r="Q161" s="2">
        <v>96.877099999999999</v>
      </c>
      <c r="R161" s="2">
        <v>76</v>
      </c>
      <c r="S161" s="2">
        <v>100.9816</v>
      </c>
      <c r="T161" s="2">
        <v>162</v>
      </c>
      <c r="U161" s="2">
        <v>0.49230699999999999</v>
      </c>
      <c r="V161" s="2">
        <v>160</v>
      </c>
      <c r="W161" s="2">
        <v>2002</v>
      </c>
    </row>
    <row r="162" spans="1:23" ht="12.3" hidden="1" x14ac:dyDescent="0.4">
      <c r="A162" s="2" t="s">
        <v>186</v>
      </c>
      <c r="B162" s="2"/>
      <c r="C162" s="2"/>
      <c r="D162" s="2"/>
      <c r="E162" s="2"/>
      <c r="F162" s="2"/>
      <c r="G162" s="2"/>
      <c r="H162" s="2"/>
      <c r="I162" s="2">
        <v>67.453500000000005</v>
      </c>
      <c r="J162" s="2">
        <v>241</v>
      </c>
      <c r="K162" s="2">
        <v>67.478999999999999</v>
      </c>
      <c r="L162" s="2">
        <v>238</v>
      </c>
      <c r="M162" s="2">
        <v>98.171199999999999</v>
      </c>
      <c r="N162" s="2">
        <v>211</v>
      </c>
      <c r="O162" s="2">
        <v>96.944900000000004</v>
      </c>
      <c r="P162" s="2">
        <v>228</v>
      </c>
      <c r="Q162" s="2">
        <v>100.2021</v>
      </c>
      <c r="R162" s="2">
        <v>149</v>
      </c>
      <c r="S162" s="2">
        <v>97.250600000000006</v>
      </c>
      <c r="T162" s="2">
        <v>81</v>
      </c>
      <c r="U162" s="2">
        <v>0.49095</v>
      </c>
      <c r="V162" s="2">
        <v>161</v>
      </c>
      <c r="W162" s="2">
        <v>2002</v>
      </c>
    </row>
    <row r="163" spans="1:23" ht="12.3" hidden="1" x14ac:dyDescent="0.4">
      <c r="A163" s="2" t="s">
        <v>187</v>
      </c>
      <c r="B163" s="2"/>
      <c r="C163" s="2"/>
      <c r="D163" s="2"/>
      <c r="E163" s="2"/>
      <c r="F163" s="2"/>
      <c r="G163" s="2"/>
      <c r="H163" s="2"/>
      <c r="I163" s="2">
        <v>69.7774</v>
      </c>
      <c r="J163" s="2">
        <v>170</v>
      </c>
      <c r="K163" s="2">
        <v>70.295199999999994</v>
      </c>
      <c r="L163" s="2">
        <v>142</v>
      </c>
      <c r="M163" s="2">
        <v>97.503500000000003</v>
      </c>
      <c r="N163" s="2">
        <v>229</v>
      </c>
      <c r="O163" s="2">
        <v>98.825400000000002</v>
      </c>
      <c r="P163" s="2">
        <v>202</v>
      </c>
      <c r="Q163" s="2">
        <v>98.396199999999993</v>
      </c>
      <c r="R163" s="2">
        <v>99</v>
      </c>
      <c r="S163" s="2">
        <v>99.168800000000005</v>
      </c>
      <c r="T163" s="2">
        <v>117</v>
      </c>
      <c r="U163" s="2">
        <v>0.49002899999999999</v>
      </c>
      <c r="V163" s="2">
        <v>162</v>
      </c>
      <c r="W163" s="2">
        <v>2002</v>
      </c>
    </row>
    <row r="164" spans="1:23" ht="12.3" hidden="1" x14ac:dyDescent="0.4">
      <c r="A164" s="2" t="s">
        <v>188</v>
      </c>
      <c r="B164" s="2"/>
      <c r="C164" s="2"/>
      <c r="D164" s="2"/>
      <c r="E164" s="2"/>
      <c r="F164" s="2"/>
      <c r="G164" s="2"/>
      <c r="H164" s="2"/>
      <c r="I164" s="2">
        <v>70.436499999999995</v>
      </c>
      <c r="J164" s="2">
        <v>137</v>
      </c>
      <c r="K164" s="2">
        <v>71.847700000000003</v>
      </c>
      <c r="L164" s="2">
        <v>82</v>
      </c>
      <c r="M164" s="2">
        <v>100.1335</v>
      </c>
      <c r="N164" s="2">
        <v>176</v>
      </c>
      <c r="O164" s="2">
        <v>101.1611</v>
      </c>
      <c r="P164" s="2">
        <v>153</v>
      </c>
      <c r="Q164" s="2">
        <v>103.4554</v>
      </c>
      <c r="R164" s="2">
        <v>222</v>
      </c>
      <c r="S164" s="2">
        <v>101.8326</v>
      </c>
      <c r="T164" s="2">
        <v>182</v>
      </c>
      <c r="U164" s="2">
        <v>0.480987</v>
      </c>
      <c r="V164" s="2">
        <v>163</v>
      </c>
      <c r="W164" s="2">
        <v>2002</v>
      </c>
    </row>
    <row r="165" spans="1:23" ht="12.3" hidden="1" x14ac:dyDescent="0.4">
      <c r="A165" s="2" t="s">
        <v>189</v>
      </c>
      <c r="B165" s="2"/>
      <c r="C165" s="2"/>
      <c r="D165" s="2"/>
      <c r="E165" s="2"/>
      <c r="F165" s="2"/>
      <c r="G165" s="2"/>
      <c r="H165" s="2"/>
      <c r="I165" s="2">
        <v>67.621700000000004</v>
      </c>
      <c r="J165" s="2">
        <v>236</v>
      </c>
      <c r="K165" s="2">
        <v>69.962500000000006</v>
      </c>
      <c r="L165" s="2">
        <v>155</v>
      </c>
      <c r="M165" s="2">
        <v>100.7475</v>
      </c>
      <c r="N165" s="2">
        <v>160</v>
      </c>
      <c r="O165" s="2">
        <v>100.21259999999999</v>
      </c>
      <c r="P165" s="2">
        <v>173</v>
      </c>
      <c r="Q165" s="2">
        <v>99.118499999999997</v>
      </c>
      <c r="R165" s="2">
        <v>119</v>
      </c>
      <c r="S165" s="2">
        <v>100.8907</v>
      </c>
      <c r="T165" s="2">
        <v>161</v>
      </c>
      <c r="U165" s="2">
        <v>0.48062100000000002</v>
      </c>
      <c r="V165" s="2">
        <v>164</v>
      </c>
      <c r="W165" s="2">
        <v>2002</v>
      </c>
    </row>
    <row r="166" spans="1:23" ht="12.3" hidden="1" x14ac:dyDescent="0.4">
      <c r="A166" s="2" t="s">
        <v>190</v>
      </c>
      <c r="B166" s="2"/>
      <c r="C166" s="2"/>
      <c r="D166" s="2"/>
      <c r="E166" s="2"/>
      <c r="F166" s="2"/>
      <c r="G166" s="2"/>
      <c r="H166" s="2"/>
      <c r="I166" s="2">
        <v>66.554599999999994</v>
      </c>
      <c r="J166" s="2">
        <v>267</v>
      </c>
      <c r="K166" s="2">
        <v>66.432900000000004</v>
      </c>
      <c r="L166" s="2">
        <v>272</v>
      </c>
      <c r="M166" s="2">
        <v>100.5184</v>
      </c>
      <c r="N166" s="2">
        <v>167</v>
      </c>
      <c r="O166" s="2">
        <v>100.36750000000001</v>
      </c>
      <c r="P166" s="2">
        <v>168</v>
      </c>
      <c r="Q166" s="2">
        <v>99.63</v>
      </c>
      <c r="R166" s="2">
        <v>137</v>
      </c>
      <c r="S166" s="2">
        <v>101.10760000000001</v>
      </c>
      <c r="T166" s="2">
        <v>167</v>
      </c>
      <c r="U166" s="2">
        <v>0.47888900000000001</v>
      </c>
      <c r="V166" s="2">
        <v>165</v>
      </c>
      <c r="W166" s="2">
        <v>2002</v>
      </c>
    </row>
    <row r="167" spans="1:23" ht="12.3" hidden="1" x14ac:dyDescent="0.4">
      <c r="A167" s="2" t="s">
        <v>191</v>
      </c>
      <c r="B167" s="2"/>
      <c r="C167" s="2"/>
      <c r="D167" s="2"/>
      <c r="E167" s="2"/>
      <c r="F167" s="2"/>
      <c r="G167" s="2"/>
      <c r="H167" s="2"/>
      <c r="I167" s="2">
        <v>61.858800000000002</v>
      </c>
      <c r="J167" s="2">
        <v>321</v>
      </c>
      <c r="K167" s="2">
        <v>61.930799999999998</v>
      </c>
      <c r="L167" s="2">
        <v>321</v>
      </c>
      <c r="M167" s="2">
        <v>102.477</v>
      </c>
      <c r="N167" s="2">
        <v>136</v>
      </c>
      <c r="O167" s="2">
        <v>98.854600000000005</v>
      </c>
      <c r="P167" s="2">
        <v>201</v>
      </c>
      <c r="Q167" s="2">
        <v>99.4953</v>
      </c>
      <c r="R167" s="2">
        <v>134</v>
      </c>
      <c r="S167" s="2">
        <v>99.656599999999997</v>
      </c>
      <c r="T167" s="2">
        <v>132</v>
      </c>
      <c r="U167" s="2">
        <v>0.47678399999999999</v>
      </c>
      <c r="V167" s="2">
        <v>166</v>
      </c>
      <c r="W167" s="2">
        <v>2002</v>
      </c>
    </row>
    <row r="168" spans="1:23" ht="12.3" hidden="1" x14ac:dyDescent="0.4">
      <c r="A168" s="2" t="s">
        <v>192</v>
      </c>
      <c r="B168" s="2"/>
      <c r="C168" s="2"/>
      <c r="D168" s="2"/>
      <c r="E168" s="2"/>
      <c r="F168" s="2"/>
      <c r="G168" s="2"/>
      <c r="H168" s="2"/>
      <c r="I168" s="2">
        <v>67.643199999999993</v>
      </c>
      <c r="J168" s="2">
        <v>235</v>
      </c>
      <c r="K168" s="2">
        <v>68.445700000000002</v>
      </c>
      <c r="L168" s="2">
        <v>214</v>
      </c>
      <c r="M168" s="2">
        <v>105.95399999999999</v>
      </c>
      <c r="N168" s="2">
        <v>66</v>
      </c>
      <c r="O168" s="2">
        <v>104.4307</v>
      </c>
      <c r="P168" s="2">
        <v>98</v>
      </c>
      <c r="Q168" s="2">
        <v>105.6302</v>
      </c>
      <c r="R168" s="2">
        <v>266</v>
      </c>
      <c r="S168" s="2">
        <v>105.29219999999999</v>
      </c>
      <c r="T168" s="2">
        <v>247</v>
      </c>
      <c r="U168" s="2">
        <v>0.47639700000000001</v>
      </c>
      <c r="V168" s="2">
        <v>167</v>
      </c>
      <c r="W168" s="2">
        <v>2002</v>
      </c>
    </row>
    <row r="169" spans="1:23" ht="12.3" hidden="1" x14ac:dyDescent="0.4">
      <c r="A169" s="2" t="s">
        <v>193</v>
      </c>
      <c r="B169" s="2"/>
      <c r="C169" s="2"/>
      <c r="D169" s="2"/>
      <c r="E169" s="2"/>
      <c r="F169" s="2"/>
      <c r="G169" s="2"/>
      <c r="H169" s="2"/>
      <c r="I169" s="2">
        <v>71.560900000000004</v>
      </c>
      <c r="J169" s="2">
        <v>96</v>
      </c>
      <c r="K169" s="2">
        <v>71.699600000000004</v>
      </c>
      <c r="L169" s="2">
        <v>86</v>
      </c>
      <c r="M169" s="2">
        <v>97.719399999999993</v>
      </c>
      <c r="N169" s="2">
        <v>225</v>
      </c>
      <c r="O169" s="2">
        <v>97.699200000000005</v>
      </c>
      <c r="P169" s="2">
        <v>219</v>
      </c>
      <c r="Q169" s="2">
        <v>99.180899999999994</v>
      </c>
      <c r="R169" s="2">
        <v>125</v>
      </c>
      <c r="S169" s="2">
        <v>98.5548</v>
      </c>
      <c r="T169" s="2">
        <v>105</v>
      </c>
      <c r="U169" s="2">
        <v>0.47494999999999998</v>
      </c>
      <c r="V169" s="2">
        <v>168</v>
      </c>
      <c r="W169" s="2">
        <v>2002</v>
      </c>
    </row>
    <row r="170" spans="1:23" ht="12.3" hidden="1" x14ac:dyDescent="0.4">
      <c r="A170" s="2" t="s">
        <v>194</v>
      </c>
      <c r="B170" s="2"/>
      <c r="C170" s="2"/>
      <c r="D170" s="2"/>
      <c r="E170" s="2"/>
      <c r="F170" s="2"/>
      <c r="G170" s="2"/>
      <c r="H170" s="2"/>
      <c r="I170" s="2">
        <v>71.131299999999996</v>
      </c>
      <c r="J170" s="2">
        <v>110</v>
      </c>
      <c r="K170" s="2">
        <v>70.948300000000003</v>
      </c>
      <c r="L170" s="2">
        <v>115</v>
      </c>
      <c r="M170" s="2">
        <v>104.27</v>
      </c>
      <c r="N170" s="2">
        <v>103</v>
      </c>
      <c r="O170" s="2">
        <v>105.5885</v>
      </c>
      <c r="P170" s="2">
        <v>85</v>
      </c>
      <c r="Q170" s="2">
        <v>102.30070000000001</v>
      </c>
      <c r="R170" s="2">
        <v>194</v>
      </c>
      <c r="S170" s="2">
        <v>106.71210000000001</v>
      </c>
      <c r="T170" s="2">
        <v>271</v>
      </c>
      <c r="U170" s="2">
        <v>0.46960499999999999</v>
      </c>
      <c r="V170" s="2">
        <v>169</v>
      </c>
      <c r="W170" s="2">
        <v>2002</v>
      </c>
    </row>
    <row r="171" spans="1:23" ht="12.3" hidden="1" x14ac:dyDescent="0.4">
      <c r="A171" s="2" t="s">
        <v>195</v>
      </c>
      <c r="B171" s="2"/>
      <c r="C171" s="2"/>
      <c r="D171" s="2"/>
      <c r="E171" s="2"/>
      <c r="F171" s="2"/>
      <c r="G171" s="2"/>
      <c r="H171" s="2"/>
      <c r="I171" s="2">
        <v>68.107399999999998</v>
      </c>
      <c r="J171" s="2">
        <v>227</v>
      </c>
      <c r="K171" s="2">
        <v>66.772400000000005</v>
      </c>
      <c r="L171" s="2">
        <v>263</v>
      </c>
      <c r="M171" s="2">
        <v>97.954700000000003</v>
      </c>
      <c r="N171" s="2">
        <v>217</v>
      </c>
      <c r="O171" s="2">
        <v>98.229600000000005</v>
      </c>
      <c r="P171" s="2">
        <v>212</v>
      </c>
      <c r="Q171" s="2">
        <v>99.481800000000007</v>
      </c>
      <c r="R171" s="2">
        <v>132</v>
      </c>
      <c r="S171" s="2">
        <v>99.292400000000001</v>
      </c>
      <c r="T171" s="2">
        <v>122</v>
      </c>
      <c r="U171" s="2">
        <v>0.46910000000000002</v>
      </c>
      <c r="V171" s="2">
        <v>170</v>
      </c>
      <c r="W171" s="2">
        <v>2002</v>
      </c>
    </row>
    <row r="172" spans="1:23" ht="12.3" x14ac:dyDescent="0.4">
      <c r="A172" s="2" t="s">
        <v>324</v>
      </c>
      <c r="B172" s="2">
        <v>15</v>
      </c>
      <c r="C172" s="2"/>
      <c r="D172" s="2"/>
      <c r="E172" s="2"/>
      <c r="F172" s="2"/>
      <c r="G172" s="2"/>
      <c r="H172" s="2"/>
      <c r="I172" s="2">
        <v>67.117900000000006</v>
      </c>
      <c r="J172" s="2">
        <v>142</v>
      </c>
      <c r="K172" s="2">
        <v>66.121300000000005</v>
      </c>
      <c r="L172" s="2">
        <v>190</v>
      </c>
      <c r="M172" s="2">
        <v>114.8933</v>
      </c>
      <c r="N172" s="2">
        <v>14</v>
      </c>
      <c r="O172" s="2">
        <v>111.3351</v>
      </c>
      <c r="P172" s="2">
        <v>53</v>
      </c>
      <c r="Q172" s="2">
        <v>106.8502</v>
      </c>
      <c r="R172" s="2">
        <v>224</v>
      </c>
      <c r="S172" s="2">
        <v>108.3447</v>
      </c>
      <c r="T172" s="2">
        <v>240</v>
      </c>
      <c r="U172" s="2">
        <v>0.57764400000000005</v>
      </c>
      <c r="V172" s="2">
        <v>129</v>
      </c>
      <c r="W172" s="2">
        <v>2014</v>
      </c>
    </row>
    <row r="173" spans="1:23" ht="12.3" hidden="1" x14ac:dyDescent="0.4">
      <c r="A173" s="2" t="s">
        <v>197</v>
      </c>
      <c r="B173" s="2"/>
      <c r="C173" s="2"/>
      <c r="D173" s="2"/>
      <c r="E173" s="2"/>
      <c r="F173" s="2"/>
      <c r="G173" s="2"/>
      <c r="H173" s="2"/>
      <c r="I173" s="2">
        <v>70.340999999999994</v>
      </c>
      <c r="J173" s="2">
        <v>142</v>
      </c>
      <c r="K173" s="2">
        <v>71.314400000000006</v>
      </c>
      <c r="L173" s="2">
        <v>101</v>
      </c>
      <c r="M173" s="2">
        <v>107.4036</v>
      </c>
      <c r="N173" s="2">
        <v>50</v>
      </c>
      <c r="O173" s="2">
        <v>107.6807</v>
      </c>
      <c r="P173" s="2">
        <v>61</v>
      </c>
      <c r="Q173" s="2">
        <v>111.288</v>
      </c>
      <c r="R173" s="2">
        <v>317</v>
      </c>
      <c r="S173" s="2">
        <v>108.8828</v>
      </c>
      <c r="T173" s="2">
        <v>294</v>
      </c>
      <c r="U173" s="2">
        <v>0.46812599999999999</v>
      </c>
      <c r="V173" s="2">
        <v>172</v>
      </c>
      <c r="W173" s="2">
        <v>2002</v>
      </c>
    </row>
    <row r="174" spans="1:23" ht="12.3" hidden="1" x14ac:dyDescent="0.4">
      <c r="A174" s="2" t="s">
        <v>198</v>
      </c>
      <c r="B174" s="2"/>
      <c r="C174" s="2"/>
      <c r="D174" s="2"/>
      <c r="E174" s="2"/>
      <c r="F174" s="2"/>
      <c r="G174" s="2"/>
      <c r="H174" s="2"/>
      <c r="I174" s="2">
        <v>70.193899999999999</v>
      </c>
      <c r="J174" s="2">
        <v>147</v>
      </c>
      <c r="K174" s="2">
        <v>71.245199999999997</v>
      </c>
      <c r="L174" s="2">
        <v>103</v>
      </c>
      <c r="M174" s="2">
        <v>95.582899999999995</v>
      </c>
      <c r="N174" s="2">
        <v>252</v>
      </c>
      <c r="O174" s="2">
        <v>96.926599999999993</v>
      </c>
      <c r="P174" s="2">
        <v>229</v>
      </c>
      <c r="Q174" s="2">
        <v>99.566199999999995</v>
      </c>
      <c r="R174" s="2">
        <v>135</v>
      </c>
      <c r="S174" s="2">
        <v>98.099100000000007</v>
      </c>
      <c r="T174" s="2">
        <v>96</v>
      </c>
      <c r="U174" s="2">
        <v>0.46548600000000001</v>
      </c>
      <c r="V174" s="2">
        <v>173</v>
      </c>
      <c r="W174" s="2">
        <v>2002</v>
      </c>
    </row>
    <row r="175" spans="1:23" ht="12.3" hidden="1" x14ac:dyDescent="0.4">
      <c r="A175" s="2" t="s">
        <v>199</v>
      </c>
      <c r="B175" s="2"/>
      <c r="C175" s="2"/>
      <c r="D175" s="2"/>
      <c r="E175" s="2"/>
      <c r="F175" s="2"/>
      <c r="G175" s="2"/>
      <c r="H175" s="2"/>
      <c r="I175" s="2">
        <v>70.514099999999999</v>
      </c>
      <c r="J175" s="2">
        <v>135</v>
      </c>
      <c r="K175" s="2">
        <v>70.671000000000006</v>
      </c>
      <c r="L175" s="2">
        <v>124</v>
      </c>
      <c r="M175" s="2">
        <v>101.9838</v>
      </c>
      <c r="N175" s="2">
        <v>144</v>
      </c>
      <c r="O175" s="2">
        <v>99.446200000000005</v>
      </c>
      <c r="P175" s="2">
        <v>191</v>
      </c>
      <c r="Q175" s="2">
        <v>103.0384</v>
      </c>
      <c r="R175" s="2">
        <v>213</v>
      </c>
      <c r="S175" s="2">
        <v>100.7542</v>
      </c>
      <c r="T175" s="2">
        <v>160</v>
      </c>
      <c r="U175" s="2">
        <v>0.462501</v>
      </c>
      <c r="V175" s="2">
        <v>174</v>
      </c>
      <c r="W175" s="2">
        <v>2002</v>
      </c>
    </row>
    <row r="176" spans="1:23" ht="12.3" hidden="1" x14ac:dyDescent="0.4">
      <c r="A176" s="2" t="s">
        <v>200</v>
      </c>
      <c r="B176" s="2"/>
      <c r="C176" s="2"/>
      <c r="D176" s="2"/>
      <c r="E176" s="2"/>
      <c r="F176" s="2"/>
      <c r="G176" s="2"/>
      <c r="H176" s="2"/>
      <c r="I176" s="2">
        <v>67.327600000000004</v>
      </c>
      <c r="J176" s="2">
        <v>246</v>
      </c>
      <c r="K176" s="2">
        <v>67.5655</v>
      </c>
      <c r="L176" s="2">
        <v>235</v>
      </c>
      <c r="M176" s="2">
        <v>103.78740000000001</v>
      </c>
      <c r="N176" s="2">
        <v>113</v>
      </c>
      <c r="O176" s="2">
        <v>104.529</v>
      </c>
      <c r="P176" s="2">
        <v>96</v>
      </c>
      <c r="Q176" s="2">
        <v>102.89239999999999</v>
      </c>
      <c r="R176" s="2">
        <v>210</v>
      </c>
      <c r="S176" s="2">
        <v>105.9389</v>
      </c>
      <c r="T176" s="2">
        <v>256</v>
      </c>
      <c r="U176" s="2">
        <v>0.461557</v>
      </c>
      <c r="V176" s="2">
        <v>175</v>
      </c>
      <c r="W176" s="2">
        <v>2002</v>
      </c>
    </row>
    <row r="177" spans="1:23" ht="12.3" hidden="1" x14ac:dyDescent="0.4">
      <c r="A177" s="2" t="s">
        <v>201</v>
      </c>
      <c r="B177" s="2"/>
      <c r="C177" s="2"/>
      <c r="D177" s="2"/>
      <c r="E177" s="2"/>
      <c r="F177" s="2"/>
      <c r="G177" s="2"/>
      <c r="H177" s="2"/>
      <c r="I177" s="2">
        <v>70.905900000000003</v>
      </c>
      <c r="J177" s="2">
        <v>120</v>
      </c>
      <c r="K177" s="2">
        <v>69.345299999999995</v>
      </c>
      <c r="L177" s="2">
        <v>175</v>
      </c>
      <c r="M177" s="2">
        <v>105.5881</v>
      </c>
      <c r="N177" s="2">
        <v>76</v>
      </c>
      <c r="O177" s="2">
        <v>103.1897</v>
      </c>
      <c r="P177" s="2">
        <v>121</v>
      </c>
      <c r="Q177" s="2">
        <v>105.3103</v>
      </c>
      <c r="R177" s="2">
        <v>257</v>
      </c>
      <c r="S177" s="2">
        <v>104.7604</v>
      </c>
      <c r="T177" s="2">
        <v>243</v>
      </c>
      <c r="U177" s="2">
        <v>0.45667600000000003</v>
      </c>
      <c r="V177" s="2">
        <v>176</v>
      </c>
      <c r="W177" s="2">
        <v>2002</v>
      </c>
    </row>
    <row r="178" spans="1:23" ht="12.3" hidden="1" x14ac:dyDescent="0.4">
      <c r="A178" s="2" t="s">
        <v>202</v>
      </c>
      <c r="B178" s="2"/>
      <c r="C178" s="2"/>
      <c r="D178" s="2"/>
      <c r="E178" s="2"/>
      <c r="F178" s="2"/>
      <c r="G178" s="2"/>
      <c r="H178" s="2"/>
      <c r="I178" s="2">
        <v>73.938999999999993</v>
      </c>
      <c r="J178" s="2">
        <v>38</v>
      </c>
      <c r="K178" s="2">
        <v>73.563199999999995</v>
      </c>
      <c r="L178" s="2">
        <v>43</v>
      </c>
      <c r="M178" s="2">
        <v>101.57599999999999</v>
      </c>
      <c r="N178" s="2">
        <v>149</v>
      </c>
      <c r="O178" s="2">
        <v>98.718400000000003</v>
      </c>
      <c r="P178" s="2">
        <v>205</v>
      </c>
      <c r="Q178" s="2">
        <v>98.603999999999999</v>
      </c>
      <c r="R178" s="2">
        <v>104</v>
      </c>
      <c r="S178" s="2">
        <v>100.23690000000001</v>
      </c>
      <c r="T178" s="2">
        <v>145</v>
      </c>
      <c r="U178" s="2">
        <v>0.45622600000000002</v>
      </c>
      <c r="V178" s="2">
        <v>177</v>
      </c>
      <c r="W178" s="2">
        <v>2002</v>
      </c>
    </row>
    <row r="179" spans="1:23" ht="12.3" x14ac:dyDescent="0.4">
      <c r="A179" s="2" t="s">
        <v>122</v>
      </c>
      <c r="B179" s="2">
        <v>15</v>
      </c>
      <c r="C179" s="2"/>
      <c r="D179" s="2"/>
      <c r="E179" s="2"/>
      <c r="F179" s="2"/>
      <c r="G179" s="2"/>
      <c r="H179" s="2"/>
      <c r="I179" s="2">
        <v>67.593299999999999</v>
      </c>
      <c r="J179" s="2">
        <v>123</v>
      </c>
      <c r="K179" s="2">
        <v>67.499600000000001</v>
      </c>
      <c r="L179" s="2">
        <v>112</v>
      </c>
      <c r="M179" s="2">
        <v>103.1606</v>
      </c>
      <c r="N179" s="2">
        <v>207</v>
      </c>
      <c r="O179" s="2">
        <v>104.51090000000001</v>
      </c>
      <c r="P179" s="2">
        <v>177</v>
      </c>
      <c r="Q179" s="2">
        <v>103.8617</v>
      </c>
      <c r="R179" s="2">
        <v>147</v>
      </c>
      <c r="S179" s="2">
        <v>104.90940000000001</v>
      </c>
      <c r="T179" s="2">
        <v>172</v>
      </c>
      <c r="U179" s="2">
        <v>0.48905900000000002</v>
      </c>
      <c r="V179" s="2">
        <v>163</v>
      </c>
      <c r="W179" s="2">
        <v>2014</v>
      </c>
    </row>
    <row r="180" spans="1:23" ht="12.3" hidden="1" x14ac:dyDescent="0.4">
      <c r="A180" s="2" t="s">
        <v>204</v>
      </c>
      <c r="B180" s="2"/>
      <c r="C180" s="2"/>
      <c r="D180" s="2"/>
      <c r="E180" s="2"/>
      <c r="F180" s="2"/>
      <c r="G180" s="2"/>
      <c r="H180" s="2"/>
      <c r="I180" s="2">
        <v>55.783299999999997</v>
      </c>
      <c r="J180" s="2">
        <v>327</v>
      </c>
      <c r="K180" s="2">
        <v>55.700099999999999</v>
      </c>
      <c r="L180" s="2">
        <v>327</v>
      </c>
      <c r="M180" s="2">
        <v>99.450599999999994</v>
      </c>
      <c r="N180" s="2">
        <v>190</v>
      </c>
      <c r="O180" s="2">
        <v>101.2251</v>
      </c>
      <c r="P180" s="2">
        <v>152</v>
      </c>
      <c r="Q180" s="2">
        <v>106.81</v>
      </c>
      <c r="R180" s="2">
        <v>283</v>
      </c>
      <c r="S180" s="2">
        <v>102.83799999999999</v>
      </c>
      <c r="T180" s="2">
        <v>202</v>
      </c>
      <c r="U180" s="2">
        <v>0.454677</v>
      </c>
      <c r="V180" s="2">
        <v>179</v>
      </c>
      <c r="W180" s="2">
        <v>2002</v>
      </c>
    </row>
    <row r="181" spans="1:23" ht="12.3" hidden="1" x14ac:dyDescent="0.4">
      <c r="A181" s="2" t="s">
        <v>205</v>
      </c>
      <c r="B181" s="2"/>
      <c r="C181" s="2"/>
      <c r="D181" s="2"/>
      <c r="E181" s="2"/>
      <c r="F181" s="2"/>
      <c r="G181" s="2"/>
      <c r="H181" s="2"/>
      <c r="I181" s="2">
        <v>65.795000000000002</v>
      </c>
      <c r="J181" s="2">
        <v>283</v>
      </c>
      <c r="K181" s="2">
        <v>65.813100000000006</v>
      </c>
      <c r="L181" s="2">
        <v>287</v>
      </c>
      <c r="M181" s="2">
        <v>104.77630000000001</v>
      </c>
      <c r="N181" s="2">
        <v>92</v>
      </c>
      <c r="O181" s="2">
        <v>104.66070000000001</v>
      </c>
      <c r="P181" s="2">
        <v>93</v>
      </c>
      <c r="Q181" s="2">
        <v>107.2616</v>
      </c>
      <c r="R181" s="2">
        <v>290</v>
      </c>
      <c r="S181" s="2">
        <v>106.52549999999999</v>
      </c>
      <c r="T181" s="2">
        <v>267</v>
      </c>
      <c r="U181" s="2">
        <v>0.44939899999999999</v>
      </c>
      <c r="V181" s="2">
        <v>180</v>
      </c>
      <c r="W181" s="2">
        <v>2002</v>
      </c>
    </row>
    <row r="182" spans="1:23" ht="12.3" hidden="1" x14ac:dyDescent="0.4">
      <c r="A182" s="2" t="s">
        <v>206</v>
      </c>
      <c r="B182" s="2"/>
      <c r="C182" s="2"/>
      <c r="D182" s="2"/>
      <c r="E182" s="2"/>
      <c r="F182" s="2"/>
      <c r="G182" s="2"/>
      <c r="H182" s="2"/>
      <c r="I182" s="2">
        <v>66.458600000000004</v>
      </c>
      <c r="J182" s="2">
        <v>271</v>
      </c>
      <c r="K182" s="2">
        <v>66.125799999999998</v>
      </c>
      <c r="L182" s="2">
        <v>281</v>
      </c>
      <c r="M182" s="2">
        <v>94.884500000000003</v>
      </c>
      <c r="N182" s="2">
        <v>266</v>
      </c>
      <c r="O182" s="2">
        <v>99.3279</v>
      </c>
      <c r="P182" s="2">
        <v>195</v>
      </c>
      <c r="Q182" s="2">
        <v>104.61360000000001</v>
      </c>
      <c r="R182" s="2">
        <v>247</v>
      </c>
      <c r="S182" s="2">
        <v>101.2158</v>
      </c>
      <c r="T182" s="2">
        <v>170</v>
      </c>
      <c r="U182" s="2">
        <v>0.446079</v>
      </c>
      <c r="V182" s="2">
        <v>181</v>
      </c>
      <c r="W182" s="2">
        <v>2002</v>
      </c>
    </row>
    <row r="183" spans="1:23" ht="12.3" hidden="1" x14ac:dyDescent="0.4">
      <c r="A183" s="2" t="s">
        <v>207</v>
      </c>
      <c r="B183" s="2"/>
      <c r="C183" s="2"/>
      <c r="D183" s="2"/>
      <c r="E183" s="2"/>
      <c r="F183" s="2"/>
      <c r="G183" s="2"/>
      <c r="H183" s="2"/>
      <c r="I183" s="2">
        <v>73.951300000000003</v>
      </c>
      <c r="J183" s="2">
        <v>36</v>
      </c>
      <c r="K183" s="2">
        <v>72.808599999999998</v>
      </c>
      <c r="L183" s="2">
        <v>58</v>
      </c>
      <c r="M183" s="2">
        <v>95.673500000000004</v>
      </c>
      <c r="N183" s="2">
        <v>250</v>
      </c>
      <c r="O183" s="2">
        <v>98.091700000000003</v>
      </c>
      <c r="P183" s="2">
        <v>214</v>
      </c>
      <c r="Q183" s="2">
        <v>103.47799999999999</v>
      </c>
      <c r="R183" s="2">
        <v>223</v>
      </c>
      <c r="S183" s="2">
        <v>100.0433</v>
      </c>
      <c r="T183" s="2">
        <v>142</v>
      </c>
      <c r="U183" s="2">
        <v>0.44360100000000002</v>
      </c>
      <c r="V183" s="2">
        <v>182</v>
      </c>
      <c r="W183" s="2">
        <v>2002</v>
      </c>
    </row>
    <row r="184" spans="1:23" ht="12.3" hidden="1" x14ac:dyDescent="0.4">
      <c r="A184" s="2" t="s">
        <v>208</v>
      </c>
      <c r="B184" s="2"/>
      <c r="C184" s="2"/>
      <c r="D184" s="2"/>
      <c r="E184" s="2"/>
      <c r="F184" s="2"/>
      <c r="G184" s="2"/>
      <c r="H184" s="2"/>
      <c r="I184" s="2">
        <v>58.826300000000003</v>
      </c>
      <c r="J184" s="2">
        <v>326</v>
      </c>
      <c r="K184" s="2">
        <v>58.481299999999997</v>
      </c>
      <c r="L184" s="2">
        <v>326</v>
      </c>
      <c r="M184" s="2">
        <v>102.49850000000001</v>
      </c>
      <c r="N184" s="2">
        <v>134</v>
      </c>
      <c r="O184" s="2">
        <v>100.0415</v>
      </c>
      <c r="P184" s="2">
        <v>179</v>
      </c>
      <c r="Q184" s="2">
        <v>102.1825</v>
      </c>
      <c r="R184" s="2">
        <v>189</v>
      </c>
      <c r="S184" s="2">
        <v>102.1468</v>
      </c>
      <c r="T184" s="2">
        <v>190</v>
      </c>
      <c r="U184" s="2">
        <v>0.44040899999999999</v>
      </c>
      <c r="V184" s="2">
        <v>183</v>
      </c>
      <c r="W184" s="2">
        <v>2002</v>
      </c>
    </row>
    <row r="185" spans="1:23" ht="12.3" hidden="1" x14ac:dyDescent="0.4">
      <c r="A185" s="2" t="s">
        <v>209</v>
      </c>
      <c r="B185" s="2"/>
      <c r="C185" s="2"/>
      <c r="D185" s="2"/>
      <c r="E185" s="2"/>
      <c r="F185" s="2"/>
      <c r="G185" s="2"/>
      <c r="H185" s="2"/>
      <c r="I185" s="2">
        <v>73.191800000000001</v>
      </c>
      <c r="J185" s="2">
        <v>55</v>
      </c>
      <c r="K185" s="2">
        <v>73.813400000000001</v>
      </c>
      <c r="L185" s="2">
        <v>38</v>
      </c>
      <c r="M185" s="2">
        <v>104.5749</v>
      </c>
      <c r="N185" s="2">
        <v>96</v>
      </c>
      <c r="O185" s="2">
        <v>104.0928</v>
      </c>
      <c r="P185" s="2">
        <v>108</v>
      </c>
      <c r="Q185" s="2">
        <v>107.2807</v>
      </c>
      <c r="R185" s="2">
        <v>292</v>
      </c>
      <c r="S185" s="2">
        <v>106.3661</v>
      </c>
      <c r="T185" s="2">
        <v>262</v>
      </c>
      <c r="U185" s="2">
        <v>0.43820599999999998</v>
      </c>
      <c r="V185" s="2">
        <v>184</v>
      </c>
      <c r="W185" s="2">
        <v>2002</v>
      </c>
    </row>
    <row r="186" spans="1:23" ht="12.3" hidden="1" x14ac:dyDescent="0.4">
      <c r="A186" s="2" t="s">
        <v>210</v>
      </c>
      <c r="B186" s="2"/>
      <c r="C186" s="2"/>
      <c r="D186" s="2"/>
      <c r="E186" s="2"/>
      <c r="F186" s="2"/>
      <c r="G186" s="2"/>
      <c r="H186" s="2"/>
      <c r="I186" s="2">
        <v>71.356700000000004</v>
      </c>
      <c r="J186" s="2">
        <v>103</v>
      </c>
      <c r="K186" s="2">
        <v>72.1922</v>
      </c>
      <c r="L186" s="2">
        <v>71</v>
      </c>
      <c r="M186" s="2">
        <v>101.895</v>
      </c>
      <c r="N186" s="2">
        <v>146</v>
      </c>
      <c r="O186" s="2">
        <v>101.7839</v>
      </c>
      <c r="P186" s="2">
        <v>143</v>
      </c>
      <c r="Q186" s="2">
        <v>102.63890000000001</v>
      </c>
      <c r="R186" s="2">
        <v>200</v>
      </c>
      <c r="S186" s="2">
        <v>104.1871</v>
      </c>
      <c r="T186" s="2">
        <v>232</v>
      </c>
      <c r="U186" s="2">
        <v>0.433309</v>
      </c>
      <c r="V186" s="2">
        <v>185</v>
      </c>
      <c r="W186" s="2">
        <v>2002</v>
      </c>
    </row>
    <row r="187" spans="1:23" ht="12.3" hidden="1" x14ac:dyDescent="0.4">
      <c r="A187" s="2" t="s">
        <v>211</v>
      </c>
      <c r="B187" s="2"/>
      <c r="C187" s="2"/>
      <c r="D187" s="2"/>
      <c r="E187" s="2"/>
      <c r="F187" s="2"/>
      <c r="G187" s="2"/>
      <c r="H187" s="2"/>
      <c r="I187" s="2">
        <v>76.566400000000002</v>
      </c>
      <c r="J187" s="2">
        <v>12</v>
      </c>
      <c r="K187" s="2">
        <v>75.062799999999996</v>
      </c>
      <c r="L187" s="2">
        <v>17</v>
      </c>
      <c r="M187" s="2">
        <v>100.6497</v>
      </c>
      <c r="N187" s="2">
        <v>163</v>
      </c>
      <c r="O187" s="2">
        <v>99.444800000000001</v>
      </c>
      <c r="P187" s="2">
        <v>192</v>
      </c>
      <c r="Q187" s="2">
        <v>98.914599999999993</v>
      </c>
      <c r="R187" s="2">
        <v>113</v>
      </c>
      <c r="S187" s="2">
        <v>101.8537</v>
      </c>
      <c r="T187" s="2">
        <v>183</v>
      </c>
      <c r="U187" s="2">
        <v>0.43162</v>
      </c>
      <c r="V187" s="2">
        <v>186</v>
      </c>
      <c r="W187" s="2">
        <v>2002</v>
      </c>
    </row>
    <row r="188" spans="1:23" ht="12.3" hidden="1" x14ac:dyDescent="0.4">
      <c r="A188" s="2" t="s">
        <v>212</v>
      </c>
      <c r="B188" s="2"/>
      <c r="C188" s="2"/>
      <c r="D188" s="2"/>
      <c r="E188" s="2"/>
      <c r="F188" s="2"/>
      <c r="G188" s="2"/>
      <c r="H188" s="2"/>
      <c r="I188" s="2">
        <v>65.754599999999996</v>
      </c>
      <c r="J188" s="2">
        <v>284</v>
      </c>
      <c r="K188" s="2">
        <v>66.722099999999998</v>
      </c>
      <c r="L188" s="2">
        <v>264</v>
      </c>
      <c r="M188" s="2">
        <v>93.9495</v>
      </c>
      <c r="N188" s="2">
        <v>282</v>
      </c>
      <c r="O188" s="2">
        <v>96.477800000000002</v>
      </c>
      <c r="P188" s="2">
        <v>241</v>
      </c>
      <c r="Q188" s="2">
        <v>99.485500000000002</v>
      </c>
      <c r="R188" s="2">
        <v>133</v>
      </c>
      <c r="S188" s="2">
        <v>98.867099999999994</v>
      </c>
      <c r="T188" s="2">
        <v>111</v>
      </c>
      <c r="U188" s="2">
        <v>0.43012499999999998</v>
      </c>
      <c r="V188" s="2">
        <v>187</v>
      </c>
      <c r="W188" s="2">
        <v>2002</v>
      </c>
    </row>
    <row r="189" spans="1:23" ht="12.3" hidden="1" x14ac:dyDescent="0.4">
      <c r="A189" s="2" t="s">
        <v>213</v>
      </c>
      <c r="B189" s="2"/>
      <c r="C189" s="2"/>
      <c r="D189" s="2"/>
      <c r="E189" s="2"/>
      <c r="F189" s="2"/>
      <c r="G189" s="2"/>
      <c r="H189" s="2"/>
      <c r="I189" s="2">
        <v>68.305800000000005</v>
      </c>
      <c r="J189" s="2">
        <v>219</v>
      </c>
      <c r="K189" s="2">
        <v>69.292500000000004</v>
      </c>
      <c r="L189" s="2">
        <v>178</v>
      </c>
      <c r="M189" s="2">
        <v>98.273700000000005</v>
      </c>
      <c r="N189" s="2">
        <v>207</v>
      </c>
      <c r="O189" s="2">
        <v>96.787199999999999</v>
      </c>
      <c r="P189" s="2">
        <v>232</v>
      </c>
      <c r="Q189" s="2">
        <v>101.5391</v>
      </c>
      <c r="R189" s="2">
        <v>179</v>
      </c>
      <c r="S189" s="2">
        <v>99.429199999999994</v>
      </c>
      <c r="T189" s="2">
        <v>127</v>
      </c>
      <c r="U189" s="2">
        <v>0.42318600000000001</v>
      </c>
      <c r="V189" s="2">
        <v>188</v>
      </c>
      <c r="W189" s="2">
        <v>2002</v>
      </c>
    </row>
    <row r="190" spans="1:23" ht="12.3" hidden="1" x14ac:dyDescent="0.4">
      <c r="A190" s="2" t="s">
        <v>214</v>
      </c>
      <c r="B190" s="2"/>
      <c r="C190" s="2"/>
      <c r="D190" s="2"/>
      <c r="E190" s="2"/>
      <c r="F190" s="2"/>
      <c r="G190" s="2"/>
      <c r="H190" s="2"/>
      <c r="I190" s="2">
        <v>68.269400000000005</v>
      </c>
      <c r="J190" s="2">
        <v>221</v>
      </c>
      <c r="K190" s="2">
        <v>67.985500000000002</v>
      </c>
      <c r="L190" s="2">
        <v>225</v>
      </c>
      <c r="M190" s="2">
        <v>100.86579999999999</v>
      </c>
      <c r="N190" s="2">
        <v>157</v>
      </c>
      <c r="O190" s="2">
        <v>96.7393</v>
      </c>
      <c r="P190" s="2">
        <v>235</v>
      </c>
      <c r="Q190" s="2">
        <v>96.094700000000003</v>
      </c>
      <c r="R190" s="2">
        <v>64</v>
      </c>
      <c r="S190" s="2">
        <v>99.409400000000005</v>
      </c>
      <c r="T190" s="2">
        <v>125</v>
      </c>
      <c r="U190" s="2">
        <v>0.42235600000000001</v>
      </c>
      <c r="V190" s="2">
        <v>189</v>
      </c>
      <c r="W190" s="2">
        <v>2002</v>
      </c>
    </row>
    <row r="191" spans="1:23" ht="12.3" hidden="1" x14ac:dyDescent="0.4">
      <c r="A191" s="2" t="s">
        <v>215</v>
      </c>
      <c r="B191" s="2"/>
      <c r="C191" s="2"/>
      <c r="D191" s="2"/>
      <c r="E191" s="2"/>
      <c r="F191" s="2"/>
      <c r="G191" s="2"/>
      <c r="H191" s="2"/>
      <c r="I191" s="2">
        <v>76.919899999999998</v>
      </c>
      <c r="J191" s="2">
        <v>10</v>
      </c>
      <c r="K191" s="2">
        <v>74.837299999999999</v>
      </c>
      <c r="L191" s="2">
        <v>20</v>
      </c>
      <c r="M191" s="2">
        <v>105.92319999999999</v>
      </c>
      <c r="N191" s="2">
        <v>67</v>
      </c>
      <c r="O191" s="2">
        <v>101.3586</v>
      </c>
      <c r="P191" s="2">
        <v>150</v>
      </c>
      <c r="Q191" s="2">
        <v>98.896900000000002</v>
      </c>
      <c r="R191" s="2">
        <v>112</v>
      </c>
      <c r="S191" s="2">
        <v>104.1585</v>
      </c>
      <c r="T191" s="2">
        <v>229</v>
      </c>
      <c r="U191" s="2">
        <v>0.42229499999999998</v>
      </c>
      <c r="V191" s="2">
        <v>190</v>
      </c>
      <c r="W191" s="2">
        <v>2002</v>
      </c>
    </row>
    <row r="192" spans="1:23" ht="12.3" hidden="1" x14ac:dyDescent="0.4">
      <c r="A192" s="2" t="s">
        <v>216</v>
      </c>
      <c r="B192" s="2"/>
      <c r="C192" s="2"/>
      <c r="D192" s="2"/>
      <c r="E192" s="2"/>
      <c r="F192" s="2"/>
      <c r="G192" s="2"/>
      <c r="H192" s="2"/>
      <c r="I192" s="2">
        <v>66.647999999999996</v>
      </c>
      <c r="J192" s="2">
        <v>266</v>
      </c>
      <c r="K192" s="2">
        <v>68.079899999999995</v>
      </c>
      <c r="L192" s="2">
        <v>221</v>
      </c>
      <c r="M192" s="2">
        <v>105.4328</v>
      </c>
      <c r="N192" s="2">
        <v>79</v>
      </c>
      <c r="O192" s="2">
        <v>105.15560000000001</v>
      </c>
      <c r="P192" s="2">
        <v>90</v>
      </c>
      <c r="Q192" s="2">
        <v>108.9027</v>
      </c>
      <c r="R192" s="2">
        <v>308</v>
      </c>
      <c r="S192" s="2">
        <v>108.19119999999999</v>
      </c>
      <c r="T192" s="2">
        <v>290</v>
      </c>
      <c r="U192" s="2">
        <v>0.41890100000000002</v>
      </c>
      <c r="V192" s="2">
        <v>191</v>
      </c>
      <c r="W192" s="2">
        <v>2002</v>
      </c>
    </row>
    <row r="193" spans="1:23" ht="12.3" hidden="1" x14ac:dyDescent="0.4">
      <c r="A193" s="2" t="s">
        <v>217</v>
      </c>
      <c r="B193" s="2"/>
      <c r="C193" s="2"/>
      <c r="D193" s="2"/>
      <c r="E193" s="2"/>
      <c r="F193" s="2"/>
      <c r="G193" s="2"/>
      <c r="H193" s="2"/>
      <c r="I193" s="2">
        <v>67.922200000000004</v>
      </c>
      <c r="J193" s="2">
        <v>229</v>
      </c>
      <c r="K193" s="2">
        <v>67.608099999999993</v>
      </c>
      <c r="L193" s="2">
        <v>233</v>
      </c>
      <c r="M193" s="2">
        <v>97.265199999999993</v>
      </c>
      <c r="N193" s="2">
        <v>233</v>
      </c>
      <c r="O193" s="2">
        <v>99.859800000000007</v>
      </c>
      <c r="P193" s="2">
        <v>185</v>
      </c>
      <c r="Q193" s="2">
        <v>104.43940000000001</v>
      </c>
      <c r="R193" s="2">
        <v>244</v>
      </c>
      <c r="S193" s="2">
        <v>102.97539999999999</v>
      </c>
      <c r="T193" s="2">
        <v>206</v>
      </c>
      <c r="U193" s="2">
        <v>0.41258099999999998</v>
      </c>
      <c r="V193" s="2">
        <v>192</v>
      </c>
      <c r="W193" s="2">
        <v>2002</v>
      </c>
    </row>
    <row r="194" spans="1:23" ht="12.3" x14ac:dyDescent="0.4">
      <c r="A194" s="2" t="s">
        <v>170</v>
      </c>
      <c r="B194" s="2">
        <v>16</v>
      </c>
      <c r="C194" s="2"/>
      <c r="D194" s="2"/>
      <c r="E194" s="2"/>
      <c r="F194" s="2"/>
      <c r="G194" s="2"/>
      <c r="H194" s="2"/>
      <c r="I194" s="2">
        <v>63.997999999999998</v>
      </c>
      <c r="J194" s="2">
        <v>291</v>
      </c>
      <c r="K194" s="2">
        <v>64.382499999999993</v>
      </c>
      <c r="L194" s="2">
        <v>272</v>
      </c>
      <c r="M194" s="2">
        <v>110.6741</v>
      </c>
      <c r="N194" s="2">
        <v>54</v>
      </c>
      <c r="O194" s="2">
        <v>105.6284</v>
      </c>
      <c r="P194" s="2">
        <v>150</v>
      </c>
      <c r="Q194" s="2">
        <v>105.0247</v>
      </c>
      <c r="R194" s="2">
        <v>179</v>
      </c>
      <c r="S194" s="2">
        <v>106.4341</v>
      </c>
      <c r="T194" s="2">
        <v>207</v>
      </c>
      <c r="U194" s="2">
        <v>0.47816999999999998</v>
      </c>
      <c r="V194" s="2">
        <v>169</v>
      </c>
      <c r="W194" s="2">
        <v>2014</v>
      </c>
    </row>
    <row r="195" spans="1:23" ht="12.3" hidden="1" x14ac:dyDescent="0.4">
      <c r="A195" s="2" t="s">
        <v>219</v>
      </c>
      <c r="B195" s="2"/>
      <c r="C195" s="2"/>
      <c r="D195" s="2"/>
      <c r="E195" s="2"/>
      <c r="F195" s="2"/>
      <c r="G195" s="2"/>
      <c r="H195" s="2"/>
      <c r="I195" s="2">
        <v>69.686000000000007</v>
      </c>
      <c r="J195" s="2">
        <v>173</v>
      </c>
      <c r="K195" s="2">
        <v>69.273200000000003</v>
      </c>
      <c r="L195" s="2">
        <v>181</v>
      </c>
      <c r="M195" s="2">
        <v>97.687299999999993</v>
      </c>
      <c r="N195" s="2">
        <v>227</v>
      </c>
      <c r="O195" s="2">
        <v>99.228300000000004</v>
      </c>
      <c r="P195" s="2">
        <v>197</v>
      </c>
      <c r="Q195" s="2">
        <v>103.6451</v>
      </c>
      <c r="R195" s="2">
        <v>228</v>
      </c>
      <c r="S195" s="2">
        <v>102.4008</v>
      </c>
      <c r="T195" s="2">
        <v>195</v>
      </c>
      <c r="U195" s="2">
        <v>0.41049600000000003</v>
      </c>
      <c r="V195" s="2">
        <v>194</v>
      </c>
      <c r="W195" s="2">
        <v>2002</v>
      </c>
    </row>
    <row r="196" spans="1:23" ht="12.3" hidden="1" x14ac:dyDescent="0.4">
      <c r="A196" s="2" t="s">
        <v>220</v>
      </c>
      <c r="B196" s="2"/>
      <c r="C196" s="2"/>
      <c r="D196" s="2"/>
      <c r="E196" s="2"/>
      <c r="F196" s="2"/>
      <c r="G196" s="2"/>
      <c r="H196" s="2"/>
      <c r="I196" s="2">
        <v>68.311700000000002</v>
      </c>
      <c r="J196" s="2">
        <v>218</v>
      </c>
      <c r="K196" s="2">
        <v>69.517200000000003</v>
      </c>
      <c r="L196" s="2">
        <v>169</v>
      </c>
      <c r="M196" s="2">
        <v>108.8301</v>
      </c>
      <c r="N196" s="2">
        <v>35</v>
      </c>
      <c r="O196" s="2">
        <v>102.5728</v>
      </c>
      <c r="P196" s="2">
        <v>132</v>
      </c>
      <c r="Q196" s="2">
        <v>98.671099999999996</v>
      </c>
      <c r="R196" s="2">
        <v>107</v>
      </c>
      <c r="S196" s="2">
        <v>105.87090000000001</v>
      </c>
      <c r="T196" s="2">
        <v>254</v>
      </c>
      <c r="U196" s="2">
        <v>0.41000500000000001</v>
      </c>
      <c r="V196" s="2">
        <v>195</v>
      </c>
      <c r="W196" s="2">
        <v>2002</v>
      </c>
    </row>
    <row r="197" spans="1:23" ht="12.3" hidden="1" x14ac:dyDescent="0.4">
      <c r="A197" s="2" t="s">
        <v>221</v>
      </c>
      <c r="B197" s="2"/>
      <c r="C197" s="2"/>
      <c r="D197" s="2"/>
      <c r="E197" s="2"/>
      <c r="F197" s="2"/>
      <c r="G197" s="2"/>
      <c r="H197" s="2"/>
      <c r="I197" s="2">
        <v>73.105000000000004</v>
      </c>
      <c r="J197" s="2">
        <v>59</v>
      </c>
      <c r="K197" s="2">
        <v>73.468100000000007</v>
      </c>
      <c r="L197" s="2">
        <v>44</v>
      </c>
      <c r="M197" s="2">
        <v>97.486400000000003</v>
      </c>
      <c r="N197" s="2">
        <v>230</v>
      </c>
      <c r="O197" s="2">
        <v>97.058899999999994</v>
      </c>
      <c r="P197" s="2">
        <v>227</v>
      </c>
      <c r="Q197" s="2">
        <v>99.212699999999998</v>
      </c>
      <c r="R197" s="2">
        <v>127</v>
      </c>
      <c r="S197" s="2">
        <v>100.2433</v>
      </c>
      <c r="T197" s="2">
        <v>146</v>
      </c>
      <c r="U197" s="2">
        <v>0.40824100000000002</v>
      </c>
      <c r="V197" s="2">
        <v>196</v>
      </c>
      <c r="W197" s="2">
        <v>2002</v>
      </c>
    </row>
    <row r="198" spans="1:23" ht="12.3" hidden="1" x14ac:dyDescent="0.4">
      <c r="A198" s="2" t="s">
        <v>222</v>
      </c>
      <c r="B198" s="2"/>
      <c r="C198" s="2"/>
      <c r="D198" s="2"/>
      <c r="E198" s="2"/>
      <c r="F198" s="2"/>
      <c r="G198" s="2"/>
      <c r="H198" s="2"/>
      <c r="I198" s="2">
        <v>69.247799999999998</v>
      </c>
      <c r="J198" s="2">
        <v>182</v>
      </c>
      <c r="K198" s="2">
        <v>70.275800000000004</v>
      </c>
      <c r="L198" s="2">
        <v>145</v>
      </c>
      <c r="M198" s="2">
        <v>96.754099999999994</v>
      </c>
      <c r="N198" s="2">
        <v>241</v>
      </c>
      <c r="O198" s="2">
        <v>95.347200000000001</v>
      </c>
      <c r="P198" s="2">
        <v>259</v>
      </c>
      <c r="Q198" s="2">
        <v>98.651600000000002</v>
      </c>
      <c r="R198" s="2">
        <v>106</v>
      </c>
      <c r="S198" s="2">
        <v>98.547700000000006</v>
      </c>
      <c r="T198" s="2">
        <v>104</v>
      </c>
      <c r="U198" s="2">
        <v>0.40620200000000001</v>
      </c>
      <c r="V198" s="2">
        <v>197</v>
      </c>
      <c r="W198" s="2">
        <v>2002</v>
      </c>
    </row>
    <row r="199" spans="1:23" ht="12.3" hidden="1" x14ac:dyDescent="0.4">
      <c r="A199" s="2" t="s">
        <v>223</v>
      </c>
      <c r="B199" s="2"/>
      <c r="C199" s="2"/>
      <c r="D199" s="2"/>
      <c r="E199" s="2"/>
      <c r="F199" s="2"/>
      <c r="G199" s="2"/>
      <c r="H199" s="2"/>
      <c r="I199" s="2">
        <v>71.191599999999994</v>
      </c>
      <c r="J199" s="2">
        <v>109</v>
      </c>
      <c r="K199" s="2">
        <v>71.493899999999996</v>
      </c>
      <c r="L199" s="2">
        <v>91</v>
      </c>
      <c r="M199" s="2">
        <v>97.721299999999999</v>
      </c>
      <c r="N199" s="2">
        <v>224</v>
      </c>
      <c r="O199" s="2">
        <v>95.374700000000004</v>
      </c>
      <c r="P199" s="2">
        <v>256</v>
      </c>
      <c r="Q199" s="2">
        <v>94.445700000000002</v>
      </c>
      <c r="R199" s="2">
        <v>40</v>
      </c>
      <c r="S199" s="2">
        <v>98.594099999999997</v>
      </c>
      <c r="T199" s="2">
        <v>107</v>
      </c>
      <c r="U199" s="2">
        <v>0.405698</v>
      </c>
      <c r="V199" s="2">
        <v>198</v>
      </c>
      <c r="W199" s="2">
        <v>2002</v>
      </c>
    </row>
    <row r="200" spans="1:23" ht="12.3" hidden="1" x14ac:dyDescent="0.4">
      <c r="A200" s="2" t="s">
        <v>224</v>
      </c>
      <c r="B200" s="2"/>
      <c r="C200" s="2"/>
      <c r="D200" s="2"/>
      <c r="E200" s="2"/>
      <c r="F200" s="2"/>
      <c r="G200" s="2"/>
      <c r="H200" s="2"/>
      <c r="I200" s="2">
        <v>68.846199999999996</v>
      </c>
      <c r="J200" s="2">
        <v>195</v>
      </c>
      <c r="K200" s="2">
        <v>67.516000000000005</v>
      </c>
      <c r="L200" s="2">
        <v>237</v>
      </c>
      <c r="M200" s="2">
        <v>100.124</v>
      </c>
      <c r="N200" s="2">
        <v>177</v>
      </c>
      <c r="O200" s="2">
        <v>100.2734</v>
      </c>
      <c r="P200" s="2">
        <v>169</v>
      </c>
      <c r="Q200" s="2">
        <v>102.02809999999999</v>
      </c>
      <c r="R200" s="2">
        <v>186</v>
      </c>
      <c r="S200" s="2">
        <v>103.7458</v>
      </c>
      <c r="T200" s="2">
        <v>221</v>
      </c>
      <c r="U200" s="2">
        <v>0.40335500000000002</v>
      </c>
      <c r="V200" s="2">
        <v>199</v>
      </c>
      <c r="W200" s="2">
        <v>2002</v>
      </c>
    </row>
    <row r="201" spans="1:23" ht="12.3" hidden="1" x14ac:dyDescent="0.4">
      <c r="A201" s="2" t="s">
        <v>225</v>
      </c>
      <c r="B201" s="2"/>
      <c r="C201" s="2"/>
      <c r="D201" s="2"/>
      <c r="E201" s="2"/>
      <c r="F201" s="2"/>
      <c r="G201" s="2"/>
      <c r="H201" s="2"/>
      <c r="I201" s="2">
        <v>74.3613</v>
      </c>
      <c r="J201" s="2">
        <v>29</v>
      </c>
      <c r="K201" s="2">
        <v>74.2988</v>
      </c>
      <c r="L201" s="2">
        <v>25</v>
      </c>
      <c r="M201" s="2">
        <v>99.368700000000004</v>
      </c>
      <c r="N201" s="2">
        <v>193</v>
      </c>
      <c r="O201" s="2">
        <v>98.093500000000006</v>
      </c>
      <c r="P201" s="2">
        <v>213</v>
      </c>
      <c r="Q201" s="2">
        <v>97.501300000000001</v>
      </c>
      <c r="R201" s="2">
        <v>83</v>
      </c>
      <c r="S201" s="2">
        <v>101.5284</v>
      </c>
      <c r="T201" s="2">
        <v>176</v>
      </c>
      <c r="U201" s="2">
        <v>0.40232200000000001</v>
      </c>
      <c r="V201" s="2">
        <v>200</v>
      </c>
      <c r="W201" s="2">
        <v>2002</v>
      </c>
    </row>
    <row r="202" spans="1:23" ht="12.3" hidden="1" x14ac:dyDescent="0.4">
      <c r="A202" s="2" t="s">
        <v>226</v>
      </c>
      <c r="B202" s="2"/>
      <c r="C202" s="2"/>
      <c r="D202" s="2"/>
      <c r="E202" s="2"/>
      <c r="F202" s="2"/>
      <c r="G202" s="2"/>
      <c r="H202" s="2"/>
      <c r="I202" s="2">
        <v>65.267799999999994</v>
      </c>
      <c r="J202" s="2">
        <v>290</v>
      </c>
      <c r="K202" s="2">
        <v>64.046800000000005</v>
      </c>
      <c r="L202" s="2">
        <v>310</v>
      </c>
      <c r="M202" s="2">
        <v>100.2462</v>
      </c>
      <c r="N202" s="2">
        <v>174</v>
      </c>
      <c r="O202" s="2">
        <v>100.1101</v>
      </c>
      <c r="P202" s="2">
        <v>176</v>
      </c>
      <c r="Q202" s="2">
        <v>98.036799999999999</v>
      </c>
      <c r="R202" s="2">
        <v>92</v>
      </c>
      <c r="S202" s="2">
        <v>103.6837</v>
      </c>
      <c r="T202" s="2">
        <v>218</v>
      </c>
      <c r="U202" s="2">
        <v>0.40050599999999997</v>
      </c>
      <c r="V202" s="2">
        <v>201</v>
      </c>
      <c r="W202" s="2">
        <v>2002</v>
      </c>
    </row>
    <row r="203" spans="1:23" ht="12.3" hidden="1" x14ac:dyDescent="0.4">
      <c r="A203" s="2" t="s">
        <v>227</v>
      </c>
      <c r="B203" s="2"/>
      <c r="C203" s="2"/>
      <c r="D203" s="2"/>
      <c r="E203" s="2"/>
      <c r="F203" s="2"/>
      <c r="G203" s="2"/>
      <c r="H203" s="2"/>
      <c r="I203" s="2">
        <v>69.937600000000003</v>
      </c>
      <c r="J203" s="2">
        <v>164</v>
      </c>
      <c r="K203" s="2">
        <v>68.914100000000005</v>
      </c>
      <c r="L203" s="2">
        <v>198</v>
      </c>
      <c r="M203" s="2">
        <v>98.095399999999998</v>
      </c>
      <c r="N203" s="2">
        <v>213</v>
      </c>
      <c r="O203" s="2">
        <v>96.390799999999999</v>
      </c>
      <c r="P203" s="2">
        <v>243</v>
      </c>
      <c r="Q203" s="2">
        <v>102.4894</v>
      </c>
      <c r="R203" s="2">
        <v>198</v>
      </c>
      <c r="S203" s="2">
        <v>99.836500000000001</v>
      </c>
      <c r="T203" s="2">
        <v>135</v>
      </c>
      <c r="U203" s="2">
        <v>0.40037</v>
      </c>
      <c r="V203" s="2">
        <v>202</v>
      </c>
      <c r="W203" s="2">
        <v>2002</v>
      </c>
    </row>
    <row r="204" spans="1:23" ht="12.3" hidden="1" x14ac:dyDescent="0.4">
      <c r="A204" s="2" t="s">
        <v>228</v>
      </c>
      <c r="B204" s="2"/>
      <c r="C204" s="2"/>
      <c r="D204" s="2"/>
      <c r="E204" s="2"/>
      <c r="F204" s="2"/>
      <c r="G204" s="2"/>
      <c r="H204" s="2"/>
      <c r="I204" s="2">
        <v>67.858000000000004</v>
      </c>
      <c r="J204" s="2">
        <v>232</v>
      </c>
      <c r="K204" s="2">
        <v>67.217600000000004</v>
      </c>
      <c r="L204" s="2">
        <v>247</v>
      </c>
      <c r="M204" s="2">
        <v>94.473299999999995</v>
      </c>
      <c r="N204" s="2">
        <v>273</v>
      </c>
      <c r="O204" s="2">
        <v>94.316000000000003</v>
      </c>
      <c r="P204" s="2">
        <v>276</v>
      </c>
      <c r="Q204" s="2">
        <v>98.295900000000003</v>
      </c>
      <c r="R204" s="2">
        <v>95</v>
      </c>
      <c r="S204" s="2">
        <v>97.729799999999997</v>
      </c>
      <c r="T204" s="2">
        <v>90</v>
      </c>
      <c r="U204" s="2">
        <v>0.39917799999999998</v>
      </c>
      <c r="V204" s="2">
        <v>203</v>
      </c>
      <c r="W204" s="2">
        <v>2002</v>
      </c>
    </row>
    <row r="205" spans="1:23" ht="12.3" hidden="1" x14ac:dyDescent="0.4">
      <c r="A205" s="2" t="s">
        <v>229</v>
      </c>
      <c r="B205" s="2"/>
      <c r="C205" s="2"/>
      <c r="D205" s="2"/>
      <c r="E205" s="2"/>
      <c r="F205" s="2"/>
      <c r="G205" s="2"/>
      <c r="H205" s="2"/>
      <c r="I205" s="2">
        <v>73.620099999999994</v>
      </c>
      <c r="J205" s="2">
        <v>45</v>
      </c>
      <c r="K205" s="2">
        <v>73.993700000000004</v>
      </c>
      <c r="L205" s="2">
        <v>32</v>
      </c>
      <c r="M205" s="2">
        <v>97.141599999999997</v>
      </c>
      <c r="N205" s="2">
        <v>235</v>
      </c>
      <c r="O205" s="2">
        <v>100.49979999999999</v>
      </c>
      <c r="P205" s="2">
        <v>165</v>
      </c>
      <c r="Q205" s="2">
        <v>107.22709999999999</v>
      </c>
      <c r="R205" s="2">
        <v>289</v>
      </c>
      <c r="S205" s="2">
        <v>104.1768</v>
      </c>
      <c r="T205" s="2">
        <v>231</v>
      </c>
      <c r="U205" s="2">
        <v>0.39813799999999999</v>
      </c>
      <c r="V205" s="2">
        <v>204</v>
      </c>
      <c r="W205" s="2">
        <v>2002</v>
      </c>
    </row>
    <row r="206" spans="1:23" ht="12.3" hidden="1" x14ac:dyDescent="0.4">
      <c r="A206" s="2" t="s">
        <v>230</v>
      </c>
      <c r="B206" s="2"/>
      <c r="C206" s="2"/>
      <c r="D206" s="2"/>
      <c r="E206" s="2"/>
      <c r="F206" s="2"/>
      <c r="G206" s="2"/>
      <c r="H206" s="2"/>
      <c r="I206" s="2">
        <v>68.391099999999994</v>
      </c>
      <c r="J206" s="2">
        <v>214</v>
      </c>
      <c r="K206" s="2">
        <v>69.928100000000001</v>
      </c>
      <c r="L206" s="2">
        <v>158</v>
      </c>
      <c r="M206" s="2">
        <v>93.085099999999997</v>
      </c>
      <c r="N206" s="2">
        <v>289</v>
      </c>
      <c r="O206" s="2">
        <v>96.217100000000002</v>
      </c>
      <c r="P206" s="2">
        <v>246</v>
      </c>
      <c r="Q206" s="2">
        <v>105.64239999999999</v>
      </c>
      <c r="R206" s="2">
        <v>267</v>
      </c>
      <c r="S206" s="2">
        <v>99.873800000000003</v>
      </c>
      <c r="T206" s="2">
        <v>136</v>
      </c>
      <c r="U206" s="2">
        <v>0.39437800000000001</v>
      </c>
      <c r="V206" s="2">
        <v>205</v>
      </c>
      <c r="W206" s="2">
        <v>2002</v>
      </c>
    </row>
    <row r="207" spans="1:23" ht="12.3" hidden="1" x14ac:dyDescent="0.4">
      <c r="A207" s="2" t="s">
        <v>231</v>
      </c>
      <c r="B207" s="2"/>
      <c r="C207" s="2"/>
      <c r="D207" s="2"/>
      <c r="E207" s="2"/>
      <c r="F207" s="2"/>
      <c r="G207" s="2"/>
      <c r="H207" s="2"/>
      <c r="I207" s="2">
        <v>69.230099999999993</v>
      </c>
      <c r="J207" s="2">
        <v>183</v>
      </c>
      <c r="K207" s="2">
        <v>69.195400000000006</v>
      </c>
      <c r="L207" s="2">
        <v>184</v>
      </c>
      <c r="M207" s="2">
        <v>94.706199999999995</v>
      </c>
      <c r="N207" s="2">
        <v>270</v>
      </c>
      <c r="O207" s="2">
        <v>95.552400000000006</v>
      </c>
      <c r="P207" s="2">
        <v>254</v>
      </c>
      <c r="Q207" s="2">
        <v>100.3848</v>
      </c>
      <c r="R207" s="2">
        <v>154</v>
      </c>
      <c r="S207" s="2">
        <v>99.2239</v>
      </c>
      <c r="T207" s="2">
        <v>120</v>
      </c>
      <c r="U207" s="2">
        <v>0.393266</v>
      </c>
      <c r="V207" s="2">
        <v>206</v>
      </c>
      <c r="W207" s="2">
        <v>2002</v>
      </c>
    </row>
    <row r="208" spans="1:23" ht="12.3" hidden="1" x14ac:dyDescent="0.4">
      <c r="A208" s="2" t="s">
        <v>232</v>
      </c>
      <c r="B208" s="2"/>
      <c r="C208" s="2"/>
      <c r="D208" s="2"/>
      <c r="E208" s="2"/>
      <c r="F208" s="2"/>
      <c r="G208" s="2"/>
      <c r="H208" s="2"/>
      <c r="I208" s="2">
        <v>70.943299999999994</v>
      </c>
      <c r="J208" s="2">
        <v>116</v>
      </c>
      <c r="K208" s="2">
        <v>72.102599999999995</v>
      </c>
      <c r="L208" s="2">
        <v>74</v>
      </c>
      <c r="M208" s="2">
        <v>97.8566</v>
      </c>
      <c r="N208" s="2">
        <v>220</v>
      </c>
      <c r="O208" s="2">
        <v>99.751099999999994</v>
      </c>
      <c r="P208" s="2">
        <v>187</v>
      </c>
      <c r="Q208" s="2">
        <v>105.7754</v>
      </c>
      <c r="R208" s="2">
        <v>269</v>
      </c>
      <c r="S208" s="2">
        <v>103.748</v>
      </c>
      <c r="T208" s="2">
        <v>222</v>
      </c>
      <c r="U208" s="2">
        <v>0.38893299999999997</v>
      </c>
      <c r="V208" s="2">
        <v>207</v>
      </c>
      <c r="W208" s="2">
        <v>2002</v>
      </c>
    </row>
    <row r="209" spans="1:23" ht="12.3" hidden="1" x14ac:dyDescent="0.4">
      <c r="A209" s="2" t="s">
        <v>233</v>
      </c>
      <c r="B209" s="2"/>
      <c r="C209" s="2"/>
      <c r="D209" s="2"/>
      <c r="E209" s="2"/>
      <c r="F209" s="2"/>
      <c r="G209" s="2"/>
      <c r="H209" s="2"/>
      <c r="I209" s="2">
        <v>72.179400000000001</v>
      </c>
      <c r="J209" s="2">
        <v>80</v>
      </c>
      <c r="K209" s="2">
        <v>74.248099999999994</v>
      </c>
      <c r="L209" s="2">
        <v>26</v>
      </c>
      <c r="M209" s="2">
        <v>105.1677</v>
      </c>
      <c r="N209" s="2">
        <v>87</v>
      </c>
      <c r="O209" s="2">
        <v>103.5655</v>
      </c>
      <c r="P209" s="2">
        <v>113</v>
      </c>
      <c r="Q209" s="2">
        <v>102.4212</v>
      </c>
      <c r="R209" s="2">
        <v>196</v>
      </c>
      <c r="S209" s="2">
        <v>107.8917</v>
      </c>
      <c r="T209" s="2">
        <v>287</v>
      </c>
      <c r="U209" s="2">
        <v>0.38446900000000001</v>
      </c>
      <c r="V209" s="2">
        <v>208</v>
      </c>
      <c r="W209" s="2">
        <v>2002</v>
      </c>
    </row>
    <row r="210" spans="1:23" ht="12.3" x14ac:dyDescent="0.4">
      <c r="A210" s="2" t="s">
        <v>189</v>
      </c>
      <c r="B210" s="2">
        <v>16</v>
      </c>
      <c r="C210" s="2"/>
      <c r="D210" s="2"/>
      <c r="E210" s="2"/>
      <c r="F210" s="2"/>
      <c r="G210" s="2"/>
      <c r="H210" s="2"/>
      <c r="I210" s="2">
        <v>60.651200000000003</v>
      </c>
      <c r="J210" s="2">
        <v>344</v>
      </c>
      <c r="K210" s="2">
        <v>60.156500000000001</v>
      </c>
      <c r="L210" s="2">
        <v>347</v>
      </c>
      <c r="M210" s="2">
        <v>102.5043</v>
      </c>
      <c r="N210" s="2">
        <v>218</v>
      </c>
      <c r="O210" s="2">
        <v>103.2247</v>
      </c>
      <c r="P210" s="2">
        <v>197</v>
      </c>
      <c r="Q210" s="2">
        <v>106.56010000000001</v>
      </c>
      <c r="R210" s="2">
        <v>219</v>
      </c>
      <c r="S210" s="2">
        <v>104.3188</v>
      </c>
      <c r="T210" s="2">
        <v>164</v>
      </c>
      <c r="U210" s="2">
        <v>0.46972599999999998</v>
      </c>
      <c r="V210" s="2">
        <v>173</v>
      </c>
      <c r="W210" s="2">
        <v>2014</v>
      </c>
    </row>
    <row r="211" spans="1:23" ht="12.3" hidden="1" x14ac:dyDescent="0.4">
      <c r="A211" s="2" t="s">
        <v>235</v>
      </c>
      <c r="B211" s="2"/>
      <c r="C211" s="2"/>
      <c r="D211" s="2"/>
      <c r="E211" s="2"/>
      <c r="F211" s="2"/>
      <c r="G211" s="2"/>
      <c r="H211" s="2"/>
      <c r="I211" s="2">
        <v>68.748999999999995</v>
      </c>
      <c r="J211" s="2">
        <v>199</v>
      </c>
      <c r="K211" s="2">
        <v>69.162599999999998</v>
      </c>
      <c r="L211" s="2">
        <v>185</v>
      </c>
      <c r="M211" s="2">
        <v>99.822000000000003</v>
      </c>
      <c r="N211" s="2">
        <v>184</v>
      </c>
      <c r="O211" s="2">
        <v>98.555599999999998</v>
      </c>
      <c r="P211" s="2">
        <v>209</v>
      </c>
      <c r="Q211" s="2">
        <v>106.83629999999999</v>
      </c>
      <c r="R211" s="2">
        <v>284</v>
      </c>
      <c r="S211" s="2">
        <v>102.9629</v>
      </c>
      <c r="T211" s="2">
        <v>205</v>
      </c>
      <c r="U211" s="2">
        <v>0.37681300000000001</v>
      </c>
      <c r="V211" s="2">
        <v>210</v>
      </c>
      <c r="W211" s="2">
        <v>2002</v>
      </c>
    </row>
    <row r="212" spans="1:23" ht="12.3" hidden="1" x14ac:dyDescent="0.4">
      <c r="A212" s="2" t="s">
        <v>236</v>
      </c>
      <c r="B212" s="2"/>
      <c r="C212" s="2"/>
      <c r="D212" s="2"/>
      <c r="E212" s="2"/>
      <c r="F212" s="2"/>
      <c r="G212" s="2"/>
      <c r="H212" s="2"/>
      <c r="I212" s="2">
        <v>62.569699999999997</v>
      </c>
      <c r="J212" s="2">
        <v>317</v>
      </c>
      <c r="K212" s="2">
        <v>63.825899999999997</v>
      </c>
      <c r="L212" s="2">
        <v>312</v>
      </c>
      <c r="M212" s="2">
        <v>103.81789999999999</v>
      </c>
      <c r="N212" s="2">
        <v>112</v>
      </c>
      <c r="O212" s="2">
        <v>102.91370000000001</v>
      </c>
      <c r="P212" s="2">
        <v>126</v>
      </c>
      <c r="Q212" s="2">
        <v>108.1041</v>
      </c>
      <c r="R212" s="2">
        <v>300</v>
      </c>
      <c r="S212" s="2">
        <v>107.5468</v>
      </c>
      <c r="T212" s="2">
        <v>280</v>
      </c>
      <c r="U212" s="2">
        <v>0.37603599999999998</v>
      </c>
      <c r="V212" s="2">
        <v>211</v>
      </c>
      <c r="W212" s="2">
        <v>2002</v>
      </c>
    </row>
    <row r="213" spans="1:23" ht="12.3" hidden="1" x14ac:dyDescent="0.4">
      <c r="A213" s="2" t="s">
        <v>237</v>
      </c>
      <c r="B213" s="2"/>
      <c r="C213" s="2"/>
      <c r="D213" s="2"/>
      <c r="E213" s="2"/>
      <c r="F213" s="2"/>
      <c r="G213" s="2"/>
      <c r="H213" s="2"/>
      <c r="I213" s="2">
        <v>64.455399999999997</v>
      </c>
      <c r="J213" s="2">
        <v>304</v>
      </c>
      <c r="K213" s="2">
        <v>65.130600000000001</v>
      </c>
      <c r="L213" s="2">
        <v>293</v>
      </c>
      <c r="M213" s="2">
        <v>98.135499999999993</v>
      </c>
      <c r="N213" s="2">
        <v>212</v>
      </c>
      <c r="O213" s="2">
        <v>98.501099999999994</v>
      </c>
      <c r="P213" s="2">
        <v>210</v>
      </c>
      <c r="Q213" s="2">
        <v>103.4987</v>
      </c>
      <c r="R213" s="2">
        <v>224</v>
      </c>
      <c r="S213" s="2">
        <v>102.93689999999999</v>
      </c>
      <c r="T213" s="2">
        <v>204</v>
      </c>
      <c r="U213" s="2">
        <v>0.37600099999999997</v>
      </c>
      <c r="V213" s="2">
        <v>212</v>
      </c>
      <c r="W213" s="2">
        <v>2002</v>
      </c>
    </row>
    <row r="214" spans="1:23" ht="12.3" hidden="1" x14ac:dyDescent="0.4">
      <c r="A214" s="2" t="s">
        <v>238</v>
      </c>
      <c r="B214" s="2"/>
      <c r="C214" s="2"/>
      <c r="D214" s="2"/>
      <c r="E214" s="2"/>
      <c r="F214" s="2"/>
      <c r="G214" s="2"/>
      <c r="H214" s="2"/>
      <c r="I214" s="2">
        <v>73.481499999999997</v>
      </c>
      <c r="J214" s="2">
        <v>48</v>
      </c>
      <c r="K214" s="2">
        <v>71.908900000000003</v>
      </c>
      <c r="L214" s="2">
        <v>79</v>
      </c>
      <c r="M214" s="2">
        <v>99.461100000000002</v>
      </c>
      <c r="N214" s="2">
        <v>189</v>
      </c>
      <c r="O214" s="2">
        <v>98.561999999999998</v>
      </c>
      <c r="P214" s="2">
        <v>208</v>
      </c>
      <c r="Q214" s="2">
        <v>101.89149999999999</v>
      </c>
      <c r="R214" s="2">
        <v>183</v>
      </c>
      <c r="S214" s="2">
        <v>103.2393</v>
      </c>
      <c r="T214" s="2">
        <v>210</v>
      </c>
      <c r="U214" s="2">
        <v>0.36977500000000002</v>
      </c>
      <c r="V214" s="2">
        <v>213</v>
      </c>
      <c r="W214" s="2">
        <v>2002</v>
      </c>
    </row>
    <row r="215" spans="1:23" ht="12.3" hidden="1" x14ac:dyDescent="0.4">
      <c r="A215" s="2" t="s">
        <v>239</v>
      </c>
      <c r="B215" s="2"/>
      <c r="C215" s="2"/>
      <c r="D215" s="2"/>
      <c r="E215" s="2"/>
      <c r="F215" s="2"/>
      <c r="G215" s="2"/>
      <c r="H215" s="2"/>
      <c r="I215" s="2">
        <v>72.100899999999996</v>
      </c>
      <c r="J215" s="2">
        <v>81</v>
      </c>
      <c r="K215" s="2">
        <v>71.410700000000006</v>
      </c>
      <c r="L215" s="2">
        <v>94</v>
      </c>
      <c r="M215" s="2">
        <v>97.316699999999997</v>
      </c>
      <c r="N215" s="2">
        <v>232</v>
      </c>
      <c r="O215" s="2">
        <v>102.82299999999999</v>
      </c>
      <c r="P215" s="2">
        <v>127</v>
      </c>
      <c r="Q215" s="2">
        <v>111.76479999999999</v>
      </c>
      <c r="R215" s="2">
        <v>320</v>
      </c>
      <c r="S215" s="2">
        <v>107.7259</v>
      </c>
      <c r="T215" s="2">
        <v>283</v>
      </c>
      <c r="U215" s="2">
        <v>0.36919299999999999</v>
      </c>
      <c r="V215" s="2">
        <v>214</v>
      </c>
      <c r="W215" s="2">
        <v>2002</v>
      </c>
    </row>
    <row r="216" spans="1:23" ht="12.3" x14ac:dyDescent="0.4">
      <c r="A216" s="2" t="s">
        <v>339</v>
      </c>
      <c r="B216" s="2">
        <v>16</v>
      </c>
      <c r="C216" s="2"/>
      <c r="D216" s="2"/>
      <c r="E216" s="2"/>
      <c r="F216" s="2"/>
      <c r="G216" s="2"/>
      <c r="H216" s="2"/>
      <c r="I216" s="2">
        <v>63.094900000000003</v>
      </c>
      <c r="J216" s="2">
        <v>323</v>
      </c>
      <c r="K216" s="2">
        <v>63.242800000000003</v>
      </c>
      <c r="L216" s="2">
        <v>313</v>
      </c>
      <c r="M216" s="2">
        <v>103.5767</v>
      </c>
      <c r="N216" s="2">
        <v>202</v>
      </c>
      <c r="O216" s="2">
        <v>101.87</v>
      </c>
      <c r="P216" s="2">
        <v>225</v>
      </c>
      <c r="Q216" s="2">
        <v>100.2026</v>
      </c>
      <c r="R216" s="2">
        <v>80</v>
      </c>
      <c r="S216" s="2">
        <v>103.36960000000001</v>
      </c>
      <c r="T216" s="2">
        <v>143</v>
      </c>
      <c r="U216" s="2">
        <v>0.45808300000000002</v>
      </c>
      <c r="V216" s="2">
        <v>177</v>
      </c>
      <c r="W216" s="2">
        <v>2014</v>
      </c>
    </row>
    <row r="217" spans="1:23" ht="12.3" hidden="1" x14ac:dyDescent="0.4">
      <c r="A217" s="2" t="s">
        <v>241</v>
      </c>
      <c r="B217" s="2"/>
      <c r="C217" s="2"/>
      <c r="D217" s="2"/>
      <c r="E217" s="2"/>
      <c r="F217" s="2"/>
      <c r="G217" s="2"/>
      <c r="H217" s="2"/>
      <c r="I217" s="2">
        <v>72.853399999999993</v>
      </c>
      <c r="J217" s="2">
        <v>63</v>
      </c>
      <c r="K217" s="2">
        <v>72.383200000000002</v>
      </c>
      <c r="L217" s="2">
        <v>66</v>
      </c>
      <c r="M217" s="2">
        <v>96.644000000000005</v>
      </c>
      <c r="N217" s="2">
        <v>243</v>
      </c>
      <c r="O217" s="2">
        <v>96.719399999999993</v>
      </c>
      <c r="P217" s="2">
        <v>236</v>
      </c>
      <c r="Q217" s="2">
        <v>98.333399999999997</v>
      </c>
      <c r="R217" s="2">
        <v>98</v>
      </c>
      <c r="S217" s="2">
        <v>101.5932</v>
      </c>
      <c r="T217" s="2">
        <v>177</v>
      </c>
      <c r="U217" s="2">
        <v>0.36230400000000001</v>
      </c>
      <c r="V217" s="2">
        <v>216</v>
      </c>
      <c r="W217" s="2">
        <v>2002</v>
      </c>
    </row>
    <row r="218" spans="1:23" ht="12.3" hidden="1" x14ac:dyDescent="0.4">
      <c r="A218" s="2" t="s">
        <v>242</v>
      </c>
      <c r="B218" s="2"/>
      <c r="C218" s="2"/>
      <c r="D218" s="2"/>
      <c r="E218" s="2"/>
      <c r="F218" s="2"/>
      <c r="G218" s="2"/>
      <c r="H218" s="2"/>
      <c r="I218" s="2">
        <v>72.395099999999999</v>
      </c>
      <c r="J218" s="2">
        <v>73</v>
      </c>
      <c r="K218" s="2">
        <v>71.389099999999999</v>
      </c>
      <c r="L218" s="2">
        <v>96</v>
      </c>
      <c r="M218" s="2">
        <v>103.1546</v>
      </c>
      <c r="N218" s="2">
        <v>122</v>
      </c>
      <c r="O218" s="2">
        <v>100.19119999999999</v>
      </c>
      <c r="P218" s="2">
        <v>174</v>
      </c>
      <c r="Q218" s="2">
        <v>100.49509999999999</v>
      </c>
      <c r="R218" s="2">
        <v>158</v>
      </c>
      <c r="S218" s="2">
        <v>105.44</v>
      </c>
      <c r="T218" s="2">
        <v>250</v>
      </c>
      <c r="U218" s="2">
        <v>0.35727500000000001</v>
      </c>
      <c r="V218" s="2">
        <v>217</v>
      </c>
      <c r="W218" s="2">
        <v>2002</v>
      </c>
    </row>
    <row r="219" spans="1:23" ht="12.3" hidden="1" x14ac:dyDescent="0.4">
      <c r="A219" s="2" t="s">
        <v>243</v>
      </c>
      <c r="B219" s="2"/>
      <c r="C219" s="2"/>
      <c r="D219" s="2"/>
      <c r="E219" s="2"/>
      <c r="F219" s="2"/>
      <c r="G219" s="2"/>
      <c r="H219" s="2"/>
      <c r="I219" s="2">
        <v>71.803100000000001</v>
      </c>
      <c r="J219" s="2">
        <v>91</v>
      </c>
      <c r="K219" s="2">
        <v>72.2667</v>
      </c>
      <c r="L219" s="2">
        <v>67</v>
      </c>
      <c r="M219" s="2">
        <v>91.416300000000007</v>
      </c>
      <c r="N219" s="2">
        <v>303</v>
      </c>
      <c r="O219" s="2">
        <v>92.875299999999996</v>
      </c>
      <c r="P219" s="2">
        <v>289</v>
      </c>
      <c r="Q219" s="2">
        <v>97.676900000000003</v>
      </c>
      <c r="R219" s="2">
        <v>87</v>
      </c>
      <c r="S219" s="2">
        <v>97.805099999999996</v>
      </c>
      <c r="T219" s="2">
        <v>91</v>
      </c>
      <c r="U219" s="2">
        <v>0.35554200000000002</v>
      </c>
      <c r="V219" s="2">
        <v>218</v>
      </c>
      <c r="W219" s="2">
        <v>2002</v>
      </c>
    </row>
    <row r="220" spans="1:23" ht="12.3" hidden="1" x14ac:dyDescent="0.4">
      <c r="A220" s="2" t="s">
        <v>244</v>
      </c>
      <c r="B220" s="2"/>
      <c r="C220" s="2"/>
      <c r="D220" s="2"/>
      <c r="E220" s="2"/>
      <c r="F220" s="2"/>
      <c r="G220" s="2"/>
      <c r="H220" s="2"/>
      <c r="I220" s="2">
        <v>67.083600000000004</v>
      </c>
      <c r="J220" s="2">
        <v>250</v>
      </c>
      <c r="K220" s="2">
        <v>66.783299999999997</v>
      </c>
      <c r="L220" s="2">
        <v>261</v>
      </c>
      <c r="M220" s="2">
        <v>107.0926</v>
      </c>
      <c r="N220" s="2">
        <v>57</v>
      </c>
      <c r="O220" s="2">
        <v>106.8215</v>
      </c>
      <c r="P220" s="2">
        <v>73</v>
      </c>
      <c r="Q220" s="2">
        <v>111.8236</v>
      </c>
      <c r="R220" s="2">
        <v>321</v>
      </c>
      <c r="S220" s="2">
        <v>112.6285</v>
      </c>
      <c r="T220" s="2">
        <v>319</v>
      </c>
      <c r="U220" s="2">
        <v>0.35234300000000002</v>
      </c>
      <c r="V220" s="2">
        <v>219</v>
      </c>
      <c r="W220" s="2">
        <v>2002</v>
      </c>
    </row>
    <row r="221" spans="1:23" ht="12.3" hidden="1" x14ac:dyDescent="0.4">
      <c r="A221" s="2" t="s">
        <v>245</v>
      </c>
      <c r="B221" s="2"/>
      <c r="C221" s="2"/>
      <c r="D221" s="2"/>
      <c r="E221" s="2"/>
      <c r="F221" s="2"/>
      <c r="G221" s="2"/>
      <c r="H221" s="2"/>
      <c r="I221" s="2">
        <v>64.533600000000007</v>
      </c>
      <c r="J221" s="2">
        <v>302</v>
      </c>
      <c r="K221" s="2">
        <v>64.762299999999996</v>
      </c>
      <c r="L221" s="2">
        <v>298</v>
      </c>
      <c r="M221" s="2">
        <v>92.969800000000006</v>
      </c>
      <c r="N221" s="2">
        <v>290</v>
      </c>
      <c r="O221" s="2">
        <v>93.129300000000001</v>
      </c>
      <c r="P221" s="2">
        <v>287</v>
      </c>
      <c r="Q221" s="2">
        <v>99.651799999999994</v>
      </c>
      <c r="R221" s="2">
        <v>139</v>
      </c>
      <c r="S221" s="2">
        <v>98.2898</v>
      </c>
      <c r="T221" s="2">
        <v>100</v>
      </c>
      <c r="U221" s="2">
        <v>0.34973300000000002</v>
      </c>
      <c r="V221" s="2">
        <v>220</v>
      </c>
      <c r="W221" s="2">
        <v>2002</v>
      </c>
    </row>
    <row r="222" spans="1:23" ht="12.3" hidden="1" x14ac:dyDescent="0.4">
      <c r="A222" s="2" t="s">
        <v>246</v>
      </c>
      <c r="B222" s="2"/>
      <c r="C222" s="2"/>
      <c r="D222" s="2"/>
      <c r="E222" s="2"/>
      <c r="F222" s="2"/>
      <c r="G222" s="2"/>
      <c r="H222" s="2"/>
      <c r="I222" s="2">
        <v>74.716899999999995</v>
      </c>
      <c r="J222" s="2">
        <v>25</v>
      </c>
      <c r="K222" s="2">
        <v>73.196600000000004</v>
      </c>
      <c r="L222" s="2">
        <v>49</v>
      </c>
      <c r="M222" s="2">
        <v>97.957499999999996</v>
      </c>
      <c r="N222" s="2">
        <v>216</v>
      </c>
      <c r="O222" s="2">
        <v>98.7316</v>
      </c>
      <c r="P222" s="2">
        <v>204</v>
      </c>
      <c r="Q222" s="2">
        <v>104.1502</v>
      </c>
      <c r="R222" s="2">
        <v>238</v>
      </c>
      <c r="S222" s="2">
        <v>104.239</v>
      </c>
      <c r="T222" s="2">
        <v>237</v>
      </c>
      <c r="U222" s="2">
        <v>0.34881899999999999</v>
      </c>
      <c r="V222" s="2">
        <v>221</v>
      </c>
      <c r="W222" s="2">
        <v>2002</v>
      </c>
    </row>
    <row r="223" spans="1:23" ht="12.3" hidden="1" x14ac:dyDescent="0.4">
      <c r="A223" s="2" t="s">
        <v>247</v>
      </c>
      <c r="B223" s="2"/>
      <c r="C223" s="2"/>
      <c r="D223" s="2"/>
      <c r="E223" s="2"/>
      <c r="F223" s="2"/>
      <c r="G223" s="2"/>
      <c r="H223" s="2"/>
      <c r="I223" s="2">
        <v>68.212699999999998</v>
      </c>
      <c r="J223" s="2">
        <v>223</v>
      </c>
      <c r="K223" s="2">
        <v>68.5779</v>
      </c>
      <c r="L223" s="2">
        <v>207</v>
      </c>
      <c r="M223" s="2">
        <v>102.60720000000001</v>
      </c>
      <c r="N223" s="2">
        <v>129</v>
      </c>
      <c r="O223" s="2">
        <v>99.208299999999994</v>
      </c>
      <c r="P223" s="2">
        <v>199</v>
      </c>
      <c r="Q223" s="2">
        <v>100.9663</v>
      </c>
      <c r="R223" s="2">
        <v>169</v>
      </c>
      <c r="S223" s="2">
        <v>104.78489999999999</v>
      </c>
      <c r="T223" s="2">
        <v>244</v>
      </c>
      <c r="U223" s="2">
        <v>0.34775600000000001</v>
      </c>
      <c r="V223" s="2">
        <v>222</v>
      </c>
      <c r="W223" s="2">
        <v>2002</v>
      </c>
    </row>
    <row r="224" spans="1:23" ht="12.3" hidden="1" x14ac:dyDescent="0.4">
      <c r="A224" s="2" t="s">
        <v>248</v>
      </c>
      <c r="B224" s="2"/>
      <c r="C224" s="2"/>
      <c r="D224" s="2"/>
      <c r="E224" s="2"/>
      <c r="F224" s="2"/>
      <c r="G224" s="2"/>
      <c r="H224" s="2"/>
      <c r="I224" s="2">
        <v>70.126199999999997</v>
      </c>
      <c r="J224" s="2">
        <v>153</v>
      </c>
      <c r="K224" s="2">
        <v>69.281899999999993</v>
      </c>
      <c r="L224" s="2">
        <v>180</v>
      </c>
      <c r="M224" s="2">
        <v>91.370699999999999</v>
      </c>
      <c r="N224" s="2">
        <v>304</v>
      </c>
      <c r="O224" s="2">
        <v>95.275599999999997</v>
      </c>
      <c r="P224" s="2">
        <v>262</v>
      </c>
      <c r="Q224" s="2">
        <v>105.68989999999999</v>
      </c>
      <c r="R224" s="2">
        <v>268</v>
      </c>
      <c r="S224" s="2">
        <v>100.6969</v>
      </c>
      <c r="T224" s="2">
        <v>157</v>
      </c>
      <c r="U224" s="2">
        <v>0.34605599999999997</v>
      </c>
      <c r="V224" s="2">
        <v>223</v>
      </c>
      <c r="W224" s="2">
        <v>2002</v>
      </c>
    </row>
    <row r="225" spans="1:23" ht="12.3" hidden="1" x14ac:dyDescent="0.4">
      <c r="A225" s="2" t="s">
        <v>249</v>
      </c>
      <c r="B225" s="2"/>
      <c r="C225" s="2"/>
      <c r="D225" s="2"/>
      <c r="E225" s="2"/>
      <c r="F225" s="2"/>
      <c r="G225" s="2"/>
      <c r="H225" s="2"/>
      <c r="I225" s="2">
        <v>74.720500000000001</v>
      </c>
      <c r="J225" s="2">
        <v>24</v>
      </c>
      <c r="K225" s="2">
        <v>75.943200000000004</v>
      </c>
      <c r="L225" s="2">
        <v>9</v>
      </c>
      <c r="M225" s="2">
        <v>94.808599999999998</v>
      </c>
      <c r="N225" s="2">
        <v>268</v>
      </c>
      <c r="O225" s="2">
        <v>96.698400000000007</v>
      </c>
      <c r="P225" s="2">
        <v>238</v>
      </c>
      <c r="Q225" s="2">
        <v>105.4872</v>
      </c>
      <c r="R225" s="2">
        <v>261</v>
      </c>
      <c r="S225" s="2">
        <v>102.2041</v>
      </c>
      <c r="T225" s="2">
        <v>191</v>
      </c>
      <c r="U225" s="2">
        <v>0.34596700000000002</v>
      </c>
      <c r="V225" s="2">
        <v>224</v>
      </c>
      <c r="W225" s="2">
        <v>2002</v>
      </c>
    </row>
    <row r="226" spans="1:23" ht="12.3" hidden="1" x14ac:dyDescent="0.4">
      <c r="A226" s="2" t="s">
        <v>250</v>
      </c>
      <c r="B226" s="2"/>
      <c r="C226" s="2"/>
      <c r="D226" s="2"/>
      <c r="E226" s="2"/>
      <c r="F226" s="2"/>
      <c r="G226" s="2"/>
      <c r="H226" s="2"/>
      <c r="I226" s="2">
        <v>67.167299999999997</v>
      </c>
      <c r="J226" s="2">
        <v>248</v>
      </c>
      <c r="K226" s="2">
        <v>68.030100000000004</v>
      </c>
      <c r="L226" s="2">
        <v>222</v>
      </c>
      <c r="M226" s="2">
        <v>94.077600000000004</v>
      </c>
      <c r="N226" s="2">
        <v>279</v>
      </c>
      <c r="O226" s="2">
        <v>97.785700000000006</v>
      </c>
      <c r="P226" s="2">
        <v>218</v>
      </c>
      <c r="Q226" s="2">
        <v>106.8557</v>
      </c>
      <c r="R226" s="2">
        <v>285</v>
      </c>
      <c r="S226" s="2">
        <v>103.4584</v>
      </c>
      <c r="T226" s="2">
        <v>214</v>
      </c>
      <c r="U226" s="2">
        <v>0.34332699999999999</v>
      </c>
      <c r="V226" s="2">
        <v>225</v>
      </c>
      <c r="W226" s="2">
        <v>2002</v>
      </c>
    </row>
    <row r="227" spans="1:23" ht="12.3" hidden="1" x14ac:dyDescent="0.4">
      <c r="A227" s="2" t="s">
        <v>251</v>
      </c>
      <c r="B227" s="2"/>
      <c r="C227" s="2"/>
      <c r="D227" s="2"/>
      <c r="E227" s="2"/>
      <c r="F227" s="2"/>
      <c r="G227" s="2"/>
      <c r="H227" s="2"/>
      <c r="I227" s="2">
        <v>68.715199999999996</v>
      </c>
      <c r="J227" s="2">
        <v>201</v>
      </c>
      <c r="K227" s="2">
        <v>67.147900000000007</v>
      </c>
      <c r="L227" s="2">
        <v>249</v>
      </c>
      <c r="M227" s="2">
        <v>98.371399999999994</v>
      </c>
      <c r="N227" s="2">
        <v>205</v>
      </c>
      <c r="O227" s="2">
        <v>95.012</v>
      </c>
      <c r="P227" s="2">
        <v>267</v>
      </c>
      <c r="Q227" s="2">
        <v>98.176400000000001</v>
      </c>
      <c r="R227" s="2">
        <v>94</v>
      </c>
      <c r="S227" s="2">
        <v>100.5673</v>
      </c>
      <c r="T227" s="2">
        <v>155</v>
      </c>
      <c r="U227" s="2">
        <v>0.34220600000000001</v>
      </c>
      <c r="V227" s="2">
        <v>226</v>
      </c>
      <c r="W227" s="2">
        <v>2002</v>
      </c>
    </row>
    <row r="228" spans="1:23" ht="12.3" hidden="1" x14ac:dyDescent="0.4">
      <c r="A228" s="2" t="s">
        <v>252</v>
      </c>
      <c r="B228" s="2"/>
      <c r="C228" s="2"/>
      <c r="D228" s="2"/>
      <c r="E228" s="2"/>
      <c r="F228" s="2"/>
      <c r="G228" s="2"/>
      <c r="H228" s="2"/>
      <c r="I228" s="2">
        <v>72.385800000000003</v>
      </c>
      <c r="J228" s="2">
        <v>75</v>
      </c>
      <c r="K228" s="2">
        <v>72.135999999999996</v>
      </c>
      <c r="L228" s="2">
        <v>73</v>
      </c>
      <c r="M228" s="2">
        <v>99.644199999999998</v>
      </c>
      <c r="N228" s="2">
        <v>188</v>
      </c>
      <c r="O228" s="2">
        <v>94.713499999999996</v>
      </c>
      <c r="P228" s="2">
        <v>274</v>
      </c>
      <c r="Q228" s="2">
        <v>94.895399999999995</v>
      </c>
      <c r="R228" s="2">
        <v>47</v>
      </c>
      <c r="S228" s="2">
        <v>100.29810000000001</v>
      </c>
      <c r="T228" s="2">
        <v>149</v>
      </c>
      <c r="U228" s="2">
        <v>0.340999</v>
      </c>
      <c r="V228" s="2">
        <v>227</v>
      </c>
      <c r="W228" s="2">
        <v>2002</v>
      </c>
    </row>
    <row r="229" spans="1:23" ht="12.3" hidden="1" x14ac:dyDescent="0.4">
      <c r="A229" s="2" t="s">
        <v>253</v>
      </c>
      <c r="B229" s="2"/>
      <c r="C229" s="2"/>
      <c r="D229" s="2"/>
      <c r="E229" s="2"/>
      <c r="F229" s="2"/>
      <c r="G229" s="2"/>
      <c r="H229" s="2"/>
      <c r="I229" s="2">
        <v>75.6738</v>
      </c>
      <c r="J229" s="2">
        <v>17</v>
      </c>
      <c r="K229" s="2">
        <v>73.8245</v>
      </c>
      <c r="L229" s="2">
        <v>36</v>
      </c>
      <c r="M229" s="2">
        <v>98.173000000000002</v>
      </c>
      <c r="N229" s="2">
        <v>210</v>
      </c>
      <c r="O229" s="2">
        <v>100.2728</v>
      </c>
      <c r="P229" s="2">
        <v>170</v>
      </c>
      <c r="Q229" s="2">
        <v>106.8912</v>
      </c>
      <c r="R229" s="2">
        <v>286</v>
      </c>
      <c r="S229" s="2">
        <v>106.23569999999999</v>
      </c>
      <c r="T229" s="2">
        <v>261</v>
      </c>
      <c r="U229" s="2">
        <v>0.33977400000000002</v>
      </c>
      <c r="V229" s="2">
        <v>228</v>
      </c>
      <c r="W229" s="2">
        <v>2002</v>
      </c>
    </row>
    <row r="230" spans="1:23" ht="12.3" hidden="1" x14ac:dyDescent="0.4">
      <c r="A230" s="2" t="s">
        <v>254</v>
      </c>
      <c r="B230" s="2"/>
      <c r="C230" s="2"/>
      <c r="D230" s="2"/>
      <c r="E230" s="2"/>
      <c r="F230" s="2"/>
      <c r="G230" s="2"/>
      <c r="H230" s="2"/>
      <c r="I230" s="2">
        <v>68.287599999999998</v>
      </c>
      <c r="J230" s="2">
        <v>220</v>
      </c>
      <c r="K230" s="2">
        <v>69.032700000000006</v>
      </c>
      <c r="L230" s="2">
        <v>189</v>
      </c>
      <c r="M230" s="2">
        <v>96.040899999999993</v>
      </c>
      <c r="N230" s="2">
        <v>249</v>
      </c>
      <c r="O230" s="2">
        <v>94.783799999999999</v>
      </c>
      <c r="P230" s="2">
        <v>272</v>
      </c>
      <c r="Q230" s="2">
        <v>99.151700000000005</v>
      </c>
      <c r="R230" s="2">
        <v>121</v>
      </c>
      <c r="S230" s="2">
        <v>100.4833</v>
      </c>
      <c r="T230" s="2">
        <v>154</v>
      </c>
      <c r="U230" s="2">
        <v>0.33815600000000001</v>
      </c>
      <c r="V230" s="2">
        <v>229</v>
      </c>
      <c r="W230" s="2">
        <v>2002</v>
      </c>
    </row>
    <row r="231" spans="1:23" ht="12.3" hidden="1" x14ac:dyDescent="0.4">
      <c r="A231" s="2" t="s">
        <v>255</v>
      </c>
      <c r="B231" s="2"/>
      <c r="C231" s="2"/>
      <c r="D231" s="2"/>
      <c r="E231" s="2"/>
      <c r="F231" s="2"/>
      <c r="G231" s="2"/>
      <c r="H231" s="2"/>
      <c r="I231" s="2">
        <v>67.469800000000006</v>
      </c>
      <c r="J231" s="2">
        <v>240</v>
      </c>
      <c r="K231" s="2">
        <v>69.397800000000004</v>
      </c>
      <c r="L231" s="2">
        <v>174</v>
      </c>
      <c r="M231" s="2">
        <v>94.244200000000006</v>
      </c>
      <c r="N231" s="2">
        <v>275</v>
      </c>
      <c r="O231" s="2">
        <v>92.912800000000004</v>
      </c>
      <c r="P231" s="2">
        <v>288</v>
      </c>
      <c r="Q231" s="2">
        <v>95.079599999999999</v>
      </c>
      <c r="R231" s="2">
        <v>53</v>
      </c>
      <c r="S231" s="2">
        <v>98.586200000000005</v>
      </c>
      <c r="T231" s="2">
        <v>106</v>
      </c>
      <c r="U231" s="2">
        <v>0.33590399999999998</v>
      </c>
      <c r="V231" s="2">
        <v>230</v>
      </c>
      <c r="W231" s="2">
        <v>2002</v>
      </c>
    </row>
    <row r="232" spans="1:23" ht="12.3" hidden="1" x14ac:dyDescent="0.4">
      <c r="A232" s="2" t="s">
        <v>256</v>
      </c>
      <c r="B232" s="2"/>
      <c r="C232" s="2"/>
      <c r="D232" s="2"/>
      <c r="E232" s="2"/>
      <c r="F232" s="2"/>
      <c r="G232" s="2"/>
      <c r="H232" s="2"/>
      <c r="I232" s="2">
        <v>66.700900000000004</v>
      </c>
      <c r="J232" s="2">
        <v>261</v>
      </c>
      <c r="K232" s="2">
        <v>66.997299999999996</v>
      </c>
      <c r="L232" s="2">
        <v>253</v>
      </c>
      <c r="M232" s="2">
        <v>102.6504</v>
      </c>
      <c r="N232" s="2">
        <v>128</v>
      </c>
      <c r="O232" s="2">
        <v>104.1515</v>
      </c>
      <c r="P232" s="2">
        <v>105</v>
      </c>
      <c r="Q232" s="2">
        <v>110.8368</v>
      </c>
      <c r="R232" s="2">
        <v>313</v>
      </c>
      <c r="S232" s="2">
        <v>110.51739999999999</v>
      </c>
      <c r="T232" s="2">
        <v>306</v>
      </c>
      <c r="U232" s="2">
        <v>0.33575899999999997</v>
      </c>
      <c r="V232" s="2">
        <v>231</v>
      </c>
      <c r="W232" s="2">
        <v>2002</v>
      </c>
    </row>
    <row r="233" spans="1:23" ht="12.3" hidden="1" x14ac:dyDescent="0.4">
      <c r="A233" s="2" t="s">
        <v>257</v>
      </c>
      <c r="B233" s="2"/>
      <c r="C233" s="2"/>
      <c r="D233" s="2"/>
      <c r="E233" s="2"/>
      <c r="F233" s="2"/>
      <c r="G233" s="2"/>
      <c r="H233" s="2"/>
      <c r="I233" s="2">
        <v>66.693299999999994</v>
      </c>
      <c r="J233" s="2">
        <v>263</v>
      </c>
      <c r="K233" s="2">
        <v>66.938400000000001</v>
      </c>
      <c r="L233" s="2">
        <v>255</v>
      </c>
      <c r="M233" s="2">
        <v>94.0762</v>
      </c>
      <c r="N233" s="2">
        <v>280</v>
      </c>
      <c r="O233" s="2">
        <v>94.474500000000006</v>
      </c>
      <c r="P233" s="2">
        <v>275</v>
      </c>
      <c r="Q233" s="2">
        <v>101.121</v>
      </c>
      <c r="R233" s="2">
        <v>171</v>
      </c>
      <c r="S233" s="2">
        <v>100.2509</v>
      </c>
      <c r="T233" s="2">
        <v>147</v>
      </c>
      <c r="U233" s="2">
        <v>0.33571000000000001</v>
      </c>
      <c r="V233" s="2">
        <v>232</v>
      </c>
      <c r="W233" s="2">
        <v>2002</v>
      </c>
    </row>
    <row r="234" spans="1:23" ht="12.3" hidden="1" x14ac:dyDescent="0.4">
      <c r="A234" s="2" t="s">
        <v>258</v>
      </c>
      <c r="B234" s="2"/>
      <c r="C234" s="2"/>
      <c r="D234" s="2"/>
      <c r="E234" s="2"/>
      <c r="F234" s="2"/>
      <c r="G234" s="2"/>
      <c r="H234" s="2"/>
      <c r="I234" s="2">
        <v>66.6614</v>
      </c>
      <c r="J234" s="2">
        <v>265</v>
      </c>
      <c r="K234" s="2">
        <v>66.054299999999998</v>
      </c>
      <c r="L234" s="2">
        <v>284</v>
      </c>
      <c r="M234" s="2">
        <v>92.653000000000006</v>
      </c>
      <c r="N234" s="2">
        <v>294</v>
      </c>
      <c r="O234" s="2">
        <v>96.377200000000002</v>
      </c>
      <c r="P234" s="2">
        <v>244</v>
      </c>
      <c r="Q234" s="2">
        <v>106.36579999999999</v>
      </c>
      <c r="R234" s="2">
        <v>278</v>
      </c>
      <c r="S234" s="2">
        <v>102.2837</v>
      </c>
      <c r="T234" s="2">
        <v>193</v>
      </c>
      <c r="U234" s="2">
        <v>0.335364</v>
      </c>
      <c r="V234" s="2">
        <v>233</v>
      </c>
      <c r="W234" s="2">
        <v>2002</v>
      </c>
    </row>
    <row r="235" spans="1:23" ht="12.3" hidden="1" x14ac:dyDescent="0.4">
      <c r="A235" s="2" t="s">
        <v>259</v>
      </c>
      <c r="B235" s="2"/>
      <c r="C235" s="2"/>
      <c r="D235" s="2"/>
      <c r="E235" s="2"/>
      <c r="F235" s="2"/>
      <c r="G235" s="2"/>
      <c r="H235" s="2"/>
      <c r="I235" s="2">
        <v>72.748199999999997</v>
      </c>
      <c r="J235" s="2">
        <v>65</v>
      </c>
      <c r="K235" s="2">
        <v>71.900599999999997</v>
      </c>
      <c r="L235" s="2">
        <v>80</v>
      </c>
      <c r="M235" s="2">
        <v>98.214799999999997</v>
      </c>
      <c r="N235" s="2">
        <v>209</v>
      </c>
      <c r="O235" s="2">
        <v>99.227400000000003</v>
      </c>
      <c r="P235" s="2">
        <v>198</v>
      </c>
      <c r="Q235" s="2">
        <v>103.2518</v>
      </c>
      <c r="R235" s="2">
        <v>219</v>
      </c>
      <c r="S235" s="2">
        <v>105.3224</v>
      </c>
      <c r="T235" s="2">
        <v>248</v>
      </c>
      <c r="U235" s="2">
        <v>0.33502799999999999</v>
      </c>
      <c r="V235" s="2">
        <v>234</v>
      </c>
      <c r="W235" s="2">
        <v>2002</v>
      </c>
    </row>
    <row r="236" spans="1:23" ht="12.3" hidden="1" x14ac:dyDescent="0.4">
      <c r="A236" s="2" t="s">
        <v>260</v>
      </c>
      <c r="B236" s="2"/>
      <c r="C236" s="2"/>
      <c r="D236" s="2"/>
      <c r="E236" s="2"/>
      <c r="F236" s="2"/>
      <c r="G236" s="2"/>
      <c r="H236" s="2"/>
      <c r="I236" s="2">
        <v>66.670299999999997</v>
      </c>
      <c r="J236" s="2">
        <v>264</v>
      </c>
      <c r="K236" s="2">
        <v>66.163899999999998</v>
      </c>
      <c r="L236" s="2">
        <v>280</v>
      </c>
      <c r="M236" s="2">
        <v>93.726900000000001</v>
      </c>
      <c r="N236" s="2">
        <v>284</v>
      </c>
      <c r="O236" s="2">
        <v>95.167100000000005</v>
      </c>
      <c r="P236" s="2">
        <v>265</v>
      </c>
      <c r="Q236" s="2">
        <v>100.58029999999999</v>
      </c>
      <c r="R236" s="2">
        <v>164</v>
      </c>
      <c r="S236" s="2">
        <v>101.1439</v>
      </c>
      <c r="T236" s="2">
        <v>168</v>
      </c>
      <c r="U236" s="2">
        <v>0.33171</v>
      </c>
      <c r="V236" s="2">
        <v>235</v>
      </c>
      <c r="W236" s="2">
        <v>2002</v>
      </c>
    </row>
    <row r="237" spans="1:23" ht="12.3" x14ac:dyDescent="0.4">
      <c r="A237" s="2" t="s">
        <v>279</v>
      </c>
      <c r="B237" s="2">
        <v>15</v>
      </c>
      <c r="C237" s="2"/>
      <c r="D237" s="2"/>
      <c r="E237" s="2"/>
      <c r="F237" s="2"/>
      <c r="G237" s="2"/>
      <c r="H237" s="2"/>
      <c r="I237" s="2">
        <v>62.455500000000001</v>
      </c>
      <c r="J237" s="2">
        <v>338</v>
      </c>
      <c r="K237" s="2">
        <v>61.979500000000002</v>
      </c>
      <c r="L237" s="2">
        <v>339</v>
      </c>
      <c r="M237" s="2">
        <v>104.57810000000001</v>
      </c>
      <c r="N237" s="2">
        <v>174</v>
      </c>
      <c r="O237" s="2">
        <v>100.9265</v>
      </c>
      <c r="P237" s="2">
        <v>238</v>
      </c>
      <c r="Q237" s="2">
        <v>100.94499999999999</v>
      </c>
      <c r="R237" s="2">
        <v>91</v>
      </c>
      <c r="S237" s="2">
        <v>102.7681</v>
      </c>
      <c r="T237" s="2">
        <v>131</v>
      </c>
      <c r="U237" s="2">
        <v>0.44820100000000002</v>
      </c>
      <c r="V237" s="2">
        <v>184</v>
      </c>
      <c r="W237" s="2">
        <v>2014</v>
      </c>
    </row>
    <row r="238" spans="1:23" ht="12.3" hidden="1" x14ac:dyDescent="0.4">
      <c r="A238" s="2" t="s">
        <v>262</v>
      </c>
      <c r="B238" s="2"/>
      <c r="C238" s="2"/>
      <c r="D238" s="2"/>
      <c r="E238" s="2"/>
      <c r="F238" s="2"/>
      <c r="G238" s="2"/>
      <c r="H238" s="2"/>
      <c r="I238" s="2">
        <v>66.917400000000001</v>
      </c>
      <c r="J238" s="2">
        <v>255</v>
      </c>
      <c r="K238" s="2">
        <v>66.666200000000003</v>
      </c>
      <c r="L238" s="2">
        <v>267</v>
      </c>
      <c r="M238" s="2">
        <v>89.046899999999994</v>
      </c>
      <c r="N238" s="2">
        <v>314</v>
      </c>
      <c r="O238" s="2">
        <v>88.799300000000002</v>
      </c>
      <c r="P238" s="2">
        <v>314</v>
      </c>
      <c r="Q238" s="2">
        <v>96.834800000000001</v>
      </c>
      <c r="R238" s="2">
        <v>74</v>
      </c>
      <c r="S238" s="2">
        <v>94.656899999999993</v>
      </c>
      <c r="T238" s="2">
        <v>37</v>
      </c>
      <c r="U238" s="2">
        <v>0.32418200000000003</v>
      </c>
      <c r="V238" s="2">
        <v>237</v>
      </c>
      <c r="W238" s="2">
        <v>2002</v>
      </c>
    </row>
    <row r="239" spans="1:23" ht="12.3" hidden="1" x14ac:dyDescent="0.4">
      <c r="A239" s="2" t="s">
        <v>263</v>
      </c>
      <c r="B239" s="2"/>
      <c r="C239" s="2"/>
      <c r="D239" s="2"/>
      <c r="E239" s="2"/>
      <c r="F239" s="2"/>
      <c r="G239" s="2"/>
      <c r="H239" s="2"/>
      <c r="I239" s="2">
        <v>79.717100000000002</v>
      </c>
      <c r="J239" s="2">
        <v>3</v>
      </c>
      <c r="K239" s="2">
        <v>79.206199999999995</v>
      </c>
      <c r="L239" s="2">
        <v>2</v>
      </c>
      <c r="M239" s="2">
        <v>94.598299999999995</v>
      </c>
      <c r="N239" s="2">
        <v>272</v>
      </c>
      <c r="O239" s="2">
        <v>97.292299999999997</v>
      </c>
      <c r="P239" s="2">
        <v>224</v>
      </c>
      <c r="Q239" s="2">
        <v>106.06950000000001</v>
      </c>
      <c r="R239" s="2">
        <v>274</v>
      </c>
      <c r="S239" s="2">
        <v>103.8554</v>
      </c>
      <c r="T239" s="2">
        <v>226</v>
      </c>
      <c r="U239" s="2">
        <v>0.32066499999999998</v>
      </c>
      <c r="V239" s="2">
        <v>238</v>
      </c>
      <c r="W239" s="2">
        <v>2002</v>
      </c>
    </row>
    <row r="240" spans="1:23" ht="12.3" hidden="1" x14ac:dyDescent="0.4">
      <c r="A240" s="2" t="s">
        <v>264</v>
      </c>
      <c r="B240" s="2"/>
      <c r="C240" s="2"/>
      <c r="D240" s="2"/>
      <c r="E240" s="2"/>
      <c r="F240" s="2"/>
      <c r="G240" s="2"/>
      <c r="H240" s="2"/>
      <c r="I240" s="2">
        <v>73.118700000000004</v>
      </c>
      <c r="J240" s="2">
        <v>58</v>
      </c>
      <c r="K240" s="2">
        <v>72.583299999999994</v>
      </c>
      <c r="L240" s="2">
        <v>60</v>
      </c>
      <c r="M240" s="2">
        <v>99.718400000000003</v>
      </c>
      <c r="N240" s="2">
        <v>186</v>
      </c>
      <c r="O240" s="2">
        <v>100.14060000000001</v>
      </c>
      <c r="P240" s="2">
        <v>175</v>
      </c>
      <c r="Q240" s="2">
        <v>107.85980000000001</v>
      </c>
      <c r="R240" s="2">
        <v>297</v>
      </c>
      <c r="S240" s="2">
        <v>106.96810000000001</v>
      </c>
      <c r="T240" s="2">
        <v>272</v>
      </c>
      <c r="U240" s="2">
        <v>0.31897399999999998</v>
      </c>
      <c r="V240" s="2">
        <v>239</v>
      </c>
      <c r="W240" s="2">
        <v>2002</v>
      </c>
    </row>
    <row r="241" spans="1:23" ht="12.3" hidden="1" x14ac:dyDescent="0.4">
      <c r="A241" s="2" t="s">
        <v>265</v>
      </c>
      <c r="B241" s="2"/>
      <c r="C241" s="2"/>
      <c r="D241" s="2"/>
      <c r="E241" s="2"/>
      <c r="F241" s="2"/>
      <c r="G241" s="2"/>
      <c r="H241" s="2"/>
      <c r="I241" s="2">
        <v>64.921000000000006</v>
      </c>
      <c r="J241" s="2">
        <v>295</v>
      </c>
      <c r="K241" s="2">
        <v>64.148600000000002</v>
      </c>
      <c r="L241" s="2">
        <v>309</v>
      </c>
      <c r="M241" s="2">
        <v>100.6525</v>
      </c>
      <c r="N241" s="2">
        <v>162</v>
      </c>
      <c r="O241" s="2">
        <v>97.79</v>
      </c>
      <c r="P241" s="2">
        <v>217</v>
      </c>
      <c r="Q241" s="2">
        <v>99.432500000000005</v>
      </c>
      <c r="R241" s="2">
        <v>131</v>
      </c>
      <c r="S241" s="2">
        <v>104.5201</v>
      </c>
      <c r="T241" s="2">
        <v>241</v>
      </c>
      <c r="U241" s="2">
        <v>0.31747399999999998</v>
      </c>
      <c r="V241" s="2">
        <v>240</v>
      </c>
      <c r="W241" s="2">
        <v>2002</v>
      </c>
    </row>
    <row r="242" spans="1:23" ht="12.3" hidden="1" x14ac:dyDescent="0.4">
      <c r="A242" s="2" t="s">
        <v>266</v>
      </c>
      <c r="B242" s="2"/>
      <c r="C242" s="2"/>
      <c r="D242" s="2"/>
      <c r="E242" s="2"/>
      <c r="F242" s="2"/>
      <c r="G242" s="2"/>
      <c r="H242" s="2"/>
      <c r="I242" s="2">
        <v>71.469800000000006</v>
      </c>
      <c r="J242" s="2">
        <v>100</v>
      </c>
      <c r="K242" s="2">
        <v>70.935699999999997</v>
      </c>
      <c r="L242" s="2">
        <v>116</v>
      </c>
      <c r="M242" s="2">
        <v>97.806700000000006</v>
      </c>
      <c r="N242" s="2">
        <v>222</v>
      </c>
      <c r="O242" s="2">
        <v>96.739900000000006</v>
      </c>
      <c r="P242" s="2">
        <v>234</v>
      </c>
      <c r="Q242" s="2">
        <v>100.0194</v>
      </c>
      <c r="R242" s="2">
        <v>146</v>
      </c>
      <c r="S242" s="2">
        <v>103.55370000000001</v>
      </c>
      <c r="T242" s="2">
        <v>215</v>
      </c>
      <c r="U242" s="2">
        <v>0.31372800000000001</v>
      </c>
      <c r="V242" s="2">
        <v>241</v>
      </c>
      <c r="W242" s="2">
        <v>2002</v>
      </c>
    </row>
    <row r="243" spans="1:23" ht="12.3" hidden="1" x14ac:dyDescent="0.4">
      <c r="A243" s="2" t="s">
        <v>267</v>
      </c>
      <c r="B243" s="2"/>
      <c r="C243" s="2"/>
      <c r="D243" s="2"/>
      <c r="E243" s="2"/>
      <c r="F243" s="2"/>
      <c r="G243" s="2"/>
      <c r="H243" s="2"/>
      <c r="I243" s="2">
        <v>64.473699999999994</v>
      </c>
      <c r="J243" s="2">
        <v>303</v>
      </c>
      <c r="K243" s="2">
        <v>65.6661</v>
      </c>
      <c r="L243" s="2">
        <v>290</v>
      </c>
      <c r="M243" s="2">
        <v>95.290199999999999</v>
      </c>
      <c r="N243" s="2">
        <v>260</v>
      </c>
      <c r="O243" s="2">
        <v>96.864699999999999</v>
      </c>
      <c r="P243" s="2">
        <v>231</v>
      </c>
      <c r="Q243" s="2">
        <v>104.83629999999999</v>
      </c>
      <c r="R243" s="2">
        <v>249</v>
      </c>
      <c r="S243" s="2">
        <v>103.6931</v>
      </c>
      <c r="T243" s="2">
        <v>219</v>
      </c>
      <c r="U243" s="2">
        <v>0.31359100000000001</v>
      </c>
      <c r="V243" s="2">
        <v>242</v>
      </c>
      <c r="W243" s="2">
        <v>2002</v>
      </c>
    </row>
    <row r="244" spans="1:23" ht="12.3" hidden="1" x14ac:dyDescent="0.4">
      <c r="A244" s="2" t="s">
        <v>268</v>
      </c>
      <c r="B244" s="2"/>
      <c r="C244" s="2"/>
      <c r="D244" s="2"/>
      <c r="E244" s="2"/>
      <c r="F244" s="2"/>
      <c r="G244" s="2"/>
      <c r="H244" s="2"/>
      <c r="I244" s="2">
        <v>75.270700000000005</v>
      </c>
      <c r="J244" s="2">
        <v>21</v>
      </c>
      <c r="K244" s="2">
        <v>74.200299999999999</v>
      </c>
      <c r="L244" s="2">
        <v>28</v>
      </c>
      <c r="M244" s="2">
        <v>102.5115</v>
      </c>
      <c r="N244" s="2">
        <v>133</v>
      </c>
      <c r="O244" s="2">
        <v>100.98309999999999</v>
      </c>
      <c r="P244" s="2">
        <v>157</v>
      </c>
      <c r="Q244" s="2">
        <v>108.3302</v>
      </c>
      <c r="R244" s="2">
        <v>303</v>
      </c>
      <c r="S244" s="2">
        <v>108.342</v>
      </c>
      <c r="T244" s="2">
        <v>291</v>
      </c>
      <c r="U244" s="2">
        <v>0.30812200000000001</v>
      </c>
      <c r="V244" s="2">
        <v>243</v>
      </c>
      <c r="W244" s="2">
        <v>2002</v>
      </c>
    </row>
    <row r="245" spans="1:23" ht="12.3" hidden="1" x14ac:dyDescent="0.4">
      <c r="A245" s="2" t="s">
        <v>269</v>
      </c>
      <c r="B245" s="2"/>
      <c r="C245" s="2"/>
      <c r="D245" s="2"/>
      <c r="E245" s="2"/>
      <c r="F245" s="2"/>
      <c r="G245" s="2"/>
      <c r="H245" s="2"/>
      <c r="I245" s="2">
        <v>70.906000000000006</v>
      </c>
      <c r="J245" s="2">
        <v>119</v>
      </c>
      <c r="K245" s="2">
        <v>70.700800000000001</v>
      </c>
      <c r="L245" s="2">
        <v>123</v>
      </c>
      <c r="M245" s="2">
        <v>101.32810000000001</v>
      </c>
      <c r="N245" s="2">
        <v>153</v>
      </c>
      <c r="O245" s="2">
        <v>103.0449</v>
      </c>
      <c r="P245" s="2">
        <v>123</v>
      </c>
      <c r="Q245" s="2">
        <v>111.10290000000001</v>
      </c>
      <c r="R245" s="2">
        <v>315</v>
      </c>
      <c r="S245" s="2">
        <v>110.6259</v>
      </c>
      <c r="T245" s="2">
        <v>307</v>
      </c>
      <c r="U245" s="2">
        <v>0.306533</v>
      </c>
      <c r="V245" s="2">
        <v>244</v>
      </c>
      <c r="W245" s="2">
        <v>2002</v>
      </c>
    </row>
    <row r="246" spans="1:23" ht="12.3" hidden="1" x14ac:dyDescent="0.4">
      <c r="A246" s="2" t="s">
        <v>270</v>
      </c>
      <c r="B246" s="2"/>
      <c r="C246" s="2"/>
      <c r="D246" s="2"/>
      <c r="E246" s="2"/>
      <c r="F246" s="2"/>
      <c r="G246" s="2"/>
      <c r="H246" s="2"/>
      <c r="I246" s="2">
        <v>73.899799999999999</v>
      </c>
      <c r="J246" s="2">
        <v>40</v>
      </c>
      <c r="K246" s="2">
        <v>73.656800000000004</v>
      </c>
      <c r="L246" s="2">
        <v>42</v>
      </c>
      <c r="M246" s="2">
        <v>100.9336</v>
      </c>
      <c r="N246" s="2">
        <v>156</v>
      </c>
      <c r="O246" s="2">
        <v>100.9918</v>
      </c>
      <c r="P246" s="2">
        <v>156</v>
      </c>
      <c r="Q246" s="2">
        <v>105.3241</v>
      </c>
      <c r="R246" s="2">
        <v>258</v>
      </c>
      <c r="S246" s="2">
        <v>108.5415</v>
      </c>
      <c r="T246" s="2">
        <v>292</v>
      </c>
      <c r="U246" s="2">
        <v>0.30384</v>
      </c>
      <c r="V246" s="2">
        <v>245</v>
      </c>
      <c r="W246" s="2">
        <v>2002</v>
      </c>
    </row>
    <row r="247" spans="1:23" ht="12.3" hidden="1" x14ac:dyDescent="0.4">
      <c r="A247" s="2" t="s">
        <v>271</v>
      </c>
      <c r="B247" s="2"/>
      <c r="C247" s="2"/>
      <c r="D247" s="2"/>
      <c r="E247" s="2"/>
      <c r="F247" s="2"/>
      <c r="G247" s="2"/>
      <c r="H247" s="2"/>
      <c r="I247" s="2">
        <v>60.160400000000003</v>
      </c>
      <c r="J247" s="2">
        <v>323</v>
      </c>
      <c r="K247" s="2">
        <v>60.723700000000001</v>
      </c>
      <c r="L247" s="2">
        <v>323</v>
      </c>
      <c r="M247" s="2">
        <v>90.906199999999998</v>
      </c>
      <c r="N247" s="2">
        <v>307</v>
      </c>
      <c r="O247" s="2">
        <v>89.033500000000004</v>
      </c>
      <c r="P247" s="2">
        <v>313</v>
      </c>
      <c r="Q247" s="2">
        <v>94.387900000000002</v>
      </c>
      <c r="R247" s="2">
        <v>38</v>
      </c>
      <c r="S247" s="2">
        <v>95.748500000000007</v>
      </c>
      <c r="T247" s="2">
        <v>52</v>
      </c>
      <c r="U247" s="2">
        <v>0.302338</v>
      </c>
      <c r="V247" s="2">
        <v>246</v>
      </c>
      <c r="W247" s="2">
        <v>2002</v>
      </c>
    </row>
    <row r="248" spans="1:23" ht="12.3" hidden="1" x14ac:dyDescent="0.4">
      <c r="A248" s="2" t="s">
        <v>272</v>
      </c>
      <c r="B248" s="2"/>
      <c r="C248" s="2"/>
      <c r="D248" s="2"/>
      <c r="E248" s="2"/>
      <c r="F248" s="2"/>
      <c r="G248" s="2"/>
      <c r="H248" s="2"/>
      <c r="I248" s="2">
        <v>81.640699999999995</v>
      </c>
      <c r="J248" s="2">
        <v>1</v>
      </c>
      <c r="K248" s="2">
        <v>79.651899999999998</v>
      </c>
      <c r="L248" s="2">
        <v>1</v>
      </c>
      <c r="M248" s="2">
        <v>97.820800000000006</v>
      </c>
      <c r="N248" s="2">
        <v>221</v>
      </c>
      <c r="O248" s="2">
        <v>91.833200000000005</v>
      </c>
      <c r="P248" s="2">
        <v>299</v>
      </c>
      <c r="Q248" s="2">
        <v>90.664900000000003</v>
      </c>
      <c r="R248" s="2">
        <v>6</v>
      </c>
      <c r="S248" s="2">
        <v>98.759900000000002</v>
      </c>
      <c r="T248" s="2">
        <v>109</v>
      </c>
      <c r="U248" s="2">
        <v>0.30232700000000001</v>
      </c>
      <c r="V248" s="2">
        <v>247</v>
      </c>
      <c r="W248" s="2">
        <v>2002</v>
      </c>
    </row>
    <row r="249" spans="1:23" ht="12.3" hidden="1" x14ac:dyDescent="0.4">
      <c r="A249" s="2" t="s">
        <v>273</v>
      </c>
      <c r="B249" s="2"/>
      <c r="C249" s="2"/>
      <c r="D249" s="2"/>
      <c r="E249" s="2"/>
      <c r="F249" s="2"/>
      <c r="G249" s="2"/>
      <c r="H249" s="2"/>
      <c r="I249" s="2">
        <v>69.966200000000001</v>
      </c>
      <c r="J249" s="2">
        <v>162</v>
      </c>
      <c r="K249" s="2">
        <v>71.951899999999995</v>
      </c>
      <c r="L249" s="2">
        <v>76</v>
      </c>
      <c r="M249" s="2">
        <v>102.4237</v>
      </c>
      <c r="N249" s="2">
        <v>138</v>
      </c>
      <c r="O249" s="2">
        <v>100.0941</v>
      </c>
      <c r="P249" s="2">
        <v>177</v>
      </c>
      <c r="Q249" s="2">
        <v>102.7444</v>
      </c>
      <c r="R249" s="2">
        <v>205</v>
      </c>
      <c r="S249" s="2">
        <v>107.72709999999999</v>
      </c>
      <c r="T249" s="2">
        <v>284</v>
      </c>
      <c r="U249" s="2">
        <v>0.300452</v>
      </c>
      <c r="V249" s="2">
        <v>248</v>
      </c>
      <c r="W249" s="2">
        <v>2002</v>
      </c>
    </row>
    <row r="250" spans="1:23" ht="12.3" hidden="1" x14ac:dyDescent="0.4">
      <c r="A250" s="2" t="s">
        <v>274</v>
      </c>
      <c r="B250" s="2"/>
      <c r="C250" s="2"/>
      <c r="D250" s="2"/>
      <c r="E250" s="2"/>
      <c r="F250" s="2"/>
      <c r="G250" s="2"/>
      <c r="H250" s="2"/>
      <c r="I250" s="2">
        <v>75.669399999999996</v>
      </c>
      <c r="J250" s="2">
        <v>18</v>
      </c>
      <c r="K250" s="2">
        <v>76.128500000000003</v>
      </c>
      <c r="L250" s="2">
        <v>7</v>
      </c>
      <c r="M250" s="2">
        <v>103.43640000000001</v>
      </c>
      <c r="N250" s="2">
        <v>117</v>
      </c>
      <c r="O250" s="2">
        <v>99.503100000000003</v>
      </c>
      <c r="P250" s="2">
        <v>190</v>
      </c>
      <c r="Q250" s="2">
        <v>102.8535</v>
      </c>
      <c r="R250" s="2">
        <v>209</v>
      </c>
      <c r="S250" s="2">
        <v>107.15089999999999</v>
      </c>
      <c r="T250" s="2">
        <v>275</v>
      </c>
      <c r="U250" s="2">
        <v>0.29910300000000001</v>
      </c>
      <c r="V250" s="2">
        <v>249</v>
      </c>
      <c r="W250" s="2">
        <v>2002</v>
      </c>
    </row>
    <row r="251" spans="1:23" ht="12.3" hidden="1" x14ac:dyDescent="0.4">
      <c r="A251" s="2" t="s">
        <v>275</v>
      </c>
      <c r="B251" s="2"/>
      <c r="C251" s="2"/>
      <c r="D251" s="2"/>
      <c r="E251" s="2"/>
      <c r="F251" s="2"/>
      <c r="G251" s="2"/>
      <c r="H251" s="2"/>
      <c r="I251" s="2">
        <v>67.599699999999999</v>
      </c>
      <c r="J251" s="2">
        <v>237</v>
      </c>
      <c r="K251" s="2">
        <v>67.578400000000002</v>
      </c>
      <c r="L251" s="2">
        <v>234</v>
      </c>
      <c r="M251" s="2">
        <v>102.55159999999999</v>
      </c>
      <c r="N251" s="2">
        <v>130</v>
      </c>
      <c r="O251" s="2">
        <v>100.00069999999999</v>
      </c>
      <c r="P251" s="2">
        <v>180</v>
      </c>
      <c r="Q251" s="2">
        <v>103.9395</v>
      </c>
      <c r="R251" s="2">
        <v>233</v>
      </c>
      <c r="S251" s="2">
        <v>107.7773</v>
      </c>
      <c r="T251" s="2">
        <v>285</v>
      </c>
      <c r="U251" s="2">
        <v>0.29708299999999999</v>
      </c>
      <c r="V251" s="2">
        <v>250</v>
      </c>
      <c r="W251" s="2">
        <v>2002</v>
      </c>
    </row>
    <row r="252" spans="1:23" ht="12.3" hidden="1" x14ac:dyDescent="0.4">
      <c r="A252" s="2" t="s">
        <v>276</v>
      </c>
      <c r="B252" s="2"/>
      <c r="C252" s="2"/>
      <c r="D252" s="2"/>
      <c r="E252" s="2"/>
      <c r="F252" s="2"/>
      <c r="G252" s="2"/>
      <c r="H252" s="2"/>
      <c r="I252" s="2">
        <v>75.507300000000001</v>
      </c>
      <c r="J252" s="2">
        <v>19</v>
      </c>
      <c r="K252" s="2">
        <v>74.868399999999994</v>
      </c>
      <c r="L252" s="2">
        <v>19</v>
      </c>
      <c r="M252" s="2">
        <v>99.812200000000004</v>
      </c>
      <c r="N252" s="2">
        <v>185</v>
      </c>
      <c r="O252" s="2">
        <v>99.899900000000002</v>
      </c>
      <c r="P252" s="2">
        <v>182</v>
      </c>
      <c r="Q252" s="2">
        <v>103.84139999999999</v>
      </c>
      <c r="R252" s="2">
        <v>231</v>
      </c>
      <c r="S252" s="2">
        <v>107.7196</v>
      </c>
      <c r="T252" s="2">
        <v>282</v>
      </c>
      <c r="U252" s="2">
        <v>0.29594799999999999</v>
      </c>
      <c r="V252" s="2">
        <v>251</v>
      </c>
      <c r="W252" s="2">
        <v>2002</v>
      </c>
    </row>
    <row r="253" spans="1:23" ht="12.3" hidden="1" x14ac:dyDescent="0.4">
      <c r="A253" s="2" t="s">
        <v>277</v>
      </c>
      <c r="B253" s="2"/>
      <c r="C253" s="2"/>
      <c r="D253" s="2"/>
      <c r="E253" s="2"/>
      <c r="F253" s="2"/>
      <c r="G253" s="2"/>
      <c r="H253" s="2"/>
      <c r="I253" s="2">
        <v>76.102900000000005</v>
      </c>
      <c r="J253" s="2">
        <v>15</v>
      </c>
      <c r="K253" s="2">
        <v>74.817800000000005</v>
      </c>
      <c r="L253" s="2">
        <v>21</v>
      </c>
      <c r="M253" s="2">
        <v>104.41589999999999</v>
      </c>
      <c r="N253" s="2">
        <v>100</v>
      </c>
      <c r="O253" s="2">
        <v>98.651899999999998</v>
      </c>
      <c r="P253" s="2">
        <v>206</v>
      </c>
      <c r="Q253" s="2">
        <v>101.2604</v>
      </c>
      <c r="R253" s="2">
        <v>175</v>
      </c>
      <c r="S253" s="2">
        <v>106.4628</v>
      </c>
      <c r="T253" s="2">
        <v>264</v>
      </c>
      <c r="U253" s="2">
        <v>0.29394799999999999</v>
      </c>
      <c r="V253" s="2">
        <v>252</v>
      </c>
      <c r="W253" s="2">
        <v>2002</v>
      </c>
    </row>
    <row r="254" spans="1:23" ht="12.3" hidden="1" x14ac:dyDescent="0.4">
      <c r="A254" s="2" t="s">
        <v>278</v>
      </c>
      <c r="B254" s="2"/>
      <c r="C254" s="2"/>
      <c r="D254" s="2"/>
      <c r="E254" s="2"/>
      <c r="F254" s="2"/>
      <c r="G254" s="2"/>
      <c r="H254" s="2"/>
      <c r="I254" s="2">
        <v>64.394900000000007</v>
      </c>
      <c r="J254" s="2">
        <v>306</v>
      </c>
      <c r="K254" s="2">
        <v>64.985299999999995</v>
      </c>
      <c r="L254" s="2">
        <v>295</v>
      </c>
      <c r="M254" s="2">
        <v>94.636700000000005</v>
      </c>
      <c r="N254" s="2">
        <v>271</v>
      </c>
      <c r="O254" s="2">
        <v>96.109499999999997</v>
      </c>
      <c r="P254" s="2">
        <v>247</v>
      </c>
      <c r="Q254" s="2">
        <v>106.3965</v>
      </c>
      <c r="R254" s="2">
        <v>279</v>
      </c>
      <c r="S254" s="2">
        <v>104.19459999999999</v>
      </c>
      <c r="T254" s="2">
        <v>233</v>
      </c>
      <c r="U254" s="2">
        <v>0.28315099999999999</v>
      </c>
      <c r="V254" s="2">
        <v>253</v>
      </c>
      <c r="W254" s="2">
        <v>2002</v>
      </c>
    </row>
    <row r="255" spans="1:23" ht="12.3" hidden="1" x14ac:dyDescent="0.4">
      <c r="A255" s="2" t="s">
        <v>279</v>
      </c>
      <c r="B255" s="2"/>
      <c r="C255" s="2"/>
      <c r="D255" s="2"/>
      <c r="E255" s="2"/>
      <c r="F255" s="2"/>
      <c r="G255" s="2"/>
      <c r="H255" s="2"/>
      <c r="I255" s="2">
        <v>69.686700000000002</v>
      </c>
      <c r="J255" s="2">
        <v>172</v>
      </c>
      <c r="K255" s="2">
        <v>68.898700000000005</v>
      </c>
      <c r="L255" s="2">
        <v>199</v>
      </c>
      <c r="M255" s="2">
        <v>89.489699999999999</v>
      </c>
      <c r="N255" s="2">
        <v>313</v>
      </c>
      <c r="O255" s="2">
        <v>91.583200000000005</v>
      </c>
      <c r="P255" s="2">
        <v>301</v>
      </c>
      <c r="Q255" s="2">
        <v>101.5197</v>
      </c>
      <c r="R255" s="2">
        <v>178</v>
      </c>
      <c r="S255" s="2">
        <v>99.409300000000002</v>
      </c>
      <c r="T255" s="2">
        <v>124</v>
      </c>
      <c r="U255" s="2">
        <v>0.28029999999999999</v>
      </c>
      <c r="V255" s="2">
        <v>254</v>
      </c>
      <c r="W255" s="2">
        <v>2002</v>
      </c>
    </row>
    <row r="256" spans="1:23" ht="12.3" hidden="1" x14ac:dyDescent="0.4">
      <c r="A256" s="2" t="s">
        <v>280</v>
      </c>
      <c r="B256" s="2"/>
      <c r="C256" s="2"/>
      <c r="D256" s="2"/>
      <c r="E256" s="2"/>
      <c r="F256" s="2"/>
      <c r="G256" s="2"/>
      <c r="H256" s="2"/>
      <c r="I256" s="2">
        <v>73.667500000000004</v>
      </c>
      <c r="J256" s="2">
        <v>44</v>
      </c>
      <c r="K256" s="2">
        <v>72.4208</v>
      </c>
      <c r="L256" s="2">
        <v>62</v>
      </c>
      <c r="M256" s="2">
        <v>99</v>
      </c>
      <c r="N256" s="2">
        <v>198</v>
      </c>
      <c r="O256" s="2">
        <v>97.194599999999994</v>
      </c>
      <c r="P256" s="2">
        <v>225</v>
      </c>
      <c r="Q256" s="2">
        <v>105.2129</v>
      </c>
      <c r="R256" s="2">
        <v>255</v>
      </c>
      <c r="S256" s="2">
        <v>105.53530000000001</v>
      </c>
      <c r="T256" s="2">
        <v>251</v>
      </c>
      <c r="U256" s="2">
        <v>0.27952900000000003</v>
      </c>
      <c r="V256" s="2">
        <v>255</v>
      </c>
      <c r="W256" s="2">
        <v>2002</v>
      </c>
    </row>
    <row r="257" spans="1:23" ht="12.3" hidden="1" x14ac:dyDescent="0.4">
      <c r="A257" s="2" t="s">
        <v>281</v>
      </c>
      <c r="B257" s="2"/>
      <c r="C257" s="2"/>
      <c r="D257" s="2"/>
      <c r="E257" s="2"/>
      <c r="F257" s="2"/>
      <c r="G257" s="2"/>
      <c r="H257" s="2"/>
      <c r="I257" s="2">
        <v>71.505799999999994</v>
      </c>
      <c r="J257" s="2">
        <v>97</v>
      </c>
      <c r="K257" s="2">
        <v>69.998900000000006</v>
      </c>
      <c r="L257" s="2">
        <v>154</v>
      </c>
      <c r="M257" s="2">
        <v>96.853300000000004</v>
      </c>
      <c r="N257" s="2">
        <v>239</v>
      </c>
      <c r="O257" s="2">
        <v>97.609700000000004</v>
      </c>
      <c r="P257" s="2">
        <v>221</v>
      </c>
      <c r="Q257" s="2">
        <v>102.5992</v>
      </c>
      <c r="R257" s="2">
        <v>199</v>
      </c>
      <c r="S257" s="2">
        <v>106.1101</v>
      </c>
      <c r="T257" s="2">
        <v>259</v>
      </c>
      <c r="U257" s="2">
        <v>0.27682600000000002</v>
      </c>
      <c r="V257" s="2">
        <v>256</v>
      </c>
      <c r="W257" s="2">
        <v>2002</v>
      </c>
    </row>
    <row r="258" spans="1:23" ht="12.3" hidden="1" x14ac:dyDescent="0.4">
      <c r="A258" s="2" t="s">
        <v>282</v>
      </c>
      <c r="B258" s="2"/>
      <c r="C258" s="2"/>
      <c r="D258" s="2"/>
      <c r="E258" s="2"/>
      <c r="F258" s="2"/>
      <c r="G258" s="2"/>
      <c r="H258" s="2"/>
      <c r="I258" s="2">
        <v>66.031400000000005</v>
      </c>
      <c r="J258" s="2">
        <v>278</v>
      </c>
      <c r="K258" s="2">
        <v>64.577799999999996</v>
      </c>
      <c r="L258" s="2">
        <v>301</v>
      </c>
      <c r="M258" s="2">
        <v>94.040700000000001</v>
      </c>
      <c r="N258" s="2">
        <v>281</v>
      </c>
      <c r="O258" s="2">
        <v>92.271900000000002</v>
      </c>
      <c r="P258" s="2">
        <v>295</v>
      </c>
      <c r="Q258" s="2">
        <v>97.652299999999997</v>
      </c>
      <c r="R258" s="2">
        <v>85</v>
      </c>
      <c r="S258" s="2">
        <v>100.3263</v>
      </c>
      <c r="T258" s="2">
        <v>150</v>
      </c>
      <c r="U258" s="2">
        <v>0.27639399999999997</v>
      </c>
      <c r="V258" s="2">
        <v>257</v>
      </c>
      <c r="W258" s="2">
        <v>2002</v>
      </c>
    </row>
    <row r="259" spans="1:23" ht="12.3" hidden="1" x14ac:dyDescent="0.4">
      <c r="A259" s="2" t="s">
        <v>283</v>
      </c>
      <c r="B259" s="2"/>
      <c r="C259" s="2"/>
      <c r="D259" s="2"/>
      <c r="E259" s="2"/>
      <c r="F259" s="2"/>
      <c r="G259" s="2"/>
      <c r="H259" s="2"/>
      <c r="I259" s="2">
        <v>68.315299999999993</v>
      </c>
      <c r="J259" s="2">
        <v>217</v>
      </c>
      <c r="K259" s="2">
        <v>67.8322</v>
      </c>
      <c r="L259" s="2">
        <v>228</v>
      </c>
      <c r="M259" s="2">
        <v>95.474500000000006</v>
      </c>
      <c r="N259" s="2">
        <v>256</v>
      </c>
      <c r="O259" s="2">
        <v>94.784899999999993</v>
      </c>
      <c r="P259" s="2">
        <v>271</v>
      </c>
      <c r="Q259" s="2">
        <v>100.1784</v>
      </c>
      <c r="R259" s="2">
        <v>148</v>
      </c>
      <c r="S259" s="2">
        <v>103.6382</v>
      </c>
      <c r="T259" s="2">
        <v>217</v>
      </c>
      <c r="U259" s="2">
        <v>0.26368599999999998</v>
      </c>
      <c r="V259" s="2">
        <v>258</v>
      </c>
      <c r="W259" s="2">
        <v>2002</v>
      </c>
    </row>
    <row r="260" spans="1:23" ht="12.3" hidden="1" x14ac:dyDescent="0.4">
      <c r="A260" s="2" t="s">
        <v>284</v>
      </c>
      <c r="B260" s="2"/>
      <c r="C260" s="2"/>
      <c r="D260" s="2"/>
      <c r="E260" s="2"/>
      <c r="F260" s="2"/>
      <c r="G260" s="2"/>
      <c r="H260" s="2"/>
      <c r="I260" s="2">
        <v>67.48</v>
      </c>
      <c r="J260" s="2">
        <v>239</v>
      </c>
      <c r="K260" s="2">
        <v>69.0852</v>
      </c>
      <c r="L260" s="2">
        <v>187</v>
      </c>
      <c r="M260" s="2">
        <v>95.400599999999997</v>
      </c>
      <c r="N260" s="2">
        <v>259</v>
      </c>
      <c r="O260" s="2">
        <v>97.391199999999998</v>
      </c>
      <c r="P260" s="2">
        <v>222</v>
      </c>
      <c r="Q260" s="2">
        <v>105.52809999999999</v>
      </c>
      <c r="R260" s="2">
        <v>263</v>
      </c>
      <c r="S260" s="2">
        <v>106.49850000000001</v>
      </c>
      <c r="T260" s="2">
        <v>266</v>
      </c>
      <c r="U260" s="2">
        <v>0.263463</v>
      </c>
      <c r="V260" s="2">
        <v>259</v>
      </c>
      <c r="W260" s="2">
        <v>2002</v>
      </c>
    </row>
    <row r="261" spans="1:23" ht="12.3" hidden="1" x14ac:dyDescent="0.4">
      <c r="A261" s="2" t="s">
        <v>285</v>
      </c>
      <c r="B261" s="2"/>
      <c r="C261" s="2"/>
      <c r="D261" s="2"/>
      <c r="E261" s="2"/>
      <c r="F261" s="2"/>
      <c r="G261" s="2"/>
      <c r="H261" s="2"/>
      <c r="I261" s="2">
        <v>69.851900000000001</v>
      </c>
      <c r="J261" s="2">
        <v>168</v>
      </c>
      <c r="K261" s="2">
        <v>69.930300000000003</v>
      </c>
      <c r="L261" s="2">
        <v>157</v>
      </c>
      <c r="M261" s="2">
        <v>102.23520000000001</v>
      </c>
      <c r="N261" s="2">
        <v>141</v>
      </c>
      <c r="O261" s="2">
        <v>100.4875</v>
      </c>
      <c r="P261" s="2">
        <v>166</v>
      </c>
      <c r="Q261" s="2">
        <v>108.7054</v>
      </c>
      <c r="R261" s="2">
        <v>306</v>
      </c>
      <c r="S261" s="2">
        <v>110.2196</v>
      </c>
      <c r="T261" s="2">
        <v>304</v>
      </c>
      <c r="U261" s="2">
        <v>0.25672200000000001</v>
      </c>
      <c r="V261" s="2">
        <v>260</v>
      </c>
      <c r="W261" s="2">
        <v>2002</v>
      </c>
    </row>
    <row r="262" spans="1:23" ht="12.3" hidden="1" x14ac:dyDescent="0.4">
      <c r="A262" s="2" t="s">
        <v>286</v>
      </c>
      <c r="B262" s="2"/>
      <c r="C262" s="2"/>
      <c r="D262" s="2"/>
      <c r="E262" s="2"/>
      <c r="F262" s="2"/>
      <c r="G262" s="2"/>
      <c r="H262" s="2"/>
      <c r="I262" s="2">
        <v>66.768100000000004</v>
      </c>
      <c r="J262" s="2">
        <v>260</v>
      </c>
      <c r="K262" s="2">
        <v>67.347999999999999</v>
      </c>
      <c r="L262" s="2">
        <v>242</v>
      </c>
      <c r="M262" s="2">
        <v>96.517300000000006</v>
      </c>
      <c r="N262" s="2">
        <v>246</v>
      </c>
      <c r="O262" s="2">
        <v>96.760099999999994</v>
      </c>
      <c r="P262" s="2">
        <v>233</v>
      </c>
      <c r="Q262" s="2">
        <v>104.84050000000001</v>
      </c>
      <c r="R262" s="2">
        <v>250</v>
      </c>
      <c r="S262" s="2">
        <v>106.1349</v>
      </c>
      <c r="T262" s="2">
        <v>260</v>
      </c>
      <c r="U262" s="2">
        <v>0.25664500000000001</v>
      </c>
      <c r="V262" s="2">
        <v>261</v>
      </c>
      <c r="W262" s="2">
        <v>2002</v>
      </c>
    </row>
    <row r="263" spans="1:23" ht="12.3" hidden="1" x14ac:dyDescent="0.4">
      <c r="A263" s="2" t="s">
        <v>287</v>
      </c>
      <c r="B263" s="2"/>
      <c r="C263" s="2"/>
      <c r="D263" s="2"/>
      <c r="E263" s="2"/>
      <c r="F263" s="2"/>
      <c r="G263" s="2"/>
      <c r="H263" s="2"/>
      <c r="I263" s="2">
        <v>68.486699999999999</v>
      </c>
      <c r="J263" s="2">
        <v>210</v>
      </c>
      <c r="K263" s="2">
        <v>68.222200000000001</v>
      </c>
      <c r="L263" s="2">
        <v>217</v>
      </c>
      <c r="M263" s="2">
        <v>92.061499999999995</v>
      </c>
      <c r="N263" s="2">
        <v>301</v>
      </c>
      <c r="O263" s="2">
        <v>93.774500000000003</v>
      </c>
      <c r="P263" s="2">
        <v>281</v>
      </c>
      <c r="Q263" s="2">
        <v>102.264</v>
      </c>
      <c r="R263" s="2">
        <v>193</v>
      </c>
      <c r="S263" s="2">
        <v>102.88979999999999</v>
      </c>
      <c r="T263" s="2">
        <v>203</v>
      </c>
      <c r="U263" s="2">
        <v>0.25601099999999999</v>
      </c>
      <c r="V263" s="2">
        <v>262</v>
      </c>
      <c r="W263" s="2">
        <v>2002</v>
      </c>
    </row>
    <row r="264" spans="1:23" ht="12.3" hidden="1" x14ac:dyDescent="0.4">
      <c r="A264" s="2" t="s">
        <v>288</v>
      </c>
      <c r="B264" s="2"/>
      <c r="C264" s="2"/>
      <c r="D264" s="2"/>
      <c r="E264" s="2"/>
      <c r="F264" s="2"/>
      <c r="G264" s="2"/>
      <c r="H264" s="2"/>
      <c r="I264" s="2">
        <v>70.595600000000005</v>
      </c>
      <c r="J264" s="2">
        <v>133</v>
      </c>
      <c r="K264" s="2">
        <v>69.742800000000003</v>
      </c>
      <c r="L264" s="2">
        <v>164</v>
      </c>
      <c r="M264" s="2">
        <v>96.650099999999995</v>
      </c>
      <c r="N264" s="2">
        <v>242</v>
      </c>
      <c r="O264" s="2">
        <v>94.82</v>
      </c>
      <c r="P264" s="2">
        <v>270</v>
      </c>
      <c r="Q264" s="2">
        <v>102.2268</v>
      </c>
      <c r="R264" s="2">
        <v>190</v>
      </c>
      <c r="S264" s="2">
        <v>104.2234</v>
      </c>
      <c r="T264" s="2">
        <v>236</v>
      </c>
      <c r="U264" s="2">
        <v>0.25210900000000003</v>
      </c>
      <c r="V264" s="2">
        <v>263</v>
      </c>
      <c r="W264" s="2">
        <v>2002</v>
      </c>
    </row>
    <row r="265" spans="1:23" ht="12.3" hidden="1" x14ac:dyDescent="0.4">
      <c r="A265" s="2" t="s">
        <v>289</v>
      </c>
      <c r="B265" s="2"/>
      <c r="C265" s="2"/>
      <c r="D265" s="2"/>
      <c r="E265" s="2"/>
      <c r="F265" s="2"/>
      <c r="G265" s="2"/>
      <c r="H265" s="2"/>
      <c r="I265" s="2">
        <v>66.068799999999996</v>
      </c>
      <c r="J265" s="2">
        <v>277</v>
      </c>
      <c r="K265" s="2">
        <v>66.958799999999997</v>
      </c>
      <c r="L265" s="2">
        <v>254</v>
      </c>
      <c r="M265" s="2">
        <v>93.139899999999997</v>
      </c>
      <c r="N265" s="2">
        <v>288</v>
      </c>
      <c r="O265" s="2">
        <v>94.0916</v>
      </c>
      <c r="P265" s="2">
        <v>279</v>
      </c>
      <c r="Q265" s="2">
        <v>98.303600000000003</v>
      </c>
      <c r="R265" s="2">
        <v>97</v>
      </c>
      <c r="S265" s="2">
        <v>103.63249999999999</v>
      </c>
      <c r="T265" s="2">
        <v>216</v>
      </c>
      <c r="U265" s="2">
        <v>0.24774099999999999</v>
      </c>
      <c r="V265" s="2">
        <v>264</v>
      </c>
      <c r="W265" s="2">
        <v>2002</v>
      </c>
    </row>
    <row r="266" spans="1:23" ht="12.3" hidden="1" x14ac:dyDescent="0.4">
      <c r="A266" s="2" t="s">
        <v>290</v>
      </c>
      <c r="B266" s="2"/>
      <c r="C266" s="2"/>
      <c r="D266" s="2"/>
      <c r="E266" s="2"/>
      <c r="F266" s="2"/>
      <c r="G266" s="2"/>
      <c r="H266" s="2"/>
      <c r="I266" s="2">
        <v>74.712599999999995</v>
      </c>
      <c r="J266" s="2">
        <v>26</v>
      </c>
      <c r="K266" s="2">
        <v>75.132599999999996</v>
      </c>
      <c r="L266" s="2">
        <v>16</v>
      </c>
      <c r="M266" s="2">
        <v>94.221800000000002</v>
      </c>
      <c r="N266" s="2">
        <v>276</v>
      </c>
      <c r="O266" s="2">
        <v>94.740499999999997</v>
      </c>
      <c r="P266" s="2">
        <v>273</v>
      </c>
      <c r="Q266" s="2">
        <v>105.0963</v>
      </c>
      <c r="R266" s="2">
        <v>254</v>
      </c>
      <c r="S266" s="2">
        <v>104.4653</v>
      </c>
      <c r="T266" s="2">
        <v>240</v>
      </c>
      <c r="U266" s="2">
        <v>0.24532399999999999</v>
      </c>
      <c r="V266" s="2">
        <v>265</v>
      </c>
      <c r="W266" s="2">
        <v>2002</v>
      </c>
    </row>
    <row r="267" spans="1:23" ht="12.3" hidden="1" x14ac:dyDescent="0.4">
      <c r="A267" s="2" t="s">
        <v>291</v>
      </c>
      <c r="B267" s="2"/>
      <c r="C267" s="2"/>
      <c r="D267" s="2"/>
      <c r="E267" s="2"/>
      <c r="F267" s="2"/>
      <c r="G267" s="2"/>
      <c r="H267" s="2"/>
      <c r="I267" s="2">
        <v>70.650000000000006</v>
      </c>
      <c r="J267" s="2">
        <v>130</v>
      </c>
      <c r="K267" s="2">
        <v>70.459699999999998</v>
      </c>
      <c r="L267" s="2">
        <v>133</v>
      </c>
      <c r="M267" s="2">
        <v>96.634500000000003</v>
      </c>
      <c r="N267" s="2">
        <v>245</v>
      </c>
      <c r="O267" s="2">
        <v>96.451800000000006</v>
      </c>
      <c r="P267" s="2">
        <v>242</v>
      </c>
      <c r="Q267" s="2">
        <v>107.1482</v>
      </c>
      <c r="R267" s="2">
        <v>288</v>
      </c>
      <c r="S267" s="2">
        <v>106.4716</v>
      </c>
      <c r="T267" s="2">
        <v>265</v>
      </c>
      <c r="U267" s="2">
        <v>0.24294499999999999</v>
      </c>
      <c r="V267" s="2">
        <v>266</v>
      </c>
      <c r="W267" s="2">
        <v>2002</v>
      </c>
    </row>
    <row r="268" spans="1:23" ht="12.3" hidden="1" x14ac:dyDescent="0.4">
      <c r="A268" s="2" t="s">
        <v>292</v>
      </c>
      <c r="B268" s="2"/>
      <c r="C268" s="2"/>
      <c r="D268" s="2"/>
      <c r="E268" s="2"/>
      <c r="F268" s="2"/>
      <c r="G268" s="2"/>
      <c r="H268" s="2"/>
      <c r="I268" s="2">
        <v>69.1751</v>
      </c>
      <c r="J268" s="2">
        <v>186</v>
      </c>
      <c r="K268" s="2">
        <v>70.8035</v>
      </c>
      <c r="L268" s="2">
        <v>118</v>
      </c>
      <c r="M268" s="2">
        <v>96.495599999999996</v>
      </c>
      <c r="N268" s="2">
        <v>247</v>
      </c>
      <c r="O268" s="2">
        <v>95.572500000000005</v>
      </c>
      <c r="P268" s="2">
        <v>252</v>
      </c>
      <c r="Q268" s="2">
        <v>109.06440000000001</v>
      </c>
      <c r="R268" s="2">
        <v>310</v>
      </c>
      <c r="S268" s="2">
        <v>105.9375</v>
      </c>
      <c r="T268" s="2">
        <v>255</v>
      </c>
      <c r="U268" s="2">
        <v>0.234318</v>
      </c>
      <c r="V268" s="2">
        <v>267</v>
      </c>
      <c r="W268" s="2">
        <v>2002</v>
      </c>
    </row>
    <row r="269" spans="1:23" ht="12.3" hidden="1" x14ac:dyDescent="0.4">
      <c r="A269" s="2" t="s">
        <v>293</v>
      </c>
      <c r="B269" s="2"/>
      <c r="C269" s="2"/>
      <c r="D269" s="2"/>
      <c r="E269" s="2"/>
      <c r="F269" s="2"/>
      <c r="G269" s="2"/>
      <c r="H269" s="2"/>
      <c r="I269" s="2">
        <v>67.948700000000002</v>
      </c>
      <c r="J269" s="2">
        <v>228</v>
      </c>
      <c r="K269" s="2">
        <v>68.297200000000004</v>
      </c>
      <c r="L269" s="2">
        <v>216</v>
      </c>
      <c r="M269" s="2">
        <v>86.226299999999995</v>
      </c>
      <c r="N269" s="2">
        <v>320</v>
      </c>
      <c r="O269" s="2">
        <v>89.710099999999997</v>
      </c>
      <c r="P269" s="2">
        <v>308</v>
      </c>
      <c r="Q269" s="2">
        <v>100.5745</v>
      </c>
      <c r="R269" s="2">
        <v>161</v>
      </c>
      <c r="S269" s="2">
        <v>99.501999999999995</v>
      </c>
      <c r="T269" s="2">
        <v>130</v>
      </c>
      <c r="U269" s="2">
        <v>0.233019</v>
      </c>
      <c r="V269" s="2">
        <v>268</v>
      </c>
      <c r="W269" s="2">
        <v>2002</v>
      </c>
    </row>
    <row r="270" spans="1:23" ht="12.3" hidden="1" x14ac:dyDescent="0.4">
      <c r="A270" s="2" t="s">
        <v>294</v>
      </c>
      <c r="B270" s="2"/>
      <c r="C270" s="2"/>
      <c r="D270" s="2"/>
      <c r="E270" s="2"/>
      <c r="F270" s="2"/>
      <c r="G270" s="2"/>
      <c r="H270" s="2"/>
      <c r="I270" s="2">
        <v>70.338499999999996</v>
      </c>
      <c r="J270" s="2">
        <v>143</v>
      </c>
      <c r="K270" s="2">
        <v>70.366699999999994</v>
      </c>
      <c r="L270" s="2">
        <v>137</v>
      </c>
      <c r="M270" s="2">
        <v>95.641099999999994</v>
      </c>
      <c r="N270" s="2">
        <v>251</v>
      </c>
      <c r="O270" s="2">
        <v>94.973699999999994</v>
      </c>
      <c r="P270" s="2">
        <v>268</v>
      </c>
      <c r="Q270" s="2">
        <v>103.8462</v>
      </c>
      <c r="R270" s="2">
        <v>232</v>
      </c>
      <c r="S270" s="2">
        <v>105.3507</v>
      </c>
      <c r="T270" s="2">
        <v>249</v>
      </c>
      <c r="U270" s="2">
        <v>0.23281399999999999</v>
      </c>
      <c r="V270" s="2">
        <v>269</v>
      </c>
      <c r="W270" s="2">
        <v>2002</v>
      </c>
    </row>
    <row r="271" spans="1:23" ht="12.3" hidden="1" x14ac:dyDescent="0.4">
      <c r="A271" s="2" t="s">
        <v>295</v>
      </c>
      <c r="B271" s="2"/>
      <c r="C271" s="2"/>
      <c r="D271" s="2"/>
      <c r="E271" s="2"/>
      <c r="F271" s="2"/>
      <c r="G271" s="2"/>
      <c r="H271" s="2"/>
      <c r="I271" s="2">
        <v>65.604799999999997</v>
      </c>
      <c r="J271" s="2">
        <v>287</v>
      </c>
      <c r="K271" s="2">
        <v>66.859300000000005</v>
      </c>
      <c r="L271" s="2">
        <v>259</v>
      </c>
      <c r="M271" s="2">
        <v>92.134900000000002</v>
      </c>
      <c r="N271" s="2">
        <v>299</v>
      </c>
      <c r="O271" s="2">
        <v>91.145300000000006</v>
      </c>
      <c r="P271" s="2">
        <v>304</v>
      </c>
      <c r="Q271" s="2">
        <v>98.829899999999995</v>
      </c>
      <c r="R271" s="2">
        <v>110</v>
      </c>
      <c r="S271" s="2">
        <v>101.2632</v>
      </c>
      <c r="T271" s="2">
        <v>172</v>
      </c>
      <c r="U271" s="2">
        <v>0.229598</v>
      </c>
      <c r="V271" s="2">
        <v>270</v>
      </c>
      <c r="W271" s="2">
        <v>2002</v>
      </c>
    </row>
    <row r="272" spans="1:23" ht="12.3" hidden="1" x14ac:dyDescent="0.4">
      <c r="A272" s="2" t="s">
        <v>296</v>
      </c>
      <c r="B272" s="2"/>
      <c r="C272" s="2"/>
      <c r="D272" s="2"/>
      <c r="E272" s="2"/>
      <c r="F272" s="2"/>
      <c r="G272" s="2"/>
      <c r="H272" s="2"/>
      <c r="I272" s="2">
        <v>72.391999999999996</v>
      </c>
      <c r="J272" s="2">
        <v>74</v>
      </c>
      <c r="K272" s="2">
        <v>72.405199999999994</v>
      </c>
      <c r="L272" s="2">
        <v>64</v>
      </c>
      <c r="M272" s="2">
        <v>92.398099999999999</v>
      </c>
      <c r="N272" s="2">
        <v>296</v>
      </c>
      <c r="O272" s="2">
        <v>91.530900000000003</v>
      </c>
      <c r="P272" s="2">
        <v>302</v>
      </c>
      <c r="Q272" s="2">
        <v>99.607200000000006</v>
      </c>
      <c r="R272" s="2">
        <v>136</v>
      </c>
      <c r="S272" s="2">
        <v>101.7469</v>
      </c>
      <c r="T272" s="2">
        <v>180</v>
      </c>
      <c r="U272" s="2">
        <v>0.228495</v>
      </c>
      <c r="V272" s="2">
        <v>271</v>
      </c>
      <c r="W272" s="2">
        <v>2002</v>
      </c>
    </row>
    <row r="273" spans="1:23" ht="12.3" hidden="1" x14ac:dyDescent="0.4">
      <c r="A273" s="2" t="s">
        <v>297</v>
      </c>
      <c r="B273" s="2"/>
      <c r="C273" s="2"/>
      <c r="D273" s="2"/>
      <c r="E273" s="2"/>
      <c r="F273" s="2"/>
      <c r="G273" s="2"/>
      <c r="H273" s="2"/>
      <c r="I273" s="2">
        <v>68.196899999999999</v>
      </c>
      <c r="J273" s="2">
        <v>224</v>
      </c>
      <c r="K273" s="2">
        <v>64.769599999999997</v>
      </c>
      <c r="L273" s="2">
        <v>297</v>
      </c>
      <c r="M273" s="2">
        <v>94.900300000000001</v>
      </c>
      <c r="N273" s="2">
        <v>264</v>
      </c>
      <c r="O273" s="2">
        <v>89.323599999999999</v>
      </c>
      <c r="P273" s="2">
        <v>309</v>
      </c>
      <c r="Q273" s="2">
        <v>93.983999999999995</v>
      </c>
      <c r="R273" s="2">
        <v>29</v>
      </c>
      <c r="S273" s="2">
        <v>99.519800000000004</v>
      </c>
      <c r="T273" s="2">
        <v>131</v>
      </c>
      <c r="U273" s="2">
        <v>0.22390699999999999</v>
      </c>
      <c r="V273" s="2">
        <v>272</v>
      </c>
      <c r="W273" s="2">
        <v>2002</v>
      </c>
    </row>
    <row r="274" spans="1:23" ht="12.3" hidden="1" x14ac:dyDescent="0.4">
      <c r="A274" s="2" t="s">
        <v>298</v>
      </c>
      <c r="B274" s="2"/>
      <c r="C274" s="2"/>
      <c r="D274" s="2"/>
      <c r="E274" s="2"/>
      <c r="F274" s="2"/>
      <c r="G274" s="2"/>
      <c r="H274" s="2"/>
      <c r="I274" s="2">
        <v>73.1952</v>
      </c>
      <c r="J274" s="2">
        <v>54</v>
      </c>
      <c r="K274" s="2">
        <v>73.9285</v>
      </c>
      <c r="L274" s="2">
        <v>33</v>
      </c>
      <c r="M274" s="2">
        <v>97.516599999999997</v>
      </c>
      <c r="N274" s="2">
        <v>228</v>
      </c>
      <c r="O274" s="2">
        <v>95.684100000000001</v>
      </c>
      <c r="P274" s="2">
        <v>251</v>
      </c>
      <c r="Q274" s="2">
        <v>107.56010000000001</v>
      </c>
      <c r="R274" s="2">
        <v>293</v>
      </c>
      <c r="S274" s="2">
        <v>106.6386</v>
      </c>
      <c r="T274" s="2">
        <v>269</v>
      </c>
      <c r="U274" s="2">
        <v>0.223301</v>
      </c>
      <c r="V274" s="2">
        <v>273</v>
      </c>
      <c r="W274" s="2">
        <v>2002</v>
      </c>
    </row>
    <row r="275" spans="1:23" ht="12.3" hidden="1" x14ac:dyDescent="0.4">
      <c r="A275" s="2" t="s">
        <v>299</v>
      </c>
      <c r="B275" s="2"/>
      <c r="C275" s="2"/>
      <c r="D275" s="2"/>
      <c r="E275" s="2"/>
      <c r="F275" s="2"/>
      <c r="G275" s="2"/>
      <c r="H275" s="2"/>
      <c r="I275" s="2">
        <v>73.581199999999995</v>
      </c>
      <c r="J275" s="2">
        <v>46</v>
      </c>
      <c r="K275" s="2">
        <v>71.037499999999994</v>
      </c>
      <c r="L275" s="2">
        <v>112</v>
      </c>
      <c r="M275" s="2">
        <v>104.0412</v>
      </c>
      <c r="N275" s="2">
        <v>109</v>
      </c>
      <c r="O275" s="2">
        <v>100.0847</v>
      </c>
      <c r="P275" s="2">
        <v>178</v>
      </c>
      <c r="Q275" s="2">
        <v>107.077</v>
      </c>
      <c r="R275" s="2">
        <v>287</v>
      </c>
      <c r="S275" s="2">
        <v>112.1183</v>
      </c>
      <c r="T275" s="2">
        <v>314</v>
      </c>
      <c r="U275" s="2">
        <v>0.21320900000000001</v>
      </c>
      <c r="V275" s="2">
        <v>274</v>
      </c>
      <c r="W275" s="2">
        <v>2002</v>
      </c>
    </row>
    <row r="276" spans="1:23" ht="12.3" hidden="1" x14ac:dyDescent="0.4">
      <c r="A276" s="2" t="s">
        <v>300</v>
      </c>
      <c r="B276" s="2"/>
      <c r="C276" s="2"/>
      <c r="D276" s="2"/>
      <c r="E276" s="2"/>
      <c r="F276" s="2"/>
      <c r="G276" s="2"/>
      <c r="H276" s="2"/>
      <c r="I276" s="2">
        <v>70.996499999999997</v>
      </c>
      <c r="J276" s="2">
        <v>113</v>
      </c>
      <c r="K276" s="2">
        <v>72.414400000000001</v>
      </c>
      <c r="L276" s="2">
        <v>63</v>
      </c>
      <c r="M276" s="2">
        <v>94.892399999999995</v>
      </c>
      <c r="N276" s="2">
        <v>265</v>
      </c>
      <c r="O276" s="2">
        <v>91.372299999999996</v>
      </c>
      <c r="P276" s="2">
        <v>303</v>
      </c>
      <c r="Q276" s="2">
        <v>100.3013</v>
      </c>
      <c r="R276" s="2">
        <v>150</v>
      </c>
      <c r="S276" s="2">
        <v>102.71210000000001</v>
      </c>
      <c r="T276" s="2">
        <v>200</v>
      </c>
      <c r="U276" s="2">
        <v>0.20662900000000001</v>
      </c>
      <c r="V276" s="2">
        <v>275</v>
      </c>
      <c r="W276" s="2">
        <v>2002</v>
      </c>
    </row>
    <row r="277" spans="1:23" ht="12.3" hidden="1" x14ac:dyDescent="0.4">
      <c r="A277" s="2" t="s">
        <v>301</v>
      </c>
      <c r="B277" s="2"/>
      <c r="C277" s="2"/>
      <c r="D277" s="2"/>
      <c r="E277" s="2"/>
      <c r="F277" s="2"/>
      <c r="G277" s="2"/>
      <c r="H277" s="2"/>
      <c r="I277" s="2">
        <v>70.945599999999999</v>
      </c>
      <c r="J277" s="2">
        <v>115</v>
      </c>
      <c r="K277" s="2">
        <v>70.564400000000006</v>
      </c>
      <c r="L277" s="2">
        <v>129</v>
      </c>
      <c r="M277" s="2">
        <v>92.748900000000006</v>
      </c>
      <c r="N277" s="2">
        <v>292</v>
      </c>
      <c r="O277" s="2">
        <v>92.447800000000001</v>
      </c>
      <c r="P277" s="2">
        <v>294</v>
      </c>
      <c r="Q277" s="2">
        <v>102.25360000000001</v>
      </c>
      <c r="R277" s="2">
        <v>192</v>
      </c>
      <c r="S277" s="2">
        <v>104.16079999999999</v>
      </c>
      <c r="T277" s="2">
        <v>230</v>
      </c>
      <c r="U277" s="2">
        <v>0.20232</v>
      </c>
      <c r="V277" s="2">
        <v>276</v>
      </c>
      <c r="W277" s="2">
        <v>2002</v>
      </c>
    </row>
    <row r="278" spans="1:23" ht="12.3" hidden="1" x14ac:dyDescent="0.4">
      <c r="A278" s="2" t="s">
        <v>302</v>
      </c>
      <c r="B278" s="2"/>
      <c r="C278" s="2"/>
      <c r="D278" s="2"/>
      <c r="E278" s="2"/>
      <c r="F278" s="2"/>
      <c r="G278" s="2"/>
      <c r="H278" s="2"/>
      <c r="I278" s="2">
        <v>73.864400000000003</v>
      </c>
      <c r="J278" s="2">
        <v>42</v>
      </c>
      <c r="K278" s="2">
        <v>75.010000000000005</v>
      </c>
      <c r="L278" s="2">
        <v>18</v>
      </c>
      <c r="M278" s="2">
        <v>96.634900000000002</v>
      </c>
      <c r="N278" s="2">
        <v>244</v>
      </c>
      <c r="O278" s="2">
        <v>95.076700000000002</v>
      </c>
      <c r="P278" s="2">
        <v>266</v>
      </c>
      <c r="Q278" s="2">
        <v>104.2353</v>
      </c>
      <c r="R278" s="2">
        <v>240</v>
      </c>
      <c r="S278" s="2">
        <v>107.1292</v>
      </c>
      <c r="T278" s="2">
        <v>274</v>
      </c>
      <c r="U278" s="2">
        <v>0.202209</v>
      </c>
      <c r="V278" s="2">
        <v>277</v>
      </c>
      <c r="W278" s="2">
        <v>2002</v>
      </c>
    </row>
    <row r="279" spans="1:23" ht="12.3" hidden="1" x14ac:dyDescent="0.4">
      <c r="A279" s="2" t="s">
        <v>303</v>
      </c>
      <c r="B279" s="2"/>
      <c r="C279" s="2"/>
      <c r="D279" s="2"/>
      <c r="E279" s="2"/>
      <c r="F279" s="2"/>
      <c r="G279" s="2"/>
      <c r="H279" s="2"/>
      <c r="I279" s="2">
        <v>69.828800000000001</v>
      </c>
      <c r="J279" s="2">
        <v>169</v>
      </c>
      <c r="K279" s="2">
        <v>68.990799999999993</v>
      </c>
      <c r="L279" s="2">
        <v>194</v>
      </c>
      <c r="M279" s="2">
        <v>100.9558</v>
      </c>
      <c r="N279" s="2">
        <v>155</v>
      </c>
      <c r="O279" s="2">
        <v>99.3446</v>
      </c>
      <c r="P279" s="2">
        <v>194</v>
      </c>
      <c r="Q279" s="2">
        <v>112.20440000000001</v>
      </c>
      <c r="R279" s="2">
        <v>323</v>
      </c>
      <c r="S279" s="2">
        <v>112.1987</v>
      </c>
      <c r="T279" s="2">
        <v>315</v>
      </c>
      <c r="U279" s="2">
        <v>0.197931</v>
      </c>
      <c r="V279" s="2">
        <v>278</v>
      </c>
      <c r="W279" s="2">
        <v>2002</v>
      </c>
    </row>
    <row r="280" spans="1:23" ht="12.3" hidden="1" x14ac:dyDescent="0.4">
      <c r="A280" s="2" t="s">
        <v>304</v>
      </c>
      <c r="B280" s="2"/>
      <c r="C280" s="2"/>
      <c r="D280" s="2"/>
      <c r="E280" s="2"/>
      <c r="F280" s="2"/>
      <c r="G280" s="2"/>
      <c r="H280" s="2"/>
      <c r="I280" s="2">
        <v>59.9191</v>
      </c>
      <c r="J280" s="2">
        <v>324</v>
      </c>
      <c r="K280" s="2">
        <v>60.497599999999998</v>
      </c>
      <c r="L280" s="2">
        <v>324</v>
      </c>
      <c r="M280" s="2">
        <v>89.753399999999999</v>
      </c>
      <c r="N280" s="2">
        <v>310</v>
      </c>
      <c r="O280" s="2">
        <v>90.699700000000007</v>
      </c>
      <c r="P280" s="2">
        <v>306</v>
      </c>
      <c r="Q280" s="2">
        <v>104.1768</v>
      </c>
      <c r="R280" s="2">
        <v>239</v>
      </c>
      <c r="S280" s="2">
        <v>102.67870000000001</v>
      </c>
      <c r="T280" s="2">
        <v>198</v>
      </c>
      <c r="U280" s="2">
        <v>0.193632</v>
      </c>
      <c r="V280" s="2">
        <v>279</v>
      </c>
      <c r="W280" s="2">
        <v>2002</v>
      </c>
    </row>
    <row r="281" spans="1:23" ht="12.3" hidden="1" x14ac:dyDescent="0.4">
      <c r="A281" s="2" t="s">
        <v>305</v>
      </c>
      <c r="B281" s="2"/>
      <c r="C281" s="2"/>
      <c r="D281" s="2"/>
      <c r="E281" s="2"/>
      <c r="F281" s="2"/>
      <c r="G281" s="2"/>
      <c r="H281" s="2"/>
      <c r="I281" s="2">
        <v>69.463700000000003</v>
      </c>
      <c r="J281" s="2">
        <v>179</v>
      </c>
      <c r="K281" s="2">
        <v>68.677800000000005</v>
      </c>
      <c r="L281" s="2">
        <v>205</v>
      </c>
      <c r="M281" s="2">
        <v>89.616100000000003</v>
      </c>
      <c r="N281" s="2">
        <v>312</v>
      </c>
      <c r="O281" s="2">
        <v>89.319100000000006</v>
      </c>
      <c r="P281" s="2">
        <v>310</v>
      </c>
      <c r="Q281" s="2">
        <v>99.174000000000007</v>
      </c>
      <c r="R281" s="2">
        <v>124</v>
      </c>
      <c r="S281" s="2">
        <v>101.25839999999999</v>
      </c>
      <c r="T281" s="2">
        <v>171</v>
      </c>
      <c r="U281" s="2">
        <v>0.19111300000000001</v>
      </c>
      <c r="V281" s="2">
        <v>280</v>
      </c>
      <c r="W281" s="2">
        <v>2002</v>
      </c>
    </row>
    <row r="282" spans="1:23" ht="12.3" hidden="1" x14ac:dyDescent="0.4">
      <c r="A282" s="2" t="s">
        <v>306</v>
      </c>
      <c r="B282" s="2"/>
      <c r="C282" s="2"/>
      <c r="D282" s="2"/>
      <c r="E282" s="2"/>
      <c r="F282" s="2"/>
      <c r="G282" s="2"/>
      <c r="H282" s="2"/>
      <c r="I282" s="2">
        <v>73.867800000000003</v>
      </c>
      <c r="J282" s="2">
        <v>41</v>
      </c>
      <c r="K282" s="2">
        <v>73.7393</v>
      </c>
      <c r="L282" s="2">
        <v>40</v>
      </c>
      <c r="M282" s="2">
        <v>91.000799999999998</v>
      </c>
      <c r="N282" s="2">
        <v>306</v>
      </c>
      <c r="O282" s="2">
        <v>89.260099999999994</v>
      </c>
      <c r="P282" s="2">
        <v>311</v>
      </c>
      <c r="Q282" s="2">
        <v>98.8536</v>
      </c>
      <c r="R282" s="2">
        <v>111</v>
      </c>
      <c r="S282" s="2">
        <v>101.273</v>
      </c>
      <c r="T282" s="2">
        <v>173</v>
      </c>
      <c r="U282" s="2">
        <v>0.18968599999999999</v>
      </c>
      <c r="V282" s="2">
        <v>281</v>
      </c>
      <c r="W282" s="2">
        <v>2002</v>
      </c>
    </row>
    <row r="283" spans="1:23" ht="12.3" hidden="1" x14ac:dyDescent="0.4">
      <c r="A283" s="2" t="s">
        <v>307</v>
      </c>
      <c r="B283" s="2"/>
      <c r="C283" s="2"/>
      <c r="D283" s="2"/>
      <c r="E283" s="2"/>
      <c r="F283" s="2"/>
      <c r="G283" s="2"/>
      <c r="H283" s="2"/>
      <c r="I283" s="2">
        <v>68.78</v>
      </c>
      <c r="J283" s="2">
        <v>198</v>
      </c>
      <c r="K283" s="2">
        <v>67.099500000000006</v>
      </c>
      <c r="L283" s="2">
        <v>250</v>
      </c>
      <c r="M283" s="2">
        <v>100.85339999999999</v>
      </c>
      <c r="N283" s="2">
        <v>158</v>
      </c>
      <c r="O283" s="2">
        <v>98.960999999999999</v>
      </c>
      <c r="P283" s="2">
        <v>200</v>
      </c>
      <c r="Q283" s="2">
        <v>107.8456</v>
      </c>
      <c r="R283" s="2">
        <v>296</v>
      </c>
      <c r="S283" s="2">
        <v>112.2881</v>
      </c>
      <c r="T283" s="2">
        <v>316</v>
      </c>
      <c r="U283" s="2">
        <v>0.189551</v>
      </c>
      <c r="V283" s="2">
        <v>282</v>
      </c>
      <c r="W283" s="2">
        <v>2002</v>
      </c>
    </row>
    <row r="284" spans="1:23" ht="12.3" hidden="1" x14ac:dyDescent="0.4">
      <c r="A284" s="2" t="s">
        <v>308</v>
      </c>
      <c r="B284" s="2"/>
      <c r="C284" s="2"/>
      <c r="D284" s="2"/>
      <c r="E284" s="2"/>
      <c r="F284" s="2"/>
      <c r="G284" s="2"/>
      <c r="H284" s="2"/>
      <c r="I284" s="2">
        <v>72.382300000000001</v>
      </c>
      <c r="J284" s="2">
        <v>76</v>
      </c>
      <c r="K284" s="2">
        <v>74.2029</v>
      </c>
      <c r="L284" s="2">
        <v>27</v>
      </c>
      <c r="M284" s="2">
        <v>97.7012</v>
      </c>
      <c r="N284" s="2">
        <v>226</v>
      </c>
      <c r="O284" s="2">
        <v>96.058800000000005</v>
      </c>
      <c r="P284" s="2">
        <v>248</v>
      </c>
      <c r="Q284" s="2">
        <v>103.14019999999999</v>
      </c>
      <c r="R284" s="2">
        <v>218</v>
      </c>
      <c r="S284" s="2">
        <v>109.1658</v>
      </c>
      <c r="T284" s="2">
        <v>297</v>
      </c>
      <c r="U284" s="2">
        <v>0.18680099999999999</v>
      </c>
      <c r="V284" s="2">
        <v>283</v>
      </c>
      <c r="W284" s="2">
        <v>2002</v>
      </c>
    </row>
    <row r="285" spans="1:23" ht="12.3" hidden="1" x14ac:dyDescent="0.4">
      <c r="A285" s="2" t="s">
        <v>309</v>
      </c>
      <c r="B285" s="2"/>
      <c r="C285" s="2"/>
      <c r="D285" s="2"/>
      <c r="E285" s="2"/>
      <c r="F285" s="2"/>
      <c r="G285" s="2"/>
      <c r="H285" s="2"/>
      <c r="I285" s="2">
        <v>64.909300000000002</v>
      </c>
      <c r="J285" s="2">
        <v>296</v>
      </c>
      <c r="K285" s="2">
        <v>64.396699999999996</v>
      </c>
      <c r="L285" s="2">
        <v>304</v>
      </c>
      <c r="M285" s="2">
        <v>96.363500000000002</v>
      </c>
      <c r="N285" s="2">
        <v>248</v>
      </c>
      <c r="O285" s="2">
        <v>92.739800000000002</v>
      </c>
      <c r="P285" s="2">
        <v>291</v>
      </c>
      <c r="Q285" s="2">
        <v>101.04949999999999</v>
      </c>
      <c r="R285" s="2">
        <v>170</v>
      </c>
      <c r="S285" s="2">
        <v>105.6936</v>
      </c>
      <c r="T285" s="2">
        <v>253</v>
      </c>
      <c r="U285" s="2">
        <v>0.18189</v>
      </c>
      <c r="V285" s="2">
        <v>284</v>
      </c>
      <c r="W285" s="2">
        <v>2002</v>
      </c>
    </row>
    <row r="286" spans="1:23" ht="12.3" hidden="1" x14ac:dyDescent="0.4">
      <c r="A286" s="2" t="s">
        <v>310</v>
      </c>
      <c r="B286" s="2"/>
      <c r="C286" s="2"/>
      <c r="D286" s="2"/>
      <c r="E286" s="2"/>
      <c r="F286" s="2"/>
      <c r="G286" s="2"/>
      <c r="H286" s="2"/>
      <c r="I286" s="2">
        <v>70.938900000000004</v>
      </c>
      <c r="J286" s="2">
        <v>117</v>
      </c>
      <c r="K286" s="2">
        <v>72.185299999999998</v>
      </c>
      <c r="L286" s="2">
        <v>72</v>
      </c>
      <c r="M286" s="2">
        <v>96.887500000000003</v>
      </c>
      <c r="N286" s="2">
        <v>238</v>
      </c>
      <c r="O286" s="2">
        <v>95.993300000000005</v>
      </c>
      <c r="P286" s="2">
        <v>250</v>
      </c>
      <c r="Q286" s="2">
        <v>106.2414</v>
      </c>
      <c r="R286" s="2">
        <v>275</v>
      </c>
      <c r="S286" s="2">
        <v>109.51090000000001</v>
      </c>
      <c r="T286" s="2">
        <v>300</v>
      </c>
      <c r="U286" s="2">
        <v>0.18018799999999999</v>
      </c>
      <c r="V286" s="2">
        <v>285</v>
      </c>
      <c r="W286" s="2">
        <v>2002</v>
      </c>
    </row>
    <row r="287" spans="1:23" ht="12.3" hidden="1" x14ac:dyDescent="0.4">
      <c r="A287" s="2" t="s">
        <v>311</v>
      </c>
      <c r="B287" s="2"/>
      <c r="C287" s="2"/>
      <c r="D287" s="2"/>
      <c r="E287" s="2"/>
      <c r="F287" s="2"/>
      <c r="G287" s="2"/>
      <c r="H287" s="2"/>
      <c r="I287" s="2">
        <v>66.268100000000004</v>
      </c>
      <c r="J287" s="2">
        <v>275</v>
      </c>
      <c r="K287" s="2">
        <v>66.693700000000007</v>
      </c>
      <c r="L287" s="2">
        <v>266</v>
      </c>
      <c r="M287" s="2">
        <v>91.718000000000004</v>
      </c>
      <c r="N287" s="2">
        <v>302</v>
      </c>
      <c r="O287" s="2">
        <v>93.450100000000006</v>
      </c>
      <c r="P287" s="2">
        <v>284</v>
      </c>
      <c r="Q287" s="2">
        <v>107.6056</v>
      </c>
      <c r="R287" s="2">
        <v>294</v>
      </c>
      <c r="S287" s="2">
        <v>106.6481</v>
      </c>
      <c r="T287" s="2">
        <v>270</v>
      </c>
      <c r="U287" s="2">
        <v>0.17957600000000001</v>
      </c>
      <c r="V287" s="2">
        <v>286</v>
      </c>
      <c r="W287" s="2">
        <v>2002</v>
      </c>
    </row>
    <row r="288" spans="1:23" ht="12.3" hidden="1" x14ac:dyDescent="0.4">
      <c r="A288" s="2" t="s">
        <v>312</v>
      </c>
      <c r="B288" s="2"/>
      <c r="C288" s="2"/>
      <c r="D288" s="2"/>
      <c r="E288" s="2"/>
      <c r="F288" s="2"/>
      <c r="G288" s="2"/>
      <c r="H288" s="2"/>
      <c r="I288" s="2">
        <v>73.307400000000001</v>
      </c>
      <c r="J288" s="2">
        <v>50</v>
      </c>
      <c r="K288" s="2">
        <v>71.486500000000007</v>
      </c>
      <c r="L288" s="2">
        <v>92</v>
      </c>
      <c r="M288" s="2">
        <v>97.911699999999996</v>
      </c>
      <c r="N288" s="2">
        <v>219</v>
      </c>
      <c r="O288" s="2">
        <v>95.350499999999997</v>
      </c>
      <c r="P288" s="2">
        <v>258</v>
      </c>
      <c r="Q288" s="2">
        <v>105.07</v>
      </c>
      <c r="R288" s="2">
        <v>253</v>
      </c>
      <c r="S288" s="2">
        <v>108.8997</v>
      </c>
      <c r="T288" s="2">
        <v>295</v>
      </c>
      <c r="U288" s="2">
        <v>0.17829100000000001</v>
      </c>
      <c r="V288" s="2">
        <v>287</v>
      </c>
      <c r="W288" s="2">
        <v>2002</v>
      </c>
    </row>
    <row r="289" spans="1:23" ht="12.3" hidden="1" x14ac:dyDescent="0.4">
      <c r="A289" s="2" t="s">
        <v>313</v>
      </c>
      <c r="B289" s="2"/>
      <c r="C289" s="2"/>
      <c r="D289" s="2"/>
      <c r="E289" s="2"/>
      <c r="F289" s="2"/>
      <c r="G289" s="2"/>
      <c r="H289" s="2"/>
      <c r="I289" s="2">
        <v>70.883899999999997</v>
      </c>
      <c r="J289" s="2">
        <v>122</v>
      </c>
      <c r="K289" s="2">
        <v>70.309899999999999</v>
      </c>
      <c r="L289" s="2">
        <v>141</v>
      </c>
      <c r="M289" s="2">
        <v>95.553200000000004</v>
      </c>
      <c r="N289" s="2">
        <v>254</v>
      </c>
      <c r="O289" s="2">
        <v>93.7517</v>
      </c>
      <c r="P289" s="2">
        <v>282</v>
      </c>
      <c r="Q289" s="2">
        <v>102.6485</v>
      </c>
      <c r="R289" s="2">
        <v>202</v>
      </c>
      <c r="S289" s="2">
        <v>107.52290000000001</v>
      </c>
      <c r="T289" s="2">
        <v>279</v>
      </c>
      <c r="U289" s="2">
        <v>0.171346</v>
      </c>
      <c r="V289" s="2">
        <v>288</v>
      </c>
      <c r="W289" s="2">
        <v>2002</v>
      </c>
    </row>
    <row r="290" spans="1:23" ht="12.3" hidden="1" x14ac:dyDescent="0.4">
      <c r="A290" s="2" t="s">
        <v>314</v>
      </c>
      <c r="B290" s="2"/>
      <c r="C290" s="2"/>
      <c r="D290" s="2"/>
      <c r="E290" s="2"/>
      <c r="F290" s="2"/>
      <c r="G290" s="2"/>
      <c r="H290" s="2"/>
      <c r="I290" s="2">
        <v>68.796700000000001</v>
      </c>
      <c r="J290" s="2">
        <v>197</v>
      </c>
      <c r="K290" s="2">
        <v>69.657499999999999</v>
      </c>
      <c r="L290" s="2">
        <v>167</v>
      </c>
      <c r="M290" s="2">
        <v>95.403400000000005</v>
      </c>
      <c r="N290" s="2">
        <v>258</v>
      </c>
      <c r="O290" s="2">
        <v>93.807599999999994</v>
      </c>
      <c r="P290" s="2">
        <v>280</v>
      </c>
      <c r="Q290" s="2">
        <v>103.3389</v>
      </c>
      <c r="R290" s="2">
        <v>220</v>
      </c>
      <c r="S290" s="2">
        <v>107.8711</v>
      </c>
      <c r="T290" s="2">
        <v>286</v>
      </c>
      <c r="U290" s="2">
        <v>0.16708300000000001</v>
      </c>
      <c r="V290" s="2">
        <v>289</v>
      </c>
      <c r="W290" s="2">
        <v>2002</v>
      </c>
    </row>
    <row r="291" spans="1:23" ht="12.3" hidden="1" x14ac:dyDescent="0.4">
      <c r="A291" s="2" t="s">
        <v>315</v>
      </c>
      <c r="B291" s="2"/>
      <c r="C291" s="2"/>
      <c r="D291" s="2"/>
      <c r="E291" s="2"/>
      <c r="F291" s="2"/>
      <c r="G291" s="2"/>
      <c r="H291" s="2"/>
      <c r="I291" s="2">
        <v>68.614699999999999</v>
      </c>
      <c r="J291" s="2">
        <v>205</v>
      </c>
      <c r="K291" s="2">
        <v>68.998000000000005</v>
      </c>
      <c r="L291" s="2">
        <v>192</v>
      </c>
      <c r="M291" s="2">
        <v>94.204700000000003</v>
      </c>
      <c r="N291" s="2">
        <v>277</v>
      </c>
      <c r="O291" s="2">
        <v>92.557400000000001</v>
      </c>
      <c r="P291" s="2">
        <v>292</v>
      </c>
      <c r="Q291" s="2">
        <v>100.5801</v>
      </c>
      <c r="R291" s="2">
        <v>163</v>
      </c>
      <c r="S291" s="2">
        <v>106.5475</v>
      </c>
      <c r="T291" s="2">
        <v>268</v>
      </c>
      <c r="U291" s="2">
        <v>0.165376</v>
      </c>
      <c r="V291" s="2">
        <v>290</v>
      </c>
      <c r="W291" s="2">
        <v>2002</v>
      </c>
    </row>
    <row r="292" spans="1:23" ht="12.3" hidden="1" x14ac:dyDescent="0.4">
      <c r="A292" s="2" t="s">
        <v>316</v>
      </c>
      <c r="B292" s="2"/>
      <c r="C292" s="2"/>
      <c r="D292" s="2"/>
      <c r="E292" s="2"/>
      <c r="F292" s="2"/>
      <c r="G292" s="2"/>
      <c r="H292" s="2"/>
      <c r="I292" s="2">
        <v>74.467699999999994</v>
      </c>
      <c r="J292" s="2">
        <v>27</v>
      </c>
      <c r="K292" s="2">
        <v>72.9816</v>
      </c>
      <c r="L292" s="2">
        <v>52</v>
      </c>
      <c r="M292" s="2">
        <v>98.676500000000004</v>
      </c>
      <c r="N292" s="2">
        <v>203</v>
      </c>
      <c r="O292" s="2">
        <v>96.648700000000005</v>
      </c>
      <c r="P292" s="2">
        <v>239</v>
      </c>
      <c r="Q292" s="2">
        <v>105.0111</v>
      </c>
      <c r="R292" s="2">
        <v>251</v>
      </c>
      <c r="S292" s="2">
        <v>111.28959999999999</v>
      </c>
      <c r="T292" s="2">
        <v>310</v>
      </c>
      <c r="U292" s="2">
        <v>0.16491500000000001</v>
      </c>
      <c r="V292" s="2">
        <v>291</v>
      </c>
      <c r="W292" s="2">
        <v>2002</v>
      </c>
    </row>
    <row r="293" spans="1:23" ht="12.3" hidden="1" x14ac:dyDescent="0.4">
      <c r="A293" s="2" t="s">
        <v>317</v>
      </c>
      <c r="B293" s="2"/>
      <c r="C293" s="2"/>
      <c r="D293" s="2"/>
      <c r="E293" s="2"/>
      <c r="F293" s="2"/>
      <c r="G293" s="2"/>
      <c r="H293" s="2"/>
      <c r="I293" s="2">
        <v>67.864400000000003</v>
      </c>
      <c r="J293" s="2">
        <v>231</v>
      </c>
      <c r="K293" s="2">
        <v>68.969899999999996</v>
      </c>
      <c r="L293" s="2">
        <v>195</v>
      </c>
      <c r="M293" s="2">
        <v>93.3185</v>
      </c>
      <c r="N293" s="2">
        <v>287</v>
      </c>
      <c r="O293" s="2">
        <v>93.431200000000004</v>
      </c>
      <c r="P293" s="2">
        <v>285</v>
      </c>
      <c r="Q293" s="2">
        <v>110.6883</v>
      </c>
      <c r="R293" s="2">
        <v>312</v>
      </c>
      <c r="S293" s="2">
        <v>107.6114</v>
      </c>
      <c r="T293" s="2">
        <v>281</v>
      </c>
      <c r="U293" s="2">
        <v>0.164522</v>
      </c>
      <c r="V293" s="2">
        <v>292</v>
      </c>
      <c r="W293" s="2">
        <v>2002</v>
      </c>
    </row>
    <row r="294" spans="1:23" ht="12.3" hidden="1" x14ac:dyDescent="0.4">
      <c r="A294" s="2" t="s">
        <v>318</v>
      </c>
      <c r="B294" s="2"/>
      <c r="C294" s="2"/>
      <c r="D294" s="2"/>
      <c r="E294" s="2"/>
      <c r="F294" s="2"/>
      <c r="G294" s="2"/>
      <c r="H294" s="2"/>
      <c r="I294" s="2">
        <v>69.774500000000003</v>
      </c>
      <c r="J294" s="2">
        <v>171</v>
      </c>
      <c r="K294" s="2">
        <v>70.565600000000003</v>
      </c>
      <c r="L294" s="2">
        <v>128</v>
      </c>
      <c r="M294" s="2">
        <v>94.422600000000003</v>
      </c>
      <c r="N294" s="2">
        <v>274</v>
      </c>
      <c r="O294" s="2">
        <v>94.1023</v>
      </c>
      <c r="P294" s="2">
        <v>278</v>
      </c>
      <c r="Q294" s="2">
        <v>111.1203</v>
      </c>
      <c r="R294" s="2">
        <v>316</v>
      </c>
      <c r="S294" s="2">
        <v>108.7811</v>
      </c>
      <c r="T294" s="2">
        <v>293</v>
      </c>
      <c r="U294" s="2">
        <v>0.15882599999999999</v>
      </c>
      <c r="V294" s="2">
        <v>293</v>
      </c>
      <c r="W294" s="2">
        <v>2002</v>
      </c>
    </row>
    <row r="295" spans="1:23" ht="12.3" hidden="1" x14ac:dyDescent="0.4">
      <c r="A295" s="2" t="s">
        <v>319</v>
      </c>
      <c r="B295" s="2"/>
      <c r="C295" s="2"/>
      <c r="D295" s="2"/>
      <c r="E295" s="2"/>
      <c r="F295" s="2"/>
      <c r="G295" s="2"/>
      <c r="H295" s="2"/>
      <c r="I295" s="2">
        <v>69.298599999999993</v>
      </c>
      <c r="J295" s="2">
        <v>181</v>
      </c>
      <c r="K295" s="2">
        <v>69.861000000000004</v>
      </c>
      <c r="L295" s="2">
        <v>160</v>
      </c>
      <c r="M295" s="2">
        <v>100.011</v>
      </c>
      <c r="N295" s="2">
        <v>182</v>
      </c>
      <c r="O295" s="2">
        <v>99.6751</v>
      </c>
      <c r="P295" s="2">
        <v>188</v>
      </c>
      <c r="Q295" s="2">
        <v>115.0909</v>
      </c>
      <c r="R295" s="2">
        <v>325</v>
      </c>
      <c r="S295" s="2">
        <v>115.50279999999999</v>
      </c>
      <c r="T295" s="2">
        <v>325</v>
      </c>
      <c r="U295" s="2">
        <v>0.155138</v>
      </c>
      <c r="V295" s="2">
        <v>294</v>
      </c>
      <c r="W295" s="2">
        <v>2002</v>
      </c>
    </row>
    <row r="296" spans="1:23" ht="12.3" hidden="1" x14ac:dyDescent="0.4">
      <c r="A296" s="2" t="s">
        <v>320</v>
      </c>
      <c r="B296" s="2"/>
      <c r="C296" s="2"/>
      <c r="D296" s="2"/>
      <c r="E296" s="2"/>
      <c r="F296" s="2"/>
      <c r="G296" s="2"/>
      <c r="H296" s="2"/>
      <c r="I296" s="2">
        <v>72.238500000000002</v>
      </c>
      <c r="J296" s="2">
        <v>79</v>
      </c>
      <c r="K296" s="2">
        <v>71.941299999999998</v>
      </c>
      <c r="L296" s="2">
        <v>78</v>
      </c>
      <c r="M296" s="2">
        <v>92.9649</v>
      </c>
      <c r="N296" s="2">
        <v>291</v>
      </c>
      <c r="O296" s="2">
        <v>92.241500000000002</v>
      </c>
      <c r="P296" s="2">
        <v>296</v>
      </c>
      <c r="Q296" s="2">
        <v>102.6917</v>
      </c>
      <c r="R296" s="2">
        <v>203</v>
      </c>
      <c r="S296" s="2">
        <v>106.9695</v>
      </c>
      <c r="T296" s="2">
        <v>273</v>
      </c>
      <c r="U296" s="2">
        <v>0.154004</v>
      </c>
      <c r="V296" s="2">
        <v>295</v>
      </c>
      <c r="W296" s="2">
        <v>2002</v>
      </c>
    </row>
    <row r="297" spans="1:23" ht="12.3" hidden="1" x14ac:dyDescent="0.4">
      <c r="A297" s="2" t="s">
        <v>321</v>
      </c>
      <c r="B297" s="2"/>
      <c r="C297" s="2"/>
      <c r="D297" s="2"/>
      <c r="E297" s="2"/>
      <c r="F297" s="2"/>
      <c r="G297" s="2"/>
      <c r="H297" s="2"/>
      <c r="I297" s="2">
        <v>65.935500000000005</v>
      </c>
      <c r="J297" s="2">
        <v>279</v>
      </c>
      <c r="K297" s="2">
        <v>66.081000000000003</v>
      </c>
      <c r="L297" s="2">
        <v>283</v>
      </c>
      <c r="M297" s="2">
        <v>98.221999999999994</v>
      </c>
      <c r="N297" s="2">
        <v>208</v>
      </c>
      <c r="O297" s="2">
        <v>97.818200000000004</v>
      </c>
      <c r="P297" s="2">
        <v>216</v>
      </c>
      <c r="Q297" s="2">
        <v>107.9024</v>
      </c>
      <c r="R297" s="2">
        <v>299</v>
      </c>
      <c r="S297" s="2">
        <v>113.5223</v>
      </c>
      <c r="T297" s="2">
        <v>322</v>
      </c>
      <c r="U297" s="2">
        <v>0.15287600000000001</v>
      </c>
      <c r="V297" s="2">
        <v>296</v>
      </c>
      <c r="W297" s="2">
        <v>2002</v>
      </c>
    </row>
    <row r="298" spans="1:23" ht="12.3" hidden="1" x14ac:dyDescent="0.4">
      <c r="A298" s="2" t="s">
        <v>322</v>
      </c>
      <c r="B298" s="2"/>
      <c r="C298" s="2"/>
      <c r="D298" s="2"/>
      <c r="E298" s="2"/>
      <c r="F298" s="2"/>
      <c r="G298" s="2"/>
      <c r="H298" s="2"/>
      <c r="I298" s="2">
        <v>74.9893</v>
      </c>
      <c r="J298" s="2">
        <v>23</v>
      </c>
      <c r="K298" s="2">
        <v>76.087699999999998</v>
      </c>
      <c r="L298" s="2">
        <v>8</v>
      </c>
      <c r="M298" s="2">
        <v>94.718100000000007</v>
      </c>
      <c r="N298" s="2">
        <v>269</v>
      </c>
      <c r="O298" s="2">
        <v>94.842699999999994</v>
      </c>
      <c r="P298" s="2">
        <v>269</v>
      </c>
      <c r="Q298" s="2">
        <v>109.98</v>
      </c>
      <c r="R298" s="2">
        <v>311</v>
      </c>
      <c r="S298" s="2">
        <v>110.39230000000001</v>
      </c>
      <c r="T298" s="2">
        <v>305</v>
      </c>
      <c r="U298" s="2">
        <v>0.14856</v>
      </c>
      <c r="V298" s="2">
        <v>297</v>
      </c>
      <c r="W298" s="2">
        <v>2002</v>
      </c>
    </row>
    <row r="299" spans="1:23" ht="12.3" hidden="1" x14ac:dyDescent="0.4">
      <c r="A299" s="2" t="s">
        <v>323</v>
      </c>
      <c r="B299" s="2"/>
      <c r="C299" s="2"/>
      <c r="D299" s="2"/>
      <c r="E299" s="2"/>
      <c r="F299" s="2"/>
      <c r="G299" s="2"/>
      <c r="H299" s="2"/>
      <c r="I299" s="2">
        <v>64.441800000000001</v>
      </c>
      <c r="J299" s="2">
        <v>305</v>
      </c>
      <c r="K299" s="2">
        <v>64.352800000000002</v>
      </c>
      <c r="L299" s="2">
        <v>306</v>
      </c>
      <c r="M299" s="2">
        <v>95.096500000000006</v>
      </c>
      <c r="N299" s="2">
        <v>261</v>
      </c>
      <c r="O299" s="2">
        <v>92.841899999999995</v>
      </c>
      <c r="P299" s="2">
        <v>290</v>
      </c>
      <c r="Q299" s="2">
        <v>100.3158</v>
      </c>
      <c r="R299" s="2">
        <v>151</v>
      </c>
      <c r="S299" s="2">
        <v>108.1842</v>
      </c>
      <c r="T299" s="2">
        <v>289</v>
      </c>
      <c r="U299" s="2">
        <v>0.14694399999999999</v>
      </c>
      <c r="V299" s="2">
        <v>298</v>
      </c>
      <c r="W299" s="2">
        <v>2002</v>
      </c>
    </row>
    <row r="300" spans="1:23" ht="12.3" hidden="1" x14ac:dyDescent="0.4">
      <c r="A300" s="2" t="s">
        <v>324</v>
      </c>
      <c r="B300" s="2"/>
      <c r="C300" s="2"/>
      <c r="D300" s="2"/>
      <c r="E300" s="2"/>
      <c r="F300" s="2"/>
      <c r="G300" s="2"/>
      <c r="H300" s="2"/>
      <c r="I300" s="2">
        <v>73.951999999999998</v>
      </c>
      <c r="J300" s="2">
        <v>35</v>
      </c>
      <c r="K300" s="2">
        <v>71.950599999999994</v>
      </c>
      <c r="L300" s="2">
        <v>77</v>
      </c>
      <c r="M300" s="2">
        <v>93.546899999999994</v>
      </c>
      <c r="N300" s="2">
        <v>285</v>
      </c>
      <c r="O300" s="2">
        <v>92.190299999999993</v>
      </c>
      <c r="P300" s="2">
        <v>297</v>
      </c>
      <c r="Q300" s="2">
        <v>108.3959</v>
      </c>
      <c r="R300" s="2">
        <v>304</v>
      </c>
      <c r="S300" s="2">
        <v>107.4594</v>
      </c>
      <c r="T300" s="2">
        <v>278</v>
      </c>
      <c r="U300" s="2">
        <v>0.146482</v>
      </c>
      <c r="V300" s="2">
        <v>299</v>
      </c>
      <c r="W300" s="2">
        <v>2002</v>
      </c>
    </row>
    <row r="301" spans="1:23" ht="12.3" hidden="1" x14ac:dyDescent="0.4">
      <c r="A301" s="2" t="s">
        <v>325</v>
      </c>
      <c r="B301" s="2"/>
      <c r="C301" s="2"/>
      <c r="D301" s="2"/>
      <c r="E301" s="2"/>
      <c r="F301" s="2"/>
      <c r="G301" s="2"/>
      <c r="H301" s="2"/>
      <c r="I301" s="2">
        <v>72.344300000000004</v>
      </c>
      <c r="J301" s="2">
        <v>77</v>
      </c>
      <c r="K301" s="2">
        <v>69.219399999999993</v>
      </c>
      <c r="L301" s="2">
        <v>183</v>
      </c>
      <c r="M301" s="2">
        <v>95.513999999999996</v>
      </c>
      <c r="N301" s="2">
        <v>255</v>
      </c>
      <c r="O301" s="2">
        <v>95.233800000000002</v>
      </c>
      <c r="P301" s="2">
        <v>264</v>
      </c>
      <c r="Q301" s="2">
        <v>107.8335</v>
      </c>
      <c r="R301" s="2">
        <v>295</v>
      </c>
      <c r="S301" s="2">
        <v>111.1358</v>
      </c>
      <c r="T301" s="2">
        <v>309</v>
      </c>
      <c r="U301" s="2">
        <v>0.14482200000000001</v>
      </c>
      <c r="V301" s="2">
        <v>300</v>
      </c>
      <c r="W301" s="2">
        <v>2002</v>
      </c>
    </row>
    <row r="302" spans="1:23" ht="12.3" hidden="1" x14ac:dyDescent="0.4">
      <c r="A302" s="2" t="s">
        <v>326</v>
      </c>
      <c r="B302" s="2"/>
      <c r="C302" s="2"/>
      <c r="D302" s="2"/>
      <c r="E302" s="2"/>
      <c r="F302" s="2"/>
      <c r="G302" s="2"/>
      <c r="H302" s="2"/>
      <c r="I302" s="2">
        <v>70.606200000000001</v>
      </c>
      <c r="J302" s="2">
        <v>132</v>
      </c>
      <c r="K302" s="2">
        <v>72.246799999999993</v>
      </c>
      <c r="L302" s="2">
        <v>68</v>
      </c>
      <c r="M302" s="2">
        <v>92.327200000000005</v>
      </c>
      <c r="N302" s="2">
        <v>297</v>
      </c>
      <c r="O302" s="2">
        <v>91.793099999999995</v>
      </c>
      <c r="P302" s="2">
        <v>300</v>
      </c>
      <c r="Q302" s="2">
        <v>103.1198</v>
      </c>
      <c r="R302" s="2">
        <v>217</v>
      </c>
      <c r="S302" s="2">
        <v>107.1679</v>
      </c>
      <c r="T302" s="2">
        <v>276</v>
      </c>
      <c r="U302" s="2">
        <v>0.14419299999999999</v>
      </c>
      <c r="V302" s="2">
        <v>301</v>
      </c>
      <c r="W302" s="2">
        <v>2002</v>
      </c>
    </row>
    <row r="303" spans="1:23" ht="12.3" hidden="1" x14ac:dyDescent="0.4">
      <c r="A303" s="2" t="s">
        <v>327</v>
      </c>
      <c r="B303" s="2"/>
      <c r="C303" s="2"/>
      <c r="D303" s="2"/>
      <c r="E303" s="2"/>
      <c r="F303" s="2"/>
      <c r="G303" s="2"/>
      <c r="H303" s="2"/>
      <c r="I303" s="2">
        <v>62.2089</v>
      </c>
      <c r="J303" s="2">
        <v>320</v>
      </c>
      <c r="K303" s="2">
        <v>64.313900000000004</v>
      </c>
      <c r="L303" s="2">
        <v>307</v>
      </c>
      <c r="M303" s="2">
        <v>99.056700000000006</v>
      </c>
      <c r="N303" s="2">
        <v>196</v>
      </c>
      <c r="O303" s="2">
        <v>98.768199999999993</v>
      </c>
      <c r="P303" s="2">
        <v>203</v>
      </c>
      <c r="Q303" s="2">
        <v>112.0878</v>
      </c>
      <c r="R303" s="2">
        <v>322</v>
      </c>
      <c r="S303" s="2">
        <v>115.524</v>
      </c>
      <c r="T303" s="2">
        <v>326</v>
      </c>
      <c r="U303" s="2">
        <v>0.141598</v>
      </c>
      <c r="V303" s="2">
        <v>302</v>
      </c>
      <c r="W303" s="2">
        <v>2002</v>
      </c>
    </row>
    <row r="304" spans="1:23" ht="12.3" hidden="1" x14ac:dyDescent="0.4">
      <c r="A304" s="2" t="s">
        <v>328</v>
      </c>
      <c r="B304" s="2"/>
      <c r="C304" s="2"/>
      <c r="D304" s="2"/>
      <c r="E304" s="2"/>
      <c r="F304" s="2"/>
      <c r="G304" s="2"/>
      <c r="H304" s="2"/>
      <c r="I304" s="2">
        <v>62.961599999999997</v>
      </c>
      <c r="J304" s="2">
        <v>314</v>
      </c>
      <c r="K304" s="2">
        <v>62.156399999999998</v>
      </c>
      <c r="L304" s="2">
        <v>320</v>
      </c>
      <c r="M304" s="2">
        <v>88.481200000000001</v>
      </c>
      <c r="N304" s="2">
        <v>316</v>
      </c>
      <c r="O304" s="2">
        <v>88.547499999999999</v>
      </c>
      <c r="P304" s="2">
        <v>315</v>
      </c>
      <c r="Q304" s="2">
        <v>99.923000000000002</v>
      </c>
      <c r="R304" s="2">
        <v>144</v>
      </c>
      <c r="S304" s="2">
        <v>103.8167</v>
      </c>
      <c r="T304" s="2">
        <v>225</v>
      </c>
      <c r="U304" s="2">
        <v>0.138297</v>
      </c>
      <c r="V304" s="2">
        <v>303</v>
      </c>
      <c r="W304" s="2">
        <v>2002</v>
      </c>
    </row>
    <row r="305" spans="1:23" ht="12.3" hidden="1" x14ac:dyDescent="0.4">
      <c r="A305" s="2" t="s">
        <v>329</v>
      </c>
      <c r="B305" s="2"/>
      <c r="C305" s="2"/>
      <c r="D305" s="2"/>
      <c r="E305" s="2"/>
      <c r="F305" s="2"/>
      <c r="G305" s="2"/>
      <c r="H305" s="2"/>
      <c r="I305" s="2">
        <v>78.477099999999993</v>
      </c>
      <c r="J305" s="2">
        <v>6</v>
      </c>
      <c r="K305" s="2">
        <v>75.910700000000006</v>
      </c>
      <c r="L305" s="2">
        <v>10</v>
      </c>
      <c r="M305" s="2">
        <v>98.725499999999997</v>
      </c>
      <c r="N305" s="2">
        <v>200</v>
      </c>
      <c r="O305" s="2">
        <v>96.051900000000003</v>
      </c>
      <c r="P305" s="2">
        <v>249</v>
      </c>
      <c r="Q305" s="2">
        <v>110.9517</v>
      </c>
      <c r="R305" s="2">
        <v>314</v>
      </c>
      <c r="S305" s="2">
        <v>112.7165</v>
      </c>
      <c r="T305" s="2">
        <v>321</v>
      </c>
      <c r="U305" s="2">
        <v>0.137069</v>
      </c>
      <c r="V305" s="2">
        <v>304</v>
      </c>
      <c r="W305" s="2">
        <v>2002</v>
      </c>
    </row>
    <row r="306" spans="1:23" ht="12.3" hidden="1" x14ac:dyDescent="0.4">
      <c r="A306" s="2" t="s">
        <v>330</v>
      </c>
      <c r="B306" s="2"/>
      <c r="C306" s="2"/>
      <c r="D306" s="2"/>
      <c r="E306" s="2"/>
      <c r="F306" s="2"/>
      <c r="G306" s="2"/>
      <c r="H306" s="2"/>
      <c r="I306" s="2">
        <v>69.673599999999993</v>
      </c>
      <c r="J306" s="2">
        <v>174</v>
      </c>
      <c r="K306" s="2">
        <v>68.931200000000004</v>
      </c>
      <c r="L306" s="2">
        <v>196</v>
      </c>
      <c r="M306" s="2">
        <v>95.559700000000007</v>
      </c>
      <c r="N306" s="2">
        <v>253</v>
      </c>
      <c r="O306" s="2">
        <v>95.453199999999995</v>
      </c>
      <c r="P306" s="2">
        <v>255</v>
      </c>
      <c r="Q306" s="2">
        <v>106.33459999999999</v>
      </c>
      <c r="R306" s="2">
        <v>277</v>
      </c>
      <c r="S306" s="2">
        <v>112.657</v>
      </c>
      <c r="T306" s="2">
        <v>320</v>
      </c>
      <c r="U306" s="2">
        <v>0.129465</v>
      </c>
      <c r="V306" s="2">
        <v>305</v>
      </c>
      <c r="W306" s="2">
        <v>2002</v>
      </c>
    </row>
    <row r="307" spans="1:23" ht="12.3" hidden="1" x14ac:dyDescent="0.4">
      <c r="A307" s="2" t="s">
        <v>331</v>
      </c>
      <c r="B307" s="2"/>
      <c r="C307" s="2"/>
      <c r="D307" s="2"/>
      <c r="E307" s="2"/>
      <c r="F307" s="2"/>
      <c r="G307" s="2"/>
      <c r="H307" s="2"/>
      <c r="I307" s="2">
        <v>68.546099999999996</v>
      </c>
      <c r="J307" s="2">
        <v>209</v>
      </c>
      <c r="K307" s="2">
        <v>69.322599999999994</v>
      </c>
      <c r="L307" s="2">
        <v>177</v>
      </c>
      <c r="M307" s="2">
        <v>94.823999999999998</v>
      </c>
      <c r="N307" s="2">
        <v>267</v>
      </c>
      <c r="O307" s="2">
        <v>95.26</v>
      </c>
      <c r="P307" s="2">
        <v>263</v>
      </c>
      <c r="Q307" s="2">
        <v>115.2444</v>
      </c>
      <c r="R307" s="2">
        <v>326</v>
      </c>
      <c r="S307" s="2">
        <v>112.54900000000001</v>
      </c>
      <c r="T307" s="2">
        <v>317</v>
      </c>
      <c r="U307" s="2">
        <v>0.12808900000000001</v>
      </c>
      <c r="V307" s="2">
        <v>306</v>
      </c>
      <c r="W307" s="2">
        <v>2002</v>
      </c>
    </row>
    <row r="308" spans="1:23" ht="12.3" hidden="1" x14ac:dyDescent="0.4">
      <c r="A308" s="2" t="s">
        <v>332</v>
      </c>
      <c r="B308" s="2"/>
      <c r="C308" s="2"/>
      <c r="D308" s="2"/>
      <c r="E308" s="2"/>
      <c r="F308" s="2"/>
      <c r="G308" s="2"/>
      <c r="H308" s="2"/>
      <c r="I308" s="2">
        <v>67.883300000000006</v>
      </c>
      <c r="J308" s="2">
        <v>230</v>
      </c>
      <c r="K308" s="2">
        <v>67.034899999999993</v>
      </c>
      <c r="L308" s="2">
        <v>251</v>
      </c>
      <c r="M308" s="2">
        <v>92.55</v>
      </c>
      <c r="N308" s="2">
        <v>295</v>
      </c>
      <c r="O308" s="2">
        <v>87.659599999999998</v>
      </c>
      <c r="P308" s="2">
        <v>317</v>
      </c>
      <c r="Q308" s="2">
        <v>102.47539999999999</v>
      </c>
      <c r="R308" s="2">
        <v>197</v>
      </c>
      <c r="S308" s="2">
        <v>103.8107</v>
      </c>
      <c r="T308" s="2">
        <v>224</v>
      </c>
      <c r="U308" s="2">
        <v>0.12512799999999999</v>
      </c>
      <c r="V308" s="2">
        <v>307</v>
      </c>
      <c r="W308" s="2">
        <v>2002</v>
      </c>
    </row>
    <row r="309" spans="1:23" ht="12.3" hidden="1" x14ac:dyDescent="0.4">
      <c r="A309" s="2" t="s">
        <v>333</v>
      </c>
      <c r="B309" s="2"/>
      <c r="C309" s="2"/>
      <c r="D309" s="2"/>
      <c r="E309" s="2"/>
      <c r="F309" s="2"/>
      <c r="G309" s="2"/>
      <c r="H309" s="2"/>
      <c r="I309" s="2">
        <v>64.805999999999997</v>
      </c>
      <c r="J309" s="2">
        <v>299</v>
      </c>
      <c r="K309" s="2">
        <v>66.610799999999998</v>
      </c>
      <c r="L309" s="2">
        <v>268</v>
      </c>
      <c r="M309" s="2">
        <v>87.048000000000002</v>
      </c>
      <c r="N309" s="2">
        <v>319</v>
      </c>
      <c r="O309" s="2">
        <v>87.985799999999998</v>
      </c>
      <c r="P309" s="2">
        <v>316</v>
      </c>
      <c r="Q309" s="2">
        <v>103.4393</v>
      </c>
      <c r="R309" s="2">
        <v>221</v>
      </c>
      <c r="S309" s="2">
        <v>104.523</v>
      </c>
      <c r="T309" s="2">
        <v>242</v>
      </c>
      <c r="U309" s="2">
        <v>0.121249</v>
      </c>
      <c r="V309" s="2">
        <v>308</v>
      </c>
      <c r="W309" s="2">
        <v>2002</v>
      </c>
    </row>
    <row r="310" spans="1:23" ht="12.3" hidden="1" x14ac:dyDescent="0.4">
      <c r="A310" s="2" t="s">
        <v>334</v>
      </c>
      <c r="B310" s="2"/>
      <c r="C310" s="2"/>
      <c r="D310" s="2"/>
      <c r="E310" s="2"/>
      <c r="F310" s="2"/>
      <c r="G310" s="2"/>
      <c r="H310" s="2"/>
      <c r="I310" s="2">
        <v>73.942400000000006</v>
      </c>
      <c r="J310" s="2">
        <v>37</v>
      </c>
      <c r="K310" s="2">
        <v>73.726799999999997</v>
      </c>
      <c r="L310" s="2">
        <v>41</v>
      </c>
      <c r="M310" s="2">
        <v>94.119</v>
      </c>
      <c r="N310" s="2">
        <v>278</v>
      </c>
      <c r="O310" s="2">
        <v>95.285200000000003</v>
      </c>
      <c r="P310" s="2">
        <v>260</v>
      </c>
      <c r="Q310" s="2">
        <v>105.8978</v>
      </c>
      <c r="R310" s="2">
        <v>272</v>
      </c>
      <c r="S310" s="2">
        <v>113.7471</v>
      </c>
      <c r="T310" s="2">
        <v>323</v>
      </c>
      <c r="U310" s="2">
        <v>0.11540499999999999</v>
      </c>
      <c r="V310" s="2">
        <v>309</v>
      </c>
      <c r="W310" s="2">
        <v>2002</v>
      </c>
    </row>
    <row r="311" spans="1:23" ht="12.3" hidden="1" x14ac:dyDescent="0.4">
      <c r="A311" s="2" t="s">
        <v>335</v>
      </c>
      <c r="B311" s="2"/>
      <c r="C311" s="2"/>
      <c r="D311" s="2"/>
      <c r="E311" s="2"/>
      <c r="F311" s="2"/>
      <c r="G311" s="2"/>
      <c r="H311" s="2"/>
      <c r="I311" s="2">
        <v>72.748699999999999</v>
      </c>
      <c r="J311" s="2">
        <v>64</v>
      </c>
      <c r="K311" s="2">
        <v>72.876999999999995</v>
      </c>
      <c r="L311" s="2">
        <v>56</v>
      </c>
      <c r="M311" s="2">
        <v>89.643799999999999</v>
      </c>
      <c r="N311" s="2">
        <v>311</v>
      </c>
      <c r="O311" s="2">
        <v>91.902600000000007</v>
      </c>
      <c r="P311" s="2">
        <v>298</v>
      </c>
      <c r="Q311" s="2">
        <v>106.7514</v>
      </c>
      <c r="R311" s="2">
        <v>282</v>
      </c>
      <c r="S311" s="2">
        <v>110.0425</v>
      </c>
      <c r="T311" s="2">
        <v>303</v>
      </c>
      <c r="U311" s="2">
        <v>0.11189</v>
      </c>
      <c r="V311" s="2">
        <v>310</v>
      </c>
      <c r="W311" s="2">
        <v>2002</v>
      </c>
    </row>
    <row r="312" spans="1:23" ht="12.3" hidden="1" x14ac:dyDescent="0.4">
      <c r="A312" s="2" t="s">
        <v>336</v>
      </c>
      <c r="B312" s="2"/>
      <c r="C312" s="2"/>
      <c r="D312" s="2"/>
      <c r="E312" s="2"/>
      <c r="F312" s="2"/>
      <c r="G312" s="2"/>
      <c r="H312" s="2"/>
      <c r="I312" s="2">
        <v>67.682400000000001</v>
      </c>
      <c r="J312" s="2">
        <v>234</v>
      </c>
      <c r="K312" s="2">
        <v>67.458600000000004</v>
      </c>
      <c r="L312" s="2">
        <v>240</v>
      </c>
      <c r="M312" s="2">
        <v>90.098500000000001</v>
      </c>
      <c r="N312" s="2">
        <v>309</v>
      </c>
      <c r="O312" s="2">
        <v>90.915099999999995</v>
      </c>
      <c r="P312" s="2">
        <v>305</v>
      </c>
      <c r="Q312" s="2">
        <v>104.47450000000001</v>
      </c>
      <c r="R312" s="2">
        <v>245</v>
      </c>
      <c r="S312" s="2">
        <v>108.9207</v>
      </c>
      <c r="T312" s="2">
        <v>296</v>
      </c>
      <c r="U312" s="2">
        <v>0.11125500000000001</v>
      </c>
      <c r="V312" s="2">
        <v>311</v>
      </c>
      <c r="W312" s="2">
        <v>2002</v>
      </c>
    </row>
    <row r="313" spans="1:23" ht="12.3" hidden="1" x14ac:dyDescent="0.4">
      <c r="A313" s="2" t="s">
        <v>337</v>
      </c>
      <c r="B313" s="2"/>
      <c r="C313" s="2"/>
      <c r="D313" s="2"/>
      <c r="E313" s="2"/>
      <c r="F313" s="2"/>
      <c r="G313" s="2"/>
      <c r="H313" s="2"/>
      <c r="I313" s="2">
        <v>72.572500000000005</v>
      </c>
      <c r="J313" s="2">
        <v>67</v>
      </c>
      <c r="K313" s="2">
        <v>70.903099999999995</v>
      </c>
      <c r="L313" s="2">
        <v>117</v>
      </c>
      <c r="M313" s="2">
        <v>92.676500000000004</v>
      </c>
      <c r="N313" s="2">
        <v>293</v>
      </c>
      <c r="O313" s="2">
        <v>92.554599999999994</v>
      </c>
      <c r="P313" s="2">
        <v>293</v>
      </c>
      <c r="Q313" s="2">
        <v>108.18129999999999</v>
      </c>
      <c r="R313" s="2">
        <v>301</v>
      </c>
      <c r="S313" s="2">
        <v>111.1061</v>
      </c>
      <c r="T313" s="2">
        <v>308</v>
      </c>
      <c r="U313" s="2">
        <v>0.10901</v>
      </c>
      <c r="V313" s="2">
        <v>312</v>
      </c>
      <c r="W313" s="2">
        <v>2002</v>
      </c>
    </row>
    <row r="314" spans="1:23" ht="12.3" hidden="1" x14ac:dyDescent="0.4">
      <c r="A314" s="2" t="s">
        <v>338</v>
      </c>
      <c r="B314" s="2"/>
      <c r="C314" s="2"/>
      <c r="D314" s="2"/>
      <c r="E314" s="2"/>
      <c r="F314" s="2"/>
      <c r="G314" s="2"/>
      <c r="H314" s="2"/>
      <c r="I314" s="2">
        <v>77.053200000000004</v>
      </c>
      <c r="J314" s="2">
        <v>9</v>
      </c>
      <c r="K314" s="2">
        <v>74.121200000000002</v>
      </c>
      <c r="L314" s="2">
        <v>29</v>
      </c>
      <c r="M314" s="2">
        <v>96.973600000000005</v>
      </c>
      <c r="N314" s="2">
        <v>237</v>
      </c>
      <c r="O314" s="2">
        <v>93.706400000000002</v>
      </c>
      <c r="P314" s="2">
        <v>283</v>
      </c>
      <c r="Q314" s="2">
        <v>109.0093</v>
      </c>
      <c r="R314" s="2">
        <v>309</v>
      </c>
      <c r="S314" s="2">
        <v>112.55719999999999</v>
      </c>
      <c r="T314" s="2">
        <v>318</v>
      </c>
      <c r="U314" s="2">
        <v>0.108332</v>
      </c>
      <c r="V314" s="2">
        <v>313</v>
      </c>
      <c r="W314" s="2">
        <v>2002</v>
      </c>
    </row>
    <row r="315" spans="1:23" ht="12.3" hidden="1" x14ac:dyDescent="0.4">
      <c r="A315" s="2" t="s">
        <v>339</v>
      </c>
      <c r="B315" s="2"/>
      <c r="C315" s="2"/>
      <c r="D315" s="2"/>
      <c r="E315" s="2"/>
      <c r="F315" s="2"/>
      <c r="G315" s="2"/>
      <c r="H315" s="2"/>
      <c r="I315" s="2">
        <v>63.727699999999999</v>
      </c>
      <c r="J315" s="2">
        <v>311</v>
      </c>
      <c r="K315" s="2">
        <v>64.312700000000007</v>
      </c>
      <c r="L315" s="2">
        <v>308</v>
      </c>
      <c r="M315" s="2">
        <v>88.9679</v>
      </c>
      <c r="N315" s="2">
        <v>315</v>
      </c>
      <c r="O315" s="2">
        <v>85.784400000000005</v>
      </c>
      <c r="P315" s="2">
        <v>322</v>
      </c>
      <c r="Q315" s="2">
        <v>101.1339</v>
      </c>
      <c r="R315" s="2">
        <v>172</v>
      </c>
      <c r="S315" s="2">
        <v>103.26260000000001</v>
      </c>
      <c r="T315" s="2">
        <v>212</v>
      </c>
      <c r="U315" s="2">
        <v>0.105974</v>
      </c>
      <c r="V315" s="2">
        <v>314</v>
      </c>
      <c r="W315" s="2">
        <v>2002</v>
      </c>
    </row>
    <row r="316" spans="1:23" ht="12.3" hidden="1" x14ac:dyDescent="0.4">
      <c r="A316" s="2" t="s">
        <v>340</v>
      </c>
      <c r="B316" s="2"/>
      <c r="C316" s="2"/>
      <c r="D316" s="2"/>
      <c r="E316" s="2"/>
      <c r="F316" s="2"/>
      <c r="G316" s="2"/>
      <c r="H316" s="2"/>
      <c r="I316" s="2">
        <v>67.756900000000002</v>
      </c>
      <c r="J316" s="2">
        <v>233</v>
      </c>
      <c r="K316" s="2">
        <v>67.303200000000004</v>
      </c>
      <c r="L316" s="2">
        <v>244</v>
      </c>
      <c r="M316" s="2">
        <v>85.175399999999996</v>
      </c>
      <c r="N316" s="2">
        <v>323</v>
      </c>
      <c r="O316" s="2">
        <v>86.308300000000003</v>
      </c>
      <c r="P316" s="2">
        <v>321</v>
      </c>
      <c r="Q316" s="2">
        <v>101.4567</v>
      </c>
      <c r="R316" s="2">
        <v>177</v>
      </c>
      <c r="S316" s="2">
        <v>104.3236</v>
      </c>
      <c r="T316" s="2">
        <v>238</v>
      </c>
      <c r="U316" s="2">
        <v>0.10155400000000001</v>
      </c>
      <c r="V316" s="2">
        <v>315</v>
      </c>
      <c r="W316" s="2">
        <v>2002</v>
      </c>
    </row>
    <row r="317" spans="1:23" ht="12.3" hidden="1" x14ac:dyDescent="0.4">
      <c r="A317" s="2" t="s">
        <v>341</v>
      </c>
      <c r="B317" s="2"/>
      <c r="C317" s="2"/>
      <c r="D317" s="2"/>
      <c r="E317" s="2"/>
      <c r="F317" s="2"/>
      <c r="G317" s="2"/>
      <c r="H317" s="2"/>
      <c r="I317" s="2">
        <v>65.873500000000007</v>
      </c>
      <c r="J317" s="2">
        <v>280</v>
      </c>
      <c r="K317" s="2">
        <v>66.083500000000001</v>
      </c>
      <c r="L317" s="2">
        <v>282</v>
      </c>
      <c r="M317" s="2">
        <v>87.716399999999993</v>
      </c>
      <c r="N317" s="2">
        <v>317</v>
      </c>
      <c r="O317" s="2">
        <v>86.772000000000006</v>
      </c>
      <c r="P317" s="2">
        <v>319</v>
      </c>
      <c r="Q317" s="2">
        <v>104.0474</v>
      </c>
      <c r="R317" s="2">
        <v>236</v>
      </c>
      <c r="S317" s="2">
        <v>104.9783</v>
      </c>
      <c r="T317" s="2">
        <v>246</v>
      </c>
      <c r="U317" s="2">
        <v>0.100616</v>
      </c>
      <c r="V317" s="2">
        <v>316</v>
      </c>
      <c r="W317" s="2">
        <v>2002</v>
      </c>
    </row>
    <row r="318" spans="1:23" ht="12.3" hidden="1" x14ac:dyDescent="0.4">
      <c r="A318" s="2" t="s">
        <v>342</v>
      </c>
      <c r="B318" s="2"/>
      <c r="C318" s="2"/>
      <c r="D318" s="2"/>
      <c r="E318" s="2"/>
      <c r="F318" s="2"/>
      <c r="G318" s="2"/>
      <c r="H318" s="2"/>
      <c r="I318" s="2">
        <v>78.410200000000003</v>
      </c>
      <c r="J318" s="2">
        <v>7</v>
      </c>
      <c r="K318" s="2">
        <v>75.371700000000004</v>
      </c>
      <c r="L318" s="2">
        <v>13</v>
      </c>
      <c r="M318" s="2">
        <v>91.093999999999994</v>
      </c>
      <c r="N318" s="2">
        <v>305</v>
      </c>
      <c r="O318" s="2">
        <v>90.038600000000002</v>
      </c>
      <c r="P318" s="2">
        <v>307</v>
      </c>
      <c r="Q318" s="2">
        <v>107.2715</v>
      </c>
      <c r="R318" s="2">
        <v>291</v>
      </c>
      <c r="S318" s="2">
        <v>109.837</v>
      </c>
      <c r="T318" s="2">
        <v>302</v>
      </c>
      <c r="U318" s="2">
        <v>9.2311000000000004E-2</v>
      </c>
      <c r="V318" s="2">
        <v>317</v>
      </c>
      <c r="W318" s="2">
        <v>2002</v>
      </c>
    </row>
    <row r="319" spans="1:23" ht="12.3" hidden="1" x14ac:dyDescent="0.4">
      <c r="A319" s="2" t="s">
        <v>343</v>
      </c>
      <c r="B319" s="2"/>
      <c r="C319" s="2"/>
      <c r="D319" s="2"/>
      <c r="E319" s="2"/>
      <c r="F319" s="2"/>
      <c r="G319" s="2"/>
      <c r="H319" s="2"/>
      <c r="I319" s="2">
        <v>76.616299999999995</v>
      </c>
      <c r="J319" s="2">
        <v>11</v>
      </c>
      <c r="K319" s="2">
        <v>76.215100000000007</v>
      </c>
      <c r="L319" s="2">
        <v>6</v>
      </c>
      <c r="M319" s="2">
        <v>97.4024</v>
      </c>
      <c r="N319" s="2">
        <v>231</v>
      </c>
      <c r="O319" s="2">
        <v>97.322100000000006</v>
      </c>
      <c r="P319" s="2">
        <v>223</v>
      </c>
      <c r="Q319" s="2">
        <v>117.6724</v>
      </c>
      <c r="R319" s="2">
        <v>327</v>
      </c>
      <c r="S319" s="2">
        <v>119.28740000000001</v>
      </c>
      <c r="T319" s="2">
        <v>327</v>
      </c>
      <c r="U319" s="2">
        <v>8.7834999999999996E-2</v>
      </c>
      <c r="V319" s="2">
        <v>318</v>
      </c>
      <c r="W319" s="2">
        <v>2002</v>
      </c>
    </row>
    <row r="320" spans="1:23" ht="12.3" hidden="1" x14ac:dyDescent="0.4">
      <c r="A320" s="2" t="s">
        <v>344</v>
      </c>
      <c r="B320" s="2"/>
      <c r="C320" s="2"/>
      <c r="D320" s="2"/>
      <c r="E320" s="2"/>
      <c r="F320" s="2"/>
      <c r="G320" s="2"/>
      <c r="H320" s="2"/>
      <c r="I320" s="2">
        <v>72.514899999999997</v>
      </c>
      <c r="J320" s="2">
        <v>70</v>
      </c>
      <c r="K320" s="2">
        <v>72.197999999999993</v>
      </c>
      <c r="L320" s="2">
        <v>70</v>
      </c>
      <c r="M320" s="2">
        <v>95.419499999999999</v>
      </c>
      <c r="N320" s="2">
        <v>257</v>
      </c>
      <c r="O320" s="2">
        <v>93.163300000000007</v>
      </c>
      <c r="P320" s="2">
        <v>286</v>
      </c>
      <c r="Q320" s="2">
        <v>108.24120000000001</v>
      </c>
      <c r="R320" s="2">
        <v>302</v>
      </c>
      <c r="S320" s="2">
        <v>114.1986</v>
      </c>
      <c r="T320" s="2">
        <v>324</v>
      </c>
      <c r="U320" s="2">
        <v>8.7764999999999996E-2</v>
      </c>
      <c r="V320" s="2">
        <v>319</v>
      </c>
      <c r="W320" s="2">
        <v>2002</v>
      </c>
    </row>
    <row r="321" spans="1:23" ht="12.3" hidden="1" x14ac:dyDescent="0.4">
      <c r="A321" s="2" t="s">
        <v>345</v>
      </c>
      <c r="B321" s="2"/>
      <c r="C321" s="2"/>
      <c r="D321" s="2"/>
      <c r="E321" s="2"/>
      <c r="F321" s="2"/>
      <c r="G321" s="2"/>
      <c r="H321" s="2"/>
      <c r="I321" s="2">
        <v>71.678799999999995</v>
      </c>
      <c r="J321" s="2">
        <v>93</v>
      </c>
      <c r="K321" s="2">
        <v>71.560500000000005</v>
      </c>
      <c r="L321" s="2">
        <v>88</v>
      </c>
      <c r="M321" s="2">
        <v>90.306899999999999</v>
      </c>
      <c r="N321" s="2">
        <v>308</v>
      </c>
      <c r="O321" s="2">
        <v>89.061800000000005</v>
      </c>
      <c r="P321" s="2">
        <v>312</v>
      </c>
      <c r="Q321" s="2">
        <v>106.3235</v>
      </c>
      <c r="R321" s="2">
        <v>276</v>
      </c>
      <c r="S321" s="2">
        <v>109.5518</v>
      </c>
      <c r="T321" s="2">
        <v>301</v>
      </c>
      <c r="U321" s="2">
        <v>8.4612000000000007E-2</v>
      </c>
      <c r="V321" s="2">
        <v>320</v>
      </c>
      <c r="W321" s="2">
        <v>2002</v>
      </c>
    </row>
    <row r="322" spans="1:23" ht="12.3" hidden="1" x14ac:dyDescent="0.4">
      <c r="A322" s="2" t="s">
        <v>346</v>
      </c>
      <c r="B322" s="2"/>
      <c r="C322" s="2"/>
      <c r="D322" s="2"/>
      <c r="E322" s="2"/>
      <c r="F322" s="2"/>
      <c r="G322" s="2"/>
      <c r="H322" s="2"/>
      <c r="I322" s="2">
        <v>73.974199999999996</v>
      </c>
      <c r="J322" s="2">
        <v>34</v>
      </c>
      <c r="K322" s="2">
        <v>74.312899999999999</v>
      </c>
      <c r="L322" s="2">
        <v>24</v>
      </c>
      <c r="M322" s="2">
        <v>85.640699999999995</v>
      </c>
      <c r="N322" s="2">
        <v>322</v>
      </c>
      <c r="O322" s="2">
        <v>85.412000000000006</v>
      </c>
      <c r="P322" s="2">
        <v>323</v>
      </c>
      <c r="Q322" s="2">
        <v>104.6289</v>
      </c>
      <c r="R322" s="2">
        <v>248</v>
      </c>
      <c r="S322" s="2">
        <v>107.9559</v>
      </c>
      <c r="T322" s="2">
        <v>288</v>
      </c>
      <c r="U322" s="2">
        <v>6.3344999999999999E-2</v>
      </c>
      <c r="V322" s="2">
        <v>321</v>
      </c>
      <c r="W322" s="2">
        <v>2002</v>
      </c>
    </row>
    <row r="323" spans="1:23" ht="12.3" hidden="1" x14ac:dyDescent="0.4">
      <c r="A323" s="2" t="s">
        <v>347</v>
      </c>
      <c r="B323" s="2"/>
      <c r="C323" s="2"/>
      <c r="D323" s="2"/>
      <c r="E323" s="2"/>
      <c r="F323" s="2"/>
      <c r="G323" s="2"/>
      <c r="H323" s="2"/>
      <c r="I323" s="2">
        <v>70.804299999999998</v>
      </c>
      <c r="J323" s="2">
        <v>123</v>
      </c>
      <c r="K323" s="2">
        <v>70.252600000000001</v>
      </c>
      <c r="L323" s="2">
        <v>146</v>
      </c>
      <c r="M323" s="2">
        <v>83.334599999999995</v>
      </c>
      <c r="N323" s="2">
        <v>324</v>
      </c>
      <c r="O323" s="2">
        <v>86.375900000000001</v>
      </c>
      <c r="P323" s="2">
        <v>320</v>
      </c>
      <c r="Q323" s="2">
        <v>111.4449</v>
      </c>
      <c r="R323" s="2">
        <v>318</v>
      </c>
      <c r="S323" s="2">
        <v>109.19450000000001</v>
      </c>
      <c r="T323" s="2">
        <v>298</v>
      </c>
      <c r="U323" s="2">
        <v>6.3218999999999997E-2</v>
      </c>
      <c r="V323" s="2">
        <v>322</v>
      </c>
      <c r="W323" s="2">
        <v>2002</v>
      </c>
    </row>
    <row r="324" spans="1:23" ht="12.3" hidden="1" x14ac:dyDescent="0.4">
      <c r="A324" s="2" t="s">
        <v>348</v>
      </c>
      <c r="B324" s="2"/>
      <c r="C324" s="2"/>
      <c r="D324" s="2"/>
      <c r="E324" s="2"/>
      <c r="F324" s="2"/>
      <c r="G324" s="2"/>
      <c r="H324" s="2"/>
      <c r="I324" s="2">
        <v>71.820999999999998</v>
      </c>
      <c r="J324" s="2">
        <v>89</v>
      </c>
      <c r="K324" s="2">
        <v>71.592100000000002</v>
      </c>
      <c r="L324" s="2">
        <v>87</v>
      </c>
      <c r="M324" s="2">
        <v>86.044499999999999</v>
      </c>
      <c r="N324" s="2">
        <v>321</v>
      </c>
      <c r="O324" s="2">
        <v>87.517700000000005</v>
      </c>
      <c r="P324" s="2">
        <v>318</v>
      </c>
      <c r="Q324" s="2">
        <v>113.51139999999999</v>
      </c>
      <c r="R324" s="2">
        <v>324</v>
      </c>
      <c r="S324" s="2">
        <v>111.7949</v>
      </c>
      <c r="T324" s="2">
        <v>313</v>
      </c>
      <c r="U324" s="2">
        <v>5.6493000000000002E-2</v>
      </c>
      <c r="V324" s="2">
        <v>323</v>
      </c>
      <c r="W324" s="2">
        <v>2002</v>
      </c>
    </row>
    <row r="325" spans="1:23" ht="12.3" hidden="1" x14ac:dyDescent="0.4">
      <c r="A325" s="2" t="s">
        <v>349</v>
      </c>
      <c r="B325" s="2"/>
      <c r="C325" s="2"/>
      <c r="D325" s="2"/>
      <c r="E325" s="2"/>
      <c r="F325" s="2"/>
      <c r="G325" s="2"/>
      <c r="H325" s="2"/>
      <c r="I325" s="2">
        <v>70.103200000000001</v>
      </c>
      <c r="J325" s="2">
        <v>155</v>
      </c>
      <c r="K325" s="2">
        <v>69.005399999999995</v>
      </c>
      <c r="L325" s="2">
        <v>191</v>
      </c>
      <c r="M325" s="2">
        <v>87.051699999999997</v>
      </c>
      <c r="N325" s="2">
        <v>318</v>
      </c>
      <c r="O325" s="2">
        <v>85.237099999999998</v>
      </c>
      <c r="P325" s="2">
        <v>324</v>
      </c>
      <c r="Q325" s="2">
        <v>107.8777</v>
      </c>
      <c r="R325" s="2">
        <v>298</v>
      </c>
      <c r="S325" s="2">
        <v>111.68</v>
      </c>
      <c r="T325" s="2">
        <v>312</v>
      </c>
      <c r="U325" s="2">
        <v>4.2805999999999997E-2</v>
      </c>
      <c r="V325" s="2">
        <v>324</v>
      </c>
      <c r="W325" s="2">
        <v>2002</v>
      </c>
    </row>
    <row r="326" spans="1:23" ht="12.3" hidden="1" x14ac:dyDescent="0.4">
      <c r="A326" s="2" t="s">
        <v>350</v>
      </c>
      <c r="B326" s="2"/>
      <c r="C326" s="2"/>
      <c r="D326" s="2"/>
      <c r="E326" s="2"/>
      <c r="F326" s="2"/>
      <c r="G326" s="2"/>
      <c r="H326" s="2"/>
      <c r="I326" s="2">
        <v>70.008399999999995</v>
      </c>
      <c r="J326" s="2">
        <v>160</v>
      </c>
      <c r="K326" s="2">
        <v>69.486599999999996</v>
      </c>
      <c r="L326" s="2">
        <v>170</v>
      </c>
      <c r="M326" s="2">
        <v>80.653400000000005</v>
      </c>
      <c r="N326" s="2">
        <v>326</v>
      </c>
      <c r="O326" s="2">
        <v>84.965400000000002</v>
      </c>
      <c r="P326" s="2">
        <v>325</v>
      </c>
      <c r="Q326" s="2">
        <v>111.6584</v>
      </c>
      <c r="R326" s="2">
        <v>319</v>
      </c>
      <c r="S326" s="2">
        <v>111.61190000000001</v>
      </c>
      <c r="T326" s="2">
        <v>311</v>
      </c>
      <c r="U326" s="2">
        <v>4.1605999999999997E-2</v>
      </c>
      <c r="V326" s="2">
        <v>325</v>
      </c>
      <c r="W326" s="2">
        <v>2002</v>
      </c>
    </row>
    <row r="327" spans="1:23" ht="12.3" hidden="1" x14ac:dyDescent="0.4">
      <c r="A327" s="2" t="s">
        <v>351</v>
      </c>
      <c r="B327" s="2"/>
      <c r="C327" s="2"/>
      <c r="D327" s="2"/>
      <c r="E327" s="2"/>
      <c r="F327" s="2"/>
      <c r="G327" s="2"/>
      <c r="H327" s="2"/>
      <c r="I327" s="2">
        <v>80.206699999999998</v>
      </c>
      <c r="J327" s="2">
        <v>2</v>
      </c>
      <c r="K327" s="2">
        <v>77.748699999999999</v>
      </c>
      <c r="L327" s="2">
        <v>5</v>
      </c>
      <c r="M327" s="2">
        <v>82.684200000000004</v>
      </c>
      <c r="N327" s="2">
        <v>325</v>
      </c>
      <c r="O327" s="2">
        <v>83.088899999999995</v>
      </c>
      <c r="P327" s="2">
        <v>326</v>
      </c>
      <c r="Q327" s="2">
        <v>105.8052</v>
      </c>
      <c r="R327" s="2">
        <v>270</v>
      </c>
      <c r="S327" s="2">
        <v>109.3085</v>
      </c>
      <c r="T327" s="2">
        <v>299</v>
      </c>
      <c r="U327" s="2">
        <v>4.0932999999999997E-2</v>
      </c>
      <c r="V327" s="2">
        <v>326</v>
      </c>
      <c r="W327" s="2">
        <v>2002</v>
      </c>
    </row>
    <row r="328" spans="1:23" ht="12.3" hidden="1" x14ac:dyDescent="0.4">
      <c r="A328" s="2" t="s">
        <v>352</v>
      </c>
      <c r="B328" s="2"/>
      <c r="C328" s="2"/>
      <c r="D328" s="2"/>
      <c r="E328" s="2"/>
      <c r="F328" s="2"/>
      <c r="G328" s="2"/>
      <c r="H328" s="2"/>
      <c r="I328" s="2">
        <v>70.080299999999994</v>
      </c>
      <c r="J328" s="2">
        <v>157</v>
      </c>
      <c r="K328" s="2">
        <v>68.795400000000001</v>
      </c>
      <c r="L328" s="2">
        <v>202</v>
      </c>
      <c r="M328" s="2">
        <v>76.724500000000006</v>
      </c>
      <c r="N328" s="2">
        <v>327</v>
      </c>
      <c r="O328" s="2">
        <v>77.971299999999999</v>
      </c>
      <c r="P328" s="2">
        <v>327</v>
      </c>
      <c r="Q328" s="2">
        <v>106.4678</v>
      </c>
      <c r="R328" s="2">
        <v>281</v>
      </c>
      <c r="S328" s="2">
        <v>105.539</v>
      </c>
      <c r="T328" s="2">
        <v>252</v>
      </c>
      <c r="U328" s="2">
        <v>2.9843000000000001E-2</v>
      </c>
      <c r="V328" s="2">
        <v>327</v>
      </c>
      <c r="W328" s="2">
        <v>2002</v>
      </c>
    </row>
    <row r="329" spans="1:23" ht="12.3" x14ac:dyDescent="0.4">
      <c r="A329" s="2" t="s">
        <v>349</v>
      </c>
      <c r="B329" s="2">
        <v>16</v>
      </c>
      <c r="C329" s="25"/>
      <c r="D329" s="25"/>
      <c r="E329" s="25"/>
      <c r="F329" s="25"/>
      <c r="G329" s="25"/>
      <c r="H329" s="25"/>
      <c r="I329" s="2">
        <v>70.174999999999997</v>
      </c>
      <c r="J329" s="2">
        <v>38</v>
      </c>
      <c r="K329" s="2">
        <v>70.066699999999997</v>
      </c>
      <c r="L329" s="2">
        <v>31</v>
      </c>
      <c r="M329" s="2">
        <v>108.13930000000001</v>
      </c>
      <c r="N329" s="2">
        <v>90</v>
      </c>
      <c r="O329" s="2">
        <v>108.3479</v>
      </c>
      <c r="P329" s="2">
        <v>95</v>
      </c>
      <c r="Q329" s="2">
        <v>110.2093</v>
      </c>
      <c r="R329" s="2">
        <v>300</v>
      </c>
      <c r="S329" s="2">
        <v>110.67829999999999</v>
      </c>
      <c r="T329" s="2">
        <v>287</v>
      </c>
      <c r="U329" s="2">
        <v>0.43912400000000001</v>
      </c>
      <c r="V329" s="2">
        <v>190</v>
      </c>
      <c r="W329" s="2">
        <v>2014</v>
      </c>
    </row>
    <row r="330" spans="1:23" ht="12.3" x14ac:dyDescent="0.4">
      <c r="A330" s="2" t="s">
        <v>334</v>
      </c>
      <c r="B330" s="2">
        <v>16</v>
      </c>
      <c r="C330" s="25"/>
      <c r="D330" s="25"/>
      <c r="E330" s="25"/>
      <c r="F330" s="25"/>
      <c r="G330" s="25"/>
      <c r="H330" s="25"/>
      <c r="I330" s="2">
        <v>68.456299999999999</v>
      </c>
      <c r="J330" s="2">
        <v>86</v>
      </c>
      <c r="K330" s="2">
        <v>67.183000000000007</v>
      </c>
      <c r="L330" s="2">
        <v>131</v>
      </c>
      <c r="M330" s="2">
        <v>102.06659999999999</v>
      </c>
      <c r="N330" s="2">
        <v>230</v>
      </c>
      <c r="O330" s="2">
        <v>97.3108</v>
      </c>
      <c r="P330" s="2">
        <v>298</v>
      </c>
      <c r="Q330" s="2">
        <v>99.711200000000005</v>
      </c>
      <c r="R330" s="2">
        <v>71</v>
      </c>
      <c r="S330" s="2">
        <v>102.49039999999999</v>
      </c>
      <c r="T330" s="2">
        <v>124</v>
      </c>
      <c r="U330" s="2">
        <v>0.35517199999999999</v>
      </c>
      <c r="V330" s="2">
        <v>232</v>
      </c>
      <c r="W330" s="2">
        <v>2014</v>
      </c>
    </row>
    <row r="331" spans="1:23" ht="12.3" x14ac:dyDescent="0.4">
      <c r="A331" s="2" t="s">
        <v>325</v>
      </c>
      <c r="B331" s="2">
        <v>16</v>
      </c>
      <c r="C331" s="25"/>
      <c r="D331" s="25"/>
      <c r="E331" s="25"/>
      <c r="F331" s="25"/>
      <c r="G331" s="25"/>
      <c r="H331" s="25"/>
      <c r="I331" s="2">
        <v>67.824399999999997</v>
      </c>
      <c r="J331" s="2">
        <v>112</v>
      </c>
      <c r="K331" s="2">
        <v>67.375200000000007</v>
      </c>
      <c r="L331" s="2">
        <v>116</v>
      </c>
      <c r="M331" s="2">
        <v>109.18770000000001</v>
      </c>
      <c r="N331" s="2">
        <v>69</v>
      </c>
      <c r="O331" s="2">
        <v>106.1519</v>
      </c>
      <c r="P331" s="2">
        <v>135</v>
      </c>
      <c r="Q331" s="2">
        <v>106.0762</v>
      </c>
      <c r="R331" s="2">
        <v>207</v>
      </c>
      <c r="S331" s="2">
        <v>112.1348</v>
      </c>
      <c r="T331" s="2">
        <v>316</v>
      </c>
      <c r="U331" s="2">
        <v>0.347385</v>
      </c>
      <c r="V331" s="2">
        <v>237</v>
      </c>
      <c r="W331" s="2">
        <v>2014</v>
      </c>
    </row>
    <row r="332" spans="1:23" ht="12.3" x14ac:dyDescent="0.4">
      <c r="A332" s="2" t="s">
        <v>86</v>
      </c>
      <c r="B332" s="2">
        <v>1</v>
      </c>
      <c r="C332" s="3" t="s">
        <v>33</v>
      </c>
      <c r="D332" s="3" t="s">
        <v>33</v>
      </c>
      <c r="E332" s="3" t="s">
        <v>33</v>
      </c>
      <c r="F332" s="3" t="s">
        <v>33</v>
      </c>
      <c r="G332" s="3" t="s">
        <v>33</v>
      </c>
      <c r="H332" s="4" t="s">
        <v>33</v>
      </c>
      <c r="I332" s="2">
        <v>66.668000000000006</v>
      </c>
      <c r="J332" s="2">
        <v>138</v>
      </c>
      <c r="K332" s="2">
        <v>67.232900000000001</v>
      </c>
      <c r="L332" s="2">
        <v>112</v>
      </c>
      <c r="M332" s="2">
        <v>108.6223</v>
      </c>
      <c r="N332" s="2">
        <v>31</v>
      </c>
      <c r="O332" s="2">
        <v>112.1925</v>
      </c>
      <c r="P332" s="2">
        <v>18</v>
      </c>
      <c r="Q332" s="2">
        <v>85.264399999999995</v>
      </c>
      <c r="R332" s="2">
        <v>2</v>
      </c>
      <c r="S332" s="2">
        <v>83.799400000000006</v>
      </c>
      <c r="T332" s="2">
        <v>1</v>
      </c>
      <c r="U332" s="2">
        <v>0.96628700000000001</v>
      </c>
      <c r="V332" s="2">
        <v>1</v>
      </c>
      <c r="W332" s="2">
        <v>2013</v>
      </c>
    </row>
    <row r="333" spans="1:23" ht="12.3" x14ac:dyDescent="0.4">
      <c r="A333" s="2" t="s">
        <v>37</v>
      </c>
      <c r="B333" s="2">
        <v>3</v>
      </c>
      <c r="C333" s="3" t="s">
        <v>33</v>
      </c>
      <c r="D333" s="4" t="s">
        <v>33</v>
      </c>
      <c r="E333" s="4" t="s">
        <v>33</v>
      </c>
      <c r="F333" s="25"/>
      <c r="G333" s="25"/>
      <c r="H333" s="25"/>
      <c r="I333" s="2">
        <v>62.645800000000001</v>
      </c>
      <c r="J333" s="2">
        <v>300</v>
      </c>
      <c r="K333" s="2">
        <v>62.492699999999999</v>
      </c>
      <c r="L333" s="2">
        <v>299</v>
      </c>
      <c r="M333" s="2">
        <v>114.4507</v>
      </c>
      <c r="N333" s="2">
        <v>8</v>
      </c>
      <c r="O333" s="2">
        <v>113.9367</v>
      </c>
      <c r="P333" s="2">
        <v>9</v>
      </c>
      <c r="Q333" s="2">
        <v>85.6828</v>
      </c>
      <c r="R333" s="2">
        <v>3</v>
      </c>
      <c r="S333" s="2">
        <v>87.155100000000004</v>
      </c>
      <c r="T333" s="2">
        <v>4</v>
      </c>
      <c r="U333" s="2">
        <v>0.95612200000000003</v>
      </c>
      <c r="V333" s="2">
        <v>2</v>
      </c>
      <c r="W333" s="2">
        <v>2013</v>
      </c>
    </row>
    <row r="334" spans="1:23" ht="12.3" x14ac:dyDescent="0.4">
      <c r="A334" s="2" t="s">
        <v>47</v>
      </c>
      <c r="B334" s="2">
        <v>1</v>
      </c>
      <c r="C334" s="4" t="s">
        <v>33</v>
      </c>
      <c r="D334" s="25"/>
      <c r="E334" s="25"/>
      <c r="F334" s="25"/>
      <c r="G334" s="25"/>
      <c r="H334" s="25"/>
      <c r="I334" s="2">
        <v>65.064099999999996</v>
      </c>
      <c r="J334" s="2">
        <v>215</v>
      </c>
      <c r="K334" s="2">
        <v>64.624300000000005</v>
      </c>
      <c r="L334" s="2">
        <v>231</v>
      </c>
      <c r="M334" s="2">
        <v>117.92</v>
      </c>
      <c r="N334" s="2">
        <v>1</v>
      </c>
      <c r="O334" s="2">
        <v>118.3677</v>
      </c>
      <c r="P334" s="2">
        <v>2</v>
      </c>
      <c r="Q334" s="2">
        <v>91.5809</v>
      </c>
      <c r="R334" s="2">
        <v>21</v>
      </c>
      <c r="S334" s="2">
        <v>91.925600000000003</v>
      </c>
      <c r="T334" s="2">
        <v>26</v>
      </c>
      <c r="U334" s="2">
        <v>0.94821100000000003</v>
      </c>
      <c r="V334" s="2">
        <v>3</v>
      </c>
      <c r="W334" s="2">
        <v>2013</v>
      </c>
    </row>
    <row r="335" spans="1:23" ht="12.3" x14ac:dyDescent="0.4">
      <c r="A335" s="2" t="s">
        <v>40</v>
      </c>
      <c r="B335" s="2">
        <v>1</v>
      </c>
      <c r="C335" s="3" t="s">
        <v>33</v>
      </c>
      <c r="D335" s="3" t="s">
        <v>33</v>
      </c>
      <c r="E335" s="25"/>
      <c r="F335" s="25"/>
      <c r="G335" s="25"/>
      <c r="H335" s="25"/>
      <c r="I335" s="2">
        <v>67.518900000000002</v>
      </c>
      <c r="J335" s="2">
        <v>101</v>
      </c>
      <c r="K335" s="2">
        <v>67.794700000000006</v>
      </c>
      <c r="L335" s="2">
        <v>86</v>
      </c>
      <c r="M335" s="2">
        <v>117.4251</v>
      </c>
      <c r="N335" s="2">
        <v>2</v>
      </c>
      <c r="O335" s="2">
        <v>120.4208</v>
      </c>
      <c r="P335" s="2">
        <v>1</v>
      </c>
      <c r="Q335" s="2">
        <v>92.293199999999999</v>
      </c>
      <c r="R335" s="2">
        <v>30</v>
      </c>
      <c r="S335" s="2">
        <v>94.176900000000003</v>
      </c>
      <c r="T335" s="2">
        <v>44</v>
      </c>
      <c r="U335" s="2">
        <v>0.94411199999999995</v>
      </c>
      <c r="V335" s="2">
        <v>4</v>
      </c>
      <c r="W335" s="2">
        <v>2013</v>
      </c>
    </row>
    <row r="336" spans="1:23" ht="12.3" x14ac:dyDescent="0.4">
      <c r="A336" s="2" t="s">
        <v>21</v>
      </c>
      <c r="B336" s="2">
        <v>2</v>
      </c>
      <c r="C336" s="3" t="s">
        <v>33</v>
      </c>
      <c r="D336" s="3" t="s">
        <v>33</v>
      </c>
      <c r="E336" s="3" t="s">
        <v>33</v>
      </c>
      <c r="F336" s="25"/>
      <c r="G336" s="25"/>
      <c r="H336" s="25"/>
      <c r="I336" s="2">
        <v>63.558799999999998</v>
      </c>
      <c r="J336" s="2">
        <v>275</v>
      </c>
      <c r="K336" s="2">
        <v>64.305999999999997</v>
      </c>
      <c r="L336" s="2">
        <v>248</v>
      </c>
      <c r="M336" s="2">
        <v>108.62179999999999</v>
      </c>
      <c r="N336" s="2">
        <v>32</v>
      </c>
      <c r="O336" s="2">
        <v>111.7563</v>
      </c>
      <c r="P336" s="2">
        <v>21</v>
      </c>
      <c r="Q336" s="2">
        <v>91.190299999999993</v>
      </c>
      <c r="R336" s="2">
        <v>16</v>
      </c>
      <c r="S336" s="2">
        <v>89.258799999999994</v>
      </c>
      <c r="T336" s="2">
        <v>10</v>
      </c>
      <c r="U336" s="2">
        <v>0.92988899999999997</v>
      </c>
      <c r="V336" s="2">
        <v>5</v>
      </c>
      <c r="W336" s="2">
        <v>2013</v>
      </c>
    </row>
    <row r="337" spans="1:23" ht="12.3" x14ac:dyDescent="0.4">
      <c r="A337" s="2" t="s">
        <v>32</v>
      </c>
      <c r="B337" s="2">
        <v>2</v>
      </c>
      <c r="C337" s="4" t="s">
        <v>33</v>
      </c>
      <c r="D337" s="4" t="s">
        <v>33</v>
      </c>
      <c r="E337" s="4" t="s">
        <v>33</v>
      </c>
      <c r="F337" s="25"/>
      <c r="G337" s="25"/>
      <c r="H337" s="25"/>
      <c r="I337" s="2">
        <v>68.660200000000003</v>
      </c>
      <c r="J337" s="2">
        <v>68</v>
      </c>
      <c r="K337" s="2">
        <v>67.914400000000001</v>
      </c>
      <c r="L337" s="2">
        <v>81</v>
      </c>
      <c r="M337" s="2">
        <v>114.4513</v>
      </c>
      <c r="N337" s="2">
        <v>7</v>
      </c>
      <c r="O337" s="2">
        <v>117.2188</v>
      </c>
      <c r="P337" s="2">
        <v>4</v>
      </c>
      <c r="Q337" s="2">
        <v>95.1267</v>
      </c>
      <c r="R337" s="2">
        <v>59</v>
      </c>
      <c r="S337" s="2">
        <v>93.706400000000002</v>
      </c>
      <c r="T337" s="2">
        <v>39</v>
      </c>
      <c r="U337" s="2">
        <v>0.92920700000000001</v>
      </c>
      <c r="V337" s="2">
        <v>6</v>
      </c>
      <c r="W337" s="2">
        <v>2013</v>
      </c>
    </row>
    <row r="338" spans="1:23" ht="12.3" x14ac:dyDescent="0.4">
      <c r="A338" s="2" t="s">
        <v>35</v>
      </c>
      <c r="B338" s="2">
        <v>1</v>
      </c>
      <c r="C338" s="3" t="s">
        <v>33</v>
      </c>
      <c r="D338" s="3" t="s">
        <v>33</v>
      </c>
      <c r="E338" s="25"/>
      <c r="F338" s="25"/>
      <c r="G338" s="25"/>
      <c r="H338" s="25"/>
      <c r="I338" s="2">
        <v>67.635999999999996</v>
      </c>
      <c r="J338" s="2">
        <v>95</v>
      </c>
      <c r="K338" s="2">
        <v>67.702699999999993</v>
      </c>
      <c r="L338" s="2">
        <v>91</v>
      </c>
      <c r="M338" s="2">
        <v>109.6229</v>
      </c>
      <c r="N338" s="2">
        <v>24</v>
      </c>
      <c r="O338" s="2">
        <v>110.3897</v>
      </c>
      <c r="P338" s="2">
        <v>34</v>
      </c>
      <c r="Q338" s="2">
        <v>89.302999999999997</v>
      </c>
      <c r="R338" s="2">
        <v>9</v>
      </c>
      <c r="S338" s="2">
        <v>88.356099999999998</v>
      </c>
      <c r="T338" s="2">
        <v>6</v>
      </c>
      <c r="U338" s="2">
        <v>0.92826799999999998</v>
      </c>
      <c r="V338" s="2">
        <v>7</v>
      </c>
      <c r="W338" s="2">
        <v>2013</v>
      </c>
    </row>
    <row r="339" spans="1:23" ht="12.3" x14ac:dyDescent="0.4">
      <c r="A339" s="2" t="s">
        <v>46</v>
      </c>
      <c r="B339" s="2">
        <v>8</v>
      </c>
      <c r="C339" s="25"/>
      <c r="D339" s="25"/>
      <c r="E339" s="25"/>
      <c r="F339" s="25"/>
      <c r="G339" s="25"/>
      <c r="H339" s="25"/>
      <c r="I339" s="2">
        <v>60.202500000000001</v>
      </c>
      <c r="J339" s="2">
        <v>342</v>
      </c>
      <c r="K339" s="2">
        <v>60.187199999999997</v>
      </c>
      <c r="L339" s="2">
        <v>339</v>
      </c>
      <c r="M339" s="2">
        <v>114.7007</v>
      </c>
      <c r="N339" s="2">
        <v>6</v>
      </c>
      <c r="O339" s="2">
        <v>113.6168</v>
      </c>
      <c r="P339" s="2">
        <v>10</v>
      </c>
      <c r="Q339" s="2">
        <v>91.251000000000005</v>
      </c>
      <c r="R339" s="2">
        <v>17</v>
      </c>
      <c r="S339" s="2">
        <v>90.956900000000005</v>
      </c>
      <c r="T339" s="2">
        <v>18</v>
      </c>
      <c r="U339" s="2">
        <v>0.928118</v>
      </c>
      <c r="V339" s="2">
        <v>8</v>
      </c>
      <c r="W339" s="2">
        <v>2013</v>
      </c>
    </row>
    <row r="340" spans="1:23" ht="12.3" x14ac:dyDescent="0.4">
      <c r="A340" s="2" t="s">
        <v>62</v>
      </c>
      <c r="B340" s="2">
        <v>2</v>
      </c>
      <c r="C340" s="25"/>
      <c r="D340" s="25"/>
      <c r="E340" s="25"/>
      <c r="F340" s="25"/>
      <c r="G340" s="25"/>
      <c r="H340" s="25"/>
      <c r="I340" s="2">
        <v>62.041600000000003</v>
      </c>
      <c r="J340" s="2">
        <v>311</v>
      </c>
      <c r="K340" s="2">
        <v>61.879100000000001</v>
      </c>
      <c r="L340" s="2">
        <v>313</v>
      </c>
      <c r="M340" s="2">
        <v>102.31489999999999</v>
      </c>
      <c r="N340" s="2">
        <v>140</v>
      </c>
      <c r="O340" s="2">
        <v>105.971</v>
      </c>
      <c r="P340" s="2">
        <v>74</v>
      </c>
      <c r="Q340" s="2">
        <v>88.490600000000001</v>
      </c>
      <c r="R340" s="2">
        <v>6</v>
      </c>
      <c r="S340" s="2">
        <v>85.314400000000006</v>
      </c>
      <c r="T340" s="2">
        <v>2</v>
      </c>
      <c r="U340" s="2">
        <v>0.923682</v>
      </c>
      <c r="V340" s="2">
        <v>9</v>
      </c>
      <c r="W340" s="2">
        <v>2013</v>
      </c>
    </row>
    <row r="341" spans="1:23" ht="12.3" x14ac:dyDescent="0.4">
      <c r="A341" s="2" t="s">
        <v>58</v>
      </c>
      <c r="B341" s="2">
        <v>3</v>
      </c>
      <c r="C341" s="3" t="s">
        <v>33</v>
      </c>
      <c r="D341" s="3" t="s">
        <v>33</v>
      </c>
      <c r="E341" s="25"/>
      <c r="F341" s="25"/>
      <c r="G341" s="25"/>
      <c r="H341" s="25"/>
      <c r="I341" s="2">
        <v>64.110500000000002</v>
      </c>
      <c r="J341" s="2">
        <v>251</v>
      </c>
      <c r="K341" s="2">
        <v>64.399900000000002</v>
      </c>
      <c r="L341" s="2">
        <v>244</v>
      </c>
      <c r="M341" s="2">
        <v>105.28189999999999</v>
      </c>
      <c r="N341" s="2">
        <v>87</v>
      </c>
      <c r="O341" s="2">
        <v>110.50660000000001</v>
      </c>
      <c r="P341" s="2">
        <v>32</v>
      </c>
      <c r="Q341" s="2">
        <v>92.829899999999995</v>
      </c>
      <c r="R341" s="2">
        <v>35</v>
      </c>
      <c r="S341" s="2">
        <v>89.680199999999999</v>
      </c>
      <c r="T341" s="2">
        <v>12</v>
      </c>
      <c r="U341" s="2">
        <v>0.91694200000000003</v>
      </c>
      <c r="V341" s="2">
        <v>10</v>
      </c>
      <c r="W341" s="2">
        <v>2013</v>
      </c>
    </row>
    <row r="342" spans="1:23" ht="12.3" hidden="1" x14ac:dyDescent="0.4">
      <c r="A342" s="2" t="s">
        <v>19</v>
      </c>
      <c r="B342" s="2"/>
      <c r="C342" s="2"/>
      <c r="D342" s="2"/>
      <c r="E342" s="2"/>
      <c r="F342" s="2"/>
      <c r="G342" s="2"/>
      <c r="H342" s="2"/>
      <c r="I342" s="2">
        <v>69.395300000000006</v>
      </c>
      <c r="J342" s="2">
        <v>137</v>
      </c>
      <c r="K342" s="2">
        <v>69.114999999999995</v>
      </c>
      <c r="L342" s="2">
        <v>135</v>
      </c>
      <c r="M342" s="2">
        <v>112.61669999999999</v>
      </c>
      <c r="N342" s="2">
        <v>5</v>
      </c>
      <c r="O342" s="2">
        <v>118.9785</v>
      </c>
      <c r="P342" s="2">
        <v>1</v>
      </c>
      <c r="Q342" s="2">
        <v>104.46939999999999</v>
      </c>
      <c r="R342" s="2">
        <v>244</v>
      </c>
      <c r="S342" s="2">
        <v>98.842200000000005</v>
      </c>
      <c r="T342" s="2">
        <v>115</v>
      </c>
      <c r="U342" s="2">
        <v>0.89400400000000002</v>
      </c>
      <c r="V342" s="2">
        <v>14</v>
      </c>
      <c r="W342" s="2">
        <v>2003</v>
      </c>
    </row>
    <row r="343" spans="1:23" ht="12.3" x14ac:dyDescent="0.4">
      <c r="A343" s="2" t="s">
        <v>154</v>
      </c>
      <c r="B343" s="2">
        <v>4</v>
      </c>
      <c r="C343" s="3" t="s">
        <v>33</v>
      </c>
      <c r="D343" s="3" t="s">
        <v>33</v>
      </c>
      <c r="E343" s="3" t="s">
        <v>33</v>
      </c>
      <c r="F343" s="3" t="s">
        <v>33</v>
      </c>
      <c r="G343" s="4" t="s">
        <v>33</v>
      </c>
      <c r="H343" s="25"/>
      <c r="I343" s="2">
        <v>63.828800000000001</v>
      </c>
      <c r="J343" s="2">
        <v>266</v>
      </c>
      <c r="K343" s="2">
        <v>64.980900000000005</v>
      </c>
      <c r="L343" s="2">
        <v>215</v>
      </c>
      <c r="M343" s="2">
        <v>115.60250000000001</v>
      </c>
      <c r="N343" s="2">
        <v>4</v>
      </c>
      <c r="O343" s="2">
        <v>118.0446</v>
      </c>
      <c r="P343" s="2">
        <v>3</v>
      </c>
      <c r="Q343" s="2">
        <v>97.597300000000004</v>
      </c>
      <c r="R343" s="2">
        <v>100</v>
      </c>
      <c r="S343" s="2">
        <v>96.465000000000003</v>
      </c>
      <c r="T343" s="2">
        <v>84</v>
      </c>
      <c r="U343" s="2">
        <v>0.91065300000000005</v>
      </c>
      <c r="V343" s="2">
        <v>11</v>
      </c>
      <c r="W343" s="2">
        <v>2013</v>
      </c>
    </row>
    <row r="344" spans="1:23" ht="12.3" x14ac:dyDescent="0.4">
      <c r="A344" s="2" t="s">
        <v>115</v>
      </c>
      <c r="B344" s="2">
        <v>3</v>
      </c>
      <c r="C344" s="25"/>
      <c r="D344" s="25"/>
      <c r="E344" s="25"/>
      <c r="F344" s="25"/>
      <c r="G344" s="25"/>
      <c r="H344" s="25"/>
      <c r="I344" s="2">
        <v>64.753699999999995</v>
      </c>
      <c r="J344" s="2">
        <v>228</v>
      </c>
      <c r="K344" s="2">
        <v>64.845699999999994</v>
      </c>
      <c r="L344" s="2">
        <v>220</v>
      </c>
      <c r="M344" s="2">
        <v>103.4442</v>
      </c>
      <c r="N344" s="2">
        <v>116</v>
      </c>
      <c r="O344" s="2">
        <v>108.9021</v>
      </c>
      <c r="P344" s="2">
        <v>43</v>
      </c>
      <c r="Q344" s="2">
        <v>92.597999999999999</v>
      </c>
      <c r="R344" s="2">
        <v>33</v>
      </c>
      <c r="S344" s="2">
        <v>89.253699999999995</v>
      </c>
      <c r="T344" s="2">
        <v>9</v>
      </c>
      <c r="U344" s="2">
        <v>0.90788800000000003</v>
      </c>
      <c r="V344" s="2">
        <v>12</v>
      </c>
      <c r="W344" s="2">
        <v>2013</v>
      </c>
    </row>
    <row r="345" spans="1:23" ht="12.3" x14ac:dyDescent="0.4">
      <c r="A345" s="2" t="s">
        <v>76</v>
      </c>
      <c r="B345" s="2">
        <v>5</v>
      </c>
      <c r="C345" s="25"/>
      <c r="D345" s="25"/>
      <c r="E345" s="25"/>
      <c r="F345" s="25"/>
      <c r="G345" s="25"/>
      <c r="H345" s="25"/>
      <c r="I345" s="2">
        <v>61.407600000000002</v>
      </c>
      <c r="J345" s="2">
        <v>327</v>
      </c>
      <c r="K345" s="2">
        <v>61.951599999999999</v>
      </c>
      <c r="L345" s="2">
        <v>310</v>
      </c>
      <c r="M345" s="2">
        <v>105.0175</v>
      </c>
      <c r="N345" s="2">
        <v>91</v>
      </c>
      <c r="O345" s="2">
        <v>104.9075</v>
      </c>
      <c r="P345" s="2">
        <v>94</v>
      </c>
      <c r="Q345" s="2">
        <v>89.877099999999999</v>
      </c>
      <c r="R345" s="2">
        <v>11</v>
      </c>
      <c r="S345" s="2">
        <v>86.222999999999999</v>
      </c>
      <c r="T345" s="2">
        <v>3</v>
      </c>
      <c r="U345" s="2">
        <v>0.90513600000000005</v>
      </c>
      <c r="V345" s="2">
        <v>13</v>
      </c>
      <c r="W345" s="2">
        <v>2013</v>
      </c>
    </row>
    <row r="346" spans="1:23" ht="12.3" x14ac:dyDescent="0.4">
      <c r="A346" s="2" t="s">
        <v>60</v>
      </c>
      <c r="B346" s="2">
        <v>2</v>
      </c>
      <c r="C346" s="3" t="s">
        <v>33</v>
      </c>
      <c r="D346" s="3" t="s">
        <v>33</v>
      </c>
      <c r="E346" s="25"/>
      <c r="F346" s="25"/>
      <c r="G346" s="25"/>
      <c r="H346" s="25"/>
      <c r="I346" s="2">
        <v>64.337800000000001</v>
      </c>
      <c r="J346" s="2">
        <v>241</v>
      </c>
      <c r="K346" s="2">
        <v>63.254399999999997</v>
      </c>
      <c r="L346" s="2">
        <v>282</v>
      </c>
      <c r="M346" s="2">
        <v>108.20869999999999</v>
      </c>
      <c r="N346" s="2">
        <v>37</v>
      </c>
      <c r="O346" s="2">
        <v>111.20359999999999</v>
      </c>
      <c r="P346" s="2">
        <v>26</v>
      </c>
      <c r="Q346" s="2">
        <v>93.923699999999997</v>
      </c>
      <c r="R346" s="2">
        <v>41</v>
      </c>
      <c r="S346" s="2">
        <v>91.599000000000004</v>
      </c>
      <c r="T346" s="2">
        <v>23</v>
      </c>
      <c r="U346" s="2">
        <v>0.90294099999999999</v>
      </c>
      <c r="V346" s="2">
        <v>14</v>
      </c>
      <c r="W346" s="2">
        <v>2013</v>
      </c>
    </row>
    <row r="347" spans="1:23" ht="12.3" x14ac:dyDescent="0.4">
      <c r="A347" s="2" t="s">
        <v>23</v>
      </c>
      <c r="B347" s="2">
        <v>4</v>
      </c>
      <c r="C347" s="4" t="s">
        <v>33</v>
      </c>
      <c r="D347" s="4" t="s">
        <v>33</v>
      </c>
      <c r="E347" s="4" t="s">
        <v>33</v>
      </c>
      <c r="F347" s="4" t="s">
        <v>33</v>
      </c>
      <c r="G347" s="25"/>
      <c r="H347" s="25"/>
      <c r="I347" s="2">
        <v>65.621300000000005</v>
      </c>
      <c r="J347" s="2">
        <v>189</v>
      </c>
      <c r="K347" s="2">
        <v>64.518799999999999</v>
      </c>
      <c r="L347" s="2">
        <v>235</v>
      </c>
      <c r="M347" s="2">
        <v>107.71420000000001</v>
      </c>
      <c r="N347" s="2">
        <v>42</v>
      </c>
      <c r="O347" s="2">
        <v>113.0001</v>
      </c>
      <c r="P347" s="2">
        <v>12</v>
      </c>
      <c r="Q347" s="2">
        <v>92.013599999999997</v>
      </c>
      <c r="R347" s="2">
        <v>25</v>
      </c>
      <c r="S347" s="2">
        <v>93.122500000000002</v>
      </c>
      <c r="T347" s="2">
        <v>36</v>
      </c>
      <c r="U347" s="2">
        <v>0.90246599999999999</v>
      </c>
      <c r="V347" s="2">
        <v>15</v>
      </c>
      <c r="W347" s="2">
        <v>2013</v>
      </c>
    </row>
    <row r="348" spans="1:23" ht="12.3" x14ac:dyDescent="0.4">
      <c r="A348" s="2" t="s">
        <v>116</v>
      </c>
      <c r="B348" s="2">
        <v>4</v>
      </c>
      <c r="C348" s="3" t="s">
        <v>33</v>
      </c>
      <c r="D348" s="25"/>
      <c r="E348" s="25"/>
      <c r="F348" s="25"/>
      <c r="G348" s="25"/>
      <c r="H348" s="25"/>
      <c r="I348" s="2">
        <v>64.612499999999997</v>
      </c>
      <c r="J348" s="2">
        <v>233</v>
      </c>
      <c r="K348" s="2">
        <v>65.117800000000003</v>
      </c>
      <c r="L348" s="2">
        <v>207</v>
      </c>
      <c r="M348" s="2">
        <v>106.0539</v>
      </c>
      <c r="N348" s="2">
        <v>73</v>
      </c>
      <c r="O348" s="2">
        <v>106.3669</v>
      </c>
      <c r="P348" s="2">
        <v>69</v>
      </c>
      <c r="Q348" s="2">
        <v>89.410399999999996</v>
      </c>
      <c r="R348" s="2">
        <v>10</v>
      </c>
      <c r="S348" s="2">
        <v>87.958500000000001</v>
      </c>
      <c r="T348" s="2">
        <v>5</v>
      </c>
      <c r="U348" s="2">
        <v>0.89892499999999997</v>
      </c>
      <c r="V348" s="2">
        <v>16</v>
      </c>
      <c r="W348" s="2">
        <v>2013</v>
      </c>
    </row>
    <row r="349" spans="1:23" ht="12.3" x14ac:dyDescent="0.4">
      <c r="A349" s="2" t="s">
        <v>90</v>
      </c>
      <c r="B349" s="2">
        <v>7</v>
      </c>
      <c r="C349" s="4" t="s">
        <v>33</v>
      </c>
      <c r="D349" s="25"/>
      <c r="E349" s="25"/>
      <c r="F349" s="25"/>
      <c r="G349" s="25"/>
      <c r="H349" s="25"/>
      <c r="I349" s="2">
        <v>65.093400000000003</v>
      </c>
      <c r="J349" s="2">
        <v>213</v>
      </c>
      <c r="K349" s="2">
        <v>64.997399999999999</v>
      </c>
      <c r="L349" s="2">
        <v>213</v>
      </c>
      <c r="M349" s="2">
        <v>115.80500000000001</v>
      </c>
      <c r="N349" s="2">
        <v>3</v>
      </c>
      <c r="O349" s="2">
        <v>116.5534</v>
      </c>
      <c r="P349" s="2">
        <v>6</v>
      </c>
      <c r="Q349" s="2">
        <v>97.019900000000007</v>
      </c>
      <c r="R349" s="2">
        <v>87</v>
      </c>
      <c r="S349" s="2">
        <v>97.229299999999995</v>
      </c>
      <c r="T349" s="2">
        <v>98</v>
      </c>
      <c r="U349" s="2">
        <v>0.88940600000000003</v>
      </c>
      <c r="V349" s="2">
        <v>17</v>
      </c>
      <c r="W349" s="2">
        <v>2013</v>
      </c>
    </row>
    <row r="350" spans="1:23" ht="12.3" x14ac:dyDescent="0.4">
      <c r="A350" s="2" t="s">
        <v>72</v>
      </c>
      <c r="B350" s="2">
        <v>5</v>
      </c>
      <c r="C350" s="25"/>
      <c r="D350" s="25"/>
      <c r="E350" s="25"/>
      <c r="F350" s="25"/>
      <c r="G350" s="25"/>
      <c r="H350" s="25"/>
      <c r="I350" s="2">
        <v>67.301400000000001</v>
      </c>
      <c r="J350" s="2">
        <v>111</v>
      </c>
      <c r="K350" s="2">
        <v>67.6554</v>
      </c>
      <c r="L350" s="2">
        <v>94</v>
      </c>
      <c r="M350" s="2">
        <v>105.7822</v>
      </c>
      <c r="N350" s="2">
        <v>77</v>
      </c>
      <c r="O350" s="2">
        <v>107.66370000000001</v>
      </c>
      <c r="P350" s="2">
        <v>55</v>
      </c>
      <c r="Q350" s="2">
        <v>91.588700000000003</v>
      </c>
      <c r="R350" s="2">
        <v>22</v>
      </c>
      <c r="S350" s="2">
        <v>90.312200000000004</v>
      </c>
      <c r="T350" s="2">
        <v>16</v>
      </c>
      <c r="U350" s="2">
        <v>0.88298600000000005</v>
      </c>
      <c r="V350" s="2">
        <v>18</v>
      </c>
      <c r="W350" s="2">
        <v>2013</v>
      </c>
    </row>
    <row r="351" spans="1:23" ht="12.3" x14ac:dyDescent="0.4">
      <c r="A351" s="2" t="s">
        <v>39</v>
      </c>
      <c r="B351" s="2">
        <v>3</v>
      </c>
      <c r="C351" s="3" t="s">
        <v>33</v>
      </c>
      <c r="D351" s="3" t="s">
        <v>33</v>
      </c>
      <c r="E351" s="4" t="s">
        <v>33</v>
      </c>
      <c r="F351" s="25"/>
      <c r="G351" s="25"/>
      <c r="H351" s="25"/>
      <c r="I351" s="2">
        <v>63.733199999999997</v>
      </c>
      <c r="J351" s="2">
        <v>271</v>
      </c>
      <c r="K351" s="2">
        <v>64.944500000000005</v>
      </c>
      <c r="L351" s="2">
        <v>217</v>
      </c>
      <c r="M351" s="2">
        <v>106.2915</v>
      </c>
      <c r="N351" s="2">
        <v>69</v>
      </c>
      <c r="O351" s="2">
        <v>112.1973</v>
      </c>
      <c r="P351" s="2">
        <v>17</v>
      </c>
      <c r="Q351" s="2">
        <v>96.963399999999993</v>
      </c>
      <c r="R351" s="2">
        <v>85</v>
      </c>
      <c r="S351" s="2">
        <v>94.3506</v>
      </c>
      <c r="T351" s="2">
        <v>45</v>
      </c>
      <c r="U351" s="2">
        <v>0.87998299999999996</v>
      </c>
      <c r="V351" s="2">
        <v>19</v>
      </c>
      <c r="W351" s="2">
        <v>2013</v>
      </c>
    </row>
    <row r="352" spans="1:23" ht="12.3" x14ac:dyDescent="0.4">
      <c r="A352" s="2" t="s">
        <v>157</v>
      </c>
      <c r="B352" s="2">
        <v>8</v>
      </c>
      <c r="C352" s="3" t="s">
        <v>33</v>
      </c>
      <c r="D352" s="25"/>
      <c r="E352" s="25"/>
      <c r="F352" s="25"/>
      <c r="G352" s="25"/>
      <c r="H352" s="25"/>
      <c r="I352" s="2">
        <v>64.034199999999998</v>
      </c>
      <c r="J352" s="2">
        <v>256</v>
      </c>
      <c r="K352" s="2">
        <v>64.991600000000005</v>
      </c>
      <c r="L352" s="2">
        <v>214</v>
      </c>
      <c r="M352" s="2">
        <v>112.5949</v>
      </c>
      <c r="N352" s="2">
        <v>10</v>
      </c>
      <c r="O352" s="2">
        <v>116.8317</v>
      </c>
      <c r="P352" s="2">
        <v>5</v>
      </c>
      <c r="Q352" s="2">
        <v>98.687600000000003</v>
      </c>
      <c r="R352" s="2">
        <v>136</v>
      </c>
      <c r="S352" s="2">
        <v>98.522400000000005</v>
      </c>
      <c r="T352" s="2">
        <v>119</v>
      </c>
      <c r="U352" s="2">
        <v>0.87655300000000003</v>
      </c>
      <c r="V352" s="2">
        <v>20</v>
      </c>
      <c r="W352" s="2">
        <v>2013</v>
      </c>
    </row>
    <row r="353" spans="1:23" ht="12.3" x14ac:dyDescent="0.4">
      <c r="A353" s="2" t="s">
        <v>148</v>
      </c>
      <c r="B353" s="2">
        <v>4</v>
      </c>
      <c r="C353" s="25"/>
      <c r="D353" s="25"/>
      <c r="E353" s="25"/>
      <c r="F353" s="25"/>
      <c r="G353" s="25"/>
      <c r="H353" s="25"/>
      <c r="I353" s="2">
        <v>63.688600000000001</v>
      </c>
      <c r="J353" s="2">
        <v>272</v>
      </c>
      <c r="K353" s="2">
        <v>62.7742</v>
      </c>
      <c r="L353" s="2">
        <v>293</v>
      </c>
      <c r="M353" s="2">
        <v>107.8689</v>
      </c>
      <c r="N353" s="2">
        <v>38</v>
      </c>
      <c r="O353" s="2">
        <v>112.351</v>
      </c>
      <c r="P353" s="2">
        <v>16</v>
      </c>
      <c r="Q353" s="2">
        <v>96.643600000000006</v>
      </c>
      <c r="R353" s="2">
        <v>82</v>
      </c>
      <c r="S353" s="2">
        <v>94.763499999999993</v>
      </c>
      <c r="T353" s="2">
        <v>54</v>
      </c>
      <c r="U353" s="2">
        <v>0.87629400000000002</v>
      </c>
      <c r="V353" s="2">
        <v>21</v>
      </c>
      <c r="W353" s="2">
        <v>2013</v>
      </c>
    </row>
    <row r="354" spans="1:23" ht="12.3" x14ac:dyDescent="0.4">
      <c r="A354" s="2" t="s">
        <v>43</v>
      </c>
      <c r="B354" s="2">
        <v>6</v>
      </c>
      <c r="C354" s="4" t="s">
        <v>33</v>
      </c>
      <c r="D354" s="4" t="s">
        <v>33</v>
      </c>
      <c r="E354" s="25"/>
      <c r="F354" s="25"/>
      <c r="G354" s="25"/>
      <c r="H354" s="25"/>
      <c r="I354" s="2">
        <v>67.035700000000006</v>
      </c>
      <c r="J354" s="2">
        <v>123</v>
      </c>
      <c r="K354" s="2">
        <v>66.9529</v>
      </c>
      <c r="L354" s="2">
        <v>123</v>
      </c>
      <c r="M354" s="2">
        <v>108.9482</v>
      </c>
      <c r="N354" s="2">
        <v>28</v>
      </c>
      <c r="O354" s="2">
        <v>111.8518</v>
      </c>
      <c r="P354" s="2">
        <v>19</v>
      </c>
      <c r="Q354" s="2">
        <v>94.747200000000007</v>
      </c>
      <c r="R354" s="2">
        <v>53</v>
      </c>
      <c r="S354" s="2">
        <v>94.458600000000004</v>
      </c>
      <c r="T354" s="2">
        <v>49</v>
      </c>
      <c r="U354" s="2">
        <v>0.87475199999999997</v>
      </c>
      <c r="V354" s="2">
        <v>22</v>
      </c>
      <c r="W354" s="2">
        <v>2013</v>
      </c>
    </row>
    <row r="355" spans="1:23" ht="12.3" x14ac:dyDescent="0.4">
      <c r="A355" s="2" t="s">
        <v>73</v>
      </c>
      <c r="B355" s="2">
        <v>9</v>
      </c>
      <c r="C355" s="25"/>
      <c r="D355" s="25"/>
      <c r="E355" s="25"/>
      <c r="F355" s="25"/>
      <c r="G355" s="25"/>
      <c r="H355" s="25"/>
      <c r="I355" s="2">
        <v>68.204999999999998</v>
      </c>
      <c r="J355" s="2">
        <v>81</v>
      </c>
      <c r="K355" s="2">
        <v>67.415300000000002</v>
      </c>
      <c r="L355" s="2">
        <v>103</v>
      </c>
      <c r="M355" s="2">
        <v>111.01439999999999</v>
      </c>
      <c r="N355" s="2">
        <v>20</v>
      </c>
      <c r="O355" s="2">
        <v>112.3819</v>
      </c>
      <c r="P355" s="2">
        <v>15</v>
      </c>
      <c r="Q355" s="2">
        <v>96.079700000000003</v>
      </c>
      <c r="R355" s="2">
        <v>73</v>
      </c>
      <c r="S355" s="2">
        <v>95.164599999999993</v>
      </c>
      <c r="T355" s="2">
        <v>64</v>
      </c>
      <c r="U355" s="2">
        <v>0.871286</v>
      </c>
      <c r="V355" s="2">
        <v>23</v>
      </c>
      <c r="W355" s="2">
        <v>2013</v>
      </c>
    </row>
    <row r="356" spans="1:23" ht="12.3" x14ac:dyDescent="0.4">
      <c r="A356" s="2" t="s">
        <v>97</v>
      </c>
      <c r="B356" s="2">
        <v>7</v>
      </c>
      <c r="C356" s="4" t="s">
        <v>33</v>
      </c>
      <c r="D356" s="25"/>
      <c r="E356" s="25"/>
      <c r="F356" s="25"/>
      <c r="G356" s="25"/>
      <c r="H356" s="25"/>
      <c r="I356" s="2">
        <v>66.385300000000001</v>
      </c>
      <c r="J356" s="2">
        <v>153</v>
      </c>
      <c r="K356" s="2">
        <v>66.836699999999993</v>
      </c>
      <c r="L356" s="2">
        <v>126</v>
      </c>
      <c r="M356" s="2">
        <v>102.5206</v>
      </c>
      <c r="N356" s="2">
        <v>133</v>
      </c>
      <c r="O356" s="2">
        <v>104.77370000000001</v>
      </c>
      <c r="P356" s="2">
        <v>97</v>
      </c>
      <c r="Q356" s="2">
        <v>91.876499999999993</v>
      </c>
      <c r="R356" s="2">
        <v>23</v>
      </c>
      <c r="S356" s="2">
        <v>88.876300000000001</v>
      </c>
      <c r="T356" s="2">
        <v>7</v>
      </c>
      <c r="U356" s="2">
        <v>0.86902999999999997</v>
      </c>
      <c r="V356" s="2">
        <v>24</v>
      </c>
      <c r="W356" s="2">
        <v>2013</v>
      </c>
    </row>
    <row r="357" spans="1:23" ht="12.3" x14ac:dyDescent="0.4">
      <c r="A357" s="2" t="s">
        <v>71</v>
      </c>
      <c r="B357" s="2">
        <v>6</v>
      </c>
      <c r="C357" s="3" t="s">
        <v>33</v>
      </c>
      <c r="D357" s="25"/>
      <c r="E357" s="25"/>
      <c r="F357" s="25"/>
      <c r="G357" s="25"/>
      <c r="H357" s="25"/>
      <c r="I357" s="2">
        <v>69.816400000000002</v>
      </c>
      <c r="J357" s="2">
        <v>31</v>
      </c>
      <c r="K357" s="2">
        <v>69.665999999999997</v>
      </c>
      <c r="L357" s="2">
        <v>28</v>
      </c>
      <c r="M357" s="2">
        <v>107.77970000000001</v>
      </c>
      <c r="N357" s="2">
        <v>41</v>
      </c>
      <c r="O357" s="2">
        <v>107.0489</v>
      </c>
      <c r="P357" s="2">
        <v>61</v>
      </c>
      <c r="Q357" s="2">
        <v>92.528899999999993</v>
      </c>
      <c r="R357" s="2">
        <v>32</v>
      </c>
      <c r="S357" s="2">
        <v>90.975899999999996</v>
      </c>
      <c r="T357" s="2">
        <v>19</v>
      </c>
      <c r="U357" s="2">
        <v>0.86656699999999998</v>
      </c>
      <c r="V357" s="2">
        <v>25</v>
      </c>
      <c r="W357" s="2">
        <v>2013</v>
      </c>
    </row>
    <row r="358" spans="1:23" ht="12.3" x14ac:dyDescent="0.4">
      <c r="A358" s="2" t="s">
        <v>137</v>
      </c>
      <c r="B358" s="2">
        <v>5</v>
      </c>
      <c r="C358" s="4" t="s">
        <v>33</v>
      </c>
      <c r="D358" s="25"/>
      <c r="E358" s="25"/>
      <c r="F358" s="25"/>
      <c r="G358" s="25"/>
      <c r="H358" s="25"/>
      <c r="I358" s="2">
        <v>68.803799999999995</v>
      </c>
      <c r="J358" s="2">
        <v>62</v>
      </c>
      <c r="K358" s="2">
        <v>68.423199999999994</v>
      </c>
      <c r="L358" s="2">
        <v>63</v>
      </c>
      <c r="M358" s="2">
        <v>111.348</v>
      </c>
      <c r="N358" s="2">
        <v>19</v>
      </c>
      <c r="O358" s="2">
        <v>111.49420000000001</v>
      </c>
      <c r="P358" s="2">
        <v>23</v>
      </c>
      <c r="Q358" s="2">
        <v>94.093000000000004</v>
      </c>
      <c r="R358" s="2">
        <v>42</v>
      </c>
      <c r="S358" s="2">
        <v>94.857100000000003</v>
      </c>
      <c r="T358" s="2">
        <v>57</v>
      </c>
      <c r="U358" s="2">
        <v>0.86511199999999999</v>
      </c>
      <c r="V358" s="2">
        <v>26</v>
      </c>
      <c r="W358" s="2">
        <v>2013</v>
      </c>
    </row>
    <row r="359" spans="1:23" ht="12.3" x14ac:dyDescent="0.4">
      <c r="A359" s="2" t="s">
        <v>262</v>
      </c>
      <c r="B359" s="2">
        <v>11</v>
      </c>
      <c r="C359" s="25"/>
      <c r="D359" s="25"/>
      <c r="E359" s="25"/>
      <c r="F359" s="25"/>
      <c r="G359" s="25"/>
      <c r="H359" s="25"/>
      <c r="I359" s="2">
        <v>64.517399999999995</v>
      </c>
      <c r="J359" s="2">
        <v>237</v>
      </c>
      <c r="K359" s="2">
        <v>64.808899999999994</v>
      </c>
      <c r="L359" s="2">
        <v>223</v>
      </c>
      <c r="M359" s="2">
        <v>115.5519</v>
      </c>
      <c r="N359" s="2">
        <v>5</v>
      </c>
      <c r="O359" s="2">
        <v>113.3361</v>
      </c>
      <c r="P359" s="2">
        <v>11</v>
      </c>
      <c r="Q359" s="2">
        <v>98.0809</v>
      </c>
      <c r="R359" s="2">
        <v>115</v>
      </c>
      <c r="S359" s="2">
        <v>96.688900000000004</v>
      </c>
      <c r="T359" s="2">
        <v>88</v>
      </c>
      <c r="U359" s="2">
        <v>0.86138899999999996</v>
      </c>
      <c r="V359" s="2">
        <v>27</v>
      </c>
      <c r="W359" s="2">
        <v>2013</v>
      </c>
    </row>
    <row r="360" spans="1:23" ht="12.3" x14ac:dyDescent="0.4">
      <c r="A360" s="2" t="s">
        <v>56</v>
      </c>
      <c r="B360" s="2">
        <v>7</v>
      </c>
      <c r="C360" s="25"/>
      <c r="D360" s="25"/>
      <c r="E360" s="25"/>
      <c r="F360" s="25"/>
      <c r="G360" s="25"/>
      <c r="H360" s="25"/>
      <c r="I360" s="2">
        <v>61.932600000000001</v>
      </c>
      <c r="J360" s="2">
        <v>314</v>
      </c>
      <c r="K360" s="2">
        <v>61.559600000000003</v>
      </c>
      <c r="L360" s="2">
        <v>320</v>
      </c>
      <c r="M360" s="2">
        <v>110.3295</v>
      </c>
      <c r="N360" s="2">
        <v>22</v>
      </c>
      <c r="O360" s="2">
        <v>112.95699999999999</v>
      </c>
      <c r="P360" s="2">
        <v>13</v>
      </c>
      <c r="Q360" s="2">
        <v>99.173400000000001</v>
      </c>
      <c r="R360" s="2">
        <v>143</v>
      </c>
      <c r="S360" s="2">
        <v>96.5989</v>
      </c>
      <c r="T360" s="2">
        <v>87</v>
      </c>
      <c r="U360" s="2">
        <v>0.85803399999999996</v>
      </c>
      <c r="V360" s="2">
        <v>28</v>
      </c>
      <c r="W360" s="2">
        <v>2013</v>
      </c>
    </row>
    <row r="361" spans="1:23" ht="12.3" x14ac:dyDescent="0.4">
      <c r="A361" s="2" t="s">
        <v>168</v>
      </c>
      <c r="B361" s="2">
        <v>8</v>
      </c>
      <c r="C361" s="3" t="s">
        <v>33</v>
      </c>
      <c r="D361" s="25"/>
      <c r="E361" s="25"/>
      <c r="F361" s="25"/>
      <c r="G361" s="25"/>
      <c r="H361" s="25"/>
      <c r="I361" s="2">
        <v>71.533000000000001</v>
      </c>
      <c r="J361" s="2">
        <v>6</v>
      </c>
      <c r="K361" s="2">
        <v>70.614999999999995</v>
      </c>
      <c r="L361" s="2">
        <v>16</v>
      </c>
      <c r="M361" s="2">
        <v>106.1302</v>
      </c>
      <c r="N361" s="2">
        <v>71</v>
      </c>
      <c r="O361" s="2">
        <v>111.35299999999999</v>
      </c>
      <c r="P361" s="2">
        <v>25</v>
      </c>
      <c r="Q361" s="2">
        <v>96.849900000000005</v>
      </c>
      <c r="R361" s="2">
        <v>84</v>
      </c>
      <c r="S361" s="2">
        <v>95.372500000000002</v>
      </c>
      <c r="T361" s="2">
        <v>68</v>
      </c>
      <c r="U361" s="2">
        <v>0.85588500000000001</v>
      </c>
      <c r="V361" s="2">
        <v>29</v>
      </c>
      <c r="W361" s="2">
        <v>2013</v>
      </c>
    </row>
    <row r="362" spans="1:23" ht="12.3" x14ac:dyDescent="0.4">
      <c r="A362" s="2" t="s">
        <v>55</v>
      </c>
      <c r="B362" s="2">
        <v>8</v>
      </c>
      <c r="C362" s="25"/>
      <c r="D362" s="25"/>
      <c r="E362" s="25"/>
      <c r="F362" s="25"/>
      <c r="G362" s="25"/>
      <c r="H362" s="25"/>
      <c r="I362" s="2">
        <v>68.692999999999998</v>
      </c>
      <c r="J362" s="2">
        <v>66</v>
      </c>
      <c r="K362" s="2">
        <v>68.151799999999994</v>
      </c>
      <c r="L362" s="2">
        <v>74</v>
      </c>
      <c r="M362" s="2">
        <v>112.277</v>
      </c>
      <c r="N362" s="2">
        <v>14</v>
      </c>
      <c r="O362" s="2">
        <v>114.0926</v>
      </c>
      <c r="P362" s="2">
        <v>8</v>
      </c>
      <c r="Q362" s="2">
        <v>101.67359999999999</v>
      </c>
      <c r="R362" s="2">
        <v>191</v>
      </c>
      <c r="S362" s="2">
        <v>98.010400000000004</v>
      </c>
      <c r="T362" s="2">
        <v>110</v>
      </c>
      <c r="U362" s="2">
        <v>0.851607</v>
      </c>
      <c r="V362" s="2">
        <v>30</v>
      </c>
      <c r="W362" s="2">
        <v>2013</v>
      </c>
    </row>
    <row r="363" spans="1:23" ht="12.3" hidden="1" x14ac:dyDescent="0.4">
      <c r="A363" s="2" t="s">
        <v>59</v>
      </c>
      <c r="B363" s="2"/>
      <c r="C363" s="2"/>
      <c r="D363" s="2"/>
      <c r="E363" s="2"/>
      <c r="F363" s="2"/>
      <c r="G363" s="2"/>
      <c r="H363" s="2"/>
      <c r="I363" s="2">
        <v>68.0822</v>
      </c>
      <c r="J363" s="2">
        <v>184</v>
      </c>
      <c r="K363" s="2">
        <v>67.397999999999996</v>
      </c>
      <c r="L363" s="2">
        <v>212</v>
      </c>
      <c r="M363" s="2">
        <v>105.9413</v>
      </c>
      <c r="N363" s="2">
        <v>71</v>
      </c>
      <c r="O363" s="2">
        <v>109.59650000000001</v>
      </c>
      <c r="P363" s="2">
        <v>37</v>
      </c>
      <c r="Q363" s="2">
        <v>98.0655</v>
      </c>
      <c r="R363" s="2">
        <v>91</v>
      </c>
      <c r="S363" s="2">
        <v>95.999799999999993</v>
      </c>
      <c r="T363" s="2">
        <v>62</v>
      </c>
      <c r="U363" s="2">
        <v>0.82102200000000003</v>
      </c>
      <c r="V363" s="2">
        <v>35</v>
      </c>
      <c r="W363" s="2">
        <v>2003</v>
      </c>
    </row>
    <row r="364" spans="1:23" ht="12.3" x14ac:dyDescent="0.4">
      <c r="A364" s="2" t="s">
        <v>109</v>
      </c>
      <c r="B364" s="2">
        <v>5</v>
      </c>
      <c r="C364" s="25"/>
      <c r="D364" s="25"/>
      <c r="E364" s="25"/>
      <c r="F364" s="25"/>
      <c r="G364" s="25"/>
      <c r="H364" s="25"/>
      <c r="I364" s="2">
        <v>68.944500000000005</v>
      </c>
      <c r="J364" s="2">
        <v>51</v>
      </c>
      <c r="K364" s="2">
        <v>68.770200000000003</v>
      </c>
      <c r="L364" s="2">
        <v>53</v>
      </c>
      <c r="M364" s="2">
        <v>102.6943</v>
      </c>
      <c r="N364" s="2">
        <v>128</v>
      </c>
      <c r="O364" s="2">
        <v>103.9361</v>
      </c>
      <c r="P364" s="2">
        <v>113</v>
      </c>
      <c r="Q364" s="2">
        <v>92.055400000000006</v>
      </c>
      <c r="R364" s="2">
        <v>27</v>
      </c>
      <c r="S364" s="2">
        <v>89.317700000000002</v>
      </c>
      <c r="T364" s="2">
        <v>11</v>
      </c>
      <c r="U364" s="2">
        <v>0.85108300000000003</v>
      </c>
      <c r="V364" s="2">
        <v>31</v>
      </c>
      <c r="W364" s="2">
        <v>2013</v>
      </c>
    </row>
    <row r="365" spans="1:23" ht="12.3" x14ac:dyDescent="0.4">
      <c r="A365" s="2" t="s">
        <v>75</v>
      </c>
      <c r="B365" s="2">
        <v>11</v>
      </c>
      <c r="C365" s="3" t="s">
        <v>33</v>
      </c>
      <c r="D365" s="25"/>
      <c r="E365" s="25"/>
      <c r="F365" s="25"/>
      <c r="G365" s="25"/>
      <c r="H365" s="25"/>
      <c r="I365" s="2">
        <v>63.1783</v>
      </c>
      <c r="J365" s="2">
        <v>289</v>
      </c>
      <c r="K365" s="2">
        <v>63.0456</v>
      </c>
      <c r="L365" s="2">
        <v>288</v>
      </c>
      <c r="M365" s="2">
        <v>107.6562</v>
      </c>
      <c r="N365" s="2">
        <v>44</v>
      </c>
      <c r="O365" s="2">
        <v>110.6366</v>
      </c>
      <c r="P365" s="2">
        <v>31</v>
      </c>
      <c r="Q365" s="2">
        <v>97.274000000000001</v>
      </c>
      <c r="R365" s="2">
        <v>95</v>
      </c>
      <c r="S365" s="2">
        <v>95.184200000000004</v>
      </c>
      <c r="T365" s="2">
        <v>65</v>
      </c>
      <c r="U365" s="2">
        <v>0.84941500000000003</v>
      </c>
      <c r="V365" s="2">
        <v>32</v>
      </c>
      <c r="W365" s="2">
        <v>2013</v>
      </c>
    </row>
    <row r="366" spans="1:23" ht="12.3" x14ac:dyDescent="0.4">
      <c r="A366" s="2" t="s">
        <v>146</v>
      </c>
      <c r="B366" s="2">
        <v>10</v>
      </c>
      <c r="C366" s="4" t="s">
        <v>33</v>
      </c>
      <c r="D366" s="25"/>
      <c r="E366" s="25"/>
      <c r="F366" s="25"/>
      <c r="G366" s="25"/>
      <c r="H366" s="25"/>
      <c r="I366" s="2">
        <v>70.2898</v>
      </c>
      <c r="J366" s="2">
        <v>25</v>
      </c>
      <c r="K366" s="2">
        <v>69.328900000000004</v>
      </c>
      <c r="L366" s="2">
        <v>34</v>
      </c>
      <c r="M366" s="2">
        <v>111.8972</v>
      </c>
      <c r="N366" s="2">
        <v>16</v>
      </c>
      <c r="O366" s="2">
        <v>115.6354</v>
      </c>
      <c r="P366" s="2">
        <v>7</v>
      </c>
      <c r="Q366" s="2">
        <v>99.802000000000007</v>
      </c>
      <c r="R366" s="2">
        <v>152</v>
      </c>
      <c r="S366" s="2">
        <v>100.0209</v>
      </c>
      <c r="T366" s="2">
        <v>148</v>
      </c>
      <c r="U366" s="2">
        <v>0.84133899999999995</v>
      </c>
      <c r="V366" s="2">
        <v>34</v>
      </c>
      <c r="W366" s="2">
        <v>2013</v>
      </c>
    </row>
    <row r="367" spans="1:23" ht="12.3" x14ac:dyDescent="0.4">
      <c r="A367" s="2" t="s">
        <v>192</v>
      </c>
      <c r="B367" s="2">
        <v>9</v>
      </c>
      <c r="C367" s="3" t="s">
        <v>33</v>
      </c>
      <c r="D367" s="4" t="s">
        <v>33</v>
      </c>
      <c r="E367" s="4" t="s">
        <v>33</v>
      </c>
      <c r="F367" s="4" t="s">
        <v>33</v>
      </c>
      <c r="G367" s="4"/>
      <c r="H367" s="25"/>
      <c r="I367" s="2">
        <v>64.769499999999994</v>
      </c>
      <c r="J367" s="2">
        <v>226</v>
      </c>
      <c r="K367" s="2">
        <v>64.558999999999997</v>
      </c>
      <c r="L367" s="2">
        <v>233</v>
      </c>
      <c r="M367" s="2">
        <v>107.13930000000001</v>
      </c>
      <c r="N367" s="2">
        <v>53</v>
      </c>
      <c r="O367" s="2">
        <v>107.2784</v>
      </c>
      <c r="P367" s="2">
        <v>59</v>
      </c>
      <c r="Q367" s="2">
        <v>93.690299999999993</v>
      </c>
      <c r="R367" s="2">
        <v>39</v>
      </c>
      <c r="S367" s="2">
        <v>92.891499999999994</v>
      </c>
      <c r="T367" s="2">
        <v>34</v>
      </c>
      <c r="U367" s="2">
        <v>0.83969400000000005</v>
      </c>
      <c r="V367" s="2">
        <v>35</v>
      </c>
      <c r="W367" s="2">
        <v>2013</v>
      </c>
    </row>
    <row r="368" spans="1:23" ht="12.3" x14ac:dyDescent="0.4">
      <c r="A368" s="2" t="s">
        <v>51</v>
      </c>
      <c r="B368" s="2">
        <v>12</v>
      </c>
      <c r="C368" s="3" t="s">
        <v>33</v>
      </c>
      <c r="D368" s="25"/>
      <c r="E368" s="25"/>
      <c r="F368" s="25"/>
      <c r="G368" s="25"/>
      <c r="H368" s="25"/>
      <c r="I368" s="2">
        <v>70.938699999999997</v>
      </c>
      <c r="J368" s="2">
        <v>14</v>
      </c>
      <c r="K368" s="2">
        <v>70.771900000000002</v>
      </c>
      <c r="L368" s="2">
        <v>12</v>
      </c>
      <c r="M368" s="2">
        <v>108.4528</v>
      </c>
      <c r="N368" s="2">
        <v>35</v>
      </c>
      <c r="O368" s="2">
        <v>110.43049999999999</v>
      </c>
      <c r="P368" s="2">
        <v>33</v>
      </c>
      <c r="Q368" s="2">
        <v>94.122500000000002</v>
      </c>
      <c r="R368" s="2">
        <v>43</v>
      </c>
      <c r="S368" s="2">
        <v>95.956199999999995</v>
      </c>
      <c r="T368" s="2">
        <v>77</v>
      </c>
      <c r="U368" s="2">
        <v>0.83419900000000002</v>
      </c>
      <c r="V368" s="2">
        <v>37</v>
      </c>
      <c r="W368" s="2">
        <v>2013</v>
      </c>
    </row>
    <row r="369" spans="1:23" ht="12.3" x14ac:dyDescent="0.4">
      <c r="A369" s="2" t="s">
        <v>34</v>
      </c>
      <c r="B369" s="2">
        <v>10</v>
      </c>
      <c r="C369" s="25"/>
      <c r="D369" s="25"/>
      <c r="E369" s="25"/>
      <c r="F369" s="25"/>
      <c r="G369" s="25"/>
      <c r="H369" s="25"/>
      <c r="I369" s="2">
        <v>65.024900000000002</v>
      </c>
      <c r="J369" s="2">
        <v>216</v>
      </c>
      <c r="K369" s="2">
        <v>64.290499999999994</v>
      </c>
      <c r="L369" s="2">
        <v>250</v>
      </c>
      <c r="M369" s="2">
        <v>100.7256</v>
      </c>
      <c r="N369" s="2">
        <v>171</v>
      </c>
      <c r="O369" s="2">
        <v>103.2159</v>
      </c>
      <c r="P369" s="2">
        <v>130</v>
      </c>
      <c r="Q369" s="2">
        <v>90.708600000000004</v>
      </c>
      <c r="R369" s="2">
        <v>15</v>
      </c>
      <c r="S369" s="2">
        <v>89.848799999999997</v>
      </c>
      <c r="T369" s="2">
        <v>13</v>
      </c>
      <c r="U369" s="2">
        <v>0.83131699999999997</v>
      </c>
      <c r="V369" s="2">
        <v>39</v>
      </c>
      <c r="W369" s="2">
        <v>2013</v>
      </c>
    </row>
    <row r="370" spans="1:23" ht="12.3" x14ac:dyDescent="0.4">
      <c r="A370" s="2" t="s">
        <v>228</v>
      </c>
      <c r="B370" s="2">
        <v>11</v>
      </c>
      <c r="C370" s="25"/>
      <c r="D370" s="25"/>
      <c r="E370" s="25"/>
      <c r="F370" s="25"/>
      <c r="G370" s="25"/>
      <c r="H370" s="25"/>
      <c r="I370" s="2">
        <v>65.809299999999993</v>
      </c>
      <c r="J370" s="2">
        <v>183</v>
      </c>
      <c r="K370" s="2">
        <v>65.082800000000006</v>
      </c>
      <c r="L370" s="2">
        <v>210</v>
      </c>
      <c r="M370" s="2">
        <v>107.4502</v>
      </c>
      <c r="N370" s="2">
        <v>47</v>
      </c>
      <c r="O370" s="2">
        <v>104.2118</v>
      </c>
      <c r="P370" s="2">
        <v>106</v>
      </c>
      <c r="Q370" s="2">
        <v>87.394599999999997</v>
      </c>
      <c r="R370" s="2">
        <v>5</v>
      </c>
      <c r="S370" s="2">
        <v>90.932100000000005</v>
      </c>
      <c r="T370" s="2">
        <v>17</v>
      </c>
      <c r="U370" s="2">
        <v>0.82743900000000004</v>
      </c>
      <c r="V370" s="2">
        <v>40</v>
      </c>
      <c r="W370" s="2">
        <v>2013</v>
      </c>
    </row>
    <row r="371" spans="1:23" ht="12.3" hidden="1" x14ac:dyDescent="0.4">
      <c r="A371" s="2" t="s">
        <v>95</v>
      </c>
      <c r="B371" s="2"/>
      <c r="C371" s="2"/>
      <c r="D371" s="2"/>
      <c r="E371" s="2"/>
      <c r="F371" s="2"/>
      <c r="G371" s="2"/>
      <c r="H371" s="2"/>
      <c r="I371" s="2">
        <v>69.966999999999999</v>
      </c>
      <c r="J371" s="2">
        <v>111</v>
      </c>
      <c r="K371" s="2">
        <v>69.197000000000003</v>
      </c>
      <c r="L371" s="2">
        <v>131</v>
      </c>
      <c r="M371" s="2">
        <v>111.94289999999999</v>
      </c>
      <c r="N371" s="2">
        <v>10</v>
      </c>
      <c r="O371" s="2">
        <v>116.80410000000001</v>
      </c>
      <c r="P371" s="2">
        <v>3</v>
      </c>
      <c r="Q371" s="2">
        <v>107.2642</v>
      </c>
      <c r="R371" s="2">
        <v>282</v>
      </c>
      <c r="S371" s="2">
        <v>103.2535</v>
      </c>
      <c r="T371" s="2">
        <v>205</v>
      </c>
      <c r="U371" s="2">
        <v>0.80503800000000003</v>
      </c>
      <c r="V371" s="2">
        <v>43</v>
      </c>
      <c r="W371" s="2">
        <v>2003</v>
      </c>
    </row>
    <row r="372" spans="1:23" ht="12.3" x14ac:dyDescent="0.4">
      <c r="A372" s="2" t="s">
        <v>212</v>
      </c>
      <c r="B372" s="2">
        <v>13</v>
      </c>
      <c r="C372" s="25"/>
      <c r="D372" s="25"/>
      <c r="E372" s="25"/>
      <c r="F372" s="25"/>
      <c r="G372" s="25"/>
      <c r="H372" s="25"/>
      <c r="I372" s="2">
        <v>66.293499999999995</v>
      </c>
      <c r="J372" s="2">
        <v>159</v>
      </c>
      <c r="K372" s="2">
        <v>66.363100000000003</v>
      </c>
      <c r="L372" s="2">
        <v>153</v>
      </c>
      <c r="M372" s="2">
        <v>107.06619999999999</v>
      </c>
      <c r="N372" s="2">
        <v>54</v>
      </c>
      <c r="O372" s="2">
        <v>111.3948</v>
      </c>
      <c r="P372" s="2">
        <v>24</v>
      </c>
      <c r="Q372" s="2">
        <v>100.0296</v>
      </c>
      <c r="R372" s="2">
        <v>155</v>
      </c>
      <c r="S372" s="2">
        <v>97.304199999999994</v>
      </c>
      <c r="T372" s="2">
        <v>100</v>
      </c>
      <c r="U372" s="2">
        <v>0.82567000000000002</v>
      </c>
      <c r="V372" s="2">
        <v>41</v>
      </c>
      <c r="W372" s="2">
        <v>2013</v>
      </c>
    </row>
    <row r="373" spans="1:23" ht="12.3" x14ac:dyDescent="0.4">
      <c r="A373" s="2" t="s">
        <v>18</v>
      </c>
      <c r="B373" s="2">
        <v>6</v>
      </c>
      <c r="C373" s="3" t="s">
        <v>33</v>
      </c>
      <c r="D373" s="25"/>
      <c r="E373" s="25"/>
      <c r="F373" s="25"/>
      <c r="G373" s="25"/>
      <c r="H373" s="25"/>
      <c r="I373" s="2">
        <v>64.573099999999997</v>
      </c>
      <c r="J373" s="2">
        <v>234</v>
      </c>
      <c r="K373" s="2">
        <v>64.419799999999995</v>
      </c>
      <c r="L373" s="2">
        <v>242</v>
      </c>
      <c r="M373" s="2">
        <v>105.58499999999999</v>
      </c>
      <c r="N373" s="2">
        <v>79</v>
      </c>
      <c r="O373" s="2">
        <v>107.7735</v>
      </c>
      <c r="P373" s="2">
        <v>54</v>
      </c>
      <c r="Q373" s="2">
        <v>97.834900000000005</v>
      </c>
      <c r="R373" s="2">
        <v>108</v>
      </c>
      <c r="S373" s="2">
        <v>94.360299999999995</v>
      </c>
      <c r="T373" s="2">
        <v>46</v>
      </c>
      <c r="U373" s="2">
        <v>0.82178300000000004</v>
      </c>
      <c r="V373" s="2">
        <v>43</v>
      </c>
      <c r="W373" s="2">
        <v>2013</v>
      </c>
    </row>
    <row r="374" spans="1:23" ht="12.3" hidden="1" x14ac:dyDescent="0.4">
      <c r="A374" s="2" t="s">
        <v>120</v>
      </c>
      <c r="B374" s="2"/>
      <c r="C374" s="2"/>
      <c r="D374" s="2"/>
      <c r="E374" s="2"/>
      <c r="F374" s="2"/>
      <c r="G374" s="2"/>
      <c r="H374" s="2"/>
      <c r="I374" s="2">
        <v>68.858900000000006</v>
      </c>
      <c r="J374" s="2">
        <v>149</v>
      </c>
      <c r="K374" s="2">
        <v>68.233999999999995</v>
      </c>
      <c r="L374" s="2">
        <v>174</v>
      </c>
      <c r="M374" s="2">
        <v>103.9229</v>
      </c>
      <c r="N374" s="2">
        <v>96</v>
      </c>
      <c r="O374" s="2">
        <v>106.4743</v>
      </c>
      <c r="P374" s="2">
        <v>70</v>
      </c>
      <c r="Q374" s="2">
        <v>98.537300000000002</v>
      </c>
      <c r="R374" s="2">
        <v>106</v>
      </c>
      <c r="S374" s="2">
        <v>94.550799999999995</v>
      </c>
      <c r="T374" s="2">
        <v>42</v>
      </c>
      <c r="U374" s="2">
        <v>0.79670300000000005</v>
      </c>
      <c r="V374" s="2">
        <v>46</v>
      </c>
      <c r="W374" s="2">
        <v>2003</v>
      </c>
    </row>
    <row r="375" spans="1:23" ht="12.3" hidden="1" x14ac:dyDescent="0.4">
      <c r="A375" s="2" t="s">
        <v>92</v>
      </c>
      <c r="B375" s="2"/>
      <c r="C375" s="2"/>
      <c r="D375" s="2"/>
      <c r="E375" s="2"/>
      <c r="F375" s="2"/>
      <c r="G375" s="2"/>
      <c r="H375" s="2"/>
      <c r="I375" s="2">
        <v>71.506200000000007</v>
      </c>
      <c r="J375" s="2">
        <v>61</v>
      </c>
      <c r="K375" s="2">
        <v>70.400599999999997</v>
      </c>
      <c r="L375" s="2">
        <v>88</v>
      </c>
      <c r="M375" s="2">
        <v>103.4346</v>
      </c>
      <c r="N375" s="2">
        <v>110</v>
      </c>
      <c r="O375" s="2">
        <v>105.6023</v>
      </c>
      <c r="P375" s="2">
        <v>86</v>
      </c>
      <c r="Q375" s="2">
        <v>97.438000000000002</v>
      </c>
      <c r="R375" s="2">
        <v>76</v>
      </c>
      <c r="S375" s="2">
        <v>93.86</v>
      </c>
      <c r="T375" s="2">
        <v>28</v>
      </c>
      <c r="U375" s="2">
        <v>0.79503900000000005</v>
      </c>
      <c r="V375" s="2">
        <v>47</v>
      </c>
      <c r="W375" s="2">
        <v>2003</v>
      </c>
    </row>
    <row r="376" spans="1:23" ht="12.3" x14ac:dyDescent="0.4">
      <c r="A376" s="2" t="s">
        <v>41</v>
      </c>
      <c r="B376" s="2">
        <v>12</v>
      </c>
      <c r="C376" s="4" t="s">
        <v>33</v>
      </c>
      <c r="D376" s="4" t="s">
        <v>33</v>
      </c>
      <c r="E376" s="25"/>
      <c r="F376" s="25"/>
      <c r="G376" s="25"/>
      <c r="H376" s="25"/>
      <c r="I376" s="2">
        <v>68.858900000000006</v>
      </c>
      <c r="J376" s="2">
        <v>58</v>
      </c>
      <c r="K376" s="2">
        <v>68.899900000000002</v>
      </c>
      <c r="L376" s="2">
        <v>46</v>
      </c>
      <c r="M376" s="2">
        <v>102.319</v>
      </c>
      <c r="N376" s="2">
        <v>139</v>
      </c>
      <c r="O376" s="2">
        <v>102.9085</v>
      </c>
      <c r="P376" s="2">
        <v>132</v>
      </c>
      <c r="Q376" s="2">
        <v>90.329700000000003</v>
      </c>
      <c r="R376" s="2">
        <v>13</v>
      </c>
      <c r="S376" s="2">
        <v>90.257300000000001</v>
      </c>
      <c r="T376" s="2">
        <v>15</v>
      </c>
      <c r="U376" s="2">
        <v>0.81884199999999996</v>
      </c>
      <c r="V376" s="2">
        <v>44</v>
      </c>
      <c r="W376" s="2">
        <v>2013</v>
      </c>
    </row>
    <row r="377" spans="1:23" ht="12.3" x14ac:dyDescent="0.4">
      <c r="A377" s="2" t="s">
        <v>244</v>
      </c>
      <c r="B377" s="2">
        <v>11</v>
      </c>
      <c r="C377" s="25"/>
      <c r="D377" s="25"/>
      <c r="E377" s="25"/>
      <c r="F377" s="25"/>
      <c r="G377" s="25"/>
      <c r="H377" s="25"/>
      <c r="I377" s="2">
        <v>68.227099999999993</v>
      </c>
      <c r="J377" s="2">
        <v>79</v>
      </c>
      <c r="K377" s="2">
        <v>67.317999999999998</v>
      </c>
      <c r="L377" s="2">
        <v>107</v>
      </c>
      <c r="M377" s="2">
        <v>112.44970000000001</v>
      </c>
      <c r="N377" s="2">
        <v>11</v>
      </c>
      <c r="O377" s="2">
        <v>108.77200000000001</v>
      </c>
      <c r="P377" s="2">
        <v>45</v>
      </c>
      <c r="Q377" s="2">
        <v>94.444699999999997</v>
      </c>
      <c r="R377" s="2">
        <v>49</v>
      </c>
      <c r="S377" s="2">
        <v>95.517600000000002</v>
      </c>
      <c r="T377" s="2">
        <v>71</v>
      </c>
      <c r="U377" s="2">
        <v>0.81672999999999996</v>
      </c>
      <c r="V377" s="2">
        <v>46</v>
      </c>
      <c r="W377" s="2">
        <v>2013</v>
      </c>
    </row>
    <row r="378" spans="1:23" ht="12.3" hidden="1" x14ac:dyDescent="0.4">
      <c r="A378" s="2" t="s">
        <v>119</v>
      </c>
      <c r="B378" s="2"/>
      <c r="C378" s="2"/>
      <c r="D378" s="2"/>
      <c r="E378" s="2"/>
      <c r="F378" s="2"/>
      <c r="G378" s="2"/>
      <c r="H378" s="2"/>
      <c r="I378" s="2">
        <v>68.071799999999996</v>
      </c>
      <c r="J378" s="2">
        <v>186</v>
      </c>
      <c r="K378" s="2">
        <v>67.441000000000003</v>
      </c>
      <c r="L378" s="2">
        <v>211</v>
      </c>
      <c r="M378" s="2">
        <v>98.795000000000002</v>
      </c>
      <c r="N378" s="2">
        <v>214</v>
      </c>
      <c r="O378" s="2">
        <v>102.25620000000001</v>
      </c>
      <c r="P378" s="2">
        <v>141</v>
      </c>
      <c r="Q378" s="2">
        <v>96.289000000000001</v>
      </c>
      <c r="R378" s="2">
        <v>53</v>
      </c>
      <c r="S378" s="2">
        <v>91.483000000000004</v>
      </c>
      <c r="T378" s="2">
        <v>14</v>
      </c>
      <c r="U378" s="2">
        <v>0.782497</v>
      </c>
      <c r="V378" s="2">
        <v>50</v>
      </c>
      <c r="W378" s="2">
        <v>2003</v>
      </c>
    </row>
    <row r="379" spans="1:23" ht="12.3" x14ac:dyDescent="0.4">
      <c r="A379" s="2" t="s">
        <v>65</v>
      </c>
      <c r="B379" s="2">
        <v>6</v>
      </c>
      <c r="C379" s="25"/>
      <c r="D379" s="25"/>
      <c r="E379" s="25"/>
      <c r="F379" s="25"/>
      <c r="G379" s="25"/>
      <c r="H379" s="25"/>
      <c r="I379" s="2">
        <v>69.538899999999998</v>
      </c>
      <c r="J379" s="2">
        <v>37</v>
      </c>
      <c r="K379" s="2">
        <v>69.321899999999999</v>
      </c>
      <c r="L379" s="2">
        <v>35</v>
      </c>
      <c r="M379" s="2">
        <v>105.8964</v>
      </c>
      <c r="N379" s="2">
        <v>75</v>
      </c>
      <c r="O379" s="2">
        <v>108.45350000000001</v>
      </c>
      <c r="P379" s="2">
        <v>48</v>
      </c>
      <c r="Q379" s="2">
        <v>97.799899999999994</v>
      </c>
      <c r="R379" s="2">
        <v>106</v>
      </c>
      <c r="S379" s="2">
        <v>95.399799999999999</v>
      </c>
      <c r="T379" s="2">
        <v>69</v>
      </c>
      <c r="U379" s="2">
        <v>0.81378899999999998</v>
      </c>
      <c r="V379" s="2">
        <v>47</v>
      </c>
      <c r="W379" s="2">
        <v>2013</v>
      </c>
    </row>
    <row r="380" spans="1:23" ht="12.3" x14ac:dyDescent="0.4">
      <c r="A380" s="2" t="s">
        <v>289</v>
      </c>
      <c r="B380" s="2">
        <v>11</v>
      </c>
      <c r="C380" s="25"/>
      <c r="D380" s="25"/>
      <c r="E380" s="25"/>
      <c r="F380" s="25"/>
      <c r="G380" s="25"/>
      <c r="H380" s="25"/>
      <c r="I380" s="2">
        <v>62.507399999999997</v>
      </c>
      <c r="J380" s="2">
        <v>303</v>
      </c>
      <c r="K380" s="2">
        <v>63.210900000000002</v>
      </c>
      <c r="L380" s="2">
        <v>285</v>
      </c>
      <c r="M380" s="2">
        <v>107.66500000000001</v>
      </c>
      <c r="N380" s="2">
        <v>43</v>
      </c>
      <c r="O380" s="2">
        <v>105.3449</v>
      </c>
      <c r="P380" s="2">
        <v>84</v>
      </c>
      <c r="Q380" s="2">
        <v>92.264300000000006</v>
      </c>
      <c r="R380" s="2">
        <v>29</v>
      </c>
      <c r="S380" s="2">
        <v>92.672600000000003</v>
      </c>
      <c r="T380" s="2">
        <v>32</v>
      </c>
      <c r="U380" s="2">
        <v>0.81365100000000001</v>
      </c>
      <c r="V380" s="2">
        <v>48</v>
      </c>
      <c r="W380" s="2">
        <v>2013</v>
      </c>
    </row>
    <row r="381" spans="1:23" ht="12.3" hidden="1" x14ac:dyDescent="0.4">
      <c r="A381" s="2" t="s">
        <v>81</v>
      </c>
      <c r="B381" s="2"/>
      <c r="C381" s="2"/>
      <c r="D381" s="2"/>
      <c r="E381" s="2"/>
      <c r="F381" s="2"/>
      <c r="G381" s="2"/>
      <c r="H381" s="2"/>
      <c r="I381" s="2">
        <v>66.070999999999998</v>
      </c>
      <c r="J381" s="2">
        <v>264</v>
      </c>
      <c r="K381" s="2">
        <v>65.453199999999995</v>
      </c>
      <c r="L381" s="2">
        <v>281</v>
      </c>
      <c r="M381" s="2">
        <v>103.577</v>
      </c>
      <c r="N381" s="2">
        <v>104</v>
      </c>
      <c r="O381" s="2">
        <v>108.7127</v>
      </c>
      <c r="P381" s="2">
        <v>48</v>
      </c>
      <c r="Q381" s="2">
        <v>100.0222</v>
      </c>
      <c r="R381" s="2">
        <v>146</v>
      </c>
      <c r="S381" s="2">
        <v>97.647300000000001</v>
      </c>
      <c r="T381" s="2">
        <v>86</v>
      </c>
      <c r="U381" s="2">
        <v>0.77460300000000004</v>
      </c>
      <c r="V381" s="2">
        <v>53</v>
      </c>
      <c r="W381" s="2">
        <v>2003</v>
      </c>
    </row>
    <row r="382" spans="1:23" ht="12.3" x14ac:dyDescent="0.4">
      <c r="A382" s="2" t="s">
        <v>44</v>
      </c>
      <c r="B382" s="2">
        <v>7</v>
      </c>
      <c r="C382" s="4" t="s">
        <v>33</v>
      </c>
      <c r="D382" s="25"/>
      <c r="E382" s="25"/>
      <c r="F382" s="25"/>
      <c r="G382" s="25"/>
      <c r="H382" s="25"/>
      <c r="I382" s="2">
        <v>65.616200000000006</v>
      </c>
      <c r="J382" s="2">
        <v>190</v>
      </c>
      <c r="K382" s="2">
        <v>65.989599999999996</v>
      </c>
      <c r="L382" s="2">
        <v>166</v>
      </c>
      <c r="M382" s="2">
        <v>104.0076</v>
      </c>
      <c r="N382" s="2">
        <v>103</v>
      </c>
      <c r="O382" s="2">
        <v>107.5025</v>
      </c>
      <c r="P382" s="2">
        <v>57</v>
      </c>
      <c r="Q382" s="2">
        <v>99.375299999999996</v>
      </c>
      <c r="R382" s="2">
        <v>147</v>
      </c>
      <c r="S382" s="2">
        <v>94.662000000000006</v>
      </c>
      <c r="T382" s="2">
        <v>53</v>
      </c>
      <c r="U382" s="2">
        <v>0.81196199999999996</v>
      </c>
      <c r="V382" s="2">
        <v>49</v>
      </c>
      <c r="W382" s="2">
        <v>2013</v>
      </c>
    </row>
    <row r="383" spans="1:23" ht="12.3" x14ac:dyDescent="0.4">
      <c r="A383" s="2" t="s">
        <v>38</v>
      </c>
      <c r="B383" s="2">
        <v>10</v>
      </c>
      <c r="C383" s="25"/>
      <c r="D383" s="25"/>
      <c r="E383" s="25"/>
      <c r="F383" s="25"/>
      <c r="G383" s="25"/>
      <c r="H383" s="25"/>
      <c r="I383" s="2">
        <v>66.770899999999997</v>
      </c>
      <c r="J383" s="2">
        <v>134</v>
      </c>
      <c r="K383" s="2">
        <v>66.814499999999995</v>
      </c>
      <c r="L383" s="2">
        <v>129</v>
      </c>
      <c r="M383" s="2">
        <v>105.52889999999999</v>
      </c>
      <c r="N383" s="2">
        <v>81</v>
      </c>
      <c r="O383" s="2">
        <v>109.8045</v>
      </c>
      <c r="P383" s="2">
        <v>36</v>
      </c>
      <c r="Q383" s="2">
        <v>98.341099999999997</v>
      </c>
      <c r="R383" s="2">
        <v>124</v>
      </c>
      <c r="S383" s="2">
        <v>96.762699999999995</v>
      </c>
      <c r="T383" s="2">
        <v>90</v>
      </c>
      <c r="U383" s="2">
        <v>0.81062100000000004</v>
      </c>
      <c r="V383" s="2">
        <v>50</v>
      </c>
      <c r="W383" s="2">
        <v>2013</v>
      </c>
    </row>
    <row r="384" spans="1:23" ht="12.3" hidden="1" x14ac:dyDescent="0.4">
      <c r="A384" s="2" t="s">
        <v>78</v>
      </c>
      <c r="B384" s="2"/>
      <c r="C384" s="2"/>
      <c r="D384" s="2"/>
      <c r="E384" s="2"/>
      <c r="F384" s="2"/>
      <c r="G384" s="2"/>
      <c r="H384" s="2"/>
      <c r="I384" s="2">
        <v>70.621799999999993</v>
      </c>
      <c r="J384" s="2">
        <v>89</v>
      </c>
      <c r="K384" s="2">
        <v>70.717600000000004</v>
      </c>
      <c r="L384" s="2">
        <v>77</v>
      </c>
      <c r="M384" s="2">
        <v>100.8763</v>
      </c>
      <c r="N384" s="2">
        <v>173</v>
      </c>
      <c r="O384" s="2">
        <v>104.0245</v>
      </c>
      <c r="P384" s="2">
        <v>109</v>
      </c>
      <c r="Q384" s="2">
        <v>98.181600000000003</v>
      </c>
      <c r="R384" s="2">
        <v>94</v>
      </c>
      <c r="S384" s="2">
        <v>93.885400000000004</v>
      </c>
      <c r="T384" s="2">
        <v>29</v>
      </c>
      <c r="U384" s="2">
        <v>0.76483000000000001</v>
      </c>
      <c r="V384" s="2">
        <v>56</v>
      </c>
      <c r="W384" s="2">
        <v>2003</v>
      </c>
    </row>
    <row r="385" spans="1:23" ht="12.3" x14ac:dyDescent="0.4">
      <c r="A385" s="2" t="s">
        <v>78</v>
      </c>
      <c r="B385" s="2">
        <v>9</v>
      </c>
      <c r="C385" s="25"/>
      <c r="D385" s="25"/>
      <c r="E385" s="25"/>
      <c r="F385" s="25"/>
      <c r="G385" s="25"/>
      <c r="H385" s="25"/>
      <c r="I385" s="2">
        <v>66.939599999999999</v>
      </c>
      <c r="J385" s="2">
        <v>126</v>
      </c>
      <c r="K385" s="2">
        <v>67.676299999999998</v>
      </c>
      <c r="L385" s="2">
        <v>93</v>
      </c>
      <c r="M385" s="2">
        <v>98.729600000000005</v>
      </c>
      <c r="N385" s="2">
        <v>213</v>
      </c>
      <c r="O385" s="2">
        <v>103.59139999999999</v>
      </c>
      <c r="P385" s="2">
        <v>121</v>
      </c>
      <c r="Q385" s="2">
        <v>95.161199999999994</v>
      </c>
      <c r="R385" s="2">
        <v>60</v>
      </c>
      <c r="S385" s="2">
        <v>91.355099999999993</v>
      </c>
      <c r="T385" s="2">
        <v>21</v>
      </c>
      <c r="U385" s="2">
        <v>0.80931200000000003</v>
      </c>
      <c r="V385" s="2">
        <v>51</v>
      </c>
      <c r="W385" s="2">
        <v>2013</v>
      </c>
    </row>
    <row r="386" spans="1:23" ht="12.3" hidden="1" x14ac:dyDescent="0.4">
      <c r="A386" s="2" t="s">
        <v>168</v>
      </c>
      <c r="B386" s="2"/>
      <c r="C386" s="2"/>
      <c r="D386" s="2"/>
      <c r="E386" s="2"/>
      <c r="F386" s="2"/>
      <c r="G386" s="2"/>
      <c r="H386" s="2"/>
      <c r="I386" s="2">
        <v>70.974999999999994</v>
      </c>
      <c r="J386" s="2">
        <v>75</v>
      </c>
      <c r="K386" s="2">
        <v>69.485699999999994</v>
      </c>
      <c r="L386" s="2">
        <v>118</v>
      </c>
      <c r="M386" s="2">
        <v>99.552300000000002</v>
      </c>
      <c r="N386" s="2">
        <v>203</v>
      </c>
      <c r="O386" s="2">
        <v>105.03530000000001</v>
      </c>
      <c r="P386" s="2">
        <v>92</v>
      </c>
      <c r="Q386" s="2">
        <v>99.352699999999999</v>
      </c>
      <c r="R386" s="2">
        <v>129</v>
      </c>
      <c r="S386" s="2">
        <v>94.885999999999996</v>
      </c>
      <c r="T386" s="2">
        <v>45</v>
      </c>
      <c r="U386" s="2">
        <v>0.76289799999999997</v>
      </c>
      <c r="V386" s="2">
        <v>58</v>
      </c>
      <c r="W386" s="2">
        <v>2003</v>
      </c>
    </row>
    <row r="387" spans="1:23" ht="12.3" hidden="1" x14ac:dyDescent="0.4">
      <c r="A387" s="2" t="s">
        <v>62</v>
      </c>
      <c r="B387" s="2"/>
      <c r="C387" s="2"/>
      <c r="D387" s="2"/>
      <c r="E387" s="2"/>
      <c r="F387" s="2"/>
      <c r="G387" s="2"/>
      <c r="H387" s="2"/>
      <c r="I387" s="2">
        <v>73.6708</v>
      </c>
      <c r="J387" s="2">
        <v>22</v>
      </c>
      <c r="K387" s="2">
        <v>72.134200000000007</v>
      </c>
      <c r="L387" s="2">
        <v>43</v>
      </c>
      <c r="M387" s="2">
        <v>101.124</v>
      </c>
      <c r="N387" s="2">
        <v>168</v>
      </c>
      <c r="O387" s="2">
        <v>104.14870000000001</v>
      </c>
      <c r="P387" s="2">
        <v>106</v>
      </c>
      <c r="Q387" s="2">
        <v>92.96</v>
      </c>
      <c r="R387" s="2">
        <v>20</v>
      </c>
      <c r="S387" s="2">
        <v>94.098100000000002</v>
      </c>
      <c r="T387" s="2">
        <v>34</v>
      </c>
      <c r="U387" s="2">
        <v>0.76260899999999998</v>
      </c>
      <c r="V387" s="2">
        <v>59</v>
      </c>
      <c r="W387" s="2">
        <v>2003</v>
      </c>
    </row>
    <row r="388" spans="1:23" ht="12.3" hidden="1" x14ac:dyDescent="0.4">
      <c r="A388" s="2" t="s">
        <v>51</v>
      </c>
      <c r="B388" s="2"/>
      <c r="C388" s="2"/>
      <c r="D388" s="2"/>
      <c r="E388" s="2"/>
      <c r="F388" s="2"/>
      <c r="G388" s="2"/>
      <c r="H388" s="2"/>
      <c r="I388" s="2">
        <v>63.602899999999998</v>
      </c>
      <c r="J388" s="2">
        <v>305</v>
      </c>
      <c r="K388" s="2">
        <v>64.390600000000006</v>
      </c>
      <c r="L388" s="2">
        <v>298</v>
      </c>
      <c r="M388" s="2">
        <v>104.4053</v>
      </c>
      <c r="N388" s="2">
        <v>85</v>
      </c>
      <c r="O388" s="2">
        <v>110.4903</v>
      </c>
      <c r="P388" s="2">
        <v>24</v>
      </c>
      <c r="Q388" s="2">
        <v>99.798599999999993</v>
      </c>
      <c r="R388" s="2">
        <v>139</v>
      </c>
      <c r="S388" s="2">
        <v>100.012</v>
      </c>
      <c r="T388" s="2">
        <v>137</v>
      </c>
      <c r="U388" s="2">
        <v>0.75874799999999998</v>
      </c>
      <c r="V388" s="2">
        <v>60</v>
      </c>
      <c r="W388" s="2">
        <v>2003</v>
      </c>
    </row>
    <row r="389" spans="1:23" ht="12.3" x14ac:dyDescent="0.4">
      <c r="A389" s="2" t="s">
        <v>129</v>
      </c>
      <c r="B389" s="2">
        <v>10</v>
      </c>
      <c r="C389" s="25"/>
      <c r="D389" s="25"/>
      <c r="E389" s="25"/>
      <c r="F389" s="25"/>
      <c r="G389" s="25"/>
      <c r="H389" s="25"/>
      <c r="I389" s="2">
        <v>65.714699999999993</v>
      </c>
      <c r="J389" s="2">
        <v>186</v>
      </c>
      <c r="K389" s="2">
        <v>64.976600000000005</v>
      </c>
      <c r="L389" s="2">
        <v>216</v>
      </c>
      <c r="M389" s="2">
        <v>101.7469</v>
      </c>
      <c r="N389" s="2">
        <v>154</v>
      </c>
      <c r="O389" s="2">
        <v>104.03449999999999</v>
      </c>
      <c r="P389" s="2">
        <v>112</v>
      </c>
      <c r="Q389" s="2">
        <v>95.493700000000004</v>
      </c>
      <c r="R389" s="2">
        <v>62</v>
      </c>
      <c r="S389" s="2">
        <v>91.778300000000002</v>
      </c>
      <c r="T389" s="2">
        <v>25</v>
      </c>
      <c r="U389" s="2">
        <v>0.80868499999999999</v>
      </c>
      <c r="V389" s="2">
        <v>52</v>
      </c>
      <c r="W389" s="2">
        <v>2013</v>
      </c>
    </row>
    <row r="390" spans="1:23" ht="12.3" x14ac:dyDescent="0.4">
      <c r="A390" s="2" t="s">
        <v>256</v>
      </c>
      <c r="B390" s="2">
        <v>12</v>
      </c>
      <c r="C390" s="25"/>
      <c r="D390" s="25"/>
      <c r="E390" s="25"/>
      <c r="F390" s="25"/>
      <c r="G390" s="25"/>
      <c r="H390" s="25"/>
      <c r="I390" s="2">
        <v>66.381200000000007</v>
      </c>
      <c r="J390" s="2">
        <v>154</v>
      </c>
      <c r="K390" s="2">
        <v>66.623800000000003</v>
      </c>
      <c r="L390" s="2">
        <v>135</v>
      </c>
      <c r="M390" s="2">
        <v>106.6609</v>
      </c>
      <c r="N390" s="2">
        <v>62</v>
      </c>
      <c r="O390" s="2">
        <v>105.1566</v>
      </c>
      <c r="P390" s="2">
        <v>87</v>
      </c>
      <c r="Q390" s="2">
        <v>92.332300000000004</v>
      </c>
      <c r="R390" s="2">
        <v>31</v>
      </c>
      <c r="S390" s="2">
        <v>92.875900000000001</v>
      </c>
      <c r="T390" s="2">
        <v>33</v>
      </c>
      <c r="U390" s="2">
        <v>0.806612</v>
      </c>
      <c r="V390" s="2">
        <v>53</v>
      </c>
      <c r="W390" s="2">
        <v>2013</v>
      </c>
    </row>
    <row r="391" spans="1:23" ht="12.3" hidden="1" x14ac:dyDescent="0.4">
      <c r="A391" s="2" t="s">
        <v>132</v>
      </c>
      <c r="B391" s="2"/>
      <c r="C391" s="2"/>
      <c r="D391" s="2"/>
      <c r="E391" s="2"/>
      <c r="F391" s="2"/>
      <c r="G391" s="2"/>
      <c r="H391" s="2"/>
      <c r="I391" s="2">
        <v>65.271600000000007</v>
      </c>
      <c r="J391" s="2">
        <v>284</v>
      </c>
      <c r="K391" s="2">
        <v>65.900199999999998</v>
      </c>
      <c r="L391" s="2">
        <v>272</v>
      </c>
      <c r="M391" s="2">
        <v>108.83499999999999</v>
      </c>
      <c r="N391" s="2">
        <v>34</v>
      </c>
      <c r="O391" s="2">
        <v>108.5082</v>
      </c>
      <c r="P391" s="2">
        <v>51</v>
      </c>
      <c r="Q391" s="2">
        <v>99.749300000000005</v>
      </c>
      <c r="R391" s="2">
        <v>138</v>
      </c>
      <c r="S391" s="2">
        <v>98.551900000000003</v>
      </c>
      <c r="T391" s="2">
        <v>106</v>
      </c>
      <c r="U391" s="2">
        <v>0.751529</v>
      </c>
      <c r="V391" s="2">
        <v>63</v>
      </c>
      <c r="W391" s="2">
        <v>2003</v>
      </c>
    </row>
    <row r="392" spans="1:23" ht="12.3" hidden="1" x14ac:dyDescent="0.4">
      <c r="A392" s="2" t="s">
        <v>154</v>
      </c>
      <c r="B392" s="2"/>
      <c r="C392" s="2"/>
      <c r="D392" s="2"/>
      <c r="E392" s="2"/>
      <c r="F392" s="2"/>
      <c r="G392" s="2"/>
      <c r="H392" s="2"/>
      <c r="I392" s="2">
        <v>67.079599999999999</v>
      </c>
      <c r="J392" s="2">
        <v>236</v>
      </c>
      <c r="K392" s="2">
        <v>66.525400000000005</v>
      </c>
      <c r="L392" s="2">
        <v>255</v>
      </c>
      <c r="M392" s="2">
        <v>102.8985</v>
      </c>
      <c r="N392" s="2">
        <v>125</v>
      </c>
      <c r="O392" s="2">
        <v>107.68819999999999</v>
      </c>
      <c r="P392" s="2">
        <v>60</v>
      </c>
      <c r="Q392" s="2">
        <v>100.4898</v>
      </c>
      <c r="R392" s="2">
        <v>156</v>
      </c>
      <c r="S392" s="2">
        <v>97.870400000000004</v>
      </c>
      <c r="T392" s="2">
        <v>90</v>
      </c>
      <c r="U392" s="2">
        <v>0.750139</v>
      </c>
      <c r="V392" s="2">
        <v>64</v>
      </c>
      <c r="W392" s="2">
        <v>2003</v>
      </c>
    </row>
    <row r="393" spans="1:23" ht="12.3" hidden="1" x14ac:dyDescent="0.4">
      <c r="A393" s="2" t="s">
        <v>109</v>
      </c>
      <c r="B393" s="2"/>
      <c r="C393" s="2"/>
      <c r="D393" s="2"/>
      <c r="E393" s="2"/>
      <c r="F393" s="2"/>
      <c r="G393" s="2"/>
      <c r="H393" s="2"/>
      <c r="I393" s="2">
        <v>71.004400000000004</v>
      </c>
      <c r="J393" s="2">
        <v>73</v>
      </c>
      <c r="K393" s="2">
        <v>71.289299999999997</v>
      </c>
      <c r="L393" s="2">
        <v>57</v>
      </c>
      <c r="M393" s="2">
        <v>106.29689999999999</v>
      </c>
      <c r="N393" s="2">
        <v>62</v>
      </c>
      <c r="O393" s="2">
        <v>106.9718</v>
      </c>
      <c r="P393" s="2">
        <v>65</v>
      </c>
      <c r="Q393" s="2">
        <v>99.105699999999999</v>
      </c>
      <c r="R393" s="2">
        <v>122</v>
      </c>
      <c r="S393" s="2">
        <v>97.303899999999999</v>
      </c>
      <c r="T393" s="2">
        <v>83</v>
      </c>
      <c r="U393" s="2">
        <v>0.74825900000000001</v>
      </c>
      <c r="V393" s="2">
        <v>65</v>
      </c>
      <c r="W393" s="2">
        <v>2003</v>
      </c>
    </row>
    <row r="394" spans="1:23" ht="12.3" hidden="1" x14ac:dyDescent="0.4">
      <c r="A394" s="2" t="s">
        <v>117</v>
      </c>
      <c r="B394" s="2"/>
      <c r="C394" s="2"/>
      <c r="D394" s="2"/>
      <c r="E394" s="2"/>
      <c r="F394" s="2"/>
      <c r="G394" s="2"/>
      <c r="H394" s="2"/>
      <c r="I394" s="2">
        <v>71.257400000000004</v>
      </c>
      <c r="J394" s="2">
        <v>66</v>
      </c>
      <c r="K394" s="2">
        <v>71.472800000000007</v>
      </c>
      <c r="L394" s="2">
        <v>54</v>
      </c>
      <c r="M394" s="2">
        <v>105.6366</v>
      </c>
      <c r="N394" s="2">
        <v>75</v>
      </c>
      <c r="O394" s="2">
        <v>106.42570000000001</v>
      </c>
      <c r="P394" s="2">
        <v>74</v>
      </c>
      <c r="Q394" s="2">
        <v>97.067099999999996</v>
      </c>
      <c r="R394" s="2">
        <v>69</v>
      </c>
      <c r="S394" s="2">
        <v>96.856899999999996</v>
      </c>
      <c r="T394" s="2">
        <v>74</v>
      </c>
      <c r="U394" s="2">
        <v>0.74714700000000001</v>
      </c>
      <c r="V394" s="2">
        <v>66</v>
      </c>
      <c r="W394" s="2">
        <v>2003</v>
      </c>
    </row>
    <row r="395" spans="1:23" ht="12.3" hidden="1" x14ac:dyDescent="0.4">
      <c r="A395" s="2" t="s">
        <v>146</v>
      </c>
      <c r="B395" s="2"/>
      <c r="C395" s="2"/>
      <c r="D395" s="2"/>
      <c r="E395" s="2"/>
      <c r="F395" s="2"/>
      <c r="G395" s="2"/>
      <c r="H395" s="2"/>
      <c r="I395" s="2">
        <v>68.799599999999998</v>
      </c>
      <c r="J395" s="2">
        <v>152</v>
      </c>
      <c r="K395" s="2">
        <v>67.672600000000003</v>
      </c>
      <c r="L395" s="2">
        <v>200</v>
      </c>
      <c r="M395" s="2">
        <v>102.2774</v>
      </c>
      <c r="N395" s="2">
        <v>144</v>
      </c>
      <c r="O395" s="2">
        <v>106.4152</v>
      </c>
      <c r="P395" s="2">
        <v>75</v>
      </c>
      <c r="Q395" s="2">
        <v>97.222700000000003</v>
      </c>
      <c r="R395" s="2">
        <v>73</v>
      </c>
      <c r="S395" s="2">
        <v>96.960599999999999</v>
      </c>
      <c r="T395" s="2">
        <v>77</v>
      </c>
      <c r="U395" s="2">
        <v>0.74459900000000001</v>
      </c>
      <c r="V395" s="2">
        <v>67</v>
      </c>
      <c r="W395" s="2">
        <v>2003</v>
      </c>
    </row>
    <row r="396" spans="1:23" ht="12.3" hidden="1" x14ac:dyDescent="0.4">
      <c r="A396" s="2" t="s">
        <v>88</v>
      </c>
      <c r="B396" s="2"/>
      <c r="C396" s="2"/>
      <c r="D396" s="2"/>
      <c r="E396" s="2"/>
      <c r="F396" s="2"/>
      <c r="G396" s="2"/>
      <c r="H396" s="2"/>
      <c r="I396" s="2">
        <v>64.049199999999999</v>
      </c>
      <c r="J396" s="2">
        <v>302</v>
      </c>
      <c r="K396" s="2">
        <v>64.493899999999996</v>
      </c>
      <c r="L396" s="2">
        <v>297</v>
      </c>
      <c r="M396" s="2">
        <v>103.7655</v>
      </c>
      <c r="N396" s="2">
        <v>101</v>
      </c>
      <c r="O396" s="2">
        <v>108.4794</v>
      </c>
      <c r="P396" s="2">
        <v>53</v>
      </c>
      <c r="Q396" s="2">
        <v>104.8737</v>
      </c>
      <c r="R396" s="2">
        <v>252</v>
      </c>
      <c r="S396" s="2">
        <v>99.151600000000002</v>
      </c>
      <c r="T396" s="2">
        <v>120</v>
      </c>
      <c r="U396" s="2">
        <v>0.73768500000000004</v>
      </c>
      <c r="V396" s="2">
        <v>68</v>
      </c>
      <c r="W396" s="2">
        <v>2003</v>
      </c>
    </row>
    <row r="397" spans="1:23" ht="12.3" hidden="1" x14ac:dyDescent="0.4">
      <c r="A397" s="2" t="s">
        <v>148</v>
      </c>
      <c r="B397" s="2"/>
      <c r="C397" s="2"/>
      <c r="D397" s="2"/>
      <c r="E397" s="2"/>
      <c r="F397" s="2"/>
      <c r="G397" s="2"/>
      <c r="H397" s="2"/>
      <c r="I397" s="2">
        <v>67.295000000000002</v>
      </c>
      <c r="J397" s="2">
        <v>228</v>
      </c>
      <c r="K397" s="2">
        <v>67.517099999999999</v>
      </c>
      <c r="L397" s="2">
        <v>207</v>
      </c>
      <c r="M397" s="2">
        <v>103.13639999999999</v>
      </c>
      <c r="N397" s="2">
        <v>120</v>
      </c>
      <c r="O397" s="2">
        <v>105.36960000000001</v>
      </c>
      <c r="P397" s="2">
        <v>87</v>
      </c>
      <c r="Q397" s="2">
        <v>98.231099999999998</v>
      </c>
      <c r="R397" s="2">
        <v>97</v>
      </c>
      <c r="S397" s="2">
        <v>96.400099999999995</v>
      </c>
      <c r="T397" s="2">
        <v>66</v>
      </c>
      <c r="U397" s="2">
        <v>0.73557899999999998</v>
      </c>
      <c r="V397" s="2">
        <v>69</v>
      </c>
      <c r="W397" s="2">
        <v>2003</v>
      </c>
    </row>
    <row r="398" spans="1:23" ht="12.3" hidden="1" x14ac:dyDescent="0.4">
      <c r="A398" s="2" t="s">
        <v>144</v>
      </c>
      <c r="B398" s="2"/>
      <c r="C398" s="2"/>
      <c r="D398" s="2"/>
      <c r="E398" s="2"/>
      <c r="F398" s="2"/>
      <c r="G398" s="2"/>
      <c r="H398" s="2"/>
      <c r="I398" s="2">
        <v>68.541799999999995</v>
      </c>
      <c r="J398" s="2">
        <v>162</v>
      </c>
      <c r="K398" s="2">
        <v>69.473200000000006</v>
      </c>
      <c r="L398" s="2">
        <v>119</v>
      </c>
      <c r="M398" s="2">
        <v>110.1105</v>
      </c>
      <c r="N398" s="2">
        <v>24</v>
      </c>
      <c r="O398" s="2">
        <v>109.8871</v>
      </c>
      <c r="P398" s="2">
        <v>36</v>
      </c>
      <c r="Q398" s="2">
        <v>100.57429999999999</v>
      </c>
      <c r="R398" s="2">
        <v>157</v>
      </c>
      <c r="S398" s="2">
        <v>100.6054</v>
      </c>
      <c r="T398" s="2">
        <v>152</v>
      </c>
      <c r="U398" s="2">
        <v>0.73396700000000004</v>
      </c>
      <c r="V398" s="2">
        <v>70</v>
      </c>
      <c r="W398" s="2">
        <v>2003</v>
      </c>
    </row>
    <row r="399" spans="1:23" ht="12.3" hidden="1" x14ac:dyDescent="0.4">
      <c r="A399" s="2" t="s">
        <v>128</v>
      </c>
      <c r="B399" s="2"/>
      <c r="C399" s="2"/>
      <c r="D399" s="2"/>
      <c r="E399" s="2"/>
      <c r="F399" s="2"/>
      <c r="G399" s="2"/>
      <c r="H399" s="2"/>
      <c r="I399" s="2">
        <v>74.692899999999995</v>
      </c>
      <c r="J399" s="2">
        <v>12</v>
      </c>
      <c r="K399" s="2">
        <v>75.659700000000001</v>
      </c>
      <c r="L399" s="2">
        <v>4</v>
      </c>
      <c r="M399" s="2">
        <v>101.5613</v>
      </c>
      <c r="N399" s="2">
        <v>157</v>
      </c>
      <c r="O399" s="2">
        <v>104.03749999999999</v>
      </c>
      <c r="P399" s="2">
        <v>108</v>
      </c>
      <c r="Q399" s="2">
        <v>95.673500000000004</v>
      </c>
      <c r="R399" s="2">
        <v>41</v>
      </c>
      <c r="S399" s="2">
        <v>95.308800000000005</v>
      </c>
      <c r="T399" s="2">
        <v>51</v>
      </c>
      <c r="U399" s="2">
        <v>0.73257499999999998</v>
      </c>
      <c r="V399" s="2">
        <v>71</v>
      </c>
      <c r="W399" s="2">
        <v>2003</v>
      </c>
    </row>
    <row r="400" spans="1:23" ht="12.3" hidden="1" x14ac:dyDescent="0.4">
      <c r="A400" s="2" t="s">
        <v>116</v>
      </c>
      <c r="B400" s="2"/>
      <c r="C400" s="2"/>
      <c r="D400" s="2"/>
      <c r="E400" s="2"/>
      <c r="F400" s="2"/>
      <c r="G400" s="2"/>
      <c r="H400" s="2"/>
      <c r="I400" s="2">
        <v>60.538699999999999</v>
      </c>
      <c r="J400" s="2">
        <v>321</v>
      </c>
      <c r="K400" s="2">
        <v>60.359499999999997</v>
      </c>
      <c r="L400" s="2">
        <v>323</v>
      </c>
      <c r="M400" s="2">
        <v>99.893500000000003</v>
      </c>
      <c r="N400" s="2">
        <v>192</v>
      </c>
      <c r="O400" s="2">
        <v>104.1122</v>
      </c>
      <c r="P400" s="2">
        <v>107</v>
      </c>
      <c r="Q400" s="2">
        <v>98.856800000000007</v>
      </c>
      <c r="R400" s="2">
        <v>115</v>
      </c>
      <c r="S400" s="2">
        <v>95.5167</v>
      </c>
      <c r="T400" s="2">
        <v>57</v>
      </c>
      <c r="U400" s="2">
        <v>0.72927200000000003</v>
      </c>
      <c r="V400" s="2">
        <v>72</v>
      </c>
      <c r="W400" s="2">
        <v>2003</v>
      </c>
    </row>
    <row r="401" spans="1:23" ht="12.3" hidden="1" x14ac:dyDescent="0.4">
      <c r="A401" s="2" t="s">
        <v>207</v>
      </c>
      <c r="B401" s="2"/>
      <c r="C401" s="2"/>
      <c r="D401" s="2"/>
      <c r="E401" s="2"/>
      <c r="F401" s="2"/>
      <c r="G401" s="2"/>
      <c r="H401" s="2"/>
      <c r="I401" s="2">
        <v>66.738799999999998</v>
      </c>
      <c r="J401" s="2">
        <v>244</v>
      </c>
      <c r="K401" s="2">
        <v>66.875399999999999</v>
      </c>
      <c r="L401" s="2">
        <v>240</v>
      </c>
      <c r="M401" s="2">
        <v>100.50449999999999</v>
      </c>
      <c r="N401" s="2">
        <v>183</v>
      </c>
      <c r="O401" s="2">
        <v>103.5299</v>
      </c>
      <c r="P401" s="2">
        <v>117</v>
      </c>
      <c r="Q401" s="2">
        <v>96.7029</v>
      </c>
      <c r="R401" s="2">
        <v>60</v>
      </c>
      <c r="S401" s="2">
        <v>95.006600000000006</v>
      </c>
      <c r="T401" s="2">
        <v>47</v>
      </c>
      <c r="U401" s="2">
        <v>0.72869499999999998</v>
      </c>
      <c r="V401" s="2">
        <v>73</v>
      </c>
      <c r="W401" s="2">
        <v>2003</v>
      </c>
    </row>
    <row r="402" spans="1:23" ht="12.3" x14ac:dyDescent="0.4">
      <c r="A402" s="2" t="s">
        <v>169</v>
      </c>
      <c r="B402" s="2">
        <v>13</v>
      </c>
      <c r="C402" s="4" t="s">
        <v>33</v>
      </c>
      <c r="D402" s="4" t="s">
        <v>33</v>
      </c>
      <c r="E402" s="25"/>
      <c r="F402" s="25"/>
      <c r="G402" s="25"/>
      <c r="H402" s="25"/>
      <c r="I402" s="2">
        <v>67.051900000000003</v>
      </c>
      <c r="J402" s="2">
        <v>122</v>
      </c>
      <c r="K402" s="2">
        <v>66.489199999999997</v>
      </c>
      <c r="L402" s="2">
        <v>141</v>
      </c>
      <c r="M402" s="2">
        <v>107.3454</v>
      </c>
      <c r="N402" s="2">
        <v>51</v>
      </c>
      <c r="O402" s="2">
        <v>107.9554</v>
      </c>
      <c r="P402" s="2">
        <v>52</v>
      </c>
      <c r="Q402" s="2">
        <v>97.857100000000003</v>
      </c>
      <c r="R402" s="2">
        <v>110</v>
      </c>
      <c r="S402" s="2">
        <v>96.515500000000003</v>
      </c>
      <c r="T402" s="2">
        <v>86</v>
      </c>
      <c r="U402" s="2">
        <v>0.78383800000000003</v>
      </c>
      <c r="V402" s="2">
        <v>57</v>
      </c>
      <c r="W402" s="2">
        <v>2013</v>
      </c>
    </row>
    <row r="403" spans="1:23" ht="12.3" x14ac:dyDescent="0.4">
      <c r="A403" s="2" t="s">
        <v>88</v>
      </c>
      <c r="B403" s="2">
        <v>9</v>
      </c>
      <c r="C403" s="4" t="s">
        <v>33</v>
      </c>
      <c r="D403" s="25"/>
      <c r="E403" s="25"/>
      <c r="F403" s="25"/>
      <c r="G403" s="25"/>
      <c r="H403" s="25"/>
      <c r="I403" s="2">
        <v>67.862499999999997</v>
      </c>
      <c r="J403" s="2">
        <v>90</v>
      </c>
      <c r="K403" s="2">
        <v>67.017799999999994</v>
      </c>
      <c r="L403" s="2">
        <v>120</v>
      </c>
      <c r="M403" s="2">
        <v>107.0557</v>
      </c>
      <c r="N403" s="2">
        <v>55</v>
      </c>
      <c r="O403" s="2">
        <v>110.16540000000001</v>
      </c>
      <c r="P403" s="2">
        <v>35</v>
      </c>
      <c r="Q403" s="2">
        <v>100.22499999999999</v>
      </c>
      <c r="R403" s="2">
        <v>158</v>
      </c>
      <c r="S403" s="2">
        <v>99.000500000000002</v>
      </c>
      <c r="T403" s="2">
        <v>129</v>
      </c>
      <c r="U403" s="2">
        <v>0.77361999999999997</v>
      </c>
      <c r="V403" s="2">
        <v>59</v>
      </c>
      <c r="W403" s="2">
        <v>2013</v>
      </c>
    </row>
    <row r="404" spans="1:23" ht="12.3" hidden="1" x14ac:dyDescent="0.4">
      <c r="A404" s="2" t="s">
        <v>21</v>
      </c>
      <c r="B404" s="2"/>
      <c r="C404" s="2"/>
      <c r="D404" s="2"/>
      <c r="E404" s="2"/>
      <c r="F404" s="2"/>
      <c r="G404" s="2"/>
      <c r="H404" s="2"/>
      <c r="I404" s="2">
        <v>65.284999999999997</v>
      </c>
      <c r="J404" s="2">
        <v>282</v>
      </c>
      <c r="K404" s="2">
        <v>65.757800000000003</v>
      </c>
      <c r="L404" s="2">
        <v>274</v>
      </c>
      <c r="M404" s="2">
        <v>97.976600000000005</v>
      </c>
      <c r="N404" s="2">
        <v>228</v>
      </c>
      <c r="O404" s="2">
        <v>100.91670000000001</v>
      </c>
      <c r="P404" s="2">
        <v>174</v>
      </c>
      <c r="Q404" s="2">
        <v>98.272400000000005</v>
      </c>
      <c r="R404" s="2">
        <v>98</v>
      </c>
      <c r="S404" s="2">
        <v>93.451400000000007</v>
      </c>
      <c r="T404" s="2">
        <v>22</v>
      </c>
      <c r="U404" s="2">
        <v>0.70761200000000002</v>
      </c>
      <c r="V404" s="2">
        <v>76</v>
      </c>
      <c r="W404" s="2">
        <v>2003</v>
      </c>
    </row>
    <row r="405" spans="1:23" ht="12.3" hidden="1" x14ac:dyDescent="0.4">
      <c r="A405" s="2" t="s">
        <v>102</v>
      </c>
      <c r="B405" s="2"/>
      <c r="C405" s="2"/>
      <c r="D405" s="2"/>
      <c r="E405" s="2"/>
      <c r="F405" s="2"/>
      <c r="G405" s="2"/>
      <c r="H405" s="2"/>
      <c r="I405" s="2">
        <v>69.600499999999997</v>
      </c>
      <c r="J405" s="2">
        <v>122</v>
      </c>
      <c r="K405" s="2">
        <v>67.703500000000005</v>
      </c>
      <c r="L405" s="2">
        <v>199</v>
      </c>
      <c r="M405" s="2">
        <v>102.4234</v>
      </c>
      <c r="N405" s="2">
        <v>140</v>
      </c>
      <c r="O405" s="2">
        <v>104.4644</v>
      </c>
      <c r="P405" s="2">
        <v>101</v>
      </c>
      <c r="Q405" s="2">
        <v>99.975899999999996</v>
      </c>
      <c r="R405" s="2">
        <v>145</v>
      </c>
      <c r="S405" s="2">
        <v>96.923199999999994</v>
      </c>
      <c r="T405" s="2">
        <v>76</v>
      </c>
      <c r="U405" s="2">
        <v>0.70300700000000005</v>
      </c>
      <c r="V405" s="2">
        <v>77</v>
      </c>
      <c r="W405" s="2">
        <v>2003</v>
      </c>
    </row>
    <row r="406" spans="1:23" ht="12.3" hidden="1" x14ac:dyDescent="0.4">
      <c r="A406" s="2" t="s">
        <v>17</v>
      </c>
      <c r="B406" s="2"/>
      <c r="C406" s="2"/>
      <c r="D406" s="2"/>
      <c r="E406" s="2"/>
      <c r="F406" s="2"/>
      <c r="G406" s="2"/>
      <c r="H406" s="2"/>
      <c r="I406" s="2">
        <v>67.272999999999996</v>
      </c>
      <c r="J406" s="2">
        <v>230</v>
      </c>
      <c r="K406" s="2">
        <v>67.180999999999997</v>
      </c>
      <c r="L406" s="2">
        <v>226</v>
      </c>
      <c r="M406" s="2">
        <v>97.564400000000006</v>
      </c>
      <c r="N406" s="2">
        <v>237</v>
      </c>
      <c r="O406" s="2">
        <v>101.31010000000001</v>
      </c>
      <c r="P406" s="2">
        <v>162</v>
      </c>
      <c r="Q406" s="2">
        <v>99.850800000000007</v>
      </c>
      <c r="R406" s="2">
        <v>142</v>
      </c>
      <c r="S406" s="2">
        <v>94.053200000000004</v>
      </c>
      <c r="T406" s="2">
        <v>33</v>
      </c>
      <c r="U406" s="2">
        <v>0.70156300000000005</v>
      </c>
      <c r="V406" s="2">
        <v>78</v>
      </c>
      <c r="W406" s="2">
        <v>2003</v>
      </c>
    </row>
    <row r="407" spans="1:23" ht="12.3" hidden="1" x14ac:dyDescent="0.4">
      <c r="A407" s="2" t="s">
        <v>20</v>
      </c>
      <c r="B407" s="2"/>
      <c r="C407" s="2"/>
      <c r="D407" s="2"/>
      <c r="E407" s="2"/>
      <c r="F407" s="2"/>
      <c r="G407" s="2"/>
      <c r="H407" s="2"/>
      <c r="I407" s="2">
        <v>70.140900000000002</v>
      </c>
      <c r="J407" s="2">
        <v>105</v>
      </c>
      <c r="K407" s="2">
        <v>68.766000000000005</v>
      </c>
      <c r="L407" s="2">
        <v>150</v>
      </c>
      <c r="M407" s="2">
        <v>97.035799999999995</v>
      </c>
      <c r="N407" s="2">
        <v>244</v>
      </c>
      <c r="O407" s="2">
        <v>99.191800000000001</v>
      </c>
      <c r="P407" s="2">
        <v>200</v>
      </c>
      <c r="Q407" s="2">
        <v>95.207099999999997</v>
      </c>
      <c r="R407" s="2">
        <v>35</v>
      </c>
      <c r="S407" s="2">
        <v>92.465999999999994</v>
      </c>
      <c r="T407" s="2">
        <v>18</v>
      </c>
      <c r="U407" s="2">
        <v>0.69157100000000005</v>
      </c>
      <c r="V407" s="2">
        <v>79</v>
      </c>
      <c r="W407" s="2">
        <v>2003</v>
      </c>
    </row>
    <row r="408" spans="1:23" ht="12.3" hidden="1" x14ac:dyDescent="0.4">
      <c r="A408" s="2" t="s">
        <v>118</v>
      </c>
      <c r="B408" s="2"/>
      <c r="C408" s="2"/>
      <c r="D408" s="2"/>
      <c r="E408" s="2"/>
      <c r="F408" s="2"/>
      <c r="G408" s="2"/>
      <c r="H408" s="2"/>
      <c r="I408" s="2">
        <v>68.660700000000006</v>
      </c>
      <c r="J408" s="2">
        <v>157</v>
      </c>
      <c r="K408" s="2">
        <v>68.830600000000004</v>
      </c>
      <c r="L408" s="2">
        <v>148</v>
      </c>
      <c r="M408" s="2">
        <v>106.139</v>
      </c>
      <c r="N408" s="2">
        <v>65</v>
      </c>
      <c r="O408" s="2">
        <v>106.4448</v>
      </c>
      <c r="P408" s="2">
        <v>71</v>
      </c>
      <c r="Q408" s="2">
        <v>98.014799999999994</v>
      </c>
      <c r="R408" s="2">
        <v>89</v>
      </c>
      <c r="S408" s="2">
        <v>99.251000000000005</v>
      </c>
      <c r="T408" s="2">
        <v>122</v>
      </c>
      <c r="U408" s="2">
        <v>0.69098000000000004</v>
      </c>
      <c r="V408" s="2">
        <v>80</v>
      </c>
      <c r="W408" s="2">
        <v>2003</v>
      </c>
    </row>
    <row r="409" spans="1:23" ht="12.3" hidden="1" x14ac:dyDescent="0.4">
      <c r="A409" s="2" t="s">
        <v>141</v>
      </c>
      <c r="B409" s="2"/>
      <c r="C409" s="2"/>
      <c r="D409" s="2"/>
      <c r="E409" s="2"/>
      <c r="F409" s="2"/>
      <c r="G409" s="2"/>
      <c r="H409" s="2"/>
      <c r="I409" s="2">
        <v>64.204300000000003</v>
      </c>
      <c r="J409" s="2">
        <v>299</v>
      </c>
      <c r="K409" s="2">
        <v>64.787599999999998</v>
      </c>
      <c r="L409" s="2">
        <v>290</v>
      </c>
      <c r="M409" s="2">
        <v>101.2955</v>
      </c>
      <c r="N409" s="2">
        <v>164</v>
      </c>
      <c r="O409" s="2">
        <v>98.411299999999997</v>
      </c>
      <c r="P409" s="2">
        <v>215</v>
      </c>
      <c r="Q409" s="2">
        <v>93.032700000000006</v>
      </c>
      <c r="R409" s="2">
        <v>21</v>
      </c>
      <c r="S409" s="2">
        <v>91.879499999999993</v>
      </c>
      <c r="T409" s="2">
        <v>15</v>
      </c>
      <c r="U409" s="2">
        <v>0.68778799999999995</v>
      </c>
      <c r="V409" s="2">
        <v>81</v>
      </c>
      <c r="W409" s="2">
        <v>2003</v>
      </c>
    </row>
    <row r="410" spans="1:23" ht="12.3" hidden="1" x14ac:dyDescent="0.4">
      <c r="A410" s="2" t="s">
        <v>87</v>
      </c>
      <c r="B410" s="2"/>
      <c r="C410" s="2"/>
      <c r="D410" s="2"/>
      <c r="E410" s="2"/>
      <c r="F410" s="2"/>
      <c r="G410" s="2"/>
      <c r="H410" s="2"/>
      <c r="I410" s="2">
        <v>71.182400000000001</v>
      </c>
      <c r="J410" s="2">
        <v>69</v>
      </c>
      <c r="K410" s="2">
        <v>69.809799999999996</v>
      </c>
      <c r="L410" s="2">
        <v>109</v>
      </c>
      <c r="M410" s="2">
        <v>102.6461</v>
      </c>
      <c r="N410" s="2">
        <v>133</v>
      </c>
      <c r="O410" s="2">
        <v>107.44540000000001</v>
      </c>
      <c r="P410" s="2">
        <v>62</v>
      </c>
      <c r="Q410" s="2">
        <v>104.7167</v>
      </c>
      <c r="R410" s="2">
        <v>248</v>
      </c>
      <c r="S410" s="2">
        <v>100.41930000000001</v>
      </c>
      <c r="T410" s="2">
        <v>149</v>
      </c>
      <c r="U410" s="2">
        <v>0.68518999999999997</v>
      </c>
      <c r="V410" s="2">
        <v>82</v>
      </c>
      <c r="W410" s="2">
        <v>2003</v>
      </c>
    </row>
    <row r="411" spans="1:23" ht="12.3" hidden="1" x14ac:dyDescent="0.4">
      <c r="A411" s="2" t="s">
        <v>75</v>
      </c>
      <c r="B411" s="2"/>
      <c r="C411" s="2"/>
      <c r="D411" s="2"/>
      <c r="E411" s="2"/>
      <c r="F411" s="2"/>
      <c r="G411" s="2"/>
      <c r="H411" s="2"/>
      <c r="I411" s="2">
        <v>71.691500000000005</v>
      </c>
      <c r="J411" s="2">
        <v>56</v>
      </c>
      <c r="K411" s="2">
        <v>72.733099999999993</v>
      </c>
      <c r="L411" s="2">
        <v>28</v>
      </c>
      <c r="M411" s="2">
        <v>102.73779999999999</v>
      </c>
      <c r="N411" s="2">
        <v>129</v>
      </c>
      <c r="O411" s="2">
        <v>105.2101</v>
      </c>
      <c r="P411" s="2">
        <v>88</v>
      </c>
      <c r="Q411" s="2">
        <v>99.460499999999996</v>
      </c>
      <c r="R411" s="2">
        <v>133</v>
      </c>
      <c r="S411" s="2">
        <v>98.345399999999998</v>
      </c>
      <c r="T411" s="2">
        <v>104</v>
      </c>
      <c r="U411" s="2">
        <v>0.684805</v>
      </c>
      <c r="V411" s="2">
        <v>83</v>
      </c>
      <c r="W411" s="2">
        <v>2003</v>
      </c>
    </row>
    <row r="412" spans="1:23" ht="12.3" hidden="1" x14ac:dyDescent="0.4">
      <c r="A412" s="2" t="s">
        <v>42</v>
      </c>
      <c r="B412" s="2"/>
      <c r="C412" s="2"/>
      <c r="D412" s="2"/>
      <c r="E412" s="2"/>
      <c r="F412" s="2"/>
      <c r="G412" s="2"/>
      <c r="H412" s="2"/>
      <c r="I412" s="2">
        <v>75.639700000000005</v>
      </c>
      <c r="J412" s="2">
        <v>7</v>
      </c>
      <c r="K412" s="2">
        <v>74.822400000000002</v>
      </c>
      <c r="L412" s="2">
        <v>7</v>
      </c>
      <c r="M412" s="2">
        <v>100.661</v>
      </c>
      <c r="N412" s="2">
        <v>180</v>
      </c>
      <c r="O412" s="2">
        <v>104.71250000000001</v>
      </c>
      <c r="P412" s="2">
        <v>98</v>
      </c>
      <c r="Q412" s="2">
        <v>101.264</v>
      </c>
      <c r="R412" s="2">
        <v>177</v>
      </c>
      <c r="S412" s="2">
        <v>97.913300000000007</v>
      </c>
      <c r="T412" s="2">
        <v>93</v>
      </c>
      <c r="U412" s="2">
        <v>0.68396699999999999</v>
      </c>
      <c r="V412" s="2">
        <v>84</v>
      </c>
      <c r="W412" s="2">
        <v>2003</v>
      </c>
    </row>
    <row r="413" spans="1:23" ht="12.3" hidden="1" x14ac:dyDescent="0.4">
      <c r="A413" s="2" t="s">
        <v>106</v>
      </c>
      <c r="B413" s="2"/>
      <c r="C413" s="2"/>
      <c r="D413" s="2"/>
      <c r="E413" s="2"/>
      <c r="F413" s="2"/>
      <c r="G413" s="2"/>
      <c r="H413" s="2"/>
      <c r="I413" s="2">
        <v>72.625299999999996</v>
      </c>
      <c r="J413" s="2">
        <v>36</v>
      </c>
      <c r="K413" s="2">
        <v>72.808700000000002</v>
      </c>
      <c r="L413" s="2">
        <v>27</v>
      </c>
      <c r="M413" s="2">
        <v>108.265</v>
      </c>
      <c r="N413" s="2">
        <v>40</v>
      </c>
      <c r="O413" s="2">
        <v>111.8861</v>
      </c>
      <c r="P413" s="2">
        <v>18</v>
      </c>
      <c r="Q413" s="2">
        <v>106.14409999999999</v>
      </c>
      <c r="R413" s="2">
        <v>265</v>
      </c>
      <c r="S413" s="2">
        <v>104.67189999999999</v>
      </c>
      <c r="T413" s="2">
        <v>231</v>
      </c>
      <c r="U413" s="2">
        <v>0.68276099999999995</v>
      </c>
      <c r="V413" s="2">
        <v>85</v>
      </c>
      <c r="W413" s="2">
        <v>2003</v>
      </c>
    </row>
    <row r="414" spans="1:23" ht="12.3" hidden="1" x14ac:dyDescent="0.4">
      <c r="A414" s="2" t="s">
        <v>100</v>
      </c>
      <c r="B414" s="2"/>
      <c r="C414" s="2"/>
      <c r="D414" s="2"/>
      <c r="E414" s="2"/>
      <c r="F414" s="2"/>
      <c r="G414" s="2"/>
      <c r="H414" s="2"/>
      <c r="I414" s="2">
        <v>64.474199999999996</v>
      </c>
      <c r="J414" s="2">
        <v>297</v>
      </c>
      <c r="K414" s="2">
        <v>63.582500000000003</v>
      </c>
      <c r="L414" s="2">
        <v>307</v>
      </c>
      <c r="M414" s="2">
        <v>100.4798</v>
      </c>
      <c r="N414" s="2">
        <v>184</v>
      </c>
      <c r="O414" s="2">
        <v>100.3946</v>
      </c>
      <c r="P414" s="2">
        <v>182</v>
      </c>
      <c r="Q414" s="2">
        <v>95.698999999999998</v>
      </c>
      <c r="R414" s="2">
        <v>42</v>
      </c>
      <c r="S414" s="2">
        <v>93.987300000000005</v>
      </c>
      <c r="T414" s="2">
        <v>31</v>
      </c>
      <c r="U414" s="2">
        <v>0.68101</v>
      </c>
      <c r="V414" s="2">
        <v>86</v>
      </c>
      <c r="W414" s="2">
        <v>2003</v>
      </c>
    </row>
    <row r="415" spans="1:23" ht="12.3" hidden="1" x14ac:dyDescent="0.4">
      <c r="A415" s="2" t="s">
        <v>84</v>
      </c>
      <c r="B415" s="2"/>
      <c r="C415" s="2"/>
      <c r="D415" s="2"/>
      <c r="E415" s="2"/>
      <c r="F415" s="2"/>
      <c r="G415" s="2"/>
      <c r="H415" s="2"/>
      <c r="I415" s="2">
        <v>67.557000000000002</v>
      </c>
      <c r="J415" s="2">
        <v>213</v>
      </c>
      <c r="K415" s="2">
        <v>68.850499999999997</v>
      </c>
      <c r="L415" s="2">
        <v>147</v>
      </c>
      <c r="M415" s="2">
        <v>102.0016</v>
      </c>
      <c r="N415" s="2">
        <v>149</v>
      </c>
      <c r="O415" s="2">
        <v>105.8909</v>
      </c>
      <c r="P415" s="2">
        <v>82</v>
      </c>
      <c r="Q415" s="2">
        <v>98.301400000000001</v>
      </c>
      <c r="R415" s="2">
        <v>101</v>
      </c>
      <c r="S415" s="2">
        <v>99.218900000000005</v>
      </c>
      <c r="T415" s="2">
        <v>121</v>
      </c>
      <c r="U415" s="2">
        <v>0.67883400000000005</v>
      </c>
      <c r="V415" s="2">
        <v>87</v>
      </c>
      <c r="W415" s="2">
        <v>2003</v>
      </c>
    </row>
    <row r="416" spans="1:23" ht="12.3" x14ac:dyDescent="0.4">
      <c r="A416" s="2" t="s">
        <v>57</v>
      </c>
      <c r="B416" s="2">
        <v>12</v>
      </c>
      <c r="C416" s="4" t="s">
        <v>33</v>
      </c>
      <c r="D416" s="25"/>
      <c r="E416" s="25"/>
      <c r="F416" s="25"/>
      <c r="G416" s="25"/>
      <c r="H416" s="25"/>
      <c r="I416" s="2">
        <v>66.351799999999997</v>
      </c>
      <c r="J416" s="2">
        <v>156</v>
      </c>
      <c r="K416" s="2">
        <v>65.881699999999995</v>
      </c>
      <c r="L416" s="2">
        <v>175</v>
      </c>
      <c r="M416" s="2">
        <v>101.4592</v>
      </c>
      <c r="N416" s="2">
        <v>161</v>
      </c>
      <c r="O416" s="2">
        <v>104.48</v>
      </c>
      <c r="P416" s="2">
        <v>102</v>
      </c>
      <c r="Q416" s="2">
        <v>96.589100000000002</v>
      </c>
      <c r="R416" s="2">
        <v>79</v>
      </c>
      <c r="S416" s="2">
        <v>93.914100000000005</v>
      </c>
      <c r="T416" s="2">
        <v>42</v>
      </c>
      <c r="U416" s="2">
        <v>0.77312999999999998</v>
      </c>
      <c r="V416" s="2">
        <v>60</v>
      </c>
      <c r="W416" s="2">
        <v>2013</v>
      </c>
    </row>
    <row r="417" spans="1:23" ht="12.3" hidden="1" x14ac:dyDescent="0.4">
      <c r="A417" s="2" t="s">
        <v>162</v>
      </c>
      <c r="B417" s="2"/>
      <c r="C417" s="2"/>
      <c r="D417" s="2"/>
      <c r="E417" s="2"/>
      <c r="F417" s="2"/>
      <c r="G417" s="2"/>
      <c r="H417" s="2"/>
      <c r="I417" s="2">
        <v>66.552999999999997</v>
      </c>
      <c r="J417" s="2">
        <v>249</v>
      </c>
      <c r="K417" s="2">
        <v>66.773399999999995</v>
      </c>
      <c r="L417" s="2">
        <v>246</v>
      </c>
      <c r="M417" s="2">
        <v>102.5531</v>
      </c>
      <c r="N417" s="2">
        <v>135</v>
      </c>
      <c r="O417" s="2">
        <v>101.15470000000001</v>
      </c>
      <c r="P417" s="2">
        <v>165</v>
      </c>
      <c r="Q417" s="2">
        <v>95.081500000000005</v>
      </c>
      <c r="R417" s="2">
        <v>34</v>
      </c>
      <c r="S417" s="2">
        <v>94.903300000000002</v>
      </c>
      <c r="T417" s="2">
        <v>46</v>
      </c>
      <c r="U417" s="2">
        <v>0.67559899999999995</v>
      </c>
      <c r="V417" s="2">
        <v>89</v>
      </c>
      <c r="W417" s="2">
        <v>2003</v>
      </c>
    </row>
    <row r="418" spans="1:23" ht="12.3" hidden="1" x14ac:dyDescent="0.4">
      <c r="A418" s="2" t="s">
        <v>145</v>
      </c>
      <c r="B418" s="2"/>
      <c r="C418" s="2"/>
      <c r="D418" s="2"/>
      <c r="E418" s="2"/>
      <c r="F418" s="2"/>
      <c r="G418" s="2"/>
      <c r="H418" s="2"/>
      <c r="I418" s="2">
        <v>70.331199999999995</v>
      </c>
      <c r="J418" s="2">
        <v>101</v>
      </c>
      <c r="K418" s="2">
        <v>70.176400000000001</v>
      </c>
      <c r="L418" s="2">
        <v>92</v>
      </c>
      <c r="M418" s="2">
        <v>106.6678</v>
      </c>
      <c r="N418" s="2">
        <v>57</v>
      </c>
      <c r="O418" s="2">
        <v>107.3074</v>
      </c>
      <c r="P418" s="2">
        <v>64</v>
      </c>
      <c r="Q418" s="2">
        <v>100.1073</v>
      </c>
      <c r="R418" s="2">
        <v>148</v>
      </c>
      <c r="S418" s="2">
        <v>100.7684</v>
      </c>
      <c r="T418" s="2">
        <v>158</v>
      </c>
      <c r="U418" s="2">
        <v>0.67327599999999999</v>
      </c>
      <c r="V418" s="2">
        <v>90</v>
      </c>
      <c r="W418" s="2">
        <v>2003</v>
      </c>
    </row>
    <row r="419" spans="1:23" ht="12.3" hidden="1" x14ac:dyDescent="0.4">
      <c r="A419" s="2" t="s">
        <v>97</v>
      </c>
      <c r="B419" s="2"/>
      <c r="C419" s="2"/>
      <c r="D419" s="2"/>
      <c r="E419" s="2"/>
      <c r="F419" s="2"/>
      <c r="G419" s="2"/>
      <c r="H419" s="2"/>
      <c r="I419" s="2">
        <v>67.672600000000003</v>
      </c>
      <c r="J419" s="2">
        <v>206</v>
      </c>
      <c r="K419" s="2">
        <v>68.156199999999998</v>
      </c>
      <c r="L419" s="2">
        <v>177</v>
      </c>
      <c r="M419" s="2">
        <v>107.0505</v>
      </c>
      <c r="N419" s="2">
        <v>54</v>
      </c>
      <c r="O419" s="2">
        <v>108.93340000000001</v>
      </c>
      <c r="P419" s="2">
        <v>46</v>
      </c>
      <c r="Q419" s="2">
        <v>104.23390000000001</v>
      </c>
      <c r="R419" s="2">
        <v>238</v>
      </c>
      <c r="S419" s="2">
        <v>102.6203</v>
      </c>
      <c r="T419" s="2">
        <v>194</v>
      </c>
      <c r="U419" s="2">
        <v>0.66520299999999999</v>
      </c>
      <c r="V419" s="2">
        <v>91</v>
      </c>
      <c r="W419" s="2">
        <v>2003</v>
      </c>
    </row>
    <row r="420" spans="1:23" ht="12.3" hidden="1" x14ac:dyDescent="0.4">
      <c r="A420" s="2" t="s">
        <v>111</v>
      </c>
      <c r="B420" s="2"/>
      <c r="C420" s="2"/>
      <c r="D420" s="2"/>
      <c r="E420" s="2"/>
      <c r="F420" s="2"/>
      <c r="G420" s="2"/>
      <c r="H420" s="2"/>
      <c r="I420" s="2">
        <v>71.251800000000003</v>
      </c>
      <c r="J420" s="2">
        <v>67</v>
      </c>
      <c r="K420" s="2">
        <v>71.286299999999997</v>
      </c>
      <c r="L420" s="2">
        <v>58</v>
      </c>
      <c r="M420" s="2">
        <v>96.508300000000006</v>
      </c>
      <c r="N420" s="2">
        <v>249</v>
      </c>
      <c r="O420" s="2">
        <v>102.8698</v>
      </c>
      <c r="P420" s="2">
        <v>129</v>
      </c>
      <c r="Q420" s="2">
        <v>100.98350000000001</v>
      </c>
      <c r="R420" s="2">
        <v>169</v>
      </c>
      <c r="S420" s="2">
        <v>97.278700000000001</v>
      </c>
      <c r="T420" s="2">
        <v>82</v>
      </c>
      <c r="U420" s="2">
        <v>0.655358</v>
      </c>
      <c r="V420" s="2">
        <v>92</v>
      </c>
      <c r="W420" s="2">
        <v>2003</v>
      </c>
    </row>
    <row r="421" spans="1:23" ht="12.3" x14ac:dyDescent="0.4">
      <c r="A421" s="2" t="s">
        <v>74</v>
      </c>
      <c r="B421" s="2">
        <v>14</v>
      </c>
      <c r="C421" s="25"/>
      <c r="D421" s="25"/>
      <c r="E421" s="25"/>
      <c r="F421" s="25"/>
      <c r="G421" s="25"/>
      <c r="H421" s="25"/>
      <c r="I421" s="2">
        <v>65.0779</v>
      </c>
      <c r="J421" s="2">
        <v>214</v>
      </c>
      <c r="K421" s="2">
        <v>65.926400000000001</v>
      </c>
      <c r="L421" s="2">
        <v>170</v>
      </c>
      <c r="M421" s="2">
        <v>109.3647</v>
      </c>
      <c r="N421" s="2">
        <v>27</v>
      </c>
      <c r="O421" s="2">
        <v>109.6939</v>
      </c>
      <c r="P421" s="2">
        <v>37</v>
      </c>
      <c r="Q421" s="2">
        <v>95.505300000000005</v>
      </c>
      <c r="R421" s="2">
        <v>63</v>
      </c>
      <c r="S421" s="2">
        <v>98.748900000000006</v>
      </c>
      <c r="T421" s="2">
        <v>126</v>
      </c>
      <c r="U421" s="2">
        <v>0.77008799999999999</v>
      </c>
      <c r="V421" s="2">
        <v>61</v>
      </c>
      <c r="W421" s="2">
        <v>2013</v>
      </c>
    </row>
    <row r="422" spans="1:23" ht="12.3" hidden="1" x14ac:dyDescent="0.4">
      <c r="A422" s="2" t="s">
        <v>74</v>
      </c>
      <c r="B422" s="2"/>
      <c r="C422" s="2"/>
      <c r="D422" s="2"/>
      <c r="E422" s="2"/>
      <c r="F422" s="2"/>
      <c r="G422" s="2"/>
      <c r="H422" s="2"/>
      <c r="I422" s="2">
        <v>67.500500000000002</v>
      </c>
      <c r="J422" s="2">
        <v>217</v>
      </c>
      <c r="K422" s="2">
        <v>67.843699999999998</v>
      </c>
      <c r="L422" s="2">
        <v>192</v>
      </c>
      <c r="M422" s="2">
        <v>104.39239999999999</v>
      </c>
      <c r="N422" s="2">
        <v>86</v>
      </c>
      <c r="O422" s="2">
        <v>102.3664</v>
      </c>
      <c r="P422" s="2">
        <v>139</v>
      </c>
      <c r="Q422" s="2">
        <v>96.661799999999999</v>
      </c>
      <c r="R422" s="2">
        <v>58</v>
      </c>
      <c r="S422" s="2">
        <v>96.881200000000007</v>
      </c>
      <c r="T422" s="2">
        <v>75</v>
      </c>
      <c r="U422" s="2">
        <v>0.65324700000000002</v>
      </c>
      <c r="V422" s="2">
        <v>94</v>
      </c>
      <c r="W422" s="2">
        <v>2003</v>
      </c>
    </row>
    <row r="423" spans="1:23" ht="12.3" hidden="1" x14ac:dyDescent="0.4">
      <c r="A423" s="2" t="s">
        <v>248</v>
      </c>
      <c r="B423" s="2"/>
      <c r="C423" s="2"/>
      <c r="D423" s="2"/>
      <c r="E423" s="2"/>
      <c r="F423" s="2"/>
      <c r="G423" s="2"/>
      <c r="H423" s="2"/>
      <c r="I423" s="2">
        <v>72.306200000000004</v>
      </c>
      <c r="J423" s="2">
        <v>41</v>
      </c>
      <c r="K423" s="2">
        <v>72.282399999999996</v>
      </c>
      <c r="L423" s="2">
        <v>38</v>
      </c>
      <c r="M423" s="2">
        <v>98.901300000000006</v>
      </c>
      <c r="N423" s="2">
        <v>211</v>
      </c>
      <c r="O423" s="2">
        <v>102.7608</v>
      </c>
      <c r="P423" s="2">
        <v>131</v>
      </c>
      <c r="Q423" s="2">
        <v>100.17919999999999</v>
      </c>
      <c r="R423" s="2">
        <v>151</v>
      </c>
      <c r="S423" s="2">
        <v>97.260999999999996</v>
      </c>
      <c r="T423" s="2">
        <v>81</v>
      </c>
      <c r="U423" s="2">
        <v>0.65307099999999996</v>
      </c>
      <c r="V423" s="2">
        <v>95</v>
      </c>
      <c r="W423" s="2">
        <v>2003</v>
      </c>
    </row>
    <row r="424" spans="1:23" ht="12.3" hidden="1" x14ac:dyDescent="0.4">
      <c r="A424" s="2" t="s">
        <v>63</v>
      </c>
      <c r="B424" s="2"/>
      <c r="C424" s="2"/>
      <c r="D424" s="2"/>
      <c r="E424" s="2"/>
      <c r="F424" s="2"/>
      <c r="G424" s="2"/>
      <c r="H424" s="2"/>
      <c r="I424" s="2">
        <v>67.558300000000003</v>
      </c>
      <c r="J424" s="2">
        <v>212</v>
      </c>
      <c r="K424" s="2">
        <v>67.381200000000007</v>
      </c>
      <c r="L424" s="2">
        <v>213</v>
      </c>
      <c r="M424" s="2">
        <v>99.039199999999994</v>
      </c>
      <c r="N424" s="2">
        <v>207</v>
      </c>
      <c r="O424" s="2">
        <v>102.6669</v>
      </c>
      <c r="P424" s="2">
        <v>133</v>
      </c>
      <c r="Q424" s="2">
        <v>101.4079</v>
      </c>
      <c r="R424" s="2">
        <v>181</v>
      </c>
      <c r="S424" s="2">
        <v>97.324700000000007</v>
      </c>
      <c r="T424" s="2">
        <v>84</v>
      </c>
      <c r="U424" s="2">
        <v>0.64897400000000005</v>
      </c>
      <c r="V424" s="2">
        <v>96</v>
      </c>
      <c r="W424" s="2">
        <v>2003</v>
      </c>
    </row>
    <row r="425" spans="1:23" ht="12.3" hidden="1" x14ac:dyDescent="0.4">
      <c r="A425" s="2" t="s">
        <v>232</v>
      </c>
      <c r="B425" s="2"/>
      <c r="C425" s="2"/>
      <c r="D425" s="2"/>
      <c r="E425" s="2"/>
      <c r="F425" s="2"/>
      <c r="G425" s="2"/>
      <c r="H425" s="2"/>
      <c r="I425" s="2">
        <v>69.122699999999995</v>
      </c>
      <c r="J425" s="2">
        <v>145</v>
      </c>
      <c r="K425" s="2">
        <v>69.909000000000006</v>
      </c>
      <c r="L425" s="2">
        <v>102</v>
      </c>
      <c r="M425" s="2">
        <v>102.9383</v>
      </c>
      <c r="N425" s="2">
        <v>124</v>
      </c>
      <c r="O425" s="2">
        <v>106.4905</v>
      </c>
      <c r="P425" s="2">
        <v>69</v>
      </c>
      <c r="Q425" s="2">
        <v>103.2576</v>
      </c>
      <c r="R425" s="2">
        <v>222</v>
      </c>
      <c r="S425" s="2">
        <v>100.9675</v>
      </c>
      <c r="T425" s="2">
        <v>160</v>
      </c>
      <c r="U425" s="2">
        <v>0.64850099999999999</v>
      </c>
      <c r="V425" s="2">
        <v>97</v>
      </c>
      <c r="W425" s="2">
        <v>2003</v>
      </c>
    </row>
    <row r="426" spans="1:23" ht="12.3" hidden="1" x14ac:dyDescent="0.4">
      <c r="A426" s="2" t="s">
        <v>104</v>
      </c>
      <c r="B426" s="2"/>
      <c r="C426" s="2"/>
      <c r="D426" s="2"/>
      <c r="E426" s="2"/>
      <c r="F426" s="2"/>
      <c r="G426" s="2"/>
      <c r="H426" s="2"/>
      <c r="I426" s="2">
        <v>61.440100000000001</v>
      </c>
      <c r="J426" s="2">
        <v>315</v>
      </c>
      <c r="K426" s="2">
        <v>62.054900000000004</v>
      </c>
      <c r="L426" s="2">
        <v>318</v>
      </c>
      <c r="M426" s="2">
        <v>104.9435</v>
      </c>
      <c r="N426" s="2">
        <v>82</v>
      </c>
      <c r="O426" s="2">
        <v>103.4191</v>
      </c>
      <c r="P426" s="2">
        <v>120</v>
      </c>
      <c r="Q426" s="2">
        <v>97.336699999999993</v>
      </c>
      <c r="R426" s="2">
        <v>74</v>
      </c>
      <c r="S426" s="2">
        <v>98.102800000000002</v>
      </c>
      <c r="T426" s="2">
        <v>96</v>
      </c>
      <c r="U426" s="2">
        <v>0.64723299999999995</v>
      </c>
      <c r="V426" s="2">
        <v>98</v>
      </c>
      <c r="W426" s="2">
        <v>2003</v>
      </c>
    </row>
    <row r="427" spans="1:23" ht="12.3" hidden="1" x14ac:dyDescent="0.4">
      <c r="A427" s="2" t="s">
        <v>93</v>
      </c>
      <c r="B427" s="2"/>
      <c r="C427" s="2"/>
      <c r="D427" s="2"/>
      <c r="E427" s="2"/>
      <c r="F427" s="2"/>
      <c r="G427" s="2"/>
      <c r="H427" s="2"/>
      <c r="I427" s="2">
        <v>68.635000000000005</v>
      </c>
      <c r="J427" s="2">
        <v>159</v>
      </c>
      <c r="K427" s="2">
        <v>69.144099999999995</v>
      </c>
      <c r="L427" s="2">
        <v>134</v>
      </c>
      <c r="M427" s="2">
        <v>105.9526</v>
      </c>
      <c r="N427" s="2">
        <v>70</v>
      </c>
      <c r="O427" s="2">
        <v>106.60169999999999</v>
      </c>
      <c r="P427" s="2">
        <v>68</v>
      </c>
      <c r="Q427" s="2">
        <v>102.2728</v>
      </c>
      <c r="R427" s="2">
        <v>202</v>
      </c>
      <c r="S427" s="2">
        <v>101.1879</v>
      </c>
      <c r="T427" s="2">
        <v>166</v>
      </c>
      <c r="U427" s="2">
        <v>0.64551700000000001</v>
      </c>
      <c r="V427" s="2">
        <v>99</v>
      </c>
      <c r="W427" s="2">
        <v>2003</v>
      </c>
    </row>
    <row r="428" spans="1:23" ht="12.3" hidden="1" x14ac:dyDescent="0.4">
      <c r="A428" s="2" t="s">
        <v>210</v>
      </c>
      <c r="B428" s="2"/>
      <c r="C428" s="2"/>
      <c r="D428" s="2"/>
      <c r="E428" s="2"/>
      <c r="F428" s="2"/>
      <c r="G428" s="2"/>
      <c r="H428" s="2"/>
      <c r="I428" s="2">
        <v>68.397199999999998</v>
      </c>
      <c r="J428" s="2">
        <v>173</v>
      </c>
      <c r="K428" s="2">
        <v>68.897599999999997</v>
      </c>
      <c r="L428" s="2">
        <v>143</v>
      </c>
      <c r="M428" s="2">
        <v>99.778800000000004</v>
      </c>
      <c r="N428" s="2">
        <v>199</v>
      </c>
      <c r="O428" s="2">
        <v>100.12869999999999</v>
      </c>
      <c r="P428" s="2">
        <v>188</v>
      </c>
      <c r="Q428" s="2">
        <v>94.352099999999993</v>
      </c>
      <c r="R428" s="2">
        <v>30</v>
      </c>
      <c r="S428" s="2">
        <v>95.119500000000002</v>
      </c>
      <c r="T428" s="2">
        <v>48</v>
      </c>
      <c r="U428" s="2">
        <v>0.64341199999999998</v>
      </c>
      <c r="V428" s="2">
        <v>100</v>
      </c>
      <c r="W428" s="2">
        <v>2003</v>
      </c>
    </row>
    <row r="429" spans="1:23" ht="12.3" x14ac:dyDescent="0.4">
      <c r="A429" s="2" t="s">
        <v>134</v>
      </c>
      <c r="B429" s="2">
        <v>14</v>
      </c>
      <c r="C429" s="25"/>
      <c r="D429" s="25"/>
      <c r="E429" s="25"/>
      <c r="F429" s="25"/>
      <c r="G429" s="25"/>
      <c r="H429" s="25"/>
      <c r="I429" s="2">
        <v>64.570300000000003</v>
      </c>
      <c r="J429" s="2">
        <v>235</v>
      </c>
      <c r="K429" s="2">
        <v>65.201400000000007</v>
      </c>
      <c r="L429" s="2">
        <v>205</v>
      </c>
      <c r="M429" s="2">
        <v>112.7877</v>
      </c>
      <c r="N429" s="2">
        <v>9</v>
      </c>
      <c r="O429" s="2">
        <v>111.00790000000001</v>
      </c>
      <c r="P429" s="2">
        <v>28</v>
      </c>
      <c r="Q429" s="2">
        <v>95.8001</v>
      </c>
      <c r="R429" s="2">
        <v>67</v>
      </c>
      <c r="S429" s="2">
        <v>100.73569999999999</v>
      </c>
      <c r="T429" s="2">
        <v>164</v>
      </c>
      <c r="U429" s="2">
        <v>0.75336700000000001</v>
      </c>
      <c r="V429" s="2">
        <v>65</v>
      </c>
      <c r="W429" s="2">
        <v>2013</v>
      </c>
    </row>
    <row r="430" spans="1:23" ht="12.3" hidden="1" x14ac:dyDescent="0.4">
      <c r="A430" s="2" t="s">
        <v>158</v>
      </c>
      <c r="B430" s="2"/>
      <c r="C430" s="2"/>
      <c r="D430" s="2"/>
      <c r="E430" s="2"/>
      <c r="F430" s="2"/>
      <c r="G430" s="2"/>
      <c r="H430" s="2"/>
      <c r="I430" s="2">
        <v>67.670100000000005</v>
      </c>
      <c r="J430" s="2">
        <v>207</v>
      </c>
      <c r="K430" s="2">
        <v>67.117999999999995</v>
      </c>
      <c r="L430" s="2">
        <v>229</v>
      </c>
      <c r="M430" s="2">
        <v>101.5834</v>
      </c>
      <c r="N430" s="2">
        <v>156</v>
      </c>
      <c r="O430" s="2">
        <v>105.0077</v>
      </c>
      <c r="P430" s="2">
        <v>94</v>
      </c>
      <c r="Q430" s="2">
        <v>101.18859999999999</v>
      </c>
      <c r="R430" s="2">
        <v>174</v>
      </c>
      <c r="S430" s="2">
        <v>99.908600000000007</v>
      </c>
      <c r="T430" s="2">
        <v>134</v>
      </c>
      <c r="U430" s="2">
        <v>0.63932800000000001</v>
      </c>
      <c r="V430" s="2">
        <v>102</v>
      </c>
      <c r="W430" s="2">
        <v>2003</v>
      </c>
    </row>
    <row r="431" spans="1:23" ht="12.3" hidden="1" x14ac:dyDescent="0.4">
      <c r="A431" s="2" t="s">
        <v>161</v>
      </c>
      <c r="B431" s="2"/>
      <c r="C431" s="2"/>
      <c r="D431" s="2"/>
      <c r="E431" s="2"/>
      <c r="F431" s="2"/>
      <c r="G431" s="2"/>
      <c r="H431" s="2"/>
      <c r="I431" s="2">
        <v>67.759799999999998</v>
      </c>
      <c r="J431" s="2">
        <v>201</v>
      </c>
      <c r="K431" s="2">
        <v>66.656499999999994</v>
      </c>
      <c r="L431" s="2">
        <v>250</v>
      </c>
      <c r="M431" s="2">
        <v>104.2903</v>
      </c>
      <c r="N431" s="2">
        <v>91</v>
      </c>
      <c r="O431" s="2">
        <v>105.84</v>
      </c>
      <c r="P431" s="2">
        <v>83</v>
      </c>
      <c r="Q431" s="2">
        <v>99.635000000000005</v>
      </c>
      <c r="R431" s="2">
        <v>135</v>
      </c>
      <c r="S431" s="2">
        <v>100.7651</v>
      </c>
      <c r="T431" s="2">
        <v>157</v>
      </c>
      <c r="U431" s="2">
        <v>0.63762300000000005</v>
      </c>
      <c r="V431" s="2">
        <v>103</v>
      </c>
      <c r="W431" s="2">
        <v>2003</v>
      </c>
    </row>
    <row r="432" spans="1:23" ht="12.3" hidden="1" x14ac:dyDescent="0.4">
      <c r="A432" s="2" t="s">
        <v>53</v>
      </c>
      <c r="B432" s="2"/>
      <c r="C432" s="2"/>
      <c r="D432" s="2"/>
      <c r="E432" s="2"/>
      <c r="F432" s="2"/>
      <c r="G432" s="2"/>
      <c r="H432" s="2"/>
      <c r="I432" s="2">
        <v>67.341399999999993</v>
      </c>
      <c r="J432" s="2">
        <v>223</v>
      </c>
      <c r="K432" s="2">
        <v>67.551500000000004</v>
      </c>
      <c r="L432" s="2">
        <v>206</v>
      </c>
      <c r="M432" s="2">
        <v>112.9053</v>
      </c>
      <c r="N432" s="2">
        <v>4</v>
      </c>
      <c r="O432" s="2">
        <v>110.4143</v>
      </c>
      <c r="P432" s="2">
        <v>26</v>
      </c>
      <c r="Q432" s="2">
        <v>105.7038</v>
      </c>
      <c r="R432" s="2">
        <v>259</v>
      </c>
      <c r="S432" s="2">
        <v>105.1705</v>
      </c>
      <c r="T432" s="2">
        <v>241</v>
      </c>
      <c r="U432" s="2">
        <v>0.63634900000000005</v>
      </c>
      <c r="V432" s="2">
        <v>104</v>
      </c>
      <c r="W432" s="2">
        <v>2003</v>
      </c>
    </row>
    <row r="433" spans="1:23" ht="12.3" hidden="1" x14ac:dyDescent="0.4">
      <c r="A433" s="2" t="s">
        <v>65</v>
      </c>
      <c r="B433" s="2"/>
      <c r="C433" s="2"/>
      <c r="D433" s="2"/>
      <c r="E433" s="2"/>
      <c r="F433" s="2"/>
      <c r="G433" s="2"/>
      <c r="H433" s="2"/>
      <c r="I433" s="2">
        <v>72.999399999999994</v>
      </c>
      <c r="J433" s="2">
        <v>31</v>
      </c>
      <c r="K433" s="2">
        <v>70.724299999999999</v>
      </c>
      <c r="L433" s="2">
        <v>76</v>
      </c>
      <c r="M433" s="2">
        <v>101.30710000000001</v>
      </c>
      <c r="N433" s="2">
        <v>163</v>
      </c>
      <c r="O433" s="2">
        <v>106.2325</v>
      </c>
      <c r="P433" s="2">
        <v>78</v>
      </c>
      <c r="Q433" s="2">
        <v>106.0594</v>
      </c>
      <c r="R433" s="2">
        <v>264</v>
      </c>
      <c r="S433" s="2">
        <v>101.25360000000001</v>
      </c>
      <c r="T433" s="2">
        <v>167</v>
      </c>
      <c r="U433" s="2">
        <v>0.63460499999999997</v>
      </c>
      <c r="V433" s="2">
        <v>105</v>
      </c>
      <c r="W433" s="2">
        <v>2003</v>
      </c>
    </row>
    <row r="434" spans="1:23" ht="12.3" hidden="1" x14ac:dyDescent="0.4">
      <c r="A434" s="2" t="s">
        <v>112</v>
      </c>
      <c r="B434" s="2"/>
      <c r="C434" s="2"/>
      <c r="D434" s="2"/>
      <c r="E434" s="2"/>
      <c r="F434" s="2"/>
      <c r="G434" s="2"/>
      <c r="H434" s="2"/>
      <c r="I434" s="2">
        <v>67.732500000000002</v>
      </c>
      <c r="J434" s="2">
        <v>204</v>
      </c>
      <c r="K434" s="2">
        <v>67.320700000000002</v>
      </c>
      <c r="L434" s="2">
        <v>217</v>
      </c>
      <c r="M434" s="2">
        <v>103.84099999999999</v>
      </c>
      <c r="N434" s="2">
        <v>97</v>
      </c>
      <c r="O434" s="2">
        <v>103.5097</v>
      </c>
      <c r="P434" s="2">
        <v>118</v>
      </c>
      <c r="Q434" s="2">
        <v>96.861400000000003</v>
      </c>
      <c r="R434" s="2">
        <v>64</v>
      </c>
      <c r="S434" s="2">
        <v>98.729500000000002</v>
      </c>
      <c r="T434" s="2">
        <v>111</v>
      </c>
      <c r="U434" s="2">
        <v>0.63268199999999997</v>
      </c>
      <c r="V434" s="2">
        <v>106</v>
      </c>
      <c r="W434" s="2">
        <v>2003</v>
      </c>
    </row>
    <row r="435" spans="1:23" ht="12.3" hidden="1" x14ac:dyDescent="0.4">
      <c r="A435" s="2" t="s">
        <v>258</v>
      </c>
      <c r="B435" s="2"/>
      <c r="C435" s="2"/>
      <c r="D435" s="2"/>
      <c r="E435" s="2"/>
      <c r="F435" s="2"/>
      <c r="G435" s="2"/>
      <c r="H435" s="2"/>
      <c r="I435" s="2">
        <v>70.677700000000002</v>
      </c>
      <c r="J435" s="2">
        <v>88</v>
      </c>
      <c r="K435" s="2">
        <v>70.538600000000002</v>
      </c>
      <c r="L435" s="2">
        <v>82</v>
      </c>
      <c r="M435" s="2">
        <v>99.0916</v>
      </c>
      <c r="N435" s="2">
        <v>206</v>
      </c>
      <c r="O435" s="2">
        <v>101.0665</v>
      </c>
      <c r="P435" s="2">
        <v>169</v>
      </c>
      <c r="Q435" s="2">
        <v>98.663499999999999</v>
      </c>
      <c r="R435" s="2">
        <v>111</v>
      </c>
      <c r="S435" s="2">
        <v>96.520399999999995</v>
      </c>
      <c r="T435" s="2">
        <v>68</v>
      </c>
      <c r="U435" s="2">
        <v>0.62931400000000004</v>
      </c>
      <c r="V435" s="2">
        <v>107</v>
      </c>
      <c r="W435" s="2">
        <v>2003</v>
      </c>
    </row>
    <row r="436" spans="1:23" ht="12.3" hidden="1" x14ac:dyDescent="0.4">
      <c r="A436" s="2" t="s">
        <v>60</v>
      </c>
      <c r="B436" s="2"/>
      <c r="C436" s="2"/>
      <c r="D436" s="2"/>
      <c r="E436" s="2"/>
      <c r="F436" s="2"/>
      <c r="G436" s="2"/>
      <c r="H436" s="2"/>
      <c r="I436" s="2">
        <v>69.233199999999997</v>
      </c>
      <c r="J436" s="2">
        <v>141</v>
      </c>
      <c r="K436" s="2">
        <v>67.731700000000004</v>
      </c>
      <c r="L436" s="2">
        <v>196</v>
      </c>
      <c r="M436" s="2">
        <v>98.194699999999997</v>
      </c>
      <c r="N436" s="2">
        <v>225</v>
      </c>
      <c r="O436" s="2">
        <v>101.821</v>
      </c>
      <c r="P436" s="2">
        <v>152</v>
      </c>
      <c r="Q436" s="2">
        <v>97.540599999999998</v>
      </c>
      <c r="R436" s="2">
        <v>79</v>
      </c>
      <c r="S436" s="2">
        <v>97.360200000000006</v>
      </c>
      <c r="T436" s="2">
        <v>85</v>
      </c>
      <c r="U436" s="2">
        <v>0.62602199999999997</v>
      </c>
      <c r="V436" s="2">
        <v>108</v>
      </c>
      <c r="W436" s="2">
        <v>2003</v>
      </c>
    </row>
    <row r="437" spans="1:23" ht="12.3" hidden="1" x14ac:dyDescent="0.4">
      <c r="A437" s="2" t="s">
        <v>187</v>
      </c>
      <c r="B437" s="2"/>
      <c r="C437" s="2"/>
      <c r="D437" s="2"/>
      <c r="E437" s="2"/>
      <c r="F437" s="2"/>
      <c r="G437" s="2"/>
      <c r="H437" s="2"/>
      <c r="I437" s="2">
        <v>69.477800000000002</v>
      </c>
      <c r="J437" s="2">
        <v>131</v>
      </c>
      <c r="K437" s="2">
        <v>69.387200000000007</v>
      </c>
      <c r="L437" s="2">
        <v>123</v>
      </c>
      <c r="M437" s="2">
        <v>99.984399999999994</v>
      </c>
      <c r="N437" s="2">
        <v>190</v>
      </c>
      <c r="O437" s="2">
        <v>100.9264</v>
      </c>
      <c r="P437" s="2">
        <v>173</v>
      </c>
      <c r="Q437" s="2">
        <v>94.752899999999997</v>
      </c>
      <c r="R437" s="2">
        <v>32</v>
      </c>
      <c r="S437" s="2">
        <v>96.567499999999995</v>
      </c>
      <c r="T437" s="2">
        <v>69</v>
      </c>
      <c r="U437" s="2">
        <v>0.62427100000000002</v>
      </c>
      <c r="V437" s="2">
        <v>109</v>
      </c>
      <c r="W437" s="2">
        <v>2003</v>
      </c>
    </row>
    <row r="438" spans="1:23" ht="12.3" hidden="1" x14ac:dyDescent="0.4">
      <c r="A438" s="2" t="s">
        <v>181</v>
      </c>
      <c r="B438" s="2"/>
      <c r="C438" s="2"/>
      <c r="D438" s="2"/>
      <c r="E438" s="2"/>
      <c r="F438" s="2"/>
      <c r="G438" s="2"/>
      <c r="H438" s="2"/>
      <c r="I438" s="2">
        <v>68.159300000000002</v>
      </c>
      <c r="J438" s="2">
        <v>182</v>
      </c>
      <c r="K438" s="2">
        <v>67.034700000000001</v>
      </c>
      <c r="L438" s="2">
        <v>230</v>
      </c>
      <c r="M438" s="2">
        <v>109.2052</v>
      </c>
      <c r="N438" s="2">
        <v>28</v>
      </c>
      <c r="O438" s="2">
        <v>106.0331</v>
      </c>
      <c r="P438" s="2">
        <v>80</v>
      </c>
      <c r="Q438" s="2">
        <v>101.6537</v>
      </c>
      <c r="R438" s="2">
        <v>189</v>
      </c>
      <c r="S438" s="2">
        <v>101.47190000000001</v>
      </c>
      <c r="T438" s="2">
        <v>170</v>
      </c>
      <c r="U438" s="2">
        <v>0.62378299999999998</v>
      </c>
      <c r="V438" s="2">
        <v>110</v>
      </c>
      <c r="W438" s="2">
        <v>2003</v>
      </c>
    </row>
    <row r="439" spans="1:23" ht="12.3" hidden="1" x14ac:dyDescent="0.4">
      <c r="A439" s="2" t="s">
        <v>137</v>
      </c>
      <c r="B439" s="2"/>
      <c r="C439" s="2"/>
      <c r="D439" s="2"/>
      <c r="E439" s="2"/>
      <c r="F439" s="2"/>
      <c r="G439" s="2"/>
      <c r="H439" s="2"/>
      <c r="I439" s="2">
        <v>70.373699999999999</v>
      </c>
      <c r="J439" s="2">
        <v>98</v>
      </c>
      <c r="K439" s="2">
        <v>70.618600000000001</v>
      </c>
      <c r="L439" s="2">
        <v>81</v>
      </c>
      <c r="M439" s="2">
        <v>103.3561</v>
      </c>
      <c r="N439" s="2">
        <v>113</v>
      </c>
      <c r="O439" s="2">
        <v>102.1763</v>
      </c>
      <c r="P439" s="2">
        <v>142</v>
      </c>
      <c r="Q439" s="2">
        <v>95.007099999999994</v>
      </c>
      <c r="R439" s="2">
        <v>33</v>
      </c>
      <c r="S439" s="2">
        <v>97.831199999999995</v>
      </c>
      <c r="T439" s="2">
        <v>89</v>
      </c>
      <c r="U439" s="2">
        <v>0.62239800000000001</v>
      </c>
      <c r="V439" s="2">
        <v>111</v>
      </c>
      <c r="W439" s="2">
        <v>2003</v>
      </c>
    </row>
    <row r="440" spans="1:23" ht="12.3" hidden="1" x14ac:dyDescent="0.4">
      <c r="A440" s="2" t="s">
        <v>24</v>
      </c>
      <c r="B440" s="2"/>
      <c r="C440" s="2"/>
      <c r="D440" s="2"/>
      <c r="E440" s="2"/>
      <c r="F440" s="2"/>
      <c r="G440" s="2"/>
      <c r="H440" s="2"/>
      <c r="I440" s="2">
        <v>66.369600000000005</v>
      </c>
      <c r="J440" s="2">
        <v>254</v>
      </c>
      <c r="K440" s="2">
        <v>65.418400000000005</v>
      </c>
      <c r="L440" s="2">
        <v>282</v>
      </c>
      <c r="M440" s="2">
        <v>103.23050000000001</v>
      </c>
      <c r="N440" s="2">
        <v>117</v>
      </c>
      <c r="O440" s="2">
        <v>104.9616</v>
      </c>
      <c r="P440" s="2">
        <v>95</v>
      </c>
      <c r="Q440" s="2">
        <v>102.6275</v>
      </c>
      <c r="R440" s="2">
        <v>207</v>
      </c>
      <c r="S440" s="2">
        <v>100.7046</v>
      </c>
      <c r="T440" s="2">
        <v>155</v>
      </c>
      <c r="U440" s="2">
        <v>0.61683600000000005</v>
      </c>
      <c r="V440" s="2">
        <v>112</v>
      </c>
      <c r="W440" s="2">
        <v>2003</v>
      </c>
    </row>
    <row r="441" spans="1:23" ht="12.3" hidden="1" x14ac:dyDescent="0.4">
      <c r="A441" s="2" t="s">
        <v>123</v>
      </c>
      <c r="B441" s="2"/>
      <c r="C441" s="2"/>
      <c r="D441" s="2"/>
      <c r="E441" s="2"/>
      <c r="F441" s="2"/>
      <c r="G441" s="2"/>
      <c r="H441" s="2"/>
      <c r="I441" s="2">
        <v>69.908199999999994</v>
      </c>
      <c r="J441" s="2">
        <v>115</v>
      </c>
      <c r="K441" s="2">
        <v>69.962900000000005</v>
      </c>
      <c r="L441" s="2">
        <v>100</v>
      </c>
      <c r="M441" s="2">
        <v>96.146900000000002</v>
      </c>
      <c r="N441" s="2">
        <v>255</v>
      </c>
      <c r="O441" s="2">
        <v>99.411000000000001</v>
      </c>
      <c r="P441" s="2">
        <v>198</v>
      </c>
      <c r="Q441" s="2">
        <v>97.5809</v>
      </c>
      <c r="R441" s="2">
        <v>82</v>
      </c>
      <c r="S441" s="2">
        <v>95.466499999999996</v>
      </c>
      <c r="T441" s="2">
        <v>56</v>
      </c>
      <c r="U441" s="2">
        <v>0.61434200000000005</v>
      </c>
      <c r="V441" s="2">
        <v>113</v>
      </c>
      <c r="W441" s="2">
        <v>2003</v>
      </c>
    </row>
    <row r="442" spans="1:23" ht="12.3" hidden="1" x14ac:dyDescent="0.4">
      <c r="A442" s="2" t="s">
        <v>173</v>
      </c>
      <c r="B442" s="2"/>
      <c r="C442" s="2"/>
      <c r="D442" s="2"/>
      <c r="E442" s="2"/>
      <c r="F442" s="2"/>
      <c r="G442" s="2"/>
      <c r="H442" s="2"/>
      <c r="I442" s="2">
        <v>65.283100000000005</v>
      </c>
      <c r="J442" s="2">
        <v>283</v>
      </c>
      <c r="K442" s="2">
        <v>64.853099999999998</v>
      </c>
      <c r="L442" s="2">
        <v>287</v>
      </c>
      <c r="M442" s="2">
        <v>106.0531</v>
      </c>
      <c r="N442" s="2">
        <v>68</v>
      </c>
      <c r="O442" s="2">
        <v>107.92270000000001</v>
      </c>
      <c r="P442" s="2">
        <v>57</v>
      </c>
      <c r="Q442" s="2">
        <v>105.05</v>
      </c>
      <c r="R442" s="2">
        <v>254</v>
      </c>
      <c r="S442" s="2">
        <v>103.6647</v>
      </c>
      <c r="T442" s="2">
        <v>214</v>
      </c>
      <c r="U442" s="2">
        <v>0.61370499999999995</v>
      </c>
      <c r="V442" s="2">
        <v>114</v>
      </c>
      <c r="W442" s="2">
        <v>2003</v>
      </c>
    </row>
    <row r="443" spans="1:23" ht="12.3" hidden="1" x14ac:dyDescent="0.4">
      <c r="A443" s="2" t="s">
        <v>103</v>
      </c>
      <c r="B443" s="2"/>
      <c r="C443" s="2"/>
      <c r="D443" s="2"/>
      <c r="E443" s="2"/>
      <c r="F443" s="2"/>
      <c r="G443" s="2"/>
      <c r="H443" s="2"/>
      <c r="I443" s="2">
        <v>69.607100000000003</v>
      </c>
      <c r="J443" s="2">
        <v>121</v>
      </c>
      <c r="K443" s="2">
        <v>69.013499999999993</v>
      </c>
      <c r="L443" s="2">
        <v>138</v>
      </c>
      <c r="M443" s="2">
        <v>97.815399999999997</v>
      </c>
      <c r="N443" s="2">
        <v>231</v>
      </c>
      <c r="O443" s="2">
        <v>100.6829</v>
      </c>
      <c r="P443" s="2">
        <v>178</v>
      </c>
      <c r="Q443" s="2">
        <v>98.107500000000002</v>
      </c>
      <c r="R443" s="2">
        <v>92</v>
      </c>
      <c r="S443" s="2">
        <v>96.819699999999997</v>
      </c>
      <c r="T443" s="2">
        <v>72</v>
      </c>
      <c r="U443" s="2">
        <v>0.610626</v>
      </c>
      <c r="V443" s="2">
        <v>115</v>
      </c>
      <c r="W443" s="2">
        <v>2003</v>
      </c>
    </row>
    <row r="444" spans="1:23" ht="12.3" hidden="1" x14ac:dyDescent="0.4">
      <c r="A444" s="2" t="s">
        <v>229</v>
      </c>
      <c r="B444" s="2"/>
      <c r="C444" s="2"/>
      <c r="D444" s="2"/>
      <c r="E444" s="2"/>
      <c r="F444" s="2"/>
      <c r="G444" s="2"/>
      <c r="H444" s="2"/>
      <c r="I444" s="2">
        <v>66.879900000000006</v>
      </c>
      <c r="J444" s="2">
        <v>239</v>
      </c>
      <c r="K444" s="2">
        <v>66.502499999999998</v>
      </c>
      <c r="L444" s="2">
        <v>256</v>
      </c>
      <c r="M444" s="2">
        <v>99.096699999999998</v>
      </c>
      <c r="N444" s="2">
        <v>205</v>
      </c>
      <c r="O444" s="2">
        <v>102.6356</v>
      </c>
      <c r="P444" s="2">
        <v>134</v>
      </c>
      <c r="Q444" s="2">
        <v>103.3454</v>
      </c>
      <c r="R444" s="2">
        <v>225</v>
      </c>
      <c r="S444" s="2">
        <v>98.884600000000006</v>
      </c>
      <c r="T444" s="2">
        <v>116</v>
      </c>
      <c r="U444" s="2">
        <v>0.60543499999999995</v>
      </c>
      <c r="V444" s="2">
        <v>116</v>
      </c>
      <c r="W444" s="2">
        <v>2003</v>
      </c>
    </row>
    <row r="445" spans="1:23" ht="12.3" hidden="1" x14ac:dyDescent="0.4">
      <c r="A445" s="2" t="s">
        <v>150</v>
      </c>
      <c r="B445" s="2"/>
      <c r="C445" s="2"/>
      <c r="D445" s="2"/>
      <c r="E445" s="2"/>
      <c r="F445" s="2"/>
      <c r="G445" s="2"/>
      <c r="H445" s="2"/>
      <c r="I445" s="2">
        <v>71.299499999999995</v>
      </c>
      <c r="J445" s="2">
        <v>65</v>
      </c>
      <c r="K445" s="2">
        <v>71.706900000000005</v>
      </c>
      <c r="L445" s="2">
        <v>50</v>
      </c>
      <c r="M445" s="2">
        <v>103.4744</v>
      </c>
      <c r="N445" s="2">
        <v>105</v>
      </c>
      <c r="O445" s="2">
        <v>104.17319999999999</v>
      </c>
      <c r="P445" s="2">
        <v>104</v>
      </c>
      <c r="Q445" s="2">
        <v>103.521</v>
      </c>
      <c r="R445" s="2">
        <v>227</v>
      </c>
      <c r="S445" s="2">
        <v>100.4623</v>
      </c>
      <c r="T445" s="2">
        <v>150</v>
      </c>
      <c r="U445" s="2">
        <v>0.60279700000000003</v>
      </c>
      <c r="V445" s="2">
        <v>117</v>
      </c>
      <c r="W445" s="2">
        <v>2003</v>
      </c>
    </row>
    <row r="446" spans="1:23" ht="12.3" hidden="1" x14ac:dyDescent="0.4">
      <c r="A446" s="2" t="s">
        <v>147</v>
      </c>
      <c r="B446" s="2"/>
      <c r="C446" s="2"/>
      <c r="D446" s="2"/>
      <c r="E446" s="2"/>
      <c r="F446" s="2"/>
      <c r="G446" s="2"/>
      <c r="H446" s="2"/>
      <c r="I446" s="2">
        <v>65.771000000000001</v>
      </c>
      <c r="J446" s="2">
        <v>268</v>
      </c>
      <c r="K446" s="2">
        <v>66.373099999999994</v>
      </c>
      <c r="L446" s="2">
        <v>262</v>
      </c>
      <c r="M446" s="2">
        <v>97.254900000000006</v>
      </c>
      <c r="N446" s="2">
        <v>242</v>
      </c>
      <c r="O446" s="2">
        <v>96.216099999999997</v>
      </c>
      <c r="P446" s="2">
        <v>255</v>
      </c>
      <c r="Q446" s="2">
        <v>91.876300000000001</v>
      </c>
      <c r="R446" s="2">
        <v>11</v>
      </c>
      <c r="S446" s="2">
        <v>92.854299999999995</v>
      </c>
      <c r="T446" s="2">
        <v>19</v>
      </c>
      <c r="U446" s="2">
        <v>0.60084499999999996</v>
      </c>
      <c r="V446" s="2">
        <v>118</v>
      </c>
      <c r="W446" s="2">
        <v>2003</v>
      </c>
    </row>
    <row r="447" spans="1:23" ht="12.3" hidden="1" x14ac:dyDescent="0.4">
      <c r="A447" s="2" t="s">
        <v>114</v>
      </c>
      <c r="B447" s="2"/>
      <c r="C447" s="2"/>
      <c r="D447" s="2"/>
      <c r="E447" s="2"/>
      <c r="F447" s="2"/>
      <c r="G447" s="2"/>
      <c r="H447" s="2"/>
      <c r="I447" s="2">
        <v>70.880600000000001</v>
      </c>
      <c r="J447" s="2">
        <v>77</v>
      </c>
      <c r="K447" s="2">
        <v>70.095299999999995</v>
      </c>
      <c r="L447" s="2">
        <v>95</v>
      </c>
      <c r="M447" s="2">
        <v>103.96939999999999</v>
      </c>
      <c r="N447" s="2">
        <v>95</v>
      </c>
      <c r="O447" s="2">
        <v>102.04519999999999</v>
      </c>
      <c r="P447" s="2">
        <v>146</v>
      </c>
      <c r="Q447" s="2">
        <v>98.867699999999999</v>
      </c>
      <c r="R447" s="2">
        <v>116</v>
      </c>
      <c r="S447" s="2">
        <v>98.705500000000001</v>
      </c>
      <c r="T447" s="2">
        <v>110</v>
      </c>
      <c r="U447" s="2">
        <v>0.59451600000000004</v>
      </c>
      <c r="V447" s="2">
        <v>119</v>
      </c>
      <c r="W447" s="2">
        <v>2003</v>
      </c>
    </row>
    <row r="448" spans="1:23" ht="12.3" hidden="1" x14ac:dyDescent="0.4">
      <c r="A448" s="2" t="s">
        <v>231</v>
      </c>
      <c r="B448" s="2"/>
      <c r="C448" s="2"/>
      <c r="D448" s="2"/>
      <c r="E448" s="2"/>
      <c r="F448" s="2"/>
      <c r="G448" s="2"/>
      <c r="H448" s="2"/>
      <c r="I448" s="2">
        <v>70.211100000000002</v>
      </c>
      <c r="J448" s="2">
        <v>103</v>
      </c>
      <c r="K448" s="2">
        <v>70.500500000000002</v>
      </c>
      <c r="L448" s="2">
        <v>84</v>
      </c>
      <c r="M448" s="2">
        <v>103.11790000000001</v>
      </c>
      <c r="N448" s="2">
        <v>121</v>
      </c>
      <c r="O448" s="2">
        <v>104.0231</v>
      </c>
      <c r="P448" s="2">
        <v>110</v>
      </c>
      <c r="Q448" s="2">
        <v>99.295500000000004</v>
      </c>
      <c r="R448" s="2">
        <v>128</v>
      </c>
      <c r="S448" s="2">
        <v>100.6228</v>
      </c>
      <c r="T448" s="2">
        <v>153</v>
      </c>
      <c r="U448" s="2">
        <v>0.59440199999999999</v>
      </c>
      <c r="V448" s="2">
        <v>120</v>
      </c>
      <c r="W448" s="2">
        <v>2003</v>
      </c>
    </row>
    <row r="449" spans="1:23" ht="12.3" x14ac:dyDescent="0.4">
      <c r="A449" s="2" t="s">
        <v>118</v>
      </c>
      <c r="B449" s="2">
        <v>13</v>
      </c>
      <c r="C449" s="25"/>
      <c r="D449" s="25"/>
      <c r="E449" s="25"/>
      <c r="F449" s="25"/>
      <c r="G449" s="25"/>
      <c r="H449" s="25"/>
      <c r="I449" s="2">
        <v>65.263499999999993</v>
      </c>
      <c r="J449" s="2">
        <v>204</v>
      </c>
      <c r="K449" s="2">
        <v>65.110600000000005</v>
      </c>
      <c r="L449" s="2">
        <v>208</v>
      </c>
      <c r="M449" s="2">
        <v>103.3711</v>
      </c>
      <c r="N449" s="2">
        <v>118</v>
      </c>
      <c r="O449" s="2">
        <v>103.28660000000001</v>
      </c>
      <c r="P449" s="2">
        <v>126</v>
      </c>
      <c r="Q449" s="2">
        <v>95.627799999999993</v>
      </c>
      <c r="R449" s="2">
        <v>65</v>
      </c>
      <c r="S449" s="2">
        <v>94.922799999999995</v>
      </c>
      <c r="T449" s="2">
        <v>59</v>
      </c>
      <c r="U449" s="2">
        <v>0.72533800000000004</v>
      </c>
      <c r="V449" s="2">
        <v>74</v>
      </c>
      <c r="W449" s="2">
        <v>2013</v>
      </c>
    </row>
    <row r="450" spans="1:23" ht="12.3" hidden="1" x14ac:dyDescent="0.4">
      <c r="A450" s="2" t="s">
        <v>177</v>
      </c>
      <c r="B450" s="2"/>
      <c r="C450" s="2"/>
      <c r="D450" s="2"/>
      <c r="E450" s="2"/>
      <c r="F450" s="2"/>
      <c r="G450" s="2"/>
      <c r="H450" s="2"/>
      <c r="I450" s="2">
        <v>67.966399999999993</v>
      </c>
      <c r="J450" s="2">
        <v>193</v>
      </c>
      <c r="K450" s="2">
        <v>66.836600000000004</v>
      </c>
      <c r="L450" s="2">
        <v>242</v>
      </c>
      <c r="M450" s="2">
        <v>104.9528</v>
      </c>
      <c r="N450" s="2">
        <v>80</v>
      </c>
      <c r="O450" s="2">
        <v>101.9919</v>
      </c>
      <c r="P450" s="2">
        <v>148</v>
      </c>
      <c r="Q450" s="2">
        <v>96.307699999999997</v>
      </c>
      <c r="R450" s="2">
        <v>54</v>
      </c>
      <c r="S450" s="2">
        <v>98.786299999999997</v>
      </c>
      <c r="T450" s="2">
        <v>114</v>
      </c>
      <c r="U450" s="2">
        <v>0.59079199999999998</v>
      </c>
      <c r="V450" s="2">
        <v>122</v>
      </c>
      <c r="W450" s="2">
        <v>2003</v>
      </c>
    </row>
    <row r="451" spans="1:23" ht="12.3" hidden="1" x14ac:dyDescent="0.4">
      <c r="A451" s="2" t="s">
        <v>203</v>
      </c>
      <c r="B451" s="2"/>
      <c r="C451" s="2"/>
      <c r="D451" s="2"/>
      <c r="E451" s="2"/>
      <c r="F451" s="2"/>
      <c r="G451" s="2"/>
      <c r="H451" s="2"/>
      <c r="I451" s="2">
        <v>65.7804</v>
      </c>
      <c r="J451" s="2">
        <v>267</v>
      </c>
      <c r="K451" s="2">
        <v>65.563299999999998</v>
      </c>
      <c r="L451" s="2">
        <v>279</v>
      </c>
      <c r="M451" s="2">
        <v>102.73099999999999</v>
      </c>
      <c r="N451" s="2">
        <v>130</v>
      </c>
      <c r="O451" s="2">
        <v>101.8927</v>
      </c>
      <c r="P451" s="2">
        <v>151</v>
      </c>
      <c r="Q451" s="2">
        <v>95.403199999999998</v>
      </c>
      <c r="R451" s="2">
        <v>37</v>
      </c>
      <c r="S451" s="2">
        <v>98.700199999999995</v>
      </c>
      <c r="T451" s="2">
        <v>108</v>
      </c>
      <c r="U451" s="2">
        <v>0.59051299999999995</v>
      </c>
      <c r="V451" s="2">
        <v>123</v>
      </c>
      <c r="W451" s="2">
        <v>2003</v>
      </c>
    </row>
    <row r="452" spans="1:23" ht="12.3" hidden="1" x14ac:dyDescent="0.4">
      <c r="A452" s="2" t="s">
        <v>159</v>
      </c>
      <c r="B452" s="2"/>
      <c r="C452" s="2"/>
      <c r="D452" s="2"/>
      <c r="E452" s="2"/>
      <c r="F452" s="2"/>
      <c r="G452" s="2"/>
      <c r="H452" s="2"/>
      <c r="I452" s="2">
        <v>68.5274</v>
      </c>
      <c r="J452" s="2">
        <v>164</v>
      </c>
      <c r="K452" s="2">
        <v>68.681799999999996</v>
      </c>
      <c r="L452" s="2">
        <v>153</v>
      </c>
      <c r="M452" s="2">
        <v>101.8545</v>
      </c>
      <c r="N452" s="2">
        <v>152</v>
      </c>
      <c r="O452" s="2">
        <v>105.7979</v>
      </c>
      <c r="P452" s="2">
        <v>84</v>
      </c>
      <c r="Q452" s="2">
        <v>106.2666</v>
      </c>
      <c r="R452" s="2">
        <v>269</v>
      </c>
      <c r="S452" s="2">
        <v>102.5569</v>
      </c>
      <c r="T452" s="2">
        <v>192</v>
      </c>
      <c r="U452" s="2">
        <v>0.58850899999999995</v>
      </c>
      <c r="V452" s="2">
        <v>124</v>
      </c>
      <c r="W452" s="2">
        <v>2003</v>
      </c>
    </row>
    <row r="453" spans="1:23" ht="12.3" hidden="1" x14ac:dyDescent="0.4">
      <c r="A453" s="2" t="s">
        <v>353</v>
      </c>
      <c r="B453" s="2"/>
      <c r="C453" s="2"/>
      <c r="D453" s="2"/>
      <c r="E453" s="2"/>
      <c r="F453" s="2"/>
      <c r="G453" s="2"/>
      <c r="H453" s="2"/>
      <c r="I453" s="2">
        <v>67.326999999999998</v>
      </c>
      <c r="J453" s="2">
        <v>226</v>
      </c>
      <c r="K453" s="2">
        <v>67.716999999999999</v>
      </c>
      <c r="L453" s="2">
        <v>198</v>
      </c>
      <c r="M453" s="2">
        <v>101.0012</v>
      </c>
      <c r="N453" s="2">
        <v>170</v>
      </c>
      <c r="O453" s="2">
        <v>102.518</v>
      </c>
      <c r="P453" s="2">
        <v>136</v>
      </c>
      <c r="Q453" s="2">
        <v>100.693</v>
      </c>
      <c r="R453" s="2">
        <v>160</v>
      </c>
      <c r="S453" s="2">
        <v>99.446899999999999</v>
      </c>
      <c r="T453" s="2">
        <v>126</v>
      </c>
      <c r="U453" s="2">
        <v>0.586561</v>
      </c>
      <c r="V453" s="2">
        <v>125</v>
      </c>
      <c r="W453" s="2">
        <v>2003</v>
      </c>
    </row>
    <row r="454" spans="1:23" ht="12.3" hidden="1" x14ac:dyDescent="0.4">
      <c r="A454" s="2" t="s">
        <v>110</v>
      </c>
      <c r="B454" s="2"/>
      <c r="C454" s="2"/>
      <c r="D454" s="2"/>
      <c r="E454" s="2"/>
      <c r="F454" s="2"/>
      <c r="G454" s="2"/>
      <c r="H454" s="2"/>
      <c r="I454" s="2">
        <v>65.611599999999996</v>
      </c>
      <c r="J454" s="2">
        <v>274</v>
      </c>
      <c r="K454" s="2">
        <v>67.006299999999996</v>
      </c>
      <c r="L454" s="2">
        <v>232</v>
      </c>
      <c r="M454" s="2">
        <v>103.4598</v>
      </c>
      <c r="N454" s="2">
        <v>108</v>
      </c>
      <c r="O454" s="2">
        <v>101.5004</v>
      </c>
      <c r="P454" s="2">
        <v>158</v>
      </c>
      <c r="Q454" s="2">
        <v>98.116600000000005</v>
      </c>
      <c r="R454" s="2">
        <v>93</v>
      </c>
      <c r="S454" s="2">
        <v>98.564499999999995</v>
      </c>
      <c r="T454" s="2">
        <v>107</v>
      </c>
      <c r="U454" s="2">
        <v>0.58359300000000003</v>
      </c>
      <c r="V454" s="2">
        <v>126</v>
      </c>
      <c r="W454" s="2">
        <v>2003</v>
      </c>
    </row>
    <row r="455" spans="1:23" ht="12.3" hidden="1" x14ac:dyDescent="0.4">
      <c r="A455" s="2" t="s">
        <v>105</v>
      </c>
      <c r="B455" s="2"/>
      <c r="C455" s="2"/>
      <c r="D455" s="2"/>
      <c r="E455" s="2"/>
      <c r="F455" s="2"/>
      <c r="G455" s="2"/>
      <c r="H455" s="2"/>
      <c r="I455" s="2">
        <v>69.436300000000003</v>
      </c>
      <c r="J455" s="2">
        <v>135</v>
      </c>
      <c r="K455" s="2">
        <v>68.095799999999997</v>
      </c>
      <c r="L455" s="2">
        <v>182</v>
      </c>
      <c r="M455" s="2">
        <v>104.36490000000001</v>
      </c>
      <c r="N455" s="2">
        <v>88</v>
      </c>
      <c r="O455" s="2">
        <v>101.0909</v>
      </c>
      <c r="P455" s="2">
        <v>166</v>
      </c>
      <c r="Q455" s="2">
        <v>97.543099999999995</v>
      </c>
      <c r="R455" s="2">
        <v>80</v>
      </c>
      <c r="S455" s="2">
        <v>98.238100000000003</v>
      </c>
      <c r="T455" s="2">
        <v>102</v>
      </c>
      <c r="U455" s="2">
        <v>0.58156300000000005</v>
      </c>
      <c r="V455" s="2">
        <v>127</v>
      </c>
      <c r="W455" s="2">
        <v>2003</v>
      </c>
    </row>
    <row r="456" spans="1:23" ht="12.3" hidden="1" x14ac:dyDescent="0.4">
      <c r="A456" s="2" t="s">
        <v>196</v>
      </c>
      <c r="B456" s="2"/>
      <c r="C456" s="2"/>
      <c r="D456" s="2"/>
      <c r="E456" s="2"/>
      <c r="F456" s="2"/>
      <c r="G456" s="2"/>
      <c r="H456" s="2"/>
      <c r="I456" s="2">
        <v>71.716800000000006</v>
      </c>
      <c r="J456" s="2">
        <v>55</v>
      </c>
      <c r="K456" s="2">
        <v>71.141499999999994</v>
      </c>
      <c r="L456" s="2">
        <v>63</v>
      </c>
      <c r="M456" s="2">
        <v>104.94970000000001</v>
      </c>
      <c r="N456" s="2">
        <v>81</v>
      </c>
      <c r="O456" s="2">
        <v>103.2846</v>
      </c>
      <c r="P456" s="2">
        <v>125</v>
      </c>
      <c r="Q456" s="2">
        <v>98.598699999999994</v>
      </c>
      <c r="R456" s="2">
        <v>109</v>
      </c>
      <c r="S456" s="2">
        <v>100.4674</v>
      </c>
      <c r="T456" s="2">
        <v>151</v>
      </c>
      <c r="U456" s="2">
        <v>0.578843</v>
      </c>
      <c r="V456" s="2">
        <v>128</v>
      </c>
      <c r="W456" s="2">
        <v>2003</v>
      </c>
    </row>
    <row r="457" spans="1:23" ht="12.3" hidden="1" x14ac:dyDescent="0.4">
      <c r="A457" s="2" t="s">
        <v>209</v>
      </c>
      <c r="B457" s="2"/>
      <c r="C457" s="2"/>
      <c r="D457" s="2"/>
      <c r="E457" s="2"/>
      <c r="F457" s="2"/>
      <c r="G457" s="2"/>
      <c r="H457" s="2"/>
      <c r="I457" s="2">
        <v>66.791499999999999</v>
      </c>
      <c r="J457" s="2">
        <v>242</v>
      </c>
      <c r="K457" s="2">
        <v>66.287599999999998</v>
      </c>
      <c r="L457" s="2">
        <v>263</v>
      </c>
      <c r="M457" s="2">
        <v>102.7295</v>
      </c>
      <c r="N457" s="2">
        <v>131</v>
      </c>
      <c r="O457" s="2">
        <v>103.73609999999999</v>
      </c>
      <c r="P457" s="2">
        <v>114</v>
      </c>
      <c r="Q457" s="2">
        <v>102.7611</v>
      </c>
      <c r="R457" s="2">
        <v>214</v>
      </c>
      <c r="S457" s="2">
        <v>100.92189999999999</v>
      </c>
      <c r="T457" s="2">
        <v>159</v>
      </c>
      <c r="U457" s="2">
        <v>0.57841900000000002</v>
      </c>
      <c r="V457" s="2">
        <v>129</v>
      </c>
      <c r="W457" s="2">
        <v>2003</v>
      </c>
    </row>
    <row r="458" spans="1:23" ht="12.3" hidden="1" x14ac:dyDescent="0.4">
      <c r="A458" s="2" t="s">
        <v>149</v>
      </c>
      <c r="B458" s="2"/>
      <c r="C458" s="2"/>
      <c r="D458" s="2"/>
      <c r="E458" s="2"/>
      <c r="F458" s="2"/>
      <c r="G458" s="2"/>
      <c r="H458" s="2"/>
      <c r="I458" s="2">
        <v>69.492699999999999</v>
      </c>
      <c r="J458" s="2">
        <v>129</v>
      </c>
      <c r="K458" s="2">
        <v>68.489999999999995</v>
      </c>
      <c r="L458" s="2">
        <v>164</v>
      </c>
      <c r="M458" s="2">
        <v>96.589399999999998</v>
      </c>
      <c r="N458" s="2">
        <v>248</v>
      </c>
      <c r="O458" s="2">
        <v>98.884399999999999</v>
      </c>
      <c r="P458" s="2">
        <v>207</v>
      </c>
      <c r="Q458" s="2">
        <v>99.387900000000002</v>
      </c>
      <c r="R458" s="2">
        <v>130</v>
      </c>
      <c r="S458" s="2">
        <v>96.330399999999997</v>
      </c>
      <c r="T458" s="2">
        <v>64</v>
      </c>
      <c r="U458" s="2">
        <v>0.57466899999999999</v>
      </c>
      <c r="V458" s="2">
        <v>130</v>
      </c>
      <c r="W458" s="2">
        <v>2003</v>
      </c>
    </row>
    <row r="459" spans="1:23" ht="12.3" hidden="1" x14ac:dyDescent="0.4">
      <c r="A459" s="2" t="s">
        <v>192</v>
      </c>
      <c r="B459" s="2"/>
      <c r="C459" s="2"/>
      <c r="D459" s="2"/>
      <c r="E459" s="2"/>
      <c r="F459" s="2"/>
      <c r="G459" s="2"/>
      <c r="H459" s="2"/>
      <c r="I459" s="2">
        <v>68.352999999999994</v>
      </c>
      <c r="J459" s="2">
        <v>177</v>
      </c>
      <c r="K459" s="2">
        <v>69.147800000000004</v>
      </c>
      <c r="L459" s="2">
        <v>133</v>
      </c>
      <c r="M459" s="2">
        <v>105.9342</v>
      </c>
      <c r="N459" s="2">
        <v>72</v>
      </c>
      <c r="O459" s="2">
        <v>107.71599999999999</v>
      </c>
      <c r="P459" s="2">
        <v>59</v>
      </c>
      <c r="Q459" s="2">
        <v>102.90349999999999</v>
      </c>
      <c r="R459" s="2">
        <v>217</v>
      </c>
      <c r="S459" s="2">
        <v>104.9648</v>
      </c>
      <c r="T459" s="2">
        <v>236</v>
      </c>
      <c r="U459" s="2">
        <v>0.57384299999999999</v>
      </c>
      <c r="V459" s="2">
        <v>131</v>
      </c>
      <c r="W459" s="2">
        <v>2003</v>
      </c>
    </row>
    <row r="460" spans="1:23" ht="12.3" hidden="1" x14ac:dyDescent="0.4">
      <c r="A460" s="2" t="s">
        <v>186</v>
      </c>
      <c r="B460" s="2"/>
      <c r="C460" s="2"/>
      <c r="D460" s="2"/>
      <c r="E460" s="2"/>
      <c r="F460" s="2"/>
      <c r="G460" s="2"/>
      <c r="H460" s="2"/>
      <c r="I460" s="2">
        <v>68.536600000000007</v>
      </c>
      <c r="J460" s="2">
        <v>163</v>
      </c>
      <c r="K460" s="2">
        <v>68.875799999999998</v>
      </c>
      <c r="L460" s="2">
        <v>144</v>
      </c>
      <c r="M460" s="2">
        <v>102.2719</v>
      </c>
      <c r="N460" s="2">
        <v>145</v>
      </c>
      <c r="O460" s="2">
        <v>102.38679999999999</v>
      </c>
      <c r="P460" s="2">
        <v>138</v>
      </c>
      <c r="Q460" s="2">
        <v>102.6678</v>
      </c>
      <c r="R460" s="2">
        <v>210</v>
      </c>
      <c r="S460" s="2">
        <v>99.801100000000005</v>
      </c>
      <c r="T460" s="2">
        <v>132</v>
      </c>
      <c r="U460" s="2">
        <v>0.57301400000000002</v>
      </c>
      <c r="V460" s="2">
        <v>132</v>
      </c>
      <c r="W460" s="2">
        <v>2003</v>
      </c>
    </row>
    <row r="461" spans="1:23" ht="12.3" hidden="1" x14ac:dyDescent="0.4">
      <c r="A461" s="2" t="s">
        <v>226</v>
      </c>
      <c r="B461" s="2"/>
      <c r="C461" s="2"/>
      <c r="D461" s="2"/>
      <c r="E461" s="2"/>
      <c r="F461" s="2"/>
      <c r="G461" s="2"/>
      <c r="H461" s="2"/>
      <c r="I461" s="2">
        <v>63.781999999999996</v>
      </c>
      <c r="J461" s="2">
        <v>304</v>
      </c>
      <c r="K461" s="2">
        <v>64.656700000000001</v>
      </c>
      <c r="L461" s="2">
        <v>295</v>
      </c>
      <c r="M461" s="2">
        <v>103.11199999999999</v>
      </c>
      <c r="N461" s="2">
        <v>122</v>
      </c>
      <c r="O461" s="2">
        <v>102.81359999999999</v>
      </c>
      <c r="P461" s="2">
        <v>130</v>
      </c>
      <c r="Q461" s="2">
        <v>96.086200000000005</v>
      </c>
      <c r="R461" s="2">
        <v>49</v>
      </c>
      <c r="S461" s="2">
        <v>100.27370000000001</v>
      </c>
      <c r="T461" s="2">
        <v>146</v>
      </c>
      <c r="U461" s="2">
        <v>0.57142300000000001</v>
      </c>
      <c r="V461" s="2">
        <v>133</v>
      </c>
      <c r="W461" s="2">
        <v>2003</v>
      </c>
    </row>
    <row r="462" spans="1:23" ht="12.3" hidden="1" x14ac:dyDescent="0.4">
      <c r="A462" s="2" t="s">
        <v>131</v>
      </c>
      <c r="B462" s="2"/>
      <c r="C462" s="2"/>
      <c r="D462" s="2"/>
      <c r="E462" s="2"/>
      <c r="F462" s="2"/>
      <c r="G462" s="2"/>
      <c r="H462" s="2"/>
      <c r="I462" s="2">
        <v>72.946399999999997</v>
      </c>
      <c r="J462" s="2">
        <v>32</v>
      </c>
      <c r="K462" s="2">
        <v>71.628</v>
      </c>
      <c r="L462" s="2">
        <v>53</v>
      </c>
      <c r="M462" s="2">
        <v>97.802800000000005</v>
      </c>
      <c r="N462" s="2">
        <v>232</v>
      </c>
      <c r="O462" s="2">
        <v>102.0224</v>
      </c>
      <c r="P462" s="2">
        <v>147</v>
      </c>
      <c r="Q462" s="2">
        <v>101.6224</v>
      </c>
      <c r="R462" s="2">
        <v>188</v>
      </c>
      <c r="S462" s="2">
        <v>99.636099999999999</v>
      </c>
      <c r="T462" s="2">
        <v>130</v>
      </c>
      <c r="U462" s="2">
        <v>0.56762800000000002</v>
      </c>
      <c r="V462" s="2">
        <v>134</v>
      </c>
      <c r="W462" s="2">
        <v>2003</v>
      </c>
    </row>
    <row r="463" spans="1:23" ht="12.3" hidden="1" x14ac:dyDescent="0.4">
      <c r="A463" s="2" t="s">
        <v>176</v>
      </c>
      <c r="B463" s="2"/>
      <c r="C463" s="2"/>
      <c r="D463" s="2"/>
      <c r="E463" s="2"/>
      <c r="F463" s="2"/>
      <c r="G463" s="2"/>
      <c r="H463" s="2"/>
      <c r="I463" s="2">
        <v>60.444899999999997</v>
      </c>
      <c r="J463" s="2">
        <v>323</v>
      </c>
      <c r="K463" s="2">
        <v>60.949800000000003</v>
      </c>
      <c r="L463" s="2">
        <v>320</v>
      </c>
      <c r="M463" s="2">
        <v>107.6831</v>
      </c>
      <c r="N463" s="2">
        <v>46</v>
      </c>
      <c r="O463" s="2">
        <v>107.9816</v>
      </c>
      <c r="P463" s="2">
        <v>56</v>
      </c>
      <c r="Q463" s="2">
        <v>102.6949</v>
      </c>
      <c r="R463" s="2">
        <v>211</v>
      </c>
      <c r="S463" s="2">
        <v>105.4721</v>
      </c>
      <c r="T463" s="2">
        <v>246</v>
      </c>
      <c r="U463" s="2">
        <v>0.56719600000000003</v>
      </c>
      <c r="V463" s="2">
        <v>135</v>
      </c>
      <c r="W463" s="2">
        <v>2003</v>
      </c>
    </row>
    <row r="464" spans="1:23" ht="12.3" hidden="1" x14ac:dyDescent="0.4">
      <c r="A464" s="2" t="s">
        <v>80</v>
      </c>
      <c r="B464" s="2"/>
      <c r="C464" s="2"/>
      <c r="D464" s="2"/>
      <c r="E464" s="2"/>
      <c r="F464" s="2"/>
      <c r="G464" s="2"/>
      <c r="H464" s="2"/>
      <c r="I464" s="2">
        <v>67.466999999999999</v>
      </c>
      <c r="J464" s="2">
        <v>220</v>
      </c>
      <c r="K464" s="2">
        <v>67.207400000000007</v>
      </c>
      <c r="L464" s="2">
        <v>225</v>
      </c>
      <c r="M464" s="2">
        <v>91.569900000000004</v>
      </c>
      <c r="N464" s="2">
        <v>307</v>
      </c>
      <c r="O464" s="2">
        <v>97.086500000000001</v>
      </c>
      <c r="P464" s="2">
        <v>239</v>
      </c>
      <c r="Q464" s="2">
        <v>99.439800000000005</v>
      </c>
      <c r="R464" s="2">
        <v>132</v>
      </c>
      <c r="S464" s="2">
        <v>94.859499999999997</v>
      </c>
      <c r="T464" s="2">
        <v>44</v>
      </c>
      <c r="U464" s="2">
        <v>0.56632199999999999</v>
      </c>
      <c r="V464" s="2">
        <v>136</v>
      </c>
      <c r="W464" s="2">
        <v>2003</v>
      </c>
    </row>
    <row r="465" spans="1:23" ht="12.3" hidden="1" x14ac:dyDescent="0.4">
      <c r="A465" s="2" t="s">
        <v>282</v>
      </c>
      <c r="B465" s="2"/>
      <c r="C465" s="2"/>
      <c r="D465" s="2"/>
      <c r="E465" s="2"/>
      <c r="F465" s="2"/>
      <c r="G465" s="2"/>
      <c r="H465" s="2"/>
      <c r="I465" s="2">
        <v>64.944999999999993</v>
      </c>
      <c r="J465" s="2">
        <v>289</v>
      </c>
      <c r="K465" s="2">
        <v>63.9709</v>
      </c>
      <c r="L465" s="2">
        <v>301</v>
      </c>
      <c r="M465" s="2">
        <v>107.4298</v>
      </c>
      <c r="N465" s="2">
        <v>53</v>
      </c>
      <c r="O465" s="2">
        <v>104.803</v>
      </c>
      <c r="P465" s="2">
        <v>96</v>
      </c>
      <c r="Q465" s="2">
        <v>97.202200000000005</v>
      </c>
      <c r="R465" s="2">
        <v>72</v>
      </c>
      <c r="S465" s="2">
        <v>102.4537</v>
      </c>
      <c r="T465" s="2">
        <v>191</v>
      </c>
      <c r="U465" s="2">
        <v>0.56481300000000001</v>
      </c>
      <c r="V465" s="2">
        <v>137</v>
      </c>
      <c r="W465" s="2">
        <v>2003</v>
      </c>
    </row>
    <row r="466" spans="1:23" ht="12.3" x14ac:dyDescent="0.4">
      <c r="A466" s="2" t="s">
        <v>241</v>
      </c>
      <c r="B466" s="2">
        <v>15</v>
      </c>
      <c r="C466" s="25"/>
      <c r="D466" s="25"/>
      <c r="E466" s="25"/>
      <c r="F466" s="25"/>
      <c r="G466" s="25"/>
      <c r="H466" s="25"/>
      <c r="I466" s="2">
        <v>70.231099999999998</v>
      </c>
      <c r="J466" s="2">
        <v>26</v>
      </c>
      <c r="K466" s="2">
        <v>70.605500000000006</v>
      </c>
      <c r="L466" s="2">
        <v>17</v>
      </c>
      <c r="M466" s="2">
        <v>112.0595</v>
      </c>
      <c r="N466" s="2">
        <v>15</v>
      </c>
      <c r="O466" s="2">
        <v>112.7653</v>
      </c>
      <c r="P466" s="2">
        <v>14</v>
      </c>
      <c r="Q466" s="2">
        <v>104.87350000000001</v>
      </c>
      <c r="R466" s="2">
        <v>266</v>
      </c>
      <c r="S466" s="2">
        <v>105.4032</v>
      </c>
      <c r="T466" s="2">
        <v>263</v>
      </c>
      <c r="U466" s="2">
        <v>0.68491000000000002</v>
      </c>
      <c r="V466" s="2">
        <v>89</v>
      </c>
      <c r="W466" s="2">
        <v>2013</v>
      </c>
    </row>
    <row r="467" spans="1:23" ht="12.3" hidden="1" x14ac:dyDescent="0.4">
      <c r="A467" s="2" t="s">
        <v>233</v>
      </c>
      <c r="B467" s="2"/>
      <c r="C467" s="2"/>
      <c r="D467" s="2"/>
      <c r="E467" s="2"/>
      <c r="F467" s="2"/>
      <c r="G467" s="2"/>
      <c r="H467" s="2"/>
      <c r="I467" s="2">
        <v>70.411100000000005</v>
      </c>
      <c r="J467" s="2">
        <v>96</v>
      </c>
      <c r="K467" s="2">
        <v>72.703199999999995</v>
      </c>
      <c r="L467" s="2">
        <v>29</v>
      </c>
      <c r="M467" s="2">
        <v>104.32389999999999</v>
      </c>
      <c r="N467" s="2">
        <v>89</v>
      </c>
      <c r="O467" s="2">
        <v>105.0599</v>
      </c>
      <c r="P467" s="2">
        <v>91</v>
      </c>
      <c r="Q467" s="2">
        <v>101.4806</v>
      </c>
      <c r="R467" s="2">
        <v>184</v>
      </c>
      <c r="S467" s="2">
        <v>102.9353</v>
      </c>
      <c r="T467" s="2">
        <v>199</v>
      </c>
      <c r="U467" s="2">
        <v>0.55846799999999996</v>
      </c>
      <c r="V467" s="2">
        <v>139</v>
      </c>
      <c r="W467" s="2">
        <v>2003</v>
      </c>
    </row>
    <row r="468" spans="1:23" ht="12.3" hidden="1" x14ac:dyDescent="0.4">
      <c r="A468" s="2" t="s">
        <v>166</v>
      </c>
      <c r="B468" s="2"/>
      <c r="C468" s="2"/>
      <c r="D468" s="2"/>
      <c r="E468" s="2"/>
      <c r="F468" s="2"/>
      <c r="G468" s="2"/>
      <c r="H468" s="2"/>
      <c r="I468" s="2">
        <v>71.786699999999996</v>
      </c>
      <c r="J468" s="2">
        <v>53</v>
      </c>
      <c r="K468" s="2">
        <v>70.803600000000003</v>
      </c>
      <c r="L468" s="2">
        <v>71</v>
      </c>
      <c r="M468" s="2">
        <v>111.0334</v>
      </c>
      <c r="N468" s="2">
        <v>17</v>
      </c>
      <c r="O468" s="2">
        <v>109.5471</v>
      </c>
      <c r="P468" s="2">
        <v>38</v>
      </c>
      <c r="Q468" s="2">
        <v>104.4594</v>
      </c>
      <c r="R468" s="2">
        <v>243</v>
      </c>
      <c r="S468" s="2">
        <v>107.3604</v>
      </c>
      <c r="T468" s="2">
        <v>278</v>
      </c>
      <c r="U468" s="2">
        <v>0.55771099999999996</v>
      </c>
      <c r="V468" s="2">
        <v>140</v>
      </c>
      <c r="W468" s="2">
        <v>2003</v>
      </c>
    </row>
    <row r="469" spans="1:23" ht="12.3" x14ac:dyDescent="0.4">
      <c r="A469" s="2" t="s">
        <v>362</v>
      </c>
      <c r="B469" s="2">
        <v>13</v>
      </c>
      <c r="C469" s="25"/>
      <c r="D469" s="25"/>
      <c r="E469" s="25"/>
      <c r="F469" s="25"/>
      <c r="G469" s="25"/>
      <c r="H469" s="25"/>
      <c r="I469" s="2">
        <v>63.785800000000002</v>
      </c>
      <c r="J469" s="2">
        <v>267</v>
      </c>
      <c r="K469" s="2">
        <v>64.112799999999993</v>
      </c>
      <c r="L469" s="2">
        <v>258</v>
      </c>
      <c r="M469" s="2">
        <v>112.4359</v>
      </c>
      <c r="N469" s="2">
        <v>12</v>
      </c>
      <c r="O469" s="2">
        <v>111.1901</v>
      </c>
      <c r="P469" s="2">
        <v>27</v>
      </c>
      <c r="Q469" s="2">
        <v>102.55289999999999</v>
      </c>
      <c r="R469" s="2">
        <v>211</v>
      </c>
      <c r="S469" s="2">
        <v>104.0986</v>
      </c>
      <c r="T469" s="2">
        <v>242</v>
      </c>
      <c r="U469" s="2">
        <v>0.680894</v>
      </c>
      <c r="V469" s="2">
        <v>91</v>
      </c>
      <c r="W469" s="2">
        <v>2013</v>
      </c>
    </row>
    <row r="470" spans="1:23" ht="12.3" hidden="1" x14ac:dyDescent="0.4">
      <c r="A470" s="2" t="s">
        <v>140</v>
      </c>
      <c r="B470" s="2"/>
      <c r="C470" s="2"/>
      <c r="D470" s="2"/>
      <c r="E470" s="2"/>
      <c r="F470" s="2"/>
      <c r="G470" s="2"/>
      <c r="H470" s="2"/>
      <c r="I470" s="2">
        <v>70.727400000000003</v>
      </c>
      <c r="J470" s="2">
        <v>84</v>
      </c>
      <c r="K470" s="2">
        <v>69.523499999999999</v>
      </c>
      <c r="L470" s="2">
        <v>117</v>
      </c>
      <c r="M470" s="2">
        <v>100.714</v>
      </c>
      <c r="N470" s="2">
        <v>177</v>
      </c>
      <c r="O470" s="2">
        <v>102.4903</v>
      </c>
      <c r="P470" s="2">
        <v>137</v>
      </c>
      <c r="Q470" s="2">
        <v>100.85850000000001</v>
      </c>
      <c r="R470" s="2">
        <v>166</v>
      </c>
      <c r="S470" s="2">
        <v>100.7272</v>
      </c>
      <c r="T470" s="2">
        <v>156</v>
      </c>
      <c r="U470" s="2">
        <v>0.54972299999999996</v>
      </c>
      <c r="V470" s="2">
        <v>142</v>
      </c>
      <c r="W470" s="2">
        <v>2003</v>
      </c>
    </row>
    <row r="471" spans="1:23" ht="12.3" hidden="1" x14ac:dyDescent="0.4">
      <c r="A471" s="2" t="s">
        <v>221</v>
      </c>
      <c r="B471" s="2"/>
      <c r="C471" s="2"/>
      <c r="D471" s="2"/>
      <c r="E471" s="2"/>
      <c r="F471" s="2"/>
      <c r="G471" s="2"/>
      <c r="H471" s="2"/>
      <c r="I471" s="2">
        <v>71.311499999999995</v>
      </c>
      <c r="J471" s="2">
        <v>63</v>
      </c>
      <c r="K471" s="2">
        <v>70.289699999999996</v>
      </c>
      <c r="L471" s="2">
        <v>90</v>
      </c>
      <c r="M471" s="2">
        <v>98.4011</v>
      </c>
      <c r="N471" s="2">
        <v>221</v>
      </c>
      <c r="O471" s="2">
        <v>98.302700000000002</v>
      </c>
      <c r="P471" s="2">
        <v>219</v>
      </c>
      <c r="Q471" s="2">
        <v>96.557100000000005</v>
      </c>
      <c r="R471" s="2">
        <v>57</v>
      </c>
      <c r="S471" s="2">
        <v>96.653300000000002</v>
      </c>
      <c r="T471" s="2">
        <v>70</v>
      </c>
      <c r="U471" s="2">
        <v>0.54849599999999998</v>
      </c>
      <c r="V471" s="2">
        <v>143</v>
      </c>
      <c r="W471" s="2">
        <v>2003</v>
      </c>
    </row>
    <row r="472" spans="1:23" ht="12.3" hidden="1" x14ac:dyDescent="0.4">
      <c r="A472" s="2" t="s">
        <v>286</v>
      </c>
      <c r="B472" s="2"/>
      <c r="C472" s="2"/>
      <c r="D472" s="2"/>
      <c r="E472" s="2"/>
      <c r="F472" s="2"/>
      <c r="G472" s="2"/>
      <c r="H472" s="2"/>
      <c r="I472" s="2">
        <v>68.599800000000002</v>
      </c>
      <c r="J472" s="2">
        <v>160</v>
      </c>
      <c r="K472" s="2">
        <v>68.867599999999996</v>
      </c>
      <c r="L472" s="2">
        <v>145</v>
      </c>
      <c r="M472" s="2">
        <v>102.3922</v>
      </c>
      <c r="N472" s="2">
        <v>142</v>
      </c>
      <c r="O472" s="2">
        <v>101.1641</v>
      </c>
      <c r="P472" s="2">
        <v>164</v>
      </c>
      <c r="Q472" s="2">
        <v>99.103700000000003</v>
      </c>
      <c r="R472" s="2">
        <v>121</v>
      </c>
      <c r="S472" s="2">
        <v>99.532200000000003</v>
      </c>
      <c r="T472" s="2">
        <v>127</v>
      </c>
      <c r="U472" s="2">
        <v>0.54662100000000002</v>
      </c>
      <c r="V472" s="2">
        <v>144</v>
      </c>
      <c r="W472" s="2">
        <v>2003</v>
      </c>
    </row>
    <row r="473" spans="1:23" ht="12.3" hidden="1" x14ac:dyDescent="0.4">
      <c r="A473" s="2" t="s">
        <v>167</v>
      </c>
      <c r="B473" s="2"/>
      <c r="C473" s="2"/>
      <c r="D473" s="2"/>
      <c r="E473" s="2"/>
      <c r="F473" s="2"/>
      <c r="G473" s="2"/>
      <c r="H473" s="2"/>
      <c r="I473" s="2">
        <v>58.463700000000003</v>
      </c>
      <c r="J473" s="2">
        <v>326</v>
      </c>
      <c r="K473" s="2">
        <v>58.044699999999999</v>
      </c>
      <c r="L473" s="2">
        <v>326</v>
      </c>
      <c r="M473" s="2">
        <v>99.835499999999996</v>
      </c>
      <c r="N473" s="2">
        <v>198</v>
      </c>
      <c r="O473" s="2">
        <v>99.715800000000002</v>
      </c>
      <c r="P473" s="2">
        <v>196</v>
      </c>
      <c r="Q473" s="2">
        <v>101.4147</v>
      </c>
      <c r="R473" s="2">
        <v>182</v>
      </c>
      <c r="S473" s="2">
        <v>98.197699999999998</v>
      </c>
      <c r="T473" s="2">
        <v>99</v>
      </c>
      <c r="U473" s="2">
        <v>0.54399299999999995</v>
      </c>
      <c r="V473" s="2">
        <v>145</v>
      </c>
      <c r="W473" s="2">
        <v>2003</v>
      </c>
    </row>
    <row r="474" spans="1:23" ht="12.3" hidden="1" x14ac:dyDescent="0.4">
      <c r="A474" s="2" t="s">
        <v>245</v>
      </c>
      <c r="B474" s="2"/>
      <c r="C474" s="2"/>
      <c r="D474" s="2"/>
      <c r="E474" s="2"/>
      <c r="F474" s="2"/>
      <c r="G474" s="2"/>
      <c r="H474" s="2"/>
      <c r="I474" s="2">
        <v>70.123900000000006</v>
      </c>
      <c r="J474" s="2">
        <v>106</v>
      </c>
      <c r="K474" s="2">
        <v>70.192400000000006</v>
      </c>
      <c r="L474" s="2">
        <v>91</v>
      </c>
      <c r="M474" s="2">
        <v>101.95740000000001</v>
      </c>
      <c r="N474" s="2">
        <v>150</v>
      </c>
      <c r="O474" s="2">
        <v>101.91549999999999</v>
      </c>
      <c r="P474" s="2">
        <v>149</v>
      </c>
      <c r="Q474" s="2">
        <v>101.8039</v>
      </c>
      <c r="R474" s="2">
        <v>192</v>
      </c>
      <c r="S474" s="2">
        <v>100.41459999999999</v>
      </c>
      <c r="T474" s="2">
        <v>148</v>
      </c>
      <c r="U474" s="2">
        <v>0.54255200000000003</v>
      </c>
      <c r="V474" s="2">
        <v>146</v>
      </c>
      <c r="W474" s="2">
        <v>2003</v>
      </c>
    </row>
    <row r="475" spans="1:23" ht="12.3" hidden="1" x14ac:dyDescent="0.4">
      <c r="A475" s="2" t="s">
        <v>125</v>
      </c>
      <c r="B475" s="2"/>
      <c r="C475" s="2"/>
      <c r="D475" s="2"/>
      <c r="E475" s="2"/>
      <c r="F475" s="2"/>
      <c r="G475" s="2"/>
      <c r="H475" s="2"/>
      <c r="I475" s="2">
        <v>67.5261</v>
      </c>
      <c r="J475" s="2">
        <v>216</v>
      </c>
      <c r="K475" s="2">
        <v>67.293800000000005</v>
      </c>
      <c r="L475" s="2">
        <v>218</v>
      </c>
      <c r="M475" s="2">
        <v>101.0681</v>
      </c>
      <c r="N475" s="2">
        <v>169</v>
      </c>
      <c r="O475" s="2">
        <v>101.6474</v>
      </c>
      <c r="P475" s="2">
        <v>155</v>
      </c>
      <c r="Q475" s="2">
        <v>99.401499999999999</v>
      </c>
      <c r="R475" s="2">
        <v>131</v>
      </c>
      <c r="S475" s="2">
        <v>100.2064</v>
      </c>
      <c r="T475" s="2">
        <v>142</v>
      </c>
      <c r="U475" s="2">
        <v>0.54095800000000005</v>
      </c>
      <c r="V475" s="2">
        <v>147</v>
      </c>
      <c r="W475" s="2">
        <v>2003</v>
      </c>
    </row>
    <row r="476" spans="1:23" ht="12.3" hidden="1" x14ac:dyDescent="0.4">
      <c r="A476" s="2" t="s">
        <v>262</v>
      </c>
      <c r="B476" s="2"/>
      <c r="C476" s="2"/>
      <c r="D476" s="2"/>
      <c r="E476" s="2"/>
      <c r="F476" s="2"/>
      <c r="G476" s="2"/>
      <c r="H476" s="2"/>
      <c r="I476" s="2">
        <v>67.690899999999999</v>
      </c>
      <c r="J476" s="2">
        <v>205</v>
      </c>
      <c r="K476" s="2">
        <v>66.941800000000001</v>
      </c>
      <c r="L476" s="2">
        <v>237</v>
      </c>
      <c r="M476" s="2">
        <v>97.753200000000007</v>
      </c>
      <c r="N476" s="2">
        <v>235</v>
      </c>
      <c r="O476" s="2">
        <v>96.748999999999995</v>
      </c>
      <c r="P476" s="2">
        <v>250</v>
      </c>
      <c r="Q476" s="2">
        <v>96.462900000000005</v>
      </c>
      <c r="R476" s="2">
        <v>55</v>
      </c>
      <c r="S476" s="2">
        <v>95.444999999999993</v>
      </c>
      <c r="T476" s="2">
        <v>53</v>
      </c>
      <c r="U476" s="2">
        <v>0.53893599999999997</v>
      </c>
      <c r="V476" s="2">
        <v>148</v>
      </c>
      <c r="W476" s="2">
        <v>2003</v>
      </c>
    </row>
    <row r="477" spans="1:23" ht="12.3" hidden="1" x14ac:dyDescent="0.4">
      <c r="A477" s="2" t="s">
        <v>66</v>
      </c>
      <c r="B477" s="2"/>
      <c r="C477" s="2"/>
      <c r="D477" s="2"/>
      <c r="E477" s="2"/>
      <c r="F477" s="2"/>
      <c r="G477" s="2"/>
      <c r="H477" s="2"/>
      <c r="I477" s="2">
        <v>67.6477</v>
      </c>
      <c r="J477" s="2">
        <v>208</v>
      </c>
      <c r="K477" s="2">
        <v>67.371099999999998</v>
      </c>
      <c r="L477" s="2">
        <v>215</v>
      </c>
      <c r="M477" s="2">
        <v>100.881</v>
      </c>
      <c r="N477" s="2">
        <v>172</v>
      </c>
      <c r="O477" s="2">
        <v>99.183499999999995</v>
      </c>
      <c r="P477" s="2">
        <v>201</v>
      </c>
      <c r="Q477" s="2">
        <v>98.301400000000001</v>
      </c>
      <c r="R477" s="2">
        <v>100</v>
      </c>
      <c r="S477" s="2">
        <v>97.885900000000007</v>
      </c>
      <c r="T477" s="2">
        <v>92</v>
      </c>
      <c r="U477" s="2">
        <v>0.53778999999999999</v>
      </c>
      <c r="V477" s="2">
        <v>149</v>
      </c>
      <c r="W477" s="2">
        <v>2003</v>
      </c>
    </row>
    <row r="478" spans="1:23" ht="12.3" hidden="1" x14ac:dyDescent="0.4">
      <c r="A478" s="2" t="s">
        <v>79</v>
      </c>
      <c r="B478" s="2"/>
      <c r="C478" s="2"/>
      <c r="D478" s="2"/>
      <c r="E478" s="2"/>
      <c r="F478" s="2"/>
      <c r="G478" s="2"/>
      <c r="H478" s="2"/>
      <c r="I478" s="2">
        <v>71.859099999999998</v>
      </c>
      <c r="J478" s="2">
        <v>52</v>
      </c>
      <c r="K478" s="2">
        <v>72.297399999999996</v>
      </c>
      <c r="L478" s="2">
        <v>37</v>
      </c>
      <c r="M478" s="2">
        <v>107.6784</v>
      </c>
      <c r="N478" s="2">
        <v>47</v>
      </c>
      <c r="O478" s="2">
        <v>109.25579999999999</v>
      </c>
      <c r="P478" s="2">
        <v>42</v>
      </c>
      <c r="Q478" s="2">
        <v>107.9832</v>
      </c>
      <c r="R478" s="2">
        <v>296</v>
      </c>
      <c r="S478" s="2">
        <v>107.9008</v>
      </c>
      <c r="T478" s="2">
        <v>284</v>
      </c>
      <c r="U478" s="2">
        <v>0.53581699999999999</v>
      </c>
      <c r="V478" s="2">
        <v>150</v>
      </c>
      <c r="W478" s="2">
        <v>2003</v>
      </c>
    </row>
    <row r="479" spans="1:23" ht="12.3" x14ac:dyDescent="0.4">
      <c r="A479" s="2" t="s">
        <v>255</v>
      </c>
      <c r="B479" s="2">
        <v>14</v>
      </c>
      <c r="C479" s="4" t="s">
        <v>33</v>
      </c>
      <c r="D479" s="25"/>
      <c r="E479" s="25"/>
      <c r="F479" s="25"/>
      <c r="G479" s="25"/>
      <c r="H479" s="25"/>
      <c r="I479" s="2">
        <v>63.860999999999997</v>
      </c>
      <c r="J479" s="2">
        <v>265</v>
      </c>
      <c r="K479" s="2">
        <v>64.396699999999996</v>
      </c>
      <c r="L479" s="2">
        <v>245</v>
      </c>
      <c r="M479" s="2">
        <v>106.62350000000001</v>
      </c>
      <c r="N479" s="2">
        <v>65</v>
      </c>
      <c r="O479" s="2">
        <v>106.119</v>
      </c>
      <c r="P479" s="2">
        <v>72</v>
      </c>
      <c r="Q479" s="2">
        <v>99.3506</v>
      </c>
      <c r="R479" s="2">
        <v>145</v>
      </c>
      <c r="S479" s="2">
        <v>99.987099999999998</v>
      </c>
      <c r="T479" s="2">
        <v>147</v>
      </c>
      <c r="U479" s="2">
        <v>0.66474</v>
      </c>
      <c r="V479" s="2">
        <v>97</v>
      </c>
      <c r="W479" s="2">
        <v>2013</v>
      </c>
    </row>
    <row r="480" spans="1:23" ht="12.3" hidden="1" x14ac:dyDescent="0.4">
      <c r="A480" s="2" t="s">
        <v>136</v>
      </c>
      <c r="B480" s="2"/>
      <c r="C480" s="2"/>
      <c r="D480" s="2"/>
      <c r="E480" s="2"/>
      <c r="F480" s="2"/>
      <c r="G480" s="2"/>
      <c r="H480" s="2"/>
      <c r="I480" s="2">
        <v>68.740200000000002</v>
      </c>
      <c r="J480" s="2">
        <v>155</v>
      </c>
      <c r="K480" s="2">
        <v>68.632300000000001</v>
      </c>
      <c r="L480" s="2">
        <v>155</v>
      </c>
      <c r="M480" s="2">
        <v>91.576300000000003</v>
      </c>
      <c r="N480" s="2">
        <v>306</v>
      </c>
      <c r="O480" s="2">
        <v>95.315100000000001</v>
      </c>
      <c r="P480" s="2">
        <v>265</v>
      </c>
      <c r="Q480" s="2">
        <v>98.970299999999995</v>
      </c>
      <c r="R480" s="2">
        <v>118</v>
      </c>
      <c r="S480" s="2">
        <v>94.447900000000004</v>
      </c>
      <c r="T480" s="2">
        <v>41</v>
      </c>
      <c r="U480" s="2">
        <v>0.52625200000000005</v>
      </c>
      <c r="V480" s="2">
        <v>152</v>
      </c>
      <c r="W480" s="2">
        <v>2003</v>
      </c>
    </row>
    <row r="481" spans="1:23" ht="12.3" hidden="1" x14ac:dyDescent="0.4">
      <c r="A481" s="2" t="s">
        <v>151</v>
      </c>
      <c r="B481" s="2"/>
      <c r="C481" s="2"/>
      <c r="D481" s="2"/>
      <c r="E481" s="2"/>
      <c r="F481" s="2"/>
      <c r="G481" s="2"/>
      <c r="H481" s="2"/>
      <c r="I481" s="2">
        <v>66.253100000000003</v>
      </c>
      <c r="J481" s="2">
        <v>260</v>
      </c>
      <c r="K481" s="2">
        <v>66.388199999999998</v>
      </c>
      <c r="L481" s="2">
        <v>261</v>
      </c>
      <c r="M481" s="2">
        <v>102.85120000000001</v>
      </c>
      <c r="N481" s="2">
        <v>127</v>
      </c>
      <c r="O481" s="2">
        <v>104.7774</v>
      </c>
      <c r="P481" s="2">
        <v>97</v>
      </c>
      <c r="Q481" s="2">
        <v>107.8215</v>
      </c>
      <c r="R481" s="2">
        <v>291</v>
      </c>
      <c r="S481" s="2">
        <v>104.075</v>
      </c>
      <c r="T481" s="2">
        <v>223</v>
      </c>
      <c r="U481" s="2">
        <v>0.51932800000000001</v>
      </c>
      <c r="V481" s="2">
        <v>153</v>
      </c>
      <c r="W481" s="2">
        <v>2003</v>
      </c>
    </row>
    <row r="482" spans="1:23" ht="12.3" x14ac:dyDescent="0.4">
      <c r="A482" s="2" t="s">
        <v>126</v>
      </c>
      <c r="B482" s="2">
        <v>15</v>
      </c>
      <c r="C482" s="25"/>
      <c r="D482" s="25"/>
      <c r="E482" s="25"/>
      <c r="F482" s="25"/>
      <c r="G482" s="25"/>
      <c r="H482" s="25"/>
      <c r="I482" s="2">
        <v>63.195399999999999</v>
      </c>
      <c r="J482" s="2">
        <v>287</v>
      </c>
      <c r="K482" s="2">
        <v>63.2361</v>
      </c>
      <c r="L482" s="2">
        <v>283</v>
      </c>
      <c r="M482" s="2">
        <v>105.76949999999999</v>
      </c>
      <c r="N482" s="2">
        <v>78</v>
      </c>
      <c r="O482" s="2">
        <v>104.839</v>
      </c>
      <c r="P482" s="2">
        <v>96</v>
      </c>
      <c r="Q482" s="2">
        <v>102.67189999999999</v>
      </c>
      <c r="R482" s="2">
        <v>213</v>
      </c>
      <c r="S482" s="2">
        <v>100.2427</v>
      </c>
      <c r="T482" s="2">
        <v>154</v>
      </c>
      <c r="U482" s="2">
        <v>0.62610900000000003</v>
      </c>
      <c r="V482" s="2">
        <v>111</v>
      </c>
      <c r="W482" s="2">
        <v>2013</v>
      </c>
    </row>
    <row r="483" spans="1:23" ht="12.3" hidden="1" x14ac:dyDescent="0.4">
      <c r="A483" s="2" t="s">
        <v>134</v>
      </c>
      <c r="B483" s="2"/>
      <c r="C483" s="2"/>
      <c r="D483" s="2"/>
      <c r="E483" s="2"/>
      <c r="F483" s="2"/>
      <c r="G483" s="2"/>
      <c r="H483" s="2"/>
      <c r="I483" s="2">
        <v>74.139799999999994</v>
      </c>
      <c r="J483" s="2">
        <v>17</v>
      </c>
      <c r="K483" s="2">
        <v>71.863</v>
      </c>
      <c r="L483" s="2">
        <v>47</v>
      </c>
      <c r="M483" s="2">
        <v>102.7786</v>
      </c>
      <c r="N483" s="2">
        <v>128</v>
      </c>
      <c r="O483" s="2">
        <v>102.05070000000001</v>
      </c>
      <c r="P483" s="2">
        <v>145</v>
      </c>
      <c r="Q483" s="2">
        <v>98.994500000000002</v>
      </c>
      <c r="R483" s="2">
        <v>120</v>
      </c>
      <c r="S483" s="2">
        <v>101.4312</v>
      </c>
      <c r="T483" s="2">
        <v>168</v>
      </c>
      <c r="U483" s="2">
        <v>0.51749699999999998</v>
      </c>
      <c r="V483" s="2">
        <v>155</v>
      </c>
      <c r="W483" s="2">
        <v>2003</v>
      </c>
    </row>
    <row r="484" spans="1:23" ht="12.3" hidden="1" x14ac:dyDescent="0.4">
      <c r="A484" s="2" t="s">
        <v>241</v>
      </c>
      <c r="B484" s="2"/>
      <c r="C484" s="2"/>
      <c r="D484" s="2"/>
      <c r="E484" s="2"/>
      <c r="F484" s="2"/>
      <c r="G484" s="2"/>
      <c r="H484" s="2"/>
      <c r="I484" s="2">
        <v>71.159499999999994</v>
      </c>
      <c r="J484" s="2">
        <v>71</v>
      </c>
      <c r="K484" s="2">
        <v>70.6815</v>
      </c>
      <c r="L484" s="2">
        <v>79</v>
      </c>
      <c r="M484" s="2">
        <v>104.2632</v>
      </c>
      <c r="N484" s="2">
        <v>92</v>
      </c>
      <c r="O484" s="2">
        <v>100.7777</v>
      </c>
      <c r="P484" s="2">
        <v>176</v>
      </c>
      <c r="Q484" s="2">
        <v>99.218999999999994</v>
      </c>
      <c r="R484" s="2">
        <v>125</v>
      </c>
      <c r="S484" s="2">
        <v>100.2334</v>
      </c>
      <c r="T484" s="2">
        <v>143</v>
      </c>
      <c r="U484" s="2">
        <v>0.51556500000000005</v>
      </c>
      <c r="V484" s="2">
        <v>156</v>
      </c>
      <c r="W484" s="2">
        <v>2003</v>
      </c>
    </row>
    <row r="485" spans="1:23" ht="12.3" hidden="1" x14ac:dyDescent="0.4">
      <c r="A485" s="2" t="s">
        <v>160</v>
      </c>
      <c r="B485" s="2"/>
      <c r="C485" s="2"/>
      <c r="D485" s="2"/>
      <c r="E485" s="2"/>
      <c r="F485" s="2"/>
      <c r="G485" s="2"/>
      <c r="H485" s="2"/>
      <c r="I485" s="2">
        <v>68.651200000000003</v>
      </c>
      <c r="J485" s="2">
        <v>158</v>
      </c>
      <c r="K485" s="2">
        <v>70.674400000000006</v>
      </c>
      <c r="L485" s="2">
        <v>80</v>
      </c>
      <c r="M485" s="2">
        <v>98.544200000000004</v>
      </c>
      <c r="N485" s="2">
        <v>218</v>
      </c>
      <c r="O485" s="2">
        <v>98.494600000000005</v>
      </c>
      <c r="P485" s="2">
        <v>213</v>
      </c>
      <c r="Q485" s="2">
        <v>96.808599999999998</v>
      </c>
      <c r="R485" s="2">
        <v>62</v>
      </c>
      <c r="S485" s="2">
        <v>98.007599999999996</v>
      </c>
      <c r="T485" s="2">
        <v>94</v>
      </c>
      <c r="U485" s="2">
        <v>0.51424800000000004</v>
      </c>
      <c r="V485" s="2">
        <v>157</v>
      </c>
      <c r="W485" s="2">
        <v>2003</v>
      </c>
    </row>
    <row r="486" spans="1:23" ht="12.3" hidden="1" x14ac:dyDescent="0.4">
      <c r="A486" s="2" t="s">
        <v>201</v>
      </c>
      <c r="B486" s="2"/>
      <c r="C486" s="2"/>
      <c r="D486" s="2"/>
      <c r="E486" s="2"/>
      <c r="F486" s="2"/>
      <c r="G486" s="2"/>
      <c r="H486" s="2"/>
      <c r="I486" s="2">
        <v>69.976200000000006</v>
      </c>
      <c r="J486" s="2">
        <v>110</v>
      </c>
      <c r="K486" s="2">
        <v>68.858800000000002</v>
      </c>
      <c r="L486" s="2">
        <v>146</v>
      </c>
      <c r="M486" s="2">
        <v>112.1469</v>
      </c>
      <c r="N486" s="2">
        <v>7</v>
      </c>
      <c r="O486" s="2">
        <v>108.94289999999999</v>
      </c>
      <c r="P486" s="2">
        <v>45</v>
      </c>
      <c r="Q486" s="2">
        <v>106.4692</v>
      </c>
      <c r="R486" s="2">
        <v>273</v>
      </c>
      <c r="S486" s="2">
        <v>108.67400000000001</v>
      </c>
      <c r="T486" s="2">
        <v>293</v>
      </c>
      <c r="U486" s="2">
        <v>0.50710500000000003</v>
      </c>
      <c r="V486" s="2">
        <v>158</v>
      </c>
      <c r="W486" s="2">
        <v>2003</v>
      </c>
    </row>
    <row r="487" spans="1:23" ht="12.3" hidden="1" x14ac:dyDescent="0.4">
      <c r="A487" s="2" t="s">
        <v>172</v>
      </c>
      <c r="B487" s="2"/>
      <c r="C487" s="2"/>
      <c r="D487" s="2"/>
      <c r="E487" s="2"/>
      <c r="F487" s="2"/>
      <c r="G487" s="2"/>
      <c r="H487" s="2"/>
      <c r="I487" s="2">
        <v>66.411900000000003</v>
      </c>
      <c r="J487" s="2">
        <v>252</v>
      </c>
      <c r="K487" s="2">
        <v>68.142099999999999</v>
      </c>
      <c r="L487" s="2">
        <v>179</v>
      </c>
      <c r="M487" s="2">
        <v>106.55370000000001</v>
      </c>
      <c r="N487" s="2">
        <v>58</v>
      </c>
      <c r="O487" s="2">
        <v>106.27849999999999</v>
      </c>
      <c r="P487" s="2">
        <v>76</v>
      </c>
      <c r="Q487" s="2">
        <v>105.1551</v>
      </c>
      <c r="R487" s="2">
        <v>255</v>
      </c>
      <c r="S487" s="2">
        <v>106.04600000000001</v>
      </c>
      <c r="T487" s="2">
        <v>261</v>
      </c>
      <c r="U487" s="2">
        <v>0.506297</v>
      </c>
      <c r="V487" s="2">
        <v>159</v>
      </c>
      <c r="W487" s="2">
        <v>2003</v>
      </c>
    </row>
    <row r="488" spans="1:23" ht="12.3" hidden="1" x14ac:dyDescent="0.4">
      <c r="A488" s="2" t="s">
        <v>190</v>
      </c>
      <c r="B488" s="2"/>
      <c r="C488" s="2"/>
      <c r="D488" s="2"/>
      <c r="E488" s="2"/>
      <c r="F488" s="2"/>
      <c r="G488" s="2"/>
      <c r="H488" s="2"/>
      <c r="I488" s="2">
        <v>67.383700000000005</v>
      </c>
      <c r="J488" s="2">
        <v>221</v>
      </c>
      <c r="K488" s="2">
        <v>68.006100000000004</v>
      </c>
      <c r="L488" s="2">
        <v>183</v>
      </c>
      <c r="M488" s="2">
        <v>98.403199999999998</v>
      </c>
      <c r="N488" s="2">
        <v>220</v>
      </c>
      <c r="O488" s="2">
        <v>98.383499999999998</v>
      </c>
      <c r="P488" s="2">
        <v>217</v>
      </c>
      <c r="Q488" s="2">
        <v>95.411600000000007</v>
      </c>
      <c r="R488" s="2">
        <v>38</v>
      </c>
      <c r="S488" s="2">
        <v>98.176900000000003</v>
      </c>
      <c r="T488" s="2">
        <v>97</v>
      </c>
      <c r="U488" s="2">
        <v>0.50604400000000005</v>
      </c>
      <c r="V488" s="2">
        <v>160</v>
      </c>
      <c r="W488" s="2">
        <v>2003</v>
      </c>
    </row>
    <row r="489" spans="1:23" ht="12.3" hidden="1" x14ac:dyDescent="0.4">
      <c r="A489" s="2" t="s">
        <v>169</v>
      </c>
      <c r="B489" s="2"/>
      <c r="C489" s="2"/>
      <c r="D489" s="2"/>
      <c r="E489" s="2"/>
      <c r="F489" s="2"/>
      <c r="G489" s="2"/>
      <c r="H489" s="2"/>
      <c r="I489" s="2">
        <v>68.9084</v>
      </c>
      <c r="J489" s="2">
        <v>147</v>
      </c>
      <c r="K489" s="2">
        <v>68.514600000000002</v>
      </c>
      <c r="L489" s="2">
        <v>160</v>
      </c>
      <c r="M489" s="2">
        <v>98.996300000000005</v>
      </c>
      <c r="N489" s="2">
        <v>208</v>
      </c>
      <c r="O489" s="2">
        <v>101.289</v>
      </c>
      <c r="P489" s="2">
        <v>163</v>
      </c>
      <c r="Q489" s="2">
        <v>103.6414</v>
      </c>
      <c r="R489" s="2">
        <v>229</v>
      </c>
      <c r="S489" s="2">
        <v>101.0986</v>
      </c>
      <c r="T489" s="2">
        <v>165</v>
      </c>
      <c r="U489" s="2">
        <v>0.505409</v>
      </c>
      <c r="V489" s="2">
        <v>161</v>
      </c>
      <c r="W489" s="2">
        <v>2003</v>
      </c>
    </row>
    <row r="490" spans="1:23" ht="12.3" hidden="1" x14ac:dyDescent="0.4">
      <c r="A490" s="2" t="s">
        <v>175</v>
      </c>
      <c r="B490" s="2"/>
      <c r="C490" s="2"/>
      <c r="D490" s="2"/>
      <c r="E490" s="2"/>
      <c r="F490" s="2"/>
      <c r="G490" s="2"/>
      <c r="H490" s="2"/>
      <c r="I490" s="2">
        <v>69.436300000000003</v>
      </c>
      <c r="J490" s="2">
        <v>134</v>
      </c>
      <c r="K490" s="2">
        <v>68.670100000000005</v>
      </c>
      <c r="L490" s="2">
        <v>154</v>
      </c>
      <c r="M490" s="2">
        <v>94.823800000000006</v>
      </c>
      <c r="N490" s="2">
        <v>272</v>
      </c>
      <c r="O490" s="2">
        <v>98.054000000000002</v>
      </c>
      <c r="P490" s="2">
        <v>224</v>
      </c>
      <c r="Q490" s="2">
        <v>99.908199999999994</v>
      </c>
      <c r="R490" s="2">
        <v>143</v>
      </c>
      <c r="S490" s="2">
        <v>97.872399999999999</v>
      </c>
      <c r="T490" s="2">
        <v>91</v>
      </c>
      <c r="U490" s="2">
        <v>0.50532999999999995</v>
      </c>
      <c r="V490" s="2">
        <v>162</v>
      </c>
      <c r="W490" s="2">
        <v>2003</v>
      </c>
    </row>
    <row r="491" spans="1:23" ht="12.3" hidden="1" x14ac:dyDescent="0.4">
      <c r="A491" s="2" t="s">
        <v>287</v>
      </c>
      <c r="B491" s="2"/>
      <c r="C491" s="2"/>
      <c r="D491" s="2"/>
      <c r="E491" s="2"/>
      <c r="F491" s="2"/>
      <c r="G491" s="2"/>
      <c r="H491" s="2"/>
      <c r="I491" s="2">
        <v>67.748400000000004</v>
      </c>
      <c r="J491" s="2">
        <v>203</v>
      </c>
      <c r="K491" s="2">
        <v>66.873000000000005</v>
      </c>
      <c r="L491" s="2">
        <v>241</v>
      </c>
      <c r="M491" s="2">
        <v>103.3623</v>
      </c>
      <c r="N491" s="2">
        <v>112</v>
      </c>
      <c r="O491" s="2">
        <v>103.35169999999999</v>
      </c>
      <c r="P491" s="2">
        <v>123</v>
      </c>
      <c r="Q491" s="2">
        <v>105.2239</v>
      </c>
      <c r="R491" s="2">
        <v>257</v>
      </c>
      <c r="S491" s="2">
        <v>103.2877</v>
      </c>
      <c r="T491" s="2">
        <v>207</v>
      </c>
      <c r="U491" s="2">
        <v>0.50178299999999998</v>
      </c>
      <c r="V491" s="2">
        <v>163</v>
      </c>
      <c r="W491" s="2">
        <v>2003</v>
      </c>
    </row>
    <row r="492" spans="1:23" ht="12.3" hidden="1" x14ac:dyDescent="0.4">
      <c r="A492" s="2" t="s">
        <v>194</v>
      </c>
      <c r="B492" s="2"/>
      <c r="C492" s="2"/>
      <c r="D492" s="2"/>
      <c r="E492" s="2"/>
      <c r="F492" s="2"/>
      <c r="G492" s="2"/>
      <c r="H492" s="2"/>
      <c r="I492" s="2">
        <v>68.453199999999995</v>
      </c>
      <c r="J492" s="2">
        <v>170</v>
      </c>
      <c r="K492" s="2">
        <v>67.800600000000003</v>
      </c>
      <c r="L492" s="2">
        <v>194</v>
      </c>
      <c r="M492" s="2">
        <v>107.66070000000001</v>
      </c>
      <c r="N492" s="2">
        <v>48</v>
      </c>
      <c r="O492" s="2">
        <v>109.3558</v>
      </c>
      <c r="P492" s="2">
        <v>40</v>
      </c>
      <c r="Q492" s="2">
        <v>107.92230000000001</v>
      </c>
      <c r="R492" s="2">
        <v>294</v>
      </c>
      <c r="S492" s="2">
        <v>109.4722</v>
      </c>
      <c r="T492" s="2">
        <v>296</v>
      </c>
      <c r="U492" s="2">
        <v>0.49694100000000002</v>
      </c>
      <c r="V492" s="2">
        <v>164</v>
      </c>
      <c r="W492" s="2">
        <v>2003</v>
      </c>
    </row>
    <row r="493" spans="1:23" ht="12.3" hidden="1" x14ac:dyDescent="0.4">
      <c r="A493" s="2" t="s">
        <v>124</v>
      </c>
      <c r="B493" s="2"/>
      <c r="C493" s="2"/>
      <c r="D493" s="2"/>
      <c r="E493" s="2"/>
      <c r="F493" s="2"/>
      <c r="G493" s="2"/>
      <c r="H493" s="2"/>
      <c r="I493" s="2">
        <v>61.682000000000002</v>
      </c>
      <c r="J493" s="2">
        <v>314</v>
      </c>
      <c r="K493" s="2">
        <v>62.520899999999997</v>
      </c>
      <c r="L493" s="2">
        <v>315</v>
      </c>
      <c r="M493" s="2">
        <v>100.7069</v>
      </c>
      <c r="N493" s="2">
        <v>178</v>
      </c>
      <c r="O493" s="2">
        <v>103.2315</v>
      </c>
      <c r="P493" s="2">
        <v>126</v>
      </c>
      <c r="Q493" s="2">
        <v>105.8995</v>
      </c>
      <c r="R493" s="2">
        <v>262</v>
      </c>
      <c r="S493" s="2">
        <v>103.3664</v>
      </c>
      <c r="T493" s="2">
        <v>210</v>
      </c>
      <c r="U493" s="2">
        <v>0.49624499999999999</v>
      </c>
      <c r="V493" s="2">
        <v>165</v>
      </c>
      <c r="W493" s="2">
        <v>2003</v>
      </c>
    </row>
    <row r="494" spans="1:23" ht="12.3" hidden="1" x14ac:dyDescent="0.4">
      <c r="A494" s="2" t="s">
        <v>204</v>
      </c>
      <c r="B494" s="2"/>
      <c r="C494" s="2"/>
      <c r="D494" s="2"/>
      <c r="E494" s="2"/>
      <c r="F494" s="2"/>
      <c r="G494" s="2"/>
      <c r="H494" s="2"/>
      <c r="I494" s="2">
        <v>54.965200000000003</v>
      </c>
      <c r="J494" s="2">
        <v>327</v>
      </c>
      <c r="K494" s="2">
        <v>54.721200000000003</v>
      </c>
      <c r="L494" s="2">
        <v>327</v>
      </c>
      <c r="M494" s="2">
        <v>104.1151</v>
      </c>
      <c r="N494" s="2">
        <v>93</v>
      </c>
      <c r="O494" s="2">
        <v>103.1768</v>
      </c>
      <c r="P494" s="2">
        <v>127</v>
      </c>
      <c r="Q494" s="2">
        <v>103.93300000000001</v>
      </c>
      <c r="R494" s="2">
        <v>230</v>
      </c>
      <c r="S494" s="2">
        <v>103.3172</v>
      </c>
      <c r="T494" s="2">
        <v>208</v>
      </c>
      <c r="U494" s="2">
        <v>0.49608999999999998</v>
      </c>
      <c r="V494" s="2">
        <v>166</v>
      </c>
      <c r="W494" s="2">
        <v>2003</v>
      </c>
    </row>
    <row r="495" spans="1:23" ht="12.3" hidden="1" x14ac:dyDescent="0.4">
      <c r="A495" s="2" t="s">
        <v>138</v>
      </c>
      <c r="B495" s="2"/>
      <c r="C495" s="2"/>
      <c r="D495" s="2"/>
      <c r="E495" s="2"/>
      <c r="F495" s="2"/>
      <c r="G495" s="2"/>
      <c r="H495" s="2"/>
      <c r="I495" s="2">
        <v>69.961699999999993</v>
      </c>
      <c r="J495" s="2">
        <v>112</v>
      </c>
      <c r="K495" s="2">
        <v>69.875</v>
      </c>
      <c r="L495" s="2">
        <v>104</v>
      </c>
      <c r="M495" s="2">
        <v>108.0605</v>
      </c>
      <c r="N495" s="2">
        <v>44</v>
      </c>
      <c r="O495" s="2">
        <v>102.5197</v>
      </c>
      <c r="P495" s="2">
        <v>135</v>
      </c>
      <c r="Q495" s="2">
        <v>99.689300000000003</v>
      </c>
      <c r="R495" s="2">
        <v>136</v>
      </c>
      <c r="S495" s="2">
        <v>102.6952</v>
      </c>
      <c r="T495" s="2">
        <v>196</v>
      </c>
      <c r="U495" s="2">
        <v>0.49508200000000002</v>
      </c>
      <c r="V495" s="2">
        <v>167</v>
      </c>
      <c r="W495" s="2">
        <v>2003</v>
      </c>
    </row>
    <row r="496" spans="1:23" ht="12.3" hidden="1" x14ac:dyDescent="0.4">
      <c r="A496" s="2" t="s">
        <v>318</v>
      </c>
      <c r="B496" s="2"/>
      <c r="C496" s="2"/>
      <c r="D496" s="2"/>
      <c r="E496" s="2"/>
      <c r="F496" s="2"/>
      <c r="G496" s="2"/>
      <c r="H496" s="2"/>
      <c r="I496" s="2">
        <v>72.295500000000004</v>
      </c>
      <c r="J496" s="2">
        <v>43</v>
      </c>
      <c r="K496" s="2">
        <v>70.833299999999994</v>
      </c>
      <c r="L496" s="2">
        <v>69</v>
      </c>
      <c r="M496" s="2">
        <v>108.09520000000001</v>
      </c>
      <c r="N496" s="2">
        <v>42</v>
      </c>
      <c r="O496" s="2">
        <v>105.99039999999999</v>
      </c>
      <c r="P496" s="2">
        <v>81</v>
      </c>
      <c r="Q496" s="2">
        <v>101.3777</v>
      </c>
      <c r="R496" s="2">
        <v>180</v>
      </c>
      <c r="S496" s="2">
        <v>106.43770000000001</v>
      </c>
      <c r="T496" s="2">
        <v>269</v>
      </c>
      <c r="U496" s="2">
        <v>0.48789399999999999</v>
      </c>
      <c r="V496" s="2">
        <v>168</v>
      </c>
      <c r="W496" s="2">
        <v>2003</v>
      </c>
    </row>
    <row r="497" spans="1:23" ht="12.3" hidden="1" x14ac:dyDescent="0.4">
      <c r="A497" s="2" t="s">
        <v>256</v>
      </c>
      <c r="B497" s="2"/>
      <c r="C497" s="2"/>
      <c r="D497" s="2"/>
      <c r="E497" s="2"/>
      <c r="F497" s="2"/>
      <c r="G497" s="2"/>
      <c r="H497" s="2"/>
      <c r="I497" s="2">
        <v>68.459199999999996</v>
      </c>
      <c r="J497" s="2">
        <v>169</v>
      </c>
      <c r="K497" s="2">
        <v>68.440299999999993</v>
      </c>
      <c r="L497" s="2">
        <v>165</v>
      </c>
      <c r="M497" s="2">
        <v>110.6155</v>
      </c>
      <c r="N497" s="2">
        <v>20</v>
      </c>
      <c r="O497" s="2">
        <v>109.0671</v>
      </c>
      <c r="P497" s="2">
        <v>43</v>
      </c>
      <c r="Q497" s="2">
        <v>110.34439999999999</v>
      </c>
      <c r="R497" s="2">
        <v>316</v>
      </c>
      <c r="S497" s="2">
        <v>109.5616</v>
      </c>
      <c r="T497" s="2">
        <v>298</v>
      </c>
      <c r="U497" s="2">
        <v>0.48699599999999998</v>
      </c>
      <c r="V497" s="2">
        <v>169</v>
      </c>
      <c r="W497" s="2">
        <v>2003</v>
      </c>
    </row>
    <row r="498" spans="1:23" ht="12.3" hidden="1" x14ac:dyDescent="0.4">
      <c r="A498" s="2" t="s">
        <v>244</v>
      </c>
      <c r="B498" s="2"/>
      <c r="C498" s="2"/>
      <c r="D498" s="2"/>
      <c r="E498" s="2"/>
      <c r="F498" s="2"/>
      <c r="G498" s="2"/>
      <c r="H498" s="2"/>
      <c r="I498" s="2">
        <v>69.216399999999993</v>
      </c>
      <c r="J498" s="2">
        <v>142</v>
      </c>
      <c r="K498" s="2">
        <v>68.721400000000003</v>
      </c>
      <c r="L498" s="2">
        <v>152</v>
      </c>
      <c r="M498" s="2">
        <v>103.7984</v>
      </c>
      <c r="N498" s="2">
        <v>99</v>
      </c>
      <c r="O498" s="2">
        <v>101.90260000000001</v>
      </c>
      <c r="P498" s="2">
        <v>150</v>
      </c>
      <c r="Q498" s="2">
        <v>101.211</v>
      </c>
      <c r="R498" s="2">
        <v>176</v>
      </c>
      <c r="S498" s="2">
        <v>102.3661</v>
      </c>
      <c r="T498" s="2">
        <v>188</v>
      </c>
      <c r="U498" s="2">
        <v>0.486954</v>
      </c>
      <c r="V498" s="2">
        <v>170</v>
      </c>
      <c r="W498" s="2">
        <v>2003</v>
      </c>
    </row>
    <row r="499" spans="1:23" ht="12.3" hidden="1" x14ac:dyDescent="0.4">
      <c r="A499" s="2" t="s">
        <v>101</v>
      </c>
      <c r="B499" s="2"/>
      <c r="C499" s="2"/>
      <c r="D499" s="2"/>
      <c r="E499" s="2"/>
      <c r="F499" s="2"/>
      <c r="G499" s="2"/>
      <c r="H499" s="2"/>
      <c r="I499" s="2">
        <v>70.349299999999999</v>
      </c>
      <c r="J499" s="2">
        <v>99</v>
      </c>
      <c r="K499" s="2">
        <v>72.060400000000001</v>
      </c>
      <c r="L499" s="2">
        <v>44</v>
      </c>
      <c r="M499" s="2">
        <v>103.47199999999999</v>
      </c>
      <c r="N499" s="2">
        <v>106</v>
      </c>
      <c r="O499" s="2">
        <v>105.6558</v>
      </c>
      <c r="P499" s="2">
        <v>85</v>
      </c>
      <c r="Q499" s="2">
        <v>107.7315</v>
      </c>
      <c r="R499" s="2">
        <v>290</v>
      </c>
      <c r="S499" s="2">
        <v>106.36969999999999</v>
      </c>
      <c r="T499" s="2">
        <v>267</v>
      </c>
      <c r="U499" s="2">
        <v>0.48064800000000002</v>
      </c>
      <c r="V499" s="2">
        <v>171</v>
      </c>
      <c r="W499" s="2">
        <v>2003</v>
      </c>
    </row>
    <row r="500" spans="1:23" ht="12.3" hidden="1" x14ac:dyDescent="0.4">
      <c r="A500" s="2" t="s">
        <v>189</v>
      </c>
      <c r="B500" s="2"/>
      <c r="C500" s="2"/>
      <c r="D500" s="2"/>
      <c r="E500" s="2"/>
      <c r="F500" s="2"/>
      <c r="G500" s="2"/>
      <c r="H500" s="2"/>
      <c r="I500" s="2">
        <v>68.749399999999994</v>
      </c>
      <c r="J500" s="2">
        <v>153</v>
      </c>
      <c r="K500" s="2">
        <v>70.802599999999998</v>
      </c>
      <c r="L500" s="2">
        <v>72</v>
      </c>
      <c r="M500" s="2">
        <v>97.349500000000006</v>
      </c>
      <c r="N500" s="2">
        <v>241</v>
      </c>
      <c r="O500" s="2">
        <v>96.757900000000006</v>
      </c>
      <c r="P500" s="2">
        <v>248</v>
      </c>
      <c r="Q500" s="2">
        <v>98.335700000000003</v>
      </c>
      <c r="R500" s="2">
        <v>102</v>
      </c>
      <c r="S500" s="2">
        <v>97.667599999999993</v>
      </c>
      <c r="T500" s="2">
        <v>87</v>
      </c>
      <c r="U500" s="2">
        <v>0.47312199999999999</v>
      </c>
      <c r="V500" s="2">
        <v>172</v>
      </c>
      <c r="W500" s="2">
        <v>2003</v>
      </c>
    </row>
    <row r="501" spans="1:23" ht="12.3" hidden="1" x14ac:dyDescent="0.4">
      <c r="A501" s="2" t="s">
        <v>197</v>
      </c>
      <c r="B501" s="2"/>
      <c r="C501" s="2"/>
      <c r="D501" s="2"/>
      <c r="E501" s="2"/>
      <c r="F501" s="2"/>
      <c r="G501" s="2"/>
      <c r="H501" s="2"/>
      <c r="I501" s="2">
        <v>68.187399999999997</v>
      </c>
      <c r="J501" s="2">
        <v>181</v>
      </c>
      <c r="K501" s="2">
        <v>68.502899999999997</v>
      </c>
      <c r="L501" s="2">
        <v>162</v>
      </c>
      <c r="M501" s="2">
        <v>103.5813</v>
      </c>
      <c r="N501" s="2">
        <v>103</v>
      </c>
      <c r="O501" s="2">
        <v>100.6045</v>
      </c>
      <c r="P501" s="2">
        <v>179</v>
      </c>
      <c r="Q501" s="2">
        <v>104.0033</v>
      </c>
      <c r="R501" s="2">
        <v>232</v>
      </c>
      <c r="S501" s="2">
        <v>101.61069999999999</v>
      </c>
      <c r="T501" s="2">
        <v>174</v>
      </c>
      <c r="U501" s="2">
        <v>0.47142000000000001</v>
      </c>
      <c r="V501" s="2">
        <v>173</v>
      </c>
      <c r="W501" s="2">
        <v>2003</v>
      </c>
    </row>
    <row r="502" spans="1:23" ht="12.3" x14ac:dyDescent="0.4">
      <c r="A502" s="2" t="s">
        <v>234</v>
      </c>
      <c r="B502" s="2">
        <v>13</v>
      </c>
      <c r="C502" s="25"/>
      <c r="D502" s="25"/>
      <c r="E502" s="25"/>
      <c r="F502" s="25"/>
      <c r="G502" s="25"/>
      <c r="H502" s="25"/>
      <c r="I502" s="2">
        <v>63.773600000000002</v>
      </c>
      <c r="J502" s="2">
        <v>268</v>
      </c>
      <c r="K502" s="2">
        <v>63.840899999999998</v>
      </c>
      <c r="L502" s="2">
        <v>266</v>
      </c>
      <c r="M502" s="2">
        <v>108.5586</v>
      </c>
      <c r="N502" s="2">
        <v>34</v>
      </c>
      <c r="O502" s="2">
        <v>103.8571</v>
      </c>
      <c r="P502" s="2">
        <v>114</v>
      </c>
      <c r="Q502" s="2">
        <v>100.8193</v>
      </c>
      <c r="R502" s="2">
        <v>170</v>
      </c>
      <c r="S502" s="2">
        <v>100.7899</v>
      </c>
      <c r="T502" s="2">
        <v>166</v>
      </c>
      <c r="U502" s="2">
        <v>0.585341</v>
      </c>
      <c r="V502" s="2">
        <v>127</v>
      </c>
      <c r="W502" s="2">
        <v>2013</v>
      </c>
    </row>
    <row r="503" spans="1:23" ht="12.3" hidden="1" x14ac:dyDescent="0.4">
      <c r="A503" s="2" t="s">
        <v>142</v>
      </c>
      <c r="B503" s="2"/>
      <c r="C503" s="2"/>
      <c r="D503" s="2"/>
      <c r="E503" s="2"/>
      <c r="F503" s="2"/>
      <c r="G503" s="2"/>
      <c r="H503" s="2"/>
      <c r="I503" s="2">
        <v>74.310500000000005</v>
      </c>
      <c r="J503" s="2">
        <v>15</v>
      </c>
      <c r="K503" s="2">
        <v>72.597499999999997</v>
      </c>
      <c r="L503" s="2">
        <v>31</v>
      </c>
      <c r="M503" s="2">
        <v>101.72150000000001</v>
      </c>
      <c r="N503" s="2">
        <v>154</v>
      </c>
      <c r="O503" s="2">
        <v>104.7062</v>
      </c>
      <c r="P503" s="2">
        <v>99</v>
      </c>
      <c r="Q503" s="2">
        <v>107.3075</v>
      </c>
      <c r="R503" s="2">
        <v>284</v>
      </c>
      <c r="S503" s="2">
        <v>105.8603</v>
      </c>
      <c r="T503" s="2">
        <v>255</v>
      </c>
      <c r="U503" s="2">
        <v>0.46852700000000003</v>
      </c>
      <c r="V503" s="2">
        <v>175</v>
      </c>
      <c r="W503" s="2">
        <v>2003</v>
      </c>
    </row>
    <row r="504" spans="1:23" ht="12.3" hidden="1" x14ac:dyDescent="0.4">
      <c r="A504" s="2" t="s">
        <v>174</v>
      </c>
      <c r="B504" s="2"/>
      <c r="C504" s="2"/>
      <c r="D504" s="2"/>
      <c r="E504" s="2"/>
      <c r="F504" s="2"/>
      <c r="G504" s="2"/>
      <c r="H504" s="2"/>
      <c r="I504" s="2">
        <v>69.923500000000004</v>
      </c>
      <c r="J504" s="2">
        <v>114</v>
      </c>
      <c r="K504" s="2">
        <v>70.495599999999996</v>
      </c>
      <c r="L504" s="2">
        <v>85</v>
      </c>
      <c r="M504" s="2">
        <v>97.419799999999995</v>
      </c>
      <c r="N504" s="2">
        <v>239</v>
      </c>
      <c r="O504" s="2">
        <v>98.473500000000001</v>
      </c>
      <c r="P504" s="2">
        <v>214</v>
      </c>
      <c r="Q504" s="2">
        <v>96.9101</v>
      </c>
      <c r="R504" s="2">
        <v>65</v>
      </c>
      <c r="S504" s="2">
        <v>99.563100000000006</v>
      </c>
      <c r="T504" s="2">
        <v>128</v>
      </c>
      <c r="U504" s="2">
        <v>0.46840399999999999</v>
      </c>
      <c r="V504" s="2">
        <v>176</v>
      </c>
      <c r="W504" s="2">
        <v>2003</v>
      </c>
    </row>
    <row r="505" spans="1:23" ht="12.3" hidden="1" x14ac:dyDescent="0.4">
      <c r="A505" s="2" t="s">
        <v>206</v>
      </c>
      <c r="B505" s="2"/>
      <c r="C505" s="2"/>
      <c r="D505" s="2"/>
      <c r="E505" s="2"/>
      <c r="F505" s="2"/>
      <c r="G505" s="2"/>
      <c r="H505" s="2"/>
      <c r="I505" s="2">
        <v>65.611999999999995</v>
      </c>
      <c r="J505" s="2">
        <v>273</v>
      </c>
      <c r="K505" s="2">
        <v>66.389700000000005</v>
      </c>
      <c r="L505" s="2">
        <v>260</v>
      </c>
      <c r="M505" s="2">
        <v>95.528000000000006</v>
      </c>
      <c r="N505" s="2">
        <v>265</v>
      </c>
      <c r="O505" s="2">
        <v>97.427599999999998</v>
      </c>
      <c r="P505" s="2">
        <v>234</v>
      </c>
      <c r="Q505" s="2">
        <v>100.69450000000001</v>
      </c>
      <c r="R505" s="2">
        <v>161</v>
      </c>
      <c r="S505" s="2">
        <v>98.517200000000003</v>
      </c>
      <c r="T505" s="2">
        <v>105</v>
      </c>
      <c r="U505" s="2">
        <v>0.46806799999999998</v>
      </c>
      <c r="V505" s="2">
        <v>177</v>
      </c>
      <c r="W505" s="2">
        <v>2003</v>
      </c>
    </row>
    <row r="506" spans="1:23" ht="12.3" hidden="1" x14ac:dyDescent="0.4">
      <c r="A506" s="2" t="s">
        <v>183</v>
      </c>
      <c r="B506" s="2"/>
      <c r="C506" s="2"/>
      <c r="D506" s="2"/>
      <c r="E506" s="2"/>
      <c r="F506" s="2"/>
      <c r="G506" s="2"/>
      <c r="H506" s="2"/>
      <c r="I506" s="2">
        <v>68.254099999999994</v>
      </c>
      <c r="J506" s="2">
        <v>180</v>
      </c>
      <c r="K506" s="2">
        <v>67.290099999999995</v>
      </c>
      <c r="L506" s="2">
        <v>219</v>
      </c>
      <c r="M506" s="2">
        <v>100.7877</v>
      </c>
      <c r="N506" s="2">
        <v>174</v>
      </c>
      <c r="O506" s="2">
        <v>100.1443</v>
      </c>
      <c r="P506" s="2">
        <v>187</v>
      </c>
      <c r="Q506" s="2">
        <v>102.0361</v>
      </c>
      <c r="R506" s="2">
        <v>198</v>
      </c>
      <c r="S506" s="2">
        <v>101.5419</v>
      </c>
      <c r="T506" s="2">
        <v>172</v>
      </c>
      <c r="U506" s="2">
        <v>0.46023799999999998</v>
      </c>
      <c r="V506" s="2">
        <v>178</v>
      </c>
      <c r="W506" s="2">
        <v>2003</v>
      </c>
    </row>
    <row r="507" spans="1:23" ht="12.3" hidden="1" x14ac:dyDescent="0.4">
      <c r="A507" s="2" t="s">
        <v>253</v>
      </c>
      <c r="B507" s="2"/>
      <c r="C507" s="2"/>
      <c r="D507" s="2"/>
      <c r="E507" s="2"/>
      <c r="F507" s="2"/>
      <c r="G507" s="2"/>
      <c r="H507" s="2"/>
      <c r="I507" s="2">
        <v>78.644400000000005</v>
      </c>
      <c r="J507" s="2">
        <v>1</v>
      </c>
      <c r="K507" s="2">
        <v>77.465999999999994</v>
      </c>
      <c r="L507" s="2">
        <v>1</v>
      </c>
      <c r="M507" s="2">
        <v>104.0774</v>
      </c>
      <c r="N507" s="2">
        <v>94</v>
      </c>
      <c r="O507" s="2">
        <v>102.077</v>
      </c>
      <c r="P507" s="2">
        <v>144</v>
      </c>
      <c r="Q507" s="2">
        <v>102.12869999999999</v>
      </c>
      <c r="R507" s="2">
        <v>200</v>
      </c>
      <c r="S507" s="2">
        <v>103.8515</v>
      </c>
      <c r="T507" s="2">
        <v>218</v>
      </c>
      <c r="U507" s="2">
        <v>0.45061299999999999</v>
      </c>
      <c r="V507" s="2">
        <v>179</v>
      </c>
      <c r="W507" s="2">
        <v>2003</v>
      </c>
    </row>
    <row r="508" spans="1:23" ht="12.3" hidden="1" x14ac:dyDescent="0.4">
      <c r="A508" s="2" t="s">
        <v>264</v>
      </c>
      <c r="B508" s="2"/>
      <c r="C508" s="2"/>
      <c r="D508" s="2"/>
      <c r="E508" s="2"/>
      <c r="F508" s="2"/>
      <c r="G508" s="2"/>
      <c r="H508" s="2"/>
      <c r="I508" s="2">
        <v>72.204800000000006</v>
      </c>
      <c r="J508" s="2">
        <v>44</v>
      </c>
      <c r="K508" s="2">
        <v>71.326599999999999</v>
      </c>
      <c r="L508" s="2">
        <v>55</v>
      </c>
      <c r="M508" s="2">
        <v>106.1358</v>
      </c>
      <c r="N508" s="2">
        <v>66</v>
      </c>
      <c r="O508" s="2">
        <v>105.12990000000001</v>
      </c>
      <c r="P508" s="2">
        <v>90</v>
      </c>
      <c r="Q508" s="2">
        <v>107.5411</v>
      </c>
      <c r="R508" s="2">
        <v>286</v>
      </c>
      <c r="S508" s="2">
        <v>107.01349999999999</v>
      </c>
      <c r="T508" s="2">
        <v>273</v>
      </c>
      <c r="U508" s="2">
        <v>0.44912000000000002</v>
      </c>
      <c r="V508" s="2">
        <v>180</v>
      </c>
      <c r="W508" s="2">
        <v>2003</v>
      </c>
    </row>
    <row r="509" spans="1:23" ht="12.3" hidden="1" x14ac:dyDescent="0.4">
      <c r="A509" s="2" t="s">
        <v>89</v>
      </c>
      <c r="B509" s="2"/>
      <c r="C509" s="2"/>
      <c r="D509" s="2"/>
      <c r="E509" s="2"/>
      <c r="F509" s="2"/>
      <c r="G509" s="2"/>
      <c r="H509" s="2"/>
      <c r="I509" s="2">
        <v>67.334000000000003</v>
      </c>
      <c r="J509" s="2">
        <v>225</v>
      </c>
      <c r="K509" s="2">
        <v>67.230999999999995</v>
      </c>
      <c r="L509" s="2">
        <v>224</v>
      </c>
      <c r="M509" s="2">
        <v>98.274299999999997</v>
      </c>
      <c r="N509" s="2">
        <v>223</v>
      </c>
      <c r="O509" s="2">
        <v>98.156700000000001</v>
      </c>
      <c r="P509" s="2">
        <v>222</v>
      </c>
      <c r="Q509" s="2">
        <v>104.2559</v>
      </c>
      <c r="R509" s="2">
        <v>239</v>
      </c>
      <c r="S509" s="2">
        <v>100.077</v>
      </c>
      <c r="T509" s="2">
        <v>139</v>
      </c>
      <c r="U509" s="2">
        <v>0.44452399999999997</v>
      </c>
      <c r="V509" s="2">
        <v>181</v>
      </c>
      <c r="W509" s="2">
        <v>2003</v>
      </c>
    </row>
    <row r="510" spans="1:23" ht="12.3" hidden="1" x14ac:dyDescent="0.4">
      <c r="A510" s="2" t="s">
        <v>126</v>
      </c>
      <c r="B510" s="2"/>
      <c r="C510" s="2"/>
      <c r="D510" s="2"/>
      <c r="E510" s="2"/>
      <c r="F510" s="2"/>
      <c r="G510" s="2"/>
      <c r="H510" s="2"/>
      <c r="I510" s="2">
        <v>66.141099999999994</v>
      </c>
      <c r="J510" s="2">
        <v>263</v>
      </c>
      <c r="K510" s="2">
        <v>67.827600000000004</v>
      </c>
      <c r="L510" s="2">
        <v>193</v>
      </c>
      <c r="M510" s="2">
        <v>98.930199999999999</v>
      </c>
      <c r="N510" s="2">
        <v>209</v>
      </c>
      <c r="O510" s="2">
        <v>98.054000000000002</v>
      </c>
      <c r="P510" s="2">
        <v>223</v>
      </c>
      <c r="Q510" s="2">
        <v>99.1965</v>
      </c>
      <c r="R510" s="2">
        <v>124</v>
      </c>
      <c r="S510" s="2">
        <v>99.975899999999996</v>
      </c>
      <c r="T510" s="2">
        <v>136</v>
      </c>
      <c r="U510" s="2">
        <v>0.44442700000000002</v>
      </c>
      <c r="V510" s="2">
        <v>182</v>
      </c>
      <c r="W510" s="2">
        <v>2003</v>
      </c>
    </row>
    <row r="511" spans="1:23" ht="12.3" hidden="1" x14ac:dyDescent="0.4">
      <c r="A511" s="2" t="s">
        <v>270</v>
      </c>
      <c r="B511" s="2"/>
      <c r="C511" s="2"/>
      <c r="D511" s="2"/>
      <c r="E511" s="2"/>
      <c r="F511" s="2"/>
      <c r="G511" s="2"/>
      <c r="H511" s="2"/>
      <c r="I511" s="2">
        <v>64.485600000000005</v>
      </c>
      <c r="J511" s="2">
        <v>296</v>
      </c>
      <c r="K511" s="2">
        <v>63.868000000000002</v>
      </c>
      <c r="L511" s="2">
        <v>303</v>
      </c>
      <c r="M511" s="2">
        <v>96.494500000000002</v>
      </c>
      <c r="N511" s="2">
        <v>250</v>
      </c>
      <c r="O511" s="2">
        <v>97.053100000000001</v>
      </c>
      <c r="P511" s="2">
        <v>240</v>
      </c>
      <c r="Q511" s="2">
        <v>95.852999999999994</v>
      </c>
      <c r="R511" s="2">
        <v>45</v>
      </c>
      <c r="S511" s="2">
        <v>99.097800000000007</v>
      </c>
      <c r="T511" s="2">
        <v>119</v>
      </c>
      <c r="U511" s="2">
        <v>0.44034400000000001</v>
      </c>
      <c r="V511" s="2">
        <v>183</v>
      </c>
      <c r="W511" s="2">
        <v>2003</v>
      </c>
    </row>
    <row r="512" spans="1:23" ht="12.3" hidden="1" x14ac:dyDescent="0.4">
      <c r="A512" s="2" t="s">
        <v>115</v>
      </c>
      <c r="B512" s="2"/>
      <c r="C512" s="2"/>
      <c r="D512" s="2"/>
      <c r="E512" s="2"/>
      <c r="F512" s="2"/>
      <c r="G512" s="2"/>
      <c r="H512" s="2"/>
      <c r="I512" s="2">
        <v>66.520899999999997</v>
      </c>
      <c r="J512" s="2">
        <v>250</v>
      </c>
      <c r="K512" s="2">
        <v>67.946899999999999</v>
      </c>
      <c r="L512" s="2">
        <v>187</v>
      </c>
      <c r="M512" s="2">
        <v>104.3198</v>
      </c>
      <c r="N512" s="2">
        <v>90</v>
      </c>
      <c r="O512" s="2">
        <v>106.0339</v>
      </c>
      <c r="P512" s="2">
        <v>79</v>
      </c>
      <c r="Q512" s="2">
        <v>110.877</v>
      </c>
      <c r="R512" s="2">
        <v>320</v>
      </c>
      <c r="S512" s="2">
        <v>108.3192</v>
      </c>
      <c r="T512" s="2">
        <v>288</v>
      </c>
      <c r="U512" s="2">
        <v>0.43899899999999997</v>
      </c>
      <c r="V512" s="2">
        <v>184</v>
      </c>
      <c r="W512" s="2">
        <v>2003</v>
      </c>
    </row>
    <row r="513" spans="1:23" ht="12.3" hidden="1" x14ac:dyDescent="0.4">
      <c r="A513" s="2" t="s">
        <v>292</v>
      </c>
      <c r="B513" s="2"/>
      <c r="C513" s="2"/>
      <c r="D513" s="2"/>
      <c r="E513" s="2"/>
      <c r="F513" s="2"/>
      <c r="G513" s="2"/>
      <c r="H513" s="2"/>
      <c r="I513" s="2">
        <v>67.155600000000007</v>
      </c>
      <c r="J513" s="2">
        <v>235</v>
      </c>
      <c r="K513" s="2">
        <v>69.014099999999999</v>
      </c>
      <c r="L513" s="2">
        <v>137</v>
      </c>
      <c r="M513" s="2">
        <v>103.4616</v>
      </c>
      <c r="N513" s="2">
        <v>107</v>
      </c>
      <c r="O513" s="2">
        <v>103.7675</v>
      </c>
      <c r="P513" s="2">
        <v>113</v>
      </c>
      <c r="Q513" s="2">
        <v>109.4062</v>
      </c>
      <c r="R513" s="2">
        <v>310</v>
      </c>
      <c r="S513" s="2">
        <v>106.14</v>
      </c>
      <c r="T513" s="2">
        <v>262</v>
      </c>
      <c r="U513" s="2">
        <v>0.43537100000000001</v>
      </c>
      <c r="V513" s="2">
        <v>185</v>
      </c>
      <c r="W513" s="2">
        <v>2003</v>
      </c>
    </row>
    <row r="514" spans="1:23" ht="12.3" hidden="1" x14ac:dyDescent="0.4">
      <c r="A514" s="2" t="s">
        <v>155</v>
      </c>
      <c r="B514" s="2"/>
      <c r="C514" s="2"/>
      <c r="D514" s="2"/>
      <c r="E514" s="2"/>
      <c r="F514" s="2"/>
      <c r="G514" s="2"/>
      <c r="H514" s="2"/>
      <c r="I514" s="2">
        <v>65.402199999999993</v>
      </c>
      <c r="J514" s="2">
        <v>280</v>
      </c>
      <c r="K514" s="2">
        <v>66.587100000000007</v>
      </c>
      <c r="L514" s="2">
        <v>254</v>
      </c>
      <c r="M514" s="2">
        <v>93.580699999999993</v>
      </c>
      <c r="N514" s="2">
        <v>287</v>
      </c>
      <c r="O514" s="2">
        <v>95.7547</v>
      </c>
      <c r="P514" s="2">
        <v>260</v>
      </c>
      <c r="Q514" s="2">
        <v>102.01560000000001</v>
      </c>
      <c r="R514" s="2">
        <v>195</v>
      </c>
      <c r="S514" s="2">
        <v>98.069699999999997</v>
      </c>
      <c r="T514" s="2">
        <v>95</v>
      </c>
      <c r="U514" s="2">
        <v>0.43175000000000002</v>
      </c>
      <c r="V514" s="2">
        <v>186</v>
      </c>
      <c r="W514" s="2">
        <v>2003</v>
      </c>
    </row>
    <row r="515" spans="1:23" ht="12.3" hidden="1" x14ac:dyDescent="0.4">
      <c r="A515" s="2" t="s">
        <v>212</v>
      </c>
      <c r="B515" s="2"/>
      <c r="C515" s="2"/>
      <c r="D515" s="2"/>
      <c r="E515" s="2"/>
      <c r="F515" s="2"/>
      <c r="G515" s="2"/>
      <c r="H515" s="2"/>
      <c r="I515" s="2">
        <v>68.293000000000006</v>
      </c>
      <c r="J515" s="2">
        <v>179</v>
      </c>
      <c r="K515" s="2">
        <v>68.228800000000007</v>
      </c>
      <c r="L515" s="2">
        <v>175</v>
      </c>
      <c r="M515" s="2">
        <v>94.826599999999999</v>
      </c>
      <c r="N515" s="2">
        <v>271</v>
      </c>
      <c r="O515" s="2">
        <v>94.467100000000002</v>
      </c>
      <c r="P515" s="2">
        <v>275</v>
      </c>
      <c r="Q515" s="2">
        <v>96.214299999999994</v>
      </c>
      <c r="R515" s="2">
        <v>52</v>
      </c>
      <c r="S515" s="2">
        <v>96.811099999999996</v>
      </c>
      <c r="T515" s="2">
        <v>71</v>
      </c>
      <c r="U515" s="2">
        <v>0.42999700000000002</v>
      </c>
      <c r="V515" s="2">
        <v>187</v>
      </c>
      <c r="W515" s="2">
        <v>2003</v>
      </c>
    </row>
    <row r="516" spans="1:23" ht="12.3" hidden="1" x14ac:dyDescent="0.4">
      <c r="A516" s="2" t="s">
        <v>216</v>
      </c>
      <c r="B516" s="2"/>
      <c r="C516" s="2"/>
      <c r="D516" s="2"/>
      <c r="E516" s="2"/>
      <c r="F516" s="2"/>
      <c r="G516" s="2"/>
      <c r="H516" s="2"/>
      <c r="I516" s="2">
        <v>64.684899999999999</v>
      </c>
      <c r="J516" s="2">
        <v>291</v>
      </c>
      <c r="K516" s="2">
        <v>65.931100000000001</v>
      </c>
      <c r="L516" s="2">
        <v>270</v>
      </c>
      <c r="M516" s="2">
        <v>100.1446</v>
      </c>
      <c r="N516" s="2">
        <v>188</v>
      </c>
      <c r="O516" s="2">
        <v>100.9294</v>
      </c>
      <c r="P516" s="2">
        <v>172</v>
      </c>
      <c r="Q516" s="2">
        <v>105.7578</v>
      </c>
      <c r="R516" s="2">
        <v>260</v>
      </c>
      <c r="S516" s="2">
        <v>103.4794</v>
      </c>
      <c r="T516" s="2">
        <v>212</v>
      </c>
      <c r="U516" s="2">
        <v>0.42875200000000002</v>
      </c>
      <c r="V516" s="2">
        <v>188</v>
      </c>
      <c r="W516" s="2">
        <v>2003</v>
      </c>
    </row>
    <row r="517" spans="1:23" ht="12.3" hidden="1" x14ac:dyDescent="0.4">
      <c r="A517" s="2" t="s">
        <v>294</v>
      </c>
      <c r="B517" s="2"/>
      <c r="C517" s="2"/>
      <c r="D517" s="2"/>
      <c r="E517" s="2"/>
      <c r="F517" s="2"/>
      <c r="G517" s="2"/>
      <c r="H517" s="2"/>
      <c r="I517" s="2">
        <v>70.202200000000005</v>
      </c>
      <c r="J517" s="2">
        <v>104</v>
      </c>
      <c r="K517" s="2">
        <v>71.668899999999994</v>
      </c>
      <c r="L517" s="2">
        <v>52</v>
      </c>
      <c r="M517" s="2">
        <v>98.736999999999995</v>
      </c>
      <c r="N517" s="2">
        <v>216</v>
      </c>
      <c r="O517" s="2">
        <v>98.835099999999997</v>
      </c>
      <c r="P517" s="2">
        <v>208</v>
      </c>
      <c r="Q517" s="2">
        <v>99.724400000000003</v>
      </c>
      <c r="R517" s="2">
        <v>137</v>
      </c>
      <c r="S517" s="2">
        <v>101.4679</v>
      </c>
      <c r="T517" s="2">
        <v>169</v>
      </c>
      <c r="U517" s="2">
        <v>0.42498900000000001</v>
      </c>
      <c r="V517" s="2">
        <v>189</v>
      </c>
      <c r="W517" s="2">
        <v>2003</v>
      </c>
    </row>
    <row r="518" spans="1:23" ht="12.3" hidden="1" x14ac:dyDescent="0.4">
      <c r="A518" s="2" t="s">
        <v>165</v>
      </c>
      <c r="B518" s="2"/>
      <c r="C518" s="2"/>
      <c r="D518" s="2"/>
      <c r="E518" s="2"/>
      <c r="F518" s="2"/>
      <c r="G518" s="2"/>
      <c r="H518" s="2"/>
      <c r="I518" s="2">
        <v>72.474000000000004</v>
      </c>
      <c r="J518" s="2">
        <v>39</v>
      </c>
      <c r="K518" s="2">
        <v>72.960999999999999</v>
      </c>
      <c r="L518" s="2">
        <v>24</v>
      </c>
      <c r="M518" s="2">
        <v>106.7848</v>
      </c>
      <c r="N518" s="2">
        <v>56</v>
      </c>
      <c r="O518" s="2">
        <v>102.1743</v>
      </c>
      <c r="P518" s="2">
        <v>143</v>
      </c>
      <c r="Q518" s="2">
        <v>103.2756</v>
      </c>
      <c r="R518" s="2">
        <v>223</v>
      </c>
      <c r="S518" s="2">
        <v>104.9795</v>
      </c>
      <c r="T518" s="2">
        <v>237</v>
      </c>
      <c r="U518" s="2">
        <v>0.42275600000000002</v>
      </c>
      <c r="V518" s="2">
        <v>190</v>
      </c>
      <c r="W518" s="2">
        <v>2003</v>
      </c>
    </row>
    <row r="519" spans="1:23" ht="12.3" hidden="1" x14ac:dyDescent="0.4">
      <c r="A519" s="2" t="s">
        <v>295</v>
      </c>
      <c r="B519" s="2"/>
      <c r="C519" s="2"/>
      <c r="D519" s="2"/>
      <c r="E519" s="2"/>
      <c r="F519" s="2"/>
      <c r="G519" s="2"/>
      <c r="H519" s="2"/>
      <c r="I519" s="2">
        <v>64.740200000000002</v>
      </c>
      <c r="J519" s="2">
        <v>290</v>
      </c>
      <c r="K519" s="2">
        <v>65.494200000000006</v>
      </c>
      <c r="L519" s="2">
        <v>280</v>
      </c>
      <c r="M519" s="2">
        <v>98.907700000000006</v>
      </c>
      <c r="N519" s="2">
        <v>210</v>
      </c>
      <c r="O519" s="2">
        <v>97.2059</v>
      </c>
      <c r="P519" s="2">
        <v>235</v>
      </c>
      <c r="Q519" s="2">
        <v>98.349100000000007</v>
      </c>
      <c r="R519" s="2">
        <v>104</v>
      </c>
      <c r="S519" s="2">
        <v>100.03230000000001</v>
      </c>
      <c r="T519" s="2">
        <v>138</v>
      </c>
      <c r="U519" s="2">
        <v>0.41833799999999999</v>
      </c>
      <c r="V519" s="2">
        <v>191</v>
      </c>
      <c r="W519" s="2">
        <v>2003</v>
      </c>
    </row>
    <row r="520" spans="1:23" ht="12.3" hidden="1" x14ac:dyDescent="0.4">
      <c r="A520" s="2" t="s">
        <v>254</v>
      </c>
      <c r="B520" s="2"/>
      <c r="C520" s="2"/>
      <c r="D520" s="2"/>
      <c r="E520" s="2"/>
      <c r="F520" s="2"/>
      <c r="G520" s="2"/>
      <c r="H520" s="2"/>
      <c r="I520" s="2">
        <v>70.379800000000003</v>
      </c>
      <c r="J520" s="2">
        <v>97</v>
      </c>
      <c r="K520" s="2">
        <v>70.040599999999998</v>
      </c>
      <c r="L520" s="2">
        <v>96</v>
      </c>
      <c r="M520" s="2">
        <v>99.892899999999997</v>
      </c>
      <c r="N520" s="2">
        <v>193</v>
      </c>
      <c r="O520" s="2">
        <v>98.163600000000002</v>
      </c>
      <c r="P520" s="2">
        <v>221</v>
      </c>
      <c r="Q520" s="2">
        <v>100.17610000000001</v>
      </c>
      <c r="R520" s="2">
        <v>150</v>
      </c>
      <c r="S520" s="2">
        <v>101.01909999999999</v>
      </c>
      <c r="T520" s="2">
        <v>163</v>
      </c>
      <c r="U520" s="2">
        <v>0.41830099999999998</v>
      </c>
      <c r="V520" s="2">
        <v>192</v>
      </c>
      <c r="W520" s="2">
        <v>2003</v>
      </c>
    </row>
    <row r="521" spans="1:23" ht="12.3" hidden="1" x14ac:dyDescent="0.4">
      <c r="A521" s="2" t="s">
        <v>275</v>
      </c>
      <c r="B521" s="2"/>
      <c r="C521" s="2"/>
      <c r="D521" s="2"/>
      <c r="E521" s="2"/>
      <c r="F521" s="2"/>
      <c r="G521" s="2"/>
      <c r="H521" s="2"/>
      <c r="I521" s="2">
        <v>70.611000000000004</v>
      </c>
      <c r="J521" s="2">
        <v>90</v>
      </c>
      <c r="K521" s="2">
        <v>69.650400000000005</v>
      </c>
      <c r="L521" s="2">
        <v>113</v>
      </c>
      <c r="M521" s="2">
        <v>106.021</v>
      </c>
      <c r="N521" s="2">
        <v>69</v>
      </c>
      <c r="O521" s="2">
        <v>102.92189999999999</v>
      </c>
      <c r="P521" s="2">
        <v>128</v>
      </c>
      <c r="Q521" s="2">
        <v>101.9164</v>
      </c>
      <c r="R521" s="2">
        <v>193</v>
      </c>
      <c r="S521" s="2">
        <v>105.9401</v>
      </c>
      <c r="T521" s="2">
        <v>258</v>
      </c>
      <c r="U521" s="2">
        <v>0.417659</v>
      </c>
      <c r="V521" s="2">
        <v>193</v>
      </c>
      <c r="W521" s="2">
        <v>2003</v>
      </c>
    </row>
    <row r="522" spans="1:23" ht="12.3" hidden="1" x14ac:dyDescent="0.4">
      <c r="A522" s="2" t="s">
        <v>331</v>
      </c>
      <c r="B522" s="2"/>
      <c r="C522" s="2"/>
      <c r="D522" s="2"/>
      <c r="E522" s="2"/>
      <c r="F522" s="2"/>
      <c r="G522" s="2"/>
      <c r="H522" s="2"/>
      <c r="I522" s="2">
        <v>73.463099999999997</v>
      </c>
      <c r="J522" s="2">
        <v>26</v>
      </c>
      <c r="K522" s="2">
        <v>74.224999999999994</v>
      </c>
      <c r="L522" s="2">
        <v>10</v>
      </c>
      <c r="M522" s="2">
        <v>103.6275</v>
      </c>
      <c r="N522" s="2">
        <v>102</v>
      </c>
      <c r="O522" s="2">
        <v>103.65049999999999</v>
      </c>
      <c r="P522" s="2">
        <v>115</v>
      </c>
      <c r="Q522" s="2">
        <v>107.82259999999999</v>
      </c>
      <c r="R522" s="2">
        <v>292</v>
      </c>
      <c r="S522" s="2">
        <v>106.756</v>
      </c>
      <c r="T522" s="2">
        <v>271</v>
      </c>
      <c r="U522" s="2">
        <v>0.415933</v>
      </c>
      <c r="V522" s="2">
        <v>194</v>
      </c>
      <c r="W522" s="2">
        <v>2003</v>
      </c>
    </row>
    <row r="523" spans="1:23" ht="12.3" hidden="1" x14ac:dyDescent="0.4">
      <c r="A523" s="2" t="s">
        <v>309</v>
      </c>
      <c r="B523" s="2"/>
      <c r="C523" s="2"/>
      <c r="D523" s="2"/>
      <c r="E523" s="2"/>
      <c r="F523" s="2"/>
      <c r="G523" s="2"/>
      <c r="H523" s="2"/>
      <c r="I523" s="2">
        <v>70.037499999999994</v>
      </c>
      <c r="J523" s="2">
        <v>107</v>
      </c>
      <c r="K523" s="2">
        <v>69.7209</v>
      </c>
      <c r="L523" s="2">
        <v>111</v>
      </c>
      <c r="M523" s="2">
        <v>101.1553</v>
      </c>
      <c r="N523" s="2">
        <v>167</v>
      </c>
      <c r="O523" s="2">
        <v>98.886700000000005</v>
      </c>
      <c r="P523" s="2">
        <v>206</v>
      </c>
      <c r="Q523" s="2">
        <v>99.810900000000004</v>
      </c>
      <c r="R523" s="2">
        <v>141</v>
      </c>
      <c r="S523" s="2">
        <v>102.0157</v>
      </c>
      <c r="T523" s="2">
        <v>182</v>
      </c>
      <c r="U523" s="2">
        <v>0.411383</v>
      </c>
      <c r="V523" s="2">
        <v>195</v>
      </c>
      <c r="W523" s="2">
        <v>2003</v>
      </c>
    </row>
    <row r="524" spans="1:23" ht="12.3" hidden="1" x14ac:dyDescent="0.4">
      <c r="A524" s="2" t="s">
        <v>198</v>
      </c>
      <c r="B524" s="2"/>
      <c r="C524" s="2"/>
      <c r="D524" s="2"/>
      <c r="E524" s="2"/>
      <c r="F524" s="2"/>
      <c r="G524" s="2"/>
      <c r="H524" s="2"/>
      <c r="I524" s="2">
        <v>68.448400000000007</v>
      </c>
      <c r="J524" s="2">
        <v>171</v>
      </c>
      <c r="K524" s="2">
        <v>69.258300000000006</v>
      </c>
      <c r="L524" s="2">
        <v>128</v>
      </c>
      <c r="M524" s="2">
        <v>99.875100000000003</v>
      </c>
      <c r="N524" s="2">
        <v>195</v>
      </c>
      <c r="O524" s="2">
        <v>98.640900000000002</v>
      </c>
      <c r="P524" s="2">
        <v>210</v>
      </c>
      <c r="Q524" s="2">
        <v>100.608</v>
      </c>
      <c r="R524" s="2">
        <v>158</v>
      </c>
      <c r="S524" s="2">
        <v>101.80889999999999</v>
      </c>
      <c r="T524" s="2">
        <v>177</v>
      </c>
      <c r="U524" s="2">
        <v>0.41010200000000002</v>
      </c>
      <c r="V524" s="2">
        <v>196</v>
      </c>
      <c r="W524" s="2">
        <v>2003</v>
      </c>
    </row>
    <row r="525" spans="1:23" ht="12.3" hidden="1" x14ac:dyDescent="0.4">
      <c r="A525" s="2" t="s">
        <v>315</v>
      </c>
      <c r="B525" s="2"/>
      <c r="C525" s="2"/>
      <c r="D525" s="2"/>
      <c r="E525" s="2"/>
      <c r="F525" s="2"/>
      <c r="G525" s="2"/>
      <c r="H525" s="2"/>
      <c r="I525" s="2">
        <v>67.864800000000002</v>
      </c>
      <c r="J525" s="2">
        <v>198</v>
      </c>
      <c r="K525" s="2">
        <v>67.551500000000004</v>
      </c>
      <c r="L525" s="2">
        <v>205</v>
      </c>
      <c r="M525" s="2">
        <v>97.769800000000004</v>
      </c>
      <c r="N525" s="2">
        <v>234</v>
      </c>
      <c r="O525" s="2">
        <v>96.041899999999998</v>
      </c>
      <c r="P525" s="2">
        <v>257</v>
      </c>
      <c r="Q525" s="2">
        <v>97.029799999999994</v>
      </c>
      <c r="R525" s="2">
        <v>68</v>
      </c>
      <c r="S525" s="2">
        <v>99.331900000000005</v>
      </c>
      <c r="T525" s="2">
        <v>124</v>
      </c>
      <c r="U525" s="2">
        <v>0.40435500000000002</v>
      </c>
      <c r="V525" s="2">
        <v>197</v>
      </c>
      <c r="W525" s="2">
        <v>2003</v>
      </c>
    </row>
    <row r="526" spans="1:23" ht="12.3" hidden="1" x14ac:dyDescent="0.4">
      <c r="A526" s="2" t="s">
        <v>234</v>
      </c>
      <c r="B526" s="2"/>
      <c r="C526" s="2"/>
      <c r="D526" s="2"/>
      <c r="E526" s="2"/>
      <c r="F526" s="2"/>
      <c r="G526" s="2"/>
      <c r="H526" s="2"/>
      <c r="I526" s="2">
        <v>68.036299999999997</v>
      </c>
      <c r="J526" s="2">
        <v>190</v>
      </c>
      <c r="K526" s="2">
        <v>67.865099999999998</v>
      </c>
      <c r="L526" s="2">
        <v>191</v>
      </c>
      <c r="M526" s="2">
        <v>102.1557</v>
      </c>
      <c r="N526" s="2">
        <v>147</v>
      </c>
      <c r="O526" s="2">
        <v>102.69750000000001</v>
      </c>
      <c r="P526" s="2">
        <v>132</v>
      </c>
      <c r="Q526" s="2">
        <v>104.6073</v>
      </c>
      <c r="R526" s="2">
        <v>246</v>
      </c>
      <c r="S526" s="2">
        <v>106.2949</v>
      </c>
      <c r="T526" s="2">
        <v>265</v>
      </c>
      <c r="U526" s="2">
        <v>0.40229100000000001</v>
      </c>
      <c r="V526" s="2">
        <v>198</v>
      </c>
      <c r="W526" s="2">
        <v>2003</v>
      </c>
    </row>
    <row r="527" spans="1:23" ht="12.3" hidden="1" x14ac:dyDescent="0.4">
      <c r="A527" s="2" t="s">
        <v>238</v>
      </c>
      <c r="B527" s="2"/>
      <c r="C527" s="2"/>
      <c r="D527" s="2"/>
      <c r="E527" s="2"/>
      <c r="F527" s="2"/>
      <c r="G527" s="2"/>
      <c r="H527" s="2"/>
      <c r="I527" s="2">
        <v>68.369900000000001</v>
      </c>
      <c r="J527" s="2">
        <v>176</v>
      </c>
      <c r="K527" s="2">
        <v>68.421899999999994</v>
      </c>
      <c r="L527" s="2">
        <v>167</v>
      </c>
      <c r="M527" s="2">
        <v>103.1639</v>
      </c>
      <c r="N527" s="2">
        <v>119</v>
      </c>
      <c r="O527" s="2">
        <v>100.3805</v>
      </c>
      <c r="P527" s="2">
        <v>184</v>
      </c>
      <c r="Q527" s="2">
        <v>98.744200000000006</v>
      </c>
      <c r="R527" s="2">
        <v>113</v>
      </c>
      <c r="S527" s="2">
        <v>103.9211</v>
      </c>
      <c r="T527" s="2">
        <v>220</v>
      </c>
      <c r="U527" s="2">
        <v>0.40164</v>
      </c>
      <c r="V527" s="2">
        <v>199</v>
      </c>
      <c r="W527" s="2">
        <v>2003</v>
      </c>
    </row>
    <row r="528" spans="1:23" ht="12.3" hidden="1" x14ac:dyDescent="0.4">
      <c r="A528" s="2" t="s">
        <v>107</v>
      </c>
      <c r="B528" s="2"/>
      <c r="C528" s="2"/>
      <c r="D528" s="2"/>
      <c r="E528" s="2"/>
      <c r="F528" s="2"/>
      <c r="G528" s="2"/>
      <c r="H528" s="2"/>
      <c r="I528" s="2">
        <v>69.596800000000002</v>
      </c>
      <c r="J528" s="2">
        <v>123</v>
      </c>
      <c r="K528" s="2">
        <v>69.385300000000001</v>
      </c>
      <c r="L528" s="2">
        <v>124</v>
      </c>
      <c r="M528" s="2">
        <v>98.835599999999999</v>
      </c>
      <c r="N528" s="2">
        <v>213</v>
      </c>
      <c r="O528" s="2">
        <v>99.618700000000004</v>
      </c>
      <c r="P528" s="2">
        <v>197</v>
      </c>
      <c r="Q528" s="2">
        <v>100.7222</v>
      </c>
      <c r="R528" s="2">
        <v>163</v>
      </c>
      <c r="S528" s="2">
        <v>103.2315</v>
      </c>
      <c r="T528" s="2">
        <v>204</v>
      </c>
      <c r="U528" s="2">
        <v>0.39898699999999998</v>
      </c>
      <c r="V528" s="2">
        <v>200</v>
      </c>
      <c r="W528" s="2">
        <v>2003</v>
      </c>
    </row>
    <row r="529" spans="1:23" ht="12.3" hidden="1" x14ac:dyDescent="0.4">
      <c r="A529" s="2" t="s">
        <v>290</v>
      </c>
      <c r="B529" s="2"/>
      <c r="C529" s="2"/>
      <c r="D529" s="2"/>
      <c r="E529" s="2"/>
      <c r="F529" s="2"/>
      <c r="G529" s="2"/>
      <c r="H529" s="2"/>
      <c r="I529" s="2">
        <v>70.6935</v>
      </c>
      <c r="J529" s="2">
        <v>87</v>
      </c>
      <c r="K529" s="2">
        <v>69.634600000000006</v>
      </c>
      <c r="L529" s="2">
        <v>114</v>
      </c>
      <c r="M529" s="2">
        <v>96.146199999999993</v>
      </c>
      <c r="N529" s="2">
        <v>256</v>
      </c>
      <c r="O529" s="2">
        <v>98.262</v>
      </c>
      <c r="P529" s="2">
        <v>220</v>
      </c>
      <c r="Q529" s="2">
        <v>103.25369999999999</v>
      </c>
      <c r="R529" s="2">
        <v>221</v>
      </c>
      <c r="S529" s="2">
        <v>101.9864</v>
      </c>
      <c r="T529" s="2">
        <v>181</v>
      </c>
      <c r="U529" s="2">
        <v>0.394646</v>
      </c>
      <c r="V529" s="2">
        <v>201</v>
      </c>
      <c r="W529" s="2">
        <v>2003</v>
      </c>
    </row>
    <row r="530" spans="1:23" ht="12.3" hidden="1" x14ac:dyDescent="0.4">
      <c r="A530" s="2" t="s">
        <v>208</v>
      </c>
      <c r="B530" s="2"/>
      <c r="C530" s="2"/>
      <c r="D530" s="2"/>
      <c r="E530" s="2"/>
      <c r="F530" s="2"/>
      <c r="G530" s="2"/>
      <c r="H530" s="2"/>
      <c r="I530" s="2">
        <v>60.987200000000001</v>
      </c>
      <c r="J530" s="2">
        <v>317</v>
      </c>
      <c r="K530" s="2">
        <v>60.283299999999997</v>
      </c>
      <c r="L530" s="2">
        <v>324</v>
      </c>
      <c r="M530" s="2">
        <v>101.72499999999999</v>
      </c>
      <c r="N530" s="2">
        <v>153</v>
      </c>
      <c r="O530" s="2">
        <v>100.1016</v>
      </c>
      <c r="P530" s="2">
        <v>189</v>
      </c>
      <c r="Q530" s="2">
        <v>104.477</v>
      </c>
      <c r="R530" s="2">
        <v>245</v>
      </c>
      <c r="S530" s="2">
        <v>103.8976</v>
      </c>
      <c r="T530" s="2">
        <v>219</v>
      </c>
      <c r="U530" s="2">
        <v>0.39459499999999997</v>
      </c>
      <c r="V530" s="2">
        <v>202</v>
      </c>
      <c r="W530" s="2">
        <v>2003</v>
      </c>
    </row>
    <row r="531" spans="1:23" ht="12.3" hidden="1" x14ac:dyDescent="0.4">
      <c r="A531" s="2" t="s">
        <v>250</v>
      </c>
      <c r="B531" s="2"/>
      <c r="C531" s="2"/>
      <c r="D531" s="2"/>
      <c r="E531" s="2"/>
      <c r="F531" s="2"/>
      <c r="G531" s="2"/>
      <c r="H531" s="2"/>
      <c r="I531" s="2">
        <v>69.671000000000006</v>
      </c>
      <c r="J531" s="2">
        <v>119</v>
      </c>
      <c r="K531" s="2">
        <v>69.861099999999993</v>
      </c>
      <c r="L531" s="2">
        <v>106</v>
      </c>
      <c r="M531" s="2">
        <v>94.914500000000004</v>
      </c>
      <c r="N531" s="2">
        <v>270</v>
      </c>
      <c r="O531" s="2">
        <v>98.903899999999993</v>
      </c>
      <c r="P531" s="2">
        <v>205</v>
      </c>
      <c r="Q531" s="2">
        <v>104.08880000000001</v>
      </c>
      <c r="R531" s="2">
        <v>235</v>
      </c>
      <c r="S531" s="2">
        <v>102.7208</v>
      </c>
      <c r="T531" s="2">
        <v>197</v>
      </c>
      <c r="U531" s="2">
        <v>0.392822</v>
      </c>
      <c r="V531" s="2">
        <v>203</v>
      </c>
      <c r="W531" s="2">
        <v>2003</v>
      </c>
    </row>
    <row r="532" spans="1:23" ht="12.3" hidden="1" x14ac:dyDescent="0.4">
      <c r="A532" s="2" t="s">
        <v>94</v>
      </c>
      <c r="B532" s="2"/>
      <c r="C532" s="2"/>
      <c r="D532" s="2"/>
      <c r="E532" s="2"/>
      <c r="F532" s="2"/>
      <c r="G532" s="2"/>
      <c r="H532" s="2"/>
      <c r="I532" s="2">
        <v>68.564300000000003</v>
      </c>
      <c r="J532" s="2">
        <v>161</v>
      </c>
      <c r="K532" s="2">
        <v>68.630799999999994</v>
      </c>
      <c r="L532" s="2">
        <v>156</v>
      </c>
      <c r="M532" s="2">
        <v>98.225200000000001</v>
      </c>
      <c r="N532" s="2">
        <v>224</v>
      </c>
      <c r="O532" s="2">
        <v>101.3135</v>
      </c>
      <c r="P532" s="2">
        <v>161</v>
      </c>
      <c r="Q532" s="2">
        <v>104.8845</v>
      </c>
      <c r="R532" s="2">
        <v>253</v>
      </c>
      <c r="S532" s="2">
        <v>105.30880000000001</v>
      </c>
      <c r="T532" s="2">
        <v>244</v>
      </c>
      <c r="U532" s="2">
        <v>0.3906</v>
      </c>
      <c r="V532" s="2">
        <v>204</v>
      </c>
      <c r="W532" s="2">
        <v>2003</v>
      </c>
    </row>
    <row r="533" spans="1:23" ht="12.3" hidden="1" x14ac:dyDescent="0.4">
      <c r="A533" s="2" t="s">
        <v>283</v>
      </c>
      <c r="B533" s="2"/>
      <c r="C533" s="2"/>
      <c r="D533" s="2"/>
      <c r="E533" s="2"/>
      <c r="F533" s="2"/>
      <c r="G533" s="2"/>
      <c r="H533" s="2"/>
      <c r="I533" s="2">
        <v>70.474999999999994</v>
      </c>
      <c r="J533" s="2">
        <v>94</v>
      </c>
      <c r="K533" s="2">
        <v>70.038700000000006</v>
      </c>
      <c r="L533" s="2">
        <v>97</v>
      </c>
      <c r="M533" s="2">
        <v>99.946299999999994</v>
      </c>
      <c r="N533" s="2">
        <v>191</v>
      </c>
      <c r="O533" s="2">
        <v>98.366100000000003</v>
      </c>
      <c r="P533" s="2">
        <v>218</v>
      </c>
      <c r="Q533" s="2">
        <v>101.0821</v>
      </c>
      <c r="R533" s="2">
        <v>170</v>
      </c>
      <c r="S533" s="2">
        <v>102.4105</v>
      </c>
      <c r="T533" s="2">
        <v>189</v>
      </c>
      <c r="U533" s="2">
        <v>0.386185</v>
      </c>
      <c r="V533" s="2">
        <v>205</v>
      </c>
      <c r="W533" s="2">
        <v>2003</v>
      </c>
    </row>
    <row r="534" spans="1:23" ht="12.3" hidden="1" x14ac:dyDescent="0.4">
      <c r="A534" s="2" t="s">
        <v>291</v>
      </c>
      <c r="B534" s="2"/>
      <c r="C534" s="2"/>
      <c r="D534" s="2"/>
      <c r="E534" s="2"/>
      <c r="F534" s="2"/>
      <c r="G534" s="2"/>
      <c r="H534" s="2"/>
      <c r="I534" s="2">
        <v>71.953000000000003</v>
      </c>
      <c r="J534" s="2">
        <v>50</v>
      </c>
      <c r="K534" s="2">
        <v>71.252600000000001</v>
      </c>
      <c r="L534" s="2">
        <v>61</v>
      </c>
      <c r="M534" s="2">
        <v>97.652199999999993</v>
      </c>
      <c r="N534" s="2">
        <v>236</v>
      </c>
      <c r="O534" s="2">
        <v>96.907600000000002</v>
      </c>
      <c r="P534" s="2">
        <v>241</v>
      </c>
      <c r="Q534" s="2">
        <v>102.4121</v>
      </c>
      <c r="R534" s="2">
        <v>203</v>
      </c>
      <c r="S534" s="2">
        <v>101.06100000000001</v>
      </c>
      <c r="T534" s="2">
        <v>164</v>
      </c>
      <c r="U534" s="2">
        <v>0.381635</v>
      </c>
      <c r="V534" s="2">
        <v>206</v>
      </c>
      <c r="W534" s="2">
        <v>2003</v>
      </c>
    </row>
    <row r="535" spans="1:23" ht="12.3" hidden="1" x14ac:dyDescent="0.4">
      <c r="A535" s="2" t="s">
        <v>279</v>
      </c>
      <c r="B535" s="2"/>
      <c r="C535" s="2"/>
      <c r="D535" s="2"/>
      <c r="E535" s="2"/>
      <c r="F535" s="2"/>
      <c r="G535" s="2"/>
      <c r="H535" s="2"/>
      <c r="I535" s="2">
        <v>70.874899999999997</v>
      </c>
      <c r="J535" s="2">
        <v>78</v>
      </c>
      <c r="K535" s="2">
        <v>69.752399999999994</v>
      </c>
      <c r="L535" s="2">
        <v>110</v>
      </c>
      <c r="M535" s="2">
        <v>103.32080000000001</v>
      </c>
      <c r="N535" s="2">
        <v>115</v>
      </c>
      <c r="O535" s="2">
        <v>103.3999</v>
      </c>
      <c r="P535" s="2">
        <v>122</v>
      </c>
      <c r="Q535" s="2">
        <v>107.5883</v>
      </c>
      <c r="R535" s="2">
        <v>287</v>
      </c>
      <c r="S535" s="2">
        <v>107.86750000000001</v>
      </c>
      <c r="T535" s="2">
        <v>283</v>
      </c>
      <c r="U535" s="2">
        <v>0.38073200000000001</v>
      </c>
      <c r="V535" s="2">
        <v>207</v>
      </c>
      <c r="W535" s="2">
        <v>2003</v>
      </c>
    </row>
    <row r="536" spans="1:23" ht="12.3" hidden="1" x14ac:dyDescent="0.4">
      <c r="A536" s="2" t="s">
        <v>239</v>
      </c>
      <c r="B536" s="2"/>
      <c r="C536" s="2"/>
      <c r="D536" s="2"/>
      <c r="E536" s="2"/>
      <c r="F536" s="2"/>
      <c r="G536" s="2"/>
      <c r="H536" s="2"/>
      <c r="I536" s="2">
        <v>71.653199999999998</v>
      </c>
      <c r="J536" s="2">
        <v>58</v>
      </c>
      <c r="K536" s="2">
        <v>70.028599999999997</v>
      </c>
      <c r="L536" s="2">
        <v>98</v>
      </c>
      <c r="M536" s="2">
        <v>97.368499999999997</v>
      </c>
      <c r="N536" s="2">
        <v>240</v>
      </c>
      <c r="O536" s="2">
        <v>100.4383</v>
      </c>
      <c r="P536" s="2">
        <v>181</v>
      </c>
      <c r="Q536" s="2">
        <v>109.122</v>
      </c>
      <c r="R536" s="2">
        <v>307</v>
      </c>
      <c r="S536" s="2">
        <v>104.89109999999999</v>
      </c>
      <c r="T536" s="2">
        <v>235</v>
      </c>
      <c r="U536" s="2">
        <v>0.37780900000000001</v>
      </c>
      <c r="V536" s="2">
        <v>208</v>
      </c>
      <c r="W536" s="2">
        <v>2003</v>
      </c>
    </row>
    <row r="537" spans="1:23" ht="12.3" hidden="1" x14ac:dyDescent="0.4">
      <c r="A537" s="2" t="s">
        <v>236</v>
      </c>
      <c r="B537" s="2"/>
      <c r="C537" s="2"/>
      <c r="D537" s="2"/>
      <c r="E537" s="2"/>
      <c r="F537" s="2"/>
      <c r="G537" s="2"/>
      <c r="H537" s="2"/>
      <c r="I537" s="2">
        <v>66.338200000000001</v>
      </c>
      <c r="J537" s="2">
        <v>258</v>
      </c>
      <c r="K537" s="2">
        <v>66.750200000000007</v>
      </c>
      <c r="L537" s="2">
        <v>248</v>
      </c>
      <c r="M537" s="2">
        <v>101.5535</v>
      </c>
      <c r="N537" s="2">
        <v>158</v>
      </c>
      <c r="O537" s="2">
        <v>101.754</v>
      </c>
      <c r="P537" s="2">
        <v>153</v>
      </c>
      <c r="Q537" s="2">
        <v>107.6254</v>
      </c>
      <c r="R537" s="2">
        <v>288</v>
      </c>
      <c r="S537" s="2">
        <v>106.2679</v>
      </c>
      <c r="T537" s="2">
        <v>263</v>
      </c>
      <c r="U537" s="2">
        <v>0.37773600000000002</v>
      </c>
      <c r="V537" s="2">
        <v>209</v>
      </c>
      <c r="W537" s="2">
        <v>2003</v>
      </c>
    </row>
    <row r="538" spans="1:23" ht="12.3" hidden="1" x14ac:dyDescent="0.4">
      <c r="A538" s="2" t="s">
        <v>143</v>
      </c>
      <c r="B538" s="2"/>
      <c r="C538" s="2"/>
      <c r="D538" s="2"/>
      <c r="E538" s="2"/>
      <c r="F538" s="2"/>
      <c r="G538" s="2"/>
      <c r="H538" s="2"/>
      <c r="I538" s="2">
        <v>70.723399999999998</v>
      </c>
      <c r="J538" s="2">
        <v>85</v>
      </c>
      <c r="K538" s="2">
        <v>69.906800000000004</v>
      </c>
      <c r="L538" s="2">
        <v>103</v>
      </c>
      <c r="M538" s="2">
        <v>100.6765</v>
      </c>
      <c r="N538" s="2">
        <v>179</v>
      </c>
      <c r="O538" s="2">
        <v>101.0491</v>
      </c>
      <c r="P538" s="2">
        <v>170</v>
      </c>
      <c r="Q538" s="2">
        <v>104.42140000000001</v>
      </c>
      <c r="R538" s="2">
        <v>242</v>
      </c>
      <c r="S538" s="2">
        <v>105.5536</v>
      </c>
      <c r="T538" s="2">
        <v>248</v>
      </c>
      <c r="U538" s="2">
        <v>0.37717800000000001</v>
      </c>
      <c r="V538" s="2">
        <v>210</v>
      </c>
      <c r="W538" s="2">
        <v>2003</v>
      </c>
    </row>
    <row r="539" spans="1:23" ht="12.3" hidden="1" x14ac:dyDescent="0.4">
      <c r="A539" s="2" t="s">
        <v>182</v>
      </c>
      <c r="B539" s="2"/>
      <c r="C539" s="2"/>
      <c r="D539" s="2"/>
      <c r="E539" s="2"/>
      <c r="F539" s="2"/>
      <c r="G539" s="2"/>
      <c r="H539" s="2"/>
      <c r="I539" s="2">
        <v>65.149900000000002</v>
      </c>
      <c r="J539" s="2">
        <v>286</v>
      </c>
      <c r="K539" s="2">
        <v>64.506299999999996</v>
      </c>
      <c r="L539" s="2">
        <v>296</v>
      </c>
      <c r="M539" s="2">
        <v>99.846100000000007</v>
      </c>
      <c r="N539" s="2">
        <v>196</v>
      </c>
      <c r="O539" s="2">
        <v>99.135099999999994</v>
      </c>
      <c r="P539" s="2">
        <v>203</v>
      </c>
      <c r="Q539" s="2">
        <v>102.1301</v>
      </c>
      <c r="R539" s="2">
        <v>201</v>
      </c>
      <c r="S539" s="2">
        <v>103.7199</v>
      </c>
      <c r="T539" s="2">
        <v>216</v>
      </c>
      <c r="U539" s="2">
        <v>0.37287100000000001</v>
      </c>
      <c r="V539" s="2">
        <v>211</v>
      </c>
      <c r="W539" s="2">
        <v>2003</v>
      </c>
    </row>
    <row r="540" spans="1:23" ht="12.3" hidden="1" x14ac:dyDescent="0.4">
      <c r="A540" s="2" t="s">
        <v>130</v>
      </c>
      <c r="B540" s="2"/>
      <c r="C540" s="2"/>
      <c r="D540" s="2"/>
      <c r="E540" s="2"/>
      <c r="F540" s="2"/>
      <c r="G540" s="2"/>
      <c r="H540" s="2"/>
      <c r="I540" s="2">
        <v>65.5304</v>
      </c>
      <c r="J540" s="2">
        <v>278</v>
      </c>
      <c r="K540" s="2">
        <v>64.706999999999994</v>
      </c>
      <c r="L540" s="2">
        <v>293</v>
      </c>
      <c r="M540" s="2">
        <v>89.018900000000002</v>
      </c>
      <c r="N540" s="2">
        <v>316</v>
      </c>
      <c r="O540" s="2">
        <v>92.213700000000003</v>
      </c>
      <c r="P540" s="2">
        <v>292</v>
      </c>
      <c r="Q540" s="2">
        <v>100.399</v>
      </c>
      <c r="R540" s="2">
        <v>153</v>
      </c>
      <c r="S540" s="2">
        <v>96.825599999999994</v>
      </c>
      <c r="T540" s="2">
        <v>73</v>
      </c>
      <c r="U540" s="2">
        <v>0.36326399999999998</v>
      </c>
      <c r="V540" s="2">
        <v>212</v>
      </c>
      <c r="W540" s="2">
        <v>2003</v>
      </c>
    </row>
    <row r="541" spans="1:23" ht="12.3" hidden="1" x14ac:dyDescent="0.4">
      <c r="A541" s="2" t="s">
        <v>164</v>
      </c>
      <c r="B541" s="2"/>
      <c r="C541" s="2"/>
      <c r="D541" s="2"/>
      <c r="E541" s="2"/>
      <c r="F541" s="2"/>
      <c r="G541" s="2"/>
      <c r="H541" s="2"/>
      <c r="I541" s="2">
        <v>65.738799999999998</v>
      </c>
      <c r="J541" s="2">
        <v>271</v>
      </c>
      <c r="K541" s="2">
        <v>66.785799999999995</v>
      </c>
      <c r="L541" s="2">
        <v>245</v>
      </c>
      <c r="M541" s="2">
        <v>97.958100000000002</v>
      </c>
      <c r="N541" s="2">
        <v>229</v>
      </c>
      <c r="O541" s="2">
        <v>98.388300000000001</v>
      </c>
      <c r="P541" s="2">
        <v>216</v>
      </c>
      <c r="Q541" s="2">
        <v>106.7503</v>
      </c>
      <c r="R541" s="2">
        <v>277</v>
      </c>
      <c r="S541" s="2">
        <v>103.3475</v>
      </c>
      <c r="T541" s="2">
        <v>209</v>
      </c>
      <c r="U541" s="2">
        <v>0.36227300000000001</v>
      </c>
      <c r="V541" s="2">
        <v>213</v>
      </c>
      <c r="W541" s="2">
        <v>2003</v>
      </c>
    </row>
    <row r="542" spans="1:23" ht="12.3" hidden="1" x14ac:dyDescent="0.4">
      <c r="A542" s="2" t="s">
        <v>289</v>
      </c>
      <c r="B542" s="2"/>
      <c r="C542" s="2"/>
      <c r="D542" s="2"/>
      <c r="E542" s="2"/>
      <c r="F542" s="2"/>
      <c r="G542" s="2"/>
      <c r="H542" s="2"/>
      <c r="I542" s="2">
        <v>63.598700000000001</v>
      </c>
      <c r="J542" s="2">
        <v>306</v>
      </c>
      <c r="K542" s="2">
        <v>64.776600000000002</v>
      </c>
      <c r="L542" s="2">
        <v>291</v>
      </c>
      <c r="M542" s="2">
        <v>91.256799999999998</v>
      </c>
      <c r="N542" s="2">
        <v>309</v>
      </c>
      <c r="O542" s="2">
        <v>90.411900000000003</v>
      </c>
      <c r="P542" s="2">
        <v>306</v>
      </c>
      <c r="Q542" s="2">
        <v>93.058800000000005</v>
      </c>
      <c r="R542" s="2">
        <v>22</v>
      </c>
      <c r="S542" s="2">
        <v>95.166799999999995</v>
      </c>
      <c r="T542" s="2">
        <v>50</v>
      </c>
      <c r="U542" s="2">
        <v>0.35676400000000003</v>
      </c>
      <c r="V542" s="2">
        <v>214</v>
      </c>
      <c r="W542" s="2">
        <v>2003</v>
      </c>
    </row>
    <row r="543" spans="1:23" ht="12.3" hidden="1" x14ac:dyDescent="0.4">
      <c r="A543" s="2" t="s">
        <v>200</v>
      </c>
      <c r="B543" s="2"/>
      <c r="C543" s="2"/>
      <c r="D543" s="2"/>
      <c r="E543" s="2"/>
      <c r="F543" s="2"/>
      <c r="G543" s="2"/>
      <c r="H543" s="2"/>
      <c r="I543" s="2">
        <v>68.393500000000003</v>
      </c>
      <c r="J543" s="2">
        <v>174</v>
      </c>
      <c r="K543" s="2">
        <v>67.992400000000004</v>
      </c>
      <c r="L543" s="2">
        <v>185</v>
      </c>
      <c r="M543" s="2">
        <v>97.540199999999999</v>
      </c>
      <c r="N543" s="2">
        <v>238</v>
      </c>
      <c r="O543" s="2">
        <v>98.495400000000004</v>
      </c>
      <c r="P543" s="2">
        <v>212</v>
      </c>
      <c r="Q543" s="2">
        <v>101.1246</v>
      </c>
      <c r="R543" s="2">
        <v>173</v>
      </c>
      <c r="S543" s="2">
        <v>103.748</v>
      </c>
      <c r="T543" s="2">
        <v>217</v>
      </c>
      <c r="U543" s="2">
        <v>0.35492099999999999</v>
      </c>
      <c r="V543" s="2">
        <v>215</v>
      </c>
      <c r="W543" s="2">
        <v>2003</v>
      </c>
    </row>
    <row r="544" spans="1:23" ht="12.3" hidden="1" x14ac:dyDescent="0.4">
      <c r="A544" s="2" t="s">
        <v>230</v>
      </c>
      <c r="B544" s="2"/>
      <c r="C544" s="2"/>
      <c r="D544" s="2"/>
      <c r="E544" s="2"/>
      <c r="F544" s="2"/>
      <c r="G544" s="2"/>
      <c r="H544" s="2"/>
      <c r="I544" s="2">
        <v>68.141599999999997</v>
      </c>
      <c r="J544" s="2">
        <v>183</v>
      </c>
      <c r="K544" s="2">
        <v>69.388300000000001</v>
      </c>
      <c r="L544" s="2">
        <v>122</v>
      </c>
      <c r="M544" s="2">
        <v>91.884799999999998</v>
      </c>
      <c r="N544" s="2">
        <v>304</v>
      </c>
      <c r="O544" s="2">
        <v>97.1434</v>
      </c>
      <c r="P544" s="2">
        <v>238</v>
      </c>
      <c r="Q544" s="2">
        <v>106.1861</v>
      </c>
      <c r="R544" s="2">
        <v>267</v>
      </c>
      <c r="S544" s="2">
        <v>102.3408</v>
      </c>
      <c r="T544" s="2">
        <v>185</v>
      </c>
      <c r="U544" s="2">
        <v>0.35448499999999999</v>
      </c>
      <c r="V544" s="2">
        <v>216</v>
      </c>
      <c r="W544" s="2">
        <v>2003</v>
      </c>
    </row>
    <row r="545" spans="1:23" ht="12.3" hidden="1" x14ac:dyDescent="0.4">
      <c r="A545" s="2" t="s">
        <v>304</v>
      </c>
      <c r="B545" s="2"/>
      <c r="C545" s="2"/>
      <c r="D545" s="2"/>
      <c r="E545" s="2"/>
      <c r="F545" s="2"/>
      <c r="G545" s="2"/>
      <c r="H545" s="2"/>
      <c r="I545" s="2">
        <v>62.566499999999998</v>
      </c>
      <c r="J545" s="2">
        <v>312</v>
      </c>
      <c r="K545" s="2">
        <v>63.123100000000001</v>
      </c>
      <c r="L545" s="2">
        <v>310</v>
      </c>
      <c r="M545" s="2">
        <v>96.281599999999997</v>
      </c>
      <c r="N545" s="2">
        <v>252</v>
      </c>
      <c r="O545" s="2">
        <v>95.158699999999996</v>
      </c>
      <c r="P545" s="2">
        <v>266</v>
      </c>
      <c r="Q545" s="2">
        <v>98.776399999999995</v>
      </c>
      <c r="R545" s="2">
        <v>114</v>
      </c>
      <c r="S545" s="2">
        <v>100.3353</v>
      </c>
      <c r="T545" s="2">
        <v>147</v>
      </c>
      <c r="U545" s="2">
        <v>0.35224699999999998</v>
      </c>
      <c r="V545" s="2">
        <v>217</v>
      </c>
      <c r="W545" s="2">
        <v>2003</v>
      </c>
    </row>
    <row r="546" spans="1:23" ht="12.3" hidden="1" x14ac:dyDescent="0.4">
      <c r="A546" s="2" t="s">
        <v>240</v>
      </c>
      <c r="B546" s="2"/>
      <c r="C546" s="2"/>
      <c r="D546" s="2"/>
      <c r="E546" s="2"/>
      <c r="F546" s="2"/>
      <c r="G546" s="2"/>
      <c r="H546" s="2"/>
      <c r="I546" s="2">
        <v>68.668599999999998</v>
      </c>
      <c r="J546" s="2">
        <v>156</v>
      </c>
      <c r="K546" s="2">
        <v>69.347899999999996</v>
      </c>
      <c r="L546" s="2">
        <v>125</v>
      </c>
      <c r="M546" s="2">
        <v>100.1566</v>
      </c>
      <c r="N546" s="2">
        <v>186</v>
      </c>
      <c r="O546" s="2">
        <v>96.2911</v>
      </c>
      <c r="P546" s="2">
        <v>253</v>
      </c>
      <c r="Q546" s="2">
        <v>96.126300000000001</v>
      </c>
      <c r="R546" s="2">
        <v>50</v>
      </c>
      <c r="S546" s="2">
        <v>101.6067</v>
      </c>
      <c r="T546" s="2">
        <v>173</v>
      </c>
      <c r="U546" s="2">
        <v>0.35025000000000001</v>
      </c>
      <c r="V546" s="2">
        <v>218</v>
      </c>
      <c r="W546" s="2">
        <v>2003</v>
      </c>
    </row>
    <row r="547" spans="1:23" ht="12.3" hidden="1" x14ac:dyDescent="0.4">
      <c r="A547" s="2" t="s">
        <v>308</v>
      </c>
      <c r="B547" s="2"/>
      <c r="C547" s="2"/>
      <c r="D547" s="2"/>
      <c r="E547" s="2"/>
      <c r="F547" s="2"/>
      <c r="G547" s="2"/>
      <c r="H547" s="2"/>
      <c r="I547" s="2">
        <v>71.874899999999997</v>
      </c>
      <c r="J547" s="2">
        <v>51</v>
      </c>
      <c r="K547" s="2">
        <v>71.276799999999994</v>
      </c>
      <c r="L547" s="2">
        <v>59</v>
      </c>
      <c r="M547" s="2">
        <v>99.840900000000005</v>
      </c>
      <c r="N547" s="2">
        <v>197</v>
      </c>
      <c r="O547" s="2">
        <v>97.442300000000003</v>
      </c>
      <c r="P547" s="2">
        <v>233</v>
      </c>
      <c r="Q547" s="2">
        <v>100.4618</v>
      </c>
      <c r="R547" s="2">
        <v>155</v>
      </c>
      <c r="S547" s="2">
        <v>102.9054</v>
      </c>
      <c r="T547" s="2">
        <v>198</v>
      </c>
      <c r="U547" s="2">
        <v>0.34811799999999998</v>
      </c>
      <c r="V547" s="2">
        <v>219</v>
      </c>
      <c r="W547" s="2">
        <v>2003</v>
      </c>
    </row>
    <row r="548" spans="1:23" ht="12.3" hidden="1" x14ac:dyDescent="0.4">
      <c r="A548" s="2" t="s">
        <v>260</v>
      </c>
      <c r="B548" s="2"/>
      <c r="C548" s="2"/>
      <c r="D548" s="2"/>
      <c r="E548" s="2"/>
      <c r="F548" s="2"/>
      <c r="G548" s="2"/>
      <c r="H548" s="2"/>
      <c r="I548" s="2">
        <v>63.481200000000001</v>
      </c>
      <c r="J548" s="2">
        <v>307</v>
      </c>
      <c r="K548" s="2">
        <v>62.939</v>
      </c>
      <c r="L548" s="2">
        <v>313</v>
      </c>
      <c r="M548" s="2">
        <v>92.932000000000002</v>
      </c>
      <c r="N548" s="2">
        <v>292</v>
      </c>
      <c r="O548" s="2">
        <v>94.746700000000004</v>
      </c>
      <c r="P548" s="2">
        <v>270</v>
      </c>
      <c r="Q548" s="2">
        <v>100.79389999999999</v>
      </c>
      <c r="R548" s="2">
        <v>165</v>
      </c>
      <c r="S548" s="2">
        <v>100.1895</v>
      </c>
      <c r="T548" s="2">
        <v>141</v>
      </c>
      <c r="U548" s="2">
        <v>0.344717</v>
      </c>
      <c r="V548" s="2">
        <v>220</v>
      </c>
      <c r="W548" s="2">
        <v>2003</v>
      </c>
    </row>
    <row r="549" spans="1:23" ht="12.3" hidden="1" x14ac:dyDescent="0.4">
      <c r="A549" s="2" t="s">
        <v>326</v>
      </c>
      <c r="B549" s="2"/>
      <c r="C549" s="2"/>
      <c r="D549" s="2"/>
      <c r="E549" s="2"/>
      <c r="F549" s="2"/>
      <c r="G549" s="2"/>
      <c r="H549" s="2"/>
      <c r="I549" s="2">
        <v>65.203800000000001</v>
      </c>
      <c r="J549" s="2">
        <v>285</v>
      </c>
      <c r="K549" s="2">
        <v>66.962199999999996</v>
      </c>
      <c r="L549" s="2">
        <v>236</v>
      </c>
      <c r="M549" s="2">
        <v>98.014300000000006</v>
      </c>
      <c r="N549" s="2">
        <v>227</v>
      </c>
      <c r="O549" s="2">
        <v>96.735399999999998</v>
      </c>
      <c r="P549" s="2">
        <v>252</v>
      </c>
      <c r="Q549" s="2">
        <v>97.511600000000001</v>
      </c>
      <c r="R549" s="2">
        <v>77</v>
      </c>
      <c r="S549" s="2">
        <v>102.35120000000001</v>
      </c>
      <c r="T549" s="2">
        <v>186</v>
      </c>
      <c r="U549" s="2">
        <v>0.34322599999999998</v>
      </c>
      <c r="V549" s="2">
        <v>221</v>
      </c>
      <c r="W549" s="2">
        <v>2003</v>
      </c>
    </row>
    <row r="550" spans="1:23" ht="12.3" hidden="1" x14ac:dyDescent="0.4">
      <c r="A550" s="2" t="s">
        <v>152</v>
      </c>
      <c r="B550" s="2"/>
      <c r="C550" s="2"/>
      <c r="D550" s="2"/>
      <c r="E550" s="2"/>
      <c r="F550" s="2"/>
      <c r="G550" s="2"/>
      <c r="H550" s="2"/>
      <c r="I550" s="2">
        <v>68.745099999999994</v>
      </c>
      <c r="J550" s="2">
        <v>154</v>
      </c>
      <c r="K550" s="2">
        <v>68.3185</v>
      </c>
      <c r="L550" s="2">
        <v>173</v>
      </c>
      <c r="M550" s="2">
        <v>103.4277</v>
      </c>
      <c r="N550" s="2">
        <v>111</v>
      </c>
      <c r="O550" s="2">
        <v>99.8352</v>
      </c>
      <c r="P550" s="2">
        <v>193</v>
      </c>
      <c r="Q550" s="2">
        <v>103.6075</v>
      </c>
      <c r="R550" s="2">
        <v>228</v>
      </c>
      <c r="S550" s="2">
        <v>105.8122</v>
      </c>
      <c r="T550" s="2">
        <v>253</v>
      </c>
      <c r="U550" s="2">
        <v>0.33879399999999998</v>
      </c>
      <c r="V550" s="2">
        <v>222</v>
      </c>
      <c r="W550" s="2">
        <v>2003</v>
      </c>
    </row>
    <row r="551" spans="1:23" ht="12.3" hidden="1" x14ac:dyDescent="0.4">
      <c r="A551" s="2" t="s">
        <v>274</v>
      </c>
      <c r="B551" s="2"/>
      <c r="C551" s="2"/>
      <c r="D551" s="2"/>
      <c r="E551" s="2"/>
      <c r="F551" s="2"/>
      <c r="G551" s="2"/>
      <c r="H551" s="2"/>
      <c r="I551" s="2">
        <v>72.749600000000001</v>
      </c>
      <c r="J551" s="2">
        <v>34</v>
      </c>
      <c r="K551" s="2">
        <v>71.758799999999994</v>
      </c>
      <c r="L551" s="2">
        <v>49</v>
      </c>
      <c r="M551" s="2">
        <v>102.4949</v>
      </c>
      <c r="N551" s="2">
        <v>139</v>
      </c>
      <c r="O551" s="2">
        <v>98.573800000000006</v>
      </c>
      <c r="P551" s="2">
        <v>211</v>
      </c>
      <c r="Q551" s="2">
        <v>101.3043</v>
      </c>
      <c r="R551" s="2">
        <v>179</v>
      </c>
      <c r="S551" s="2">
        <v>104.6002</v>
      </c>
      <c r="T551" s="2">
        <v>229</v>
      </c>
      <c r="U551" s="2">
        <v>0.33572299999999999</v>
      </c>
      <c r="V551" s="2">
        <v>223</v>
      </c>
      <c r="W551" s="2">
        <v>2003</v>
      </c>
    </row>
    <row r="552" spans="1:23" ht="12.3" hidden="1" x14ac:dyDescent="0.4">
      <c r="A552" s="2" t="s">
        <v>205</v>
      </c>
      <c r="B552" s="2"/>
      <c r="C552" s="2"/>
      <c r="D552" s="2"/>
      <c r="E552" s="2"/>
      <c r="F552" s="2"/>
      <c r="G552" s="2"/>
      <c r="H552" s="2"/>
      <c r="I552" s="2">
        <v>63.302999999999997</v>
      </c>
      <c r="J552" s="2">
        <v>308</v>
      </c>
      <c r="K552" s="2">
        <v>63.773699999999998</v>
      </c>
      <c r="L552" s="2">
        <v>304</v>
      </c>
      <c r="M552" s="2">
        <v>99.577799999999996</v>
      </c>
      <c r="N552" s="2">
        <v>201</v>
      </c>
      <c r="O552" s="2">
        <v>101.07510000000001</v>
      </c>
      <c r="P552" s="2">
        <v>168</v>
      </c>
      <c r="Q552" s="2">
        <v>108.30889999999999</v>
      </c>
      <c r="R552" s="2">
        <v>299</v>
      </c>
      <c r="S552" s="2">
        <v>107.3154</v>
      </c>
      <c r="T552" s="2">
        <v>277</v>
      </c>
      <c r="U552" s="2">
        <v>0.33426800000000001</v>
      </c>
      <c r="V552" s="2">
        <v>224</v>
      </c>
      <c r="W552" s="2">
        <v>2003</v>
      </c>
    </row>
    <row r="553" spans="1:23" ht="12.3" hidden="1" x14ac:dyDescent="0.4">
      <c r="A553" s="2" t="s">
        <v>163</v>
      </c>
      <c r="B553" s="2"/>
      <c r="C553" s="2"/>
      <c r="D553" s="2"/>
      <c r="E553" s="2"/>
      <c r="F553" s="2"/>
      <c r="G553" s="2"/>
      <c r="H553" s="2"/>
      <c r="I553" s="2">
        <v>64.186499999999995</v>
      </c>
      <c r="J553" s="2">
        <v>300</v>
      </c>
      <c r="K553" s="2">
        <v>63.6404</v>
      </c>
      <c r="L553" s="2">
        <v>306</v>
      </c>
      <c r="M553" s="2">
        <v>98.2988</v>
      </c>
      <c r="N553" s="2">
        <v>222</v>
      </c>
      <c r="O553" s="2">
        <v>99.143299999999996</v>
      </c>
      <c r="P553" s="2">
        <v>202</v>
      </c>
      <c r="Q553" s="2">
        <v>102.45050000000001</v>
      </c>
      <c r="R553" s="2">
        <v>204</v>
      </c>
      <c r="S553" s="2">
        <v>105.5403</v>
      </c>
      <c r="T553" s="2">
        <v>247</v>
      </c>
      <c r="U553" s="2">
        <v>0.32760099999999998</v>
      </c>
      <c r="V553" s="2">
        <v>225</v>
      </c>
      <c r="W553" s="2">
        <v>2003</v>
      </c>
    </row>
    <row r="554" spans="1:23" ht="12.3" hidden="1" x14ac:dyDescent="0.4">
      <c r="A554" s="2" t="s">
        <v>171</v>
      </c>
      <c r="B554" s="2"/>
      <c r="C554" s="2"/>
      <c r="D554" s="2"/>
      <c r="E554" s="2"/>
      <c r="F554" s="2"/>
      <c r="G554" s="2"/>
      <c r="H554" s="2"/>
      <c r="I554" s="2">
        <v>66.8245</v>
      </c>
      <c r="J554" s="2">
        <v>241</v>
      </c>
      <c r="K554" s="2">
        <v>67.493600000000001</v>
      </c>
      <c r="L554" s="2">
        <v>208</v>
      </c>
      <c r="M554" s="2">
        <v>101.2923</v>
      </c>
      <c r="N554" s="2">
        <v>165</v>
      </c>
      <c r="O554" s="2">
        <v>100.4421</v>
      </c>
      <c r="P554" s="2">
        <v>180</v>
      </c>
      <c r="Q554" s="2">
        <v>108.9631</v>
      </c>
      <c r="R554" s="2">
        <v>303</v>
      </c>
      <c r="S554" s="2">
        <v>106.9311</v>
      </c>
      <c r="T554" s="2">
        <v>272</v>
      </c>
      <c r="U554" s="2">
        <v>0.32740900000000001</v>
      </c>
      <c r="V554" s="2">
        <v>226</v>
      </c>
      <c r="W554" s="2">
        <v>2003</v>
      </c>
    </row>
    <row r="555" spans="1:23" ht="12.3" hidden="1" x14ac:dyDescent="0.4">
      <c r="A555" s="2" t="s">
        <v>153</v>
      </c>
      <c r="B555" s="2"/>
      <c r="C555" s="2"/>
      <c r="D555" s="2"/>
      <c r="E555" s="2"/>
      <c r="F555" s="2"/>
      <c r="G555" s="2"/>
      <c r="H555" s="2"/>
      <c r="I555" s="2">
        <v>73.480800000000002</v>
      </c>
      <c r="J555" s="2">
        <v>25</v>
      </c>
      <c r="K555" s="2">
        <v>73.015799999999999</v>
      </c>
      <c r="L555" s="2">
        <v>23</v>
      </c>
      <c r="M555" s="2">
        <v>102.58459999999999</v>
      </c>
      <c r="N555" s="2">
        <v>134</v>
      </c>
      <c r="O555" s="2">
        <v>101.6699</v>
      </c>
      <c r="P555" s="2">
        <v>154</v>
      </c>
      <c r="Q555" s="2">
        <v>106.4645</v>
      </c>
      <c r="R555" s="2">
        <v>272</v>
      </c>
      <c r="S555" s="2">
        <v>108.32429999999999</v>
      </c>
      <c r="T555" s="2">
        <v>289</v>
      </c>
      <c r="U555" s="2">
        <v>0.32539600000000002</v>
      </c>
      <c r="V555" s="2">
        <v>227</v>
      </c>
      <c r="W555" s="2">
        <v>2003</v>
      </c>
    </row>
    <row r="556" spans="1:23" ht="12.3" hidden="1" x14ac:dyDescent="0.4">
      <c r="A556" s="2" t="s">
        <v>323</v>
      </c>
      <c r="B556" s="2"/>
      <c r="C556" s="2"/>
      <c r="D556" s="2"/>
      <c r="E556" s="2"/>
      <c r="F556" s="2"/>
      <c r="G556" s="2"/>
      <c r="H556" s="2"/>
      <c r="I556" s="2">
        <v>65.4923</v>
      </c>
      <c r="J556" s="2">
        <v>279</v>
      </c>
      <c r="K556" s="2">
        <v>64.847399999999993</v>
      </c>
      <c r="L556" s="2">
        <v>288</v>
      </c>
      <c r="M556" s="2">
        <v>103.79519999999999</v>
      </c>
      <c r="N556" s="2">
        <v>100</v>
      </c>
      <c r="O556" s="2">
        <v>99.740899999999996</v>
      </c>
      <c r="P556" s="2">
        <v>195</v>
      </c>
      <c r="Q556" s="2">
        <v>98.936199999999999</v>
      </c>
      <c r="R556" s="2">
        <v>117</v>
      </c>
      <c r="S556" s="2">
        <v>106.3463</v>
      </c>
      <c r="T556" s="2">
        <v>266</v>
      </c>
      <c r="U556" s="2">
        <v>0.32356600000000002</v>
      </c>
      <c r="V556" s="2">
        <v>228</v>
      </c>
      <c r="W556" s="2">
        <v>2003</v>
      </c>
    </row>
    <row r="557" spans="1:23" ht="12.3" hidden="1" x14ac:dyDescent="0.4">
      <c r="A557" s="2" t="s">
        <v>335</v>
      </c>
      <c r="B557" s="2"/>
      <c r="C557" s="2"/>
      <c r="D557" s="2"/>
      <c r="E557" s="2"/>
      <c r="F557" s="2"/>
      <c r="G557" s="2"/>
      <c r="H557" s="2"/>
      <c r="I557" s="2">
        <v>72.945800000000006</v>
      </c>
      <c r="J557" s="2">
        <v>33</v>
      </c>
      <c r="K557" s="2">
        <v>72.924999999999997</v>
      </c>
      <c r="L557" s="2">
        <v>26</v>
      </c>
      <c r="M557" s="2">
        <v>99.886600000000001</v>
      </c>
      <c r="N557" s="2">
        <v>194</v>
      </c>
      <c r="O557" s="2">
        <v>99.758600000000001</v>
      </c>
      <c r="P557" s="2">
        <v>194</v>
      </c>
      <c r="Q557" s="2">
        <v>106.01730000000001</v>
      </c>
      <c r="R557" s="2">
        <v>263</v>
      </c>
      <c r="S557" s="2">
        <v>106.4143</v>
      </c>
      <c r="T557" s="2">
        <v>268</v>
      </c>
      <c r="U557" s="2">
        <v>0.322403</v>
      </c>
      <c r="V557" s="2">
        <v>229</v>
      </c>
      <c r="W557" s="2">
        <v>2003</v>
      </c>
    </row>
    <row r="558" spans="1:23" ht="12.3" hidden="1" x14ac:dyDescent="0.4">
      <c r="A558" s="2" t="s">
        <v>195</v>
      </c>
      <c r="B558" s="2"/>
      <c r="C558" s="2"/>
      <c r="D558" s="2"/>
      <c r="E558" s="2"/>
      <c r="F558" s="2"/>
      <c r="G558" s="2"/>
      <c r="H558" s="2"/>
      <c r="I558" s="2">
        <v>66.478700000000003</v>
      </c>
      <c r="J558" s="2">
        <v>251</v>
      </c>
      <c r="K558" s="2">
        <v>64.701899999999995</v>
      </c>
      <c r="L558" s="2">
        <v>294</v>
      </c>
      <c r="M558" s="2">
        <v>97.145099999999999</v>
      </c>
      <c r="N558" s="2">
        <v>243</v>
      </c>
      <c r="O558" s="2">
        <v>97.887799999999999</v>
      </c>
      <c r="P558" s="2">
        <v>228</v>
      </c>
      <c r="Q558" s="2">
        <v>103.06780000000001</v>
      </c>
      <c r="R558" s="2">
        <v>218</v>
      </c>
      <c r="S558" s="2">
        <v>104.5835</v>
      </c>
      <c r="T558" s="2">
        <v>228</v>
      </c>
      <c r="U558" s="2">
        <v>0.31845400000000001</v>
      </c>
      <c r="V558" s="2">
        <v>230</v>
      </c>
      <c r="W558" s="2">
        <v>2003</v>
      </c>
    </row>
    <row r="559" spans="1:23" ht="12.3" hidden="1" x14ac:dyDescent="0.4">
      <c r="A559" s="2" t="s">
        <v>247</v>
      </c>
      <c r="B559" s="2"/>
      <c r="C559" s="2"/>
      <c r="D559" s="2"/>
      <c r="E559" s="2"/>
      <c r="F559" s="2"/>
      <c r="G559" s="2"/>
      <c r="H559" s="2"/>
      <c r="I559" s="2">
        <v>67.166300000000007</v>
      </c>
      <c r="J559" s="2">
        <v>234</v>
      </c>
      <c r="K559" s="2">
        <v>67.966800000000006</v>
      </c>
      <c r="L559" s="2">
        <v>186</v>
      </c>
      <c r="M559" s="2">
        <v>98.094300000000004</v>
      </c>
      <c r="N559" s="2">
        <v>226</v>
      </c>
      <c r="O559" s="2">
        <v>96.855699999999999</v>
      </c>
      <c r="P559" s="2">
        <v>244</v>
      </c>
      <c r="Q559" s="2">
        <v>100.7166</v>
      </c>
      <c r="R559" s="2">
        <v>162</v>
      </c>
      <c r="S559" s="2">
        <v>103.49469999999999</v>
      </c>
      <c r="T559" s="2">
        <v>213</v>
      </c>
      <c r="U559" s="2">
        <v>0.31812099999999999</v>
      </c>
      <c r="V559" s="2">
        <v>231</v>
      </c>
      <c r="W559" s="2">
        <v>2003</v>
      </c>
    </row>
    <row r="560" spans="1:23" ht="12.3" hidden="1" x14ac:dyDescent="0.4">
      <c r="A560" s="2" t="s">
        <v>280</v>
      </c>
      <c r="B560" s="2"/>
      <c r="C560" s="2"/>
      <c r="D560" s="2"/>
      <c r="E560" s="2"/>
      <c r="F560" s="2"/>
      <c r="G560" s="2"/>
      <c r="H560" s="2"/>
      <c r="I560" s="2">
        <v>72.188900000000004</v>
      </c>
      <c r="J560" s="2">
        <v>45</v>
      </c>
      <c r="K560" s="2">
        <v>71.034899999999993</v>
      </c>
      <c r="L560" s="2">
        <v>65</v>
      </c>
      <c r="M560" s="2">
        <v>101.411</v>
      </c>
      <c r="N560" s="2">
        <v>161</v>
      </c>
      <c r="O560" s="2">
        <v>99.010599999999997</v>
      </c>
      <c r="P560" s="2">
        <v>204</v>
      </c>
      <c r="Q560" s="2">
        <v>107.9063</v>
      </c>
      <c r="R560" s="2">
        <v>293</v>
      </c>
      <c r="S560" s="2">
        <v>105.8279</v>
      </c>
      <c r="T560" s="2">
        <v>254</v>
      </c>
      <c r="U560" s="2">
        <v>0.31739899999999999</v>
      </c>
      <c r="V560" s="2">
        <v>232</v>
      </c>
      <c r="W560" s="2">
        <v>2003</v>
      </c>
    </row>
    <row r="561" spans="1:23" ht="12.3" hidden="1" x14ac:dyDescent="0.4">
      <c r="A561" s="2" t="s">
        <v>255</v>
      </c>
      <c r="B561" s="2"/>
      <c r="C561" s="2"/>
      <c r="D561" s="2"/>
      <c r="E561" s="2"/>
      <c r="F561" s="2"/>
      <c r="G561" s="2"/>
      <c r="H561" s="2"/>
      <c r="I561" s="2">
        <v>71.309600000000003</v>
      </c>
      <c r="J561" s="2">
        <v>64</v>
      </c>
      <c r="K561" s="2">
        <v>74.242199999999997</v>
      </c>
      <c r="L561" s="2">
        <v>9</v>
      </c>
      <c r="M561" s="2">
        <v>97.945099999999996</v>
      </c>
      <c r="N561" s="2">
        <v>230</v>
      </c>
      <c r="O561" s="2">
        <v>96.832499999999996</v>
      </c>
      <c r="P561" s="2">
        <v>245</v>
      </c>
      <c r="Q561" s="2">
        <v>100.61579999999999</v>
      </c>
      <c r="R561" s="2">
        <v>159</v>
      </c>
      <c r="S561" s="2">
        <v>103.6722</v>
      </c>
      <c r="T561" s="2">
        <v>215</v>
      </c>
      <c r="U561" s="2">
        <v>0.31326700000000002</v>
      </c>
      <c r="V561" s="2">
        <v>233</v>
      </c>
      <c r="W561" s="2">
        <v>2003</v>
      </c>
    </row>
    <row r="562" spans="1:23" ht="12.3" hidden="1" x14ac:dyDescent="0.4">
      <c r="A562" s="2" t="s">
        <v>217</v>
      </c>
      <c r="B562" s="2"/>
      <c r="C562" s="2"/>
      <c r="D562" s="2"/>
      <c r="E562" s="2"/>
      <c r="F562" s="2"/>
      <c r="G562" s="2"/>
      <c r="H562" s="2"/>
      <c r="I562" s="2">
        <v>66.884699999999995</v>
      </c>
      <c r="J562" s="2">
        <v>238</v>
      </c>
      <c r="K562" s="2">
        <v>66.963999999999999</v>
      </c>
      <c r="L562" s="2">
        <v>235</v>
      </c>
      <c r="M562" s="2">
        <v>96.247100000000003</v>
      </c>
      <c r="N562" s="2">
        <v>253</v>
      </c>
      <c r="O562" s="2">
        <v>95.537800000000004</v>
      </c>
      <c r="P562" s="2">
        <v>263</v>
      </c>
      <c r="Q562" s="2">
        <v>102.63420000000001</v>
      </c>
      <c r="R562" s="2">
        <v>208</v>
      </c>
      <c r="S562" s="2">
        <v>102.3544</v>
      </c>
      <c r="T562" s="2">
        <v>187</v>
      </c>
      <c r="U562" s="2">
        <v>0.31161899999999998</v>
      </c>
      <c r="V562" s="2">
        <v>234</v>
      </c>
      <c r="W562" s="2">
        <v>2003</v>
      </c>
    </row>
    <row r="563" spans="1:23" ht="12.3" hidden="1" x14ac:dyDescent="0.4">
      <c r="A563" s="2" t="s">
        <v>277</v>
      </c>
      <c r="B563" s="2"/>
      <c r="C563" s="2"/>
      <c r="D563" s="2"/>
      <c r="E563" s="2"/>
      <c r="F563" s="2"/>
      <c r="G563" s="2"/>
      <c r="H563" s="2"/>
      <c r="I563" s="2">
        <v>72.412199999999999</v>
      </c>
      <c r="J563" s="2">
        <v>40</v>
      </c>
      <c r="K563" s="2">
        <v>72.394400000000005</v>
      </c>
      <c r="L563" s="2">
        <v>36</v>
      </c>
      <c r="M563" s="2">
        <v>103.0051</v>
      </c>
      <c r="N563" s="2">
        <v>123</v>
      </c>
      <c r="O563" s="2">
        <v>100.01009999999999</v>
      </c>
      <c r="P563" s="2">
        <v>192</v>
      </c>
      <c r="Q563" s="2">
        <v>103.3096</v>
      </c>
      <c r="R563" s="2">
        <v>224</v>
      </c>
      <c r="S563" s="2">
        <v>107.1495</v>
      </c>
      <c r="T563" s="2">
        <v>275</v>
      </c>
      <c r="U563" s="2">
        <v>0.311531</v>
      </c>
      <c r="V563" s="2">
        <v>235</v>
      </c>
      <c r="W563" s="2">
        <v>2003</v>
      </c>
    </row>
    <row r="564" spans="1:23" ht="12.3" hidden="1" x14ac:dyDescent="0.4">
      <c r="A564" s="2" t="s">
        <v>184</v>
      </c>
      <c r="B564" s="2"/>
      <c r="C564" s="2"/>
      <c r="D564" s="2"/>
      <c r="E564" s="2"/>
      <c r="F564" s="2"/>
      <c r="G564" s="2"/>
      <c r="H564" s="2"/>
      <c r="I564" s="2">
        <v>71.770700000000005</v>
      </c>
      <c r="J564" s="2">
        <v>54</v>
      </c>
      <c r="K564" s="2">
        <v>71.863200000000006</v>
      </c>
      <c r="L564" s="2">
        <v>46</v>
      </c>
      <c r="M564" s="2">
        <v>94.952399999999997</v>
      </c>
      <c r="N564" s="2">
        <v>269</v>
      </c>
      <c r="O564" s="2">
        <v>98.645300000000006</v>
      </c>
      <c r="P564" s="2">
        <v>209</v>
      </c>
      <c r="Q564" s="2">
        <v>109.0266</v>
      </c>
      <c r="R564" s="2">
        <v>304</v>
      </c>
      <c r="S564" s="2">
        <v>105.74290000000001</v>
      </c>
      <c r="T564" s="2">
        <v>251</v>
      </c>
      <c r="U564" s="2">
        <v>0.31023400000000001</v>
      </c>
      <c r="V564" s="2">
        <v>236</v>
      </c>
      <c r="W564" s="2">
        <v>2003</v>
      </c>
    </row>
    <row r="565" spans="1:23" ht="12.3" hidden="1" x14ac:dyDescent="0.4">
      <c r="A565" s="2" t="s">
        <v>311</v>
      </c>
      <c r="B565" s="2"/>
      <c r="C565" s="2"/>
      <c r="D565" s="2"/>
      <c r="E565" s="2"/>
      <c r="F565" s="2"/>
      <c r="G565" s="2"/>
      <c r="H565" s="2"/>
      <c r="I565" s="2">
        <v>60.721899999999998</v>
      </c>
      <c r="J565" s="2">
        <v>320</v>
      </c>
      <c r="K565" s="2">
        <v>60.834899999999998</v>
      </c>
      <c r="L565" s="2">
        <v>321</v>
      </c>
      <c r="M565" s="2">
        <v>100.741</v>
      </c>
      <c r="N565" s="2">
        <v>176</v>
      </c>
      <c r="O565" s="2">
        <v>101.5498</v>
      </c>
      <c r="P565" s="2">
        <v>156</v>
      </c>
      <c r="Q565" s="2">
        <v>106.8331</v>
      </c>
      <c r="R565" s="2">
        <v>279</v>
      </c>
      <c r="S565" s="2">
        <v>108.97199999999999</v>
      </c>
      <c r="T565" s="2">
        <v>294</v>
      </c>
      <c r="U565" s="2">
        <v>0.30762899999999999</v>
      </c>
      <c r="V565" s="2">
        <v>237</v>
      </c>
      <c r="W565" s="2">
        <v>2003</v>
      </c>
    </row>
    <row r="566" spans="1:23" ht="12.3" hidden="1" x14ac:dyDescent="0.4">
      <c r="A566" s="2" t="s">
        <v>156</v>
      </c>
      <c r="B566" s="2"/>
      <c r="C566" s="2"/>
      <c r="D566" s="2"/>
      <c r="E566" s="2"/>
      <c r="F566" s="2"/>
      <c r="G566" s="2"/>
      <c r="H566" s="2"/>
      <c r="I566" s="2">
        <v>64.650899999999993</v>
      </c>
      <c r="J566" s="2">
        <v>292</v>
      </c>
      <c r="K566" s="2">
        <v>63.429900000000004</v>
      </c>
      <c r="L566" s="2">
        <v>309</v>
      </c>
      <c r="M566" s="2">
        <v>104.5369</v>
      </c>
      <c r="N566" s="2">
        <v>84</v>
      </c>
      <c r="O566" s="2">
        <v>100.166</v>
      </c>
      <c r="P566" s="2">
        <v>186</v>
      </c>
      <c r="Q566" s="2">
        <v>104.01009999999999</v>
      </c>
      <c r="R566" s="2">
        <v>233</v>
      </c>
      <c r="S566" s="2">
        <v>107.5603</v>
      </c>
      <c r="T566" s="2">
        <v>279</v>
      </c>
      <c r="U566" s="2">
        <v>0.30596299999999998</v>
      </c>
      <c r="V566" s="2">
        <v>238</v>
      </c>
      <c r="W566" s="2">
        <v>2003</v>
      </c>
    </row>
    <row r="567" spans="1:23" ht="12.3" hidden="1" x14ac:dyDescent="0.4">
      <c r="A567" s="2" t="s">
        <v>302</v>
      </c>
      <c r="B567" s="2"/>
      <c r="C567" s="2"/>
      <c r="D567" s="2"/>
      <c r="E567" s="2"/>
      <c r="F567" s="2"/>
      <c r="G567" s="2"/>
      <c r="H567" s="2"/>
      <c r="I567" s="2">
        <v>70.334400000000002</v>
      </c>
      <c r="J567" s="2">
        <v>100</v>
      </c>
      <c r="K567" s="2">
        <v>70.855400000000003</v>
      </c>
      <c r="L567" s="2">
        <v>68</v>
      </c>
      <c r="M567" s="2">
        <v>92.522000000000006</v>
      </c>
      <c r="N567" s="2">
        <v>296</v>
      </c>
      <c r="O567" s="2">
        <v>94.656199999999998</v>
      </c>
      <c r="P567" s="2">
        <v>272</v>
      </c>
      <c r="Q567" s="2">
        <v>102.8271</v>
      </c>
      <c r="R567" s="2">
        <v>216</v>
      </c>
      <c r="S567" s="2">
        <v>101.7944</v>
      </c>
      <c r="T567" s="2">
        <v>176</v>
      </c>
      <c r="U567" s="2">
        <v>0.30235699999999999</v>
      </c>
      <c r="V567" s="2">
        <v>239</v>
      </c>
      <c r="W567" s="2">
        <v>2003</v>
      </c>
    </row>
    <row r="568" spans="1:23" ht="12.3" hidden="1" x14ac:dyDescent="0.4">
      <c r="A568" s="2" t="s">
        <v>224</v>
      </c>
      <c r="B568" s="2"/>
      <c r="C568" s="2"/>
      <c r="D568" s="2"/>
      <c r="E568" s="2"/>
      <c r="F568" s="2"/>
      <c r="G568" s="2"/>
      <c r="H568" s="2"/>
      <c r="I568" s="2">
        <v>72.025999999999996</v>
      </c>
      <c r="J568" s="2">
        <v>47</v>
      </c>
      <c r="K568" s="2">
        <v>70.695400000000006</v>
      </c>
      <c r="L568" s="2">
        <v>78</v>
      </c>
      <c r="M568" s="2">
        <v>100.63930000000001</v>
      </c>
      <c r="N568" s="2">
        <v>181</v>
      </c>
      <c r="O568" s="2">
        <v>102.32769999999999</v>
      </c>
      <c r="P568" s="2">
        <v>140</v>
      </c>
      <c r="Q568" s="2">
        <v>108.1558</v>
      </c>
      <c r="R568" s="2">
        <v>298</v>
      </c>
      <c r="S568" s="2">
        <v>110.19240000000001</v>
      </c>
      <c r="T568" s="2">
        <v>305</v>
      </c>
      <c r="U568" s="2">
        <v>0.29910999999999999</v>
      </c>
      <c r="V568" s="2">
        <v>240</v>
      </c>
      <c r="W568" s="2">
        <v>2003</v>
      </c>
    </row>
    <row r="569" spans="1:23" ht="12.3" hidden="1" x14ac:dyDescent="0.4">
      <c r="A569" s="2" t="s">
        <v>266</v>
      </c>
      <c r="B569" s="2"/>
      <c r="C569" s="2"/>
      <c r="D569" s="2"/>
      <c r="E569" s="2"/>
      <c r="F569" s="2"/>
      <c r="G569" s="2"/>
      <c r="H569" s="2"/>
      <c r="I569" s="2">
        <v>68.075500000000005</v>
      </c>
      <c r="J569" s="2">
        <v>185</v>
      </c>
      <c r="K569" s="2">
        <v>67.592399999999998</v>
      </c>
      <c r="L569" s="2">
        <v>202</v>
      </c>
      <c r="M569" s="2">
        <v>93.946200000000005</v>
      </c>
      <c r="N569" s="2">
        <v>283</v>
      </c>
      <c r="O569" s="2">
        <v>92.172899999999998</v>
      </c>
      <c r="P569" s="2">
        <v>293</v>
      </c>
      <c r="Q569" s="2">
        <v>95.519300000000001</v>
      </c>
      <c r="R569" s="2">
        <v>39</v>
      </c>
      <c r="S569" s="2">
        <v>99.399699999999996</v>
      </c>
      <c r="T569" s="2">
        <v>125</v>
      </c>
      <c r="U569" s="2">
        <v>0.29565799999999998</v>
      </c>
      <c r="V569" s="2">
        <v>241</v>
      </c>
      <c r="W569" s="2">
        <v>2003</v>
      </c>
    </row>
    <row r="570" spans="1:23" ht="12.3" hidden="1" x14ac:dyDescent="0.4">
      <c r="A570" s="2" t="s">
        <v>251</v>
      </c>
      <c r="B570" s="2"/>
      <c r="C570" s="2"/>
      <c r="D570" s="2"/>
      <c r="E570" s="2"/>
      <c r="F570" s="2"/>
      <c r="G570" s="2"/>
      <c r="H570" s="2"/>
      <c r="I570" s="2">
        <v>68.832999999999998</v>
      </c>
      <c r="J570" s="2">
        <v>150</v>
      </c>
      <c r="K570" s="2">
        <v>68.320400000000006</v>
      </c>
      <c r="L570" s="2">
        <v>172</v>
      </c>
      <c r="M570" s="2">
        <v>95.578000000000003</v>
      </c>
      <c r="N570" s="2">
        <v>264</v>
      </c>
      <c r="O570" s="2">
        <v>91.477900000000005</v>
      </c>
      <c r="P570" s="2">
        <v>297</v>
      </c>
      <c r="Q570" s="2">
        <v>97.126599999999996</v>
      </c>
      <c r="R570" s="2">
        <v>70</v>
      </c>
      <c r="S570" s="2">
        <v>98.744299999999996</v>
      </c>
      <c r="T570" s="2">
        <v>113</v>
      </c>
      <c r="U570" s="2">
        <v>0.293383</v>
      </c>
      <c r="V570" s="2">
        <v>242</v>
      </c>
      <c r="W570" s="2">
        <v>2003</v>
      </c>
    </row>
    <row r="571" spans="1:23" ht="12.3" x14ac:dyDescent="0.4">
      <c r="A571" s="2" t="s">
        <v>369</v>
      </c>
      <c r="B571" s="2">
        <v>15</v>
      </c>
      <c r="C571" s="4" t="s">
        <v>33</v>
      </c>
      <c r="D571" s="4" t="s">
        <v>33</v>
      </c>
      <c r="E571" s="25"/>
      <c r="F571" s="25"/>
      <c r="G571" s="25"/>
      <c r="H571" s="25"/>
      <c r="I571" s="2">
        <v>69.197299999999998</v>
      </c>
      <c r="J571" s="2">
        <v>45</v>
      </c>
      <c r="K571" s="2">
        <v>68.687100000000001</v>
      </c>
      <c r="L571" s="2">
        <v>54</v>
      </c>
      <c r="M571" s="2">
        <v>103.5861</v>
      </c>
      <c r="N571" s="2">
        <v>110</v>
      </c>
      <c r="O571" s="2">
        <v>102.1036</v>
      </c>
      <c r="P571" s="2">
        <v>145</v>
      </c>
      <c r="Q571" s="2">
        <v>95.832499999999996</v>
      </c>
      <c r="R571" s="2">
        <v>69</v>
      </c>
      <c r="S571" s="2">
        <v>99.472300000000004</v>
      </c>
      <c r="T571" s="2">
        <v>137</v>
      </c>
      <c r="U571" s="2">
        <v>0.57450400000000001</v>
      </c>
      <c r="V571" s="2">
        <v>131</v>
      </c>
      <c r="W571" s="2">
        <v>2013</v>
      </c>
    </row>
    <row r="572" spans="1:23" ht="12.3" hidden="1" x14ac:dyDescent="0.4">
      <c r="A572" s="2" t="s">
        <v>193</v>
      </c>
      <c r="B572" s="2"/>
      <c r="C572" s="2"/>
      <c r="D572" s="2"/>
      <c r="E572" s="2"/>
      <c r="F572" s="2"/>
      <c r="G572" s="2"/>
      <c r="H572" s="2"/>
      <c r="I572" s="2">
        <v>73.931899999999999</v>
      </c>
      <c r="J572" s="2">
        <v>20</v>
      </c>
      <c r="K572" s="2">
        <v>74.132300000000001</v>
      </c>
      <c r="L572" s="2">
        <v>11</v>
      </c>
      <c r="M572" s="2">
        <v>95.003200000000007</v>
      </c>
      <c r="N572" s="2">
        <v>267</v>
      </c>
      <c r="O572" s="2">
        <v>94.699799999999996</v>
      </c>
      <c r="P572" s="2">
        <v>271</v>
      </c>
      <c r="Q572" s="2">
        <v>100.7555</v>
      </c>
      <c r="R572" s="2">
        <v>164</v>
      </c>
      <c r="S572" s="2">
        <v>102.23439999999999</v>
      </c>
      <c r="T572" s="2">
        <v>184</v>
      </c>
      <c r="U572" s="2">
        <v>0.29309600000000002</v>
      </c>
      <c r="V572" s="2">
        <v>244</v>
      </c>
      <c r="W572" s="2">
        <v>2003</v>
      </c>
    </row>
    <row r="573" spans="1:23" ht="12.3" hidden="1" x14ac:dyDescent="0.4">
      <c r="A573" s="2" t="s">
        <v>299</v>
      </c>
      <c r="B573" s="2"/>
      <c r="C573" s="2"/>
      <c r="D573" s="2"/>
      <c r="E573" s="2"/>
      <c r="F573" s="2"/>
      <c r="G573" s="2"/>
      <c r="H573" s="2"/>
      <c r="I573" s="2">
        <v>70.859099999999998</v>
      </c>
      <c r="J573" s="2">
        <v>79</v>
      </c>
      <c r="K573" s="2">
        <v>68.743300000000005</v>
      </c>
      <c r="L573" s="2">
        <v>151</v>
      </c>
      <c r="M573" s="2">
        <v>106.1131</v>
      </c>
      <c r="N573" s="2">
        <v>67</v>
      </c>
      <c r="O573" s="2">
        <v>104.1678</v>
      </c>
      <c r="P573" s="2">
        <v>105</v>
      </c>
      <c r="Q573" s="2">
        <v>104.3938</v>
      </c>
      <c r="R573" s="2">
        <v>240</v>
      </c>
      <c r="S573" s="2">
        <v>112.6113</v>
      </c>
      <c r="T573" s="2">
        <v>318</v>
      </c>
      <c r="U573" s="2">
        <v>0.28981200000000001</v>
      </c>
      <c r="V573" s="2">
        <v>245</v>
      </c>
      <c r="W573" s="2">
        <v>2003</v>
      </c>
    </row>
    <row r="574" spans="1:23" ht="12.3" hidden="1" x14ac:dyDescent="0.4">
      <c r="A574" s="2" t="s">
        <v>135</v>
      </c>
      <c r="B574" s="2"/>
      <c r="C574" s="2"/>
      <c r="D574" s="2"/>
      <c r="E574" s="2"/>
      <c r="F574" s="2"/>
      <c r="G574" s="2"/>
      <c r="H574" s="2"/>
      <c r="I574" s="2">
        <v>71.159700000000001</v>
      </c>
      <c r="J574" s="2">
        <v>70</v>
      </c>
      <c r="K574" s="2">
        <v>71.002099999999999</v>
      </c>
      <c r="L574" s="2">
        <v>66</v>
      </c>
      <c r="M574" s="2">
        <v>100.05410000000001</v>
      </c>
      <c r="N574" s="2">
        <v>189</v>
      </c>
      <c r="O574" s="2">
        <v>93.856399999999994</v>
      </c>
      <c r="P574" s="2">
        <v>279</v>
      </c>
      <c r="Q574" s="2">
        <v>95.775400000000005</v>
      </c>
      <c r="R574" s="2">
        <v>43</v>
      </c>
      <c r="S574" s="2">
        <v>101.474</v>
      </c>
      <c r="T574" s="2">
        <v>171</v>
      </c>
      <c r="U574" s="2">
        <v>0.28958200000000001</v>
      </c>
      <c r="V574" s="2">
        <v>246</v>
      </c>
      <c r="W574" s="2">
        <v>2003</v>
      </c>
    </row>
    <row r="575" spans="1:23" ht="12.3" hidden="1" x14ac:dyDescent="0.4">
      <c r="A575" s="2" t="s">
        <v>303</v>
      </c>
      <c r="B575" s="2"/>
      <c r="C575" s="2"/>
      <c r="D575" s="2"/>
      <c r="E575" s="2"/>
      <c r="F575" s="2"/>
      <c r="G575" s="2"/>
      <c r="H575" s="2"/>
      <c r="I575" s="2">
        <v>67.805300000000003</v>
      </c>
      <c r="J575" s="2">
        <v>199</v>
      </c>
      <c r="K575" s="2">
        <v>66.747900000000001</v>
      </c>
      <c r="L575" s="2">
        <v>249</v>
      </c>
      <c r="M575" s="2">
        <v>103.43470000000001</v>
      </c>
      <c r="N575" s="2">
        <v>109</v>
      </c>
      <c r="O575" s="2">
        <v>101.5087</v>
      </c>
      <c r="P575" s="2">
        <v>157</v>
      </c>
      <c r="Q575" s="2">
        <v>111.3741</v>
      </c>
      <c r="R575" s="2">
        <v>322</v>
      </c>
      <c r="S575" s="2">
        <v>109.99209999999999</v>
      </c>
      <c r="T575" s="2">
        <v>304</v>
      </c>
      <c r="U575" s="2">
        <v>0.28433900000000001</v>
      </c>
      <c r="V575" s="2">
        <v>247</v>
      </c>
      <c r="W575" s="2">
        <v>2003</v>
      </c>
    </row>
    <row r="576" spans="1:23" ht="12.3" hidden="1" x14ac:dyDescent="0.4">
      <c r="A576" s="2" t="s">
        <v>342</v>
      </c>
      <c r="B576" s="2"/>
      <c r="C576" s="2"/>
      <c r="D576" s="2"/>
      <c r="E576" s="2"/>
      <c r="F576" s="2"/>
      <c r="G576" s="2"/>
      <c r="H576" s="2"/>
      <c r="I576" s="2">
        <v>70.263800000000003</v>
      </c>
      <c r="J576" s="2">
        <v>102</v>
      </c>
      <c r="K576" s="2">
        <v>68.569599999999994</v>
      </c>
      <c r="L576" s="2">
        <v>158</v>
      </c>
      <c r="M576" s="2">
        <v>98.791600000000003</v>
      </c>
      <c r="N576" s="2">
        <v>215</v>
      </c>
      <c r="O576" s="2">
        <v>96.902699999999996</v>
      </c>
      <c r="P576" s="2">
        <v>242</v>
      </c>
      <c r="Q576" s="2">
        <v>100.4479</v>
      </c>
      <c r="R576" s="2">
        <v>154</v>
      </c>
      <c r="S576" s="2">
        <v>105.08459999999999</v>
      </c>
      <c r="T576" s="2">
        <v>240</v>
      </c>
      <c r="U576" s="2">
        <v>0.28248499999999999</v>
      </c>
      <c r="V576" s="2">
        <v>248</v>
      </c>
      <c r="W576" s="2">
        <v>2003</v>
      </c>
    </row>
    <row r="577" spans="1:23" ht="12.3" hidden="1" x14ac:dyDescent="0.4">
      <c r="A577" s="2" t="s">
        <v>273</v>
      </c>
      <c r="B577" s="2"/>
      <c r="C577" s="2"/>
      <c r="D577" s="2"/>
      <c r="E577" s="2"/>
      <c r="F577" s="2"/>
      <c r="G577" s="2"/>
      <c r="H577" s="2"/>
      <c r="I577" s="2">
        <v>65.738900000000001</v>
      </c>
      <c r="J577" s="2">
        <v>270</v>
      </c>
      <c r="K577" s="2">
        <v>67.919899999999998</v>
      </c>
      <c r="L577" s="2">
        <v>189</v>
      </c>
      <c r="M577" s="2">
        <v>100.5428</v>
      </c>
      <c r="N577" s="2">
        <v>182</v>
      </c>
      <c r="O577" s="2">
        <v>101.0903</v>
      </c>
      <c r="P577" s="2">
        <v>167</v>
      </c>
      <c r="Q577" s="2">
        <v>104.86</v>
      </c>
      <c r="R577" s="2">
        <v>251</v>
      </c>
      <c r="S577" s="2">
        <v>109.7683</v>
      </c>
      <c r="T577" s="2">
        <v>301</v>
      </c>
      <c r="U577" s="2">
        <v>0.27946599999999999</v>
      </c>
      <c r="V577" s="2">
        <v>249</v>
      </c>
      <c r="W577" s="2">
        <v>2003</v>
      </c>
    </row>
    <row r="578" spans="1:23" ht="12.3" hidden="1" x14ac:dyDescent="0.4">
      <c r="A578" s="2" t="s">
        <v>222</v>
      </c>
      <c r="B578" s="2"/>
      <c r="C578" s="2"/>
      <c r="D578" s="2"/>
      <c r="E578" s="2"/>
      <c r="F578" s="2"/>
      <c r="G578" s="2"/>
      <c r="H578" s="2"/>
      <c r="I578" s="2">
        <v>67.599199999999996</v>
      </c>
      <c r="J578" s="2">
        <v>211</v>
      </c>
      <c r="K578" s="2">
        <v>67.658000000000001</v>
      </c>
      <c r="L578" s="2">
        <v>201</v>
      </c>
      <c r="M578" s="2">
        <v>96.091700000000003</v>
      </c>
      <c r="N578" s="2">
        <v>257</v>
      </c>
      <c r="O578" s="2">
        <v>96.032700000000006</v>
      </c>
      <c r="P578" s="2">
        <v>258</v>
      </c>
      <c r="Q578" s="2">
        <v>107.2663</v>
      </c>
      <c r="R578" s="2">
        <v>283</v>
      </c>
      <c r="S578" s="2">
        <v>104.4157</v>
      </c>
      <c r="T578" s="2">
        <v>227</v>
      </c>
      <c r="U578" s="2">
        <v>0.27638800000000002</v>
      </c>
      <c r="V578" s="2">
        <v>250</v>
      </c>
      <c r="W578" s="2">
        <v>2003</v>
      </c>
    </row>
    <row r="579" spans="1:23" ht="12.3" hidden="1" x14ac:dyDescent="0.4">
      <c r="A579" s="2" t="s">
        <v>276</v>
      </c>
      <c r="B579" s="2"/>
      <c r="C579" s="2"/>
      <c r="D579" s="2"/>
      <c r="E579" s="2"/>
      <c r="F579" s="2"/>
      <c r="G579" s="2"/>
      <c r="H579" s="2"/>
      <c r="I579" s="2">
        <v>75.594700000000003</v>
      </c>
      <c r="J579" s="2">
        <v>8</v>
      </c>
      <c r="K579" s="2">
        <v>73.803399999999996</v>
      </c>
      <c r="L579" s="2">
        <v>15</v>
      </c>
      <c r="M579" s="2">
        <v>99.433199999999999</v>
      </c>
      <c r="N579" s="2">
        <v>204</v>
      </c>
      <c r="O579" s="2">
        <v>97.685199999999995</v>
      </c>
      <c r="P579" s="2">
        <v>230</v>
      </c>
      <c r="Q579" s="2">
        <v>105.1618</v>
      </c>
      <c r="R579" s="2">
        <v>256</v>
      </c>
      <c r="S579" s="2">
        <v>106.28530000000001</v>
      </c>
      <c r="T579" s="2">
        <v>264</v>
      </c>
      <c r="U579" s="2">
        <v>0.27481299999999997</v>
      </c>
      <c r="V579" s="2">
        <v>251</v>
      </c>
      <c r="W579" s="2">
        <v>2003</v>
      </c>
    </row>
    <row r="580" spans="1:23" ht="12.3" hidden="1" x14ac:dyDescent="0.4">
      <c r="A580" s="2" t="s">
        <v>243</v>
      </c>
      <c r="B580" s="2"/>
      <c r="C580" s="2"/>
      <c r="D580" s="2"/>
      <c r="E580" s="2"/>
      <c r="F580" s="2"/>
      <c r="G580" s="2"/>
      <c r="H580" s="2"/>
      <c r="I580" s="2">
        <v>69.613399999999999</v>
      </c>
      <c r="J580" s="2">
        <v>120</v>
      </c>
      <c r="K580" s="2">
        <v>69.869200000000006</v>
      </c>
      <c r="L580" s="2">
        <v>105</v>
      </c>
      <c r="M580" s="2">
        <v>92.428700000000006</v>
      </c>
      <c r="N580" s="2">
        <v>299</v>
      </c>
      <c r="O580" s="2">
        <v>95.809399999999997</v>
      </c>
      <c r="P580" s="2">
        <v>259</v>
      </c>
      <c r="Q580" s="2">
        <v>101.5222</v>
      </c>
      <c r="R580" s="2">
        <v>186</v>
      </c>
      <c r="S580" s="2">
        <v>104.355</v>
      </c>
      <c r="T580" s="2">
        <v>226</v>
      </c>
      <c r="U580" s="2">
        <v>0.27238899999999999</v>
      </c>
      <c r="V580" s="2">
        <v>252</v>
      </c>
      <c r="W580" s="2">
        <v>2003</v>
      </c>
    </row>
    <row r="581" spans="1:23" ht="12.3" hidden="1" x14ac:dyDescent="0.4">
      <c r="A581" s="2" t="s">
        <v>332</v>
      </c>
      <c r="B581" s="2"/>
      <c r="C581" s="2"/>
      <c r="D581" s="2"/>
      <c r="E581" s="2"/>
      <c r="F581" s="2"/>
      <c r="G581" s="2"/>
      <c r="H581" s="2"/>
      <c r="I581" s="2">
        <v>70.443200000000004</v>
      </c>
      <c r="J581" s="2">
        <v>95</v>
      </c>
      <c r="K581" s="2">
        <v>70.801699999999997</v>
      </c>
      <c r="L581" s="2">
        <v>73</v>
      </c>
      <c r="M581" s="2">
        <v>96.360299999999995</v>
      </c>
      <c r="N581" s="2">
        <v>251</v>
      </c>
      <c r="O581" s="2">
        <v>94.455600000000004</v>
      </c>
      <c r="P581" s="2">
        <v>276</v>
      </c>
      <c r="Q581" s="2">
        <v>98.586600000000004</v>
      </c>
      <c r="R581" s="2">
        <v>108</v>
      </c>
      <c r="S581" s="2">
        <v>103.0343</v>
      </c>
      <c r="T581" s="2">
        <v>200</v>
      </c>
      <c r="U581" s="2">
        <v>0.26899699999999999</v>
      </c>
      <c r="V581" s="2">
        <v>253</v>
      </c>
      <c r="W581" s="2">
        <v>2003</v>
      </c>
    </row>
    <row r="582" spans="1:23" ht="12.3" hidden="1" x14ac:dyDescent="0.4">
      <c r="A582" s="2" t="s">
        <v>305</v>
      </c>
      <c r="B582" s="2"/>
      <c r="C582" s="2"/>
      <c r="D582" s="2"/>
      <c r="E582" s="2"/>
      <c r="F582" s="2"/>
      <c r="G582" s="2"/>
      <c r="H582" s="2"/>
      <c r="I582" s="2">
        <v>66.734099999999998</v>
      </c>
      <c r="J582" s="2">
        <v>245</v>
      </c>
      <c r="K582" s="2">
        <v>66.797399999999996</v>
      </c>
      <c r="L582" s="2">
        <v>243</v>
      </c>
      <c r="M582" s="2">
        <v>96.670400000000001</v>
      </c>
      <c r="N582" s="2">
        <v>246</v>
      </c>
      <c r="O582" s="2">
        <v>93.061700000000002</v>
      </c>
      <c r="P582" s="2">
        <v>285</v>
      </c>
      <c r="Q582" s="2">
        <v>97.515199999999993</v>
      </c>
      <c r="R582" s="2">
        <v>78</v>
      </c>
      <c r="S582" s="2">
        <v>101.866</v>
      </c>
      <c r="T582" s="2">
        <v>179</v>
      </c>
      <c r="U582" s="2">
        <v>0.261237</v>
      </c>
      <c r="V582" s="2">
        <v>254</v>
      </c>
      <c r="W582" s="2">
        <v>2003</v>
      </c>
    </row>
    <row r="583" spans="1:23" ht="12.3" hidden="1" x14ac:dyDescent="0.4">
      <c r="A583" s="2" t="s">
        <v>127</v>
      </c>
      <c r="B583" s="2"/>
      <c r="C583" s="2"/>
      <c r="D583" s="2"/>
      <c r="E583" s="2"/>
      <c r="F583" s="2"/>
      <c r="G583" s="2"/>
      <c r="H583" s="2"/>
      <c r="I583" s="2">
        <v>70.717699999999994</v>
      </c>
      <c r="J583" s="2">
        <v>86</v>
      </c>
      <c r="K583" s="2">
        <v>68.926500000000004</v>
      </c>
      <c r="L583" s="2">
        <v>142</v>
      </c>
      <c r="M583" s="2">
        <v>97.796199999999999</v>
      </c>
      <c r="N583" s="2">
        <v>233</v>
      </c>
      <c r="O583" s="2">
        <v>96.744200000000006</v>
      </c>
      <c r="P583" s="2">
        <v>251</v>
      </c>
      <c r="Q583" s="2">
        <v>105.62260000000001</v>
      </c>
      <c r="R583" s="2">
        <v>258</v>
      </c>
      <c r="S583" s="2">
        <v>105.934</v>
      </c>
      <c r="T583" s="2">
        <v>257</v>
      </c>
      <c r="U583" s="2">
        <v>0.26046200000000003</v>
      </c>
      <c r="V583" s="2">
        <v>255</v>
      </c>
      <c r="W583" s="2">
        <v>2003</v>
      </c>
    </row>
    <row r="584" spans="1:23" ht="12.3" hidden="1" x14ac:dyDescent="0.4">
      <c r="A584" s="2" t="s">
        <v>214</v>
      </c>
      <c r="B584" s="2"/>
      <c r="C584" s="2"/>
      <c r="D584" s="2"/>
      <c r="E584" s="2"/>
      <c r="F584" s="2"/>
      <c r="G584" s="2"/>
      <c r="H584" s="2"/>
      <c r="I584" s="2">
        <v>69.467399999999998</v>
      </c>
      <c r="J584" s="2">
        <v>133</v>
      </c>
      <c r="K584" s="2">
        <v>67.940799999999996</v>
      </c>
      <c r="L584" s="2">
        <v>188</v>
      </c>
      <c r="M584" s="2">
        <v>94.196399999999997</v>
      </c>
      <c r="N584" s="2">
        <v>278</v>
      </c>
      <c r="O584" s="2">
        <v>92.944500000000005</v>
      </c>
      <c r="P584" s="2">
        <v>287</v>
      </c>
      <c r="Q584" s="2">
        <v>100.941</v>
      </c>
      <c r="R584" s="2">
        <v>168</v>
      </c>
      <c r="S584" s="2">
        <v>101.8222</v>
      </c>
      <c r="T584" s="2">
        <v>178</v>
      </c>
      <c r="U584" s="2">
        <v>0.25939800000000002</v>
      </c>
      <c r="V584" s="2">
        <v>256</v>
      </c>
      <c r="W584" s="2">
        <v>2003</v>
      </c>
    </row>
    <row r="585" spans="1:23" ht="12.3" hidden="1" x14ac:dyDescent="0.4">
      <c r="A585" s="2" t="s">
        <v>328</v>
      </c>
      <c r="B585" s="2"/>
      <c r="C585" s="2"/>
      <c r="D585" s="2"/>
      <c r="E585" s="2"/>
      <c r="F585" s="2"/>
      <c r="G585" s="2"/>
      <c r="H585" s="2"/>
      <c r="I585" s="2">
        <v>67.760999999999996</v>
      </c>
      <c r="J585" s="2">
        <v>200</v>
      </c>
      <c r="K585" s="2">
        <v>67.718699999999998</v>
      </c>
      <c r="L585" s="2">
        <v>197</v>
      </c>
      <c r="M585" s="2">
        <v>94.113100000000003</v>
      </c>
      <c r="N585" s="2">
        <v>279</v>
      </c>
      <c r="O585" s="2">
        <v>95.636700000000005</v>
      </c>
      <c r="P585" s="2">
        <v>261</v>
      </c>
      <c r="Q585" s="2">
        <v>101.55880000000001</v>
      </c>
      <c r="R585" s="2">
        <v>187</v>
      </c>
      <c r="S585" s="2">
        <v>104.8514</v>
      </c>
      <c r="T585" s="2">
        <v>234</v>
      </c>
      <c r="U585" s="2">
        <v>0.25771899999999998</v>
      </c>
      <c r="V585" s="2">
        <v>257</v>
      </c>
      <c r="W585" s="2">
        <v>2003</v>
      </c>
    </row>
    <row r="586" spans="1:23" ht="12.3" hidden="1" x14ac:dyDescent="0.4">
      <c r="A586" s="2" t="s">
        <v>297</v>
      </c>
      <c r="B586" s="2"/>
      <c r="C586" s="2"/>
      <c r="D586" s="2"/>
      <c r="E586" s="2"/>
      <c r="F586" s="2"/>
      <c r="G586" s="2"/>
      <c r="H586" s="2"/>
      <c r="I586" s="2">
        <v>67.336200000000005</v>
      </c>
      <c r="J586" s="2">
        <v>224</v>
      </c>
      <c r="K586" s="2">
        <v>65.7256</v>
      </c>
      <c r="L586" s="2">
        <v>275</v>
      </c>
      <c r="M586" s="2">
        <v>93.802400000000006</v>
      </c>
      <c r="N586" s="2">
        <v>286</v>
      </c>
      <c r="O586" s="2">
        <v>89.551299999999998</v>
      </c>
      <c r="P586" s="2">
        <v>310</v>
      </c>
      <c r="Q586" s="2">
        <v>94.318399999999997</v>
      </c>
      <c r="R586" s="2">
        <v>29</v>
      </c>
      <c r="S586" s="2">
        <v>98.218800000000002</v>
      </c>
      <c r="T586" s="2">
        <v>101</v>
      </c>
      <c r="U586" s="2">
        <v>0.25684299999999999</v>
      </c>
      <c r="V586" s="2">
        <v>258</v>
      </c>
      <c r="W586" s="2">
        <v>2003</v>
      </c>
    </row>
    <row r="587" spans="1:23" ht="12.3" hidden="1" x14ac:dyDescent="0.4">
      <c r="A587" s="2" t="s">
        <v>317</v>
      </c>
      <c r="B587" s="2"/>
      <c r="C587" s="2"/>
      <c r="D587" s="2"/>
      <c r="E587" s="2"/>
      <c r="F587" s="2"/>
      <c r="G587" s="2"/>
      <c r="H587" s="2"/>
      <c r="I587" s="2">
        <v>66.771299999999997</v>
      </c>
      <c r="J587" s="2">
        <v>243</v>
      </c>
      <c r="K587" s="2">
        <v>67.2363</v>
      </c>
      <c r="L587" s="2">
        <v>221</v>
      </c>
      <c r="M587" s="2">
        <v>92.444800000000001</v>
      </c>
      <c r="N587" s="2">
        <v>298</v>
      </c>
      <c r="O587" s="2">
        <v>92.839399999999998</v>
      </c>
      <c r="P587" s="2">
        <v>288</v>
      </c>
      <c r="Q587" s="2">
        <v>104.1555</v>
      </c>
      <c r="R587" s="2">
        <v>236</v>
      </c>
      <c r="S587" s="2">
        <v>101.92400000000001</v>
      </c>
      <c r="T587" s="2">
        <v>180</v>
      </c>
      <c r="U587" s="2">
        <v>0.25472</v>
      </c>
      <c r="V587" s="2">
        <v>259</v>
      </c>
      <c r="W587" s="2">
        <v>2003</v>
      </c>
    </row>
    <row r="588" spans="1:23" ht="12.3" hidden="1" x14ac:dyDescent="0.4">
      <c r="A588" s="2" t="s">
        <v>249</v>
      </c>
      <c r="B588" s="2"/>
      <c r="C588" s="2"/>
      <c r="D588" s="2"/>
      <c r="E588" s="2"/>
      <c r="F588" s="2"/>
      <c r="G588" s="2"/>
      <c r="H588" s="2"/>
      <c r="I588" s="2">
        <v>70.970500000000001</v>
      </c>
      <c r="J588" s="2">
        <v>76</v>
      </c>
      <c r="K588" s="2">
        <v>70.826400000000007</v>
      </c>
      <c r="L588" s="2">
        <v>70</v>
      </c>
      <c r="M588" s="2">
        <v>92.270600000000002</v>
      </c>
      <c r="N588" s="2">
        <v>301</v>
      </c>
      <c r="O588" s="2">
        <v>96.116200000000006</v>
      </c>
      <c r="P588" s="2">
        <v>256</v>
      </c>
      <c r="Q588" s="2">
        <v>109.27679999999999</v>
      </c>
      <c r="R588" s="2">
        <v>309</v>
      </c>
      <c r="S588" s="2">
        <v>105.6071</v>
      </c>
      <c r="T588" s="2">
        <v>249</v>
      </c>
      <c r="U588" s="2">
        <v>0.25295200000000001</v>
      </c>
      <c r="V588" s="2">
        <v>260</v>
      </c>
      <c r="W588" s="2">
        <v>2003</v>
      </c>
    </row>
    <row r="589" spans="1:23" ht="12.3" hidden="1" x14ac:dyDescent="0.4">
      <c r="A589" s="2" t="s">
        <v>237</v>
      </c>
      <c r="B589" s="2"/>
      <c r="C589" s="2"/>
      <c r="D589" s="2"/>
      <c r="E589" s="2"/>
      <c r="F589" s="2"/>
      <c r="G589" s="2"/>
      <c r="H589" s="2"/>
      <c r="I589" s="2">
        <v>66.197599999999994</v>
      </c>
      <c r="J589" s="2">
        <v>262</v>
      </c>
      <c r="K589" s="2">
        <v>65.775999999999996</v>
      </c>
      <c r="L589" s="2">
        <v>273</v>
      </c>
      <c r="M589" s="2">
        <v>101.40430000000001</v>
      </c>
      <c r="N589" s="2">
        <v>162</v>
      </c>
      <c r="O589" s="2">
        <v>100.03319999999999</v>
      </c>
      <c r="P589" s="2">
        <v>191</v>
      </c>
      <c r="Q589" s="2">
        <v>109.94710000000001</v>
      </c>
      <c r="R589" s="2">
        <v>314</v>
      </c>
      <c r="S589" s="2">
        <v>109.9735</v>
      </c>
      <c r="T589" s="2">
        <v>303</v>
      </c>
      <c r="U589" s="2">
        <v>0.251716</v>
      </c>
      <c r="V589" s="2">
        <v>261</v>
      </c>
      <c r="W589" s="2">
        <v>2003</v>
      </c>
    </row>
    <row r="590" spans="1:23" ht="12.3" x14ac:dyDescent="0.4">
      <c r="A590" s="2" t="s">
        <v>259</v>
      </c>
      <c r="B590" s="2">
        <v>14</v>
      </c>
      <c r="C590" s="25"/>
      <c r="D590" s="25"/>
      <c r="E590" s="25"/>
      <c r="F590" s="25"/>
      <c r="G590" s="25"/>
      <c r="H590" s="25"/>
      <c r="I590" s="2">
        <v>73.539400000000001</v>
      </c>
      <c r="J590" s="2">
        <v>1</v>
      </c>
      <c r="K590" s="2">
        <v>72.896699999999996</v>
      </c>
      <c r="L590" s="2">
        <v>1</v>
      </c>
      <c r="M590" s="2">
        <v>105.92319999999999</v>
      </c>
      <c r="N590" s="2">
        <v>74</v>
      </c>
      <c r="O590" s="2">
        <v>105.7153</v>
      </c>
      <c r="P590" s="2">
        <v>78</v>
      </c>
      <c r="Q590" s="2">
        <v>98.618499999999997</v>
      </c>
      <c r="R590" s="2">
        <v>133</v>
      </c>
      <c r="S590" s="2">
        <v>103.1156</v>
      </c>
      <c r="T590" s="2">
        <v>214</v>
      </c>
      <c r="U590" s="2">
        <v>0.57109799999999999</v>
      </c>
      <c r="V590" s="2">
        <v>134</v>
      </c>
      <c r="W590" s="2">
        <v>2013</v>
      </c>
    </row>
    <row r="591" spans="1:23" ht="12.3" hidden="1" x14ac:dyDescent="0.4">
      <c r="A591" s="2" t="s">
        <v>324</v>
      </c>
      <c r="B591" s="2"/>
      <c r="C591" s="2"/>
      <c r="D591" s="2"/>
      <c r="E591" s="2"/>
      <c r="F591" s="2"/>
      <c r="G591" s="2"/>
      <c r="H591" s="2"/>
      <c r="I591" s="2">
        <v>73.638000000000005</v>
      </c>
      <c r="J591" s="2">
        <v>23</v>
      </c>
      <c r="K591" s="2">
        <v>72.664199999999994</v>
      </c>
      <c r="L591" s="2">
        <v>30</v>
      </c>
      <c r="M591" s="2">
        <v>101.5056</v>
      </c>
      <c r="N591" s="2">
        <v>160</v>
      </c>
      <c r="O591" s="2">
        <v>99.330600000000004</v>
      </c>
      <c r="P591" s="2">
        <v>199</v>
      </c>
      <c r="Q591" s="2">
        <v>109.7111</v>
      </c>
      <c r="R591" s="2">
        <v>313</v>
      </c>
      <c r="S591" s="2">
        <v>109.6101</v>
      </c>
      <c r="T591" s="2">
        <v>299</v>
      </c>
      <c r="U591" s="2">
        <v>0.24370600000000001</v>
      </c>
      <c r="V591" s="2">
        <v>263</v>
      </c>
      <c r="W591" s="2">
        <v>2003</v>
      </c>
    </row>
    <row r="592" spans="1:23" ht="12.3" hidden="1" x14ac:dyDescent="0.4">
      <c r="A592" s="2" t="s">
        <v>336</v>
      </c>
      <c r="B592" s="2"/>
      <c r="C592" s="2"/>
      <c r="D592" s="2"/>
      <c r="E592" s="2"/>
      <c r="F592" s="2"/>
      <c r="G592" s="2"/>
      <c r="H592" s="2"/>
      <c r="I592" s="2">
        <v>66.358699999999999</v>
      </c>
      <c r="J592" s="2">
        <v>255</v>
      </c>
      <c r="K592" s="2">
        <v>66.762</v>
      </c>
      <c r="L592" s="2">
        <v>247</v>
      </c>
      <c r="M592" s="2">
        <v>95.865899999999996</v>
      </c>
      <c r="N592" s="2">
        <v>259</v>
      </c>
      <c r="O592" s="2">
        <v>95.629099999999994</v>
      </c>
      <c r="P592" s="2">
        <v>262</v>
      </c>
      <c r="Q592" s="2">
        <v>101.12009999999999</v>
      </c>
      <c r="R592" s="2">
        <v>172</v>
      </c>
      <c r="S592" s="2">
        <v>105.64100000000001</v>
      </c>
      <c r="T592" s="2">
        <v>250</v>
      </c>
      <c r="U592" s="2">
        <v>0.241395</v>
      </c>
      <c r="V592" s="2">
        <v>264</v>
      </c>
      <c r="W592" s="2">
        <v>2003</v>
      </c>
    </row>
    <row r="593" spans="1:23" ht="12.3" hidden="1" x14ac:dyDescent="0.4">
      <c r="A593" s="2" t="s">
        <v>265</v>
      </c>
      <c r="B593" s="2"/>
      <c r="C593" s="2"/>
      <c r="D593" s="2"/>
      <c r="E593" s="2"/>
      <c r="F593" s="2"/>
      <c r="G593" s="2"/>
      <c r="H593" s="2"/>
      <c r="I593" s="2">
        <v>60.4876</v>
      </c>
      <c r="J593" s="2">
        <v>322</v>
      </c>
      <c r="K593" s="2">
        <v>60.597900000000003</v>
      </c>
      <c r="L593" s="2">
        <v>322</v>
      </c>
      <c r="M593" s="2">
        <v>101.6446</v>
      </c>
      <c r="N593" s="2">
        <v>155</v>
      </c>
      <c r="O593" s="2">
        <v>97.539299999999997</v>
      </c>
      <c r="P593" s="2">
        <v>232</v>
      </c>
      <c r="Q593" s="2">
        <v>102.4669</v>
      </c>
      <c r="R593" s="2">
        <v>205</v>
      </c>
      <c r="S593" s="2">
        <v>107.7861</v>
      </c>
      <c r="T593" s="2">
        <v>282</v>
      </c>
      <c r="U593" s="2">
        <v>0.24071400000000001</v>
      </c>
      <c r="V593" s="2">
        <v>265</v>
      </c>
      <c r="W593" s="2">
        <v>2003</v>
      </c>
    </row>
    <row r="594" spans="1:23" ht="12.3" hidden="1" x14ac:dyDescent="0.4">
      <c r="A594" s="2" t="s">
        <v>312</v>
      </c>
      <c r="B594" s="2"/>
      <c r="C594" s="2"/>
      <c r="D594" s="2"/>
      <c r="E594" s="2"/>
      <c r="F594" s="2"/>
      <c r="G594" s="2"/>
      <c r="H594" s="2"/>
      <c r="I594" s="2">
        <v>74.870400000000004</v>
      </c>
      <c r="J594" s="2">
        <v>11</v>
      </c>
      <c r="K594" s="2">
        <v>73.722099999999998</v>
      </c>
      <c r="L594" s="2">
        <v>19</v>
      </c>
      <c r="M594" s="2">
        <v>93.939899999999994</v>
      </c>
      <c r="N594" s="2">
        <v>284</v>
      </c>
      <c r="O594" s="2">
        <v>93.259200000000007</v>
      </c>
      <c r="P594" s="2">
        <v>282</v>
      </c>
      <c r="Q594" s="2">
        <v>98.673500000000004</v>
      </c>
      <c r="R594" s="2">
        <v>112</v>
      </c>
      <c r="S594" s="2">
        <v>103.0976</v>
      </c>
      <c r="T594" s="2">
        <v>201</v>
      </c>
      <c r="U594" s="2">
        <v>0.239875</v>
      </c>
      <c r="V594" s="2">
        <v>266</v>
      </c>
      <c r="W594" s="2">
        <v>2003</v>
      </c>
    </row>
    <row r="595" spans="1:23" ht="12.3" hidden="1" x14ac:dyDescent="0.4">
      <c r="A595" s="2" t="s">
        <v>257</v>
      </c>
      <c r="B595" s="2"/>
      <c r="C595" s="2"/>
      <c r="D595" s="2"/>
      <c r="E595" s="2"/>
      <c r="F595" s="2"/>
      <c r="G595" s="2"/>
      <c r="H595" s="2"/>
      <c r="I595" s="2">
        <v>63.965400000000002</v>
      </c>
      <c r="J595" s="2">
        <v>303</v>
      </c>
      <c r="K595" s="2">
        <v>63.508099999999999</v>
      </c>
      <c r="L595" s="2">
        <v>308</v>
      </c>
      <c r="M595" s="2">
        <v>99.596900000000005</v>
      </c>
      <c r="N595" s="2">
        <v>200</v>
      </c>
      <c r="O595" s="2">
        <v>100.6991</v>
      </c>
      <c r="P595" s="2">
        <v>177</v>
      </c>
      <c r="Q595" s="2">
        <v>106.1694</v>
      </c>
      <c r="R595" s="2">
        <v>266</v>
      </c>
      <c r="S595" s="2">
        <v>111.40519999999999</v>
      </c>
      <c r="T595" s="2">
        <v>311</v>
      </c>
      <c r="U595" s="2">
        <v>0.238318</v>
      </c>
      <c r="V595" s="2">
        <v>267</v>
      </c>
      <c r="W595" s="2">
        <v>2003</v>
      </c>
    </row>
    <row r="596" spans="1:23" ht="12.3" hidden="1" x14ac:dyDescent="0.4">
      <c r="A596" s="2" t="s">
        <v>191</v>
      </c>
      <c r="B596" s="2"/>
      <c r="C596" s="2"/>
      <c r="D596" s="2"/>
      <c r="E596" s="2"/>
      <c r="F596" s="2"/>
      <c r="G596" s="2"/>
      <c r="H596" s="2"/>
      <c r="I596" s="2">
        <v>66.375600000000006</v>
      </c>
      <c r="J596" s="2">
        <v>253</v>
      </c>
      <c r="K596" s="2">
        <v>66.497900000000001</v>
      </c>
      <c r="L596" s="2">
        <v>257</v>
      </c>
      <c r="M596" s="2">
        <v>101.1661</v>
      </c>
      <c r="N596" s="2">
        <v>166</v>
      </c>
      <c r="O596" s="2">
        <v>100.8976</v>
      </c>
      <c r="P596" s="2">
        <v>175</v>
      </c>
      <c r="Q596" s="2">
        <v>111.9704</v>
      </c>
      <c r="R596" s="2">
        <v>323</v>
      </c>
      <c r="S596" s="2">
        <v>111.6365</v>
      </c>
      <c r="T596" s="2">
        <v>314</v>
      </c>
      <c r="U596" s="2">
        <v>0.238098</v>
      </c>
      <c r="V596" s="2">
        <v>268</v>
      </c>
      <c r="W596" s="2">
        <v>2003</v>
      </c>
    </row>
    <row r="597" spans="1:23" ht="12.3" hidden="1" x14ac:dyDescent="0.4">
      <c r="A597" s="2" t="s">
        <v>344</v>
      </c>
      <c r="B597" s="2"/>
      <c r="C597" s="2"/>
      <c r="D597" s="2"/>
      <c r="E597" s="2"/>
      <c r="F597" s="2"/>
      <c r="G597" s="2"/>
      <c r="H597" s="2"/>
      <c r="I597" s="2">
        <v>69.890199999999993</v>
      </c>
      <c r="J597" s="2">
        <v>116</v>
      </c>
      <c r="K597" s="2">
        <v>69.428100000000001</v>
      </c>
      <c r="L597" s="2">
        <v>120</v>
      </c>
      <c r="M597" s="2">
        <v>101.857</v>
      </c>
      <c r="N597" s="2">
        <v>151</v>
      </c>
      <c r="O597" s="2">
        <v>96.751900000000006</v>
      </c>
      <c r="P597" s="2">
        <v>249</v>
      </c>
      <c r="Q597" s="2">
        <v>104.194</v>
      </c>
      <c r="R597" s="2">
        <v>237</v>
      </c>
      <c r="S597" s="2">
        <v>107.10429999999999</v>
      </c>
      <c r="T597" s="2">
        <v>274</v>
      </c>
      <c r="U597" s="2">
        <v>0.23703399999999999</v>
      </c>
      <c r="V597" s="2">
        <v>269</v>
      </c>
      <c r="W597" s="2">
        <v>2003</v>
      </c>
    </row>
    <row r="598" spans="1:23" ht="12.3" hidden="1" x14ac:dyDescent="0.4">
      <c r="A598" s="2" t="s">
        <v>213</v>
      </c>
      <c r="B598" s="2"/>
      <c r="C598" s="2"/>
      <c r="D598" s="2"/>
      <c r="E598" s="2"/>
      <c r="F598" s="2"/>
      <c r="G598" s="2"/>
      <c r="H598" s="2"/>
      <c r="I598" s="2">
        <v>67.476799999999997</v>
      </c>
      <c r="J598" s="2">
        <v>219</v>
      </c>
      <c r="K598" s="2">
        <v>68.492099999999994</v>
      </c>
      <c r="L598" s="2">
        <v>163</v>
      </c>
      <c r="M598" s="2">
        <v>95.982399999999998</v>
      </c>
      <c r="N598" s="2">
        <v>258</v>
      </c>
      <c r="O598" s="2">
        <v>94.19</v>
      </c>
      <c r="P598" s="2">
        <v>277</v>
      </c>
      <c r="Q598" s="2">
        <v>107.14409999999999</v>
      </c>
      <c r="R598" s="2">
        <v>280</v>
      </c>
      <c r="S598" s="2">
        <v>104.28700000000001</v>
      </c>
      <c r="T598" s="2">
        <v>225</v>
      </c>
      <c r="U598" s="2">
        <v>0.23666000000000001</v>
      </c>
      <c r="V598" s="2">
        <v>270</v>
      </c>
      <c r="W598" s="2">
        <v>2003</v>
      </c>
    </row>
    <row r="599" spans="1:23" ht="12.3" hidden="1" x14ac:dyDescent="0.4">
      <c r="A599" s="2" t="s">
        <v>301</v>
      </c>
      <c r="B599" s="2"/>
      <c r="C599" s="2"/>
      <c r="D599" s="2"/>
      <c r="E599" s="2"/>
      <c r="F599" s="2"/>
      <c r="G599" s="2"/>
      <c r="H599" s="2"/>
      <c r="I599" s="2">
        <v>68.887100000000004</v>
      </c>
      <c r="J599" s="2">
        <v>148</v>
      </c>
      <c r="K599" s="2">
        <v>69.247799999999998</v>
      </c>
      <c r="L599" s="2">
        <v>129</v>
      </c>
      <c r="M599" s="2">
        <v>101.5414</v>
      </c>
      <c r="N599" s="2">
        <v>159</v>
      </c>
      <c r="O599" s="2">
        <v>97.147499999999994</v>
      </c>
      <c r="P599" s="2">
        <v>237</v>
      </c>
      <c r="Q599" s="2">
        <v>101.2799</v>
      </c>
      <c r="R599" s="2">
        <v>178</v>
      </c>
      <c r="S599" s="2">
        <v>107.6994</v>
      </c>
      <c r="T599" s="2">
        <v>281</v>
      </c>
      <c r="U599" s="2">
        <v>0.23401</v>
      </c>
      <c r="V599" s="2">
        <v>271</v>
      </c>
      <c r="W599" s="2">
        <v>2003</v>
      </c>
    </row>
    <row r="600" spans="1:23" ht="12.3" hidden="1" x14ac:dyDescent="0.4">
      <c r="A600" s="2" t="s">
        <v>334</v>
      </c>
      <c r="B600" s="2"/>
      <c r="C600" s="2"/>
      <c r="D600" s="2"/>
      <c r="E600" s="2"/>
      <c r="F600" s="2"/>
      <c r="G600" s="2"/>
      <c r="H600" s="2"/>
      <c r="I600" s="2">
        <v>67.494299999999996</v>
      </c>
      <c r="J600" s="2">
        <v>218</v>
      </c>
      <c r="K600" s="2">
        <v>67.2376</v>
      </c>
      <c r="L600" s="2">
        <v>220</v>
      </c>
      <c r="M600" s="2">
        <v>99.559700000000007</v>
      </c>
      <c r="N600" s="2">
        <v>202</v>
      </c>
      <c r="O600" s="2">
        <v>97.173900000000003</v>
      </c>
      <c r="P600" s="2">
        <v>236</v>
      </c>
      <c r="Q600" s="2">
        <v>102.8116</v>
      </c>
      <c r="R600" s="2">
        <v>215</v>
      </c>
      <c r="S600" s="2">
        <v>107.919</v>
      </c>
      <c r="T600" s="2">
        <v>285</v>
      </c>
      <c r="U600" s="2">
        <v>0.23039000000000001</v>
      </c>
      <c r="V600" s="2">
        <v>272</v>
      </c>
      <c r="W600" s="2">
        <v>2003</v>
      </c>
    </row>
    <row r="601" spans="1:23" ht="12.3" hidden="1" x14ac:dyDescent="0.4">
      <c r="A601" s="2" t="s">
        <v>322</v>
      </c>
      <c r="B601" s="2"/>
      <c r="C601" s="2"/>
      <c r="D601" s="2"/>
      <c r="E601" s="2"/>
      <c r="F601" s="2"/>
      <c r="G601" s="2"/>
      <c r="H601" s="2"/>
      <c r="I601" s="2">
        <v>70.976200000000006</v>
      </c>
      <c r="J601" s="2">
        <v>74</v>
      </c>
      <c r="K601" s="2">
        <v>70.509500000000003</v>
      </c>
      <c r="L601" s="2">
        <v>83</v>
      </c>
      <c r="M601" s="2">
        <v>94.954099999999997</v>
      </c>
      <c r="N601" s="2">
        <v>268</v>
      </c>
      <c r="O601" s="2">
        <v>94.807599999999994</v>
      </c>
      <c r="P601" s="2">
        <v>268</v>
      </c>
      <c r="Q601" s="2">
        <v>106.3008</v>
      </c>
      <c r="R601" s="2">
        <v>271</v>
      </c>
      <c r="S601" s="2">
        <v>105.4376</v>
      </c>
      <c r="T601" s="2">
        <v>245</v>
      </c>
      <c r="U601" s="2">
        <v>0.22756599999999999</v>
      </c>
      <c r="V601" s="2">
        <v>273</v>
      </c>
      <c r="W601" s="2">
        <v>2003</v>
      </c>
    </row>
    <row r="602" spans="1:23" ht="12.3" hidden="1" x14ac:dyDescent="0.4">
      <c r="A602" s="2" t="s">
        <v>261</v>
      </c>
      <c r="B602" s="2"/>
      <c r="C602" s="2"/>
      <c r="D602" s="2"/>
      <c r="E602" s="2"/>
      <c r="F602" s="2"/>
      <c r="G602" s="2"/>
      <c r="H602" s="2"/>
      <c r="I602" s="2">
        <v>73.635099999999994</v>
      </c>
      <c r="J602" s="2">
        <v>24</v>
      </c>
      <c r="K602" s="2">
        <v>71.900499999999994</v>
      </c>
      <c r="L602" s="2">
        <v>45</v>
      </c>
      <c r="M602" s="2">
        <v>93.206599999999995</v>
      </c>
      <c r="N602" s="2">
        <v>289</v>
      </c>
      <c r="O602" s="2">
        <v>92.511499999999998</v>
      </c>
      <c r="P602" s="2">
        <v>291</v>
      </c>
      <c r="Q602" s="2">
        <v>98.274600000000007</v>
      </c>
      <c r="R602" s="2">
        <v>99</v>
      </c>
      <c r="S602" s="2">
        <v>103.1891</v>
      </c>
      <c r="T602" s="2">
        <v>202</v>
      </c>
      <c r="U602" s="2">
        <v>0.221637</v>
      </c>
      <c r="V602" s="2">
        <v>274</v>
      </c>
      <c r="W602" s="2">
        <v>2003</v>
      </c>
    </row>
    <row r="603" spans="1:23" ht="12.3" hidden="1" x14ac:dyDescent="0.4">
      <c r="A603" s="2" t="s">
        <v>343</v>
      </c>
      <c r="B603" s="2"/>
      <c r="C603" s="2"/>
      <c r="D603" s="2"/>
      <c r="E603" s="2"/>
      <c r="F603" s="2"/>
      <c r="G603" s="2"/>
      <c r="H603" s="2"/>
      <c r="I603" s="2">
        <v>74.322800000000001</v>
      </c>
      <c r="J603" s="2">
        <v>14</v>
      </c>
      <c r="K603" s="2">
        <v>74.983099999999993</v>
      </c>
      <c r="L603" s="2">
        <v>6</v>
      </c>
      <c r="M603" s="2">
        <v>98.899699999999996</v>
      </c>
      <c r="N603" s="2">
        <v>212</v>
      </c>
      <c r="O603" s="2">
        <v>97.892300000000006</v>
      </c>
      <c r="P603" s="2">
        <v>227</v>
      </c>
      <c r="Q603" s="2">
        <v>106.6443</v>
      </c>
      <c r="R603" s="2">
        <v>276</v>
      </c>
      <c r="S603" s="2">
        <v>109.208</v>
      </c>
      <c r="T603" s="2">
        <v>295</v>
      </c>
      <c r="U603" s="2">
        <v>0.221328</v>
      </c>
      <c r="V603" s="2">
        <v>275</v>
      </c>
      <c r="W603" s="2">
        <v>2003</v>
      </c>
    </row>
    <row r="604" spans="1:23" ht="12.3" hidden="1" x14ac:dyDescent="0.4">
      <c r="A604" s="2" t="s">
        <v>307</v>
      </c>
      <c r="B604" s="2"/>
      <c r="C604" s="2"/>
      <c r="D604" s="2"/>
      <c r="E604" s="2"/>
      <c r="F604" s="2"/>
      <c r="G604" s="2"/>
      <c r="H604" s="2"/>
      <c r="I604" s="2">
        <v>66.667000000000002</v>
      </c>
      <c r="J604" s="2">
        <v>247</v>
      </c>
      <c r="K604" s="2">
        <v>66.271600000000007</v>
      </c>
      <c r="L604" s="2">
        <v>264</v>
      </c>
      <c r="M604" s="2">
        <v>106.32299999999999</v>
      </c>
      <c r="N604" s="2">
        <v>61</v>
      </c>
      <c r="O604" s="2">
        <v>103.2949</v>
      </c>
      <c r="P604" s="2">
        <v>124</v>
      </c>
      <c r="Q604" s="2">
        <v>111.31319999999999</v>
      </c>
      <c r="R604" s="2">
        <v>321</v>
      </c>
      <c r="S604" s="2">
        <v>115.5177</v>
      </c>
      <c r="T604" s="2">
        <v>323</v>
      </c>
      <c r="U604" s="2">
        <v>0.21651100000000001</v>
      </c>
      <c r="V604" s="2">
        <v>276</v>
      </c>
      <c r="W604" s="2">
        <v>2003</v>
      </c>
    </row>
    <row r="605" spans="1:23" ht="12.3" hidden="1" x14ac:dyDescent="0.4">
      <c r="A605" s="2" t="s">
        <v>327</v>
      </c>
      <c r="B605" s="2"/>
      <c r="C605" s="2"/>
      <c r="D605" s="2"/>
      <c r="E605" s="2"/>
      <c r="F605" s="2"/>
      <c r="G605" s="2"/>
      <c r="H605" s="2"/>
      <c r="I605" s="2">
        <v>61.011400000000002</v>
      </c>
      <c r="J605" s="2">
        <v>316</v>
      </c>
      <c r="K605" s="2">
        <v>62.0914</v>
      </c>
      <c r="L605" s="2">
        <v>316</v>
      </c>
      <c r="M605" s="2">
        <v>95.831800000000001</v>
      </c>
      <c r="N605" s="2">
        <v>261</v>
      </c>
      <c r="O605" s="2">
        <v>94.783000000000001</v>
      </c>
      <c r="P605" s="2">
        <v>269</v>
      </c>
      <c r="Q605" s="2">
        <v>104.39700000000001</v>
      </c>
      <c r="R605" s="2">
        <v>241</v>
      </c>
      <c r="S605" s="2">
        <v>106.0209</v>
      </c>
      <c r="T605" s="2">
        <v>260</v>
      </c>
      <c r="U605" s="2">
        <v>0.21610199999999999</v>
      </c>
      <c r="V605" s="2">
        <v>277</v>
      </c>
      <c r="W605" s="2">
        <v>2003</v>
      </c>
    </row>
    <row r="606" spans="1:23" ht="12.3" hidden="1" x14ac:dyDescent="0.4">
      <c r="A606" s="2" t="s">
        <v>185</v>
      </c>
      <c r="B606" s="2"/>
      <c r="C606" s="2"/>
      <c r="D606" s="2"/>
      <c r="E606" s="2"/>
      <c r="F606" s="2"/>
      <c r="G606" s="2"/>
      <c r="H606" s="2"/>
      <c r="I606" s="2">
        <v>70.748699999999999</v>
      </c>
      <c r="J606" s="2">
        <v>83</v>
      </c>
      <c r="K606" s="2">
        <v>71.196399999999997</v>
      </c>
      <c r="L606" s="2">
        <v>62</v>
      </c>
      <c r="M606" s="2">
        <v>92.559299999999993</v>
      </c>
      <c r="N606" s="2">
        <v>295</v>
      </c>
      <c r="O606" s="2">
        <v>93.700500000000005</v>
      </c>
      <c r="P606" s="2">
        <v>280</v>
      </c>
      <c r="Q606" s="2">
        <v>101.20010000000001</v>
      </c>
      <c r="R606" s="2">
        <v>175</v>
      </c>
      <c r="S606" s="2">
        <v>104.81480000000001</v>
      </c>
      <c r="T606" s="2">
        <v>233</v>
      </c>
      <c r="U606" s="2">
        <v>0.21601300000000001</v>
      </c>
      <c r="V606" s="2">
        <v>278</v>
      </c>
      <c r="W606" s="2">
        <v>2003</v>
      </c>
    </row>
    <row r="607" spans="1:23" ht="12.3" hidden="1" x14ac:dyDescent="0.4">
      <c r="A607" s="2" t="s">
        <v>267</v>
      </c>
      <c r="B607" s="2"/>
      <c r="C607" s="2"/>
      <c r="D607" s="2"/>
      <c r="E607" s="2"/>
      <c r="F607" s="2"/>
      <c r="G607" s="2"/>
      <c r="H607" s="2"/>
      <c r="I607" s="2">
        <v>63.256900000000002</v>
      </c>
      <c r="J607" s="2">
        <v>310</v>
      </c>
      <c r="K607" s="2">
        <v>63.713900000000002</v>
      </c>
      <c r="L607" s="2">
        <v>305</v>
      </c>
      <c r="M607" s="2">
        <v>89.240200000000002</v>
      </c>
      <c r="N607" s="2">
        <v>315</v>
      </c>
      <c r="O607" s="2">
        <v>89.965100000000007</v>
      </c>
      <c r="P607" s="2">
        <v>307</v>
      </c>
      <c r="Q607" s="2">
        <v>103.9832</v>
      </c>
      <c r="R607" s="2">
        <v>231</v>
      </c>
      <c r="S607" s="2">
        <v>100.6435</v>
      </c>
      <c r="T607" s="2">
        <v>154</v>
      </c>
      <c r="U607" s="2">
        <v>0.21587600000000001</v>
      </c>
      <c r="V607" s="2">
        <v>279</v>
      </c>
      <c r="W607" s="2">
        <v>2003</v>
      </c>
    </row>
    <row r="608" spans="1:23" ht="12.3" hidden="1" x14ac:dyDescent="0.4">
      <c r="A608" s="2" t="s">
        <v>246</v>
      </c>
      <c r="B608" s="2"/>
      <c r="C608" s="2"/>
      <c r="D608" s="2"/>
      <c r="E608" s="2"/>
      <c r="F608" s="2"/>
      <c r="G608" s="2"/>
      <c r="H608" s="2"/>
      <c r="I608" s="2">
        <v>70.760900000000007</v>
      </c>
      <c r="J608" s="2">
        <v>82</v>
      </c>
      <c r="K608" s="2">
        <v>68.999300000000005</v>
      </c>
      <c r="L608" s="2">
        <v>139</v>
      </c>
      <c r="M608" s="2">
        <v>98.655299999999997</v>
      </c>
      <c r="N608" s="2">
        <v>217</v>
      </c>
      <c r="O608" s="2">
        <v>98.024199999999993</v>
      </c>
      <c r="P608" s="2">
        <v>225</v>
      </c>
      <c r="Q608" s="2">
        <v>108.85509999999999</v>
      </c>
      <c r="R608" s="2">
        <v>302</v>
      </c>
      <c r="S608" s="2">
        <v>109.66970000000001</v>
      </c>
      <c r="T608" s="2">
        <v>300</v>
      </c>
      <c r="U608" s="2">
        <v>0.21568799999999999</v>
      </c>
      <c r="V608" s="2">
        <v>280</v>
      </c>
      <c r="W608" s="2">
        <v>2003</v>
      </c>
    </row>
    <row r="609" spans="1:23" ht="12.3" hidden="1" x14ac:dyDescent="0.4">
      <c r="A609" s="2" t="s">
        <v>284</v>
      </c>
      <c r="B609" s="2"/>
      <c r="C609" s="2"/>
      <c r="D609" s="2"/>
      <c r="E609" s="2"/>
      <c r="F609" s="2"/>
      <c r="G609" s="2"/>
      <c r="H609" s="2"/>
      <c r="I609" s="2">
        <v>68.018199999999993</v>
      </c>
      <c r="J609" s="2">
        <v>192</v>
      </c>
      <c r="K609" s="2">
        <v>69.335099999999997</v>
      </c>
      <c r="L609" s="2">
        <v>126</v>
      </c>
      <c r="M609" s="2">
        <v>96.204700000000003</v>
      </c>
      <c r="N609" s="2">
        <v>254</v>
      </c>
      <c r="O609" s="2">
        <v>97.825999999999993</v>
      </c>
      <c r="P609" s="2">
        <v>229</v>
      </c>
      <c r="Q609" s="2">
        <v>108.6498</v>
      </c>
      <c r="R609" s="2">
        <v>300</v>
      </c>
      <c r="S609" s="2">
        <v>109.5399</v>
      </c>
      <c r="T609" s="2">
        <v>297</v>
      </c>
      <c r="U609" s="2">
        <v>0.214058</v>
      </c>
      <c r="V609" s="2">
        <v>281</v>
      </c>
      <c r="W609" s="2">
        <v>2003</v>
      </c>
    </row>
    <row r="610" spans="1:23" ht="12.3" hidden="1" x14ac:dyDescent="0.4">
      <c r="A610" s="2" t="s">
        <v>242</v>
      </c>
      <c r="B610" s="2"/>
      <c r="C610" s="2"/>
      <c r="D610" s="2"/>
      <c r="E610" s="2"/>
      <c r="F610" s="2"/>
      <c r="G610" s="2"/>
      <c r="H610" s="2"/>
      <c r="I610" s="2">
        <v>70.847700000000003</v>
      </c>
      <c r="J610" s="2">
        <v>80</v>
      </c>
      <c r="K610" s="2">
        <v>71.110799999999998</v>
      </c>
      <c r="L610" s="2">
        <v>64</v>
      </c>
      <c r="M610" s="2">
        <v>102.6835</v>
      </c>
      <c r="N610" s="2">
        <v>132</v>
      </c>
      <c r="O610" s="2">
        <v>96.870199999999997</v>
      </c>
      <c r="P610" s="2">
        <v>243</v>
      </c>
      <c r="Q610" s="2">
        <v>102.0278</v>
      </c>
      <c r="R610" s="2">
        <v>197</v>
      </c>
      <c r="S610" s="2">
        <v>108.6427</v>
      </c>
      <c r="T610" s="2">
        <v>292</v>
      </c>
      <c r="U610" s="2">
        <v>0.21099100000000001</v>
      </c>
      <c r="V610" s="2">
        <v>282</v>
      </c>
      <c r="W610" s="2">
        <v>2003</v>
      </c>
    </row>
    <row r="611" spans="1:23" ht="12.3" x14ac:dyDescent="0.4">
      <c r="A611" s="2" t="s">
        <v>339</v>
      </c>
      <c r="B611" s="2">
        <v>15</v>
      </c>
      <c r="C611" s="25"/>
      <c r="D611" s="25"/>
      <c r="E611" s="25"/>
      <c r="F611" s="25"/>
      <c r="G611" s="25"/>
      <c r="H611" s="25"/>
      <c r="I611" s="2">
        <v>62.784399999999998</v>
      </c>
      <c r="J611" s="2">
        <v>299</v>
      </c>
      <c r="K611" s="2">
        <v>63.126199999999997</v>
      </c>
      <c r="L611" s="2">
        <v>287</v>
      </c>
      <c r="M611" s="2">
        <v>102.0149</v>
      </c>
      <c r="N611" s="2">
        <v>147</v>
      </c>
      <c r="O611" s="2">
        <v>100.0872</v>
      </c>
      <c r="P611" s="2">
        <v>185</v>
      </c>
      <c r="Q611" s="2">
        <v>95.779399999999995</v>
      </c>
      <c r="R611" s="2">
        <v>66</v>
      </c>
      <c r="S611" s="2">
        <v>98.314300000000003</v>
      </c>
      <c r="T611" s="2">
        <v>115</v>
      </c>
      <c r="U611" s="2">
        <v>0.551203</v>
      </c>
      <c r="V611" s="2">
        <v>142</v>
      </c>
      <c r="W611" s="2">
        <v>2013</v>
      </c>
    </row>
    <row r="612" spans="1:23" ht="12.3" hidden="1" x14ac:dyDescent="0.4">
      <c r="A612" s="2" t="s">
        <v>306</v>
      </c>
      <c r="B612" s="2"/>
      <c r="C612" s="2"/>
      <c r="D612" s="2"/>
      <c r="E612" s="2"/>
      <c r="F612" s="2"/>
      <c r="G612" s="2"/>
      <c r="H612" s="2"/>
      <c r="I612" s="2">
        <v>64.64</v>
      </c>
      <c r="J612" s="2">
        <v>294</v>
      </c>
      <c r="K612" s="2">
        <v>64.794200000000004</v>
      </c>
      <c r="L612" s="2">
        <v>289</v>
      </c>
      <c r="M612" s="2">
        <v>95.132099999999994</v>
      </c>
      <c r="N612" s="2">
        <v>266</v>
      </c>
      <c r="O612" s="2">
        <v>92.965299999999999</v>
      </c>
      <c r="P612" s="2">
        <v>286</v>
      </c>
      <c r="Q612" s="2">
        <v>104.74379999999999</v>
      </c>
      <c r="R612" s="2">
        <v>249</v>
      </c>
      <c r="S612" s="2">
        <v>104.75790000000001</v>
      </c>
      <c r="T612" s="2">
        <v>232</v>
      </c>
      <c r="U612" s="2">
        <v>0.202072</v>
      </c>
      <c r="V612" s="2">
        <v>284</v>
      </c>
      <c r="W612" s="2">
        <v>2003</v>
      </c>
    </row>
    <row r="613" spans="1:23" ht="12.3" hidden="1" x14ac:dyDescent="0.4">
      <c r="A613" s="2" t="s">
        <v>211</v>
      </c>
      <c r="B613" s="2"/>
      <c r="C613" s="2"/>
      <c r="D613" s="2"/>
      <c r="E613" s="2"/>
      <c r="F613" s="2"/>
      <c r="G613" s="2"/>
      <c r="H613" s="2"/>
      <c r="I613" s="2">
        <v>73.268299999999996</v>
      </c>
      <c r="J613" s="2">
        <v>27</v>
      </c>
      <c r="K613" s="2">
        <v>72.203500000000005</v>
      </c>
      <c r="L613" s="2">
        <v>40</v>
      </c>
      <c r="M613" s="2">
        <v>91.369799999999998</v>
      </c>
      <c r="N613" s="2">
        <v>308</v>
      </c>
      <c r="O613" s="2">
        <v>90.640600000000006</v>
      </c>
      <c r="P613" s="2">
        <v>303</v>
      </c>
      <c r="Q613" s="2">
        <v>101.5127</v>
      </c>
      <c r="R613" s="2">
        <v>185</v>
      </c>
      <c r="S613" s="2">
        <v>102.1935</v>
      </c>
      <c r="T613" s="2">
        <v>183</v>
      </c>
      <c r="U613" s="2">
        <v>0.201072</v>
      </c>
      <c r="V613" s="2">
        <v>285</v>
      </c>
      <c r="W613" s="2">
        <v>2003</v>
      </c>
    </row>
    <row r="614" spans="1:23" ht="12.3" hidden="1" x14ac:dyDescent="0.4">
      <c r="A614" s="2" t="s">
        <v>269</v>
      </c>
      <c r="B614" s="2"/>
      <c r="C614" s="2"/>
      <c r="D614" s="2"/>
      <c r="E614" s="2"/>
      <c r="F614" s="2"/>
      <c r="G614" s="2"/>
      <c r="H614" s="2"/>
      <c r="I614" s="2">
        <v>67.872</v>
      </c>
      <c r="J614" s="2">
        <v>197</v>
      </c>
      <c r="K614" s="2">
        <v>67.232500000000002</v>
      </c>
      <c r="L614" s="2">
        <v>223</v>
      </c>
      <c r="M614" s="2">
        <v>84.602199999999996</v>
      </c>
      <c r="N614" s="2">
        <v>322</v>
      </c>
      <c r="O614" s="2">
        <v>86.966999999999999</v>
      </c>
      <c r="P614" s="2">
        <v>320</v>
      </c>
      <c r="Q614" s="2">
        <v>97.832899999999995</v>
      </c>
      <c r="R614" s="2">
        <v>85</v>
      </c>
      <c r="S614" s="2">
        <v>98.258300000000006</v>
      </c>
      <c r="T614" s="2">
        <v>103</v>
      </c>
      <c r="U614" s="2">
        <v>0.197211</v>
      </c>
      <c r="V614" s="2">
        <v>286</v>
      </c>
      <c r="W614" s="2">
        <v>2003</v>
      </c>
    </row>
    <row r="615" spans="1:23" ht="12.3" hidden="1" x14ac:dyDescent="0.4">
      <c r="A615" s="2" t="s">
        <v>278</v>
      </c>
      <c r="B615" s="2"/>
      <c r="C615" s="2"/>
      <c r="D615" s="2"/>
      <c r="E615" s="2"/>
      <c r="F615" s="2"/>
      <c r="G615" s="2"/>
      <c r="H615" s="2"/>
      <c r="I615" s="2">
        <v>67.250200000000007</v>
      </c>
      <c r="J615" s="2">
        <v>231</v>
      </c>
      <c r="K615" s="2">
        <v>66.398799999999994</v>
      </c>
      <c r="L615" s="2">
        <v>259</v>
      </c>
      <c r="M615" s="2">
        <v>93.976699999999994</v>
      </c>
      <c r="N615" s="2">
        <v>282</v>
      </c>
      <c r="O615" s="2">
        <v>94.600899999999996</v>
      </c>
      <c r="P615" s="2">
        <v>273</v>
      </c>
      <c r="Q615" s="2">
        <v>107.2617</v>
      </c>
      <c r="R615" s="2">
        <v>281</v>
      </c>
      <c r="S615" s="2">
        <v>107.22490000000001</v>
      </c>
      <c r="T615" s="2">
        <v>276</v>
      </c>
      <c r="U615" s="2">
        <v>0.191468</v>
      </c>
      <c r="V615" s="2">
        <v>287</v>
      </c>
      <c r="W615" s="2">
        <v>2003</v>
      </c>
    </row>
    <row r="616" spans="1:23" ht="12.3" hidden="1" x14ac:dyDescent="0.4">
      <c r="A616" s="2" t="s">
        <v>341</v>
      </c>
      <c r="B616" s="2"/>
      <c r="C616" s="2"/>
      <c r="D616" s="2"/>
      <c r="E616" s="2"/>
      <c r="F616" s="2"/>
      <c r="G616" s="2"/>
      <c r="H616" s="2"/>
      <c r="I616" s="2">
        <v>60.1616</v>
      </c>
      <c r="J616" s="2">
        <v>324</v>
      </c>
      <c r="K616" s="2">
        <v>61.210599999999999</v>
      </c>
      <c r="L616" s="2">
        <v>319</v>
      </c>
      <c r="M616" s="2">
        <v>95.628200000000007</v>
      </c>
      <c r="N616" s="2">
        <v>263</v>
      </c>
      <c r="O616" s="2">
        <v>93.247100000000003</v>
      </c>
      <c r="P616" s="2">
        <v>283</v>
      </c>
      <c r="Q616" s="2">
        <v>102.06310000000001</v>
      </c>
      <c r="R616" s="2">
        <v>199</v>
      </c>
      <c r="S616" s="2">
        <v>105.8605</v>
      </c>
      <c r="T616" s="2">
        <v>256</v>
      </c>
      <c r="U616" s="2">
        <v>0.18862100000000001</v>
      </c>
      <c r="V616" s="2">
        <v>288</v>
      </c>
      <c r="W616" s="2">
        <v>2003</v>
      </c>
    </row>
    <row r="617" spans="1:23" ht="12.3" hidden="1" x14ac:dyDescent="0.4">
      <c r="A617" s="2" t="s">
        <v>263</v>
      </c>
      <c r="B617" s="2"/>
      <c r="C617" s="2"/>
      <c r="D617" s="2"/>
      <c r="E617" s="2"/>
      <c r="F617" s="2"/>
      <c r="G617" s="2"/>
      <c r="H617" s="2"/>
      <c r="I617" s="2">
        <v>69.592500000000001</v>
      </c>
      <c r="J617" s="2">
        <v>125</v>
      </c>
      <c r="K617" s="2">
        <v>66.9315</v>
      </c>
      <c r="L617" s="2">
        <v>239</v>
      </c>
      <c r="M617" s="2">
        <v>91.186000000000007</v>
      </c>
      <c r="N617" s="2">
        <v>311</v>
      </c>
      <c r="O617" s="2">
        <v>90.986900000000006</v>
      </c>
      <c r="P617" s="2">
        <v>300</v>
      </c>
      <c r="Q617" s="2">
        <v>104.0526</v>
      </c>
      <c r="R617" s="2">
        <v>234</v>
      </c>
      <c r="S617" s="2">
        <v>103.37220000000001</v>
      </c>
      <c r="T617" s="2">
        <v>211</v>
      </c>
      <c r="U617" s="2">
        <v>0.187304</v>
      </c>
      <c r="V617" s="2">
        <v>289</v>
      </c>
      <c r="W617" s="2">
        <v>2003</v>
      </c>
    </row>
    <row r="618" spans="1:23" ht="12.3" hidden="1" x14ac:dyDescent="0.4">
      <c r="A618" s="2" t="s">
        <v>218</v>
      </c>
      <c r="B618" s="2"/>
      <c r="C618" s="2"/>
      <c r="D618" s="2"/>
      <c r="E618" s="2"/>
      <c r="F618" s="2"/>
      <c r="G618" s="2"/>
      <c r="H618" s="2"/>
      <c r="I618" s="2">
        <v>74.472800000000007</v>
      </c>
      <c r="J618" s="2">
        <v>13</v>
      </c>
      <c r="K618" s="2">
        <v>73.775000000000006</v>
      </c>
      <c r="L618" s="2">
        <v>16</v>
      </c>
      <c r="M618" s="2">
        <v>91.744399999999999</v>
      </c>
      <c r="N618" s="2">
        <v>305</v>
      </c>
      <c r="O618" s="2">
        <v>91.396900000000002</v>
      </c>
      <c r="P618" s="2">
        <v>299</v>
      </c>
      <c r="Q618" s="2">
        <v>102.7501</v>
      </c>
      <c r="R618" s="2">
        <v>213</v>
      </c>
      <c r="S618" s="2">
        <v>104.6103</v>
      </c>
      <c r="T618" s="2">
        <v>230</v>
      </c>
      <c r="U618" s="2">
        <v>0.174675</v>
      </c>
      <c r="V618" s="2">
        <v>290</v>
      </c>
      <c r="W618" s="2">
        <v>2003</v>
      </c>
    </row>
    <row r="619" spans="1:23" ht="12.3" hidden="1" x14ac:dyDescent="0.4">
      <c r="A619" s="2" t="s">
        <v>188</v>
      </c>
      <c r="B619" s="2"/>
      <c r="C619" s="2"/>
      <c r="D619" s="2"/>
      <c r="E619" s="2"/>
      <c r="F619" s="2"/>
      <c r="G619" s="2"/>
      <c r="H619" s="2"/>
      <c r="I619" s="2">
        <v>66.198700000000002</v>
      </c>
      <c r="J619" s="2">
        <v>261</v>
      </c>
      <c r="K619" s="2">
        <v>67.759600000000006</v>
      </c>
      <c r="L619" s="2">
        <v>195</v>
      </c>
      <c r="M619" s="2">
        <v>94.724199999999996</v>
      </c>
      <c r="N619" s="2">
        <v>274</v>
      </c>
      <c r="O619" s="2">
        <v>96.829499999999996</v>
      </c>
      <c r="P619" s="2">
        <v>246</v>
      </c>
      <c r="Q619" s="2">
        <v>112.1985</v>
      </c>
      <c r="R619" s="2">
        <v>324</v>
      </c>
      <c r="S619" s="2">
        <v>111.4062</v>
      </c>
      <c r="T619" s="2">
        <v>312</v>
      </c>
      <c r="U619" s="2">
        <v>0.16622000000000001</v>
      </c>
      <c r="V619" s="2">
        <v>291</v>
      </c>
      <c r="W619" s="2">
        <v>2003</v>
      </c>
    </row>
    <row r="620" spans="1:23" ht="12.3" hidden="1" x14ac:dyDescent="0.4">
      <c r="A620" s="2" t="s">
        <v>333</v>
      </c>
      <c r="B620" s="2"/>
      <c r="C620" s="2"/>
      <c r="D620" s="2"/>
      <c r="E620" s="2"/>
      <c r="F620" s="2"/>
      <c r="G620" s="2"/>
      <c r="H620" s="2"/>
      <c r="I620" s="2">
        <v>65.002399999999994</v>
      </c>
      <c r="J620" s="2">
        <v>288</v>
      </c>
      <c r="K620" s="2">
        <v>66.180099999999996</v>
      </c>
      <c r="L620" s="2">
        <v>266</v>
      </c>
      <c r="M620" s="2">
        <v>92.397099999999995</v>
      </c>
      <c r="N620" s="2">
        <v>300</v>
      </c>
      <c r="O620" s="2">
        <v>92.057900000000004</v>
      </c>
      <c r="P620" s="2">
        <v>294</v>
      </c>
      <c r="Q620" s="2">
        <v>104.7159</v>
      </c>
      <c r="R620" s="2">
        <v>247</v>
      </c>
      <c r="S620" s="2">
        <v>106.00790000000001</v>
      </c>
      <c r="T620" s="2">
        <v>259</v>
      </c>
      <c r="U620" s="2">
        <v>0.16484699999999999</v>
      </c>
      <c r="V620" s="2">
        <v>292</v>
      </c>
      <c r="W620" s="2">
        <v>2003</v>
      </c>
    </row>
    <row r="621" spans="1:23" ht="12.3" hidden="1" x14ac:dyDescent="0.4">
      <c r="A621" s="2" t="s">
        <v>329</v>
      </c>
      <c r="B621" s="2"/>
      <c r="C621" s="2"/>
      <c r="D621" s="2"/>
      <c r="E621" s="2"/>
      <c r="F621" s="2"/>
      <c r="G621" s="2"/>
      <c r="H621" s="2"/>
      <c r="I621" s="2">
        <v>75.444800000000001</v>
      </c>
      <c r="J621" s="2">
        <v>9</v>
      </c>
      <c r="K621" s="2">
        <v>73.465299999999999</v>
      </c>
      <c r="L621" s="2">
        <v>20</v>
      </c>
      <c r="M621" s="2">
        <v>94.425299999999993</v>
      </c>
      <c r="N621" s="2">
        <v>275</v>
      </c>
      <c r="O621" s="2">
        <v>96.782799999999995</v>
      </c>
      <c r="P621" s="2">
        <v>247</v>
      </c>
      <c r="Q621" s="2">
        <v>106.508</v>
      </c>
      <c r="R621" s="2">
        <v>275</v>
      </c>
      <c r="S621" s="2">
        <v>111.49</v>
      </c>
      <c r="T621" s="2">
        <v>313</v>
      </c>
      <c r="U621" s="2">
        <v>0.16426099999999999</v>
      </c>
      <c r="V621" s="2">
        <v>293</v>
      </c>
      <c r="W621" s="2">
        <v>2003</v>
      </c>
    </row>
    <row r="622" spans="1:23" ht="12.3" hidden="1" x14ac:dyDescent="0.4">
      <c r="A622" s="2" t="s">
        <v>300</v>
      </c>
      <c r="B622" s="2"/>
      <c r="C622" s="2"/>
      <c r="D622" s="2"/>
      <c r="E622" s="2"/>
      <c r="F622" s="2"/>
      <c r="G622" s="2"/>
      <c r="H622" s="2"/>
      <c r="I622" s="2">
        <v>65.558899999999994</v>
      </c>
      <c r="J622" s="2">
        <v>277</v>
      </c>
      <c r="K622" s="2">
        <v>66.991100000000003</v>
      </c>
      <c r="L622" s="2">
        <v>233</v>
      </c>
      <c r="M622" s="2">
        <v>90.404899999999998</v>
      </c>
      <c r="N622" s="2">
        <v>313</v>
      </c>
      <c r="O622" s="2">
        <v>89.552000000000007</v>
      </c>
      <c r="P622" s="2">
        <v>309</v>
      </c>
      <c r="Q622" s="2">
        <v>100.2754</v>
      </c>
      <c r="R622" s="2">
        <v>152</v>
      </c>
      <c r="S622" s="2">
        <v>103.2283</v>
      </c>
      <c r="T622" s="2">
        <v>203</v>
      </c>
      <c r="U622" s="2">
        <v>0.16322500000000001</v>
      </c>
      <c r="V622" s="2">
        <v>294</v>
      </c>
      <c r="W622" s="2">
        <v>2003</v>
      </c>
    </row>
    <row r="623" spans="1:23" ht="12.3" hidden="1" x14ac:dyDescent="0.4">
      <c r="A623" s="2" t="s">
        <v>179</v>
      </c>
      <c r="B623" s="2"/>
      <c r="C623" s="2"/>
      <c r="D623" s="2"/>
      <c r="E623" s="2"/>
      <c r="F623" s="2"/>
      <c r="G623" s="2"/>
      <c r="H623" s="2"/>
      <c r="I623" s="2">
        <v>69.188000000000002</v>
      </c>
      <c r="J623" s="2">
        <v>143</v>
      </c>
      <c r="K623" s="2">
        <v>67.575699999999998</v>
      </c>
      <c r="L623" s="2">
        <v>204</v>
      </c>
      <c r="M623" s="2">
        <v>91.245699999999999</v>
      </c>
      <c r="N623" s="2">
        <v>310</v>
      </c>
      <c r="O623" s="2">
        <v>88.867199999999997</v>
      </c>
      <c r="P623" s="2">
        <v>313</v>
      </c>
      <c r="Q623" s="2">
        <v>103.2435</v>
      </c>
      <c r="R623" s="2">
        <v>220</v>
      </c>
      <c r="S623" s="2">
        <v>102.646</v>
      </c>
      <c r="T623" s="2">
        <v>195</v>
      </c>
      <c r="U623" s="2">
        <v>0.160078</v>
      </c>
      <c r="V623" s="2">
        <v>295</v>
      </c>
      <c r="W623" s="2">
        <v>2003</v>
      </c>
    </row>
    <row r="624" spans="1:23" ht="12.3" hidden="1" x14ac:dyDescent="0.4">
      <c r="A624" s="2" t="s">
        <v>298</v>
      </c>
      <c r="B624" s="2"/>
      <c r="C624" s="2"/>
      <c r="D624" s="2"/>
      <c r="E624" s="2"/>
      <c r="F624" s="2"/>
      <c r="G624" s="2"/>
      <c r="H624" s="2"/>
      <c r="I624" s="2">
        <v>74.016800000000003</v>
      </c>
      <c r="J624" s="2">
        <v>19</v>
      </c>
      <c r="K624" s="2">
        <v>73.941999999999993</v>
      </c>
      <c r="L624" s="2">
        <v>13</v>
      </c>
      <c r="M624" s="2">
        <v>96.607699999999994</v>
      </c>
      <c r="N624" s="2">
        <v>247</v>
      </c>
      <c r="O624" s="2">
        <v>95.527699999999996</v>
      </c>
      <c r="P624" s="2">
        <v>264</v>
      </c>
      <c r="Q624" s="2">
        <v>109.57940000000001</v>
      </c>
      <c r="R624" s="2">
        <v>311</v>
      </c>
      <c r="S624" s="2">
        <v>110.45140000000001</v>
      </c>
      <c r="T624" s="2">
        <v>307</v>
      </c>
      <c r="U624" s="2">
        <v>0.15851399999999999</v>
      </c>
      <c r="V624" s="2">
        <v>296</v>
      </c>
      <c r="W624" s="2">
        <v>2003</v>
      </c>
    </row>
    <row r="625" spans="1:23" ht="12.3" hidden="1" x14ac:dyDescent="0.4">
      <c r="A625" s="2" t="s">
        <v>316</v>
      </c>
      <c r="B625" s="2"/>
      <c r="C625" s="2"/>
      <c r="D625" s="2"/>
      <c r="E625" s="2"/>
      <c r="F625" s="2"/>
      <c r="G625" s="2"/>
      <c r="H625" s="2"/>
      <c r="I625" s="2">
        <v>72.008499999999998</v>
      </c>
      <c r="J625" s="2">
        <v>49</v>
      </c>
      <c r="K625" s="2">
        <v>71.762200000000007</v>
      </c>
      <c r="L625" s="2">
        <v>48</v>
      </c>
      <c r="M625" s="2">
        <v>95.742599999999996</v>
      </c>
      <c r="N625" s="2">
        <v>262</v>
      </c>
      <c r="O625" s="2">
        <v>93.616500000000002</v>
      </c>
      <c r="P625" s="2">
        <v>281</v>
      </c>
      <c r="Q625" s="2">
        <v>106.7676</v>
      </c>
      <c r="R625" s="2">
        <v>278</v>
      </c>
      <c r="S625" s="2">
        <v>108.44750000000001</v>
      </c>
      <c r="T625" s="2">
        <v>291</v>
      </c>
      <c r="U625" s="2">
        <v>0.15562000000000001</v>
      </c>
      <c r="V625" s="2">
        <v>297</v>
      </c>
      <c r="W625" s="2">
        <v>2003</v>
      </c>
    </row>
    <row r="626" spans="1:23" ht="12.3" hidden="1" x14ac:dyDescent="0.4">
      <c r="A626" s="2" t="s">
        <v>320</v>
      </c>
      <c r="B626" s="2"/>
      <c r="C626" s="2"/>
      <c r="D626" s="2"/>
      <c r="E626" s="2"/>
      <c r="F626" s="2"/>
      <c r="G626" s="2"/>
      <c r="H626" s="2"/>
      <c r="I626" s="2">
        <v>67.5488</v>
      </c>
      <c r="J626" s="2">
        <v>214</v>
      </c>
      <c r="K626" s="2">
        <v>67.131200000000007</v>
      </c>
      <c r="L626" s="2">
        <v>228</v>
      </c>
      <c r="M626" s="2">
        <v>93.334900000000005</v>
      </c>
      <c r="N626" s="2">
        <v>288</v>
      </c>
      <c r="O626" s="2">
        <v>87.778400000000005</v>
      </c>
      <c r="P626" s="2">
        <v>318</v>
      </c>
      <c r="Q626" s="2">
        <v>95.630700000000004</v>
      </c>
      <c r="R626" s="2">
        <v>40</v>
      </c>
      <c r="S626" s="2">
        <v>101.7013</v>
      </c>
      <c r="T626" s="2">
        <v>175</v>
      </c>
      <c r="U626" s="2">
        <v>0.15537000000000001</v>
      </c>
      <c r="V626" s="2">
        <v>298</v>
      </c>
      <c r="W626" s="2">
        <v>2003</v>
      </c>
    </row>
    <row r="627" spans="1:23" ht="12.3" hidden="1" x14ac:dyDescent="0.4">
      <c r="A627" s="2" t="s">
        <v>349</v>
      </c>
      <c r="B627" s="2"/>
      <c r="C627" s="2"/>
      <c r="D627" s="2"/>
      <c r="E627" s="2"/>
      <c r="F627" s="2"/>
      <c r="G627" s="2"/>
      <c r="H627" s="2"/>
      <c r="I627" s="2">
        <v>66.347099999999998</v>
      </c>
      <c r="J627" s="2">
        <v>256</v>
      </c>
      <c r="K627" s="2">
        <v>66.0304</v>
      </c>
      <c r="L627" s="2">
        <v>267</v>
      </c>
      <c r="M627" s="2">
        <v>93.892700000000005</v>
      </c>
      <c r="N627" s="2">
        <v>285</v>
      </c>
      <c r="O627" s="2">
        <v>90.6995</v>
      </c>
      <c r="P627" s="2">
        <v>302</v>
      </c>
      <c r="Q627" s="2">
        <v>102.64830000000001</v>
      </c>
      <c r="R627" s="2">
        <v>209</v>
      </c>
      <c r="S627" s="2">
        <v>105.2122</v>
      </c>
      <c r="T627" s="2">
        <v>242</v>
      </c>
      <c r="U627" s="2">
        <v>0.15356400000000001</v>
      </c>
      <c r="V627" s="2">
        <v>299</v>
      </c>
      <c r="W627" s="2">
        <v>2003</v>
      </c>
    </row>
    <row r="628" spans="1:23" ht="12.3" hidden="1" x14ac:dyDescent="0.4">
      <c r="A628" s="2" t="s">
        <v>252</v>
      </c>
      <c r="B628" s="2"/>
      <c r="C628" s="2"/>
      <c r="D628" s="2"/>
      <c r="E628" s="2"/>
      <c r="F628" s="2"/>
      <c r="G628" s="2"/>
      <c r="H628" s="2"/>
      <c r="I628" s="2">
        <v>66.705799999999996</v>
      </c>
      <c r="J628" s="2">
        <v>246</v>
      </c>
      <c r="K628" s="2">
        <v>66.455799999999996</v>
      </c>
      <c r="L628" s="2">
        <v>258</v>
      </c>
      <c r="M628" s="2">
        <v>93.053700000000006</v>
      </c>
      <c r="N628" s="2">
        <v>290</v>
      </c>
      <c r="O628" s="2">
        <v>90.421999999999997</v>
      </c>
      <c r="P628" s="2">
        <v>305</v>
      </c>
      <c r="Q628" s="2">
        <v>103.4462</v>
      </c>
      <c r="R628" s="2">
        <v>226</v>
      </c>
      <c r="S628" s="2">
        <v>105.00449999999999</v>
      </c>
      <c r="T628" s="2">
        <v>239</v>
      </c>
      <c r="U628" s="2">
        <v>0.151944</v>
      </c>
      <c r="V628" s="2">
        <v>300</v>
      </c>
      <c r="W628" s="2">
        <v>2003</v>
      </c>
    </row>
    <row r="629" spans="1:23" ht="12.3" hidden="1" x14ac:dyDescent="0.4">
      <c r="A629" s="2" t="s">
        <v>346</v>
      </c>
      <c r="B629" s="2"/>
      <c r="C629" s="2"/>
      <c r="D629" s="2"/>
      <c r="E629" s="2"/>
      <c r="F629" s="2"/>
      <c r="G629" s="2"/>
      <c r="H629" s="2"/>
      <c r="I629" s="2">
        <v>70.0167</v>
      </c>
      <c r="J629" s="2">
        <v>108</v>
      </c>
      <c r="K629" s="2">
        <v>70.0077</v>
      </c>
      <c r="L629" s="2">
        <v>99</v>
      </c>
      <c r="M629" s="2">
        <v>92.835700000000003</v>
      </c>
      <c r="N629" s="2">
        <v>293</v>
      </c>
      <c r="O629" s="2">
        <v>88.055800000000005</v>
      </c>
      <c r="P629" s="2">
        <v>317</v>
      </c>
      <c r="Q629" s="2">
        <v>98.344800000000006</v>
      </c>
      <c r="R629" s="2">
        <v>103</v>
      </c>
      <c r="S629" s="2">
        <v>102.4267</v>
      </c>
      <c r="T629" s="2">
        <v>190</v>
      </c>
      <c r="U629" s="2">
        <v>0.14949999999999999</v>
      </c>
      <c r="V629" s="2">
        <v>301</v>
      </c>
      <c r="W629" s="2">
        <v>2003</v>
      </c>
    </row>
    <row r="630" spans="1:23" ht="12.3" hidden="1" x14ac:dyDescent="0.4">
      <c r="A630" s="2" t="s">
        <v>219</v>
      </c>
      <c r="B630" s="2"/>
      <c r="C630" s="2"/>
      <c r="D630" s="2"/>
      <c r="E630" s="2"/>
      <c r="F630" s="2"/>
      <c r="G630" s="2"/>
      <c r="H630" s="2"/>
      <c r="I630" s="2">
        <v>67.315700000000007</v>
      </c>
      <c r="J630" s="2">
        <v>227</v>
      </c>
      <c r="K630" s="2">
        <v>68.147400000000005</v>
      </c>
      <c r="L630" s="2">
        <v>178</v>
      </c>
      <c r="M630" s="2">
        <v>91.967500000000001</v>
      </c>
      <c r="N630" s="2">
        <v>303</v>
      </c>
      <c r="O630" s="2">
        <v>92.76</v>
      </c>
      <c r="P630" s="2">
        <v>289</v>
      </c>
      <c r="Q630" s="2">
        <v>108.1357</v>
      </c>
      <c r="R630" s="2">
        <v>297</v>
      </c>
      <c r="S630" s="2">
        <v>108.1156</v>
      </c>
      <c r="T630" s="2">
        <v>287</v>
      </c>
      <c r="U630" s="2">
        <v>0.14658599999999999</v>
      </c>
      <c r="V630" s="2">
        <v>302</v>
      </c>
      <c r="W630" s="2">
        <v>2003</v>
      </c>
    </row>
    <row r="631" spans="1:23" ht="12.3" hidden="1" x14ac:dyDescent="0.4">
      <c r="A631" s="2" t="s">
        <v>202</v>
      </c>
      <c r="B631" s="2"/>
      <c r="C631" s="2"/>
      <c r="D631" s="2"/>
      <c r="E631" s="2"/>
      <c r="F631" s="2"/>
      <c r="G631" s="2"/>
      <c r="H631" s="2"/>
      <c r="I631" s="2">
        <v>67.192800000000005</v>
      </c>
      <c r="J631" s="2">
        <v>233</v>
      </c>
      <c r="K631" s="2">
        <v>66.624200000000002</v>
      </c>
      <c r="L631" s="2">
        <v>252</v>
      </c>
      <c r="M631" s="2">
        <v>90.185400000000001</v>
      </c>
      <c r="N631" s="2">
        <v>314</v>
      </c>
      <c r="O631" s="2">
        <v>88.707899999999995</v>
      </c>
      <c r="P631" s="2">
        <v>314</v>
      </c>
      <c r="Q631" s="2">
        <v>102.5314</v>
      </c>
      <c r="R631" s="2">
        <v>206</v>
      </c>
      <c r="S631" s="2">
        <v>103.9569</v>
      </c>
      <c r="T631" s="2">
        <v>222</v>
      </c>
      <c r="U631" s="2">
        <v>0.13893</v>
      </c>
      <c r="V631" s="2">
        <v>303</v>
      </c>
      <c r="W631" s="2">
        <v>2003</v>
      </c>
    </row>
    <row r="632" spans="1:23" ht="12.3" hidden="1" x14ac:dyDescent="0.4">
      <c r="A632" s="2" t="s">
        <v>310</v>
      </c>
      <c r="B632" s="2"/>
      <c r="C632" s="2"/>
      <c r="D632" s="2"/>
      <c r="E632" s="2"/>
      <c r="F632" s="2"/>
      <c r="G632" s="2"/>
      <c r="H632" s="2"/>
      <c r="I632" s="2">
        <v>71.044200000000004</v>
      </c>
      <c r="J632" s="2">
        <v>72</v>
      </c>
      <c r="K632" s="2">
        <v>72.177599999999998</v>
      </c>
      <c r="L632" s="2">
        <v>41</v>
      </c>
      <c r="M632" s="2">
        <v>92.460400000000007</v>
      </c>
      <c r="N632" s="2">
        <v>297</v>
      </c>
      <c r="O632" s="2">
        <v>94.089399999999998</v>
      </c>
      <c r="P632" s="2">
        <v>278</v>
      </c>
      <c r="Q632" s="2">
        <v>109.2136</v>
      </c>
      <c r="R632" s="2">
        <v>308</v>
      </c>
      <c r="S632" s="2">
        <v>110.3205</v>
      </c>
      <c r="T632" s="2">
        <v>306</v>
      </c>
      <c r="U632" s="2">
        <v>0.13821900000000001</v>
      </c>
      <c r="V632" s="2">
        <v>304</v>
      </c>
      <c r="W632" s="2">
        <v>2003</v>
      </c>
    </row>
    <row r="633" spans="1:23" ht="12.3" hidden="1" x14ac:dyDescent="0.4">
      <c r="A633" s="2" t="s">
        <v>259</v>
      </c>
      <c r="B633" s="2"/>
      <c r="C633" s="2"/>
      <c r="D633" s="2"/>
      <c r="E633" s="2"/>
      <c r="F633" s="2"/>
      <c r="G633" s="2"/>
      <c r="H633" s="2"/>
      <c r="I633" s="2">
        <v>72.019099999999995</v>
      </c>
      <c r="J633" s="2">
        <v>48</v>
      </c>
      <c r="K633" s="2">
        <v>72.519400000000005</v>
      </c>
      <c r="L633" s="2">
        <v>33</v>
      </c>
      <c r="M633" s="2">
        <v>86.197199999999995</v>
      </c>
      <c r="N633" s="2">
        <v>320</v>
      </c>
      <c r="O633" s="2">
        <v>85.335899999999995</v>
      </c>
      <c r="P633" s="2">
        <v>323</v>
      </c>
      <c r="Q633" s="2">
        <v>98.227900000000005</v>
      </c>
      <c r="R633" s="2">
        <v>96</v>
      </c>
      <c r="S633" s="2">
        <v>100.24979999999999</v>
      </c>
      <c r="T633" s="2">
        <v>145</v>
      </c>
      <c r="U633" s="2">
        <v>0.135603</v>
      </c>
      <c r="V633" s="2">
        <v>305</v>
      </c>
      <c r="W633" s="2">
        <v>2003</v>
      </c>
    </row>
    <row r="634" spans="1:23" ht="12.3" hidden="1" x14ac:dyDescent="0.4">
      <c r="A634" s="2" t="s">
        <v>337</v>
      </c>
      <c r="B634" s="2"/>
      <c r="C634" s="2"/>
      <c r="D634" s="2"/>
      <c r="E634" s="2"/>
      <c r="F634" s="2"/>
      <c r="G634" s="2"/>
      <c r="H634" s="2"/>
      <c r="I634" s="2">
        <v>74.204700000000003</v>
      </c>
      <c r="J634" s="2">
        <v>16</v>
      </c>
      <c r="K634" s="2">
        <v>71.270799999999994</v>
      </c>
      <c r="L634" s="2">
        <v>60</v>
      </c>
      <c r="M634" s="2">
        <v>102.3967</v>
      </c>
      <c r="N634" s="2">
        <v>141</v>
      </c>
      <c r="O634" s="2">
        <v>97.935900000000004</v>
      </c>
      <c r="P634" s="2">
        <v>226</v>
      </c>
      <c r="Q634" s="2">
        <v>109.63120000000001</v>
      </c>
      <c r="R634" s="2">
        <v>312</v>
      </c>
      <c r="S634" s="2">
        <v>115.0688</v>
      </c>
      <c r="T634" s="2">
        <v>320</v>
      </c>
      <c r="U634" s="2">
        <v>0.135405</v>
      </c>
      <c r="V634" s="2">
        <v>306</v>
      </c>
      <c r="W634" s="2">
        <v>2003</v>
      </c>
    </row>
    <row r="635" spans="1:23" ht="12.3" hidden="1" x14ac:dyDescent="0.4">
      <c r="A635" s="2" t="s">
        <v>285</v>
      </c>
      <c r="B635" s="2"/>
      <c r="C635" s="2"/>
      <c r="D635" s="2"/>
      <c r="E635" s="2"/>
      <c r="F635" s="2"/>
      <c r="G635" s="2"/>
      <c r="H635" s="2"/>
      <c r="I635" s="2">
        <v>67.750600000000006</v>
      </c>
      <c r="J635" s="2">
        <v>202</v>
      </c>
      <c r="K635" s="2">
        <v>68.394900000000007</v>
      </c>
      <c r="L635" s="2">
        <v>169</v>
      </c>
      <c r="M635" s="2">
        <v>93.996499999999997</v>
      </c>
      <c r="N635" s="2">
        <v>281</v>
      </c>
      <c r="O635" s="2">
        <v>93.137600000000006</v>
      </c>
      <c r="P635" s="2">
        <v>284</v>
      </c>
      <c r="Q635" s="2">
        <v>110.4633</v>
      </c>
      <c r="R635" s="2">
        <v>318</v>
      </c>
      <c r="S635" s="2">
        <v>109.8536</v>
      </c>
      <c r="T635" s="2">
        <v>302</v>
      </c>
      <c r="U635" s="2">
        <v>0.130299</v>
      </c>
      <c r="V635" s="2">
        <v>307</v>
      </c>
      <c r="W635" s="2">
        <v>2003</v>
      </c>
    </row>
    <row r="636" spans="1:23" ht="12.3" hidden="1" x14ac:dyDescent="0.4">
      <c r="A636" s="2" t="s">
        <v>223</v>
      </c>
      <c r="B636" s="2"/>
      <c r="C636" s="2"/>
      <c r="D636" s="2"/>
      <c r="E636" s="2"/>
      <c r="F636" s="2"/>
      <c r="G636" s="2"/>
      <c r="H636" s="2"/>
      <c r="I636" s="2">
        <v>69.522199999999998</v>
      </c>
      <c r="J636" s="2">
        <v>127</v>
      </c>
      <c r="K636" s="2">
        <v>70.412999999999997</v>
      </c>
      <c r="L636" s="2">
        <v>87</v>
      </c>
      <c r="M636" s="2">
        <v>90.441000000000003</v>
      </c>
      <c r="N636" s="2">
        <v>312</v>
      </c>
      <c r="O636" s="2">
        <v>89.292100000000005</v>
      </c>
      <c r="P636" s="2">
        <v>312</v>
      </c>
      <c r="Q636" s="2">
        <v>104.8267</v>
      </c>
      <c r="R636" s="2">
        <v>250</v>
      </c>
      <c r="S636" s="2">
        <v>105.80070000000001</v>
      </c>
      <c r="T636" s="2">
        <v>252</v>
      </c>
      <c r="U636" s="2">
        <v>0.124454</v>
      </c>
      <c r="V636" s="2">
        <v>308</v>
      </c>
      <c r="W636" s="2">
        <v>2003</v>
      </c>
    </row>
    <row r="637" spans="1:23" ht="12.3" hidden="1" x14ac:dyDescent="0.4">
      <c r="A637" s="2" t="s">
        <v>272</v>
      </c>
      <c r="B637" s="2"/>
      <c r="C637" s="2"/>
      <c r="D637" s="2"/>
      <c r="E637" s="2"/>
      <c r="F637" s="2"/>
      <c r="G637" s="2"/>
      <c r="H637" s="2"/>
      <c r="I637" s="2">
        <v>75.826400000000007</v>
      </c>
      <c r="J637" s="2">
        <v>6</v>
      </c>
      <c r="K637" s="2">
        <v>74.061999999999998</v>
      </c>
      <c r="L637" s="2">
        <v>12</v>
      </c>
      <c r="M637" s="2">
        <v>92.155799999999999</v>
      </c>
      <c r="N637" s="2">
        <v>302</v>
      </c>
      <c r="O637" s="2">
        <v>89.792699999999996</v>
      </c>
      <c r="P637" s="2">
        <v>308</v>
      </c>
      <c r="Q637" s="2">
        <v>98.990600000000001</v>
      </c>
      <c r="R637" s="2">
        <v>119</v>
      </c>
      <c r="S637" s="2">
        <v>106.5335</v>
      </c>
      <c r="T637" s="2">
        <v>270</v>
      </c>
      <c r="U637" s="2">
        <v>0.12282</v>
      </c>
      <c r="V637" s="2">
        <v>309</v>
      </c>
      <c r="W637" s="2">
        <v>2003</v>
      </c>
    </row>
    <row r="638" spans="1:23" ht="12.3" hidden="1" x14ac:dyDescent="0.4">
      <c r="A638" s="2" t="s">
        <v>339</v>
      </c>
      <c r="B638" s="2"/>
      <c r="C638" s="2"/>
      <c r="D638" s="2"/>
      <c r="E638" s="2"/>
      <c r="F638" s="2"/>
      <c r="G638" s="2"/>
      <c r="H638" s="2"/>
      <c r="I638" s="2">
        <v>67.216200000000001</v>
      </c>
      <c r="J638" s="2">
        <v>232</v>
      </c>
      <c r="K638" s="2">
        <v>67.587599999999995</v>
      </c>
      <c r="L638" s="2">
        <v>203</v>
      </c>
      <c r="M638" s="2">
        <v>95.834000000000003</v>
      </c>
      <c r="N638" s="2">
        <v>260</v>
      </c>
      <c r="O638" s="2">
        <v>94.820400000000006</v>
      </c>
      <c r="P638" s="2">
        <v>267</v>
      </c>
      <c r="Q638" s="2">
        <v>110.0732</v>
      </c>
      <c r="R638" s="2">
        <v>315</v>
      </c>
      <c r="S638" s="2">
        <v>112.5467</v>
      </c>
      <c r="T638" s="2">
        <v>317</v>
      </c>
      <c r="U638" s="2">
        <v>0.122291</v>
      </c>
      <c r="V638" s="2">
        <v>310</v>
      </c>
      <c r="W638" s="2">
        <v>2003</v>
      </c>
    </row>
    <row r="639" spans="1:23" ht="12.3" hidden="1" x14ac:dyDescent="0.4">
      <c r="A639" s="2" t="s">
        <v>330</v>
      </c>
      <c r="B639" s="2"/>
      <c r="C639" s="2"/>
      <c r="D639" s="2"/>
      <c r="E639" s="2"/>
      <c r="F639" s="2"/>
      <c r="G639" s="2"/>
      <c r="H639" s="2"/>
      <c r="I639" s="2">
        <v>69.353700000000003</v>
      </c>
      <c r="J639" s="2">
        <v>139</v>
      </c>
      <c r="K639" s="2">
        <v>69.556899999999999</v>
      </c>
      <c r="L639" s="2">
        <v>116</v>
      </c>
      <c r="M639" s="2">
        <v>98.472800000000007</v>
      </c>
      <c r="N639" s="2">
        <v>219</v>
      </c>
      <c r="O639" s="2">
        <v>94.597200000000001</v>
      </c>
      <c r="P639" s="2">
        <v>274</v>
      </c>
      <c r="Q639" s="2">
        <v>107.6328</v>
      </c>
      <c r="R639" s="2">
        <v>289</v>
      </c>
      <c r="S639" s="2">
        <v>112.4883</v>
      </c>
      <c r="T639" s="2">
        <v>315</v>
      </c>
      <c r="U639" s="2">
        <v>0.12003999999999999</v>
      </c>
      <c r="V639" s="2">
        <v>311</v>
      </c>
      <c r="W639" s="2">
        <v>2003</v>
      </c>
    </row>
    <row r="640" spans="1:23" ht="12.3" hidden="1" x14ac:dyDescent="0.4">
      <c r="A640" s="2" t="s">
        <v>338</v>
      </c>
      <c r="B640" s="2"/>
      <c r="C640" s="2"/>
      <c r="D640" s="2"/>
      <c r="E640" s="2"/>
      <c r="F640" s="2"/>
      <c r="G640" s="2"/>
      <c r="H640" s="2"/>
      <c r="I640" s="2">
        <v>71.244299999999996</v>
      </c>
      <c r="J640" s="2">
        <v>68</v>
      </c>
      <c r="K640" s="2">
        <v>70.121600000000001</v>
      </c>
      <c r="L640" s="2">
        <v>94</v>
      </c>
      <c r="M640" s="2">
        <v>94.390900000000002</v>
      </c>
      <c r="N640" s="2">
        <v>276</v>
      </c>
      <c r="O640" s="2">
        <v>90.733800000000002</v>
      </c>
      <c r="P640" s="2">
        <v>301</v>
      </c>
      <c r="Q640" s="2">
        <v>100.1527</v>
      </c>
      <c r="R640" s="2">
        <v>149</v>
      </c>
      <c r="S640" s="2">
        <v>108.06870000000001</v>
      </c>
      <c r="T640" s="2">
        <v>286</v>
      </c>
      <c r="U640" s="2">
        <v>0.118091</v>
      </c>
      <c r="V640" s="2">
        <v>312</v>
      </c>
      <c r="W640" s="2">
        <v>2003</v>
      </c>
    </row>
    <row r="641" spans="1:23" ht="12.3" hidden="1" x14ac:dyDescent="0.4">
      <c r="A641" s="2" t="s">
        <v>348</v>
      </c>
      <c r="B641" s="2"/>
      <c r="C641" s="2"/>
      <c r="D641" s="2"/>
      <c r="E641" s="2"/>
      <c r="F641" s="2"/>
      <c r="G641" s="2"/>
      <c r="H641" s="2"/>
      <c r="I641" s="2">
        <v>67.631299999999996</v>
      </c>
      <c r="J641" s="2">
        <v>210</v>
      </c>
      <c r="K641" s="2">
        <v>67.235100000000003</v>
      </c>
      <c r="L641" s="2">
        <v>222</v>
      </c>
      <c r="M641" s="2">
        <v>93.014799999999994</v>
      </c>
      <c r="N641" s="2">
        <v>291</v>
      </c>
      <c r="O641" s="2">
        <v>92.707700000000003</v>
      </c>
      <c r="P641" s="2">
        <v>290</v>
      </c>
      <c r="Q641" s="2">
        <v>110.3738</v>
      </c>
      <c r="R641" s="2">
        <v>317</v>
      </c>
      <c r="S641" s="2">
        <v>110.6554</v>
      </c>
      <c r="T641" s="2">
        <v>309</v>
      </c>
      <c r="U641" s="2">
        <v>0.115561</v>
      </c>
      <c r="V641" s="2">
        <v>313</v>
      </c>
      <c r="W641" s="2">
        <v>2003</v>
      </c>
    </row>
    <row r="642" spans="1:23" ht="12.3" hidden="1" x14ac:dyDescent="0.4">
      <c r="A642" s="2" t="s">
        <v>313</v>
      </c>
      <c r="B642" s="2"/>
      <c r="C642" s="2"/>
      <c r="D642" s="2"/>
      <c r="E642" s="2"/>
      <c r="F642" s="2"/>
      <c r="G642" s="2"/>
      <c r="H642" s="2"/>
      <c r="I642" s="2">
        <v>68.461799999999997</v>
      </c>
      <c r="J642" s="2">
        <v>168</v>
      </c>
      <c r="K642" s="2">
        <v>68.437700000000007</v>
      </c>
      <c r="L642" s="2">
        <v>166</v>
      </c>
      <c r="M642" s="2">
        <v>94.096900000000005</v>
      </c>
      <c r="N642" s="2">
        <v>280</v>
      </c>
      <c r="O642" s="2">
        <v>89.480400000000003</v>
      </c>
      <c r="P642" s="2">
        <v>311</v>
      </c>
      <c r="Q642" s="2">
        <v>105.8766</v>
      </c>
      <c r="R642" s="2">
        <v>261</v>
      </c>
      <c r="S642" s="2">
        <v>110.54730000000001</v>
      </c>
      <c r="T642" s="2">
        <v>308</v>
      </c>
      <c r="U642" s="2">
        <v>8.0810999999999994E-2</v>
      </c>
      <c r="V642" s="2">
        <v>314</v>
      </c>
      <c r="W642" s="2">
        <v>2003</v>
      </c>
    </row>
    <row r="643" spans="1:23" ht="12.3" hidden="1" x14ac:dyDescent="0.4">
      <c r="A643" s="2" t="s">
        <v>340</v>
      </c>
      <c r="B643" s="2"/>
      <c r="C643" s="2"/>
      <c r="D643" s="2"/>
      <c r="E643" s="2"/>
      <c r="F643" s="2"/>
      <c r="G643" s="2"/>
      <c r="H643" s="2"/>
      <c r="I643" s="2">
        <v>66.340299999999999</v>
      </c>
      <c r="J643" s="2">
        <v>257</v>
      </c>
      <c r="K643" s="2">
        <v>65.364800000000002</v>
      </c>
      <c r="L643" s="2">
        <v>283</v>
      </c>
      <c r="M643" s="2">
        <v>88.668000000000006</v>
      </c>
      <c r="N643" s="2">
        <v>317</v>
      </c>
      <c r="O643" s="2">
        <v>87.242500000000007</v>
      </c>
      <c r="P643" s="2">
        <v>319</v>
      </c>
      <c r="Q643" s="2">
        <v>107.934</v>
      </c>
      <c r="R643" s="2">
        <v>295</v>
      </c>
      <c r="S643" s="2">
        <v>108.41549999999999</v>
      </c>
      <c r="T643" s="2">
        <v>290</v>
      </c>
      <c r="U643" s="2">
        <v>7.5949000000000003E-2</v>
      </c>
      <c r="V643" s="2">
        <v>315</v>
      </c>
      <c r="W643" s="2">
        <v>2003</v>
      </c>
    </row>
    <row r="644" spans="1:23" ht="12.3" hidden="1" x14ac:dyDescent="0.4">
      <c r="A644" s="2" t="s">
        <v>319</v>
      </c>
      <c r="B644" s="2"/>
      <c r="C644" s="2"/>
      <c r="D644" s="2"/>
      <c r="E644" s="2"/>
      <c r="F644" s="2"/>
      <c r="G644" s="2"/>
      <c r="H644" s="2"/>
      <c r="I644" s="2">
        <v>67.953699999999998</v>
      </c>
      <c r="J644" s="2">
        <v>194</v>
      </c>
      <c r="K644" s="2">
        <v>67.865899999999996</v>
      </c>
      <c r="L644" s="2">
        <v>190</v>
      </c>
      <c r="M644" s="2">
        <v>94.287499999999994</v>
      </c>
      <c r="N644" s="2">
        <v>277</v>
      </c>
      <c r="O644" s="2">
        <v>91.837000000000003</v>
      </c>
      <c r="P644" s="2">
        <v>296</v>
      </c>
      <c r="Q644" s="2">
        <v>114.02419999999999</v>
      </c>
      <c r="R644" s="2">
        <v>325</v>
      </c>
      <c r="S644" s="2">
        <v>115.65600000000001</v>
      </c>
      <c r="T644" s="2">
        <v>324</v>
      </c>
      <c r="U644" s="2">
        <v>6.5867999999999996E-2</v>
      </c>
      <c r="V644" s="2">
        <v>316</v>
      </c>
      <c r="W644" s="2">
        <v>2003</v>
      </c>
    </row>
    <row r="645" spans="1:23" ht="12.3" hidden="1" x14ac:dyDescent="0.4">
      <c r="A645" s="2" t="s">
        <v>293</v>
      </c>
      <c r="B645" s="2"/>
      <c r="C645" s="2"/>
      <c r="D645" s="2"/>
      <c r="E645" s="2"/>
      <c r="F645" s="2"/>
      <c r="G645" s="2"/>
      <c r="H645" s="2"/>
      <c r="I645" s="2">
        <v>67.888400000000004</v>
      </c>
      <c r="J645" s="2">
        <v>196</v>
      </c>
      <c r="K645" s="2">
        <v>68.571700000000007</v>
      </c>
      <c r="L645" s="2">
        <v>157</v>
      </c>
      <c r="M645" s="2">
        <v>84.006600000000006</v>
      </c>
      <c r="N645" s="2">
        <v>323</v>
      </c>
      <c r="O645" s="2">
        <v>83.350300000000004</v>
      </c>
      <c r="P645" s="2">
        <v>324</v>
      </c>
      <c r="Q645" s="2">
        <v>106.1893</v>
      </c>
      <c r="R645" s="2">
        <v>268</v>
      </c>
      <c r="S645" s="2">
        <v>105.2487</v>
      </c>
      <c r="T645" s="2">
        <v>243</v>
      </c>
      <c r="U645" s="2">
        <v>6.4005000000000006E-2</v>
      </c>
      <c r="V645" s="2">
        <v>317</v>
      </c>
      <c r="W645" s="2">
        <v>2003</v>
      </c>
    </row>
    <row r="646" spans="1:23" ht="12.3" hidden="1" x14ac:dyDescent="0.4">
      <c r="A646" s="2" t="s">
        <v>321</v>
      </c>
      <c r="B646" s="2"/>
      <c r="C646" s="2"/>
      <c r="D646" s="2"/>
      <c r="E646" s="2"/>
      <c r="F646" s="2"/>
      <c r="G646" s="2"/>
      <c r="H646" s="2"/>
      <c r="I646" s="2">
        <v>65.653400000000005</v>
      </c>
      <c r="J646" s="2">
        <v>272</v>
      </c>
      <c r="K646" s="2">
        <v>65.917699999999996</v>
      </c>
      <c r="L646" s="2">
        <v>271</v>
      </c>
      <c r="M646" s="2">
        <v>94.741200000000006</v>
      </c>
      <c r="N646" s="2">
        <v>273</v>
      </c>
      <c r="O646" s="2">
        <v>91.436400000000006</v>
      </c>
      <c r="P646" s="2">
        <v>298</v>
      </c>
      <c r="Q646" s="2">
        <v>107.4695</v>
      </c>
      <c r="R646" s="2">
        <v>285</v>
      </c>
      <c r="S646" s="2">
        <v>115.4633</v>
      </c>
      <c r="T646" s="2">
        <v>322</v>
      </c>
      <c r="U646" s="2">
        <v>6.3980999999999996E-2</v>
      </c>
      <c r="V646" s="2">
        <v>318</v>
      </c>
      <c r="W646" s="2">
        <v>2003</v>
      </c>
    </row>
    <row r="647" spans="1:23" ht="12.3" hidden="1" x14ac:dyDescent="0.4">
      <c r="A647" s="2" t="s">
        <v>271</v>
      </c>
      <c r="B647" s="2"/>
      <c r="C647" s="2"/>
      <c r="D647" s="2"/>
      <c r="E647" s="2"/>
      <c r="F647" s="2"/>
      <c r="G647" s="2"/>
      <c r="H647" s="2"/>
      <c r="I647" s="2">
        <v>60.763399999999997</v>
      </c>
      <c r="J647" s="2">
        <v>319</v>
      </c>
      <c r="K647" s="2">
        <v>62.071199999999997</v>
      </c>
      <c r="L647" s="2">
        <v>317</v>
      </c>
      <c r="M647" s="2">
        <v>81.919300000000007</v>
      </c>
      <c r="N647" s="2">
        <v>325</v>
      </c>
      <c r="O647" s="2">
        <v>81.724299999999999</v>
      </c>
      <c r="P647" s="2">
        <v>325</v>
      </c>
      <c r="Q647" s="2">
        <v>101.9593</v>
      </c>
      <c r="R647" s="2">
        <v>194</v>
      </c>
      <c r="S647" s="2">
        <v>103.2574</v>
      </c>
      <c r="T647" s="2">
        <v>206</v>
      </c>
      <c r="U647" s="2">
        <v>6.3592999999999997E-2</v>
      </c>
      <c r="V647" s="2">
        <v>319</v>
      </c>
      <c r="W647" s="2">
        <v>2003</v>
      </c>
    </row>
    <row r="648" spans="1:23" ht="12.3" hidden="1" x14ac:dyDescent="0.4">
      <c r="A648" s="2" t="s">
        <v>345</v>
      </c>
      <c r="B648" s="2"/>
      <c r="C648" s="2"/>
      <c r="D648" s="2"/>
      <c r="E648" s="2"/>
      <c r="F648" s="2"/>
      <c r="G648" s="2"/>
      <c r="H648" s="2"/>
      <c r="I648" s="2">
        <v>69.687600000000003</v>
      </c>
      <c r="J648" s="2">
        <v>118</v>
      </c>
      <c r="K648" s="2">
        <v>70.429599999999994</v>
      </c>
      <c r="L648" s="2">
        <v>86</v>
      </c>
      <c r="M648" s="2">
        <v>96.895300000000006</v>
      </c>
      <c r="N648" s="2">
        <v>245</v>
      </c>
      <c r="O648" s="2">
        <v>91.838999999999999</v>
      </c>
      <c r="P648" s="2">
        <v>295</v>
      </c>
      <c r="Q648" s="2">
        <v>108.8147</v>
      </c>
      <c r="R648" s="2">
        <v>301</v>
      </c>
      <c r="S648" s="2">
        <v>116.1028</v>
      </c>
      <c r="T648" s="2">
        <v>325</v>
      </c>
      <c r="U648" s="2">
        <v>6.3206999999999999E-2</v>
      </c>
      <c r="V648" s="2">
        <v>320</v>
      </c>
      <c r="W648" s="2">
        <v>2003</v>
      </c>
    </row>
    <row r="649" spans="1:23" ht="12.3" hidden="1" x14ac:dyDescent="0.4">
      <c r="A649" s="2" t="s">
        <v>351</v>
      </c>
      <c r="B649" s="2"/>
      <c r="C649" s="2"/>
      <c r="D649" s="2"/>
      <c r="E649" s="2"/>
      <c r="F649" s="2"/>
      <c r="G649" s="2"/>
      <c r="H649" s="2"/>
      <c r="I649" s="2">
        <v>71.529899999999998</v>
      </c>
      <c r="J649" s="2">
        <v>60</v>
      </c>
      <c r="K649" s="2">
        <v>69.828699999999998</v>
      </c>
      <c r="L649" s="2">
        <v>108</v>
      </c>
      <c r="M649" s="2">
        <v>76.283100000000005</v>
      </c>
      <c r="N649" s="2">
        <v>327</v>
      </c>
      <c r="O649" s="2">
        <v>78.811199999999999</v>
      </c>
      <c r="P649" s="2">
        <v>326</v>
      </c>
      <c r="Q649" s="2">
        <v>102.7432</v>
      </c>
      <c r="R649" s="2">
        <v>212</v>
      </c>
      <c r="S649" s="2">
        <v>100.1063</v>
      </c>
      <c r="T649" s="2">
        <v>140</v>
      </c>
      <c r="U649" s="2">
        <v>6.0055999999999998E-2</v>
      </c>
      <c r="V649" s="2">
        <v>321</v>
      </c>
      <c r="W649" s="2">
        <v>2003</v>
      </c>
    </row>
    <row r="650" spans="1:23" ht="12.3" hidden="1" x14ac:dyDescent="0.4">
      <c r="A650" s="2" t="s">
        <v>347</v>
      </c>
      <c r="B650" s="2"/>
      <c r="C650" s="2"/>
      <c r="D650" s="2"/>
      <c r="E650" s="2"/>
      <c r="F650" s="2"/>
      <c r="G650" s="2"/>
      <c r="H650" s="2"/>
      <c r="I650" s="2">
        <v>64.643799999999999</v>
      </c>
      <c r="J650" s="2">
        <v>293</v>
      </c>
      <c r="K650" s="2">
        <v>64.191100000000006</v>
      </c>
      <c r="L650" s="2">
        <v>300</v>
      </c>
      <c r="M650" s="2">
        <v>83.393799999999999</v>
      </c>
      <c r="N650" s="2">
        <v>324</v>
      </c>
      <c r="O650" s="2">
        <v>88.4846</v>
      </c>
      <c r="P650" s="2">
        <v>316</v>
      </c>
      <c r="Q650" s="2">
        <v>109.1024</v>
      </c>
      <c r="R650" s="2">
        <v>306</v>
      </c>
      <c r="S650" s="2">
        <v>112.5218</v>
      </c>
      <c r="T650" s="2">
        <v>316</v>
      </c>
      <c r="U650" s="2">
        <v>5.9318999999999997E-2</v>
      </c>
      <c r="V650" s="2">
        <v>322</v>
      </c>
      <c r="W650" s="2">
        <v>2003</v>
      </c>
    </row>
    <row r="651" spans="1:23" ht="12.3" hidden="1" x14ac:dyDescent="0.4">
      <c r="A651" s="2" t="s">
        <v>314</v>
      </c>
      <c r="B651" s="2"/>
      <c r="C651" s="2"/>
      <c r="D651" s="2"/>
      <c r="E651" s="2"/>
      <c r="F651" s="2"/>
      <c r="G651" s="2"/>
      <c r="H651" s="2"/>
      <c r="I651" s="2">
        <v>63.098500000000001</v>
      </c>
      <c r="J651" s="2">
        <v>311</v>
      </c>
      <c r="K651" s="2">
        <v>63.875300000000003</v>
      </c>
      <c r="L651" s="2">
        <v>302</v>
      </c>
      <c r="M651" s="2">
        <v>85.197299999999998</v>
      </c>
      <c r="N651" s="2">
        <v>321</v>
      </c>
      <c r="O651" s="2">
        <v>86.847499999999997</v>
      </c>
      <c r="P651" s="2">
        <v>321</v>
      </c>
      <c r="Q651" s="2">
        <v>106.4961</v>
      </c>
      <c r="R651" s="2">
        <v>274</v>
      </c>
      <c r="S651" s="2">
        <v>111.22929999999999</v>
      </c>
      <c r="T651" s="2">
        <v>310</v>
      </c>
      <c r="U651" s="2">
        <v>5.4912000000000002E-2</v>
      </c>
      <c r="V651" s="2">
        <v>323</v>
      </c>
      <c r="W651" s="2">
        <v>2003</v>
      </c>
    </row>
    <row r="652" spans="1:23" ht="12.3" hidden="1" x14ac:dyDescent="0.4">
      <c r="A652" s="2" t="s">
        <v>268</v>
      </c>
      <c r="B652" s="2"/>
      <c r="C652" s="2"/>
      <c r="D652" s="2"/>
      <c r="E652" s="2"/>
      <c r="F652" s="2"/>
      <c r="G652" s="2"/>
      <c r="H652" s="2"/>
      <c r="I652" s="2">
        <v>77.581000000000003</v>
      </c>
      <c r="J652" s="2">
        <v>3</v>
      </c>
      <c r="K652" s="2">
        <v>77.011099999999999</v>
      </c>
      <c r="L652" s="2">
        <v>2</v>
      </c>
      <c r="M652" s="2">
        <v>92.830100000000002</v>
      </c>
      <c r="N652" s="2">
        <v>294</v>
      </c>
      <c r="O652" s="2">
        <v>90.566199999999995</v>
      </c>
      <c r="P652" s="2">
        <v>304</v>
      </c>
      <c r="Q652" s="2">
        <v>118.9837</v>
      </c>
      <c r="R652" s="2">
        <v>327</v>
      </c>
      <c r="S652" s="2">
        <v>117.5574</v>
      </c>
      <c r="T652" s="2">
        <v>326</v>
      </c>
      <c r="U652" s="2">
        <v>4.7438000000000001E-2</v>
      </c>
      <c r="V652" s="2">
        <v>324</v>
      </c>
      <c r="W652" s="2">
        <v>2003</v>
      </c>
    </row>
    <row r="653" spans="1:23" ht="12.3" hidden="1" x14ac:dyDescent="0.4">
      <c r="A653" s="2" t="s">
        <v>350</v>
      </c>
      <c r="B653" s="2"/>
      <c r="C653" s="2"/>
      <c r="D653" s="2"/>
      <c r="E653" s="2"/>
      <c r="F653" s="2"/>
      <c r="G653" s="2"/>
      <c r="H653" s="2"/>
      <c r="I653" s="2">
        <v>69.349500000000006</v>
      </c>
      <c r="J653" s="2">
        <v>140</v>
      </c>
      <c r="K653" s="2">
        <v>67.470699999999994</v>
      </c>
      <c r="L653" s="2">
        <v>210</v>
      </c>
      <c r="M653" s="2">
        <v>87.512699999999995</v>
      </c>
      <c r="N653" s="2">
        <v>318</v>
      </c>
      <c r="O653" s="2">
        <v>88.630899999999997</v>
      </c>
      <c r="P653" s="2">
        <v>315</v>
      </c>
      <c r="Q653" s="2">
        <v>109.0371</v>
      </c>
      <c r="R653" s="2">
        <v>305</v>
      </c>
      <c r="S653" s="2">
        <v>115.0741</v>
      </c>
      <c r="T653" s="2">
        <v>321</v>
      </c>
      <c r="U653" s="2">
        <v>4.7308000000000003E-2</v>
      </c>
      <c r="V653" s="2">
        <v>325</v>
      </c>
      <c r="W653" s="2">
        <v>2003</v>
      </c>
    </row>
    <row r="654" spans="1:23" ht="12.3" hidden="1" x14ac:dyDescent="0.4">
      <c r="A654" s="2" t="s">
        <v>352</v>
      </c>
      <c r="B654" s="2"/>
      <c r="C654" s="2"/>
      <c r="D654" s="2"/>
      <c r="E654" s="2"/>
      <c r="F654" s="2"/>
      <c r="G654" s="2"/>
      <c r="H654" s="2"/>
      <c r="I654" s="2">
        <v>75.908199999999994</v>
      </c>
      <c r="J654" s="2">
        <v>5</v>
      </c>
      <c r="K654" s="2">
        <v>75.401300000000006</v>
      </c>
      <c r="L654" s="2">
        <v>5</v>
      </c>
      <c r="M654" s="2">
        <v>80.858800000000002</v>
      </c>
      <c r="N654" s="2">
        <v>326</v>
      </c>
      <c r="O654" s="2">
        <v>78.724699999999999</v>
      </c>
      <c r="P654" s="2">
        <v>327</v>
      </c>
      <c r="Q654" s="2">
        <v>103.09439999999999</v>
      </c>
      <c r="R654" s="2">
        <v>219</v>
      </c>
      <c r="S654" s="2">
        <v>102.5827</v>
      </c>
      <c r="T654" s="2">
        <v>193</v>
      </c>
      <c r="U654" s="2">
        <v>4.5469000000000002E-2</v>
      </c>
      <c r="V654" s="2">
        <v>326</v>
      </c>
      <c r="W654" s="2">
        <v>2003</v>
      </c>
    </row>
    <row r="655" spans="1:23" ht="12.3" hidden="1" x14ac:dyDescent="0.4">
      <c r="A655" s="2" t="s">
        <v>296</v>
      </c>
      <c r="B655" s="2"/>
      <c r="C655" s="2"/>
      <c r="D655" s="2"/>
      <c r="E655" s="2"/>
      <c r="F655" s="2"/>
      <c r="G655" s="2"/>
      <c r="H655" s="2"/>
      <c r="I655" s="2">
        <v>69.954599999999999</v>
      </c>
      <c r="J655" s="2">
        <v>113</v>
      </c>
      <c r="K655" s="2">
        <v>70.400000000000006</v>
      </c>
      <c r="L655" s="2">
        <v>89</v>
      </c>
      <c r="M655" s="2">
        <v>86.322299999999998</v>
      </c>
      <c r="N655" s="2">
        <v>319</v>
      </c>
      <c r="O655" s="2">
        <v>86.005899999999997</v>
      </c>
      <c r="P655" s="2">
        <v>322</v>
      </c>
      <c r="Q655" s="2">
        <v>114.48399999999999</v>
      </c>
      <c r="R655" s="2">
        <v>326</v>
      </c>
      <c r="S655" s="2">
        <v>119.03149999999999</v>
      </c>
      <c r="T655" s="2">
        <v>327</v>
      </c>
      <c r="U655" s="2">
        <v>2.3266999999999999E-2</v>
      </c>
      <c r="V655" s="2">
        <v>327</v>
      </c>
      <c r="W655" s="2">
        <v>2003</v>
      </c>
    </row>
    <row r="656" spans="1:23" ht="12.3" x14ac:dyDescent="0.4">
      <c r="A656" s="2" t="s">
        <v>338</v>
      </c>
      <c r="B656" s="2">
        <v>16</v>
      </c>
      <c r="C656" s="25"/>
      <c r="D656" s="25"/>
      <c r="E656" s="25"/>
      <c r="F656" s="25"/>
      <c r="G656" s="2"/>
      <c r="H656" s="2"/>
      <c r="I656" s="2">
        <v>65.389700000000005</v>
      </c>
      <c r="J656" s="2">
        <v>197</v>
      </c>
      <c r="K656" s="2">
        <v>64.886600000000001</v>
      </c>
      <c r="L656" s="2">
        <v>219</v>
      </c>
      <c r="M656" s="2">
        <v>101.7422</v>
      </c>
      <c r="N656" s="2">
        <v>155</v>
      </c>
      <c r="O656" s="2">
        <v>96.258499999999998</v>
      </c>
      <c r="P656" s="2">
        <v>253</v>
      </c>
      <c r="Q656" s="2">
        <v>89.014799999999994</v>
      </c>
      <c r="R656" s="2">
        <v>7</v>
      </c>
      <c r="S656" s="2">
        <v>96.880799999999994</v>
      </c>
      <c r="T656" s="2">
        <v>91</v>
      </c>
      <c r="U656" s="2">
        <v>0.48148299999999999</v>
      </c>
      <c r="V656" s="2">
        <v>170</v>
      </c>
      <c r="W656" s="2">
        <v>2013</v>
      </c>
    </row>
    <row r="657" spans="1:23" ht="12.3" x14ac:dyDescent="0.4">
      <c r="A657" s="2" t="s">
        <v>343</v>
      </c>
      <c r="B657" s="2">
        <v>16</v>
      </c>
      <c r="C657" s="25"/>
      <c r="D657" s="25"/>
      <c r="E657" s="2"/>
      <c r="F657" s="2"/>
      <c r="G657" s="2"/>
      <c r="H657" s="2"/>
      <c r="I657" s="2">
        <v>70.312799999999996</v>
      </c>
      <c r="J657" s="2">
        <v>24</v>
      </c>
      <c r="K657" s="2">
        <v>69.648899999999998</v>
      </c>
      <c r="L657" s="2">
        <v>29</v>
      </c>
      <c r="M657" s="2">
        <v>112.36409999999999</v>
      </c>
      <c r="N657" s="2">
        <v>13</v>
      </c>
      <c r="O657" s="2">
        <v>109.61150000000001</v>
      </c>
      <c r="P657" s="2">
        <v>39</v>
      </c>
      <c r="Q657" s="2">
        <v>107.89400000000001</v>
      </c>
      <c r="R657" s="2">
        <v>317</v>
      </c>
      <c r="S657" s="2">
        <v>110.50830000000001</v>
      </c>
      <c r="T657" s="2">
        <v>325</v>
      </c>
      <c r="U657" s="2">
        <v>0.47658899999999998</v>
      </c>
      <c r="V657" s="2">
        <v>172</v>
      </c>
      <c r="W657" s="2">
        <v>2013</v>
      </c>
    </row>
    <row r="658" spans="1:23" ht="12.3" x14ac:dyDescent="0.4">
      <c r="A658" s="2" t="s">
        <v>200</v>
      </c>
      <c r="B658" s="2">
        <v>16</v>
      </c>
      <c r="C658" s="25"/>
      <c r="D658" s="25"/>
      <c r="E658" s="25"/>
      <c r="F658" s="2"/>
      <c r="G658" s="2"/>
      <c r="H658" s="2"/>
      <c r="I658" s="2">
        <v>64.328999999999994</v>
      </c>
      <c r="J658" s="2">
        <v>242</v>
      </c>
      <c r="K658" s="2">
        <v>64.4803</v>
      </c>
      <c r="L658" s="2">
        <v>239</v>
      </c>
      <c r="M658" s="2">
        <v>100.4855</v>
      </c>
      <c r="N658" s="2">
        <v>176</v>
      </c>
      <c r="O658" s="2">
        <v>97.496600000000001</v>
      </c>
      <c r="P658" s="2">
        <v>236</v>
      </c>
      <c r="Q658" s="2">
        <v>98.979200000000006</v>
      </c>
      <c r="R658" s="2">
        <v>138</v>
      </c>
      <c r="S658" s="2">
        <v>98.770499999999998</v>
      </c>
      <c r="T658" s="2">
        <v>127</v>
      </c>
      <c r="U658" s="2">
        <v>0.46274500000000002</v>
      </c>
      <c r="V658" s="2">
        <v>184</v>
      </c>
      <c r="W658" s="2">
        <v>2013</v>
      </c>
    </row>
    <row r="659" spans="1:23" ht="12.3" x14ac:dyDescent="0.4">
      <c r="A659" s="2" t="s">
        <v>68</v>
      </c>
      <c r="B659" s="2">
        <v>16</v>
      </c>
      <c r="C659" s="25"/>
      <c r="D659" s="2"/>
      <c r="E659" s="2"/>
      <c r="F659" s="2"/>
      <c r="G659" s="2"/>
      <c r="H659" s="2"/>
      <c r="I659" s="2">
        <v>66.854699999999994</v>
      </c>
      <c r="J659" s="2">
        <v>129</v>
      </c>
      <c r="K659" s="2">
        <v>65.674400000000006</v>
      </c>
      <c r="L659" s="2">
        <v>182</v>
      </c>
      <c r="M659" s="2">
        <v>100.071</v>
      </c>
      <c r="N659" s="2">
        <v>181</v>
      </c>
      <c r="O659" s="2">
        <v>100.47620000000001</v>
      </c>
      <c r="P659" s="2">
        <v>178</v>
      </c>
      <c r="Q659" s="2">
        <v>99.092600000000004</v>
      </c>
      <c r="R659" s="2">
        <v>142</v>
      </c>
      <c r="S659" s="2">
        <v>101.946</v>
      </c>
      <c r="T659" s="2">
        <v>193</v>
      </c>
      <c r="U659" s="2">
        <v>0.458345</v>
      </c>
      <c r="V659" s="2">
        <v>187</v>
      </c>
      <c r="W659" s="2">
        <v>2013</v>
      </c>
    </row>
    <row r="660" spans="1:23" ht="12.3" x14ac:dyDescent="0.4">
      <c r="A660" s="2" t="s">
        <v>296</v>
      </c>
      <c r="B660" s="2">
        <v>16</v>
      </c>
      <c r="C660" s="25"/>
      <c r="D660" s="25"/>
      <c r="E660" s="25"/>
      <c r="F660" s="25"/>
      <c r="G660" s="25"/>
      <c r="H660" s="25"/>
      <c r="I660" s="2">
        <v>66.788399999999996</v>
      </c>
      <c r="J660" s="2">
        <v>131</v>
      </c>
      <c r="K660" s="2">
        <v>66.834199999999996</v>
      </c>
      <c r="L660" s="2">
        <v>127</v>
      </c>
      <c r="M660" s="2">
        <v>92.000100000000003</v>
      </c>
      <c r="N660" s="2">
        <v>313</v>
      </c>
      <c r="O660" s="2">
        <v>91.118799999999993</v>
      </c>
      <c r="P660" s="2">
        <v>318</v>
      </c>
      <c r="Q660" s="2">
        <v>91.288200000000003</v>
      </c>
      <c r="R660" s="2">
        <v>19</v>
      </c>
      <c r="S660" s="2">
        <v>95.227800000000002</v>
      </c>
      <c r="T660" s="2">
        <v>66</v>
      </c>
      <c r="U660" s="2">
        <v>0.37583899999999998</v>
      </c>
      <c r="V660" s="2">
        <v>219</v>
      </c>
      <c r="W660" s="2">
        <v>2013</v>
      </c>
    </row>
    <row r="661" spans="1:23" ht="12.3" x14ac:dyDescent="0.4">
      <c r="A661" s="2" t="s">
        <v>346</v>
      </c>
      <c r="B661" s="2">
        <v>16</v>
      </c>
      <c r="C661" s="25"/>
      <c r="D661" s="2"/>
      <c r="E661" s="2"/>
      <c r="F661" s="2"/>
      <c r="G661" s="2"/>
      <c r="H661" s="2"/>
      <c r="I661" s="2">
        <v>66.046000000000006</v>
      </c>
      <c r="J661" s="2">
        <v>170</v>
      </c>
      <c r="K661" s="2">
        <v>65.912099999999995</v>
      </c>
      <c r="L661" s="2">
        <v>171</v>
      </c>
      <c r="M661" s="2">
        <v>100.69329999999999</v>
      </c>
      <c r="N661" s="2">
        <v>172</v>
      </c>
      <c r="O661" s="2">
        <v>100.9509</v>
      </c>
      <c r="P661" s="2">
        <v>167</v>
      </c>
      <c r="Q661" s="2">
        <v>105.9028</v>
      </c>
      <c r="R661" s="2">
        <v>282</v>
      </c>
      <c r="S661" s="2">
        <v>108.9177</v>
      </c>
      <c r="T661" s="2">
        <v>313</v>
      </c>
      <c r="U661" s="2">
        <v>0.29452400000000001</v>
      </c>
      <c r="V661" s="2">
        <v>256</v>
      </c>
      <c r="W661" s="2">
        <v>2013</v>
      </c>
    </row>
    <row r="662" spans="1:23" ht="12.3" x14ac:dyDescent="0.4">
      <c r="A662" s="2" t="s">
        <v>45</v>
      </c>
      <c r="B662" s="2">
        <v>1</v>
      </c>
      <c r="C662" s="3" t="s">
        <v>33</v>
      </c>
      <c r="D662" s="4" t="s">
        <v>33</v>
      </c>
      <c r="E662" s="4" t="s">
        <v>33</v>
      </c>
      <c r="F662" s="4" t="s">
        <v>33</v>
      </c>
      <c r="G662" s="4" t="s">
        <v>33</v>
      </c>
      <c r="H662" s="4" t="s">
        <v>33</v>
      </c>
      <c r="I662" s="2">
        <v>66.118399999999994</v>
      </c>
      <c r="J662" s="2">
        <v>177</v>
      </c>
      <c r="K662" s="2">
        <v>65.673500000000004</v>
      </c>
      <c r="L662" s="2">
        <v>191</v>
      </c>
      <c r="M662" s="2">
        <v>116.4605</v>
      </c>
      <c r="N662" s="2">
        <v>4</v>
      </c>
      <c r="O662" s="2">
        <v>118.6576</v>
      </c>
      <c r="P662" s="2">
        <v>2</v>
      </c>
      <c r="Q662" s="2">
        <v>89.6755</v>
      </c>
      <c r="R662" s="2">
        <v>7</v>
      </c>
      <c r="S662" s="2">
        <v>89.285499999999999</v>
      </c>
      <c r="T662" s="2">
        <v>5</v>
      </c>
      <c r="U662" s="2">
        <v>0.96340700000000001</v>
      </c>
      <c r="V662" s="2">
        <v>1</v>
      </c>
      <c r="W662" s="2">
        <v>2012</v>
      </c>
    </row>
    <row r="663" spans="1:23" ht="12.3" x14ac:dyDescent="0.4">
      <c r="A663" s="2" t="s">
        <v>58</v>
      </c>
      <c r="B663" s="2">
        <v>1</v>
      </c>
      <c r="C663" s="3" t="s">
        <v>33</v>
      </c>
      <c r="D663" s="3" t="s">
        <v>33</v>
      </c>
      <c r="E663" s="25"/>
      <c r="F663" s="25"/>
      <c r="G663" s="2"/>
      <c r="H663" s="2"/>
      <c r="I663" s="2">
        <v>65.364500000000007</v>
      </c>
      <c r="J663" s="2">
        <v>210</v>
      </c>
      <c r="K663" s="2">
        <v>65.5715</v>
      </c>
      <c r="L663" s="2">
        <v>198</v>
      </c>
      <c r="M663" s="2">
        <v>109.7376</v>
      </c>
      <c r="N663" s="2">
        <v>31</v>
      </c>
      <c r="O663" s="2">
        <v>112.9404</v>
      </c>
      <c r="P663" s="2">
        <v>19</v>
      </c>
      <c r="Q663" s="2">
        <v>90.255099999999999</v>
      </c>
      <c r="R663" s="2">
        <v>11</v>
      </c>
      <c r="S663" s="2">
        <v>86.723699999999994</v>
      </c>
      <c r="T663" s="2">
        <v>2</v>
      </c>
      <c r="U663" s="2">
        <v>0.95424100000000001</v>
      </c>
      <c r="V663" s="2">
        <v>2</v>
      </c>
      <c r="W663" s="2">
        <v>2012</v>
      </c>
    </row>
    <row r="664" spans="1:23" ht="12.3" x14ac:dyDescent="0.4">
      <c r="A664" s="2" t="s">
        <v>21</v>
      </c>
      <c r="B664" s="2">
        <v>2</v>
      </c>
      <c r="C664" s="3" t="s">
        <v>33</v>
      </c>
      <c r="D664" s="3" t="s">
        <v>33</v>
      </c>
      <c r="E664" s="3" t="s">
        <v>33</v>
      </c>
      <c r="F664" s="3" t="s">
        <v>33</v>
      </c>
      <c r="G664" s="25"/>
      <c r="H664" s="2"/>
      <c r="I664" s="2">
        <v>66.768699999999995</v>
      </c>
      <c r="J664" s="2">
        <v>143</v>
      </c>
      <c r="K664" s="2">
        <v>67.906999999999996</v>
      </c>
      <c r="L664" s="2">
        <v>84</v>
      </c>
      <c r="M664" s="2">
        <v>111.7826</v>
      </c>
      <c r="N664" s="2">
        <v>18</v>
      </c>
      <c r="O664" s="2">
        <v>116.1609</v>
      </c>
      <c r="P664" s="2">
        <v>6</v>
      </c>
      <c r="Q664" s="2">
        <v>88.862499999999997</v>
      </c>
      <c r="R664" s="2">
        <v>2</v>
      </c>
      <c r="S664" s="2">
        <v>89.882800000000003</v>
      </c>
      <c r="T664" s="2">
        <v>9</v>
      </c>
      <c r="U664" s="2">
        <v>0.95023500000000005</v>
      </c>
      <c r="V664" s="2">
        <v>3</v>
      </c>
      <c r="W664" s="2">
        <v>2012</v>
      </c>
    </row>
    <row r="665" spans="1:23" ht="12.3" x14ac:dyDescent="0.4">
      <c r="A665" s="2" t="s">
        <v>35</v>
      </c>
      <c r="B665" s="2">
        <v>2</v>
      </c>
      <c r="C665" s="3" t="s">
        <v>33</v>
      </c>
      <c r="D665" s="4" t="s">
        <v>33</v>
      </c>
      <c r="E665" s="4" t="s">
        <v>33</v>
      </c>
      <c r="F665" s="4" t="s">
        <v>33</v>
      </c>
      <c r="G665" s="4" t="s">
        <v>33</v>
      </c>
      <c r="H665" s="2"/>
      <c r="I665" s="2">
        <v>67.616500000000002</v>
      </c>
      <c r="J665" s="2">
        <v>102</v>
      </c>
      <c r="K665" s="2">
        <v>67.718999999999994</v>
      </c>
      <c r="L665" s="2">
        <v>93</v>
      </c>
      <c r="M665" s="2">
        <v>110.6377</v>
      </c>
      <c r="N665" s="2">
        <v>23</v>
      </c>
      <c r="O665" s="2">
        <v>113.60339999999999</v>
      </c>
      <c r="P665" s="2">
        <v>15</v>
      </c>
      <c r="Q665" s="2">
        <v>91.061599999999999</v>
      </c>
      <c r="R665" s="2">
        <v>14</v>
      </c>
      <c r="S665" s="2">
        <v>89.513999999999996</v>
      </c>
      <c r="T665" s="2">
        <v>7</v>
      </c>
      <c r="U665" s="2">
        <v>0.939384</v>
      </c>
      <c r="V665" s="2">
        <v>4</v>
      </c>
      <c r="W665" s="2">
        <v>2012</v>
      </c>
    </row>
    <row r="666" spans="1:23" ht="12.3" x14ac:dyDescent="0.4">
      <c r="A666" s="2" t="s">
        <v>168</v>
      </c>
      <c r="B666" s="2">
        <v>1</v>
      </c>
      <c r="C666" s="3" t="s">
        <v>33</v>
      </c>
      <c r="D666" s="4" t="s">
        <v>33</v>
      </c>
      <c r="E666" s="4" t="s">
        <v>33</v>
      </c>
      <c r="F666" s="2"/>
      <c r="G666" s="2"/>
      <c r="H666" s="2"/>
      <c r="I666" s="2">
        <v>72.926500000000004</v>
      </c>
      <c r="J666" s="2">
        <v>8</v>
      </c>
      <c r="K666" s="2">
        <v>72.232900000000001</v>
      </c>
      <c r="L666" s="2">
        <v>9</v>
      </c>
      <c r="M666" s="2">
        <v>112.15179999999999</v>
      </c>
      <c r="N666" s="2">
        <v>15</v>
      </c>
      <c r="O666" s="2">
        <v>115.7779</v>
      </c>
      <c r="P666" s="2">
        <v>7</v>
      </c>
      <c r="Q666" s="2">
        <v>91.999499999999998</v>
      </c>
      <c r="R666" s="2">
        <v>21</v>
      </c>
      <c r="S666" s="2">
        <v>91.440200000000004</v>
      </c>
      <c r="T666" s="2">
        <v>15</v>
      </c>
      <c r="U666" s="2">
        <v>0.93784000000000001</v>
      </c>
      <c r="V666" s="2">
        <v>5</v>
      </c>
      <c r="W666" s="2">
        <v>2012</v>
      </c>
    </row>
    <row r="667" spans="1:23" ht="12.3" x14ac:dyDescent="0.4">
      <c r="A667" s="2" t="s">
        <v>73</v>
      </c>
      <c r="B667" s="2">
        <v>2</v>
      </c>
      <c r="C667" s="25"/>
      <c r="D667" s="2"/>
      <c r="E667" s="2"/>
      <c r="F667" s="2"/>
      <c r="G667" s="2"/>
      <c r="H667" s="2"/>
      <c r="I667" s="2">
        <v>66.465299999999999</v>
      </c>
      <c r="J667" s="2">
        <v>155</v>
      </c>
      <c r="K667" s="2">
        <v>66.300799999999995</v>
      </c>
      <c r="L667" s="2">
        <v>150</v>
      </c>
      <c r="M667" s="2">
        <v>120.50579999999999</v>
      </c>
      <c r="N667" s="2">
        <v>1</v>
      </c>
      <c r="O667" s="2">
        <v>123.2176</v>
      </c>
      <c r="P667" s="2">
        <v>1</v>
      </c>
      <c r="Q667" s="2">
        <v>98.398300000000006</v>
      </c>
      <c r="R667" s="2">
        <v>109</v>
      </c>
      <c r="S667" s="2">
        <v>98.032399999999996</v>
      </c>
      <c r="T667" s="2">
        <v>107</v>
      </c>
      <c r="U667" s="2">
        <v>0.93273700000000004</v>
      </c>
      <c r="V667" s="2">
        <v>6</v>
      </c>
      <c r="W667" s="2">
        <v>2012</v>
      </c>
    </row>
    <row r="668" spans="1:23" ht="12.3" x14ac:dyDescent="0.4">
      <c r="A668" s="2" t="s">
        <v>23</v>
      </c>
      <c r="B668" s="2">
        <v>1</v>
      </c>
      <c r="C668" s="3" t="s">
        <v>33</v>
      </c>
      <c r="D668" s="4" t="s">
        <v>33</v>
      </c>
      <c r="E668" s="4" t="s">
        <v>33</v>
      </c>
      <c r="F668" s="2"/>
      <c r="G668" s="2"/>
      <c r="H668" s="2"/>
      <c r="I668" s="2">
        <v>65.864599999999996</v>
      </c>
      <c r="J668" s="2">
        <v>190</v>
      </c>
      <c r="K668" s="2">
        <v>65.889899999999997</v>
      </c>
      <c r="L668" s="2">
        <v>180</v>
      </c>
      <c r="M668" s="2">
        <v>112.80670000000001</v>
      </c>
      <c r="N668" s="2">
        <v>11</v>
      </c>
      <c r="O668" s="2">
        <v>113.5377</v>
      </c>
      <c r="P668" s="2">
        <v>16</v>
      </c>
      <c r="Q668" s="2">
        <v>91.852000000000004</v>
      </c>
      <c r="R668" s="2">
        <v>20</v>
      </c>
      <c r="S668" s="2">
        <v>90.527900000000002</v>
      </c>
      <c r="T668" s="2">
        <v>12</v>
      </c>
      <c r="U668" s="2">
        <v>0.93115000000000003</v>
      </c>
      <c r="V668" s="2">
        <v>7</v>
      </c>
      <c r="W668" s="2">
        <v>2012</v>
      </c>
    </row>
    <row r="669" spans="1:23" ht="12.3" x14ac:dyDescent="0.4">
      <c r="A669" s="2" t="s">
        <v>71</v>
      </c>
      <c r="B669" s="2">
        <v>8</v>
      </c>
      <c r="C669" s="25"/>
      <c r="D669" s="2"/>
      <c r="E669" s="2"/>
      <c r="F669" s="2"/>
      <c r="G669" s="2"/>
      <c r="H669" s="2"/>
      <c r="I669" s="2">
        <v>67.518100000000004</v>
      </c>
      <c r="J669" s="2">
        <v>109</v>
      </c>
      <c r="K669" s="2">
        <v>68.317899999999995</v>
      </c>
      <c r="L669" s="2">
        <v>68</v>
      </c>
      <c r="M669" s="2">
        <v>110.1803</v>
      </c>
      <c r="N669" s="2">
        <v>26</v>
      </c>
      <c r="O669" s="2">
        <v>113.1039</v>
      </c>
      <c r="P669" s="2">
        <v>18</v>
      </c>
      <c r="Q669" s="2">
        <v>92.051900000000003</v>
      </c>
      <c r="R669" s="2">
        <v>22</v>
      </c>
      <c r="S669" s="2">
        <v>91.730999999999995</v>
      </c>
      <c r="T669" s="2">
        <v>16</v>
      </c>
      <c r="U669" s="2">
        <v>0.91748300000000005</v>
      </c>
      <c r="V669" s="2">
        <v>8</v>
      </c>
      <c r="W669" s="2">
        <v>2012</v>
      </c>
    </row>
    <row r="670" spans="1:23" ht="12.3" x14ac:dyDescent="0.4">
      <c r="A670" s="2" t="s">
        <v>192</v>
      </c>
      <c r="B670" s="2">
        <v>5</v>
      </c>
      <c r="C670" s="25"/>
      <c r="D670" s="25"/>
      <c r="E670" s="2"/>
      <c r="F670" s="2"/>
      <c r="G670" s="2"/>
      <c r="H670" s="2"/>
      <c r="I670" s="2">
        <v>66.927400000000006</v>
      </c>
      <c r="J670" s="2">
        <v>134</v>
      </c>
      <c r="K670" s="2">
        <v>67.008799999999994</v>
      </c>
      <c r="L670" s="2">
        <v>122</v>
      </c>
      <c r="M670" s="2">
        <v>113.6251</v>
      </c>
      <c r="N670" s="2">
        <v>9</v>
      </c>
      <c r="O670" s="2">
        <v>115.3159</v>
      </c>
      <c r="P670" s="2">
        <v>8</v>
      </c>
      <c r="Q670" s="2">
        <v>92.6357</v>
      </c>
      <c r="R670" s="2">
        <v>26</v>
      </c>
      <c r="S670" s="2">
        <v>94.075599999999994</v>
      </c>
      <c r="T670" s="2">
        <v>39</v>
      </c>
      <c r="U670" s="2">
        <v>0.91222700000000001</v>
      </c>
      <c r="V670" s="2">
        <v>9</v>
      </c>
      <c r="W670" s="2">
        <v>2012</v>
      </c>
    </row>
    <row r="671" spans="1:23" ht="12.3" x14ac:dyDescent="0.4">
      <c r="A671" s="2" t="s">
        <v>76</v>
      </c>
      <c r="B671" s="2">
        <v>4</v>
      </c>
      <c r="C671" s="4" t="s">
        <v>33</v>
      </c>
      <c r="D671" s="4" t="s">
        <v>33</v>
      </c>
      <c r="E671" s="2"/>
      <c r="F671" s="2"/>
      <c r="G671" s="2"/>
      <c r="H671" s="2"/>
      <c r="I671" s="2">
        <v>58.965699999999998</v>
      </c>
      <c r="J671" s="2">
        <v>345</v>
      </c>
      <c r="K671" s="2">
        <v>58.963700000000003</v>
      </c>
      <c r="L671" s="2">
        <v>344</v>
      </c>
      <c r="M671" s="2">
        <v>107.6313</v>
      </c>
      <c r="N671" s="2">
        <v>50</v>
      </c>
      <c r="O671" s="2">
        <v>109.6301</v>
      </c>
      <c r="P671" s="2">
        <v>35</v>
      </c>
      <c r="Q671" s="2">
        <v>88.8797</v>
      </c>
      <c r="R671" s="2">
        <v>3</v>
      </c>
      <c r="S671" s="2">
        <v>89.724299999999999</v>
      </c>
      <c r="T671" s="2">
        <v>8</v>
      </c>
      <c r="U671" s="2">
        <v>0.90922899999999995</v>
      </c>
      <c r="V671" s="2">
        <v>10</v>
      </c>
      <c r="W671" s="2">
        <v>2012</v>
      </c>
    </row>
    <row r="672" spans="1:23" ht="12.3" x14ac:dyDescent="0.4">
      <c r="A672" s="2" t="s">
        <v>158</v>
      </c>
      <c r="B672" s="2">
        <v>3</v>
      </c>
      <c r="C672" s="3" t="s">
        <v>33</v>
      </c>
      <c r="D672" s="4" t="s">
        <v>33</v>
      </c>
      <c r="E672" s="4" t="s">
        <v>33</v>
      </c>
      <c r="F672" s="2"/>
      <c r="G672" s="2"/>
      <c r="H672" s="2"/>
      <c r="I672" s="2">
        <v>67.136399999999995</v>
      </c>
      <c r="J672" s="2">
        <v>121</v>
      </c>
      <c r="K672" s="2">
        <v>66.466300000000004</v>
      </c>
      <c r="L672" s="2">
        <v>145</v>
      </c>
      <c r="M672" s="2">
        <v>110.1153</v>
      </c>
      <c r="N672" s="2">
        <v>27</v>
      </c>
      <c r="O672" s="2">
        <v>114.86360000000001</v>
      </c>
      <c r="P672" s="2">
        <v>11</v>
      </c>
      <c r="Q672" s="2">
        <v>96.799899999999994</v>
      </c>
      <c r="R672" s="2">
        <v>75</v>
      </c>
      <c r="S672" s="2">
        <v>94.637799999999999</v>
      </c>
      <c r="T672" s="2">
        <v>47</v>
      </c>
      <c r="U672" s="2">
        <v>0.90268499999999996</v>
      </c>
      <c r="V672" s="2">
        <v>11</v>
      </c>
      <c r="W672" s="2">
        <v>2012</v>
      </c>
    </row>
    <row r="673" spans="1:23" ht="12.3" x14ac:dyDescent="0.4">
      <c r="A673" s="2" t="s">
        <v>40</v>
      </c>
      <c r="B673" s="2">
        <v>4</v>
      </c>
      <c r="C673" s="3" t="s">
        <v>33</v>
      </c>
      <c r="D673" s="3" t="s">
        <v>33</v>
      </c>
      <c r="E673" s="25"/>
      <c r="F673" s="2"/>
      <c r="G673" s="2"/>
      <c r="H673" s="2"/>
      <c r="I673" s="2">
        <v>66.999200000000002</v>
      </c>
      <c r="J673" s="2">
        <v>129</v>
      </c>
      <c r="K673" s="2">
        <v>67.507400000000004</v>
      </c>
      <c r="L673" s="2">
        <v>104</v>
      </c>
      <c r="M673" s="2">
        <v>115.0583</v>
      </c>
      <c r="N673" s="2">
        <v>7</v>
      </c>
      <c r="O673" s="2">
        <v>117.8019</v>
      </c>
      <c r="P673" s="2">
        <v>4</v>
      </c>
      <c r="Q673" s="2">
        <v>98.185299999999998</v>
      </c>
      <c r="R673" s="2">
        <v>103</v>
      </c>
      <c r="S673" s="2">
        <v>97.164699999999996</v>
      </c>
      <c r="T673" s="2">
        <v>83</v>
      </c>
      <c r="U673" s="2">
        <v>0.90157699999999996</v>
      </c>
      <c r="V673" s="2">
        <v>12</v>
      </c>
      <c r="W673" s="2">
        <v>2012</v>
      </c>
    </row>
    <row r="674" spans="1:23" ht="12.3" x14ac:dyDescent="0.4">
      <c r="A674" s="2" t="s">
        <v>111</v>
      </c>
      <c r="B674" s="2">
        <v>5</v>
      </c>
      <c r="C674" s="4" t="s">
        <v>33</v>
      </c>
      <c r="D674" s="2"/>
      <c r="E674" s="2"/>
      <c r="F674" s="2"/>
      <c r="G674" s="2"/>
      <c r="H674" s="2"/>
      <c r="I674" s="2">
        <v>65.832599999999999</v>
      </c>
      <c r="J674" s="2">
        <v>192</v>
      </c>
      <c r="K674" s="2">
        <v>65.5869</v>
      </c>
      <c r="L674" s="2">
        <v>196</v>
      </c>
      <c r="M674" s="2">
        <v>109.6189</v>
      </c>
      <c r="N674" s="2">
        <v>32</v>
      </c>
      <c r="O674" s="2">
        <v>113.3553</v>
      </c>
      <c r="P674" s="2">
        <v>17</v>
      </c>
      <c r="Q674" s="2">
        <v>97.488200000000006</v>
      </c>
      <c r="R674" s="2">
        <v>88</v>
      </c>
      <c r="S674" s="2">
        <v>93.839200000000005</v>
      </c>
      <c r="T674" s="2">
        <v>33</v>
      </c>
      <c r="U674" s="2">
        <v>0.897787</v>
      </c>
      <c r="V674" s="2">
        <v>13</v>
      </c>
      <c r="W674" s="2">
        <v>2012</v>
      </c>
    </row>
    <row r="675" spans="1:23" ht="12.3" x14ac:dyDescent="0.4">
      <c r="A675" s="2" t="s">
        <v>116</v>
      </c>
      <c r="B675" s="2">
        <v>9</v>
      </c>
      <c r="C675" s="3" t="s">
        <v>33</v>
      </c>
      <c r="D675" s="25"/>
      <c r="E675" s="2"/>
      <c r="F675" s="2"/>
      <c r="G675" s="2"/>
      <c r="H675" s="2"/>
      <c r="I675" s="2">
        <v>63.272199999999998</v>
      </c>
      <c r="J675" s="2">
        <v>293</v>
      </c>
      <c r="K675" s="2">
        <v>62.837499999999999</v>
      </c>
      <c r="L675" s="2">
        <v>303</v>
      </c>
      <c r="M675" s="2">
        <v>109.19459999999999</v>
      </c>
      <c r="N675" s="2">
        <v>35</v>
      </c>
      <c r="O675" s="2">
        <v>109.18729999999999</v>
      </c>
      <c r="P675" s="2">
        <v>41</v>
      </c>
      <c r="Q675" s="2">
        <v>89.926000000000002</v>
      </c>
      <c r="R675" s="2">
        <v>9</v>
      </c>
      <c r="S675" s="2">
        <v>90.936700000000002</v>
      </c>
      <c r="T675" s="2">
        <v>13</v>
      </c>
      <c r="U675" s="2">
        <v>0.89122900000000005</v>
      </c>
      <c r="V675" s="2">
        <v>14</v>
      </c>
      <c r="W675" s="2">
        <v>2012</v>
      </c>
    </row>
    <row r="676" spans="1:23" ht="12.3" x14ac:dyDescent="0.4">
      <c r="A676" s="2" t="s">
        <v>62</v>
      </c>
      <c r="B676" s="2">
        <v>3</v>
      </c>
      <c r="C676" s="3" t="s">
        <v>33</v>
      </c>
      <c r="D676" s="25"/>
      <c r="E676" s="2"/>
      <c r="F676" s="2"/>
      <c r="G676" s="2"/>
      <c r="H676" s="2"/>
      <c r="I676" s="2">
        <v>63.630499999999998</v>
      </c>
      <c r="J676" s="2">
        <v>281</v>
      </c>
      <c r="K676" s="2">
        <v>63.254600000000003</v>
      </c>
      <c r="L676" s="2">
        <v>294</v>
      </c>
      <c r="M676" s="2">
        <v>105.8721</v>
      </c>
      <c r="N676" s="2">
        <v>79</v>
      </c>
      <c r="O676" s="2">
        <v>108.2437</v>
      </c>
      <c r="P676" s="2">
        <v>52</v>
      </c>
      <c r="Q676" s="2">
        <v>91.401399999999995</v>
      </c>
      <c r="R676" s="2">
        <v>16</v>
      </c>
      <c r="S676" s="2">
        <v>90.226600000000005</v>
      </c>
      <c r="T676" s="2">
        <v>10</v>
      </c>
      <c r="U676" s="2">
        <v>0.890289</v>
      </c>
      <c r="V676" s="2">
        <v>15</v>
      </c>
      <c r="W676" s="2">
        <v>2012</v>
      </c>
    </row>
    <row r="677" spans="1:23" ht="12.3" x14ac:dyDescent="0.4">
      <c r="A677" s="2" t="s">
        <v>32</v>
      </c>
      <c r="B677" s="2">
        <v>2</v>
      </c>
      <c r="C677" s="25"/>
      <c r="D677" s="25"/>
      <c r="E677" s="2"/>
      <c r="F677" s="2"/>
      <c r="G677" s="2"/>
      <c r="H677" s="2"/>
      <c r="I677" s="2">
        <v>68.288200000000003</v>
      </c>
      <c r="J677" s="2">
        <v>74</v>
      </c>
      <c r="K677" s="2">
        <v>67.581800000000001</v>
      </c>
      <c r="L677" s="2">
        <v>100</v>
      </c>
      <c r="M677" s="2">
        <v>112.61660000000001</v>
      </c>
      <c r="N677" s="2">
        <v>12</v>
      </c>
      <c r="O677" s="2">
        <v>115.14190000000001</v>
      </c>
      <c r="P677" s="2">
        <v>9</v>
      </c>
      <c r="Q677" s="2">
        <v>99.596500000000006</v>
      </c>
      <c r="R677" s="2">
        <v>143</v>
      </c>
      <c r="S677" s="2">
        <v>96.386899999999997</v>
      </c>
      <c r="T677" s="2">
        <v>72</v>
      </c>
      <c r="U677" s="2">
        <v>0.88540399999999997</v>
      </c>
      <c r="V677" s="2">
        <v>16</v>
      </c>
      <c r="W677" s="2">
        <v>2012</v>
      </c>
    </row>
    <row r="678" spans="1:23" ht="12.3" x14ac:dyDescent="0.4">
      <c r="A678" s="2" t="s">
        <v>115</v>
      </c>
      <c r="B678" s="2">
        <v>5</v>
      </c>
      <c r="C678" s="4" t="s">
        <v>33</v>
      </c>
      <c r="D678" s="2"/>
      <c r="E678" s="2"/>
      <c r="F678" s="2"/>
      <c r="G678" s="2"/>
      <c r="H678" s="2"/>
      <c r="I678" s="2">
        <v>66.386499999999998</v>
      </c>
      <c r="J678" s="2">
        <v>161</v>
      </c>
      <c r="K678" s="2">
        <v>66.707099999999997</v>
      </c>
      <c r="L678" s="2">
        <v>136</v>
      </c>
      <c r="M678" s="2">
        <v>108.81</v>
      </c>
      <c r="N678" s="2">
        <v>41</v>
      </c>
      <c r="O678" s="2">
        <v>108.72320000000001</v>
      </c>
      <c r="P678" s="2">
        <v>46</v>
      </c>
      <c r="Q678" s="2">
        <v>89.635900000000007</v>
      </c>
      <c r="R678" s="2">
        <v>6</v>
      </c>
      <c r="S678" s="2">
        <v>91.095299999999995</v>
      </c>
      <c r="T678" s="2">
        <v>14</v>
      </c>
      <c r="U678" s="2">
        <v>0.884355</v>
      </c>
      <c r="V678" s="2">
        <v>17</v>
      </c>
      <c r="W678" s="2">
        <v>2012</v>
      </c>
    </row>
    <row r="679" spans="1:23" ht="12.3" x14ac:dyDescent="0.4">
      <c r="A679" s="2" t="s">
        <v>39</v>
      </c>
      <c r="B679" s="2">
        <v>3</v>
      </c>
      <c r="C679" s="3" t="s">
        <v>33</v>
      </c>
      <c r="D679" s="3" t="s">
        <v>33</v>
      </c>
      <c r="E679" s="2"/>
      <c r="F679" s="2"/>
      <c r="G679" s="2"/>
      <c r="H679" s="2"/>
      <c r="I679" s="2">
        <v>70.675399999999996</v>
      </c>
      <c r="J679" s="2">
        <v>25</v>
      </c>
      <c r="K679" s="2">
        <v>71.380099999999999</v>
      </c>
      <c r="L679" s="2">
        <v>15</v>
      </c>
      <c r="M679" s="2">
        <v>107.28830000000001</v>
      </c>
      <c r="N679" s="2">
        <v>58</v>
      </c>
      <c r="O679" s="2">
        <v>109.9601</v>
      </c>
      <c r="P679" s="2">
        <v>29</v>
      </c>
      <c r="Q679" s="2">
        <v>93.815399999999997</v>
      </c>
      <c r="R679" s="2">
        <v>37</v>
      </c>
      <c r="S679" s="2">
        <v>92.522599999999997</v>
      </c>
      <c r="T679" s="2">
        <v>20</v>
      </c>
      <c r="U679" s="2">
        <v>0.87928099999999998</v>
      </c>
      <c r="V679" s="2">
        <v>18</v>
      </c>
      <c r="W679" s="2">
        <v>2012</v>
      </c>
    </row>
    <row r="680" spans="1:23" ht="12.3" hidden="1" x14ac:dyDescent="0.4">
      <c r="A680" s="2" t="s">
        <v>20</v>
      </c>
      <c r="B680" s="2"/>
      <c r="C680" s="2"/>
      <c r="D680" s="2"/>
      <c r="E680" s="2"/>
      <c r="F680" s="2"/>
      <c r="G680" s="2"/>
      <c r="H680" s="2"/>
      <c r="I680" s="2">
        <v>67.819599999999994</v>
      </c>
      <c r="J680" s="2">
        <v>172</v>
      </c>
      <c r="K680" s="2">
        <v>66.9358</v>
      </c>
      <c r="L680" s="2">
        <v>196</v>
      </c>
      <c r="M680" s="2">
        <v>102.85339999999999</v>
      </c>
      <c r="N680" s="2">
        <v>115</v>
      </c>
      <c r="O680" s="2">
        <v>106.34269999999999</v>
      </c>
      <c r="P680" s="2">
        <v>76</v>
      </c>
      <c r="Q680" s="2">
        <v>94.100099999999998</v>
      </c>
      <c r="R680" s="2">
        <v>32</v>
      </c>
      <c r="S680" s="2">
        <v>90.446899999999999</v>
      </c>
      <c r="T680" s="2">
        <v>9</v>
      </c>
      <c r="U680" s="2">
        <v>0.86551800000000001</v>
      </c>
      <c r="V680" s="2">
        <v>25</v>
      </c>
      <c r="W680" s="2">
        <v>2004</v>
      </c>
    </row>
    <row r="681" spans="1:23" ht="12.3" x14ac:dyDescent="0.4">
      <c r="A681" s="2" t="s">
        <v>37</v>
      </c>
      <c r="B681" s="2">
        <v>7</v>
      </c>
      <c r="C681" s="3" t="s">
        <v>33</v>
      </c>
      <c r="D681" s="3" t="s">
        <v>33</v>
      </c>
      <c r="E681" s="3" t="s">
        <v>33</v>
      </c>
      <c r="F681" s="2"/>
      <c r="G681" s="2"/>
      <c r="H681" s="2"/>
      <c r="I681" s="2">
        <v>65.099599999999995</v>
      </c>
      <c r="J681" s="2">
        <v>223</v>
      </c>
      <c r="K681" s="2">
        <v>64.867599999999996</v>
      </c>
      <c r="L681" s="2">
        <v>234</v>
      </c>
      <c r="M681" s="2">
        <v>115.67310000000001</v>
      </c>
      <c r="N681" s="2">
        <v>6</v>
      </c>
      <c r="O681" s="2">
        <v>118.5885</v>
      </c>
      <c r="P681" s="2">
        <v>3</v>
      </c>
      <c r="Q681" s="2">
        <v>100.7488</v>
      </c>
      <c r="R681" s="2">
        <v>170</v>
      </c>
      <c r="S681" s="2">
        <v>100.08329999999999</v>
      </c>
      <c r="T681" s="2">
        <v>146</v>
      </c>
      <c r="U681" s="2">
        <v>0.87556100000000003</v>
      </c>
      <c r="V681" s="2">
        <v>19</v>
      </c>
      <c r="W681" s="2">
        <v>2012</v>
      </c>
    </row>
    <row r="682" spans="1:23" ht="12.3" x14ac:dyDescent="0.4">
      <c r="A682" s="2" t="s">
        <v>86</v>
      </c>
      <c r="B682" s="2">
        <v>4</v>
      </c>
      <c r="C682" s="3" t="s">
        <v>33</v>
      </c>
      <c r="D682" s="4" t="s">
        <v>33</v>
      </c>
      <c r="E682" s="4" t="s">
        <v>33</v>
      </c>
      <c r="F682" s="4" t="s">
        <v>33</v>
      </c>
      <c r="G682" s="2"/>
      <c r="H682" s="2"/>
      <c r="I682" s="2">
        <v>67.836600000000004</v>
      </c>
      <c r="J682" s="2">
        <v>91</v>
      </c>
      <c r="K682" s="2">
        <v>67.644300000000001</v>
      </c>
      <c r="L682" s="2">
        <v>97</v>
      </c>
      <c r="M682" s="2">
        <v>99.940799999999996</v>
      </c>
      <c r="N682" s="2">
        <v>188</v>
      </c>
      <c r="O682" s="2">
        <v>102.45229999999999</v>
      </c>
      <c r="P682" s="2">
        <v>139</v>
      </c>
      <c r="Q682" s="2">
        <v>89.026600000000002</v>
      </c>
      <c r="R682" s="2">
        <v>4</v>
      </c>
      <c r="S682" s="2">
        <v>86.516400000000004</v>
      </c>
      <c r="T682" s="2">
        <v>1</v>
      </c>
      <c r="U682" s="2">
        <v>0.87481600000000004</v>
      </c>
      <c r="V682" s="2">
        <v>20</v>
      </c>
      <c r="W682" s="2">
        <v>2012</v>
      </c>
    </row>
    <row r="683" spans="1:23" ht="12.3" x14ac:dyDescent="0.4">
      <c r="A683" s="2" t="s">
        <v>148</v>
      </c>
      <c r="B683" s="2">
        <v>8</v>
      </c>
      <c r="C683" s="3" t="s">
        <v>33</v>
      </c>
      <c r="D683" s="25"/>
      <c r="E683" s="2"/>
      <c r="F683" s="2"/>
      <c r="G683" s="2"/>
      <c r="H683" s="2"/>
      <c r="I683" s="2">
        <v>67.371899999999997</v>
      </c>
      <c r="J683" s="2">
        <v>113</v>
      </c>
      <c r="K683" s="2">
        <v>67.217500000000001</v>
      </c>
      <c r="L683" s="2">
        <v>113</v>
      </c>
      <c r="M683" s="2">
        <v>104.8916</v>
      </c>
      <c r="N683" s="2">
        <v>98</v>
      </c>
      <c r="O683" s="2">
        <v>108.6262</v>
      </c>
      <c r="P683" s="2">
        <v>50</v>
      </c>
      <c r="Q683" s="2">
        <v>93.613600000000005</v>
      </c>
      <c r="R683" s="2">
        <v>35</v>
      </c>
      <c r="S683" s="2">
        <v>91.874600000000001</v>
      </c>
      <c r="T683" s="2">
        <v>17</v>
      </c>
      <c r="U683" s="2">
        <v>0.87281799999999998</v>
      </c>
      <c r="V683" s="2">
        <v>21</v>
      </c>
      <c r="W683" s="2">
        <v>2012</v>
      </c>
    </row>
    <row r="684" spans="1:23" ht="12.3" x14ac:dyDescent="0.4">
      <c r="A684" s="2" t="s">
        <v>20</v>
      </c>
      <c r="B684" s="2">
        <v>3</v>
      </c>
      <c r="C684" s="4" t="s">
        <v>33</v>
      </c>
      <c r="D684" s="2"/>
      <c r="E684" s="2"/>
      <c r="F684" s="2"/>
      <c r="G684" s="2"/>
      <c r="H684" s="2"/>
      <c r="I684" s="2">
        <v>67.796499999999995</v>
      </c>
      <c r="J684" s="2">
        <v>94</v>
      </c>
      <c r="K684" s="2">
        <v>67.657399999999996</v>
      </c>
      <c r="L684" s="2">
        <v>96</v>
      </c>
      <c r="M684" s="2">
        <v>102.1193</v>
      </c>
      <c r="N684" s="2">
        <v>149</v>
      </c>
      <c r="O684" s="2">
        <v>106.69589999999999</v>
      </c>
      <c r="P684" s="2">
        <v>72</v>
      </c>
      <c r="Q684" s="2">
        <v>91.799199999999999</v>
      </c>
      <c r="R684" s="2">
        <v>18</v>
      </c>
      <c r="S684" s="2">
        <v>90.330500000000001</v>
      </c>
      <c r="T684" s="2">
        <v>11</v>
      </c>
      <c r="U684" s="2">
        <v>0.87156100000000003</v>
      </c>
      <c r="V684" s="2">
        <v>22</v>
      </c>
      <c r="W684" s="2">
        <v>2012</v>
      </c>
    </row>
    <row r="685" spans="1:23" ht="12.3" x14ac:dyDescent="0.4">
      <c r="A685" s="2" t="s">
        <v>154</v>
      </c>
      <c r="B685" s="2">
        <v>4</v>
      </c>
      <c r="C685" s="2"/>
      <c r="D685" s="2"/>
      <c r="E685" s="2"/>
      <c r="F685" s="2"/>
      <c r="G685" s="2"/>
      <c r="H685" s="2"/>
      <c r="I685" s="2">
        <v>61.420400000000001</v>
      </c>
      <c r="J685" s="2">
        <v>328</v>
      </c>
      <c r="K685" s="2">
        <v>61.382800000000003</v>
      </c>
      <c r="L685" s="2">
        <v>326</v>
      </c>
      <c r="M685" s="2">
        <v>107.44799999999999</v>
      </c>
      <c r="N685" s="2">
        <v>55</v>
      </c>
      <c r="O685" s="2">
        <v>111.7586</v>
      </c>
      <c r="P685" s="2">
        <v>23</v>
      </c>
      <c r="Q685" s="2">
        <v>100.20359999999999</v>
      </c>
      <c r="R685" s="2">
        <v>156</v>
      </c>
      <c r="S685" s="2">
        <v>95.213800000000006</v>
      </c>
      <c r="T685" s="2">
        <v>55</v>
      </c>
      <c r="U685" s="2">
        <v>0.86324199999999995</v>
      </c>
      <c r="V685" s="2">
        <v>23</v>
      </c>
      <c r="W685" s="2">
        <v>2012</v>
      </c>
    </row>
    <row r="686" spans="1:23" ht="12.3" x14ac:dyDescent="0.4">
      <c r="A686" s="2" t="s">
        <v>87</v>
      </c>
      <c r="B686" s="2">
        <v>10</v>
      </c>
      <c r="C686" s="25"/>
      <c r="D686" s="2"/>
      <c r="E686" s="2"/>
      <c r="F686" s="2"/>
      <c r="G686" s="2"/>
      <c r="H686" s="2"/>
      <c r="I686" s="2">
        <v>60.991300000000003</v>
      </c>
      <c r="J686" s="2">
        <v>333</v>
      </c>
      <c r="K686" s="2">
        <v>60.427900000000001</v>
      </c>
      <c r="L686" s="2">
        <v>339</v>
      </c>
      <c r="M686" s="2">
        <v>102.8552</v>
      </c>
      <c r="N686" s="2">
        <v>133</v>
      </c>
      <c r="O686" s="2">
        <v>103.51009999999999</v>
      </c>
      <c r="P686" s="2">
        <v>121</v>
      </c>
      <c r="Q686" s="2">
        <v>87.612499999999997</v>
      </c>
      <c r="R686" s="2">
        <v>1</v>
      </c>
      <c r="S686" s="2">
        <v>88.729299999999995</v>
      </c>
      <c r="T686" s="2">
        <v>3</v>
      </c>
      <c r="U686" s="2">
        <v>0.85469399999999995</v>
      </c>
      <c r="V686" s="2">
        <v>24</v>
      </c>
      <c r="W686" s="2">
        <v>2012</v>
      </c>
    </row>
    <row r="687" spans="1:23" ht="12.3" x14ac:dyDescent="0.4">
      <c r="A687" s="2" t="s">
        <v>47</v>
      </c>
      <c r="B687" s="2">
        <v>7</v>
      </c>
      <c r="C687" s="4" t="s">
        <v>33</v>
      </c>
      <c r="D687" s="2"/>
      <c r="E687" s="2"/>
      <c r="F687" s="2"/>
      <c r="G687" s="2"/>
      <c r="H687" s="2"/>
      <c r="I687" s="2">
        <v>66.878399999999999</v>
      </c>
      <c r="J687" s="2">
        <v>138</v>
      </c>
      <c r="K687" s="2">
        <v>65.924000000000007</v>
      </c>
      <c r="L687" s="2">
        <v>176</v>
      </c>
      <c r="M687" s="2">
        <v>110.6649</v>
      </c>
      <c r="N687" s="2">
        <v>22</v>
      </c>
      <c r="O687" s="2">
        <v>109.6611</v>
      </c>
      <c r="P687" s="2">
        <v>32</v>
      </c>
      <c r="Q687" s="2">
        <v>94.435299999999998</v>
      </c>
      <c r="R687" s="2">
        <v>44</v>
      </c>
      <c r="S687" s="2">
        <v>94.050399999999996</v>
      </c>
      <c r="T687" s="2">
        <v>37</v>
      </c>
      <c r="U687" s="2">
        <v>0.85395799999999999</v>
      </c>
      <c r="V687" s="2">
        <v>25</v>
      </c>
      <c r="W687" s="2">
        <v>2012</v>
      </c>
    </row>
    <row r="688" spans="1:23" ht="12.3" x14ac:dyDescent="0.4">
      <c r="A688" s="2" t="s">
        <v>146</v>
      </c>
      <c r="B688" s="2">
        <v>8</v>
      </c>
      <c r="C688" s="3" t="s">
        <v>33</v>
      </c>
      <c r="D688" s="25"/>
      <c r="E688" s="25"/>
      <c r="F688" s="2"/>
      <c r="G688" s="2"/>
      <c r="H688" s="2"/>
      <c r="I688" s="2">
        <v>67.623000000000005</v>
      </c>
      <c r="J688" s="2">
        <v>99</v>
      </c>
      <c r="K688" s="2">
        <v>67.298699999999997</v>
      </c>
      <c r="L688" s="2">
        <v>110</v>
      </c>
      <c r="M688" s="2">
        <v>108.2958</v>
      </c>
      <c r="N688" s="2">
        <v>43</v>
      </c>
      <c r="O688" s="2">
        <v>110.18040000000001</v>
      </c>
      <c r="P688" s="2">
        <v>28</v>
      </c>
      <c r="Q688" s="2">
        <v>98.741500000000002</v>
      </c>
      <c r="R688" s="2">
        <v>120</v>
      </c>
      <c r="S688" s="2">
        <v>94.775599999999997</v>
      </c>
      <c r="T688" s="2">
        <v>50</v>
      </c>
      <c r="U688" s="2">
        <v>0.849665</v>
      </c>
      <c r="V688" s="2">
        <v>26</v>
      </c>
      <c r="W688" s="2">
        <v>2012</v>
      </c>
    </row>
    <row r="689" spans="1:23" ht="12.3" x14ac:dyDescent="0.4">
      <c r="A689" s="2" t="s">
        <v>49</v>
      </c>
      <c r="B689" s="2">
        <v>9</v>
      </c>
      <c r="C689" s="25"/>
      <c r="D689" s="2"/>
      <c r="E689" s="2"/>
      <c r="F689" s="2"/>
      <c r="G689" s="2"/>
      <c r="H689" s="2"/>
      <c r="I689" s="2">
        <v>63.344799999999999</v>
      </c>
      <c r="J689" s="2">
        <v>290</v>
      </c>
      <c r="K689" s="2">
        <v>63.413200000000003</v>
      </c>
      <c r="L689" s="2">
        <v>290</v>
      </c>
      <c r="M689" s="2">
        <v>101.7572</v>
      </c>
      <c r="N689" s="2">
        <v>159</v>
      </c>
      <c r="O689" s="2">
        <v>103.1698</v>
      </c>
      <c r="P689" s="2">
        <v>130</v>
      </c>
      <c r="Q689" s="2">
        <v>91.271100000000004</v>
      </c>
      <c r="R689" s="2">
        <v>15</v>
      </c>
      <c r="S689" s="2">
        <v>89.130499999999998</v>
      </c>
      <c r="T689" s="2">
        <v>4</v>
      </c>
      <c r="U689" s="2">
        <v>0.84319100000000002</v>
      </c>
      <c r="V689" s="2">
        <v>27</v>
      </c>
      <c r="W689" s="2">
        <v>2012</v>
      </c>
    </row>
    <row r="690" spans="1:23" ht="12.3" x14ac:dyDescent="0.4">
      <c r="A690" s="2" t="s">
        <v>188</v>
      </c>
      <c r="B690" s="2">
        <v>12</v>
      </c>
      <c r="C690" s="2"/>
      <c r="D690" s="2"/>
      <c r="E690" s="2"/>
      <c r="F690" s="2"/>
      <c r="G690" s="2"/>
      <c r="H690" s="2"/>
      <c r="I690" s="2">
        <v>67.520399999999995</v>
      </c>
      <c r="J690" s="2">
        <v>108</v>
      </c>
      <c r="K690" s="2">
        <v>67.317499999999995</v>
      </c>
      <c r="L690" s="2">
        <v>109</v>
      </c>
      <c r="M690" s="2">
        <v>109.32599999999999</v>
      </c>
      <c r="N690" s="2">
        <v>34</v>
      </c>
      <c r="O690" s="2">
        <v>109.1621</v>
      </c>
      <c r="P690" s="2">
        <v>42</v>
      </c>
      <c r="Q690" s="2">
        <v>95.209800000000001</v>
      </c>
      <c r="R690" s="2">
        <v>54</v>
      </c>
      <c r="S690" s="2">
        <v>94.413700000000006</v>
      </c>
      <c r="T690" s="2">
        <v>44</v>
      </c>
      <c r="U690" s="2">
        <v>0.84146799999999999</v>
      </c>
      <c r="V690" s="2">
        <v>28</v>
      </c>
      <c r="W690" s="2">
        <v>2012</v>
      </c>
    </row>
    <row r="691" spans="1:23" ht="12.3" x14ac:dyDescent="0.4">
      <c r="A691" s="2" t="s">
        <v>67</v>
      </c>
      <c r="B691" s="2">
        <v>11</v>
      </c>
      <c r="C691" s="2"/>
      <c r="D691" s="2"/>
      <c r="E691" s="2"/>
      <c r="F691" s="2"/>
      <c r="G691" s="2"/>
      <c r="H691" s="2"/>
      <c r="I691" s="2">
        <v>66.9636</v>
      </c>
      <c r="J691" s="2">
        <v>131</v>
      </c>
      <c r="K691" s="2">
        <v>65.994900000000001</v>
      </c>
      <c r="L691" s="2">
        <v>171</v>
      </c>
      <c r="M691" s="2">
        <v>108.17230000000001</v>
      </c>
      <c r="N691" s="2">
        <v>45</v>
      </c>
      <c r="O691" s="2">
        <v>111.3908</v>
      </c>
      <c r="P691" s="2">
        <v>26</v>
      </c>
      <c r="Q691" s="2">
        <v>98.885300000000001</v>
      </c>
      <c r="R691" s="2">
        <v>123</v>
      </c>
      <c r="S691" s="2">
        <v>96.347200000000001</v>
      </c>
      <c r="T691" s="2">
        <v>71</v>
      </c>
      <c r="U691" s="2">
        <v>0.84137399999999996</v>
      </c>
      <c r="V691" s="2">
        <v>29</v>
      </c>
      <c r="W691" s="2">
        <v>2012</v>
      </c>
    </row>
    <row r="692" spans="1:23" ht="12.3" x14ac:dyDescent="0.4">
      <c r="A692" s="2" t="s">
        <v>244</v>
      </c>
      <c r="B692" s="2">
        <v>14</v>
      </c>
      <c r="C692" s="25"/>
      <c r="D692" s="2"/>
      <c r="E692" s="2"/>
      <c r="F692" s="2"/>
      <c r="G692" s="2"/>
      <c r="H692" s="2"/>
      <c r="I692" s="2">
        <v>68.949799999999996</v>
      </c>
      <c r="J692" s="2">
        <v>50</v>
      </c>
      <c r="K692" s="2">
        <v>68.453900000000004</v>
      </c>
      <c r="L692" s="2">
        <v>64</v>
      </c>
      <c r="M692" s="2">
        <v>117.67270000000001</v>
      </c>
      <c r="N692" s="2">
        <v>2</v>
      </c>
      <c r="O692" s="2">
        <v>114.14319999999999</v>
      </c>
      <c r="P692" s="2">
        <v>13</v>
      </c>
      <c r="Q692" s="2">
        <v>96.848600000000005</v>
      </c>
      <c r="R692" s="2">
        <v>76</v>
      </c>
      <c r="S692" s="2">
        <v>98.941400000000002</v>
      </c>
      <c r="T692" s="2">
        <v>126</v>
      </c>
      <c r="U692" s="2">
        <v>0.83803000000000005</v>
      </c>
      <c r="V692" s="2">
        <v>30</v>
      </c>
      <c r="W692" s="2">
        <v>2012</v>
      </c>
    </row>
    <row r="693" spans="1:23" ht="12.3" x14ac:dyDescent="0.4">
      <c r="A693" s="2" t="s">
        <v>181</v>
      </c>
      <c r="B693" s="2">
        <v>6</v>
      </c>
      <c r="C693" s="4" t="s">
        <v>33</v>
      </c>
      <c r="D693" s="2"/>
      <c r="E693" s="2"/>
      <c r="F693" s="2"/>
      <c r="G693" s="2"/>
      <c r="H693" s="2"/>
      <c r="I693" s="2">
        <v>66.222499999999997</v>
      </c>
      <c r="J693" s="2">
        <v>172</v>
      </c>
      <c r="K693" s="2">
        <v>66.082300000000004</v>
      </c>
      <c r="L693" s="2">
        <v>164</v>
      </c>
      <c r="M693" s="2">
        <v>111.221</v>
      </c>
      <c r="N693" s="2">
        <v>21</v>
      </c>
      <c r="O693" s="2">
        <v>107.9331</v>
      </c>
      <c r="P693" s="2">
        <v>57</v>
      </c>
      <c r="Q693" s="2">
        <v>93.220500000000001</v>
      </c>
      <c r="R693" s="2">
        <v>30</v>
      </c>
      <c r="S693" s="2">
        <v>93.606499999999997</v>
      </c>
      <c r="T693" s="2">
        <v>30</v>
      </c>
      <c r="U693" s="2">
        <v>0.83722600000000003</v>
      </c>
      <c r="V693" s="2">
        <v>31</v>
      </c>
      <c r="W693" s="2">
        <v>2012</v>
      </c>
    </row>
    <row r="694" spans="1:23" ht="12.3" x14ac:dyDescent="0.4">
      <c r="A694" s="2" t="s">
        <v>34</v>
      </c>
      <c r="B694" s="2">
        <v>6</v>
      </c>
      <c r="C694" s="4" t="s">
        <v>33</v>
      </c>
      <c r="D694" s="4" t="s">
        <v>33</v>
      </c>
      <c r="E694" s="2"/>
      <c r="F694" s="2"/>
      <c r="G694" s="2"/>
      <c r="H694" s="2"/>
      <c r="I694" s="2">
        <v>64.048599999999993</v>
      </c>
      <c r="J694" s="2">
        <v>275</v>
      </c>
      <c r="K694" s="2">
        <v>63.737200000000001</v>
      </c>
      <c r="L694" s="2">
        <v>281</v>
      </c>
      <c r="M694" s="2">
        <v>105.0352</v>
      </c>
      <c r="N694" s="2">
        <v>96</v>
      </c>
      <c r="O694" s="2">
        <v>107.64919999999999</v>
      </c>
      <c r="P694" s="2">
        <v>59</v>
      </c>
      <c r="Q694" s="2">
        <v>94.356999999999999</v>
      </c>
      <c r="R694" s="2">
        <v>42</v>
      </c>
      <c r="S694" s="2">
        <v>93.372299999999996</v>
      </c>
      <c r="T694" s="2">
        <v>27</v>
      </c>
      <c r="U694" s="2">
        <v>0.83702500000000002</v>
      </c>
      <c r="V694" s="2">
        <v>32</v>
      </c>
      <c r="W694" s="2">
        <v>2012</v>
      </c>
    </row>
    <row r="695" spans="1:23" ht="12.3" x14ac:dyDescent="0.4">
      <c r="A695" s="2" t="s">
        <v>121</v>
      </c>
      <c r="B695" s="2">
        <v>10</v>
      </c>
      <c r="C695" s="3" t="s">
        <v>33</v>
      </c>
      <c r="D695" s="25"/>
      <c r="E695" s="2"/>
      <c r="F695" s="2"/>
      <c r="G695" s="2"/>
      <c r="H695" s="2"/>
      <c r="I695" s="2">
        <v>64.807599999999994</v>
      </c>
      <c r="J695" s="2">
        <v>238</v>
      </c>
      <c r="K695" s="2">
        <v>65.447100000000006</v>
      </c>
      <c r="L695" s="2">
        <v>202</v>
      </c>
      <c r="M695" s="2">
        <v>111.36799999999999</v>
      </c>
      <c r="N695" s="2">
        <v>20</v>
      </c>
      <c r="O695" s="2">
        <v>114.9153</v>
      </c>
      <c r="P695" s="2">
        <v>10</v>
      </c>
      <c r="Q695" s="2">
        <v>101.87949999999999</v>
      </c>
      <c r="R695" s="2">
        <v>194</v>
      </c>
      <c r="S695" s="2">
        <v>99.754099999999994</v>
      </c>
      <c r="T695" s="2">
        <v>140</v>
      </c>
      <c r="U695" s="2">
        <v>0.83577199999999996</v>
      </c>
      <c r="V695" s="2">
        <v>33</v>
      </c>
      <c r="W695" s="2">
        <v>2012</v>
      </c>
    </row>
    <row r="696" spans="1:23" ht="12.3" hidden="1" x14ac:dyDescent="0.4">
      <c r="A696" s="2" t="s">
        <v>232</v>
      </c>
      <c r="B696" s="2"/>
      <c r="C696" s="2"/>
      <c r="D696" s="2"/>
      <c r="E696" s="2"/>
      <c r="F696" s="2"/>
      <c r="G696" s="2"/>
      <c r="H696" s="2"/>
      <c r="I696" s="2">
        <v>69.763800000000003</v>
      </c>
      <c r="J696" s="2">
        <v>97</v>
      </c>
      <c r="K696" s="2">
        <v>70.188000000000002</v>
      </c>
      <c r="L696" s="2">
        <v>69</v>
      </c>
      <c r="M696" s="2">
        <v>107.81310000000001</v>
      </c>
      <c r="N696" s="2">
        <v>46</v>
      </c>
      <c r="O696" s="2">
        <v>111.33750000000001</v>
      </c>
      <c r="P696" s="2">
        <v>27</v>
      </c>
      <c r="Q696" s="2">
        <v>99.736699999999999</v>
      </c>
      <c r="R696" s="2">
        <v>124</v>
      </c>
      <c r="S696" s="2">
        <v>98.101200000000006</v>
      </c>
      <c r="T696" s="2">
        <v>91</v>
      </c>
      <c r="U696" s="2">
        <v>0.81084599999999996</v>
      </c>
      <c r="V696" s="2">
        <v>41</v>
      </c>
      <c r="W696" s="2">
        <v>2004</v>
      </c>
    </row>
    <row r="697" spans="1:23" ht="12.3" x14ac:dyDescent="0.4">
      <c r="A697" s="2" t="s">
        <v>88</v>
      </c>
      <c r="B697" s="2">
        <v>5</v>
      </c>
      <c r="C697" s="2"/>
      <c r="D697" s="2"/>
      <c r="E697" s="2"/>
      <c r="F697" s="2"/>
      <c r="G697" s="2"/>
      <c r="H697" s="2"/>
      <c r="I697" s="2">
        <v>67.942300000000003</v>
      </c>
      <c r="J697" s="2">
        <v>83</v>
      </c>
      <c r="K697" s="2">
        <v>66.950900000000004</v>
      </c>
      <c r="L697" s="2">
        <v>126</v>
      </c>
      <c r="M697" s="2">
        <v>109.9401</v>
      </c>
      <c r="N697" s="2">
        <v>29</v>
      </c>
      <c r="O697" s="2">
        <v>112.4097</v>
      </c>
      <c r="P697" s="2">
        <v>21</v>
      </c>
      <c r="Q697" s="2">
        <v>100.7389</v>
      </c>
      <c r="R697" s="2">
        <v>169</v>
      </c>
      <c r="S697" s="2">
        <v>97.833500000000001</v>
      </c>
      <c r="T697" s="2">
        <v>100</v>
      </c>
      <c r="U697" s="2">
        <v>0.83162100000000005</v>
      </c>
      <c r="V697" s="2">
        <v>34</v>
      </c>
      <c r="W697" s="2">
        <v>2012</v>
      </c>
    </row>
    <row r="698" spans="1:23" ht="12.3" hidden="1" x14ac:dyDescent="0.4">
      <c r="A698" s="2" t="s">
        <v>98</v>
      </c>
      <c r="B698" s="2"/>
      <c r="C698" s="2"/>
      <c r="D698" s="2"/>
      <c r="E698" s="2"/>
      <c r="F698" s="2"/>
      <c r="G698" s="2"/>
      <c r="H698" s="2"/>
      <c r="I698" s="2">
        <v>59.177500000000002</v>
      </c>
      <c r="J698" s="2">
        <v>323</v>
      </c>
      <c r="K698" s="2">
        <v>59.520200000000003</v>
      </c>
      <c r="L698" s="2">
        <v>322</v>
      </c>
      <c r="M698" s="2">
        <v>115.13420000000001</v>
      </c>
      <c r="N698" s="2">
        <v>2</v>
      </c>
      <c r="O698" s="2">
        <v>113.1949</v>
      </c>
      <c r="P698" s="2">
        <v>16</v>
      </c>
      <c r="Q698" s="2">
        <v>96.518900000000002</v>
      </c>
      <c r="R698" s="2">
        <v>66</v>
      </c>
      <c r="S698" s="2">
        <v>99.906000000000006</v>
      </c>
      <c r="T698" s="2">
        <v>132</v>
      </c>
      <c r="U698" s="2">
        <v>0.80785600000000002</v>
      </c>
      <c r="V698" s="2">
        <v>43</v>
      </c>
      <c r="W698" s="2">
        <v>2004</v>
      </c>
    </row>
    <row r="699" spans="1:23" ht="12.3" x14ac:dyDescent="0.4">
      <c r="A699" s="2" t="s">
        <v>255</v>
      </c>
      <c r="B699" s="2">
        <v>12</v>
      </c>
      <c r="C699" s="2"/>
      <c r="D699" s="2"/>
      <c r="E699" s="2"/>
      <c r="F699" s="2"/>
      <c r="G699" s="2"/>
      <c r="H699" s="2"/>
      <c r="I699" s="2">
        <v>60.792000000000002</v>
      </c>
      <c r="J699" s="2">
        <v>337</v>
      </c>
      <c r="K699" s="2">
        <v>61.1614</v>
      </c>
      <c r="L699" s="2">
        <v>329</v>
      </c>
      <c r="M699" s="2">
        <v>106.5193</v>
      </c>
      <c r="N699" s="2">
        <v>68</v>
      </c>
      <c r="O699" s="2">
        <v>106.8588</v>
      </c>
      <c r="P699" s="2">
        <v>69</v>
      </c>
      <c r="Q699" s="2">
        <v>89.941900000000004</v>
      </c>
      <c r="R699" s="2">
        <v>10</v>
      </c>
      <c r="S699" s="2">
        <v>93.030299999999997</v>
      </c>
      <c r="T699" s="2">
        <v>22</v>
      </c>
      <c r="U699" s="2">
        <v>0.83113700000000001</v>
      </c>
      <c r="V699" s="2">
        <v>35</v>
      </c>
      <c r="W699" s="2">
        <v>2012</v>
      </c>
    </row>
    <row r="700" spans="1:23" ht="12.3" x14ac:dyDescent="0.4">
      <c r="A700" s="2" t="s">
        <v>109</v>
      </c>
      <c r="B700" s="2">
        <v>6</v>
      </c>
      <c r="C700" s="2"/>
      <c r="D700" s="2"/>
      <c r="E700" s="2"/>
      <c r="F700" s="2"/>
      <c r="G700" s="2"/>
      <c r="H700" s="2"/>
      <c r="I700" s="2">
        <v>68.980599999999995</v>
      </c>
      <c r="J700" s="2">
        <v>49</v>
      </c>
      <c r="K700" s="2">
        <v>69.725200000000001</v>
      </c>
      <c r="L700" s="2">
        <v>30</v>
      </c>
      <c r="M700" s="2">
        <v>107.48180000000001</v>
      </c>
      <c r="N700" s="2">
        <v>54</v>
      </c>
      <c r="O700" s="2">
        <v>106.8185</v>
      </c>
      <c r="P700" s="2">
        <v>71</v>
      </c>
      <c r="Q700" s="2">
        <v>94.639600000000002</v>
      </c>
      <c r="R700" s="2">
        <v>45</v>
      </c>
      <c r="S700" s="2">
        <v>93.001800000000003</v>
      </c>
      <c r="T700" s="2">
        <v>21</v>
      </c>
      <c r="U700" s="2">
        <v>0.83102200000000004</v>
      </c>
      <c r="V700" s="2">
        <v>36</v>
      </c>
      <c r="W700" s="2">
        <v>2012</v>
      </c>
    </row>
    <row r="701" spans="1:23" ht="12.3" hidden="1" x14ac:dyDescent="0.4">
      <c r="A701" s="2" t="s">
        <v>212</v>
      </c>
      <c r="B701" s="2"/>
      <c r="C701" s="2"/>
      <c r="D701" s="2"/>
      <c r="E701" s="2"/>
      <c r="F701" s="2"/>
      <c r="G701" s="2"/>
      <c r="H701" s="2"/>
      <c r="I701" s="2">
        <v>67.680899999999994</v>
      </c>
      <c r="J701" s="2">
        <v>174</v>
      </c>
      <c r="K701" s="2">
        <v>67.818899999999999</v>
      </c>
      <c r="L701" s="2">
        <v>160</v>
      </c>
      <c r="M701" s="2">
        <v>106.9704</v>
      </c>
      <c r="N701" s="2">
        <v>58</v>
      </c>
      <c r="O701" s="2">
        <v>109.0322</v>
      </c>
      <c r="P701" s="2">
        <v>50</v>
      </c>
      <c r="Q701" s="2">
        <v>98.572000000000003</v>
      </c>
      <c r="R701" s="2">
        <v>101</v>
      </c>
      <c r="S701" s="2">
        <v>96.287999999999997</v>
      </c>
      <c r="T701" s="2">
        <v>62</v>
      </c>
      <c r="U701" s="2">
        <v>0.80681400000000003</v>
      </c>
      <c r="V701" s="2">
        <v>46</v>
      </c>
      <c r="W701" s="2">
        <v>2004</v>
      </c>
    </row>
    <row r="702" spans="1:23" ht="12.3" x14ac:dyDescent="0.4">
      <c r="A702" s="2" t="s">
        <v>57</v>
      </c>
      <c r="B702" s="2">
        <v>12</v>
      </c>
      <c r="C702" s="2"/>
      <c r="D702" s="2"/>
      <c r="E702" s="2"/>
      <c r="F702" s="2"/>
      <c r="G702" s="2"/>
      <c r="H702" s="2"/>
      <c r="I702" s="2">
        <v>66.589399999999998</v>
      </c>
      <c r="J702" s="2">
        <v>150</v>
      </c>
      <c r="K702" s="2">
        <v>67.2119</v>
      </c>
      <c r="L702" s="2">
        <v>114</v>
      </c>
      <c r="M702" s="2">
        <v>107.8545</v>
      </c>
      <c r="N702" s="2">
        <v>47</v>
      </c>
      <c r="O702" s="2">
        <v>108.8378</v>
      </c>
      <c r="P702" s="2">
        <v>45</v>
      </c>
      <c r="Q702" s="2">
        <v>92.4816</v>
      </c>
      <c r="R702" s="2">
        <v>25</v>
      </c>
      <c r="S702" s="2">
        <v>94.772400000000005</v>
      </c>
      <c r="T702" s="2">
        <v>49</v>
      </c>
      <c r="U702" s="2">
        <v>0.83080900000000002</v>
      </c>
      <c r="V702" s="2">
        <v>37</v>
      </c>
      <c r="W702" s="2">
        <v>2012</v>
      </c>
    </row>
    <row r="703" spans="1:23" ht="12.3" hidden="1" x14ac:dyDescent="0.4">
      <c r="A703" s="2" t="s">
        <v>56</v>
      </c>
      <c r="B703" s="2"/>
      <c r="C703" s="2"/>
      <c r="D703" s="2"/>
      <c r="E703" s="2"/>
      <c r="F703" s="2"/>
      <c r="G703" s="2"/>
      <c r="H703" s="2"/>
      <c r="I703" s="2">
        <v>65.365099999999998</v>
      </c>
      <c r="J703" s="2">
        <v>251</v>
      </c>
      <c r="K703" s="2">
        <v>65.871899999999997</v>
      </c>
      <c r="L703" s="2">
        <v>229</v>
      </c>
      <c r="M703" s="2">
        <v>108.1292</v>
      </c>
      <c r="N703" s="2">
        <v>41</v>
      </c>
      <c r="O703" s="2">
        <v>112.44750000000001</v>
      </c>
      <c r="P703" s="2">
        <v>19</v>
      </c>
      <c r="Q703" s="2">
        <v>103.7655</v>
      </c>
      <c r="R703" s="2">
        <v>223</v>
      </c>
      <c r="S703" s="2">
        <v>99.682599999999994</v>
      </c>
      <c r="T703" s="2">
        <v>125</v>
      </c>
      <c r="U703" s="2">
        <v>0.79990300000000003</v>
      </c>
      <c r="V703" s="2">
        <v>48</v>
      </c>
      <c r="W703" s="2">
        <v>2004</v>
      </c>
    </row>
    <row r="704" spans="1:23" ht="12.3" hidden="1" x14ac:dyDescent="0.4">
      <c r="A704" s="2" t="s">
        <v>136</v>
      </c>
      <c r="B704" s="2"/>
      <c r="C704" s="2"/>
      <c r="D704" s="2"/>
      <c r="E704" s="2"/>
      <c r="F704" s="2"/>
      <c r="G704" s="2"/>
      <c r="H704" s="2"/>
      <c r="I704" s="2">
        <v>63.338999999999999</v>
      </c>
      <c r="J704" s="2">
        <v>303</v>
      </c>
      <c r="K704" s="2">
        <v>63.451799999999999</v>
      </c>
      <c r="L704" s="2">
        <v>299</v>
      </c>
      <c r="M704" s="2">
        <v>109.8218</v>
      </c>
      <c r="N704" s="2">
        <v>25</v>
      </c>
      <c r="O704" s="2">
        <v>110.12390000000001</v>
      </c>
      <c r="P704" s="2">
        <v>34</v>
      </c>
      <c r="Q704" s="2">
        <v>96.974999999999994</v>
      </c>
      <c r="R704" s="2">
        <v>79</v>
      </c>
      <c r="S704" s="2">
        <v>98.2226</v>
      </c>
      <c r="T704" s="2">
        <v>93</v>
      </c>
      <c r="U704" s="2">
        <v>0.78838900000000001</v>
      </c>
      <c r="V704" s="2">
        <v>49</v>
      </c>
      <c r="W704" s="2">
        <v>2004</v>
      </c>
    </row>
    <row r="705" spans="1:23" ht="12.3" x14ac:dyDescent="0.4">
      <c r="A705" s="2" t="s">
        <v>90</v>
      </c>
      <c r="B705" s="2">
        <v>8</v>
      </c>
      <c r="C705" s="3" t="s">
        <v>33</v>
      </c>
      <c r="D705" s="2"/>
      <c r="E705" s="2"/>
      <c r="F705" s="2"/>
      <c r="G705" s="2"/>
      <c r="H705" s="2"/>
      <c r="I705" s="2">
        <v>67.535300000000007</v>
      </c>
      <c r="J705" s="2">
        <v>106</v>
      </c>
      <c r="K705" s="2">
        <v>67.036799999999999</v>
      </c>
      <c r="L705" s="2">
        <v>120</v>
      </c>
      <c r="M705" s="2">
        <v>117.3257</v>
      </c>
      <c r="N705" s="2">
        <v>3</v>
      </c>
      <c r="O705" s="2">
        <v>117.5104</v>
      </c>
      <c r="P705" s="2">
        <v>5</v>
      </c>
      <c r="Q705" s="2">
        <v>102.3886</v>
      </c>
      <c r="R705" s="2">
        <v>201</v>
      </c>
      <c r="S705" s="2">
        <v>102.413</v>
      </c>
      <c r="T705" s="2">
        <v>195</v>
      </c>
      <c r="U705" s="2">
        <v>0.829403</v>
      </c>
      <c r="V705" s="2">
        <v>38</v>
      </c>
      <c r="W705" s="2">
        <v>2012</v>
      </c>
    </row>
    <row r="706" spans="1:23" ht="12.3" x14ac:dyDescent="0.4">
      <c r="A706" s="2" t="s">
        <v>54</v>
      </c>
      <c r="B706" s="2">
        <v>9</v>
      </c>
      <c r="C706" s="25"/>
      <c r="D706" s="2"/>
      <c r="E706" s="2"/>
      <c r="F706" s="2"/>
      <c r="G706" s="2"/>
      <c r="H706" s="2"/>
      <c r="I706" s="2">
        <v>64.173400000000001</v>
      </c>
      <c r="J706" s="2">
        <v>273</v>
      </c>
      <c r="K706" s="2">
        <v>63.941099999999999</v>
      </c>
      <c r="L706" s="2">
        <v>273</v>
      </c>
      <c r="M706" s="2">
        <v>106.0234</v>
      </c>
      <c r="N706" s="2">
        <v>77</v>
      </c>
      <c r="O706" s="2">
        <v>109.0886</v>
      </c>
      <c r="P706" s="2">
        <v>43</v>
      </c>
      <c r="Q706" s="2">
        <v>98.967799999999997</v>
      </c>
      <c r="R706" s="2">
        <v>127</v>
      </c>
      <c r="S706" s="2">
        <v>95.779899999999998</v>
      </c>
      <c r="T706" s="2">
        <v>61</v>
      </c>
      <c r="U706" s="2">
        <v>0.81701100000000004</v>
      </c>
      <c r="V706" s="2">
        <v>41</v>
      </c>
      <c r="W706" s="2">
        <v>2012</v>
      </c>
    </row>
    <row r="707" spans="1:23" ht="12.3" hidden="1" x14ac:dyDescent="0.4">
      <c r="A707" s="2" t="s">
        <v>192</v>
      </c>
      <c r="B707" s="2"/>
      <c r="C707" s="2"/>
      <c r="D707" s="2"/>
      <c r="E707" s="2"/>
      <c r="F707" s="2"/>
      <c r="G707" s="2"/>
      <c r="H707" s="2"/>
      <c r="I707" s="2">
        <v>67.349999999999994</v>
      </c>
      <c r="J707" s="2">
        <v>188</v>
      </c>
      <c r="K707" s="2">
        <v>67.768299999999996</v>
      </c>
      <c r="L707" s="2">
        <v>162</v>
      </c>
      <c r="M707" s="2">
        <v>105.49079999999999</v>
      </c>
      <c r="N707" s="2">
        <v>81</v>
      </c>
      <c r="O707" s="2">
        <v>107.0543</v>
      </c>
      <c r="P707" s="2">
        <v>68</v>
      </c>
      <c r="Q707" s="2">
        <v>95.536699999999996</v>
      </c>
      <c r="R707" s="2">
        <v>50</v>
      </c>
      <c r="S707" s="2">
        <v>96.523200000000003</v>
      </c>
      <c r="T707" s="2">
        <v>66</v>
      </c>
      <c r="U707" s="2">
        <v>0.76689600000000002</v>
      </c>
      <c r="V707" s="2">
        <v>52</v>
      </c>
      <c r="W707" s="2">
        <v>2004</v>
      </c>
    </row>
    <row r="708" spans="1:23" ht="12.3" hidden="1" x14ac:dyDescent="0.4">
      <c r="A708" s="2" t="s">
        <v>154</v>
      </c>
      <c r="B708" s="2"/>
      <c r="C708" s="2"/>
      <c r="D708" s="2"/>
      <c r="E708" s="2"/>
      <c r="F708" s="2"/>
      <c r="G708" s="2"/>
      <c r="H708" s="2"/>
      <c r="I708" s="2">
        <v>66.631200000000007</v>
      </c>
      <c r="J708" s="2">
        <v>205</v>
      </c>
      <c r="K708" s="2">
        <v>68.27</v>
      </c>
      <c r="L708" s="2">
        <v>144</v>
      </c>
      <c r="M708" s="2">
        <v>102.2736</v>
      </c>
      <c r="N708" s="2">
        <v>129</v>
      </c>
      <c r="O708" s="2">
        <v>104.541</v>
      </c>
      <c r="P708" s="2">
        <v>98</v>
      </c>
      <c r="Q708" s="2">
        <v>95.918599999999998</v>
      </c>
      <c r="R708" s="2">
        <v>53</v>
      </c>
      <c r="S708" s="2">
        <v>94.335700000000003</v>
      </c>
      <c r="T708" s="2">
        <v>35</v>
      </c>
      <c r="U708" s="2">
        <v>0.765177</v>
      </c>
      <c r="V708" s="2">
        <v>53</v>
      </c>
      <c r="W708" s="2">
        <v>2004</v>
      </c>
    </row>
    <row r="709" spans="1:23" ht="12.3" x14ac:dyDescent="0.4">
      <c r="A709" s="2" t="s">
        <v>56</v>
      </c>
      <c r="B709" s="2">
        <v>7</v>
      </c>
      <c r="C709" s="2"/>
      <c r="D709" s="2"/>
      <c r="E709" s="2"/>
      <c r="F709" s="2"/>
      <c r="G709" s="2"/>
      <c r="H709" s="2"/>
      <c r="I709" s="2">
        <v>61.853000000000002</v>
      </c>
      <c r="J709" s="2">
        <v>324</v>
      </c>
      <c r="K709" s="2">
        <v>61.328499999999998</v>
      </c>
      <c r="L709" s="2">
        <v>327</v>
      </c>
      <c r="M709" s="2">
        <v>105.7932</v>
      </c>
      <c r="N709" s="2">
        <v>82</v>
      </c>
      <c r="O709" s="2">
        <v>107.71299999999999</v>
      </c>
      <c r="P709" s="2">
        <v>58</v>
      </c>
      <c r="Q709" s="2">
        <v>98.037099999999995</v>
      </c>
      <c r="R709" s="2">
        <v>100</v>
      </c>
      <c r="S709" s="2">
        <v>94.888499999999993</v>
      </c>
      <c r="T709" s="2">
        <v>51</v>
      </c>
      <c r="U709" s="2">
        <v>0.81120099999999995</v>
      </c>
      <c r="V709" s="2">
        <v>42</v>
      </c>
      <c r="W709" s="2">
        <v>2012</v>
      </c>
    </row>
    <row r="710" spans="1:23" ht="12.3" hidden="1" x14ac:dyDescent="0.4">
      <c r="A710" s="2" t="s">
        <v>78</v>
      </c>
      <c r="B710" s="2"/>
      <c r="C710" s="2"/>
      <c r="D710" s="2"/>
      <c r="E710" s="2"/>
      <c r="F710" s="2"/>
      <c r="G710" s="2"/>
      <c r="H710" s="2"/>
      <c r="I710" s="2">
        <v>66.252600000000001</v>
      </c>
      <c r="J710" s="2">
        <v>222</v>
      </c>
      <c r="K710" s="2">
        <v>66.322000000000003</v>
      </c>
      <c r="L710" s="2">
        <v>211</v>
      </c>
      <c r="M710" s="2">
        <v>104.5201</v>
      </c>
      <c r="N710" s="2">
        <v>95</v>
      </c>
      <c r="O710" s="2">
        <v>109.23399999999999</v>
      </c>
      <c r="P710" s="2">
        <v>47</v>
      </c>
      <c r="Q710" s="2">
        <v>101.9776</v>
      </c>
      <c r="R710" s="2">
        <v>177</v>
      </c>
      <c r="S710" s="2">
        <v>98.666200000000003</v>
      </c>
      <c r="T710" s="2">
        <v>104</v>
      </c>
      <c r="U710" s="2">
        <v>0.76316700000000004</v>
      </c>
      <c r="V710" s="2">
        <v>55</v>
      </c>
      <c r="W710" s="2">
        <v>2004</v>
      </c>
    </row>
    <row r="711" spans="1:23" ht="12.3" hidden="1" x14ac:dyDescent="0.4">
      <c r="A711" s="2" t="s">
        <v>73</v>
      </c>
      <c r="B711" s="2"/>
      <c r="C711" s="2"/>
      <c r="D711" s="2"/>
      <c r="E711" s="2"/>
      <c r="F711" s="2"/>
      <c r="G711" s="2"/>
      <c r="H711" s="2"/>
      <c r="I711" s="2">
        <v>67.665499999999994</v>
      </c>
      <c r="J711" s="2">
        <v>176</v>
      </c>
      <c r="K711" s="2">
        <v>67.285700000000006</v>
      </c>
      <c r="L711" s="2">
        <v>181</v>
      </c>
      <c r="M711" s="2">
        <v>107.85</v>
      </c>
      <c r="N711" s="2">
        <v>45</v>
      </c>
      <c r="O711" s="2">
        <v>111.42059999999999</v>
      </c>
      <c r="P711" s="2">
        <v>24</v>
      </c>
      <c r="Q711" s="2">
        <v>105.32</v>
      </c>
      <c r="R711" s="2">
        <v>261</v>
      </c>
      <c r="S711" s="2">
        <v>100.9748</v>
      </c>
      <c r="T711" s="2">
        <v>157</v>
      </c>
      <c r="U711" s="2">
        <v>0.75622100000000003</v>
      </c>
      <c r="V711" s="2">
        <v>56</v>
      </c>
      <c r="W711" s="2">
        <v>2004</v>
      </c>
    </row>
    <row r="712" spans="1:23" ht="12.3" x14ac:dyDescent="0.4">
      <c r="A712" s="2" t="s">
        <v>262</v>
      </c>
      <c r="B712" s="2">
        <v>7</v>
      </c>
      <c r="C712" s="2"/>
      <c r="D712" s="2"/>
      <c r="E712" s="2"/>
      <c r="F712" s="2"/>
      <c r="G712" s="2"/>
      <c r="H712" s="2"/>
      <c r="I712" s="2">
        <v>64.491100000000003</v>
      </c>
      <c r="J712" s="2">
        <v>250</v>
      </c>
      <c r="K712" s="2">
        <v>64.027100000000004</v>
      </c>
      <c r="L712" s="2">
        <v>270</v>
      </c>
      <c r="M712" s="2">
        <v>113.5955</v>
      </c>
      <c r="N712" s="2">
        <v>10</v>
      </c>
      <c r="O712" s="2">
        <v>112.8068</v>
      </c>
      <c r="P712" s="2">
        <v>20</v>
      </c>
      <c r="Q712" s="2">
        <v>97.141999999999996</v>
      </c>
      <c r="R712" s="2">
        <v>82</v>
      </c>
      <c r="S712" s="2">
        <v>99.446100000000001</v>
      </c>
      <c r="T712" s="2">
        <v>135</v>
      </c>
      <c r="U712" s="2">
        <v>0.80995200000000001</v>
      </c>
      <c r="V712" s="2">
        <v>43</v>
      </c>
      <c r="W712" s="2">
        <v>2012</v>
      </c>
    </row>
    <row r="713" spans="1:23" ht="12.3" x14ac:dyDescent="0.4">
      <c r="A713" s="2" t="s">
        <v>137</v>
      </c>
      <c r="B713" s="2">
        <v>12</v>
      </c>
      <c r="C713" s="4" t="s">
        <v>33</v>
      </c>
      <c r="D713" s="2"/>
      <c r="E713" s="2"/>
      <c r="F713" s="2"/>
      <c r="G713" s="2"/>
      <c r="H713" s="2"/>
      <c r="I713" s="2">
        <v>65.1751</v>
      </c>
      <c r="J713" s="2">
        <v>218</v>
      </c>
      <c r="K713" s="2">
        <v>66.358599999999996</v>
      </c>
      <c r="L713" s="2">
        <v>147</v>
      </c>
      <c r="M713" s="2">
        <v>104.1292</v>
      </c>
      <c r="N713" s="2">
        <v>110</v>
      </c>
      <c r="O713" s="2">
        <v>105.6999</v>
      </c>
      <c r="P713" s="2">
        <v>84</v>
      </c>
      <c r="Q713" s="2">
        <v>90.847300000000004</v>
      </c>
      <c r="R713" s="2">
        <v>12</v>
      </c>
      <c r="S713" s="2">
        <v>93.357799999999997</v>
      </c>
      <c r="T713" s="2">
        <v>26</v>
      </c>
      <c r="U713" s="2">
        <v>0.80657299999999998</v>
      </c>
      <c r="V713" s="2">
        <v>44</v>
      </c>
      <c r="W713" s="2">
        <v>2012</v>
      </c>
    </row>
    <row r="714" spans="1:23" ht="12.3" x14ac:dyDescent="0.4">
      <c r="A714" s="2" t="s">
        <v>229</v>
      </c>
      <c r="B714" s="2">
        <v>10</v>
      </c>
      <c r="C714" s="2"/>
      <c r="D714" s="2"/>
      <c r="E714" s="2"/>
      <c r="F714" s="2"/>
      <c r="G714" s="2"/>
      <c r="H714" s="2"/>
      <c r="I714" s="2">
        <v>65.250900000000001</v>
      </c>
      <c r="J714" s="2">
        <v>215</v>
      </c>
      <c r="K714" s="2">
        <v>64.912599999999998</v>
      </c>
      <c r="L714" s="2">
        <v>228</v>
      </c>
      <c r="M714" s="2">
        <v>106.45650000000001</v>
      </c>
      <c r="N714" s="2">
        <v>69</v>
      </c>
      <c r="O714" s="2">
        <v>109.5359</v>
      </c>
      <c r="P714" s="2">
        <v>37</v>
      </c>
      <c r="Q714" s="2">
        <v>99.449600000000004</v>
      </c>
      <c r="R714" s="2">
        <v>137</v>
      </c>
      <c r="S714" s="2">
        <v>97.072699999999998</v>
      </c>
      <c r="T714" s="2">
        <v>82</v>
      </c>
      <c r="U714" s="2">
        <v>0.80044999999999999</v>
      </c>
      <c r="V714" s="2">
        <v>45</v>
      </c>
      <c r="W714" s="2">
        <v>2012</v>
      </c>
    </row>
    <row r="715" spans="1:23" ht="12.3" x14ac:dyDescent="0.4">
      <c r="A715" s="2" t="s">
        <v>97</v>
      </c>
      <c r="B715" s="2">
        <v>6</v>
      </c>
      <c r="C715" s="2"/>
      <c r="D715" s="2"/>
      <c r="E715" s="2"/>
      <c r="F715" s="2"/>
      <c r="G715" s="2"/>
      <c r="H715" s="2"/>
      <c r="I715" s="2">
        <v>66.7547</v>
      </c>
      <c r="J715" s="2">
        <v>145</v>
      </c>
      <c r="K715" s="2">
        <v>66.705799999999996</v>
      </c>
      <c r="L715" s="2">
        <v>137</v>
      </c>
      <c r="M715" s="2">
        <v>103.8913</v>
      </c>
      <c r="N715" s="2">
        <v>115</v>
      </c>
      <c r="O715" s="2">
        <v>105.3074</v>
      </c>
      <c r="P715" s="2">
        <v>92</v>
      </c>
      <c r="Q715" s="2">
        <v>94.889600000000002</v>
      </c>
      <c r="R715" s="2">
        <v>49</v>
      </c>
      <c r="S715" s="2">
        <v>93.882099999999994</v>
      </c>
      <c r="T715" s="2">
        <v>34</v>
      </c>
      <c r="U715" s="2">
        <v>0.78929899999999997</v>
      </c>
      <c r="V715" s="2">
        <v>46</v>
      </c>
      <c r="W715" s="2">
        <v>2012</v>
      </c>
    </row>
    <row r="716" spans="1:23" ht="12.3" hidden="1" x14ac:dyDescent="0.4">
      <c r="A716" s="2" t="s">
        <v>262</v>
      </c>
      <c r="B716" s="2"/>
      <c r="C716" s="2"/>
      <c r="D716" s="2"/>
      <c r="E716" s="2"/>
      <c r="F716" s="2"/>
      <c r="G716" s="2"/>
      <c r="H716" s="2"/>
      <c r="I716" s="2">
        <v>69.393100000000004</v>
      </c>
      <c r="J716" s="2">
        <v>108</v>
      </c>
      <c r="K716" s="2">
        <v>67.857900000000001</v>
      </c>
      <c r="L716" s="2">
        <v>159</v>
      </c>
      <c r="M716" s="2">
        <v>108.7521</v>
      </c>
      <c r="N716" s="2">
        <v>34</v>
      </c>
      <c r="O716" s="2">
        <v>108.8509</v>
      </c>
      <c r="P716" s="2">
        <v>51</v>
      </c>
      <c r="Q716" s="2">
        <v>99.677899999999994</v>
      </c>
      <c r="R716" s="2">
        <v>121</v>
      </c>
      <c r="S716" s="2">
        <v>99.027299999999997</v>
      </c>
      <c r="T716" s="2">
        <v>112</v>
      </c>
      <c r="U716" s="2">
        <v>0.74795199999999995</v>
      </c>
      <c r="V716" s="2">
        <v>61</v>
      </c>
      <c r="W716" s="2">
        <v>2004</v>
      </c>
    </row>
    <row r="717" spans="1:23" ht="12.3" hidden="1" x14ac:dyDescent="0.4">
      <c r="A717" s="2" t="s">
        <v>121</v>
      </c>
      <c r="B717" s="2"/>
      <c r="C717" s="2"/>
      <c r="D717" s="2"/>
      <c r="E717" s="2"/>
      <c r="F717" s="2"/>
      <c r="G717" s="2"/>
      <c r="H717" s="2"/>
      <c r="I717" s="2">
        <v>63.820599999999999</v>
      </c>
      <c r="J717" s="2">
        <v>295</v>
      </c>
      <c r="K717" s="2">
        <v>64.577699999999993</v>
      </c>
      <c r="L717" s="2">
        <v>278</v>
      </c>
      <c r="M717" s="2">
        <v>100.9395</v>
      </c>
      <c r="N717" s="2">
        <v>165</v>
      </c>
      <c r="O717" s="2">
        <v>101.1313</v>
      </c>
      <c r="P717" s="2">
        <v>160</v>
      </c>
      <c r="Q717" s="2">
        <v>94.092799999999997</v>
      </c>
      <c r="R717" s="2">
        <v>31</v>
      </c>
      <c r="S717" s="2">
        <v>92.147900000000007</v>
      </c>
      <c r="T717" s="2">
        <v>15</v>
      </c>
      <c r="U717" s="2">
        <v>0.744556</v>
      </c>
      <c r="V717" s="2">
        <v>62</v>
      </c>
      <c r="W717" s="2">
        <v>2004</v>
      </c>
    </row>
    <row r="718" spans="1:23" ht="12.3" hidden="1" x14ac:dyDescent="0.4">
      <c r="A718" s="2" t="s">
        <v>19</v>
      </c>
      <c r="B718" s="2"/>
      <c r="C718" s="2"/>
      <c r="D718" s="2"/>
      <c r="E718" s="2"/>
      <c r="F718" s="2"/>
      <c r="G718" s="2"/>
      <c r="H718" s="2"/>
      <c r="I718" s="2">
        <v>64.527000000000001</v>
      </c>
      <c r="J718" s="2">
        <v>270</v>
      </c>
      <c r="K718" s="2">
        <v>64.065700000000007</v>
      </c>
      <c r="L718" s="2">
        <v>289</v>
      </c>
      <c r="M718" s="2">
        <v>101.0232</v>
      </c>
      <c r="N718" s="2">
        <v>161</v>
      </c>
      <c r="O718" s="2">
        <v>105.51860000000001</v>
      </c>
      <c r="P718" s="2">
        <v>82</v>
      </c>
      <c r="Q718" s="2">
        <v>100.3283</v>
      </c>
      <c r="R718" s="2">
        <v>138</v>
      </c>
      <c r="S718" s="2">
        <v>96.154499999999999</v>
      </c>
      <c r="T718" s="2">
        <v>59</v>
      </c>
      <c r="U718" s="2">
        <v>0.74434999999999996</v>
      </c>
      <c r="V718" s="2">
        <v>63</v>
      </c>
      <c r="W718" s="2">
        <v>2004</v>
      </c>
    </row>
    <row r="719" spans="1:23" ht="12.3" hidden="1" x14ac:dyDescent="0.4">
      <c r="A719" s="2" t="s">
        <v>85</v>
      </c>
      <c r="B719" s="2"/>
      <c r="C719" s="2"/>
      <c r="D719" s="2"/>
      <c r="E719" s="2"/>
      <c r="F719" s="2"/>
      <c r="G719" s="2"/>
      <c r="H719" s="2"/>
      <c r="I719" s="2">
        <v>65.266499999999994</v>
      </c>
      <c r="J719" s="2">
        <v>253</v>
      </c>
      <c r="K719" s="2">
        <v>65.013099999999994</v>
      </c>
      <c r="L719" s="2">
        <v>268</v>
      </c>
      <c r="M719" s="2">
        <v>101.8537</v>
      </c>
      <c r="N719" s="2">
        <v>139</v>
      </c>
      <c r="O719" s="2">
        <v>104.96550000000001</v>
      </c>
      <c r="P719" s="2">
        <v>92</v>
      </c>
      <c r="Q719" s="2">
        <v>97.791300000000007</v>
      </c>
      <c r="R719" s="2">
        <v>91</v>
      </c>
      <c r="S719" s="2">
        <v>95.718900000000005</v>
      </c>
      <c r="T719" s="2">
        <v>56</v>
      </c>
      <c r="U719" s="2">
        <v>0.74278299999999997</v>
      </c>
      <c r="V719" s="2">
        <v>64</v>
      </c>
      <c r="W719" s="2">
        <v>2004</v>
      </c>
    </row>
    <row r="720" spans="1:23" ht="12.3" hidden="1" x14ac:dyDescent="0.4">
      <c r="A720" s="2" t="s">
        <v>38</v>
      </c>
      <c r="B720" s="2"/>
      <c r="C720" s="2"/>
      <c r="D720" s="2"/>
      <c r="E720" s="2"/>
      <c r="F720" s="2"/>
      <c r="G720" s="2"/>
      <c r="H720" s="2"/>
      <c r="I720" s="2">
        <v>65.370500000000007</v>
      </c>
      <c r="J720" s="2">
        <v>249</v>
      </c>
      <c r="K720" s="2">
        <v>65.141499999999994</v>
      </c>
      <c r="L720" s="2">
        <v>264</v>
      </c>
      <c r="M720" s="2">
        <v>100.5324</v>
      </c>
      <c r="N720" s="2">
        <v>171</v>
      </c>
      <c r="O720" s="2">
        <v>101.93040000000001</v>
      </c>
      <c r="P720" s="2">
        <v>142</v>
      </c>
      <c r="Q720" s="2">
        <v>93.978800000000007</v>
      </c>
      <c r="R720" s="2">
        <v>28</v>
      </c>
      <c r="S720" s="2">
        <v>92.971900000000005</v>
      </c>
      <c r="T720" s="2">
        <v>21</v>
      </c>
      <c r="U720" s="2">
        <v>0.74229400000000001</v>
      </c>
      <c r="V720" s="2">
        <v>65</v>
      </c>
      <c r="W720" s="2">
        <v>2004</v>
      </c>
    </row>
    <row r="721" spans="1:23" ht="12.3" x14ac:dyDescent="0.4">
      <c r="A721" s="2" t="s">
        <v>55</v>
      </c>
      <c r="B721" s="2">
        <v>11</v>
      </c>
      <c r="C721" s="4" t="s">
        <v>33</v>
      </c>
      <c r="D721" s="4" t="s">
        <v>33</v>
      </c>
      <c r="E721" s="2"/>
      <c r="F721" s="2"/>
      <c r="G721" s="2"/>
      <c r="H721" s="2"/>
      <c r="I721" s="2">
        <v>67.999399999999994</v>
      </c>
      <c r="J721" s="2">
        <v>81</v>
      </c>
      <c r="K721" s="2">
        <v>68.107799999999997</v>
      </c>
      <c r="L721" s="2">
        <v>80</v>
      </c>
      <c r="M721" s="2">
        <v>107.7067</v>
      </c>
      <c r="N721" s="2">
        <v>49</v>
      </c>
      <c r="O721" s="2">
        <v>109.67570000000001</v>
      </c>
      <c r="P721" s="2">
        <v>31</v>
      </c>
      <c r="Q721" s="2">
        <v>99.628100000000003</v>
      </c>
      <c r="R721" s="2">
        <v>144</v>
      </c>
      <c r="S721" s="2">
        <v>98.019599999999997</v>
      </c>
      <c r="T721" s="2">
        <v>106</v>
      </c>
      <c r="U721" s="2">
        <v>0.78451000000000004</v>
      </c>
      <c r="V721" s="2">
        <v>49</v>
      </c>
      <c r="W721" s="2">
        <v>2012</v>
      </c>
    </row>
    <row r="722" spans="1:23" ht="12.3" hidden="1" x14ac:dyDescent="0.4">
      <c r="A722" s="2" t="s">
        <v>129</v>
      </c>
      <c r="B722" s="2"/>
      <c r="C722" s="2"/>
      <c r="D722" s="2"/>
      <c r="E722" s="2"/>
      <c r="F722" s="2"/>
      <c r="G722" s="2"/>
      <c r="H722" s="2"/>
      <c r="I722" s="2">
        <v>69.990700000000004</v>
      </c>
      <c r="J722" s="2">
        <v>90</v>
      </c>
      <c r="K722" s="2">
        <v>69.912899999999993</v>
      </c>
      <c r="L722" s="2">
        <v>80</v>
      </c>
      <c r="M722" s="2">
        <v>105.79649999999999</v>
      </c>
      <c r="N722" s="2">
        <v>80</v>
      </c>
      <c r="O722" s="2">
        <v>109.4349</v>
      </c>
      <c r="P722" s="2">
        <v>42</v>
      </c>
      <c r="Q722" s="2">
        <v>101.64570000000001</v>
      </c>
      <c r="R722" s="2">
        <v>169</v>
      </c>
      <c r="S722" s="2">
        <v>100.0307</v>
      </c>
      <c r="T722" s="2">
        <v>140</v>
      </c>
      <c r="U722" s="2">
        <v>0.73755599999999999</v>
      </c>
      <c r="V722" s="2">
        <v>67</v>
      </c>
      <c r="W722" s="2">
        <v>2004</v>
      </c>
    </row>
    <row r="723" spans="1:23" ht="12.3" hidden="1" x14ac:dyDescent="0.4">
      <c r="A723" s="2" t="s">
        <v>87</v>
      </c>
      <c r="B723" s="2"/>
      <c r="C723" s="2"/>
      <c r="D723" s="2"/>
      <c r="E723" s="2"/>
      <c r="F723" s="2"/>
      <c r="G723" s="2"/>
      <c r="H723" s="2"/>
      <c r="I723" s="2">
        <v>71.841200000000001</v>
      </c>
      <c r="J723" s="2">
        <v>32</v>
      </c>
      <c r="K723" s="2">
        <v>70.168400000000005</v>
      </c>
      <c r="L723" s="2">
        <v>70</v>
      </c>
      <c r="M723" s="2">
        <v>102.97709999999999</v>
      </c>
      <c r="N723" s="2">
        <v>112</v>
      </c>
      <c r="O723" s="2">
        <v>107.155</v>
      </c>
      <c r="P723" s="2">
        <v>67</v>
      </c>
      <c r="Q723" s="2">
        <v>104.03189999999999</v>
      </c>
      <c r="R723" s="2">
        <v>235</v>
      </c>
      <c r="S723" s="2">
        <v>98.035899999999998</v>
      </c>
      <c r="T723" s="2">
        <v>89</v>
      </c>
      <c r="U723" s="2">
        <v>0.73552600000000001</v>
      </c>
      <c r="V723" s="2">
        <v>68</v>
      </c>
      <c r="W723" s="2">
        <v>2004</v>
      </c>
    </row>
    <row r="724" spans="1:23" ht="12.3" hidden="1" x14ac:dyDescent="0.4">
      <c r="A724" s="2" t="s">
        <v>53</v>
      </c>
      <c r="B724" s="2"/>
      <c r="C724" s="2"/>
      <c r="D724" s="2"/>
      <c r="E724" s="2"/>
      <c r="F724" s="2"/>
      <c r="G724" s="2"/>
      <c r="H724" s="2"/>
      <c r="I724" s="2">
        <v>66.524000000000001</v>
      </c>
      <c r="J724" s="2">
        <v>211</v>
      </c>
      <c r="K724" s="2">
        <v>67.047499999999999</v>
      </c>
      <c r="L724" s="2">
        <v>193</v>
      </c>
      <c r="M724" s="2">
        <v>107.7366</v>
      </c>
      <c r="N724" s="2">
        <v>47</v>
      </c>
      <c r="O724" s="2">
        <v>105.22150000000001</v>
      </c>
      <c r="P724" s="2">
        <v>85</v>
      </c>
      <c r="Q724" s="2">
        <v>96.616299999999995</v>
      </c>
      <c r="R724" s="2">
        <v>70</v>
      </c>
      <c r="S724" s="2">
        <v>96.292900000000003</v>
      </c>
      <c r="T724" s="2">
        <v>63</v>
      </c>
      <c r="U724" s="2">
        <v>0.73492000000000002</v>
      </c>
      <c r="V724" s="2">
        <v>69</v>
      </c>
      <c r="W724" s="2">
        <v>2004</v>
      </c>
    </row>
    <row r="725" spans="1:23" ht="12.3" hidden="1" x14ac:dyDescent="0.4">
      <c r="A725" s="2" t="s">
        <v>113</v>
      </c>
      <c r="B725" s="2"/>
      <c r="C725" s="2"/>
      <c r="D725" s="2"/>
      <c r="E725" s="2"/>
      <c r="F725" s="2"/>
      <c r="G725" s="2"/>
      <c r="H725" s="2"/>
      <c r="I725" s="2">
        <v>67.515299999999996</v>
      </c>
      <c r="J725" s="2">
        <v>181</v>
      </c>
      <c r="K725" s="2">
        <v>68.681799999999996</v>
      </c>
      <c r="L725" s="2">
        <v>127</v>
      </c>
      <c r="M725" s="2">
        <v>102.9667</v>
      </c>
      <c r="N725" s="2">
        <v>113</v>
      </c>
      <c r="O725" s="2">
        <v>104.07989999999999</v>
      </c>
      <c r="P725" s="2">
        <v>101</v>
      </c>
      <c r="Q725" s="2">
        <v>96.815899999999999</v>
      </c>
      <c r="R725" s="2">
        <v>71</v>
      </c>
      <c r="S725" s="2">
        <v>95.483400000000003</v>
      </c>
      <c r="T725" s="2">
        <v>49</v>
      </c>
      <c r="U725" s="2">
        <v>0.72935799999999995</v>
      </c>
      <c r="V725" s="2">
        <v>70</v>
      </c>
      <c r="W725" s="2">
        <v>2004</v>
      </c>
    </row>
    <row r="726" spans="1:23" ht="12.3" hidden="1" x14ac:dyDescent="0.4">
      <c r="A726" s="2" t="s">
        <v>231</v>
      </c>
      <c r="B726" s="2"/>
      <c r="C726" s="2"/>
      <c r="D726" s="2"/>
      <c r="E726" s="2"/>
      <c r="F726" s="2"/>
      <c r="G726" s="2"/>
      <c r="H726" s="2"/>
      <c r="I726" s="2">
        <v>69.805599999999998</v>
      </c>
      <c r="J726" s="2">
        <v>93</v>
      </c>
      <c r="K726" s="2">
        <v>70.064099999999996</v>
      </c>
      <c r="L726" s="2">
        <v>74</v>
      </c>
      <c r="M726" s="2">
        <v>104.5296</v>
      </c>
      <c r="N726" s="2">
        <v>94</v>
      </c>
      <c r="O726" s="2">
        <v>107.40779999999999</v>
      </c>
      <c r="P726" s="2">
        <v>66</v>
      </c>
      <c r="Q726" s="2">
        <v>97.827799999999996</v>
      </c>
      <c r="R726" s="2">
        <v>92</v>
      </c>
      <c r="S726" s="2">
        <v>98.736099999999993</v>
      </c>
      <c r="T726" s="2">
        <v>106</v>
      </c>
      <c r="U726" s="2">
        <v>0.72474099999999997</v>
      </c>
      <c r="V726" s="2">
        <v>71</v>
      </c>
      <c r="W726" s="2">
        <v>2004</v>
      </c>
    </row>
    <row r="727" spans="1:23" ht="12.3" hidden="1" x14ac:dyDescent="0.4">
      <c r="A727" s="2" t="s">
        <v>109</v>
      </c>
      <c r="B727" s="2"/>
      <c r="C727" s="2"/>
      <c r="D727" s="2"/>
      <c r="E727" s="2"/>
      <c r="F727" s="2"/>
      <c r="G727" s="2"/>
      <c r="H727" s="2"/>
      <c r="I727" s="2">
        <v>69.022499999999994</v>
      </c>
      <c r="J727" s="2">
        <v>122</v>
      </c>
      <c r="K727" s="2">
        <v>70.816299999999998</v>
      </c>
      <c r="L727" s="2">
        <v>52</v>
      </c>
      <c r="M727" s="2">
        <v>106.3355</v>
      </c>
      <c r="N727" s="2">
        <v>71</v>
      </c>
      <c r="O727" s="2">
        <v>108.72580000000001</v>
      </c>
      <c r="P727" s="2">
        <v>54</v>
      </c>
      <c r="Q727" s="2">
        <v>102.27119999999999</v>
      </c>
      <c r="R727" s="2">
        <v>182</v>
      </c>
      <c r="S727" s="2">
        <v>99.958799999999997</v>
      </c>
      <c r="T727" s="2">
        <v>136</v>
      </c>
      <c r="U727" s="2">
        <v>0.72448299999999999</v>
      </c>
      <c r="V727" s="2">
        <v>72</v>
      </c>
      <c r="W727" s="2">
        <v>2004</v>
      </c>
    </row>
    <row r="728" spans="1:23" ht="12.3" hidden="1" x14ac:dyDescent="0.4">
      <c r="A728" s="2" t="s">
        <v>77</v>
      </c>
      <c r="B728" s="2"/>
      <c r="C728" s="2"/>
      <c r="D728" s="2"/>
      <c r="E728" s="2"/>
      <c r="F728" s="2"/>
      <c r="G728" s="2"/>
      <c r="H728" s="2"/>
      <c r="I728" s="2">
        <v>64.623400000000004</v>
      </c>
      <c r="J728" s="2">
        <v>268</v>
      </c>
      <c r="K728" s="2">
        <v>65.482799999999997</v>
      </c>
      <c r="L728" s="2">
        <v>244</v>
      </c>
      <c r="M728" s="2">
        <v>108.18989999999999</v>
      </c>
      <c r="N728" s="2">
        <v>40</v>
      </c>
      <c r="O728" s="2">
        <v>106.49160000000001</v>
      </c>
      <c r="P728" s="2">
        <v>74</v>
      </c>
      <c r="Q728" s="2">
        <v>96.014700000000005</v>
      </c>
      <c r="R728" s="2">
        <v>58</v>
      </c>
      <c r="S728" s="2">
        <v>97.981399999999994</v>
      </c>
      <c r="T728" s="2">
        <v>87</v>
      </c>
      <c r="U728" s="2">
        <v>0.72268500000000002</v>
      </c>
      <c r="V728" s="2">
        <v>73</v>
      </c>
      <c r="W728" s="2">
        <v>2004</v>
      </c>
    </row>
    <row r="729" spans="1:23" ht="12.3" x14ac:dyDescent="0.4">
      <c r="A729" s="2" t="s">
        <v>106</v>
      </c>
      <c r="B729" s="2">
        <v>14</v>
      </c>
      <c r="C729" s="2"/>
      <c r="D729" s="2"/>
      <c r="E729" s="2"/>
      <c r="F729" s="2"/>
      <c r="G729" s="2"/>
      <c r="H729" s="2"/>
      <c r="I729" s="2">
        <v>65.037800000000004</v>
      </c>
      <c r="J729" s="2">
        <v>228</v>
      </c>
      <c r="K729" s="2">
        <v>64.166300000000007</v>
      </c>
      <c r="L729" s="2">
        <v>261</v>
      </c>
      <c r="M729" s="2">
        <v>107.3471</v>
      </c>
      <c r="N729" s="2">
        <v>57</v>
      </c>
      <c r="O729" s="2">
        <v>108.7195</v>
      </c>
      <c r="P729" s="2">
        <v>47</v>
      </c>
      <c r="Q729" s="2">
        <v>98.656899999999993</v>
      </c>
      <c r="R729" s="2">
        <v>119</v>
      </c>
      <c r="S729" s="2">
        <v>97.498199999999997</v>
      </c>
      <c r="T729" s="2">
        <v>93</v>
      </c>
      <c r="U729" s="2">
        <v>0.77778000000000003</v>
      </c>
      <c r="V729" s="2">
        <v>50</v>
      </c>
      <c r="W729" s="2">
        <v>2012</v>
      </c>
    </row>
    <row r="730" spans="1:23" ht="12.3" hidden="1" x14ac:dyDescent="0.4">
      <c r="A730" s="2" t="s">
        <v>123</v>
      </c>
      <c r="B730" s="2"/>
      <c r="C730" s="2"/>
      <c r="D730" s="2"/>
      <c r="E730" s="2"/>
      <c r="F730" s="2"/>
      <c r="G730" s="2"/>
      <c r="H730" s="2"/>
      <c r="I730" s="2">
        <v>66.8476</v>
      </c>
      <c r="J730" s="2">
        <v>198</v>
      </c>
      <c r="K730" s="2">
        <v>67.678100000000001</v>
      </c>
      <c r="L730" s="2">
        <v>166</v>
      </c>
      <c r="M730" s="2">
        <v>99.477699999999999</v>
      </c>
      <c r="N730" s="2">
        <v>197</v>
      </c>
      <c r="O730" s="2">
        <v>103.2056</v>
      </c>
      <c r="P730" s="2">
        <v>118</v>
      </c>
      <c r="Q730" s="2">
        <v>97.375900000000001</v>
      </c>
      <c r="R730" s="2">
        <v>86</v>
      </c>
      <c r="S730" s="2">
        <v>95.095600000000005</v>
      </c>
      <c r="T730" s="2">
        <v>42</v>
      </c>
      <c r="U730" s="2">
        <v>0.71933400000000003</v>
      </c>
      <c r="V730" s="2">
        <v>75</v>
      </c>
      <c r="W730" s="2">
        <v>2004</v>
      </c>
    </row>
    <row r="731" spans="1:23" ht="12.3" hidden="1" x14ac:dyDescent="0.4">
      <c r="A731" s="2" t="s">
        <v>90</v>
      </c>
      <c r="B731" s="2"/>
      <c r="C731" s="2"/>
      <c r="D731" s="2"/>
      <c r="E731" s="2"/>
      <c r="F731" s="2"/>
      <c r="G731" s="2"/>
      <c r="H731" s="2"/>
      <c r="I731" s="2">
        <v>64.466399999999993</v>
      </c>
      <c r="J731" s="2">
        <v>273</v>
      </c>
      <c r="K731" s="2">
        <v>65.497500000000002</v>
      </c>
      <c r="L731" s="2">
        <v>243</v>
      </c>
      <c r="M731" s="2">
        <v>104.7811</v>
      </c>
      <c r="N731" s="2">
        <v>91</v>
      </c>
      <c r="O731" s="2">
        <v>104.9556</v>
      </c>
      <c r="P731" s="2">
        <v>93</v>
      </c>
      <c r="Q731" s="2">
        <v>94.178700000000006</v>
      </c>
      <c r="R731" s="2">
        <v>33</v>
      </c>
      <c r="S731" s="2">
        <v>96.718999999999994</v>
      </c>
      <c r="T731" s="2">
        <v>68</v>
      </c>
      <c r="U731" s="2">
        <v>0.71907299999999996</v>
      </c>
      <c r="V731" s="2">
        <v>76</v>
      </c>
      <c r="W731" s="2">
        <v>2004</v>
      </c>
    </row>
    <row r="732" spans="1:23" ht="12.3" hidden="1" x14ac:dyDescent="0.4">
      <c r="A732" s="2" t="s">
        <v>122</v>
      </c>
      <c r="B732" s="2"/>
      <c r="C732" s="2"/>
      <c r="D732" s="2"/>
      <c r="E732" s="2"/>
      <c r="F732" s="2"/>
      <c r="G732" s="2"/>
      <c r="H732" s="2"/>
      <c r="I732" s="2">
        <v>70.137500000000003</v>
      </c>
      <c r="J732" s="2">
        <v>83</v>
      </c>
      <c r="K732" s="2">
        <v>72.367500000000007</v>
      </c>
      <c r="L732" s="2">
        <v>23</v>
      </c>
      <c r="M732" s="2">
        <v>108.94970000000001</v>
      </c>
      <c r="N732" s="2">
        <v>30</v>
      </c>
      <c r="O732" s="2">
        <v>109.3934</v>
      </c>
      <c r="P732" s="2">
        <v>43</v>
      </c>
      <c r="Q732" s="2">
        <v>102.5705</v>
      </c>
      <c r="R732" s="2">
        <v>188</v>
      </c>
      <c r="S732" s="2">
        <v>101.0072</v>
      </c>
      <c r="T732" s="2">
        <v>159</v>
      </c>
      <c r="U732" s="2">
        <v>0.71447499999999997</v>
      </c>
      <c r="V732" s="2">
        <v>77</v>
      </c>
      <c r="W732" s="2">
        <v>2004</v>
      </c>
    </row>
    <row r="733" spans="1:23" ht="12.3" hidden="1" x14ac:dyDescent="0.4">
      <c r="A733" s="2" t="s">
        <v>84</v>
      </c>
      <c r="B733" s="2"/>
      <c r="C733" s="2"/>
      <c r="D733" s="2"/>
      <c r="E733" s="2"/>
      <c r="F733" s="2"/>
      <c r="G733" s="2"/>
      <c r="H733" s="2"/>
      <c r="I733" s="2">
        <v>69.552400000000006</v>
      </c>
      <c r="J733" s="2">
        <v>103</v>
      </c>
      <c r="K733" s="2">
        <v>70.400700000000001</v>
      </c>
      <c r="L733" s="2">
        <v>63</v>
      </c>
      <c r="M733" s="2">
        <v>101.1147</v>
      </c>
      <c r="N733" s="2">
        <v>160</v>
      </c>
      <c r="O733" s="2">
        <v>103.4648</v>
      </c>
      <c r="P733" s="2">
        <v>109</v>
      </c>
      <c r="Q733" s="2">
        <v>97.941800000000001</v>
      </c>
      <c r="R733" s="2">
        <v>94</v>
      </c>
      <c r="S733" s="2">
        <v>95.587000000000003</v>
      </c>
      <c r="T733" s="2">
        <v>51</v>
      </c>
      <c r="U733" s="2">
        <v>0.71315099999999998</v>
      </c>
      <c r="V733" s="2">
        <v>78</v>
      </c>
      <c r="W733" s="2">
        <v>2004</v>
      </c>
    </row>
    <row r="734" spans="1:23" ht="12.3" hidden="1" x14ac:dyDescent="0.4">
      <c r="A734" s="2" t="s">
        <v>132</v>
      </c>
      <c r="B734" s="2"/>
      <c r="C734" s="2"/>
      <c r="D734" s="2"/>
      <c r="E734" s="2"/>
      <c r="F734" s="2"/>
      <c r="G734" s="2"/>
      <c r="H734" s="2"/>
      <c r="I734" s="2">
        <v>61.385599999999997</v>
      </c>
      <c r="J734" s="2">
        <v>313</v>
      </c>
      <c r="K734" s="2">
        <v>60.362900000000003</v>
      </c>
      <c r="L734" s="2">
        <v>320</v>
      </c>
      <c r="M734" s="2">
        <v>105.1908</v>
      </c>
      <c r="N734" s="2">
        <v>83</v>
      </c>
      <c r="O734" s="2">
        <v>103.88339999999999</v>
      </c>
      <c r="P734" s="2">
        <v>102</v>
      </c>
      <c r="Q734" s="2">
        <v>96.466499999999996</v>
      </c>
      <c r="R734" s="2">
        <v>65</v>
      </c>
      <c r="S734" s="2">
        <v>96.028499999999994</v>
      </c>
      <c r="T734" s="2">
        <v>58</v>
      </c>
      <c r="U734" s="2">
        <v>0.71180600000000005</v>
      </c>
      <c r="V734" s="2">
        <v>79</v>
      </c>
      <c r="W734" s="2">
        <v>2004</v>
      </c>
    </row>
    <row r="735" spans="1:23" ht="12.3" x14ac:dyDescent="0.4">
      <c r="A735" s="2" t="s">
        <v>103</v>
      </c>
      <c r="B735" s="2">
        <v>12</v>
      </c>
      <c r="C735" s="3" t="s">
        <v>33</v>
      </c>
      <c r="D735" s="2"/>
      <c r="E735" s="2"/>
      <c r="F735" s="2"/>
      <c r="G735" s="2"/>
      <c r="H735" s="2"/>
      <c r="I735" s="2">
        <v>59.781999999999996</v>
      </c>
      <c r="J735" s="2">
        <v>342</v>
      </c>
      <c r="K735" s="2">
        <v>59.849800000000002</v>
      </c>
      <c r="L735" s="2">
        <v>342</v>
      </c>
      <c r="M735" s="2">
        <v>97.666600000000003</v>
      </c>
      <c r="N735" s="2">
        <v>240</v>
      </c>
      <c r="O735" s="2">
        <v>99.433000000000007</v>
      </c>
      <c r="P735" s="2">
        <v>208</v>
      </c>
      <c r="Q735" s="2">
        <v>95.072299999999998</v>
      </c>
      <c r="R735" s="2">
        <v>52</v>
      </c>
      <c r="S735" s="2">
        <v>89.369900000000001</v>
      </c>
      <c r="T735" s="2">
        <v>6</v>
      </c>
      <c r="U735" s="2">
        <v>0.77330299999999996</v>
      </c>
      <c r="V735" s="2">
        <v>52</v>
      </c>
      <c r="W735" s="2">
        <v>2012</v>
      </c>
    </row>
    <row r="736" spans="1:23" ht="12.3" hidden="1" x14ac:dyDescent="0.4">
      <c r="A736" s="2" t="s">
        <v>116</v>
      </c>
      <c r="B736" s="2"/>
      <c r="C736" s="2"/>
      <c r="D736" s="2"/>
      <c r="E736" s="2"/>
      <c r="F736" s="2"/>
      <c r="G736" s="2"/>
      <c r="H736" s="2"/>
      <c r="I736" s="2">
        <v>63.125100000000003</v>
      </c>
      <c r="J736" s="2">
        <v>305</v>
      </c>
      <c r="K736" s="2">
        <v>63.069699999999997</v>
      </c>
      <c r="L736" s="2">
        <v>305</v>
      </c>
      <c r="M736" s="2">
        <v>98.650099999999995</v>
      </c>
      <c r="N736" s="2">
        <v>221</v>
      </c>
      <c r="O736" s="2">
        <v>99.9709</v>
      </c>
      <c r="P736" s="2">
        <v>176</v>
      </c>
      <c r="Q736" s="2">
        <v>93.758700000000005</v>
      </c>
      <c r="R736" s="2">
        <v>27</v>
      </c>
      <c r="S736" s="2">
        <v>92.597300000000004</v>
      </c>
      <c r="T736" s="2">
        <v>18</v>
      </c>
      <c r="U736" s="2">
        <v>0.70705499999999999</v>
      </c>
      <c r="V736" s="2">
        <v>81</v>
      </c>
      <c r="W736" s="2">
        <v>2004</v>
      </c>
    </row>
    <row r="737" spans="1:23" ht="12.3" x14ac:dyDescent="0.4">
      <c r="A737" s="2" t="s">
        <v>50</v>
      </c>
      <c r="B737" s="2">
        <v>10</v>
      </c>
      <c r="C737" s="2"/>
      <c r="D737" s="2"/>
      <c r="E737" s="2"/>
      <c r="F737" s="2"/>
      <c r="G737" s="2"/>
      <c r="H737" s="2"/>
      <c r="I737" s="2">
        <v>67.698400000000007</v>
      </c>
      <c r="J737" s="2">
        <v>98</v>
      </c>
      <c r="K737" s="2">
        <v>67.575299999999999</v>
      </c>
      <c r="L737" s="2">
        <v>101</v>
      </c>
      <c r="M737" s="2">
        <v>103.35080000000001</v>
      </c>
      <c r="N737" s="2">
        <v>122</v>
      </c>
      <c r="O737" s="2">
        <v>105.8775</v>
      </c>
      <c r="P737" s="2">
        <v>81</v>
      </c>
      <c r="Q737" s="2">
        <v>98.516800000000003</v>
      </c>
      <c r="R737" s="2">
        <v>113</v>
      </c>
      <c r="S737" s="2">
        <v>95.396500000000003</v>
      </c>
      <c r="T737" s="2">
        <v>59</v>
      </c>
      <c r="U737" s="2">
        <v>0.76830699999999996</v>
      </c>
      <c r="V737" s="2">
        <v>55</v>
      </c>
      <c r="W737" s="2">
        <v>2012</v>
      </c>
    </row>
    <row r="738" spans="1:23" ht="12.3" hidden="1" x14ac:dyDescent="0.4">
      <c r="A738" s="2" t="s">
        <v>88</v>
      </c>
      <c r="B738" s="2"/>
      <c r="C738" s="2"/>
      <c r="D738" s="2"/>
      <c r="E738" s="2"/>
      <c r="F738" s="2"/>
      <c r="G738" s="2"/>
      <c r="H738" s="2"/>
      <c r="I738" s="2">
        <v>61.827599999999997</v>
      </c>
      <c r="J738" s="2">
        <v>311</v>
      </c>
      <c r="K738" s="2">
        <v>61.635300000000001</v>
      </c>
      <c r="L738" s="2">
        <v>312</v>
      </c>
      <c r="M738" s="2">
        <v>103.6251</v>
      </c>
      <c r="N738" s="2">
        <v>104</v>
      </c>
      <c r="O738" s="2">
        <v>107.7762</v>
      </c>
      <c r="P738" s="2">
        <v>62</v>
      </c>
      <c r="Q738" s="2">
        <v>102.9481</v>
      </c>
      <c r="R738" s="2">
        <v>197</v>
      </c>
      <c r="S738" s="2">
        <v>100.3391</v>
      </c>
      <c r="T738" s="2">
        <v>147</v>
      </c>
      <c r="U738" s="2">
        <v>0.69471799999999995</v>
      </c>
      <c r="V738" s="2">
        <v>83</v>
      </c>
      <c r="W738" s="2">
        <v>2004</v>
      </c>
    </row>
    <row r="739" spans="1:23" ht="12.3" hidden="1" x14ac:dyDescent="0.4">
      <c r="A739" s="2" t="s">
        <v>146</v>
      </c>
      <c r="B739" s="2"/>
      <c r="C739" s="2"/>
      <c r="D739" s="2"/>
      <c r="E739" s="2"/>
      <c r="F739" s="2"/>
      <c r="G739" s="2"/>
      <c r="H739" s="2"/>
      <c r="I739" s="2">
        <v>71.368899999999996</v>
      </c>
      <c r="J739" s="2">
        <v>41</v>
      </c>
      <c r="K739" s="2">
        <v>71.228099999999998</v>
      </c>
      <c r="L739" s="2">
        <v>37</v>
      </c>
      <c r="M739" s="2">
        <v>103.0256</v>
      </c>
      <c r="N739" s="2">
        <v>111</v>
      </c>
      <c r="O739" s="2">
        <v>106.2723</v>
      </c>
      <c r="P739" s="2">
        <v>78</v>
      </c>
      <c r="Q739" s="2">
        <v>102.2437</v>
      </c>
      <c r="R739" s="2">
        <v>181</v>
      </c>
      <c r="S739" s="2">
        <v>99.086299999999994</v>
      </c>
      <c r="T739" s="2">
        <v>115</v>
      </c>
      <c r="U739" s="2">
        <v>0.69107799999999997</v>
      </c>
      <c r="V739" s="2">
        <v>84</v>
      </c>
      <c r="W739" s="2">
        <v>2004</v>
      </c>
    </row>
    <row r="740" spans="1:23" ht="12.3" hidden="1" x14ac:dyDescent="0.4">
      <c r="A740" s="2" t="s">
        <v>180</v>
      </c>
      <c r="B740" s="2"/>
      <c r="C740" s="2"/>
      <c r="D740" s="2"/>
      <c r="E740" s="2"/>
      <c r="F740" s="2"/>
      <c r="G740" s="2"/>
      <c r="H740" s="2"/>
      <c r="I740" s="2">
        <v>71.430000000000007</v>
      </c>
      <c r="J740" s="2">
        <v>40</v>
      </c>
      <c r="K740" s="2">
        <v>70.387100000000004</v>
      </c>
      <c r="L740" s="2">
        <v>65</v>
      </c>
      <c r="M740" s="2">
        <v>115.1186</v>
      </c>
      <c r="N740" s="2">
        <v>3</v>
      </c>
      <c r="O740" s="2">
        <v>111.3698</v>
      </c>
      <c r="P740" s="2">
        <v>26</v>
      </c>
      <c r="Q740" s="2">
        <v>101.33499999999999</v>
      </c>
      <c r="R740" s="2">
        <v>162</v>
      </c>
      <c r="S740" s="2">
        <v>104.0078</v>
      </c>
      <c r="T740" s="2">
        <v>211</v>
      </c>
      <c r="U740" s="2">
        <v>0.68707799999999997</v>
      </c>
      <c r="V740" s="2">
        <v>85</v>
      </c>
      <c r="W740" s="2">
        <v>2004</v>
      </c>
    </row>
    <row r="741" spans="1:23" ht="12.3" hidden="1" x14ac:dyDescent="0.4">
      <c r="A741" s="2" t="s">
        <v>66</v>
      </c>
      <c r="B741" s="2"/>
      <c r="C741" s="2"/>
      <c r="D741" s="2"/>
      <c r="E741" s="2"/>
      <c r="F741" s="2"/>
      <c r="G741" s="2"/>
      <c r="H741" s="2"/>
      <c r="I741" s="2">
        <v>65.727800000000002</v>
      </c>
      <c r="J741" s="2">
        <v>235</v>
      </c>
      <c r="K741" s="2">
        <v>66.096599999999995</v>
      </c>
      <c r="L741" s="2">
        <v>221</v>
      </c>
      <c r="M741" s="2">
        <v>105.07850000000001</v>
      </c>
      <c r="N741" s="2">
        <v>84</v>
      </c>
      <c r="O741" s="2">
        <v>105.2589</v>
      </c>
      <c r="P741" s="2">
        <v>84</v>
      </c>
      <c r="Q741" s="2">
        <v>99.735900000000001</v>
      </c>
      <c r="R741" s="2">
        <v>123</v>
      </c>
      <c r="S741" s="2">
        <v>98.360600000000005</v>
      </c>
      <c r="T741" s="2">
        <v>97</v>
      </c>
      <c r="U741" s="2">
        <v>0.68557199999999996</v>
      </c>
      <c r="V741" s="2">
        <v>86</v>
      </c>
      <c r="W741" s="2">
        <v>2004</v>
      </c>
    </row>
    <row r="742" spans="1:23" ht="12.3" hidden="1" x14ac:dyDescent="0.4">
      <c r="A742" s="2" t="s">
        <v>81</v>
      </c>
      <c r="B742" s="2"/>
      <c r="C742" s="2"/>
      <c r="D742" s="2"/>
      <c r="E742" s="2"/>
      <c r="F742" s="2"/>
      <c r="G742" s="2"/>
      <c r="H742" s="2"/>
      <c r="I742" s="2">
        <v>68.408600000000007</v>
      </c>
      <c r="J742" s="2">
        <v>144</v>
      </c>
      <c r="K742" s="2">
        <v>68.028300000000002</v>
      </c>
      <c r="L742" s="2">
        <v>156</v>
      </c>
      <c r="M742" s="2">
        <v>104.3831</v>
      </c>
      <c r="N742" s="2">
        <v>96</v>
      </c>
      <c r="O742" s="2">
        <v>106.74120000000001</v>
      </c>
      <c r="P742" s="2">
        <v>72</v>
      </c>
      <c r="Q742" s="2">
        <v>104.3961</v>
      </c>
      <c r="R742" s="2">
        <v>246</v>
      </c>
      <c r="S742" s="2">
        <v>99.779300000000006</v>
      </c>
      <c r="T742" s="2">
        <v>130</v>
      </c>
      <c r="U742" s="2">
        <v>0.68474000000000002</v>
      </c>
      <c r="V742" s="2">
        <v>87</v>
      </c>
      <c r="W742" s="2">
        <v>2004</v>
      </c>
    </row>
    <row r="743" spans="1:23" ht="12.3" hidden="1" x14ac:dyDescent="0.4">
      <c r="A743" s="2" t="s">
        <v>147</v>
      </c>
      <c r="B743" s="2"/>
      <c r="C743" s="2"/>
      <c r="D743" s="2"/>
      <c r="E743" s="2"/>
      <c r="F743" s="2"/>
      <c r="G743" s="2"/>
      <c r="H743" s="2"/>
      <c r="I743" s="2">
        <v>70.666200000000003</v>
      </c>
      <c r="J743" s="2">
        <v>64</v>
      </c>
      <c r="K743" s="2">
        <v>69.181700000000006</v>
      </c>
      <c r="L743" s="2">
        <v>111</v>
      </c>
      <c r="M743" s="2">
        <v>101.70659999999999</v>
      </c>
      <c r="N743" s="2">
        <v>142</v>
      </c>
      <c r="O743" s="2">
        <v>101.9629</v>
      </c>
      <c r="P743" s="2">
        <v>141</v>
      </c>
      <c r="Q743" s="2">
        <v>96.011300000000006</v>
      </c>
      <c r="R743" s="2">
        <v>57</v>
      </c>
      <c r="S743" s="2">
        <v>95.4345</v>
      </c>
      <c r="T743" s="2">
        <v>48</v>
      </c>
      <c r="U743" s="2">
        <v>0.681558</v>
      </c>
      <c r="V743" s="2">
        <v>88</v>
      </c>
      <c r="W743" s="2">
        <v>2004</v>
      </c>
    </row>
    <row r="744" spans="1:23" ht="12.3" hidden="1" x14ac:dyDescent="0.4">
      <c r="A744" s="2" t="s">
        <v>41</v>
      </c>
      <c r="B744" s="2"/>
      <c r="C744" s="2"/>
      <c r="D744" s="2"/>
      <c r="E744" s="2"/>
      <c r="F744" s="2"/>
      <c r="G744" s="2"/>
      <c r="H744" s="2"/>
      <c r="I744" s="2">
        <v>70.199799999999996</v>
      </c>
      <c r="J744" s="2">
        <v>77</v>
      </c>
      <c r="K744" s="2">
        <v>69.660700000000006</v>
      </c>
      <c r="L744" s="2">
        <v>91</v>
      </c>
      <c r="M744" s="2">
        <v>107.7047</v>
      </c>
      <c r="N744" s="2">
        <v>48</v>
      </c>
      <c r="O744" s="2">
        <v>109.3399</v>
      </c>
      <c r="P744" s="2">
        <v>45</v>
      </c>
      <c r="Q744" s="2">
        <v>104.58620000000001</v>
      </c>
      <c r="R744" s="2">
        <v>248</v>
      </c>
      <c r="S744" s="2">
        <v>102.49299999999999</v>
      </c>
      <c r="T744" s="2">
        <v>181</v>
      </c>
      <c r="U744" s="2">
        <v>0.67779800000000001</v>
      </c>
      <c r="V744" s="2">
        <v>89</v>
      </c>
      <c r="W744" s="2">
        <v>2004</v>
      </c>
    </row>
    <row r="745" spans="1:23" ht="12.3" x14ac:dyDescent="0.4">
      <c r="A745" s="2" t="s">
        <v>118</v>
      </c>
      <c r="B745" s="2">
        <v>13</v>
      </c>
      <c r="C745" s="2"/>
      <c r="D745" s="2"/>
      <c r="E745" s="2"/>
      <c r="F745" s="2"/>
      <c r="G745" s="2"/>
      <c r="H745" s="2"/>
      <c r="I745" s="2">
        <v>70.774500000000003</v>
      </c>
      <c r="J745" s="2">
        <v>21</v>
      </c>
      <c r="K745" s="2">
        <v>70.852900000000005</v>
      </c>
      <c r="L745" s="2">
        <v>19</v>
      </c>
      <c r="M745" s="2">
        <v>108.89709999999999</v>
      </c>
      <c r="N745" s="2">
        <v>38</v>
      </c>
      <c r="O745" s="2">
        <v>106.6245</v>
      </c>
      <c r="P745" s="2">
        <v>73</v>
      </c>
      <c r="Q745" s="2">
        <v>95.885999999999996</v>
      </c>
      <c r="R745" s="2">
        <v>63</v>
      </c>
      <c r="S745" s="2">
        <v>96.213399999999993</v>
      </c>
      <c r="T745" s="2">
        <v>69</v>
      </c>
      <c r="U745" s="2">
        <v>0.76522800000000002</v>
      </c>
      <c r="V745" s="2">
        <v>56</v>
      </c>
      <c r="W745" s="2">
        <v>2012</v>
      </c>
    </row>
    <row r="746" spans="1:23" ht="12.3" hidden="1" x14ac:dyDescent="0.4">
      <c r="A746" s="2" t="s">
        <v>148</v>
      </c>
      <c r="B746" s="2"/>
      <c r="C746" s="2"/>
      <c r="D746" s="2"/>
      <c r="E746" s="2"/>
      <c r="F746" s="2"/>
      <c r="G746" s="2"/>
      <c r="H746" s="2"/>
      <c r="I746" s="2">
        <v>67.489599999999996</v>
      </c>
      <c r="J746" s="2">
        <v>182</v>
      </c>
      <c r="K746" s="2">
        <v>66.830100000000002</v>
      </c>
      <c r="L746" s="2">
        <v>199</v>
      </c>
      <c r="M746" s="2">
        <v>101.5146</v>
      </c>
      <c r="N746" s="2">
        <v>152</v>
      </c>
      <c r="O746" s="2">
        <v>101.6233</v>
      </c>
      <c r="P746" s="2">
        <v>148</v>
      </c>
      <c r="Q746" s="2">
        <v>96.3904</v>
      </c>
      <c r="R746" s="2">
        <v>62</v>
      </c>
      <c r="S746" s="2">
        <v>95.618300000000005</v>
      </c>
      <c r="T746" s="2">
        <v>52</v>
      </c>
      <c r="U746" s="2">
        <v>0.66828600000000005</v>
      </c>
      <c r="V746" s="2">
        <v>91</v>
      </c>
      <c r="W746" s="2">
        <v>2004</v>
      </c>
    </row>
    <row r="747" spans="1:23" ht="12.3" hidden="1" x14ac:dyDescent="0.4">
      <c r="A747" s="2" t="s">
        <v>112</v>
      </c>
      <c r="B747" s="2"/>
      <c r="C747" s="2"/>
      <c r="D747" s="2"/>
      <c r="E747" s="2"/>
      <c r="F747" s="2"/>
      <c r="G747" s="2"/>
      <c r="H747" s="2"/>
      <c r="I747" s="2">
        <v>59.924799999999998</v>
      </c>
      <c r="J747" s="2">
        <v>321</v>
      </c>
      <c r="K747" s="2">
        <v>60.328800000000001</v>
      </c>
      <c r="L747" s="2">
        <v>321</v>
      </c>
      <c r="M747" s="2">
        <v>102.38420000000001</v>
      </c>
      <c r="N747" s="2">
        <v>125</v>
      </c>
      <c r="O747" s="2">
        <v>105.0025</v>
      </c>
      <c r="P747" s="2">
        <v>91</v>
      </c>
      <c r="Q747" s="2">
        <v>100.94710000000001</v>
      </c>
      <c r="R747" s="2">
        <v>152</v>
      </c>
      <c r="S747" s="2">
        <v>98.836100000000002</v>
      </c>
      <c r="T747" s="2">
        <v>108</v>
      </c>
      <c r="U747" s="2">
        <v>0.6673</v>
      </c>
      <c r="V747" s="2">
        <v>92</v>
      </c>
      <c r="W747" s="2">
        <v>2004</v>
      </c>
    </row>
    <row r="748" spans="1:23" ht="12.3" hidden="1" x14ac:dyDescent="0.4">
      <c r="A748" s="2" t="s">
        <v>258</v>
      </c>
      <c r="B748" s="2"/>
      <c r="C748" s="2"/>
      <c r="D748" s="2"/>
      <c r="E748" s="2"/>
      <c r="F748" s="2"/>
      <c r="G748" s="2"/>
      <c r="H748" s="2"/>
      <c r="I748" s="2">
        <v>66.533799999999999</v>
      </c>
      <c r="J748" s="2">
        <v>209</v>
      </c>
      <c r="K748" s="2">
        <v>65.711399999999998</v>
      </c>
      <c r="L748" s="2">
        <v>236</v>
      </c>
      <c r="M748" s="2">
        <v>102.0843</v>
      </c>
      <c r="N748" s="2">
        <v>133</v>
      </c>
      <c r="O748" s="2">
        <v>101.34439999999999</v>
      </c>
      <c r="P748" s="2">
        <v>156</v>
      </c>
      <c r="Q748" s="2">
        <v>96.542299999999997</v>
      </c>
      <c r="R748" s="2">
        <v>67</v>
      </c>
      <c r="S748" s="2">
        <v>95.393799999999999</v>
      </c>
      <c r="T748" s="2">
        <v>46</v>
      </c>
      <c r="U748" s="2">
        <v>0.66727400000000003</v>
      </c>
      <c r="V748" s="2">
        <v>93</v>
      </c>
      <c r="W748" s="2">
        <v>2004</v>
      </c>
    </row>
    <row r="749" spans="1:23" ht="12.3" hidden="1" x14ac:dyDescent="0.4">
      <c r="A749" s="2" t="s">
        <v>141</v>
      </c>
      <c r="B749" s="2"/>
      <c r="C749" s="2"/>
      <c r="D749" s="2"/>
      <c r="E749" s="2"/>
      <c r="F749" s="2"/>
      <c r="G749" s="2"/>
      <c r="H749" s="2"/>
      <c r="I749" s="2">
        <v>64.259799999999998</v>
      </c>
      <c r="J749" s="2">
        <v>283</v>
      </c>
      <c r="K749" s="2">
        <v>65.431399999999996</v>
      </c>
      <c r="L749" s="2">
        <v>246</v>
      </c>
      <c r="M749" s="2">
        <v>101.6669</v>
      </c>
      <c r="N749" s="2">
        <v>146</v>
      </c>
      <c r="O749" s="2">
        <v>103.2805</v>
      </c>
      <c r="P749" s="2">
        <v>116</v>
      </c>
      <c r="Q749" s="2">
        <v>97.018900000000002</v>
      </c>
      <c r="R749" s="2">
        <v>80</v>
      </c>
      <c r="S749" s="2">
        <v>97.263999999999996</v>
      </c>
      <c r="T749" s="2">
        <v>75</v>
      </c>
      <c r="U749" s="2">
        <v>0.66601600000000005</v>
      </c>
      <c r="V749" s="2">
        <v>94</v>
      </c>
      <c r="W749" s="2">
        <v>2004</v>
      </c>
    </row>
    <row r="750" spans="1:23" ht="12.3" hidden="1" x14ac:dyDescent="0.4">
      <c r="A750" s="2" t="s">
        <v>80</v>
      </c>
      <c r="B750" s="2"/>
      <c r="C750" s="2"/>
      <c r="D750" s="2"/>
      <c r="E750" s="2"/>
      <c r="F750" s="2"/>
      <c r="G750" s="2"/>
      <c r="H750" s="2"/>
      <c r="I750" s="2">
        <v>68.096900000000005</v>
      </c>
      <c r="J750" s="2">
        <v>156</v>
      </c>
      <c r="K750" s="2">
        <v>67.707499999999996</v>
      </c>
      <c r="L750" s="2">
        <v>164</v>
      </c>
      <c r="M750" s="2">
        <v>100.04430000000001</v>
      </c>
      <c r="N750" s="2">
        <v>181</v>
      </c>
      <c r="O750" s="2">
        <v>102.6584</v>
      </c>
      <c r="P750" s="2">
        <v>129</v>
      </c>
      <c r="Q750" s="2">
        <v>100.26600000000001</v>
      </c>
      <c r="R750" s="2">
        <v>135</v>
      </c>
      <c r="S750" s="2">
        <v>97.16</v>
      </c>
      <c r="T750" s="2">
        <v>73</v>
      </c>
      <c r="U750" s="2">
        <v>0.65318299999999996</v>
      </c>
      <c r="V750" s="2">
        <v>95</v>
      </c>
      <c r="W750" s="2">
        <v>2004</v>
      </c>
    </row>
    <row r="751" spans="1:23" ht="12.3" hidden="1" x14ac:dyDescent="0.4">
      <c r="A751" s="2" t="s">
        <v>244</v>
      </c>
      <c r="B751" s="2"/>
      <c r="C751" s="2"/>
      <c r="D751" s="2"/>
      <c r="E751" s="2"/>
      <c r="F751" s="2"/>
      <c r="G751" s="2"/>
      <c r="H751" s="2"/>
      <c r="I751" s="2">
        <v>66.255899999999997</v>
      </c>
      <c r="J751" s="2">
        <v>220</v>
      </c>
      <c r="K751" s="2">
        <v>65.419799999999995</v>
      </c>
      <c r="L751" s="2">
        <v>247</v>
      </c>
      <c r="M751" s="2">
        <v>107.09699999999999</v>
      </c>
      <c r="N751" s="2">
        <v>53</v>
      </c>
      <c r="O751" s="2">
        <v>104.41459999999999</v>
      </c>
      <c r="P751" s="2">
        <v>100</v>
      </c>
      <c r="Q751" s="2">
        <v>96.946200000000005</v>
      </c>
      <c r="R751" s="2">
        <v>78</v>
      </c>
      <c r="S751" s="2">
        <v>98.884799999999998</v>
      </c>
      <c r="T751" s="2">
        <v>109</v>
      </c>
      <c r="U751" s="2">
        <v>0.65152600000000005</v>
      </c>
      <c r="V751" s="2">
        <v>96</v>
      </c>
      <c r="W751" s="2">
        <v>2004</v>
      </c>
    </row>
    <row r="752" spans="1:23" ht="12.3" x14ac:dyDescent="0.4">
      <c r="A752" s="2" t="s">
        <v>241</v>
      </c>
      <c r="B752" s="2">
        <v>14</v>
      </c>
      <c r="C752" s="2"/>
      <c r="D752" s="2"/>
      <c r="E752" s="2"/>
      <c r="F752" s="2"/>
      <c r="G752" s="2"/>
      <c r="H752" s="2"/>
      <c r="I752" s="2">
        <v>71.166399999999996</v>
      </c>
      <c r="J752" s="2">
        <v>18</v>
      </c>
      <c r="K752" s="2">
        <v>70.546800000000005</v>
      </c>
      <c r="L752" s="2">
        <v>22</v>
      </c>
      <c r="M752" s="2">
        <v>115.69880000000001</v>
      </c>
      <c r="N752" s="2">
        <v>5</v>
      </c>
      <c r="O752" s="2">
        <v>114.25790000000001</v>
      </c>
      <c r="P752" s="2">
        <v>12</v>
      </c>
      <c r="Q752" s="2">
        <v>100.6866</v>
      </c>
      <c r="R752" s="2">
        <v>167</v>
      </c>
      <c r="S752" s="2">
        <v>103.18210000000001</v>
      </c>
      <c r="T752" s="2">
        <v>213</v>
      </c>
      <c r="U752" s="2">
        <v>0.76361000000000001</v>
      </c>
      <c r="V752" s="2">
        <v>57</v>
      </c>
      <c r="W752" s="2">
        <v>2012</v>
      </c>
    </row>
    <row r="753" spans="1:23" ht="12.3" hidden="1" x14ac:dyDescent="0.4">
      <c r="A753" s="2" t="s">
        <v>40</v>
      </c>
      <c r="B753" s="2"/>
      <c r="C753" s="2"/>
      <c r="D753" s="2"/>
      <c r="E753" s="2"/>
      <c r="F753" s="2"/>
      <c r="G753" s="2"/>
      <c r="H753" s="2"/>
      <c r="I753" s="2">
        <v>64.254400000000004</v>
      </c>
      <c r="J753" s="2">
        <v>284</v>
      </c>
      <c r="K753" s="2">
        <v>65.593900000000005</v>
      </c>
      <c r="L753" s="2">
        <v>239</v>
      </c>
      <c r="M753" s="2">
        <v>99.527600000000007</v>
      </c>
      <c r="N753" s="2">
        <v>195</v>
      </c>
      <c r="O753" s="2">
        <v>103.38500000000001</v>
      </c>
      <c r="P753" s="2">
        <v>113</v>
      </c>
      <c r="Q753" s="2">
        <v>103.4714</v>
      </c>
      <c r="R753" s="2">
        <v>215</v>
      </c>
      <c r="S753" s="2">
        <v>97.965000000000003</v>
      </c>
      <c r="T753" s="2">
        <v>85</v>
      </c>
      <c r="U753" s="2">
        <v>0.65005299999999999</v>
      </c>
      <c r="V753" s="2">
        <v>98</v>
      </c>
      <c r="W753" s="2">
        <v>2004</v>
      </c>
    </row>
    <row r="754" spans="1:23" ht="12.3" hidden="1" x14ac:dyDescent="0.4">
      <c r="A754" s="2" t="s">
        <v>210</v>
      </c>
      <c r="B754" s="2"/>
      <c r="C754" s="2"/>
      <c r="D754" s="2"/>
      <c r="E754" s="2"/>
      <c r="F754" s="2"/>
      <c r="G754" s="2"/>
      <c r="H754" s="2"/>
      <c r="I754" s="2">
        <v>69.099199999999996</v>
      </c>
      <c r="J754" s="2">
        <v>121</v>
      </c>
      <c r="K754" s="2">
        <v>69.191400000000002</v>
      </c>
      <c r="L754" s="2">
        <v>110</v>
      </c>
      <c r="M754" s="2">
        <v>104.8043</v>
      </c>
      <c r="N754" s="2">
        <v>90</v>
      </c>
      <c r="O754" s="2">
        <v>104.92319999999999</v>
      </c>
      <c r="P754" s="2">
        <v>95</v>
      </c>
      <c r="Q754" s="2">
        <v>96.899500000000003</v>
      </c>
      <c r="R754" s="2">
        <v>75</v>
      </c>
      <c r="S754" s="2">
        <v>99.476900000000001</v>
      </c>
      <c r="T754" s="2">
        <v>123</v>
      </c>
      <c r="U754" s="2">
        <v>0.648621</v>
      </c>
      <c r="V754" s="2">
        <v>99</v>
      </c>
      <c r="W754" s="2">
        <v>2004</v>
      </c>
    </row>
    <row r="755" spans="1:23" ht="12.3" hidden="1" x14ac:dyDescent="0.4">
      <c r="A755" s="2" t="s">
        <v>124</v>
      </c>
      <c r="B755" s="2"/>
      <c r="C755" s="2"/>
      <c r="D755" s="2"/>
      <c r="E755" s="2"/>
      <c r="F755" s="2"/>
      <c r="G755" s="2"/>
      <c r="H755" s="2"/>
      <c r="I755" s="2">
        <v>60.605699999999999</v>
      </c>
      <c r="J755" s="2">
        <v>316</v>
      </c>
      <c r="K755" s="2">
        <v>61.281500000000001</v>
      </c>
      <c r="L755" s="2">
        <v>314</v>
      </c>
      <c r="M755" s="2">
        <v>101.3934</v>
      </c>
      <c r="N755" s="2">
        <v>155</v>
      </c>
      <c r="O755" s="2">
        <v>103.4106</v>
      </c>
      <c r="P755" s="2">
        <v>111</v>
      </c>
      <c r="Q755" s="2">
        <v>103.3377</v>
      </c>
      <c r="R755" s="2">
        <v>212</v>
      </c>
      <c r="S755" s="2">
        <v>98.260599999999997</v>
      </c>
      <c r="T755" s="2">
        <v>95</v>
      </c>
      <c r="U755" s="2">
        <v>0.64278299999999999</v>
      </c>
      <c r="V755" s="2">
        <v>100</v>
      </c>
      <c r="W755" s="2">
        <v>2004</v>
      </c>
    </row>
    <row r="756" spans="1:23" ht="12.3" hidden="1" x14ac:dyDescent="0.4">
      <c r="A756" s="2" t="s">
        <v>227</v>
      </c>
      <c r="B756" s="2"/>
      <c r="C756" s="2"/>
      <c r="D756" s="2"/>
      <c r="E756" s="2"/>
      <c r="F756" s="2"/>
      <c r="G756" s="2"/>
      <c r="H756" s="2"/>
      <c r="I756" s="2">
        <v>64.290599999999998</v>
      </c>
      <c r="J756" s="2">
        <v>281</v>
      </c>
      <c r="K756" s="2">
        <v>63.545699999999997</v>
      </c>
      <c r="L756" s="2">
        <v>298</v>
      </c>
      <c r="M756" s="2">
        <v>100.08799999999999</v>
      </c>
      <c r="N756" s="2">
        <v>179</v>
      </c>
      <c r="O756" s="2">
        <v>98.003399999999999</v>
      </c>
      <c r="P756" s="2">
        <v>225</v>
      </c>
      <c r="Q756" s="2">
        <v>95.183899999999994</v>
      </c>
      <c r="R756" s="2">
        <v>45</v>
      </c>
      <c r="S756" s="2">
        <v>93.124700000000004</v>
      </c>
      <c r="T756" s="2">
        <v>23</v>
      </c>
      <c r="U756" s="2">
        <v>0.64272700000000005</v>
      </c>
      <c r="V756" s="2">
        <v>101</v>
      </c>
      <c r="W756" s="2">
        <v>2004</v>
      </c>
    </row>
    <row r="757" spans="1:23" ht="12.3" hidden="1" x14ac:dyDescent="0.4">
      <c r="A757" s="2" t="s">
        <v>190</v>
      </c>
      <c r="B757" s="2"/>
      <c r="C757" s="2"/>
      <c r="D757" s="2"/>
      <c r="E757" s="2"/>
      <c r="F757" s="2"/>
      <c r="G757" s="2"/>
      <c r="H757" s="2"/>
      <c r="I757" s="2">
        <v>71.270700000000005</v>
      </c>
      <c r="J757" s="2">
        <v>45</v>
      </c>
      <c r="K757" s="2">
        <v>70.838300000000004</v>
      </c>
      <c r="L757" s="2">
        <v>51</v>
      </c>
      <c r="M757" s="2">
        <v>101.7726</v>
      </c>
      <c r="N757" s="2">
        <v>141</v>
      </c>
      <c r="O757" s="2">
        <v>103.0043</v>
      </c>
      <c r="P757" s="2">
        <v>123</v>
      </c>
      <c r="Q757" s="2">
        <v>96.892899999999997</v>
      </c>
      <c r="R757" s="2">
        <v>74</v>
      </c>
      <c r="S757" s="2">
        <v>97.994200000000006</v>
      </c>
      <c r="T757" s="2">
        <v>88</v>
      </c>
      <c r="U757" s="2">
        <v>0.63955200000000001</v>
      </c>
      <c r="V757" s="2">
        <v>102</v>
      </c>
      <c r="W757" s="2">
        <v>2004</v>
      </c>
    </row>
    <row r="758" spans="1:23" ht="12.3" hidden="1" x14ac:dyDescent="0.4">
      <c r="A758" s="2" t="s">
        <v>229</v>
      </c>
      <c r="B758" s="2"/>
      <c r="C758" s="2"/>
      <c r="D758" s="2"/>
      <c r="E758" s="2"/>
      <c r="F758" s="2"/>
      <c r="G758" s="2"/>
      <c r="H758" s="2"/>
      <c r="I758" s="2">
        <v>63.905900000000003</v>
      </c>
      <c r="J758" s="2">
        <v>290</v>
      </c>
      <c r="K758" s="2">
        <v>63.5625</v>
      </c>
      <c r="L758" s="2">
        <v>297</v>
      </c>
      <c r="M758" s="2">
        <v>101.00409999999999</v>
      </c>
      <c r="N758" s="2">
        <v>163</v>
      </c>
      <c r="O758" s="2">
        <v>103.1909</v>
      </c>
      <c r="P758" s="2">
        <v>119</v>
      </c>
      <c r="Q758" s="2">
        <v>102.6994</v>
      </c>
      <c r="R758" s="2">
        <v>192</v>
      </c>
      <c r="S758" s="2">
        <v>98.386899999999997</v>
      </c>
      <c r="T758" s="2">
        <v>98</v>
      </c>
      <c r="U758" s="2">
        <v>0.63372799999999996</v>
      </c>
      <c r="V758" s="2">
        <v>103</v>
      </c>
      <c r="W758" s="2">
        <v>2004</v>
      </c>
    </row>
    <row r="759" spans="1:23" ht="12.3" hidden="1" x14ac:dyDescent="0.4">
      <c r="A759" s="2" t="s">
        <v>213</v>
      </c>
      <c r="B759" s="2"/>
      <c r="C759" s="2"/>
      <c r="D759" s="2"/>
      <c r="E759" s="2"/>
      <c r="F759" s="2"/>
      <c r="G759" s="2"/>
      <c r="H759" s="2"/>
      <c r="I759" s="2">
        <v>70.684100000000001</v>
      </c>
      <c r="J759" s="2">
        <v>62</v>
      </c>
      <c r="K759" s="2">
        <v>70.846999999999994</v>
      </c>
      <c r="L759" s="2">
        <v>50</v>
      </c>
      <c r="M759" s="2">
        <v>106.6656</v>
      </c>
      <c r="N759" s="2">
        <v>67</v>
      </c>
      <c r="O759" s="2">
        <v>106.7192</v>
      </c>
      <c r="P759" s="2">
        <v>73</v>
      </c>
      <c r="Q759" s="2">
        <v>101.0188</v>
      </c>
      <c r="R759" s="2">
        <v>153</v>
      </c>
      <c r="S759" s="2">
        <v>101.8683</v>
      </c>
      <c r="T759" s="2">
        <v>172</v>
      </c>
      <c r="U759" s="2">
        <v>0.63064399999999998</v>
      </c>
      <c r="V759" s="2">
        <v>104</v>
      </c>
      <c r="W759" s="2">
        <v>2004</v>
      </c>
    </row>
    <row r="760" spans="1:23" ht="12.3" hidden="1" x14ac:dyDescent="0.4">
      <c r="A760" s="2" t="s">
        <v>39</v>
      </c>
      <c r="B760" s="2"/>
      <c r="C760" s="2"/>
      <c r="D760" s="2"/>
      <c r="E760" s="2"/>
      <c r="F760" s="2"/>
      <c r="G760" s="2"/>
      <c r="H760" s="2"/>
      <c r="I760" s="2">
        <v>66.478700000000003</v>
      </c>
      <c r="J760" s="2">
        <v>214</v>
      </c>
      <c r="K760" s="2">
        <v>66.096699999999998</v>
      </c>
      <c r="L760" s="2">
        <v>220</v>
      </c>
      <c r="M760" s="2">
        <v>106.8151</v>
      </c>
      <c r="N760" s="2">
        <v>63</v>
      </c>
      <c r="O760" s="2">
        <v>110.50960000000001</v>
      </c>
      <c r="P760" s="2">
        <v>29</v>
      </c>
      <c r="Q760" s="2">
        <v>103.85720000000001</v>
      </c>
      <c r="R760" s="2">
        <v>228</v>
      </c>
      <c r="S760" s="2">
        <v>105.58750000000001</v>
      </c>
      <c r="T760" s="2">
        <v>253</v>
      </c>
      <c r="U760" s="2">
        <v>0.62807599999999997</v>
      </c>
      <c r="V760" s="2">
        <v>105</v>
      </c>
      <c r="W760" s="2">
        <v>2004</v>
      </c>
    </row>
    <row r="761" spans="1:23" ht="12.3" hidden="1" x14ac:dyDescent="0.4">
      <c r="A761" s="2" t="s">
        <v>203</v>
      </c>
      <c r="B761" s="2"/>
      <c r="C761" s="2"/>
      <c r="D761" s="2"/>
      <c r="E761" s="2"/>
      <c r="F761" s="2"/>
      <c r="G761" s="2"/>
      <c r="H761" s="2"/>
      <c r="I761" s="2">
        <v>64.428700000000006</v>
      </c>
      <c r="J761" s="2">
        <v>275</v>
      </c>
      <c r="K761" s="2">
        <v>65.151499999999999</v>
      </c>
      <c r="L761" s="2">
        <v>262</v>
      </c>
      <c r="M761" s="2">
        <v>103.2283</v>
      </c>
      <c r="N761" s="2">
        <v>108</v>
      </c>
      <c r="O761" s="2">
        <v>101.4927</v>
      </c>
      <c r="P761" s="2">
        <v>153</v>
      </c>
      <c r="Q761" s="2">
        <v>90.897999999999996</v>
      </c>
      <c r="R761" s="2">
        <v>7</v>
      </c>
      <c r="S761" s="2">
        <v>96.998199999999997</v>
      </c>
      <c r="T761" s="2">
        <v>70</v>
      </c>
      <c r="U761" s="2">
        <v>0.62735399999999997</v>
      </c>
      <c r="V761" s="2">
        <v>106</v>
      </c>
      <c r="W761" s="2">
        <v>2004</v>
      </c>
    </row>
    <row r="762" spans="1:23" ht="12.3" hidden="1" x14ac:dyDescent="0.4">
      <c r="A762" s="2" t="s">
        <v>194</v>
      </c>
      <c r="B762" s="2"/>
      <c r="C762" s="2"/>
      <c r="D762" s="2"/>
      <c r="E762" s="2"/>
      <c r="F762" s="2"/>
      <c r="G762" s="2"/>
      <c r="H762" s="2"/>
      <c r="I762" s="2">
        <v>71.834199999999996</v>
      </c>
      <c r="J762" s="2">
        <v>33</v>
      </c>
      <c r="K762" s="2">
        <v>71.496099999999998</v>
      </c>
      <c r="L762" s="2">
        <v>32</v>
      </c>
      <c r="M762" s="2">
        <v>111.35080000000001</v>
      </c>
      <c r="N762" s="2">
        <v>16</v>
      </c>
      <c r="O762" s="2">
        <v>109.0574</v>
      </c>
      <c r="P762" s="2">
        <v>49</v>
      </c>
      <c r="Q762" s="2">
        <v>102.17319999999999</v>
      </c>
      <c r="R762" s="2">
        <v>180</v>
      </c>
      <c r="S762" s="2">
        <v>104.2812</v>
      </c>
      <c r="T762" s="2">
        <v>219</v>
      </c>
      <c r="U762" s="2">
        <v>0.62597800000000003</v>
      </c>
      <c r="V762" s="2">
        <v>107</v>
      </c>
      <c r="W762" s="2">
        <v>2004</v>
      </c>
    </row>
    <row r="763" spans="1:23" ht="12.3" hidden="1" x14ac:dyDescent="0.4">
      <c r="A763" s="2" t="s">
        <v>186</v>
      </c>
      <c r="B763" s="2"/>
      <c r="C763" s="2"/>
      <c r="D763" s="2"/>
      <c r="E763" s="2"/>
      <c r="F763" s="2"/>
      <c r="G763" s="2"/>
      <c r="H763" s="2"/>
      <c r="I763" s="2">
        <v>71.693100000000001</v>
      </c>
      <c r="J763" s="2">
        <v>35</v>
      </c>
      <c r="K763" s="2">
        <v>71.099999999999994</v>
      </c>
      <c r="L763" s="2">
        <v>43</v>
      </c>
      <c r="M763" s="2">
        <v>106.7637</v>
      </c>
      <c r="N763" s="2">
        <v>64</v>
      </c>
      <c r="O763" s="2">
        <v>107.52970000000001</v>
      </c>
      <c r="P763" s="2">
        <v>65</v>
      </c>
      <c r="Q763" s="2">
        <v>104.2988</v>
      </c>
      <c r="R763" s="2">
        <v>243</v>
      </c>
      <c r="S763" s="2">
        <v>103.0313</v>
      </c>
      <c r="T763" s="2">
        <v>188</v>
      </c>
      <c r="U763" s="2">
        <v>0.62044699999999997</v>
      </c>
      <c r="V763" s="2">
        <v>108</v>
      </c>
      <c r="W763" s="2">
        <v>2004</v>
      </c>
    </row>
    <row r="764" spans="1:23" ht="12.3" hidden="1" x14ac:dyDescent="0.4">
      <c r="A764" s="2" t="s">
        <v>221</v>
      </c>
      <c r="B764" s="2"/>
      <c r="C764" s="2"/>
      <c r="D764" s="2"/>
      <c r="E764" s="2"/>
      <c r="F764" s="2"/>
      <c r="G764" s="2"/>
      <c r="H764" s="2"/>
      <c r="I764" s="2">
        <v>65.232799999999997</v>
      </c>
      <c r="J764" s="2">
        <v>255</v>
      </c>
      <c r="K764" s="2">
        <v>64.260999999999996</v>
      </c>
      <c r="L764" s="2">
        <v>283</v>
      </c>
      <c r="M764" s="2">
        <v>101.6786</v>
      </c>
      <c r="N764" s="2">
        <v>144</v>
      </c>
      <c r="O764" s="2">
        <v>99.733699999999999</v>
      </c>
      <c r="P764" s="2">
        <v>186</v>
      </c>
      <c r="Q764" s="2">
        <v>95.878699999999995</v>
      </c>
      <c r="R764" s="2">
        <v>52</v>
      </c>
      <c r="S764" s="2">
        <v>95.571600000000004</v>
      </c>
      <c r="T764" s="2">
        <v>50</v>
      </c>
      <c r="U764" s="2">
        <v>0.62015900000000002</v>
      </c>
      <c r="V764" s="2">
        <v>109</v>
      </c>
      <c r="W764" s="2">
        <v>2004</v>
      </c>
    </row>
    <row r="765" spans="1:23" ht="12.3" hidden="1" x14ac:dyDescent="0.4">
      <c r="A765" s="2" t="s">
        <v>24</v>
      </c>
      <c r="B765" s="2"/>
      <c r="C765" s="2"/>
      <c r="D765" s="2"/>
      <c r="E765" s="2"/>
      <c r="F765" s="2"/>
      <c r="G765" s="2"/>
      <c r="H765" s="2"/>
      <c r="I765" s="2">
        <v>68.874300000000005</v>
      </c>
      <c r="J765" s="2">
        <v>129</v>
      </c>
      <c r="K765" s="2">
        <v>66.409199999999998</v>
      </c>
      <c r="L765" s="2">
        <v>208</v>
      </c>
      <c r="M765" s="2">
        <v>94.065700000000007</v>
      </c>
      <c r="N765" s="2">
        <v>286</v>
      </c>
      <c r="O765" s="2">
        <v>99.037099999999995</v>
      </c>
      <c r="P765" s="2">
        <v>208</v>
      </c>
      <c r="Q765" s="2">
        <v>102.3548</v>
      </c>
      <c r="R765" s="2">
        <v>185</v>
      </c>
      <c r="S765" s="2">
        <v>95.325699999999998</v>
      </c>
      <c r="T765" s="2">
        <v>45</v>
      </c>
      <c r="U765" s="2">
        <v>0.60807800000000001</v>
      </c>
      <c r="V765" s="2">
        <v>110</v>
      </c>
      <c r="W765" s="2">
        <v>2004</v>
      </c>
    </row>
    <row r="766" spans="1:23" ht="12.3" hidden="1" x14ac:dyDescent="0.4">
      <c r="A766" s="2" t="s">
        <v>206</v>
      </c>
      <c r="B766" s="2"/>
      <c r="C766" s="2"/>
      <c r="D766" s="2"/>
      <c r="E766" s="2"/>
      <c r="F766" s="2"/>
      <c r="G766" s="2"/>
      <c r="H766" s="2"/>
      <c r="I766" s="2">
        <v>68.371899999999997</v>
      </c>
      <c r="J766" s="2">
        <v>147</v>
      </c>
      <c r="K766" s="2">
        <v>67.169499999999999</v>
      </c>
      <c r="L766" s="2">
        <v>186</v>
      </c>
      <c r="M766" s="2">
        <v>100.9166</v>
      </c>
      <c r="N766" s="2">
        <v>166</v>
      </c>
      <c r="O766" s="2">
        <v>102.9332</v>
      </c>
      <c r="P766" s="2">
        <v>124</v>
      </c>
      <c r="Q766" s="2">
        <v>97.191500000000005</v>
      </c>
      <c r="R766" s="2">
        <v>83</v>
      </c>
      <c r="S766" s="2">
        <v>99.204400000000007</v>
      </c>
      <c r="T766" s="2">
        <v>117</v>
      </c>
      <c r="U766" s="2">
        <v>0.60451699999999997</v>
      </c>
      <c r="V766" s="2">
        <v>111</v>
      </c>
      <c r="W766" s="2">
        <v>2004</v>
      </c>
    </row>
    <row r="767" spans="1:23" ht="12.3" hidden="1" x14ac:dyDescent="0.4">
      <c r="A767" s="2" t="s">
        <v>68</v>
      </c>
      <c r="B767" s="2"/>
      <c r="C767" s="2"/>
      <c r="D767" s="2"/>
      <c r="E767" s="2"/>
      <c r="F767" s="2"/>
      <c r="G767" s="2"/>
      <c r="H767" s="2"/>
      <c r="I767" s="2">
        <v>67.895700000000005</v>
      </c>
      <c r="J767" s="2">
        <v>165</v>
      </c>
      <c r="K767" s="2">
        <v>68.029600000000002</v>
      </c>
      <c r="L767" s="2">
        <v>155</v>
      </c>
      <c r="M767" s="2">
        <v>107.973</v>
      </c>
      <c r="N767" s="2">
        <v>43</v>
      </c>
      <c r="O767" s="2">
        <v>108.8182</v>
      </c>
      <c r="P767" s="2">
        <v>52</v>
      </c>
      <c r="Q767" s="2">
        <v>104.8999</v>
      </c>
      <c r="R767" s="2">
        <v>253</v>
      </c>
      <c r="S767" s="2">
        <v>105.08920000000001</v>
      </c>
      <c r="T767" s="2">
        <v>241</v>
      </c>
      <c r="U767" s="2">
        <v>0.59892699999999999</v>
      </c>
      <c r="V767" s="2">
        <v>112</v>
      </c>
      <c r="W767" s="2">
        <v>2004</v>
      </c>
    </row>
    <row r="768" spans="1:23" ht="12.3" hidden="1" x14ac:dyDescent="0.4">
      <c r="A768" s="2" t="s">
        <v>115</v>
      </c>
      <c r="B768" s="2"/>
      <c r="C768" s="2"/>
      <c r="D768" s="2"/>
      <c r="E768" s="2"/>
      <c r="F768" s="2"/>
      <c r="G768" s="2"/>
      <c r="H768" s="2"/>
      <c r="I768" s="2">
        <v>63.475000000000001</v>
      </c>
      <c r="J768" s="2">
        <v>298</v>
      </c>
      <c r="K768" s="2">
        <v>63.622399999999999</v>
      </c>
      <c r="L768" s="2">
        <v>295</v>
      </c>
      <c r="M768" s="2">
        <v>106.8845</v>
      </c>
      <c r="N768" s="2">
        <v>62</v>
      </c>
      <c r="O768" s="2">
        <v>107.93940000000001</v>
      </c>
      <c r="P768" s="2">
        <v>61</v>
      </c>
      <c r="Q768" s="2">
        <v>105.6837</v>
      </c>
      <c r="R768" s="2">
        <v>269</v>
      </c>
      <c r="S768" s="2">
        <v>104.27209999999999</v>
      </c>
      <c r="T768" s="2">
        <v>218</v>
      </c>
      <c r="U768" s="2">
        <v>0.59808700000000004</v>
      </c>
      <c r="V768" s="2">
        <v>113</v>
      </c>
      <c r="W768" s="2">
        <v>2004</v>
      </c>
    </row>
    <row r="769" spans="1:23" ht="12.3" hidden="1" x14ac:dyDescent="0.4">
      <c r="A769" s="2" t="s">
        <v>105</v>
      </c>
      <c r="B769" s="2"/>
      <c r="C769" s="2"/>
      <c r="D769" s="2"/>
      <c r="E769" s="2"/>
      <c r="F769" s="2"/>
      <c r="G769" s="2"/>
      <c r="H769" s="2"/>
      <c r="I769" s="2">
        <v>70.693100000000001</v>
      </c>
      <c r="J769" s="2">
        <v>60</v>
      </c>
      <c r="K769" s="2">
        <v>69.644499999999994</v>
      </c>
      <c r="L769" s="2">
        <v>92</v>
      </c>
      <c r="M769" s="2">
        <v>103.6871</v>
      </c>
      <c r="N769" s="2">
        <v>101</v>
      </c>
      <c r="O769" s="2">
        <v>103.0996</v>
      </c>
      <c r="P769" s="2">
        <v>120</v>
      </c>
      <c r="Q769" s="2">
        <v>96.412999999999997</v>
      </c>
      <c r="R769" s="2">
        <v>63</v>
      </c>
      <c r="S769" s="2">
        <v>99.750799999999998</v>
      </c>
      <c r="T769" s="2">
        <v>128</v>
      </c>
      <c r="U769" s="2">
        <v>0.593808</v>
      </c>
      <c r="V769" s="2">
        <v>114</v>
      </c>
      <c r="W769" s="2">
        <v>2004</v>
      </c>
    </row>
    <row r="770" spans="1:23" ht="12.3" hidden="1" x14ac:dyDescent="0.4">
      <c r="A770" s="2" t="s">
        <v>94</v>
      </c>
      <c r="B770" s="2"/>
      <c r="C770" s="2"/>
      <c r="D770" s="2"/>
      <c r="E770" s="2"/>
      <c r="F770" s="2"/>
      <c r="G770" s="2"/>
      <c r="H770" s="2"/>
      <c r="I770" s="2">
        <v>66.996300000000005</v>
      </c>
      <c r="J770" s="2">
        <v>195</v>
      </c>
      <c r="K770" s="2">
        <v>66.672300000000007</v>
      </c>
      <c r="L770" s="2">
        <v>202</v>
      </c>
      <c r="M770" s="2">
        <v>98.020799999999994</v>
      </c>
      <c r="N770" s="2">
        <v>231</v>
      </c>
      <c r="O770" s="2">
        <v>100.6951</v>
      </c>
      <c r="P770" s="2">
        <v>168</v>
      </c>
      <c r="Q770" s="2">
        <v>98.802899999999994</v>
      </c>
      <c r="R770" s="2">
        <v>107</v>
      </c>
      <c r="S770" s="2">
        <v>97.528800000000004</v>
      </c>
      <c r="T770" s="2">
        <v>81</v>
      </c>
      <c r="U770" s="2">
        <v>0.590835</v>
      </c>
      <c r="V770" s="2">
        <v>115</v>
      </c>
      <c r="W770" s="2">
        <v>2004</v>
      </c>
    </row>
    <row r="771" spans="1:23" ht="12.3" hidden="1" x14ac:dyDescent="0.4">
      <c r="A771" s="2" t="s">
        <v>57</v>
      </c>
      <c r="B771" s="2"/>
      <c r="C771" s="2"/>
      <c r="D771" s="2"/>
      <c r="E771" s="2"/>
      <c r="F771" s="2"/>
      <c r="G771" s="2"/>
      <c r="H771" s="2"/>
      <c r="I771" s="2">
        <v>66.596000000000004</v>
      </c>
      <c r="J771" s="2">
        <v>206</v>
      </c>
      <c r="K771" s="2">
        <v>66.204700000000003</v>
      </c>
      <c r="L771" s="2">
        <v>216</v>
      </c>
      <c r="M771" s="2">
        <v>99.658299999999997</v>
      </c>
      <c r="N771" s="2">
        <v>189</v>
      </c>
      <c r="O771" s="2">
        <v>101.32</v>
      </c>
      <c r="P771" s="2">
        <v>158</v>
      </c>
      <c r="Q771" s="2">
        <v>100.4509</v>
      </c>
      <c r="R771" s="2">
        <v>141</v>
      </c>
      <c r="S771" s="2">
        <v>98.142899999999997</v>
      </c>
      <c r="T771" s="2">
        <v>92</v>
      </c>
      <c r="U771" s="2">
        <v>0.59058299999999997</v>
      </c>
      <c r="V771" s="2">
        <v>116</v>
      </c>
      <c r="W771" s="2">
        <v>2004</v>
      </c>
    </row>
    <row r="772" spans="1:23" ht="12.3" hidden="1" x14ac:dyDescent="0.4">
      <c r="A772" s="2" t="s">
        <v>159</v>
      </c>
      <c r="B772" s="2"/>
      <c r="C772" s="2"/>
      <c r="D772" s="2"/>
      <c r="E772" s="2"/>
      <c r="F772" s="2"/>
      <c r="G772" s="2"/>
      <c r="H772" s="2"/>
      <c r="I772" s="2">
        <v>67.990600000000001</v>
      </c>
      <c r="J772" s="2">
        <v>162</v>
      </c>
      <c r="K772" s="2">
        <v>68.364699999999999</v>
      </c>
      <c r="L772" s="2">
        <v>137</v>
      </c>
      <c r="M772" s="2">
        <v>97.279899999999998</v>
      </c>
      <c r="N772" s="2">
        <v>249</v>
      </c>
      <c r="O772" s="2">
        <v>99.615899999999996</v>
      </c>
      <c r="P772" s="2">
        <v>189</v>
      </c>
      <c r="Q772" s="2">
        <v>99.174400000000006</v>
      </c>
      <c r="R772" s="2">
        <v>115</v>
      </c>
      <c r="S772" s="2">
        <v>96.5548</v>
      </c>
      <c r="T772" s="2">
        <v>67</v>
      </c>
      <c r="U772" s="2">
        <v>0.588781</v>
      </c>
      <c r="V772" s="2">
        <v>117</v>
      </c>
      <c r="W772" s="2">
        <v>2004</v>
      </c>
    </row>
    <row r="773" spans="1:23" ht="12.3" hidden="1" x14ac:dyDescent="0.4">
      <c r="A773" s="2" t="s">
        <v>199</v>
      </c>
      <c r="B773" s="2"/>
      <c r="C773" s="2"/>
      <c r="D773" s="2"/>
      <c r="E773" s="2"/>
      <c r="F773" s="2"/>
      <c r="G773" s="2"/>
      <c r="H773" s="2"/>
      <c r="I773" s="2">
        <v>66.428700000000006</v>
      </c>
      <c r="J773" s="2">
        <v>215</v>
      </c>
      <c r="K773" s="2">
        <v>66.0595</v>
      </c>
      <c r="L773" s="2">
        <v>224</v>
      </c>
      <c r="M773" s="2">
        <v>111.41030000000001</v>
      </c>
      <c r="N773" s="2">
        <v>15</v>
      </c>
      <c r="O773" s="2">
        <v>108.512</v>
      </c>
      <c r="P773" s="2">
        <v>56</v>
      </c>
      <c r="Q773" s="2">
        <v>105.6054</v>
      </c>
      <c r="R773" s="2">
        <v>266</v>
      </c>
      <c r="S773" s="2">
        <v>105.1883</v>
      </c>
      <c r="T773" s="2">
        <v>242</v>
      </c>
      <c r="U773" s="2">
        <v>0.58849499999999999</v>
      </c>
      <c r="V773" s="2">
        <v>118</v>
      </c>
      <c r="W773" s="2">
        <v>2004</v>
      </c>
    </row>
    <row r="774" spans="1:23" ht="12.3" hidden="1" x14ac:dyDescent="0.4">
      <c r="A774" s="2" t="s">
        <v>60</v>
      </c>
      <c r="B774" s="2"/>
      <c r="C774" s="2"/>
      <c r="D774" s="2"/>
      <c r="E774" s="2"/>
      <c r="F774" s="2"/>
      <c r="G774" s="2"/>
      <c r="H774" s="2"/>
      <c r="I774" s="2">
        <v>68.103499999999997</v>
      </c>
      <c r="J774" s="2">
        <v>154</v>
      </c>
      <c r="K774" s="2">
        <v>67.303299999999993</v>
      </c>
      <c r="L774" s="2">
        <v>180</v>
      </c>
      <c r="M774" s="2">
        <v>102.4111</v>
      </c>
      <c r="N774" s="2">
        <v>123</v>
      </c>
      <c r="O774" s="2">
        <v>104.7831</v>
      </c>
      <c r="P774" s="2">
        <v>97</v>
      </c>
      <c r="Q774" s="2">
        <v>99.722499999999997</v>
      </c>
      <c r="R774" s="2">
        <v>122</v>
      </c>
      <c r="S774" s="2">
        <v>101.6551</v>
      </c>
      <c r="T774" s="2">
        <v>167</v>
      </c>
      <c r="U774" s="2">
        <v>0.58626299999999998</v>
      </c>
      <c r="V774" s="2">
        <v>119</v>
      </c>
      <c r="W774" s="2">
        <v>2004</v>
      </c>
    </row>
    <row r="775" spans="1:23" ht="12.3" hidden="1" x14ac:dyDescent="0.4">
      <c r="A775" s="2" t="s">
        <v>83</v>
      </c>
      <c r="B775" s="2"/>
      <c r="C775" s="2"/>
      <c r="D775" s="2"/>
      <c r="E775" s="2"/>
      <c r="F775" s="2"/>
      <c r="G775" s="2"/>
      <c r="H775" s="2"/>
      <c r="I775" s="2">
        <v>63.082299999999996</v>
      </c>
      <c r="J775" s="2">
        <v>307</v>
      </c>
      <c r="K775" s="2">
        <v>61.552900000000001</v>
      </c>
      <c r="L775" s="2">
        <v>313</v>
      </c>
      <c r="M775" s="2">
        <v>96.598799999999997</v>
      </c>
      <c r="N775" s="2">
        <v>259</v>
      </c>
      <c r="O775" s="2">
        <v>96.745900000000006</v>
      </c>
      <c r="P775" s="2">
        <v>250</v>
      </c>
      <c r="Q775" s="2">
        <v>93.227099999999993</v>
      </c>
      <c r="R775" s="2">
        <v>21</v>
      </c>
      <c r="S775" s="2">
        <v>93.862700000000004</v>
      </c>
      <c r="T775" s="2">
        <v>29</v>
      </c>
      <c r="U775" s="2">
        <v>0.586117</v>
      </c>
      <c r="V775" s="2">
        <v>120</v>
      </c>
      <c r="W775" s="2">
        <v>2004</v>
      </c>
    </row>
    <row r="776" spans="1:23" ht="12.3" hidden="1" x14ac:dyDescent="0.4">
      <c r="A776" s="2" t="s">
        <v>79</v>
      </c>
      <c r="B776" s="2"/>
      <c r="C776" s="2"/>
      <c r="D776" s="2"/>
      <c r="E776" s="2"/>
      <c r="F776" s="2"/>
      <c r="G776" s="2"/>
      <c r="H776" s="2"/>
      <c r="I776" s="2">
        <v>71.066699999999997</v>
      </c>
      <c r="J776" s="2">
        <v>47</v>
      </c>
      <c r="K776" s="2">
        <v>71.430000000000007</v>
      </c>
      <c r="L776" s="2">
        <v>34</v>
      </c>
      <c r="M776" s="2">
        <v>110.1157</v>
      </c>
      <c r="N776" s="2">
        <v>23</v>
      </c>
      <c r="O776" s="2">
        <v>111.12520000000001</v>
      </c>
      <c r="P776" s="2">
        <v>28</v>
      </c>
      <c r="Q776" s="2">
        <v>110.6866</v>
      </c>
      <c r="R776" s="2">
        <v>318</v>
      </c>
      <c r="S776" s="2">
        <v>108.1284</v>
      </c>
      <c r="T776" s="2">
        <v>292</v>
      </c>
      <c r="U776" s="2">
        <v>0.57795399999999997</v>
      </c>
      <c r="V776" s="2">
        <v>121</v>
      </c>
      <c r="W776" s="2">
        <v>2004</v>
      </c>
    </row>
    <row r="777" spans="1:23" ht="12.3" hidden="1" x14ac:dyDescent="0.4">
      <c r="A777" s="2" t="s">
        <v>97</v>
      </c>
      <c r="B777" s="2"/>
      <c r="C777" s="2"/>
      <c r="D777" s="2"/>
      <c r="E777" s="2"/>
      <c r="F777" s="2"/>
      <c r="G777" s="2"/>
      <c r="H777" s="2"/>
      <c r="I777" s="2">
        <v>68.399199999999993</v>
      </c>
      <c r="J777" s="2">
        <v>145</v>
      </c>
      <c r="K777" s="2">
        <v>68.963399999999993</v>
      </c>
      <c r="L777" s="2">
        <v>119</v>
      </c>
      <c r="M777" s="2">
        <v>101.5145</v>
      </c>
      <c r="N777" s="2">
        <v>153</v>
      </c>
      <c r="O777" s="2">
        <v>101.8707</v>
      </c>
      <c r="P777" s="2">
        <v>143</v>
      </c>
      <c r="Q777" s="2">
        <v>103.07550000000001</v>
      </c>
      <c r="R777" s="2">
        <v>203</v>
      </c>
      <c r="S777" s="2">
        <v>99.130300000000005</v>
      </c>
      <c r="T777" s="2">
        <v>116</v>
      </c>
      <c r="U777" s="2">
        <v>0.577762</v>
      </c>
      <c r="V777" s="2">
        <v>122</v>
      </c>
      <c r="W777" s="2">
        <v>2004</v>
      </c>
    </row>
    <row r="778" spans="1:23" ht="12.3" hidden="1" x14ac:dyDescent="0.4">
      <c r="A778" s="2" t="s">
        <v>51</v>
      </c>
      <c r="B778" s="2"/>
      <c r="C778" s="2"/>
      <c r="D778" s="2"/>
      <c r="E778" s="2"/>
      <c r="F778" s="2"/>
      <c r="G778" s="2"/>
      <c r="H778" s="2"/>
      <c r="I778" s="2">
        <v>64.749600000000001</v>
      </c>
      <c r="J778" s="2">
        <v>264</v>
      </c>
      <c r="K778" s="2">
        <v>65.030900000000003</v>
      </c>
      <c r="L778" s="2">
        <v>266</v>
      </c>
      <c r="M778" s="2">
        <v>97.795400000000001</v>
      </c>
      <c r="N778" s="2">
        <v>238</v>
      </c>
      <c r="O778" s="2">
        <v>100.0915</v>
      </c>
      <c r="P778" s="2">
        <v>175</v>
      </c>
      <c r="Q778" s="2">
        <v>100.9207</v>
      </c>
      <c r="R778" s="2">
        <v>151</v>
      </c>
      <c r="S778" s="2">
        <v>97.401399999999995</v>
      </c>
      <c r="T778" s="2">
        <v>79</v>
      </c>
      <c r="U778" s="2">
        <v>0.57769300000000001</v>
      </c>
      <c r="V778" s="2">
        <v>123</v>
      </c>
      <c r="W778" s="2">
        <v>2004</v>
      </c>
    </row>
    <row r="779" spans="1:23" ht="12.3" hidden="1" x14ac:dyDescent="0.4">
      <c r="A779" s="2" t="s">
        <v>228</v>
      </c>
      <c r="B779" s="2"/>
      <c r="C779" s="2"/>
      <c r="D779" s="2"/>
      <c r="E779" s="2"/>
      <c r="F779" s="2"/>
      <c r="G779" s="2"/>
      <c r="H779" s="2"/>
      <c r="I779" s="2">
        <v>67.029300000000006</v>
      </c>
      <c r="J779" s="2">
        <v>192</v>
      </c>
      <c r="K779" s="2">
        <v>67.087699999999998</v>
      </c>
      <c r="L779" s="2">
        <v>191</v>
      </c>
      <c r="M779" s="2">
        <v>101.4543</v>
      </c>
      <c r="N779" s="2">
        <v>154</v>
      </c>
      <c r="O779" s="2">
        <v>101.6117</v>
      </c>
      <c r="P779" s="2">
        <v>149</v>
      </c>
      <c r="Q779" s="2">
        <v>99.983000000000004</v>
      </c>
      <c r="R779" s="2">
        <v>129</v>
      </c>
      <c r="S779" s="2">
        <v>98.887</v>
      </c>
      <c r="T779" s="2">
        <v>110</v>
      </c>
      <c r="U779" s="2">
        <v>0.57751399999999997</v>
      </c>
      <c r="V779" s="2">
        <v>124</v>
      </c>
      <c r="W779" s="2">
        <v>2004</v>
      </c>
    </row>
    <row r="780" spans="1:23" ht="12.3" hidden="1" x14ac:dyDescent="0.4">
      <c r="A780" s="2" t="s">
        <v>93</v>
      </c>
      <c r="B780" s="2"/>
      <c r="C780" s="2"/>
      <c r="D780" s="2"/>
      <c r="E780" s="2"/>
      <c r="F780" s="2"/>
      <c r="G780" s="2"/>
      <c r="H780" s="2"/>
      <c r="I780" s="2">
        <v>68.435000000000002</v>
      </c>
      <c r="J780" s="2">
        <v>143</v>
      </c>
      <c r="K780" s="2">
        <v>69.834999999999994</v>
      </c>
      <c r="L780" s="2">
        <v>84</v>
      </c>
      <c r="M780" s="2">
        <v>101.87269999999999</v>
      </c>
      <c r="N780" s="2">
        <v>138</v>
      </c>
      <c r="O780" s="2">
        <v>102.0771</v>
      </c>
      <c r="P780" s="2">
        <v>139</v>
      </c>
      <c r="Q780" s="2">
        <v>100.7563</v>
      </c>
      <c r="R780" s="2">
        <v>148</v>
      </c>
      <c r="S780" s="2">
        <v>99.3553</v>
      </c>
      <c r="T780" s="2">
        <v>122</v>
      </c>
      <c r="U780" s="2">
        <v>0.57708199999999998</v>
      </c>
      <c r="V780" s="2">
        <v>125</v>
      </c>
      <c r="W780" s="2">
        <v>2004</v>
      </c>
    </row>
    <row r="781" spans="1:23" ht="12.3" hidden="1" x14ac:dyDescent="0.4">
      <c r="A781" s="2" t="s">
        <v>167</v>
      </c>
      <c r="B781" s="2"/>
      <c r="C781" s="2"/>
      <c r="D781" s="2"/>
      <c r="E781" s="2"/>
      <c r="F781" s="2"/>
      <c r="G781" s="2"/>
      <c r="H781" s="2"/>
      <c r="I781" s="2">
        <v>60.652500000000003</v>
      </c>
      <c r="J781" s="2">
        <v>315</v>
      </c>
      <c r="K781" s="2">
        <v>60.534700000000001</v>
      </c>
      <c r="L781" s="2">
        <v>318</v>
      </c>
      <c r="M781" s="2">
        <v>101.8443</v>
      </c>
      <c r="N781" s="2">
        <v>140</v>
      </c>
      <c r="O781" s="2">
        <v>102.413</v>
      </c>
      <c r="P781" s="2">
        <v>135</v>
      </c>
      <c r="Q781" s="2">
        <v>100.8108</v>
      </c>
      <c r="R781" s="2">
        <v>150</v>
      </c>
      <c r="S781" s="2">
        <v>99.739500000000007</v>
      </c>
      <c r="T781" s="2">
        <v>127</v>
      </c>
      <c r="U781" s="2">
        <v>0.57546699999999995</v>
      </c>
      <c r="V781" s="2">
        <v>126</v>
      </c>
      <c r="W781" s="2">
        <v>2004</v>
      </c>
    </row>
    <row r="782" spans="1:23" ht="12.3" x14ac:dyDescent="0.4">
      <c r="A782" s="2" t="s">
        <v>151</v>
      </c>
      <c r="B782" s="2">
        <v>13</v>
      </c>
      <c r="C782" s="4" t="s">
        <v>33</v>
      </c>
      <c r="D782" s="4" t="s">
        <v>33</v>
      </c>
      <c r="E782" s="2"/>
      <c r="F782" s="2"/>
      <c r="G782" s="2"/>
      <c r="H782" s="2"/>
      <c r="I782" s="2">
        <v>67.107699999999994</v>
      </c>
      <c r="J782" s="2">
        <v>123</v>
      </c>
      <c r="K782" s="2">
        <v>67.1738</v>
      </c>
      <c r="L782" s="2">
        <v>115</v>
      </c>
      <c r="M782" s="2">
        <v>104.36839999999999</v>
      </c>
      <c r="N782" s="2">
        <v>106</v>
      </c>
      <c r="O782" s="2">
        <v>104.4235</v>
      </c>
      <c r="P782" s="2">
        <v>106</v>
      </c>
      <c r="Q782" s="2">
        <v>93.230500000000006</v>
      </c>
      <c r="R782" s="2">
        <v>31</v>
      </c>
      <c r="S782" s="2">
        <v>94.395200000000003</v>
      </c>
      <c r="T782" s="2">
        <v>43</v>
      </c>
      <c r="U782" s="2">
        <v>0.76153099999999996</v>
      </c>
      <c r="V782" s="2">
        <v>58</v>
      </c>
      <c r="W782" s="2">
        <v>2012</v>
      </c>
    </row>
    <row r="783" spans="1:23" ht="12.3" hidden="1" x14ac:dyDescent="0.4">
      <c r="A783" s="2" t="s">
        <v>282</v>
      </c>
      <c r="B783" s="2"/>
      <c r="C783" s="2"/>
      <c r="D783" s="2"/>
      <c r="E783" s="2"/>
      <c r="F783" s="2"/>
      <c r="G783" s="2"/>
      <c r="H783" s="2"/>
      <c r="I783" s="2">
        <v>66.905799999999999</v>
      </c>
      <c r="J783" s="2">
        <v>196</v>
      </c>
      <c r="K783" s="2">
        <v>64.736199999999997</v>
      </c>
      <c r="L783" s="2">
        <v>273</v>
      </c>
      <c r="M783" s="2">
        <v>102.57380000000001</v>
      </c>
      <c r="N783" s="2">
        <v>119</v>
      </c>
      <c r="O783" s="2">
        <v>99.284999999999997</v>
      </c>
      <c r="P783" s="2">
        <v>197</v>
      </c>
      <c r="Q783" s="2">
        <v>91.8155</v>
      </c>
      <c r="R783" s="2">
        <v>12</v>
      </c>
      <c r="S783" s="2">
        <v>96.974900000000005</v>
      </c>
      <c r="T783" s="2">
        <v>69</v>
      </c>
      <c r="U783" s="2">
        <v>0.567272</v>
      </c>
      <c r="V783" s="2">
        <v>128</v>
      </c>
      <c r="W783" s="2">
        <v>2004</v>
      </c>
    </row>
    <row r="784" spans="1:23" ht="12.3" hidden="1" x14ac:dyDescent="0.4">
      <c r="A784" s="2" t="s">
        <v>239</v>
      </c>
      <c r="B784" s="2"/>
      <c r="C784" s="2"/>
      <c r="D784" s="2"/>
      <c r="E784" s="2"/>
      <c r="F784" s="2"/>
      <c r="G784" s="2"/>
      <c r="H784" s="2"/>
      <c r="I784" s="2">
        <v>59.693199999999997</v>
      </c>
      <c r="J784" s="2">
        <v>322</v>
      </c>
      <c r="K784" s="2">
        <v>58.917099999999998</v>
      </c>
      <c r="L784" s="2">
        <v>323</v>
      </c>
      <c r="M784" s="2">
        <v>96.223799999999997</v>
      </c>
      <c r="N784" s="2">
        <v>262</v>
      </c>
      <c r="O784" s="2">
        <v>98.547300000000007</v>
      </c>
      <c r="P784" s="2">
        <v>214</v>
      </c>
      <c r="Q784" s="2">
        <v>99.805999999999997</v>
      </c>
      <c r="R784" s="2">
        <v>127</v>
      </c>
      <c r="S784" s="2">
        <v>96.258499999999998</v>
      </c>
      <c r="T784" s="2">
        <v>60</v>
      </c>
      <c r="U784" s="2">
        <v>0.56715199999999999</v>
      </c>
      <c r="V784" s="2">
        <v>129</v>
      </c>
      <c r="W784" s="2">
        <v>2004</v>
      </c>
    </row>
    <row r="785" spans="1:23" ht="12.3" hidden="1" x14ac:dyDescent="0.4">
      <c r="A785" s="2" t="s">
        <v>134</v>
      </c>
      <c r="B785" s="2"/>
      <c r="C785" s="2"/>
      <c r="D785" s="2"/>
      <c r="E785" s="2"/>
      <c r="F785" s="2"/>
      <c r="G785" s="2"/>
      <c r="H785" s="2"/>
      <c r="I785" s="2">
        <v>70.888000000000005</v>
      </c>
      <c r="J785" s="2">
        <v>53</v>
      </c>
      <c r="K785" s="2">
        <v>68.141999999999996</v>
      </c>
      <c r="L785" s="2">
        <v>152</v>
      </c>
      <c r="M785" s="2">
        <v>99.850099999999998</v>
      </c>
      <c r="N785" s="2">
        <v>183</v>
      </c>
      <c r="O785" s="2">
        <v>102.0476</v>
      </c>
      <c r="P785" s="2">
        <v>140</v>
      </c>
      <c r="Q785" s="2">
        <v>100.1049</v>
      </c>
      <c r="R785" s="2">
        <v>132</v>
      </c>
      <c r="S785" s="2">
        <v>99.773600000000002</v>
      </c>
      <c r="T785" s="2">
        <v>129</v>
      </c>
      <c r="U785" s="2">
        <v>0.56442899999999996</v>
      </c>
      <c r="V785" s="2">
        <v>130</v>
      </c>
      <c r="W785" s="2">
        <v>2004</v>
      </c>
    </row>
    <row r="786" spans="1:23" ht="12.3" hidden="1" x14ac:dyDescent="0.4">
      <c r="A786" s="2" t="s">
        <v>157</v>
      </c>
      <c r="B786" s="2"/>
      <c r="C786" s="2"/>
      <c r="D786" s="2"/>
      <c r="E786" s="2"/>
      <c r="F786" s="2"/>
      <c r="G786" s="2"/>
      <c r="H786" s="2"/>
      <c r="I786" s="2">
        <v>68.893699999999995</v>
      </c>
      <c r="J786" s="2">
        <v>127</v>
      </c>
      <c r="K786" s="2">
        <v>69.880899999999997</v>
      </c>
      <c r="L786" s="2">
        <v>81</v>
      </c>
      <c r="M786" s="2">
        <v>99.322699999999998</v>
      </c>
      <c r="N786" s="2">
        <v>203</v>
      </c>
      <c r="O786" s="2">
        <v>102.3497</v>
      </c>
      <c r="P786" s="2">
        <v>136</v>
      </c>
      <c r="Q786" s="2">
        <v>103.7991</v>
      </c>
      <c r="R786" s="2">
        <v>226</v>
      </c>
      <c r="S786" s="2">
        <v>100.09699999999999</v>
      </c>
      <c r="T786" s="2">
        <v>143</v>
      </c>
      <c r="U786" s="2">
        <v>0.56364000000000003</v>
      </c>
      <c r="V786" s="2">
        <v>131</v>
      </c>
      <c r="W786" s="2">
        <v>2004</v>
      </c>
    </row>
    <row r="787" spans="1:23" ht="12.3" hidden="1" x14ac:dyDescent="0.4">
      <c r="A787" s="2" t="s">
        <v>104</v>
      </c>
      <c r="B787" s="2"/>
      <c r="C787" s="2"/>
      <c r="D787" s="2"/>
      <c r="E787" s="2"/>
      <c r="F787" s="2"/>
      <c r="G787" s="2"/>
      <c r="H787" s="2"/>
      <c r="I787" s="2">
        <v>64.276300000000006</v>
      </c>
      <c r="J787" s="2">
        <v>282</v>
      </c>
      <c r="K787" s="2">
        <v>65.018000000000001</v>
      </c>
      <c r="L787" s="2">
        <v>267</v>
      </c>
      <c r="M787" s="2">
        <v>101.54</v>
      </c>
      <c r="N787" s="2">
        <v>150</v>
      </c>
      <c r="O787" s="2">
        <v>99.474000000000004</v>
      </c>
      <c r="P787" s="2">
        <v>190</v>
      </c>
      <c r="Q787" s="2">
        <v>97.026300000000006</v>
      </c>
      <c r="R787" s="2">
        <v>81</v>
      </c>
      <c r="S787" s="2">
        <v>97.329800000000006</v>
      </c>
      <c r="T787" s="2">
        <v>77</v>
      </c>
      <c r="U787" s="2">
        <v>0.56232499999999996</v>
      </c>
      <c r="V787" s="2">
        <v>132</v>
      </c>
      <c r="W787" s="2">
        <v>2004</v>
      </c>
    </row>
    <row r="788" spans="1:23" ht="12.3" hidden="1" x14ac:dyDescent="0.4">
      <c r="A788" s="2" t="s">
        <v>18</v>
      </c>
      <c r="B788" s="2"/>
      <c r="C788" s="2"/>
      <c r="D788" s="2"/>
      <c r="E788" s="2"/>
      <c r="F788" s="2"/>
      <c r="G788" s="2"/>
      <c r="H788" s="2"/>
      <c r="I788" s="2">
        <v>57.874499999999998</v>
      </c>
      <c r="J788" s="2">
        <v>325</v>
      </c>
      <c r="K788" s="2">
        <v>58.231299999999997</v>
      </c>
      <c r="L788" s="2">
        <v>325</v>
      </c>
      <c r="M788" s="2">
        <v>104.8891</v>
      </c>
      <c r="N788" s="2">
        <v>89</v>
      </c>
      <c r="O788" s="2">
        <v>105.69710000000001</v>
      </c>
      <c r="P788" s="2">
        <v>81</v>
      </c>
      <c r="Q788" s="2">
        <v>101.9952</v>
      </c>
      <c r="R788" s="2">
        <v>178</v>
      </c>
      <c r="S788" s="2">
        <v>103.65089999999999</v>
      </c>
      <c r="T788" s="2">
        <v>199</v>
      </c>
      <c r="U788" s="2">
        <v>0.55596699999999999</v>
      </c>
      <c r="V788" s="2">
        <v>133</v>
      </c>
      <c r="W788" s="2">
        <v>2004</v>
      </c>
    </row>
    <row r="789" spans="1:23" ht="12.3" hidden="1" x14ac:dyDescent="0.4">
      <c r="A789" s="2" t="s">
        <v>152</v>
      </c>
      <c r="B789" s="2"/>
      <c r="C789" s="2"/>
      <c r="D789" s="2"/>
      <c r="E789" s="2"/>
      <c r="F789" s="2"/>
      <c r="G789" s="2"/>
      <c r="H789" s="2"/>
      <c r="I789" s="2">
        <v>68.373699999999999</v>
      </c>
      <c r="J789" s="2">
        <v>146</v>
      </c>
      <c r="K789" s="2">
        <v>67.224500000000006</v>
      </c>
      <c r="L789" s="2">
        <v>184</v>
      </c>
      <c r="M789" s="2">
        <v>106.1315</v>
      </c>
      <c r="N789" s="2">
        <v>75</v>
      </c>
      <c r="O789" s="2">
        <v>101.7324</v>
      </c>
      <c r="P789" s="2">
        <v>146</v>
      </c>
      <c r="Q789" s="2">
        <v>99.585999999999999</v>
      </c>
      <c r="R789" s="2">
        <v>118</v>
      </c>
      <c r="S789" s="2">
        <v>99.949100000000001</v>
      </c>
      <c r="T789" s="2">
        <v>135</v>
      </c>
      <c r="U789" s="2">
        <v>0.55067100000000002</v>
      </c>
      <c r="V789" s="2">
        <v>134</v>
      </c>
      <c r="W789" s="2">
        <v>2004</v>
      </c>
    </row>
    <row r="790" spans="1:23" ht="12.3" hidden="1" x14ac:dyDescent="0.4">
      <c r="A790" s="2" t="s">
        <v>250</v>
      </c>
      <c r="B790" s="2"/>
      <c r="C790" s="2"/>
      <c r="D790" s="2"/>
      <c r="E790" s="2"/>
      <c r="F790" s="2"/>
      <c r="G790" s="2"/>
      <c r="H790" s="2"/>
      <c r="I790" s="2">
        <v>68.207599999999999</v>
      </c>
      <c r="J790" s="2">
        <v>151</v>
      </c>
      <c r="K790" s="2">
        <v>69.499799999999993</v>
      </c>
      <c r="L790" s="2">
        <v>99</v>
      </c>
      <c r="M790" s="2">
        <v>101.691</v>
      </c>
      <c r="N790" s="2">
        <v>143</v>
      </c>
      <c r="O790" s="2">
        <v>103.402</v>
      </c>
      <c r="P790" s="2">
        <v>112</v>
      </c>
      <c r="Q790" s="2">
        <v>103.5792</v>
      </c>
      <c r="R790" s="2">
        <v>218</v>
      </c>
      <c r="S790" s="2">
        <v>101.8472</v>
      </c>
      <c r="T790" s="2">
        <v>171</v>
      </c>
      <c r="U790" s="2">
        <v>0.54344899999999996</v>
      </c>
      <c r="V790" s="2">
        <v>135</v>
      </c>
      <c r="W790" s="2">
        <v>2004</v>
      </c>
    </row>
    <row r="791" spans="1:23" ht="12.3" hidden="1" x14ac:dyDescent="0.4">
      <c r="A791" s="2" t="s">
        <v>153</v>
      </c>
      <c r="B791" s="2"/>
      <c r="C791" s="2"/>
      <c r="D791" s="2"/>
      <c r="E791" s="2"/>
      <c r="F791" s="2"/>
      <c r="G791" s="2"/>
      <c r="H791" s="2"/>
      <c r="I791" s="2">
        <v>76.241</v>
      </c>
      <c r="J791" s="2">
        <v>2</v>
      </c>
      <c r="K791" s="2">
        <v>73.819100000000006</v>
      </c>
      <c r="L791" s="2">
        <v>11</v>
      </c>
      <c r="M791" s="2">
        <v>102.2929</v>
      </c>
      <c r="N791" s="2">
        <v>128</v>
      </c>
      <c r="O791" s="2">
        <v>99.755899999999997</v>
      </c>
      <c r="P791" s="2">
        <v>185</v>
      </c>
      <c r="Q791" s="2">
        <v>94.578400000000002</v>
      </c>
      <c r="R791" s="2">
        <v>37</v>
      </c>
      <c r="S791" s="2">
        <v>98.407799999999995</v>
      </c>
      <c r="T791" s="2">
        <v>99</v>
      </c>
      <c r="U791" s="2">
        <v>0.53903599999999996</v>
      </c>
      <c r="V791" s="2">
        <v>136</v>
      </c>
      <c r="W791" s="2">
        <v>2004</v>
      </c>
    </row>
    <row r="792" spans="1:23" ht="12.3" hidden="1" x14ac:dyDescent="0.4">
      <c r="A792" s="2" t="s">
        <v>166</v>
      </c>
      <c r="B792" s="2"/>
      <c r="C792" s="2"/>
      <c r="D792" s="2"/>
      <c r="E792" s="2"/>
      <c r="F792" s="2"/>
      <c r="G792" s="2"/>
      <c r="H792" s="2"/>
      <c r="I792" s="2">
        <v>71.056200000000004</v>
      </c>
      <c r="J792" s="2">
        <v>48</v>
      </c>
      <c r="K792" s="2">
        <v>68.363900000000001</v>
      </c>
      <c r="L792" s="2">
        <v>138</v>
      </c>
      <c r="M792" s="2">
        <v>109.8809</v>
      </c>
      <c r="N792" s="2">
        <v>24</v>
      </c>
      <c r="O792" s="2">
        <v>109.8129</v>
      </c>
      <c r="P792" s="2">
        <v>37</v>
      </c>
      <c r="Q792" s="2">
        <v>107.5369</v>
      </c>
      <c r="R792" s="2">
        <v>294</v>
      </c>
      <c r="S792" s="2">
        <v>108.3849</v>
      </c>
      <c r="T792" s="2">
        <v>295</v>
      </c>
      <c r="U792" s="2">
        <v>0.53756300000000001</v>
      </c>
      <c r="V792" s="2">
        <v>137</v>
      </c>
      <c r="W792" s="2">
        <v>2004</v>
      </c>
    </row>
    <row r="793" spans="1:23" ht="12.3" x14ac:dyDescent="0.4">
      <c r="A793" s="2" t="s">
        <v>96</v>
      </c>
      <c r="B793" s="2">
        <v>14</v>
      </c>
      <c r="C793" s="2"/>
      <c r="D793" s="2"/>
      <c r="E793" s="2"/>
      <c r="F793" s="2"/>
      <c r="G793" s="2"/>
      <c r="H793" s="2"/>
      <c r="I793" s="2">
        <v>72.506900000000002</v>
      </c>
      <c r="J793" s="2">
        <v>9</v>
      </c>
      <c r="K793" s="2">
        <v>73.224000000000004</v>
      </c>
      <c r="L793" s="2">
        <v>5</v>
      </c>
      <c r="M793" s="2">
        <v>108.0408</v>
      </c>
      <c r="N793" s="2">
        <v>46</v>
      </c>
      <c r="O793" s="2">
        <v>103.62050000000001</v>
      </c>
      <c r="P793" s="2">
        <v>120</v>
      </c>
      <c r="Q793" s="2">
        <v>93.218900000000005</v>
      </c>
      <c r="R793" s="2">
        <v>29</v>
      </c>
      <c r="S793" s="2">
        <v>93.7577</v>
      </c>
      <c r="T793" s="2">
        <v>31</v>
      </c>
      <c r="U793" s="2">
        <v>0.75955499999999998</v>
      </c>
      <c r="V793" s="2">
        <v>61</v>
      </c>
      <c r="W793" s="2">
        <v>2012</v>
      </c>
    </row>
    <row r="794" spans="1:23" ht="12.3" hidden="1" x14ac:dyDescent="0.4">
      <c r="A794" s="2" t="s">
        <v>142</v>
      </c>
      <c r="B794" s="2"/>
      <c r="C794" s="2"/>
      <c r="D794" s="2"/>
      <c r="E794" s="2"/>
      <c r="F794" s="2"/>
      <c r="G794" s="2"/>
      <c r="H794" s="2"/>
      <c r="I794" s="2">
        <v>68.008099999999999</v>
      </c>
      <c r="J794" s="2">
        <v>161</v>
      </c>
      <c r="K794" s="2">
        <v>68.155500000000004</v>
      </c>
      <c r="L794" s="2">
        <v>151</v>
      </c>
      <c r="M794" s="2">
        <v>98.154899999999998</v>
      </c>
      <c r="N794" s="2">
        <v>229</v>
      </c>
      <c r="O794" s="2">
        <v>100.9312</v>
      </c>
      <c r="P794" s="2">
        <v>163</v>
      </c>
      <c r="Q794" s="2">
        <v>103.2786</v>
      </c>
      <c r="R794" s="2">
        <v>210</v>
      </c>
      <c r="S794" s="2">
        <v>99.915000000000006</v>
      </c>
      <c r="T794" s="2">
        <v>133</v>
      </c>
      <c r="U794" s="2">
        <v>0.52905999999999997</v>
      </c>
      <c r="V794" s="2">
        <v>139</v>
      </c>
      <c r="W794" s="2">
        <v>2004</v>
      </c>
    </row>
    <row r="795" spans="1:23" ht="12.3" hidden="1" x14ac:dyDescent="0.4">
      <c r="A795" s="2" t="s">
        <v>140</v>
      </c>
      <c r="B795" s="2"/>
      <c r="C795" s="2"/>
      <c r="D795" s="2"/>
      <c r="E795" s="2"/>
      <c r="F795" s="2"/>
      <c r="G795" s="2"/>
      <c r="H795" s="2"/>
      <c r="I795" s="2">
        <v>64.439400000000006</v>
      </c>
      <c r="J795" s="2">
        <v>274</v>
      </c>
      <c r="K795" s="2">
        <v>64.117800000000003</v>
      </c>
      <c r="L795" s="2">
        <v>287</v>
      </c>
      <c r="M795" s="2">
        <v>99.063599999999994</v>
      </c>
      <c r="N795" s="2">
        <v>210</v>
      </c>
      <c r="O795" s="2">
        <v>103.5958</v>
      </c>
      <c r="P795" s="2">
        <v>107</v>
      </c>
      <c r="Q795" s="2">
        <v>105.03</v>
      </c>
      <c r="R795" s="2">
        <v>255</v>
      </c>
      <c r="S795" s="2">
        <v>102.64239999999999</v>
      </c>
      <c r="T795" s="2">
        <v>183</v>
      </c>
      <c r="U795" s="2">
        <v>0.52655799999999997</v>
      </c>
      <c r="V795" s="2">
        <v>140</v>
      </c>
      <c r="W795" s="2">
        <v>2004</v>
      </c>
    </row>
    <row r="796" spans="1:23" ht="12.3" hidden="1" x14ac:dyDescent="0.4">
      <c r="A796" s="2" t="s">
        <v>125</v>
      </c>
      <c r="B796" s="2"/>
      <c r="C796" s="2"/>
      <c r="D796" s="2"/>
      <c r="E796" s="2"/>
      <c r="F796" s="2"/>
      <c r="G796" s="2"/>
      <c r="H796" s="2"/>
      <c r="I796" s="2">
        <v>67.844700000000003</v>
      </c>
      <c r="J796" s="2">
        <v>170</v>
      </c>
      <c r="K796" s="2">
        <v>67.066800000000001</v>
      </c>
      <c r="L796" s="2">
        <v>192</v>
      </c>
      <c r="M796" s="2">
        <v>101.99979999999999</v>
      </c>
      <c r="N796" s="2">
        <v>136</v>
      </c>
      <c r="O796" s="2">
        <v>99.444199999999995</v>
      </c>
      <c r="P796" s="2">
        <v>192</v>
      </c>
      <c r="Q796" s="2">
        <v>96.834900000000005</v>
      </c>
      <c r="R796" s="2">
        <v>72</v>
      </c>
      <c r="S796" s="2">
        <v>98.545400000000001</v>
      </c>
      <c r="T796" s="2">
        <v>101</v>
      </c>
      <c r="U796" s="2">
        <v>0.52608100000000002</v>
      </c>
      <c r="V796" s="2">
        <v>141</v>
      </c>
      <c r="W796" s="2">
        <v>2004</v>
      </c>
    </row>
    <row r="797" spans="1:23" ht="12.3" hidden="1" x14ac:dyDescent="0.4">
      <c r="A797" s="2" t="s">
        <v>62</v>
      </c>
      <c r="B797" s="2"/>
      <c r="C797" s="2"/>
      <c r="D797" s="2"/>
      <c r="E797" s="2"/>
      <c r="F797" s="2"/>
      <c r="G797" s="2"/>
      <c r="H797" s="2"/>
      <c r="I797" s="2">
        <v>69.152500000000003</v>
      </c>
      <c r="J797" s="2">
        <v>116</v>
      </c>
      <c r="K797" s="2">
        <v>69.945099999999996</v>
      </c>
      <c r="L797" s="2">
        <v>78</v>
      </c>
      <c r="M797" s="2">
        <v>96.298900000000003</v>
      </c>
      <c r="N797" s="2">
        <v>261</v>
      </c>
      <c r="O797" s="2">
        <v>95.409300000000002</v>
      </c>
      <c r="P797" s="2">
        <v>267</v>
      </c>
      <c r="Q797" s="2">
        <v>95.248500000000007</v>
      </c>
      <c r="R797" s="2">
        <v>47</v>
      </c>
      <c r="S797" s="2">
        <v>94.584900000000005</v>
      </c>
      <c r="T797" s="2">
        <v>38</v>
      </c>
      <c r="U797" s="2">
        <v>0.52493000000000001</v>
      </c>
      <c r="V797" s="2">
        <v>142</v>
      </c>
      <c r="W797" s="2">
        <v>2004</v>
      </c>
    </row>
    <row r="798" spans="1:23" ht="12.3" hidden="1" x14ac:dyDescent="0.4">
      <c r="A798" s="2" t="s">
        <v>101</v>
      </c>
      <c r="B798" s="2"/>
      <c r="C798" s="2"/>
      <c r="D798" s="2"/>
      <c r="E798" s="2"/>
      <c r="F798" s="2"/>
      <c r="G798" s="2"/>
      <c r="H798" s="2"/>
      <c r="I798" s="2">
        <v>68.031700000000001</v>
      </c>
      <c r="J798" s="2">
        <v>160</v>
      </c>
      <c r="K798" s="2">
        <v>69.105099999999993</v>
      </c>
      <c r="L798" s="2">
        <v>115</v>
      </c>
      <c r="M798" s="2">
        <v>101.56489999999999</v>
      </c>
      <c r="N798" s="2">
        <v>149</v>
      </c>
      <c r="O798" s="2">
        <v>101.54</v>
      </c>
      <c r="P798" s="2">
        <v>152</v>
      </c>
      <c r="Q798" s="2">
        <v>102.63249999999999</v>
      </c>
      <c r="R798" s="2">
        <v>190</v>
      </c>
      <c r="S798" s="2">
        <v>100.6865</v>
      </c>
      <c r="T798" s="2">
        <v>151</v>
      </c>
      <c r="U798" s="2">
        <v>0.52424800000000005</v>
      </c>
      <c r="V798" s="2">
        <v>143</v>
      </c>
      <c r="W798" s="2">
        <v>2004</v>
      </c>
    </row>
    <row r="799" spans="1:23" ht="12.3" hidden="1" x14ac:dyDescent="0.4">
      <c r="A799" s="2" t="s">
        <v>42</v>
      </c>
      <c r="B799" s="2"/>
      <c r="C799" s="2"/>
      <c r="D799" s="2"/>
      <c r="E799" s="2"/>
      <c r="F799" s="2"/>
      <c r="G799" s="2"/>
      <c r="H799" s="2"/>
      <c r="I799" s="2">
        <v>73.260300000000001</v>
      </c>
      <c r="J799" s="2">
        <v>18</v>
      </c>
      <c r="K799" s="2">
        <v>71.897900000000007</v>
      </c>
      <c r="L799" s="2">
        <v>26</v>
      </c>
      <c r="M799" s="2">
        <v>100.5108</v>
      </c>
      <c r="N799" s="2">
        <v>172</v>
      </c>
      <c r="O799" s="2">
        <v>101.3231</v>
      </c>
      <c r="P799" s="2">
        <v>157</v>
      </c>
      <c r="Q799" s="2">
        <v>105.37820000000001</v>
      </c>
      <c r="R799" s="2">
        <v>262</v>
      </c>
      <c r="S799" s="2">
        <v>100.4821</v>
      </c>
      <c r="T799" s="2">
        <v>148</v>
      </c>
      <c r="U799" s="2">
        <v>0.52394399999999997</v>
      </c>
      <c r="V799" s="2">
        <v>144</v>
      </c>
      <c r="W799" s="2">
        <v>2004</v>
      </c>
    </row>
    <row r="800" spans="1:23" ht="12.3" hidden="1" x14ac:dyDescent="0.4">
      <c r="A800" s="2" t="s">
        <v>138</v>
      </c>
      <c r="B800" s="2"/>
      <c r="C800" s="2"/>
      <c r="D800" s="2"/>
      <c r="E800" s="2"/>
      <c r="F800" s="2"/>
      <c r="G800" s="2"/>
      <c r="H800" s="2"/>
      <c r="I800" s="2">
        <v>70.566900000000004</v>
      </c>
      <c r="J800" s="2">
        <v>67</v>
      </c>
      <c r="K800" s="2">
        <v>70.2179</v>
      </c>
      <c r="L800" s="2">
        <v>68</v>
      </c>
      <c r="M800" s="2">
        <v>108.8815</v>
      </c>
      <c r="N800" s="2">
        <v>31</v>
      </c>
      <c r="O800" s="2">
        <v>106.8365</v>
      </c>
      <c r="P800" s="2">
        <v>69</v>
      </c>
      <c r="Q800" s="2">
        <v>106.2543</v>
      </c>
      <c r="R800" s="2">
        <v>278</v>
      </c>
      <c r="S800" s="2">
        <v>105.9599</v>
      </c>
      <c r="T800" s="2">
        <v>259</v>
      </c>
      <c r="U800" s="2">
        <v>0.52366900000000005</v>
      </c>
      <c r="V800" s="2">
        <v>145</v>
      </c>
      <c r="W800" s="2">
        <v>2004</v>
      </c>
    </row>
    <row r="801" spans="1:23" ht="12.3" hidden="1" x14ac:dyDescent="0.4">
      <c r="A801" s="2" t="s">
        <v>174</v>
      </c>
      <c r="B801" s="2"/>
      <c r="C801" s="2"/>
      <c r="D801" s="2"/>
      <c r="E801" s="2"/>
      <c r="F801" s="2"/>
      <c r="G801" s="2"/>
      <c r="H801" s="2"/>
      <c r="I801" s="2">
        <v>70.978399999999993</v>
      </c>
      <c r="J801" s="2">
        <v>50</v>
      </c>
      <c r="K801" s="2">
        <v>70.623199999999997</v>
      </c>
      <c r="L801" s="2">
        <v>57</v>
      </c>
      <c r="M801" s="2">
        <v>97.609700000000004</v>
      </c>
      <c r="N801" s="2">
        <v>241</v>
      </c>
      <c r="O801" s="2">
        <v>96.940399999999997</v>
      </c>
      <c r="P801" s="2">
        <v>246</v>
      </c>
      <c r="Q801" s="2">
        <v>95.958200000000005</v>
      </c>
      <c r="R801" s="2">
        <v>55</v>
      </c>
      <c r="S801" s="2">
        <v>96.275199999999998</v>
      </c>
      <c r="T801" s="2">
        <v>61</v>
      </c>
      <c r="U801" s="2">
        <v>0.51978500000000005</v>
      </c>
      <c r="V801" s="2">
        <v>146</v>
      </c>
      <c r="W801" s="2">
        <v>2004</v>
      </c>
    </row>
    <row r="802" spans="1:23" ht="12.3" hidden="1" x14ac:dyDescent="0.4">
      <c r="A802" s="2" t="s">
        <v>243</v>
      </c>
      <c r="B802" s="2"/>
      <c r="C802" s="2"/>
      <c r="D802" s="2"/>
      <c r="E802" s="2"/>
      <c r="F802" s="2"/>
      <c r="G802" s="2"/>
      <c r="H802" s="2"/>
      <c r="I802" s="2">
        <v>70.168999999999997</v>
      </c>
      <c r="J802" s="2">
        <v>79</v>
      </c>
      <c r="K802" s="2">
        <v>69.711500000000001</v>
      </c>
      <c r="L802" s="2">
        <v>88</v>
      </c>
      <c r="M802" s="2">
        <v>101.01649999999999</v>
      </c>
      <c r="N802" s="2">
        <v>162</v>
      </c>
      <c r="O802" s="2">
        <v>102.6657</v>
      </c>
      <c r="P802" s="2">
        <v>128</v>
      </c>
      <c r="Q802" s="2">
        <v>101.49460000000001</v>
      </c>
      <c r="R802" s="2">
        <v>166</v>
      </c>
      <c r="S802" s="2">
        <v>102.0378</v>
      </c>
      <c r="T802" s="2">
        <v>177</v>
      </c>
      <c r="U802" s="2">
        <v>0.51763000000000003</v>
      </c>
      <c r="V802" s="2">
        <v>147</v>
      </c>
      <c r="W802" s="2">
        <v>2004</v>
      </c>
    </row>
    <row r="803" spans="1:23" ht="12.3" hidden="1" x14ac:dyDescent="0.4">
      <c r="A803" s="2" t="s">
        <v>75</v>
      </c>
      <c r="B803" s="2"/>
      <c r="C803" s="2"/>
      <c r="D803" s="2"/>
      <c r="E803" s="2"/>
      <c r="F803" s="2"/>
      <c r="G803" s="2"/>
      <c r="H803" s="2"/>
      <c r="I803" s="2">
        <v>67.567400000000006</v>
      </c>
      <c r="J803" s="2">
        <v>180</v>
      </c>
      <c r="K803" s="2">
        <v>69.078400000000002</v>
      </c>
      <c r="L803" s="2">
        <v>116</v>
      </c>
      <c r="M803" s="2">
        <v>101.53700000000001</v>
      </c>
      <c r="N803" s="2">
        <v>151</v>
      </c>
      <c r="O803" s="2">
        <v>101.7938</v>
      </c>
      <c r="P803" s="2">
        <v>144</v>
      </c>
      <c r="Q803" s="2">
        <v>104.684</v>
      </c>
      <c r="R803" s="2">
        <v>251</v>
      </c>
      <c r="S803" s="2">
        <v>101.2629</v>
      </c>
      <c r="T803" s="2">
        <v>162</v>
      </c>
      <c r="U803" s="2">
        <v>0.51502899999999996</v>
      </c>
      <c r="V803" s="2">
        <v>148</v>
      </c>
      <c r="W803" s="2">
        <v>2004</v>
      </c>
    </row>
    <row r="804" spans="1:23" ht="12.3" hidden="1" x14ac:dyDescent="0.4">
      <c r="A804" s="2" t="s">
        <v>191</v>
      </c>
      <c r="B804" s="2"/>
      <c r="C804" s="2"/>
      <c r="D804" s="2"/>
      <c r="E804" s="2"/>
      <c r="F804" s="2"/>
      <c r="G804" s="2"/>
      <c r="H804" s="2"/>
      <c r="I804" s="2">
        <v>68.102000000000004</v>
      </c>
      <c r="J804" s="2">
        <v>155</v>
      </c>
      <c r="K804" s="2">
        <v>67.264799999999994</v>
      </c>
      <c r="L804" s="2">
        <v>183</v>
      </c>
      <c r="M804" s="2">
        <v>107.09480000000001</v>
      </c>
      <c r="N804" s="2">
        <v>54</v>
      </c>
      <c r="O804" s="2">
        <v>103.8034</v>
      </c>
      <c r="P804" s="2">
        <v>104</v>
      </c>
      <c r="Q804" s="2">
        <v>101.8021</v>
      </c>
      <c r="R804" s="2">
        <v>171</v>
      </c>
      <c r="S804" s="2">
        <v>103.58410000000001</v>
      </c>
      <c r="T804" s="2">
        <v>194</v>
      </c>
      <c r="U804" s="2">
        <v>0.50607899999999995</v>
      </c>
      <c r="V804" s="2">
        <v>149</v>
      </c>
      <c r="W804" s="2">
        <v>2004</v>
      </c>
    </row>
    <row r="805" spans="1:23" ht="12.3" hidden="1" x14ac:dyDescent="0.4">
      <c r="A805" s="2" t="s">
        <v>21</v>
      </c>
      <c r="B805" s="2"/>
      <c r="C805" s="2"/>
      <c r="D805" s="2"/>
      <c r="E805" s="2"/>
      <c r="F805" s="2"/>
      <c r="G805" s="2"/>
      <c r="H805" s="2"/>
      <c r="I805" s="2">
        <v>63.923699999999997</v>
      </c>
      <c r="J805" s="2">
        <v>288</v>
      </c>
      <c r="K805" s="2">
        <v>64.6126</v>
      </c>
      <c r="L805" s="2">
        <v>276</v>
      </c>
      <c r="M805" s="2">
        <v>102.4122</v>
      </c>
      <c r="N805" s="2">
        <v>122</v>
      </c>
      <c r="O805" s="2">
        <v>106.2336</v>
      </c>
      <c r="P805" s="2">
        <v>79</v>
      </c>
      <c r="Q805" s="2">
        <v>107.1279</v>
      </c>
      <c r="R805" s="2">
        <v>290</v>
      </c>
      <c r="S805" s="2">
        <v>106.0608</v>
      </c>
      <c r="T805" s="2">
        <v>264</v>
      </c>
      <c r="U805" s="2">
        <v>0.50467899999999999</v>
      </c>
      <c r="V805" s="2">
        <v>150</v>
      </c>
      <c r="W805" s="2">
        <v>2004</v>
      </c>
    </row>
    <row r="806" spans="1:23" ht="12.3" hidden="1" x14ac:dyDescent="0.4">
      <c r="A806" s="2" t="s">
        <v>149</v>
      </c>
      <c r="B806" s="2"/>
      <c r="C806" s="2"/>
      <c r="D806" s="2"/>
      <c r="E806" s="2"/>
      <c r="F806" s="2"/>
      <c r="G806" s="2"/>
      <c r="H806" s="2"/>
      <c r="I806" s="2">
        <v>70.404200000000003</v>
      </c>
      <c r="J806" s="2">
        <v>71</v>
      </c>
      <c r="K806" s="2">
        <v>69.068399999999997</v>
      </c>
      <c r="L806" s="2">
        <v>117</v>
      </c>
      <c r="M806" s="2">
        <v>98.876999999999995</v>
      </c>
      <c r="N806" s="2">
        <v>215</v>
      </c>
      <c r="O806" s="2">
        <v>100.7812</v>
      </c>
      <c r="P806" s="2">
        <v>165</v>
      </c>
      <c r="Q806" s="2">
        <v>102.9603</v>
      </c>
      <c r="R806" s="2">
        <v>198</v>
      </c>
      <c r="S806" s="2">
        <v>100.79049999999999</v>
      </c>
      <c r="T806" s="2">
        <v>152</v>
      </c>
      <c r="U806" s="2">
        <v>0.49973400000000001</v>
      </c>
      <c r="V806" s="2">
        <v>151</v>
      </c>
      <c r="W806" s="2">
        <v>2004</v>
      </c>
    </row>
    <row r="807" spans="1:23" ht="12.3" hidden="1" x14ac:dyDescent="0.4">
      <c r="A807" s="2" t="s">
        <v>99</v>
      </c>
      <c r="B807" s="2"/>
      <c r="C807" s="2"/>
      <c r="D807" s="2"/>
      <c r="E807" s="2"/>
      <c r="F807" s="2"/>
      <c r="G807" s="2"/>
      <c r="H807" s="2"/>
      <c r="I807" s="2">
        <v>70.568100000000001</v>
      </c>
      <c r="J807" s="2">
        <v>66</v>
      </c>
      <c r="K807" s="2">
        <v>70.471500000000006</v>
      </c>
      <c r="L807" s="2">
        <v>61</v>
      </c>
      <c r="M807" s="2">
        <v>103.8875</v>
      </c>
      <c r="N807" s="2">
        <v>98</v>
      </c>
      <c r="O807" s="2">
        <v>105.28700000000001</v>
      </c>
      <c r="P807" s="2">
        <v>83</v>
      </c>
      <c r="Q807" s="2">
        <v>107.6062</v>
      </c>
      <c r="R807" s="2">
        <v>295</v>
      </c>
      <c r="S807" s="2">
        <v>105.50369999999999</v>
      </c>
      <c r="T807" s="2">
        <v>252</v>
      </c>
      <c r="U807" s="2">
        <v>0.494089</v>
      </c>
      <c r="V807" s="2">
        <v>152</v>
      </c>
      <c r="W807" s="2">
        <v>2004</v>
      </c>
    </row>
    <row r="808" spans="1:23" ht="12.3" hidden="1" x14ac:dyDescent="0.4">
      <c r="A808" s="2" t="s">
        <v>172</v>
      </c>
      <c r="B808" s="2"/>
      <c r="C808" s="2"/>
      <c r="D808" s="2"/>
      <c r="E808" s="2"/>
      <c r="F808" s="2"/>
      <c r="G808" s="2"/>
      <c r="H808" s="2"/>
      <c r="I808" s="2">
        <v>68.558800000000005</v>
      </c>
      <c r="J808" s="2">
        <v>137</v>
      </c>
      <c r="K808" s="2">
        <v>68.366699999999994</v>
      </c>
      <c r="L808" s="2">
        <v>136</v>
      </c>
      <c r="M808" s="2">
        <v>104.7195</v>
      </c>
      <c r="N808" s="2">
        <v>92</v>
      </c>
      <c r="O808" s="2">
        <v>103.6288</v>
      </c>
      <c r="P808" s="2">
        <v>106</v>
      </c>
      <c r="Q808" s="2">
        <v>100.7266</v>
      </c>
      <c r="R808" s="2">
        <v>145</v>
      </c>
      <c r="S808" s="2">
        <v>104.086</v>
      </c>
      <c r="T808" s="2">
        <v>213</v>
      </c>
      <c r="U808" s="2">
        <v>0.48734699999999997</v>
      </c>
      <c r="V808" s="2">
        <v>153</v>
      </c>
      <c r="W808" s="2">
        <v>2004</v>
      </c>
    </row>
    <row r="809" spans="1:23" ht="12.3" hidden="1" x14ac:dyDescent="0.4">
      <c r="A809" s="2" t="s">
        <v>183</v>
      </c>
      <c r="B809" s="2"/>
      <c r="C809" s="2"/>
      <c r="D809" s="2"/>
      <c r="E809" s="2"/>
      <c r="F809" s="2"/>
      <c r="G809" s="2"/>
      <c r="H809" s="2"/>
      <c r="I809" s="2">
        <v>66.514499999999998</v>
      </c>
      <c r="J809" s="2">
        <v>212</v>
      </c>
      <c r="K809" s="2">
        <v>66.4084</v>
      </c>
      <c r="L809" s="2">
        <v>209</v>
      </c>
      <c r="M809" s="2">
        <v>100.39660000000001</v>
      </c>
      <c r="N809" s="2">
        <v>173</v>
      </c>
      <c r="O809" s="2">
        <v>101.4658</v>
      </c>
      <c r="P809" s="2">
        <v>154</v>
      </c>
      <c r="Q809" s="2">
        <v>102.90049999999999</v>
      </c>
      <c r="R809" s="2">
        <v>195</v>
      </c>
      <c r="S809" s="2">
        <v>101.94280000000001</v>
      </c>
      <c r="T809" s="2">
        <v>173</v>
      </c>
      <c r="U809" s="2">
        <v>0.48651800000000001</v>
      </c>
      <c r="V809" s="2">
        <v>154</v>
      </c>
      <c r="W809" s="2">
        <v>2004</v>
      </c>
    </row>
    <row r="810" spans="1:23" ht="12.3" hidden="1" x14ac:dyDescent="0.4">
      <c r="A810" s="2" t="s">
        <v>335</v>
      </c>
      <c r="B810" s="2"/>
      <c r="C810" s="2"/>
      <c r="D810" s="2"/>
      <c r="E810" s="2"/>
      <c r="F810" s="2"/>
      <c r="G810" s="2"/>
      <c r="H810" s="2"/>
      <c r="I810" s="2">
        <v>70.066199999999995</v>
      </c>
      <c r="J810" s="2">
        <v>86</v>
      </c>
      <c r="K810" s="2">
        <v>69.776200000000003</v>
      </c>
      <c r="L810" s="2">
        <v>85</v>
      </c>
      <c r="M810" s="2">
        <v>106.62990000000001</v>
      </c>
      <c r="N810" s="2">
        <v>69</v>
      </c>
      <c r="O810" s="2">
        <v>106.41719999999999</v>
      </c>
      <c r="P810" s="2">
        <v>75</v>
      </c>
      <c r="Q810" s="2">
        <v>105.7889</v>
      </c>
      <c r="R810" s="2">
        <v>272</v>
      </c>
      <c r="S810" s="2">
        <v>106.9389</v>
      </c>
      <c r="T810" s="2">
        <v>274</v>
      </c>
      <c r="U810" s="2">
        <v>0.48594100000000001</v>
      </c>
      <c r="V810" s="2">
        <v>155</v>
      </c>
      <c r="W810" s="2">
        <v>2004</v>
      </c>
    </row>
    <row r="811" spans="1:23" ht="12.3" hidden="1" x14ac:dyDescent="0.4">
      <c r="A811" s="2" t="s">
        <v>205</v>
      </c>
      <c r="B811" s="2"/>
      <c r="C811" s="2"/>
      <c r="D811" s="2"/>
      <c r="E811" s="2"/>
      <c r="F811" s="2"/>
      <c r="G811" s="2"/>
      <c r="H811" s="2"/>
      <c r="I811" s="2">
        <v>69.700900000000004</v>
      </c>
      <c r="J811" s="2">
        <v>99</v>
      </c>
      <c r="K811" s="2">
        <v>69.968299999999999</v>
      </c>
      <c r="L811" s="2">
        <v>77</v>
      </c>
      <c r="M811" s="2">
        <v>97.417000000000002</v>
      </c>
      <c r="N811" s="2">
        <v>245</v>
      </c>
      <c r="O811" s="2">
        <v>99.273600000000002</v>
      </c>
      <c r="P811" s="2">
        <v>198</v>
      </c>
      <c r="Q811" s="2">
        <v>100.3896</v>
      </c>
      <c r="R811" s="2">
        <v>139</v>
      </c>
      <c r="S811" s="2">
        <v>99.790499999999994</v>
      </c>
      <c r="T811" s="2">
        <v>131</v>
      </c>
      <c r="U811" s="2">
        <v>0.48507499999999998</v>
      </c>
      <c r="V811" s="2">
        <v>156</v>
      </c>
      <c r="W811" s="2">
        <v>2004</v>
      </c>
    </row>
    <row r="812" spans="1:23" ht="12.3" hidden="1" x14ac:dyDescent="0.4">
      <c r="A812" s="2" t="s">
        <v>304</v>
      </c>
      <c r="B812" s="2"/>
      <c r="C812" s="2"/>
      <c r="D812" s="2"/>
      <c r="E812" s="2"/>
      <c r="F812" s="2"/>
      <c r="G812" s="2"/>
      <c r="H812" s="2"/>
      <c r="I812" s="2">
        <v>64.146699999999996</v>
      </c>
      <c r="J812" s="2">
        <v>285</v>
      </c>
      <c r="K812" s="2">
        <v>64.783100000000005</v>
      </c>
      <c r="L812" s="2">
        <v>272</v>
      </c>
      <c r="M812" s="2">
        <v>97.962299999999999</v>
      </c>
      <c r="N812" s="2">
        <v>234</v>
      </c>
      <c r="O812" s="2">
        <v>97.564099999999996</v>
      </c>
      <c r="P812" s="2">
        <v>232</v>
      </c>
      <c r="Q812" s="2">
        <v>99.770399999999995</v>
      </c>
      <c r="R812" s="2">
        <v>126</v>
      </c>
      <c r="S812" s="2">
        <v>98.074799999999996</v>
      </c>
      <c r="T812" s="2">
        <v>90</v>
      </c>
      <c r="U812" s="2">
        <v>0.48499599999999998</v>
      </c>
      <c r="V812" s="2">
        <v>157</v>
      </c>
      <c r="W812" s="2">
        <v>2004</v>
      </c>
    </row>
    <row r="813" spans="1:23" ht="12.3" hidden="1" x14ac:dyDescent="0.4">
      <c r="A813" s="2" t="s">
        <v>65</v>
      </c>
      <c r="B813" s="2"/>
      <c r="C813" s="2"/>
      <c r="D813" s="2"/>
      <c r="E813" s="2"/>
      <c r="F813" s="2"/>
      <c r="G813" s="2"/>
      <c r="H813" s="2"/>
      <c r="I813" s="2">
        <v>66.060500000000005</v>
      </c>
      <c r="J813" s="2">
        <v>229</v>
      </c>
      <c r="K813" s="2">
        <v>64.927999999999997</v>
      </c>
      <c r="L813" s="2">
        <v>269</v>
      </c>
      <c r="M813" s="2">
        <v>98.763000000000005</v>
      </c>
      <c r="N813" s="2">
        <v>218</v>
      </c>
      <c r="O813" s="2">
        <v>99.656199999999998</v>
      </c>
      <c r="P813" s="2">
        <v>187</v>
      </c>
      <c r="Q813" s="2">
        <v>103.8721</v>
      </c>
      <c r="R813" s="2">
        <v>230</v>
      </c>
      <c r="S813" s="2">
        <v>100.17910000000001</v>
      </c>
      <c r="T813" s="2">
        <v>146</v>
      </c>
      <c r="U813" s="2">
        <v>0.48495899999999997</v>
      </c>
      <c r="V813" s="2">
        <v>158</v>
      </c>
      <c r="W813" s="2">
        <v>2004</v>
      </c>
    </row>
    <row r="814" spans="1:23" ht="12.3" x14ac:dyDescent="0.4">
      <c r="A814" s="2" t="s">
        <v>362</v>
      </c>
      <c r="B814" s="2">
        <v>14</v>
      </c>
      <c r="C814" s="2"/>
      <c r="D814" s="2"/>
      <c r="E814" s="2"/>
      <c r="F814" s="2"/>
      <c r="G814" s="2"/>
      <c r="H814" s="2"/>
      <c r="I814" s="2">
        <v>65.957400000000007</v>
      </c>
      <c r="J814" s="2">
        <v>185</v>
      </c>
      <c r="K814" s="2">
        <v>65.679400000000001</v>
      </c>
      <c r="L814" s="2">
        <v>190</v>
      </c>
      <c r="M814" s="2">
        <v>114.633</v>
      </c>
      <c r="N814" s="2">
        <v>8</v>
      </c>
      <c r="O814" s="2">
        <v>111.4897</v>
      </c>
      <c r="P814" s="2">
        <v>25</v>
      </c>
      <c r="Q814" s="2">
        <v>99.777900000000002</v>
      </c>
      <c r="R814" s="2">
        <v>148</v>
      </c>
      <c r="S814" s="2">
        <v>101.008</v>
      </c>
      <c r="T814" s="2">
        <v>162</v>
      </c>
      <c r="U814" s="2">
        <v>0.75683800000000001</v>
      </c>
      <c r="V814" s="2">
        <v>62</v>
      </c>
      <c r="W814" s="2">
        <v>2012</v>
      </c>
    </row>
    <row r="815" spans="1:23" ht="12.3" hidden="1" x14ac:dyDescent="0.4">
      <c r="A815" s="2" t="s">
        <v>217</v>
      </c>
      <c r="B815" s="2"/>
      <c r="C815" s="2"/>
      <c r="D815" s="2"/>
      <c r="E815" s="2"/>
      <c r="F815" s="2"/>
      <c r="G815" s="2"/>
      <c r="H815" s="2"/>
      <c r="I815" s="2">
        <v>63.904800000000002</v>
      </c>
      <c r="J815" s="2">
        <v>291</v>
      </c>
      <c r="K815" s="2">
        <v>63.597299999999997</v>
      </c>
      <c r="L815" s="2">
        <v>296</v>
      </c>
      <c r="M815" s="2">
        <v>100.0535</v>
      </c>
      <c r="N815" s="2">
        <v>180</v>
      </c>
      <c r="O815" s="2">
        <v>99.459000000000003</v>
      </c>
      <c r="P815" s="2">
        <v>191</v>
      </c>
      <c r="Q815" s="2">
        <v>102.9727</v>
      </c>
      <c r="R815" s="2">
        <v>200</v>
      </c>
      <c r="S815" s="2">
        <v>100.0826</v>
      </c>
      <c r="T815" s="2">
        <v>142</v>
      </c>
      <c r="U815" s="2">
        <v>0.48204000000000002</v>
      </c>
      <c r="V815" s="2">
        <v>160</v>
      </c>
      <c r="W815" s="2">
        <v>2004</v>
      </c>
    </row>
    <row r="816" spans="1:23" ht="12.3" hidden="1" x14ac:dyDescent="0.4">
      <c r="A816" s="2" t="s">
        <v>173</v>
      </c>
      <c r="B816" s="2"/>
      <c r="C816" s="2"/>
      <c r="D816" s="2"/>
      <c r="E816" s="2"/>
      <c r="F816" s="2"/>
      <c r="G816" s="2"/>
      <c r="H816" s="2"/>
      <c r="I816" s="2">
        <v>66.7</v>
      </c>
      <c r="J816" s="2">
        <v>202</v>
      </c>
      <c r="K816" s="2">
        <v>67.199100000000001</v>
      </c>
      <c r="L816" s="2">
        <v>185</v>
      </c>
      <c r="M816" s="2">
        <v>95.821100000000001</v>
      </c>
      <c r="N816" s="2">
        <v>267</v>
      </c>
      <c r="O816" s="2">
        <v>98.599100000000007</v>
      </c>
      <c r="P816" s="2">
        <v>213</v>
      </c>
      <c r="Q816" s="2">
        <v>102.29649999999999</v>
      </c>
      <c r="R816" s="2">
        <v>183</v>
      </c>
      <c r="S816" s="2">
        <v>99.261300000000006</v>
      </c>
      <c r="T816" s="2">
        <v>119</v>
      </c>
      <c r="U816" s="2">
        <v>0.480765</v>
      </c>
      <c r="V816" s="2">
        <v>161</v>
      </c>
      <c r="W816" s="2">
        <v>2004</v>
      </c>
    </row>
    <row r="817" spans="1:23" ht="12.3" hidden="1" x14ac:dyDescent="0.4">
      <c r="A817" s="2" t="s">
        <v>195</v>
      </c>
      <c r="B817" s="2"/>
      <c r="C817" s="2"/>
      <c r="D817" s="2"/>
      <c r="E817" s="2"/>
      <c r="F817" s="2"/>
      <c r="G817" s="2"/>
      <c r="H817" s="2"/>
      <c r="I817" s="2">
        <v>70.165300000000002</v>
      </c>
      <c r="J817" s="2">
        <v>82</v>
      </c>
      <c r="K817" s="2">
        <v>68.225800000000007</v>
      </c>
      <c r="L817" s="2">
        <v>146</v>
      </c>
      <c r="M817" s="2">
        <v>102.57599999999999</v>
      </c>
      <c r="N817" s="2">
        <v>118</v>
      </c>
      <c r="O817" s="2">
        <v>99.894999999999996</v>
      </c>
      <c r="P817" s="2">
        <v>180</v>
      </c>
      <c r="Q817" s="2">
        <v>97.3005</v>
      </c>
      <c r="R817" s="2">
        <v>84</v>
      </c>
      <c r="S817" s="2">
        <v>100.6507</v>
      </c>
      <c r="T817" s="2">
        <v>149</v>
      </c>
      <c r="U817" s="2">
        <v>0.47834500000000002</v>
      </c>
      <c r="V817" s="2">
        <v>162</v>
      </c>
      <c r="W817" s="2">
        <v>2004</v>
      </c>
    </row>
    <row r="818" spans="1:23" ht="12.3" hidden="1" x14ac:dyDescent="0.4">
      <c r="A818" s="2" t="s">
        <v>290</v>
      </c>
      <c r="B818" s="2"/>
      <c r="C818" s="2"/>
      <c r="D818" s="2"/>
      <c r="E818" s="2"/>
      <c r="F818" s="2"/>
      <c r="G818" s="2"/>
      <c r="H818" s="2"/>
      <c r="I818" s="2">
        <v>68.443399999999997</v>
      </c>
      <c r="J818" s="2">
        <v>142</v>
      </c>
      <c r="K818" s="2">
        <v>68.161299999999997</v>
      </c>
      <c r="L818" s="2">
        <v>149</v>
      </c>
      <c r="M818" s="2">
        <v>100.84569999999999</v>
      </c>
      <c r="N818" s="2">
        <v>168</v>
      </c>
      <c r="O818" s="2">
        <v>103.0712</v>
      </c>
      <c r="P818" s="2">
        <v>122</v>
      </c>
      <c r="Q818" s="2">
        <v>106.407</v>
      </c>
      <c r="R818" s="2">
        <v>281</v>
      </c>
      <c r="S818" s="2">
        <v>103.8685</v>
      </c>
      <c r="T818" s="2">
        <v>208</v>
      </c>
      <c r="U818" s="2">
        <v>0.47786000000000001</v>
      </c>
      <c r="V818" s="2">
        <v>163</v>
      </c>
      <c r="W818" s="2">
        <v>2004</v>
      </c>
    </row>
    <row r="819" spans="1:23" ht="12.3" hidden="1" x14ac:dyDescent="0.4">
      <c r="A819" s="2" t="s">
        <v>236</v>
      </c>
      <c r="B819" s="2"/>
      <c r="C819" s="2"/>
      <c r="D819" s="2"/>
      <c r="E819" s="2"/>
      <c r="F819" s="2"/>
      <c r="G819" s="2"/>
      <c r="H819" s="2"/>
      <c r="I819" s="2">
        <v>64.73</v>
      </c>
      <c r="J819" s="2">
        <v>265</v>
      </c>
      <c r="K819" s="2">
        <v>65.326899999999995</v>
      </c>
      <c r="L819" s="2">
        <v>252</v>
      </c>
      <c r="M819" s="2">
        <v>99.817499999999995</v>
      </c>
      <c r="N819" s="2">
        <v>184</v>
      </c>
      <c r="O819" s="2">
        <v>99.240300000000005</v>
      </c>
      <c r="P819" s="2">
        <v>200</v>
      </c>
      <c r="Q819" s="2">
        <v>100.4191</v>
      </c>
      <c r="R819" s="2">
        <v>140</v>
      </c>
      <c r="S819" s="2">
        <v>100.0093</v>
      </c>
      <c r="T819" s="2">
        <v>139</v>
      </c>
      <c r="U819" s="2">
        <v>0.47782200000000002</v>
      </c>
      <c r="V819" s="2">
        <v>164</v>
      </c>
      <c r="W819" s="2">
        <v>2004</v>
      </c>
    </row>
    <row r="820" spans="1:23" ht="12.3" hidden="1" x14ac:dyDescent="0.4">
      <c r="A820" s="2" t="s">
        <v>175</v>
      </c>
      <c r="B820" s="2"/>
      <c r="C820" s="2"/>
      <c r="D820" s="2"/>
      <c r="E820" s="2"/>
      <c r="F820" s="2"/>
      <c r="G820" s="2"/>
      <c r="H820" s="2"/>
      <c r="I820" s="2">
        <v>66.159700000000001</v>
      </c>
      <c r="J820" s="2">
        <v>227</v>
      </c>
      <c r="K820" s="2">
        <v>65.9435</v>
      </c>
      <c r="L820" s="2">
        <v>227</v>
      </c>
      <c r="M820" s="2">
        <v>95.069199999999995</v>
      </c>
      <c r="N820" s="2">
        <v>277</v>
      </c>
      <c r="O820" s="2">
        <v>98.320099999999996</v>
      </c>
      <c r="P820" s="2">
        <v>216</v>
      </c>
      <c r="Q820" s="2">
        <v>102.0557</v>
      </c>
      <c r="R820" s="2">
        <v>179</v>
      </c>
      <c r="S820" s="2">
        <v>99.271299999999997</v>
      </c>
      <c r="T820" s="2">
        <v>120</v>
      </c>
      <c r="U820" s="2">
        <v>0.47234999999999999</v>
      </c>
      <c r="V820" s="2">
        <v>165</v>
      </c>
      <c r="W820" s="2">
        <v>2004</v>
      </c>
    </row>
    <row r="821" spans="1:23" ht="12.3" hidden="1" x14ac:dyDescent="0.4">
      <c r="A821" s="2" t="s">
        <v>256</v>
      </c>
      <c r="B821" s="2"/>
      <c r="C821" s="2"/>
      <c r="D821" s="2"/>
      <c r="E821" s="2"/>
      <c r="F821" s="2"/>
      <c r="G821" s="2"/>
      <c r="H821" s="2"/>
      <c r="I821" s="2">
        <v>67.457599999999999</v>
      </c>
      <c r="J821" s="2">
        <v>183</v>
      </c>
      <c r="K821" s="2">
        <v>66.2363</v>
      </c>
      <c r="L821" s="2">
        <v>214</v>
      </c>
      <c r="M821" s="2">
        <v>104.928</v>
      </c>
      <c r="N821" s="2">
        <v>88</v>
      </c>
      <c r="O821" s="2">
        <v>104.49420000000001</v>
      </c>
      <c r="P821" s="2">
        <v>99</v>
      </c>
      <c r="Q821" s="2">
        <v>105.65089999999999</v>
      </c>
      <c r="R821" s="2">
        <v>267</v>
      </c>
      <c r="S821" s="2">
        <v>105.6037</v>
      </c>
      <c r="T821" s="2">
        <v>254</v>
      </c>
      <c r="U821" s="2">
        <v>0.46967199999999998</v>
      </c>
      <c r="V821" s="2">
        <v>166</v>
      </c>
      <c r="W821" s="2">
        <v>2004</v>
      </c>
    </row>
    <row r="822" spans="1:23" ht="12.3" hidden="1" x14ac:dyDescent="0.4">
      <c r="A822" s="2" t="s">
        <v>323</v>
      </c>
      <c r="B822" s="2"/>
      <c r="C822" s="2"/>
      <c r="D822" s="2"/>
      <c r="E822" s="2"/>
      <c r="F822" s="2"/>
      <c r="G822" s="2"/>
      <c r="H822" s="2"/>
      <c r="I822" s="2">
        <v>66.167699999999996</v>
      </c>
      <c r="J822" s="2">
        <v>226</v>
      </c>
      <c r="K822" s="2">
        <v>65.854299999999995</v>
      </c>
      <c r="L822" s="2">
        <v>230</v>
      </c>
      <c r="M822" s="2">
        <v>108.77670000000001</v>
      </c>
      <c r="N822" s="2">
        <v>32</v>
      </c>
      <c r="O822" s="2">
        <v>104.9315</v>
      </c>
      <c r="P822" s="2">
        <v>94</v>
      </c>
      <c r="Q822" s="2">
        <v>98.674300000000002</v>
      </c>
      <c r="R822" s="2">
        <v>103</v>
      </c>
      <c r="S822" s="2">
        <v>106.14790000000001</v>
      </c>
      <c r="T822" s="2">
        <v>266</v>
      </c>
      <c r="U822" s="2">
        <v>0.466914</v>
      </c>
      <c r="V822" s="2">
        <v>167</v>
      </c>
      <c r="W822" s="2">
        <v>2004</v>
      </c>
    </row>
    <row r="823" spans="1:23" ht="12.3" hidden="1" x14ac:dyDescent="0.4">
      <c r="A823" s="2" t="s">
        <v>245</v>
      </c>
      <c r="B823" s="2"/>
      <c r="C823" s="2"/>
      <c r="D823" s="2"/>
      <c r="E823" s="2"/>
      <c r="F823" s="2"/>
      <c r="G823" s="2"/>
      <c r="H823" s="2"/>
      <c r="I823" s="2">
        <v>68.0869</v>
      </c>
      <c r="J823" s="2">
        <v>157</v>
      </c>
      <c r="K823" s="2">
        <v>68.711699999999993</v>
      </c>
      <c r="L823" s="2">
        <v>124</v>
      </c>
      <c r="M823" s="2">
        <v>95.938500000000005</v>
      </c>
      <c r="N823" s="2">
        <v>266</v>
      </c>
      <c r="O823" s="2">
        <v>96.232299999999995</v>
      </c>
      <c r="P823" s="2">
        <v>256</v>
      </c>
      <c r="Q823" s="2">
        <v>98.887799999999999</v>
      </c>
      <c r="R823" s="2">
        <v>108</v>
      </c>
      <c r="S823" s="2">
        <v>97.389799999999994</v>
      </c>
      <c r="T823" s="2">
        <v>78</v>
      </c>
      <c r="U823" s="2">
        <v>0.46567999999999998</v>
      </c>
      <c r="V823" s="2">
        <v>168</v>
      </c>
      <c r="W823" s="2">
        <v>2004</v>
      </c>
    </row>
    <row r="824" spans="1:23" ht="12.3" hidden="1" x14ac:dyDescent="0.4">
      <c r="A824" s="2" t="s">
        <v>299</v>
      </c>
      <c r="B824" s="2"/>
      <c r="C824" s="2"/>
      <c r="D824" s="2"/>
      <c r="E824" s="2"/>
      <c r="F824" s="2"/>
      <c r="G824" s="2"/>
      <c r="H824" s="2"/>
      <c r="I824" s="2">
        <v>66.895499999999998</v>
      </c>
      <c r="J824" s="2">
        <v>197</v>
      </c>
      <c r="K824" s="2">
        <v>65.242099999999994</v>
      </c>
      <c r="L824" s="2">
        <v>256</v>
      </c>
      <c r="M824" s="2">
        <v>102.3737</v>
      </c>
      <c r="N824" s="2">
        <v>126</v>
      </c>
      <c r="O824" s="2">
        <v>97.398799999999994</v>
      </c>
      <c r="P824" s="2">
        <v>236</v>
      </c>
      <c r="Q824" s="2">
        <v>88.831100000000006</v>
      </c>
      <c r="R824" s="2">
        <v>2</v>
      </c>
      <c r="S824" s="2">
        <v>98.602599999999995</v>
      </c>
      <c r="T824" s="2">
        <v>103</v>
      </c>
      <c r="U824" s="2">
        <v>0.46474500000000002</v>
      </c>
      <c r="V824" s="2">
        <v>169</v>
      </c>
      <c r="W824" s="2">
        <v>2004</v>
      </c>
    </row>
    <row r="825" spans="1:23" ht="12.3" hidden="1" x14ac:dyDescent="0.4">
      <c r="A825" s="2" t="s">
        <v>178</v>
      </c>
      <c r="B825" s="2"/>
      <c r="C825" s="2"/>
      <c r="D825" s="2"/>
      <c r="E825" s="2"/>
      <c r="F825" s="2"/>
      <c r="G825" s="2"/>
      <c r="H825" s="2"/>
      <c r="I825" s="2">
        <v>64.394199999999998</v>
      </c>
      <c r="J825" s="2">
        <v>278</v>
      </c>
      <c r="K825" s="2">
        <v>65.6631</v>
      </c>
      <c r="L825" s="2">
        <v>237</v>
      </c>
      <c r="M825" s="2">
        <v>97.423199999999994</v>
      </c>
      <c r="N825" s="2">
        <v>244</v>
      </c>
      <c r="O825" s="2">
        <v>94.765299999999996</v>
      </c>
      <c r="P825" s="2">
        <v>277</v>
      </c>
      <c r="Q825" s="2">
        <v>89.794499999999999</v>
      </c>
      <c r="R825" s="2">
        <v>3</v>
      </c>
      <c r="S825" s="2">
        <v>96.003600000000006</v>
      </c>
      <c r="T825" s="2">
        <v>57</v>
      </c>
      <c r="U825" s="2">
        <v>0.46274500000000002</v>
      </c>
      <c r="V825" s="2">
        <v>170</v>
      </c>
      <c r="W825" s="2">
        <v>2004</v>
      </c>
    </row>
    <row r="826" spans="1:23" ht="12.3" hidden="1" x14ac:dyDescent="0.4">
      <c r="A826" s="2" t="s">
        <v>171</v>
      </c>
      <c r="B826" s="2"/>
      <c r="C826" s="2"/>
      <c r="D826" s="2"/>
      <c r="E826" s="2"/>
      <c r="F826" s="2"/>
      <c r="G826" s="2"/>
      <c r="H826" s="2"/>
      <c r="I826" s="2">
        <v>64.903700000000001</v>
      </c>
      <c r="J826" s="2">
        <v>260</v>
      </c>
      <c r="K826" s="2">
        <v>65.172300000000007</v>
      </c>
      <c r="L826" s="2">
        <v>260</v>
      </c>
      <c r="M826" s="2">
        <v>102.32389999999999</v>
      </c>
      <c r="N826" s="2">
        <v>127</v>
      </c>
      <c r="O826" s="2">
        <v>102.1109</v>
      </c>
      <c r="P826" s="2">
        <v>137</v>
      </c>
      <c r="Q826" s="2">
        <v>103.9254</v>
      </c>
      <c r="R826" s="2">
        <v>233</v>
      </c>
      <c r="S826" s="2">
        <v>103.73990000000001</v>
      </c>
      <c r="T826" s="2">
        <v>204</v>
      </c>
      <c r="U826" s="2">
        <v>0.45462200000000003</v>
      </c>
      <c r="V826" s="2">
        <v>171</v>
      </c>
      <c r="W826" s="2">
        <v>2004</v>
      </c>
    </row>
    <row r="827" spans="1:23" ht="12.3" hidden="1" x14ac:dyDescent="0.4">
      <c r="A827" s="2" t="s">
        <v>170</v>
      </c>
      <c r="B827" s="2"/>
      <c r="C827" s="2"/>
      <c r="D827" s="2"/>
      <c r="E827" s="2"/>
      <c r="F827" s="2"/>
      <c r="G827" s="2"/>
      <c r="H827" s="2"/>
      <c r="I827" s="2">
        <v>64.067300000000003</v>
      </c>
      <c r="J827" s="2">
        <v>287</v>
      </c>
      <c r="K827" s="2">
        <v>63.3108</v>
      </c>
      <c r="L827" s="2">
        <v>303</v>
      </c>
      <c r="M827" s="2">
        <v>105.0294</v>
      </c>
      <c r="N827" s="2">
        <v>85</v>
      </c>
      <c r="O827" s="2">
        <v>103.8014</v>
      </c>
      <c r="P827" s="2">
        <v>105</v>
      </c>
      <c r="Q827" s="2">
        <v>104.67789999999999</v>
      </c>
      <c r="R827" s="2">
        <v>249</v>
      </c>
      <c r="S827" s="2">
        <v>105.4674</v>
      </c>
      <c r="T827" s="2">
        <v>251</v>
      </c>
      <c r="U827" s="2">
        <v>0.45434799999999997</v>
      </c>
      <c r="V827" s="2">
        <v>172</v>
      </c>
      <c r="W827" s="2">
        <v>2004</v>
      </c>
    </row>
    <row r="828" spans="1:23" ht="12.3" hidden="1" x14ac:dyDescent="0.4">
      <c r="A828" s="2" t="s">
        <v>89</v>
      </c>
      <c r="B828" s="2"/>
      <c r="C828" s="2"/>
      <c r="D828" s="2"/>
      <c r="E828" s="2"/>
      <c r="F828" s="2"/>
      <c r="G828" s="2"/>
      <c r="H828" s="2"/>
      <c r="I828" s="2">
        <v>67.594700000000003</v>
      </c>
      <c r="J828" s="2">
        <v>178</v>
      </c>
      <c r="K828" s="2">
        <v>67.4131</v>
      </c>
      <c r="L828" s="2">
        <v>173</v>
      </c>
      <c r="M828" s="2">
        <v>102.488</v>
      </c>
      <c r="N828" s="2">
        <v>120</v>
      </c>
      <c r="O828" s="2">
        <v>102.4973</v>
      </c>
      <c r="P828" s="2">
        <v>134</v>
      </c>
      <c r="Q828" s="2">
        <v>105.1952</v>
      </c>
      <c r="R828" s="2">
        <v>260</v>
      </c>
      <c r="S828" s="2">
        <v>104.19499999999999</v>
      </c>
      <c r="T828" s="2">
        <v>216</v>
      </c>
      <c r="U828" s="2">
        <v>0.45291199999999998</v>
      </c>
      <c r="V828" s="2">
        <v>173</v>
      </c>
      <c r="W828" s="2">
        <v>2004</v>
      </c>
    </row>
    <row r="829" spans="1:23" ht="12.3" hidden="1" x14ac:dyDescent="0.4">
      <c r="A829" s="2" t="s">
        <v>165</v>
      </c>
      <c r="B829" s="2"/>
      <c r="C829" s="2"/>
      <c r="D829" s="2"/>
      <c r="E829" s="2"/>
      <c r="F829" s="2"/>
      <c r="G829" s="2"/>
      <c r="H829" s="2"/>
      <c r="I829" s="2">
        <v>71.498000000000005</v>
      </c>
      <c r="J829" s="2">
        <v>39</v>
      </c>
      <c r="K829" s="2">
        <v>71.200299999999999</v>
      </c>
      <c r="L829" s="2">
        <v>40</v>
      </c>
      <c r="M829" s="2">
        <v>102.2193</v>
      </c>
      <c r="N829" s="2">
        <v>130</v>
      </c>
      <c r="O829" s="2">
        <v>101.3723</v>
      </c>
      <c r="P829" s="2">
        <v>155</v>
      </c>
      <c r="Q829" s="2">
        <v>103.7719</v>
      </c>
      <c r="R829" s="2">
        <v>224</v>
      </c>
      <c r="S829" s="2">
        <v>103.149</v>
      </c>
      <c r="T829" s="2">
        <v>191</v>
      </c>
      <c r="U829" s="2">
        <v>0.450214</v>
      </c>
      <c r="V829" s="2">
        <v>174</v>
      </c>
      <c r="W829" s="2">
        <v>2004</v>
      </c>
    </row>
    <row r="830" spans="1:23" ht="12.3" hidden="1" x14ac:dyDescent="0.4">
      <c r="A830" s="2" t="s">
        <v>197</v>
      </c>
      <c r="B830" s="2"/>
      <c r="C830" s="2"/>
      <c r="D830" s="2"/>
      <c r="E830" s="2"/>
      <c r="F830" s="2"/>
      <c r="G830" s="2"/>
      <c r="H830" s="2"/>
      <c r="I830" s="2">
        <v>70.165499999999994</v>
      </c>
      <c r="J830" s="2">
        <v>81</v>
      </c>
      <c r="K830" s="2">
        <v>70.105400000000003</v>
      </c>
      <c r="L830" s="2">
        <v>71</v>
      </c>
      <c r="M830" s="2">
        <v>98.6554</v>
      </c>
      <c r="N830" s="2">
        <v>220</v>
      </c>
      <c r="O830" s="2">
        <v>99.816400000000002</v>
      </c>
      <c r="P830" s="2">
        <v>181</v>
      </c>
      <c r="Q830" s="2">
        <v>104.8389</v>
      </c>
      <c r="R830" s="2">
        <v>252</v>
      </c>
      <c r="S830" s="2">
        <v>101.7448</v>
      </c>
      <c r="T830" s="2">
        <v>169</v>
      </c>
      <c r="U830" s="2">
        <v>0.44520599999999999</v>
      </c>
      <c r="V830" s="2">
        <v>175</v>
      </c>
      <c r="W830" s="2">
        <v>2004</v>
      </c>
    </row>
    <row r="831" spans="1:23" ht="12.3" hidden="1" x14ac:dyDescent="0.4">
      <c r="A831" s="2" t="s">
        <v>226</v>
      </c>
      <c r="B831" s="2"/>
      <c r="C831" s="2"/>
      <c r="D831" s="2"/>
      <c r="E831" s="2"/>
      <c r="F831" s="2"/>
      <c r="G831" s="2"/>
      <c r="H831" s="2"/>
      <c r="I831" s="2">
        <v>65.074200000000005</v>
      </c>
      <c r="J831" s="2">
        <v>258</v>
      </c>
      <c r="K831" s="2">
        <v>65.4666</v>
      </c>
      <c r="L831" s="2">
        <v>245</v>
      </c>
      <c r="M831" s="2">
        <v>102.83369999999999</v>
      </c>
      <c r="N831" s="2">
        <v>116</v>
      </c>
      <c r="O831" s="2">
        <v>100.8235</v>
      </c>
      <c r="P831" s="2">
        <v>164</v>
      </c>
      <c r="Q831" s="2">
        <v>98.780600000000007</v>
      </c>
      <c r="R831" s="2">
        <v>106</v>
      </c>
      <c r="S831" s="2">
        <v>102.8467</v>
      </c>
      <c r="T831" s="2">
        <v>186</v>
      </c>
      <c r="U831" s="2">
        <v>0.443129</v>
      </c>
      <c r="V831" s="2">
        <v>176</v>
      </c>
      <c r="W831" s="2">
        <v>2004</v>
      </c>
    </row>
    <row r="832" spans="1:23" ht="12.3" hidden="1" x14ac:dyDescent="0.4">
      <c r="A832" s="2" t="s">
        <v>69</v>
      </c>
      <c r="B832" s="2"/>
      <c r="C832" s="2"/>
      <c r="D832" s="2"/>
      <c r="E832" s="2"/>
      <c r="F832" s="2"/>
      <c r="G832" s="2"/>
      <c r="H832" s="2"/>
      <c r="I832" s="2">
        <v>68.5047</v>
      </c>
      <c r="J832" s="2">
        <v>140</v>
      </c>
      <c r="K832" s="2">
        <v>69.211399999999998</v>
      </c>
      <c r="L832" s="2">
        <v>109</v>
      </c>
      <c r="M832" s="2">
        <v>97.965299999999999</v>
      </c>
      <c r="N832" s="2">
        <v>232</v>
      </c>
      <c r="O832" s="2">
        <v>98.995900000000006</v>
      </c>
      <c r="P832" s="2">
        <v>209</v>
      </c>
      <c r="Q832" s="2">
        <v>102.87609999999999</v>
      </c>
      <c r="R832" s="2">
        <v>194</v>
      </c>
      <c r="S832" s="2">
        <v>100.99809999999999</v>
      </c>
      <c r="T832" s="2">
        <v>158</v>
      </c>
      <c r="U832" s="2">
        <v>0.44268400000000002</v>
      </c>
      <c r="V832" s="2">
        <v>177</v>
      </c>
      <c r="W832" s="2">
        <v>2004</v>
      </c>
    </row>
    <row r="833" spans="1:23" ht="12.3" hidden="1" x14ac:dyDescent="0.4">
      <c r="A833" s="2" t="s">
        <v>286</v>
      </c>
      <c r="B833" s="2"/>
      <c r="C833" s="2"/>
      <c r="D833" s="2"/>
      <c r="E833" s="2"/>
      <c r="F833" s="2"/>
      <c r="G833" s="2"/>
      <c r="H833" s="2"/>
      <c r="I833" s="2">
        <v>66.696600000000004</v>
      </c>
      <c r="J833" s="2">
        <v>203</v>
      </c>
      <c r="K833" s="2">
        <v>66.871499999999997</v>
      </c>
      <c r="L833" s="2">
        <v>198</v>
      </c>
      <c r="M833" s="2">
        <v>102.4328</v>
      </c>
      <c r="N833" s="2">
        <v>121</v>
      </c>
      <c r="O833" s="2">
        <v>101.56229999999999</v>
      </c>
      <c r="P833" s="2">
        <v>151</v>
      </c>
      <c r="Q833" s="2">
        <v>103.49509999999999</v>
      </c>
      <c r="R833" s="2">
        <v>217</v>
      </c>
      <c r="S833" s="2">
        <v>103.6768</v>
      </c>
      <c r="T833" s="2">
        <v>200</v>
      </c>
      <c r="U833" s="2">
        <v>0.44103199999999998</v>
      </c>
      <c r="V833" s="2">
        <v>178</v>
      </c>
      <c r="W833" s="2">
        <v>2004</v>
      </c>
    </row>
    <row r="834" spans="1:23" ht="12.3" x14ac:dyDescent="0.4">
      <c r="A834" s="2" t="s">
        <v>175</v>
      </c>
      <c r="B834" s="2">
        <v>9</v>
      </c>
      <c r="C834" s="2"/>
      <c r="D834" s="2"/>
      <c r="E834" s="2"/>
      <c r="F834" s="2"/>
      <c r="G834" s="2"/>
      <c r="H834" s="2"/>
      <c r="I834" s="2">
        <v>64.409899999999993</v>
      </c>
      <c r="J834" s="2">
        <v>260</v>
      </c>
      <c r="K834" s="2">
        <v>64.934600000000003</v>
      </c>
      <c r="L834" s="2">
        <v>225</v>
      </c>
      <c r="M834" s="2">
        <v>107.11499999999999</v>
      </c>
      <c r="N834" s="2">
        <v>60</v>
      </c>
      <c r="O834" s="2">
        <v>109.2343</v>
      </c>
      <c r="P834" s="2">
        <v>40</v>
      </c>
      <c r="Q834" s="2">
        <v>99.995500000000007</v>
      </c>
      <c r="R834" s="2">
        <v>149</v>
      </c>
      <c r="S834" s="2">
        <v>99.2821</v>
      </c>
      <c r="T834" s="2">
        <v>134</v>
      </c>
      <c r="U834" s="2">
        <v>0.749996</v>
      </c>
      <c r="V834" s="2">
        <v>65</v>
      </c>
      <c r="W834" s="2">
        <v>2012</v>
      </c>
    </row>
    <row r="835" spans="1:23" ht="12.3" hidden="1" x14ac:dyDescent="0.4">
      <c r="A835" s="2" t="s">
        <v>224</v>
      </c>
      <c r="B835" s="2"/>
      <c r="C835" s="2"/>
      <c r="D835" s="2"/>
      <c r="E835" s="2"/>
      <c r="F835" s="2"/>
      <c r="G835" s="2"/>
      <c r="H835" s="2"/>
      <c r="I835" s="2">
        <v>65.662099999999995</v>
      </c>
      <c r="J835" s="2">
        <v>239</v>
      </c>
      <c r="K835" s="2">
        <v>65.349599999999995</v>
      </c>
      <c r="L835" s="2">
        <v>250</v>
      </c>
      <c r="M835" s="2">
        <v>103.37309999999999</v>
      </c>
      <c r="N835" s="2">
        <v>105</v>
      </c>
      <c r="O835" s="2">
        <v>100.1067</v>
      </c>
      <c r="P835" s="2">
        <v>174</v>
      </c>
      <c r="Q835" s="2">
        <v>102.8111</v>
      </c>
      <c r="R835" s="2">
        <v>193</v>
      </c>
      <c r="S835" s="2">
        <v>102.4911</v>
      </c>
      <c r="T835" s="2">
        <v>180</v>
      </c>
      <c r="U835" s="2">
        <v>0.43273400000000001</v>
      </c>
      <c r="V835" s="2">
        <v>180</v>
      </c>
      <c r="W835" s="2">
        <v>2004</v>
      </c>
    </row>
    <row r="836" spans="1:23" ht="12.3" hidden="1" x14ac:dyDescent="0.4">
      <c r="A836" s="2" t="s">
        <v>287</v>
      </c>
      <c r="B836" s="2"/>
      <c r="C836" s="2"/>
      <c r="D836" s="2"/>
      <c r="E836" s="2"/>
      <c r="F836" s="2"/>
      <c r="G836" s="2"/>
      <c r="H836" s="2"/>
      <c r="I836" s="2">
        <v>65.426400000000001</v>
      </c>
      <c r="J836" s="2">
        <v>247</v>
      </c>
      <c r="K836" s="2">
        <v>65.148399999999995</v>
      </c>
      <c r="L836" s="2">
        <v>263</v>
      </c>
      <c r="M836" s="2">
        <v>99.731399999999994</v>
      </c>
      <c r="N836" s="2">
        <v>186</v>
      </c>
      <c r="O836" s="2">
        <v>101.15009999999999</v>
      </c>
      <c r="P836" s="2">
        <v>159</v>
      </c>
      <c r="Q836" s="2">
        <v>104.07559999999999</v>
      </c>
      <c r="R836" s="2">
        <v>237</v>
      </c>
      <c r="S836" s="2">
        <v>103.6837</v>
      </c>
      <c r="T836" s="2">
        <v>201</v>
      </c>
      <c r="U836" s="2">
        <v>0.42935099999999998</v>
      </c>
      <c r="V836" s="2">
        <v>181</v>
      </c>
      <c r="W836" s="2">
        <v>2004</v>
      </c>
    </row>
    <row r="837" spans="1:23" ht="12.3" hidden="1" x14ac:dyDescent="0.4">
      <c r="A837" s="2" t="s">
        <v>164</v>
      </c>
      <c r="B837" s="2"/>
      <c r="C837" s="2"/>
      <c r="D837" s="2"/>
      <c r="E837" s="2"/>
      <c r="F837" s="2"/>
      <c r="G837" s="2"/>
      <c r="H837" s="2"/>
      <c r="I837" s="2">
        <v>63.087000000000003</v>
      </c>
      <c r="J837" s="2">
        <v>306</v>
      </c>
      <c r="K837" s="2">
        <v>63.424999999999997</v>
      </c>
      <c r="L837" s="2">
        <v>300</v>
      </c>
      <c r="M837" s="2">
        <v>97.318600000000004</v>
      </c>
      <c r="N837" s="2">
        <v>248</v>
      </c>
      <c r="O837" s="2">
        <v>98.770799999999994</v>
      </c>
      <c r="P837" s="2">
        <v>210</v>
      </c>
      <c r="Q837" s="2">
        <v>103.4194</v>
      </c>
      <c r="R837" s="2">
        <v>213</v>
      </c>
      <c r="S837" s="2">
        <v>101.27509999999999</v>
      </c>
      <c r="T837" s="2">
        <v>164</v>
      </c>
      <c r="U837" s="2">
        <v>0.428506</v>
      </c>
      <c r="V837" s="2">
        <v>182</v>
      </c>
      <c r="W837" s="2">
        <v>2004</v>
      </c>
    </row>
    <row r="838" spans="1:23" ht="12.3" hidden="1" x14ac:dyDescent="0.4">
      <c r="A838" s="2" t="s">
        <v>291</v>
      </c>
      <c r="B838" s="2"/>
      <c r="C838" s="2"/>
      <c r="D838" s="2"/>
      <c r="E838" s="2"/>
      <c r="F838" s="2"/>
      <c r="G838" s="2"/>
      <c r="H838" s="2"/>
      <c r="I838" s="2">
        <v>68.933400000000006</v>
      </c>
      <c r="J838" s="2">
        <v>124</v>
      </c>
      <c r="K838" s="2">
        <v>68.0702</v>
      </c>
      <c r="L838" s="2">
        <v>153</v>
      </c>
      <c r="M838" s="2">
        <v>96.693899999999999</v>
      </c>
      <c r="N838" s="2">
        <v>257</v>
      </c>
      <c r="O838" s="2">
        <v>96.232799999999997</v>
      </c>
      <c r="P838" s="2">
        <v>255</v>
      </c>
      <c r="Q838" s="2">
        <v>99.879900000000006</v>
      </c>
      <c r="R838" s="2">
        <v>128</v>
      </c>
      <c r="S838" s="2">
        <v>98.731099999999998</v>
      </c>
      <c r="T838" s="2">
        <v>105</v>
      </c>
      <c r="U838" s="2">
        <v>0.426842</v>
      </c>
      <c r="V838" s="2">
        <v>183</v>
      </c>
      <c r="W838" s="2">
        <v>2004</v>
      </c>
    </row>
    <row r="839" spans="1:23" ht="12.3" x14ac:dyDescent="0.4">
      <c r="A839" s="2" t="s">
        <v>134</v>
      </c>
      <c r="B839" s="2">
        <v>13</v>
      </c>
      <c r="C839" s="2"/>
      <c r="D839" s="2"/>
      <c r="E839" s="2"/>
      <c r="F839" s="2"/>
      <c r="G839" s="2"/>
      <c r="H839" s="2"/>
      <c r="I839" s="2">
        <v>68.455100000000002</v>
      </c>
      <c r="J839" s="2">
        <v>66</v>
      </c>
      <c r="K839" s="2">
        <v>68.133799999999994</v>
      </c>
      <c r="L839" s="2">
        <v>79</v>
      </c>
      <c r="M839" s="2">
        <v>112.3976</v>
      </c>
      <c r="N839" s="2">
        <v>13</v>
      </c>
      <c r="O839" s="2">
        <v>109.65949999999999</v>
      </c>
      <c r="P839" s="2">
        <v>33</v>
      </c>
      <c r="Q839" s="2">
        <v>98.186999999999998</v>
      </c>
      <c r="R839" s="2">
        <v>104</v>
      </c>
      <c r="S839" s="2">
        <v>100.167</v>
      </c>
      <c r="T839" s="2">
        <v>148</v>
      </c>
      <c r="U839" s="2">
        <v>0.73908600000000002</v>
      </c>
      <c r="V839" s="2">
        <v>69</v>
      </c>
      <c r="W839" s="2">
        <v>2012</v>
      </c>
    </row>
    <row r="840" spans="1:23" ht="12.3" hidden="1" x14ac:dyDescent="0.4">
      <c r="A840" s="2" t="s">
        <v>169</v>
      </c>
      <c r="B840" s="2"/>
      <c r="C840" s="2"/>
      <c r="D840" s="2"/>
      <c r="E840" s="2"/>
      <c r="F840" s="2"/>
      <c r="G840" s="2"/>
      <c r="H840" s="2"/>
      <c r="I840" s="2">
        <v>65.673900000000003</v>
      </c>
      <c r="J840" s="2">
        <v>237</v>
      </c>
      <c r="K840" s="2">
        <v>66.0642</v>
      </c>
      <c r="L840" s="2">
        <v>223</v>
      </c>
      <c r="M840" s="2">
        <v>98.519099999999995</v>
      </c>
      <c r="N840" s="2">
        <v>223</v>
      </c>
      <c r="O840" s="2">
        <v>100.9696</v>
      </c>
      <c r="P840" s="2">
        <v>162</v>
      </c>
      <c r="Q840" s="2">
        <v>106.38339999999999</v>
      </c>
      <c r="R840" s="2">
        <v>280</v>
      </c>
      <c r="S840" s="2">
        <v>103.6845</v>
      </c>
      <c r="T840" s="2">
        <v>202</v>
      </c>
      <c r="U840" s="2">
        <v>0.42430400000000001</v>
      </c>
      <c r="V840" s="2">
        <v>185</v>
      </c>
      <c r="W840" s="2">
        <v>2004</v>
      </c>
    </row>
    <row r="841" spans="1:23" ht="12.3" hidden="1" x14ac:dyDescent="0.4">
      <c r="A841" s="2" t="s">
        <v>155</v>
      </c>
      <c r="B841" s="2"/>
      <c r="C841" s="2"/>
      <c r="D841" s="2"/>
      <c r="E841" s="2"/>
      <c r="F841" s="2"/>
      <c r="G841" s="2"/>
      <c r="H841" s="2"/>
      <c r="I841" s="2">
        <v>67.888900000000007</v>
      </c>
      <c r="J841" s="2">
        <v>166</v>
      </c>
      <c r="K841" s="2">
        <v>68.328400000000002</v>
      </c>
      <c r="L841" s="2">
        <v>139</v>
      </c>
      <c r="M841" s="2">
        <v>99.2376</v>
      </c>
      <c r="N841" s="2">
        <v>207</v>
      </c>
      <c r="O841" s="2">
        <v>102.0865</v>
      </c>
      <c r="P841" s="2">
        <v>138</v>
      </c>
      <c r="Q841" s="2">
        <v>106.3335</v>
      </c>
      <c r="R841" s="2">
        <v>279</v>
      </c>
      <c r="S841" s="2">
        <v>104.9755</v>
      </c>
      <c r="T841" s="2">
        <v>238</v>
      </c>
      <c r="U841" s="2">
        <v>0.42045199999999999</v>
      </c>
      <c r="V841" s="2">
        <v>186</v>
      </c>
      <c r="W841" s="2">
        <v>2004</v>
      </c>
    </row>
    <row r="842" spans="1:23" ht="12.3" hidden="1" x14ac:dyDescent="0.4">
      <c r="A842" s="2" t="s">
        <v>309</v>
      </c>
      <c r="B842" s="2"/>
      <c r="C842" s="2"/>
      <c r="D842" s="2"/>
      <c r="E842" s="2"/>
      <c r="F842" s="2"/>
      <c r="G842" s="2"/>
      <c r="H842" s="2"/>
      <c r="I842" s="2">
        <v>66.509900000000002</v>
      </c>
      <c r="J842" s="2">
        <v>213</v>
      </c>
      <c r="K842" s="2">
        <v>67.472499999999997</v>
      </c>
      <c r="L842" s="2">
        <v>171</v>
      </c>
      <c r="M842" s="2">
        <v>99.556799999999996</v>
      </c>
      <c r="N842" s="2">
        <v>194</v>
      </c>
      <c r="O842" s="2">
        <v>97.723299999999995</v>
      </c>
      <c r="P842" s="2">
        <v>231</v>
      </c>
      <c r="Q842" s="2">
        <v>94.703599999999994</v>
      </c>
      <c r="R842" s="2">
        <v>38</v>
      </c>
      <c r="S842" s="2">
        <v>100.65170000000001</v>
      </c>
      <c r="T842" s="2">
        <v>150</v>
      </c>
      <c r="U842" s="2">
        <v>0.41591899999999998</v>
      </c>
      <c r="V842" s="2">
        <v>187</v>
      </c>
      <c r="W842" s="2">
        <v>2004</v>
      </c>
    </row>
    <row r="843" spans="1:23" ht="12.3" hidden="1" x14ac:dyDescent="0.4">
      <c r="A843" s="2" t="s">
        <v>198</v>
      </c>
      <c r="B843" s="2"/>
      <c r="C843" s="2"/>
      <c r="D843" s="2"/>
      <c r="E843" s="2"/>
      <c r="F843" s="2"/>
      <c r="G843" s="2"/>
      <c r="H843" s="2"/>
      <c r="I843" s="2">
        <v>68.119299999999996</v>
      </c>
      <c r="J843" s="2">
        <v>153</v>
      </c>
      <c r="K843" s="2">
        <v>69.404600000000002</v>
      </c>
      <c r="L843" s="2">
        <v>104</v>
      </c>
      <c r="M843" s="2">
        <v>98.546199999999999</v>
      </c>
      <c r="N843" s="2">
        <v>222</v>
      </c>
      <c r="O843" s="2">
        <v>98.442999999999998</v>
      </c>
      <c r="P843" s="2">
        <v>215</v>
      </c>
      <c r="Q843" s="2">
        <v>101.0488</v>
      </c>
      <c r="R843" s="2">
        <v>154</v>
      </c>
      <c r="S843" s="2">
        <v>101.4187</v>
      </c>
      <c r="T843" s="2">
        <v>165</v>
      </c>
      <c r="U843" s="2">
        <v>0.41521000000000002</v>
      </c>
      <c r="V843" s="2">
        <v>188</v>
      </c>
      <c r="W843" s="2">
        <v>2004</v>
      </c>
    </row>
    <row r="844" spans="1:23" ht="12.3" hidden="1" x14ac:dyDescent="0.4">
      <c r="A844" s="2" t="s">
        <v>151</v>
      </c>
      <c r="B844" s="2"/>
      <c r="C844" s="2"/>
      <c r="D844" s="2"/>
      <c r="E844" s="2"/>
      <c r="F844" s="2"/>
      <c r="G844" s="2"/>
      <c r="H844" s="2"/>
      <c r="I844" s="2">
        <v>65.811599999999999</v>
      </c>
      <c r="J844" s="2">
        <v>234</v>
      </c>
      <c r="K844" s="2">
        <v>66.389200000000002</v>
      </c>
      <c r="L844" s="2">
        <v>210</v>
      </c>
      <c r="M844" s="2">
        <v>98.730900000000005</v>
      </c>
      <c r="N844" s="2">
        <v>219</v>
      </c>
      <c r="O844" s="2">
        <v>98.670199999999994</v>
      </c>
      <c r="P844" s="2">
        <v>212</v>
      </c>
      <c r="Q844" s="2">
        <v>103.25320000000001</v>
      </c>
      <c r="R844" s="2">
        <v>209</v>
      </c>
      <c r="S844" s="2">
        <v>101.7864</v>
      </c>
      <c r="T844" s="2">
        <v>170</v>
      </c>
      <c r="U844" s="2">
        <v>0.41154600000000002</v>
      </c>
      <c r="V844" s="2">
        <v>189</v>
      </c>
      <c r="W844" s="2">
        <v>2004</v>
      </c>
    </row>
    <row r="845" spans="1:23" ht="12.3" hidden="1" x14ac:dyDescent="0.4">
      <c r="A845" s="2" t="s">
        <v>241</v>
      </c>
      <c r="B845" s="2"/>
      <c r="C845" s="2"/>
      <c r="D845" s="2"/>
      <c r="E845" s="2"/>
      <c r="F845" s="2"/>
      <c r="G845" s="2"/>
      <c r="H845" s="2"/>
      <c r="I845" s="2">
        <v>71.672899999999998</v>
      </c>
      <c r="J845" s="2">
        <v>36</v>
      </c>
      <c r="K845" s="2">
        <v>71.221699999999998</v>
      </c>
      <c r="L845" s="2">
        <v>38</v>
      </c>
      <c r="M845" s="2">
        <v>99.673100000000005</v>
      </c>
      <c r="N845" s="2">
        <v>188</v>
      </c>
      <c r="O845" s="2">
        <v>99.933000000000007</v>
      </c>
      <c r="P845" s="2">
        <v>178</v>
      </c>
      <c r="Q845" s="2">
        <v>103.43219999999999</v>
      </c>
      <c r="R845" s="2">
        <v>214</v>
      </c>
      <c r="S845" s="2">
        <v>103.11539999999999</v>
      </c>
      <c r="T845" s="2">
        <v>190</v>
      </c>
      <c r="U845" s="2">
        <v>0.41083399999999998</v>
      </c>
      <c r="V845" s="2">
        <v>190</v>
      </c>
      <c r="W845" s="2">
        <v>2004</v>
      </c>
    </row>
    <row r="846" spans="1:23" ht="12.3" hidden="1" x14ac:dyDescent="0.4">
      <c r="A846" s="2" t="s">
        <v>184</v>
      </c>
      <c r="B846" s="2"/>
      <c r="C846" s="2"/>
      <c r="D846" s="2"/>
      <c r="E846" s="2"/>
      <c r="F846" s="2"/>
      <c r="G846" s="2"/>
      <c r="H846" s="2"/>
      <c r="I846" s="2">
        <v>70.805099999999996</v>
      </c>
      <c r="J846" s="2">
        <v>57</v>
      </c>
      <c r="K846" s="2">
        <v>70.880200000000002</v>
      </c>
      <c r="L846" s="2">
        <v>49</v>
      </c>
      <c r="M846" s="2">
        <v>99.68</v>
      </c>
      <c r="N846" s="2">
        <v>187</v>
      </c>
      <c r="O846" s="2">
        <v>100.63039999999999</v>
      </c>
      <c r="P846" s="2">
        <v>169</v>
      </c>
      <c r="Q846" s="2">
        <v>103.92489999999999</v>
      </c>
      <c r="R846" s="2">
        <v>232</v>
      </c>
      <c r="S846" s="2">
        <v>104.0086</v>
      </c>
      <c r="T846" s="2">
        <v>212</v>
      </c>
      <c r="U846" s="2">
        <v>0.40619300000000003</v>
      </c>
      <c r="V846" s="2">
        <v>191</v>
      </c>
      <c r="W846" s="2">
        <v>2004</v>
      </c>
    </row>
    <row r="847" spans="1:23" ht="12.3" hidden="1" x14ac:dyDescent="0.4">
      <c r="A847" s="2" t="s">
        <v>233</v>
      </c>
      <c r="B847" s="2"/>
      <c r="C847" s="2"/>
      <c r="D847" s="2"/>
      <c r="E847" s="2"/>
      <c r="F847" s="2"/>
      <c r="G847" s="2"/>
      <c r="H847" s="2"/>
      <c r="I847" s="2">
        <v>71.233000000000004</v>
      </c>
      <c r="J847" s="2">
        <v>46</v>
      </c>
      <c r="K847" s="2">
        <v>72.614599999999996</v>
      </c>
      <c r="L847" s="2">
        <v>18</v>
      </c>
      <c r="M847" s="2">
        <v>99.403599999999997</v>
      </c>
      <c r="N847" s="2">
        <v>199</v>
      </c>
      <c r="O847" s="2">
        <v>100.77379999999999</v>
      </c>
      <c r="P847" s="2">
        <v>166</v>
      </c>
      <c r="Q847" s="2">
        <v>101.3451</v>
      </c>
      <c r="R847" s="2">
        <v>163</v>
      </c>
      <c r="S847" s="2">
        <v>104.2184</v>
      </c>
      <c r="T847" s="2">
        <v>217</v>
      </c>
      <c r="U847" s="2">
        <v>0.40455600000000003</v>
      </c>
      <c r="V847" s="2">
        <v>192</v>
      </c>
      <c r="W847" s="2">
        <v>2004</v>
      </c>
    </row>
    <row r="848" spans="1:23" ht="12.3" hidden="1" x14ac:dyDescent="0.4">
      <c r="A848" s="2" t="s">
        <v>270</v>
      </c>
      <c r="B848" s="2"/>
      <c r="C848" s="2"/>
      <c r="D848" s="2"/>
      <c r="E848" s="2"/>
      <c r="F848" s="2"/>
      <c r="G848" s="2"/>
      <c r="H848" s="2"/>
      <c r="I848" s="2">
        <v>68.528400000000005</v>
      </c>
      <c r="J848" s="2">
        <v>139</v>
      </c>
      <c r="K848" s="2">
        <v>67.097899999999996</v>
      </c>
      <c r="L848" s="2">
        <v>189</v>
      </c>
      <c r="M848" s="2">
        <v>103.3584</v>
      </c>
      <c r="N848" s="2">
        <v>106</v>
      </c>
      <c r="O848" s="2">
        <v>103.35380000000001</v>
      </c>
      <c r="P848" s="2">
        <v>114</v>
      </c>
      <c r="Q848" s="2">
        <v>102.64100000000001</v>
      </c>
      <c r="R848" s="2">
        <v>191</v>
      </c>
      <c r="S848" s="2">
        <v>106.9297</v>
      </c>
      <c r="T848" s="2">
        <v>273</v>
      </c>
      <c r="U848" s="2">
        <v>0.40343800000000002</v>
      </c>
      <c r="V848" s="2">
        <v>193</v>
      </c>
      <c r="W848" s="2">
        <v>2004</v>
      </c>
    </row>
    <row r="849" spans="1:23" ht="12.3" hidden="1" x14ac:dyDescent="0.4">
      <c r="A849" s="2" t="s">
        <v>308</v>
      </c>
      <c r="B849" s="2"/>
      <c r="C849" s="2"/>
      <c r="D849" s="2"/>
      <c r="E849" s="2"/>
      <c r="F849" s="2"/>
      <c r="G849" s="2"/>
      <c r="H849" s="2"/>
      <c r="I849" s="2">
        <v>73.620500000000007</v>
      </c>
      <c r="J849" s="2">
        <v>14</v>
      </c>
      <c r="K849" s="2">
        <v>75.096400000000003</v>
      </c>
      <c r="L849" s="2">
        <v>4</v>
      </c>
      <c r="M849" s="2">
        <v>102.0598</v>
      </c>
      <c r="N849" s="2">
        <v>134</v>
      </c>
      <c r="O849" s="2">
        <v>101.7341</v>
      </c>
      <c r="P849" s="2">
        <v>145</v>
      </c>
      <c r="Q849" s="2">
        <v>99.669300000000007</v>
      </c>
      <c r="R849" s="2">
        <v>120</v>
      </c>
      <c r="S849" s="2">
        <v>105.2992</v>
      </c>
      <c r="T849" s="2">
        <v>244</v>
      </c>
      <c r="U849" s="2">
        <v>0.40224900000000002</v>
      </c>
      <c r="V849" s="2">
        <v>194</v>
      </c>
      <c r="W849" s="2">
        <v>2004</v>
      </c>
    </row>
    <row r="850" spans="1:23" ht="12.3" hidden="1" x14ac:dyDescent="0.4">
      <c r="A850" s="2" t="s">
        <v>150</v>
      </c>
      <c r="B850" s="2"/>
      <c r="C850" s="2"/>
      <c r="D850" s="2"/>
      <c r="E850" s="2"/>
      <c r="F850" s="2"/>
      <c r="G850" s="2"/>
      <c r="H850" s="2"/>
      <c r="I850" s="2">
        <v>70.688100000000006</v>
      </c>
      <c r="J850" s="2">
        <v>61</v>
      </c>
      <c r="K850" s="2">
        <v>71.534199999999998</v>
      </c>
      <c r="L850" s="2">
        <v>30</v>
      </c>
      <c r="M850" s="2">
        <v>97.4876</v>
      </c>
      <c r="N850" s="2">
        <v>243</v>
      </c>
      <c r="O850" s="2">
        <v>99.149100000000004</v>
      </c>
      <c r="P850" s="2">
        <v>203</v>
      </c>
      <c r="Q850" s="2">
        <v>105.51739999999999</v>
      </c>
      <c r="R850" s="2">
        <v>264</v>
      </c>
      <c r="S850" s="2">
        <v>102.7572</v>
      </c>
      <c r="T850" s="2">
        <v>184</v>
      </c>
      <c r="U850" s="2">
        <v>0.39865899999999999</v>
      </c>
      <c r="V850" s="2">
        <v>195</v>
      </c>
      <c r="W850" s="2">
        <v>2004</v>
      </c>
    </row>
    <row r="851" spans="1:23" ht="12.3" hidden="1" x14ac:dyDescent="0.4">
      <c r="A851" s="2" t="s">
        <v>254</v>
      </c>
      <c r="B851" s="2"/>
      <c r="C851" s="2"/>
      <c r="D851" s="2"/>
      <c r="E851" s="2"/>
      <c r="F851" s="2"/>
      <c r="G851" s="2"/>
      <c r="H851" s="2"/>
      <c r="I851" s="2">
        <v>72.595699999999994</v>
      </c>
      <c r="J851" s="2">
        <v>24</v>
      </c>
      <c r="K851" s="2">
        <v>71.357100000000003</v>
      </c>
      <c r="L851" s="2">
        <v>36</v>
      </c>
      <c r="M851" s="2">
        <v>101.6176</v>
      </c>
      <c r="N851" s="2">
        <v>147</v>
      </c>
      <c r="O851" s="2">
        <v>100.54219999999999</v>
      </c>
      <c r="P851" s="2">
        <v>171</v>
      </c>
      <c r="Q851" s="2">
        <v>103.04340000000001</v>
      </c>
      <c r="R851" s="2">
        <v>202</v>
      </c>
      <c r="S851" s="2">
        <v>104.30070000000001</v>
      </c>
      <c r="T851" s="2">
        <v>220</v>
      </c>
      <c r="U851" s="2">
        <v>0.39602399999999999</v>
      </c>
      <c r="V851" s="2">
        <v>196</v>
      </c>
      <c r="W851" s="2">
        <v>2004</v>
      </c>
    </row>
    <row r="852" spans="1:23" ht="12.3" hidden="1" x14ac:dyDescent="0.4">
      <c r="A852" s="2" t="s">
        <v>201</v>
      </c>
      <c r="B852" s="2"/>
      <c r="C852" s="2"/>
      <c r="D852" s="2"/>
      <c r="E852" s="2"/>
      <c r="F852" s="2"/>
      <c r="G852" s="2"/>
      <c r="H852" s="2"/>
      <c r="I852" s="2">
        <v>68.634600000000006</v>
      </c>
      <c r="J852" s="2">
        <v>135</v>
      </c>
      <c r="K852" s="2">
        <v>68.438100000000006</v>
      </c>
      <c r="L852" s="2">
        <v>133</v>
      </c>
      <c r="M852" s="2">
        <v>107.9646</v>
      </c>
      <c r="N852" s="2">
        <v>44</v>
      </c>
      <c r="O852" s="2">
        <v>105.2158</v>
      </c>
      <c r="P852" s="2">
        <v>86</v>
      </c>
      <c r="Q852" s="2">
        <v>111.65519999999999</v>
      </c>
      <c r="R852" s="2">
        <v>320</v>
      </c>
      <c r="S852" s="2">
        <v>109.34690000000001</v>
      </c>
      <c r="T852" s="2">
        <v>302</v>
      </c>
      <c r="U852" s="2">
        <v>0.39105400000000001</v>
      </c>
      <c r="V852" s="2">
        <v>197</v>
      </c>
      <c r="W852" s="2">
        <v>2004</v>
      </c>
    </row>
    <row r="853" spans="1:23" ht="12.3" hidden="1" x14ac:dyDescent="0.4">
      <c r="A853" s="2" t="s">
        <v>324</v>
      </c>
      <c r="B853" s="2"/>
      <c r="C853" s="2"/>
      <c r="D853" s="2"/>
      <c r="E853" s="2"/>
      <c r="F853" s="2"/>
      <c r="G853" s="2"/>
      <c r="H853" s="2"/>
      <c r="I853" s="2">
        <v>69.457300000000004</v>
      </c>
      <c r="J853" s="2">
        <v>105</v>
      </c>
      <c r="K853" s="2">
        <v>69.638099999999994</v>
      </c>
      <c r="L853" s="2">
        <v>93</v>
      </c>
      <c r="M853" s="2">
        <v>103.1561</v>
      </c>
      <c r="N853" s="2">
        <v>110</v>
      </c>
      <c r="O853" s="2">
        <v>100.35509999999999</v>
      </c>
      <c r="P853" s="2">
        <v>173</v>
      </c>
      <c r="Q853" s="2">
        <v>103.4949</v>
      </c>
      <c r="R853" s="2">
        <v>216</v>
      </c>
      <c r="S853" s="2">
        <v>104.3981</v>
      </c>
      <c r="T853" s="2">
        <v>224</v>
      </c>
      <c r="U853" s="2">
        <v>0.38835900000000001</v>
      </c>
      <c r="V853" s="2">
        <v>198</v>
      </c>
      <c r="W853" s="2">
        <v>2004</v>
      </c>
    </row>
    <row r="854" spans="1:23" ht="12.3" hidden="1" x14ac:dyDescent="0.4">
      <c r="A854" s="2" t="s">
        <v>284</v>
      </c>
      <c r="B854" s="2"/>
      <c r="C854" s="2"/>
      <c r="D854" s="2"/>
      <c r="E854" s="2"/>
      <c r="F854" s="2"/>
      <c r="G854" s="2"/>
      <c r="H854" s="2"/>
      <c r="I854" s="2">
        <v>66.4114</v>
      </c>
      <c r="J854" s="2">
        <v>216</v>
      </c>
      <c r="K854" s="2">
        <v>66.894599999999997</v>
      </c>
      <c r="L854" s="2">
        <v>197</v>
      </c>
      <c r="M854" s="2">
        <v>99.6096</v>
      </c>
      <c r="N854" s="2">
        <v>192</v>
      </c>
      <c r="O854" s="2">
        <v>99.648600000000002</v>
      </c>
      <c r="P854" s="2">
        <v>188</v>
      </c>
      <c r="Q854" s="2">
        <v>104.6793</v>
      </c>
      <c r="R854" s="2">
        <v>250</v>
      </c>
      <c r="S854" s="2">
        <v>103.8058</v>
      </c>
      <c r="T854" s="2">
        <v>206</v>
      </c>
      <c r="U854" s="2">
        <v>0.38461099999999998</v>
      </c>
      <c r="V854" s="2">
        <v>199</v>
      </c>
      <c r="W854" s="2">
        <v>2004</v>
      </c>
    </row>
    <row r="855" spans="1:23" ht="12.3" hidden="1" x14ac:dyDescent="0.4">
      <c r="A855" s="2" t="s">
        <v>311</v>
      </c>
      <c r="B855" s="2"/>
      <c r="C855" s="2"/>
      <c r="D855" s="2"/>
      <c r="E855" s="2"/>
      <c r="F855" s="2"/>
      <c r="G855" s="2"/>
      <c r="H855" s="2"/>
      <c r="I855" s="2">
        <v>67.939800000000005</v>
      </c>
      <c r="J855" s="2">
        <v>164</v>
      </c>
      <c r="K855" s="2">
        <v>68.614699999999999</v>
      </c>
      <c r="L855" s="2">
        <v>129</v>
      </c>
      <c r="M855" s="2">
        <v>101.2204</v>
      </c>
      <c r="N855" s="2">
        <v>158</v>
      </c>
      <c r="O855" s="2">
        <v>101.6546</v>
      </c>
      <c r="P855" s="2">
        <v>147</v>
      </c>
      <c r="Q855" s="2">
        <v>106.1101</v>
      </c>
      <c r="R855" s="2">
        <v>275</v>
      </c>
      <c r="S855" s="2">
        <v>105.9027</v>
      </c>
      <c r="T855" s="2">
        <v>257</v>
      </c>
      <c r="U855" s="2">
        <v>0.38442500000000002</v>
      </c>
      <c r="V855" s="2">
        <v>200</v>
      </c>
      <c r="W855" s="2">
        <v>2004</v>
      </c>
    </row>
    <row r="856" spans="1:23" ht="12.3" hidden="1" x14ac:dyDescent="0.4">
      <c r="A856" s="2" t="s">
        <v>118</v>
      </c>
      <c r="B856" s="2"/>
      <c r="C856" s="2"/>
      <c r="D856" s="2"/>
      <c r="E856" s="2"/>
      <c r="F856" s="2"/>
      <c r="G856" s="2"/>
      <c r="H856" s="2"/>
      <c r="I856" s="2">
        <v>64.826700000000002</v>
      </c>
      <c r="J856" s="2">
        <v>261</v>
      </c>
      <c r="K856" s="2">
        <v>65.220100000000002</v>
      </c>
      <c r="L856" s="2">
        <v>258</v>
      </c>
      <c r="M856" s="2">
        <v>99.070800000000006</v>
      </c>
      <c r="N856" s="2">
        <v>209</v>
      </c>
      <c r="O856" s="2">
        <v>97.002399999999994</v>
      </c>
      <c r="P856" s="2">
        <v>243</v>
      </c>
      <c r="Q856" s="2">
        <v>101.7518</v>
      </c>
      <c r="R856" s="2">
        <v>170</v>
      </c>
      <c r="S856" s="2">
        <v>101.0608</v>
      </c>
      <c r="T856" s="2">
        <v>160</v>
      </c>
      <c r="U856" s="2">
        <v>0.384299</v>
      </c>
      <c r="V856" s="2">
        <v>201</v>
      </c>
      <c r="W856" s="2">
        <v>2004</v>
      </c>
    </row>
    <row r="857" spans="1:23" ht="12.3" hidden="1" x14ac:dyDescent="0.4">
      <c r="A857" s="2" t="s">
        <v>328</v>
      </c>
      <c r="B857" s="2"/>
      <c r="C857" s="2"/>
      <c r="D857" s="2"/>
      <c r="E857" s="2"/>
      <c r="F857" s="2"/>
      <c r="G857" s="2"/>
      <c r="H857" s="2"/>
      <c r="I857" s="2">
        <v>69.961299999999994</v>
      </c>
      <c r="J857" s="2">
        <v>91</v>
      </c>
      <c r="K857" s="2">
        <v>67.890299999999996</v>
      </c>
      <c r="L857" s="2">
        <v>158</v>
      </c>
      <c r="M857" s="2">
        <v>103.2161</v>
      </c>
      <c r="N857" s="2">
        <v>109</v>
      </c>
      <c r="O857" s="2">
        <v>99.953500000000005</v>
      </c>
      <c r="P857" s="2">
        <v>177</v>
      </c>
      <c r="Q857" s="2">
        <v>99.062200000000004</v>
      </c>
      <c r="R857" s="2">
        <v>113</v>
      </c>
      <c r="S857" s="2">
        <v>104.13809999999999</v>
      </c>
      <c r="T857" s="2">
        <v>215</v>
      </c>
      <c r="U857" s="2">
        <v>0.38422499999999998</v>
      </c>
      <c r="V857" s="2">
        <v>202</v>
      </c>
      <c r="W857" s="2">
        <v>2004</v>
      </c>
    </row>
    <row r="858" spans="1:23" ht="12.3" hidden="1" x14ac:dyDescent="0.4">
      <c r="A858" s="2" t="s">
        <v>267</v>
      </c>
      <c r="B858" s="2"/>
      <c r="C858" s="2"/>
      <c r="D858" s="2"/>
      <c r="E858" s="2"/>
      <c r="F858" s="2"/>
      <c r="G858" s="2"/>
      <c r="H858" s="2"/>
      <c r="I858" s="2">
        <v>61.5</v>
      </c>
      <c r="J858" s="2">
        <v>312</v>
      </c>
      <c r="K858" s="2">
        <v>61.650100000000002</v>
      </c>
      <c r="L858" s="2">
        <v>311</v>
      </c>
      <c r="M858" s="2">
        <v>94.240799999999993</v>
      </c>
      <c r="N858" s="2">
        <v>283</v>
      </c>
      <c r="O858" s="2">
        <v>94.644499999999994</v>
      </c>
      <c r="P858" s="2">
        <v>279</v>
      </c>
      <c r="Q858" s="2">
        <v>100.6794</v>
      </c>
      <c r="R858" s="2">
        <v>143</v>
      </c>
      <c r="S858" s="2">
        <v>98.833699999999993</v>
      </c>
      <c r="T858" s="2">
        <v>107</v>
      </c>
      <c r="U858" s="2">
        <v>0.37799300000000002</v>
      </c>
      <c r="V858" s="2">
        <v>203</v>
      </c>
      <c r="W858" s="2">
        <v>2004</v>
      </c>
    </row>
    <row r="859" spans="1:23" ht="12.3" hidden="1" x14ac:dyDescent="0.4">
      <c r="A859" s="2" t="s">
        <v>289</v>
      </c>
      <c r="B859" s="2"/>
      <c r="C859" s="2"/>
      <c r="D859" s="2"/>
      <c r="E859" s="2"/>
      <c r="F859" s="2"/>
      <c r="G859" s="2"/>
      <c r="H859" s="2"/>
      <c r="I859" s="2">
        <v>64.726900000000001</v>
      </c>
      <c r="J859" s="2">
        <v>266</v>
      </c>
      <c r="K859" s="2">
        <v>66.222800000000007</v>
      </c>
      <c r="L859" s="2">
        <v>215</v>
      </c>
      <c r="M859" s="2">
        <v>98.384900000000002</v>
      </c>
      <c r="N859" s="2">
        <v>227</v>
      </c>
      <c r="O859" s="2">
        <v>94.830399999999997</v>
      </c>
      <c r="P859" s="2">
        <v>274</v>
      </c>
      <c r="Q859" s="2">
        <v>94.255600000000001</v>
      </c>
      <c r="R859" s="2">
        <v>34</v>
      </c>
      <c r="S859" s="2">
        <v>99.065899999999999</v>
      </c>
      <c r="T859" s="2">
        <v>113</v>
      </c>
      <c r="U859" s="2">
        <v>0.37695499999999998</v>
      </c>
      <c r="V859" s="2">
        <v>204</v>
      </c>
      <c r="W859" s="2">
        <v>2004</v>
      </c>
    </row>
    <row r="860" spans="1:23" ht="12.3" hidden="1" x14ac:dyDescent="0.4">
      <c r="A860" s="2" t="s">
        <v>160</v>
      </c>
      <c r="B860" s="2"/>
      <c r="C860" s="2"/>
      <c r="D860" s="2"/>
      <c r="E860" s="2"/>
      <c r="F860" s="2"/>
      <c r="G860" s="2"/>
      <c r="H860" s="2"/>
      <c r="I860" s="2">
        <v>65.144900000000007</v>
      </c>
      <c r="J860" s="2">
        <v>257</v>
      </c>
      <c r="K860" s="2">
        <v>64.523700000000005</v>
      </c>
      <c r="L860" s="2">
        <v>280</v>
      </c>
      <c r="M860" s="2">
        <v>98.510300000000001</v>
      </c>
      <c r="N860" s="2">
        <v>225</v>
      </c>
      <c r="O860" s="2">
        <v>97.757800000000003</v>
      </c>
      <c r="P860" s="2">
        <v>228</v>
      </c>
      <c r="Q860" s="2">
        <v>100.6092</v>
      </c>
      <c r="R860" s="2">
        <v>142</v>
      </c>
      <c r="S860" s="2">
        <v>102.3396</v>
      </c>
      <c r="T860" s="2">
        <v>179</v>
      </c>
      <c r="U860" s="2">
        <v>0.37127900000000003</v>
      </c>
      <c r="V860" s="2">
        <v>205</v>
      </c>
      <c r="W860" s="2">
        <v>2004</v>
      </c>
    </row>
    <row r="861" spans="1:23" ht="12.3" x14ac:dyDescent="0.4">
      <c r="A861" s="2" t="s">
        <v>326</v>
      </c>
      <c r="B861" s="2">
        <v>15</v>
      </c>
      <c r="C861" s="2"/>
      <c r="D861" s="2"/>
      <c r="E861" s="2"/>
      <c r="F861" s="2"/>
      <c r="G861" s="2"/>
      <c r="H861" s="2"/>
      <c r="I861" s="2">
        <v>68.317300000000003</v>
      </c>
      <c r="J861" s="2">
        <v>72</v>
      </c>
      <c r="K861" s="2">
        <v>68.608800000000002</v>
      </c>
      <c r="L861" s="2">
        <v>56</v>
      </c>
      <c r="M861" s="2">
        <v>110.0147</v>
      </c>
      <c r="N861" s="2">
        <v>28</v>
      </c>
      <c r="O861" s="2">
        <v>107.3817</v>
      </c>
      <c r="P861" s="2">
        <v>62</v>
      </c>
      <c r="Q861" s="2">
        <v>94.782899999999998</v>
      </c>
      <c r="R861" s="2">
        <v>48</v>
      </c>
      <c r="S861" s="2">
        <v>98.193100000000001</v>
      </c>
      <c r="T861" s="2">
        <v>109</v>
      </c>
      <c r="U861" s="2">
        <v>0.73666600000000004</v>
      </c>
      <c r="V861" s="2">
        <v>72</v>
      </c>
      <c r="W861" s="2">
        <v>2012</v>
      </c>
    </row>
    <row r="862" spans="1:23" ht="12.3" hidden="1" x14ac:dyDescent="0.4">
      <c r="A862" s="2" t="s">
        <v>331</v>
      </c>
      <c r="B862" s="2"/>
      <c r="C862" s="2"/>
      <c r="D862" s="2"/>
      <c r="E862" s="2"/>
      <c r="F862" s="2"/>
      <c r="G862" s="2"/>
      <c r="H862" s="2"/>
      <c r="I862" s="2">
        <v>70.041600000000003</v>
      </c>
      <c r="J862" s="2">
        <v>87</v>
      </c>
      <c r="K862" s="2">
        <v>69.376199999999997</v>
      </c>
      <c r="L862" s="2">
        <v>105</v>
      </c>
      <c r="M862" s="2">
        <v>98.513999999999996</v>
      </c>
      <c r="N862" s="2">
        <v>224</v>
      </c>
      <c r="O862" s="2">
        <v>97.382000000000005</v>
      </c>
      <c r="P862" s="2">
        <v>237</v>
      </c>
      <c r="Q862" s="2">
        <v>103.13039999999999</v>
      </c>
      <c r="R862" s="2">
        <v>204</v>
      </c>
      <c r="S862" s="2">
        <v>101.98650000000001</v>
      </c>
      <c r="T862" s="2">
        <v>174</v>
      </c>
      <c r="U862" s="2">
        <v>0.37021500000000002</v>
      </c>
      <c r="V862" s="2">
        <v>207</v>
      </c>
      <c r="W862" s="2">
        <v>2004</v>
      </c>
    </row>
    <row r="863" spans="1:23" ht="12.3" hidden="1" x14ac:dyDescent="0.4">
      <c r="A863" s="2" t="s">
        <v>302</v>
      </c>
      <c r="B863" s="2"/>
      <c r="C863" s="2"/>
      <c r="D863" s="2"/>
      <c r="E863" s="2"/>
      <c r="F863" s="2"/>
      <c r="G863" s="2"/>
      <c r="H863" s="2"/>
      <c r="I863" s="2">
        <v>70.938500000000005</v>
      </c>
      <c r="J863" s="2">
        <v>52</v>
      </c>
      <c r="K863" s="2">
        <v>71.128200000000007</v>
      </c>
      <c r="L863" s="2">
        <v>42</v>
      </c>
      <c r="M863" s="2">
        <v>97.847800000000007</v>
      </c>
      <c r="N863" s="2">
        <v>236</v>
      </c>
      <c r="O863" s="2">
        <v>97.461600000000004</v>
      </c>
      <c r="P863" s="2">
        <v>233</v>
      </c>
      <c r="Q863" s="2">
        <v>100.3053</v>
      </c>
      <c r="R863" s="2">
        <v>136</v>
      </c>
      <c r="S863" s="2">
        <v>102.0753</v>
      </c>
      <c r="T863" s="2">
        <v>178</v>
      </c>
      <c r="U863" s="2">
        <v>0.37007400000000001</v>
      </c>
      <c r="V863" s="2">
        <v>208</v>
      </c>
      <c r="W863" s="2">
        <v>2004</v>
      </c>
    </row>
    <row r="864" spans="1:23" ht="12.3" hidden="1" x14ac:dyDescent="0.4">
      <c r="A864" s="2" t="s">
        <v>344</v>
      </c>
      <c r="B864" s="2"/>
      <c r="C864" s="2"/>
      <c r="D864" s="2"/>
      <c r="E864" s="2"/>
      <c r="F864" s="2"/>
      <c r="G864" s="2"/>
      <c r="H864" s="2"/>
      <c r="I864" s="2">
        <v>66.364699999999999</v>
      </c>
      <c r="J864" s="2">
        <v>217</v>
      </c>
      <c r="K864" s="2">
        <v>65.792500000000004</v>
      </c>
      <c r="L864" s="2">
        <v>233</v>
      </c>
      <c r="M864" s="2">
        <v>102.1728</v>
      </c>
      <c r="N864" s="2">
        <v>132</v>
      </c>
      <c r="O864" s="2">
        <v>99.125200000000007</v>
      </c>
      <c r="P864" s="2">
        <v>205</v>
      </c>
      <c r="Q864" s="2">
        <v>101.25020000000001</v>
      </c>
      <c r="R864" s="2">
        <v>159</v>
      </c>
      <c r="S864" s="2">
        <v>103.83280000000001</v>
      </c>
      <c r="T864" s="2">
        <v>207</v>
      </c>
      <c r="U864" s="2">
        <v>0.36968299999999998</v>
      </c>
      <c r="V864" s="2">
        <v>209</v>
      </c>
      <c r="W864" s="2">
        <v>2004</v>
      </c>
    </row>
    <row r="865" spans="1:23" ht="12.3" hidden="1" x14ac:dyDescent="0.4">
      <c r="A865" s="2" t="s">
        <v>292</v>
      </c>
      <c r="B865" s="2"/>
      <c r="C865" s="2"/>
      <c r="D865" s="2"/>
      <c r="E865" s="2"/>
      <c r="F865" s="2"/>
      <c r="G865" s="2"/>
      <c r="H865" s="2"/>
      <c r="I865" s="2">
        <v>67.619399999999999</v>
      </c>
      <c r="J865" s="2">
        <v>177</v>
      </c>
      <c r="K865" s="2">
        <v>69.13</v>
      </c>
      <c r="L865" s="2">
        <v>113</v>
      </c>
      <c r="M865" s="2">
        <v>99.384399999999999</v>
      </c>
      <c r="N865" s="2">
        <v>200</v>
      </c>
      <c r="O865" s="2">
        <v>103.27549999999999</v>
      </c>
      <c r="P865" s="2">
        <v>117</v>
      </c>
      <c r="Q865" s="2">
        <v>109.4268</v>
      </c>
      <c r="R865" s="2">
        <v>308</v>
      </c>
      <c r="S865" s="2">
        <v>108.3415</v>
      </c>
      <c r="T865" s="2">
        <v>294</v>
      </c>
      <c r="U865" s="2">
        <v>0.365699</v>
      </c>
      <c r="V865" s="2">
        <v>210</v>
      </c>
      <c r="W865" s="2">
        <v>2004</v>
      </c>
    </row>
    <row r="866" spans="1:23" ht="12.3" hidden="1" x14ac:dyDescent="0.4">
      <c r="A866" s="2" t="s">
        <v>248</v>
      </c>
      <c r="B866" s="2"/>
      <c r="C866" s="2"/>
      <c r="D866" s="2"/>
      <c r="E866" s="2"/>
      <c r="F866" s="2"/>
      <c r="G866" s="2"/>
      <c r="H866" s="2"/>
      <c r="I866" s="2">
        <v>68.913700000000006</v>
      </c>
      <c r="J866" s="2">
        <v>126</v>
      </c>
      <c r="K866" s="2">
        <v>68.066100000000006</v>
      </c>
      <c r="L866" s="2">
        <v>154</v>
      </c>
      <c r="M866" s="2">
        <v>102.1797</v>
      </c>
      <c r="N866" s="2">
        <v>131</v>
      </c>
      <c r="O866" s="2">
        <v>102.62130000000001</v>
      </c>
      <c r="P866" s="2">
        <v>131</v>
      </c>
      <c r="Q866" s="2">
        <v>109.2633</v>
      </c>
      <c r="R866" s="2">
        <v>306</v>
      </c>
      <c r="S866" s="2">
        <v>107.7167</v>
      </c>
      <c r="T866" s="2">
        <v>285</v>
      </c>
      <c r="U866" s="2">
        <v>0.364176</v>
      </c>
      <c r="V866" s="2">
        <v>211</v>
      </c>
      <c r="W866" s="2">
        <v>2004</v>
      </c>
    </row>
    <row r="867" spans="1:23" ht="12.3" hidden="1" x14ac:dyDescent="0.4">
      <c r="A867" s="2" t="s">
        <v>253</v>
      </c>
      <c r="B867" s="2"/>
      <c r="C867" s="2"/>
      <c r="D867" s="2"/>
      <c r="E867" s="2"/>
      <c r="F867" s="2"/>
      <c r="G867" s="2"/>
      <c r="H867" s="2"/>
      <c r="I867" s="2">
        <v>73.3339</v>
      </c>
      <c r="J867" s="2">
        <v>17</v>
      </c>
      <c r="K867" s="2">
        <v>71.991</v>
      </c>
      <c r="L867" s="2">
        <v>25</v>
      </c>
      <c r="M867" s="2">
        <v>93.604200000000006</v>
      </c>
      <c r="N867" s="2">
        <v>291</v>
      </c>
      <c r="O867" s="2">
        <v>93.3369</v>
      </c>
      <c r="P867" s="2">
        <v>291</v>
      </c>
      <c r="Q867" s="2">
        <v>99.764200000000002</v>
      </c>
      <c r="R867" s="2">
        <v>125</v>
      </c>
      <c r="S867" s="2">
        <v>97.979500000000002</v>
      </c>
      <c r="T867" s="2">
        <v>86</v>
      </c>
      <c r="U867" s="2">
        <v>0.363954</v>
      </c>
      <c r="V867" s="2">
        <v>212</v>
      </c>
      <c r="W867" s="2">
        <v>2004</v>
      </c>
    </row>
    <row r="868" spans="1:23" ht="12.3" hidden="1" x14ac:dyDescent="0.4">
      <c r="A868" s="2" t="s">
        <v>276</v>
      </c>
      <c r="B868" s="2"/>
      <c r="C868" s="2"/>
      <c r="D868" s="2"/>
      <c r="E868" s="2"/>
      <c r="F868" s="2"/>
      <c r="G868" s="2"/>
      <c r="H868" s="2"/>
      <c r="I868" s="2">
        <v>69.801100000000005</v>
      </c>
      <c r="J868" s="2">
        <v>94</v>
      </c>
      <c r="K868" s="2">
        <v>69.935599999999994</v>
      </c>
      <c r="L868" s="2">
        <v>79</v>
      </c>
      <c r="M868" s="2">
        <v>100.3516</v>
      </c>
      <c r="N868" s="2">
        <v>175</v>
      </c>
      <c r="O868" s="2">
        <v>100.38679999999999</v>
      </c>
      <c r="P868" s="2">
        <v>172</v>
      </c>
      <c r="Q868" s="2">
        <v>102.61879999999999</v>
      </c>
      <c r="R868" s="2">
        <v>189</v>
      </c>
      <c r="S868" s="2">
        <v>105.4423</v>
      </c>
      <c r="T868" s="2">
        <v>249</v>
      </c>
      <c r="U868" s="2">
        <v>0.36238300000000001</v>
      </c>
      <c r="V868" s="2">
        <v>213</v>
      </c>
      <c r="W868" s="2">
        <v>2004</v>
      </c>
    </row>
    <row r="869" spans="1:23" ht="12.3" hidden="1" x14ac:dyDescent="0.4">
      <c r="A869" s="2" t="s">
        <v>196</v>
      </c>
      <c r="B869" s="2"/>
      <c r="C869" s="2"/>
      <c r="D869" s="2"/>
      <c r="E869" s="2"/>
      <c r="F869" s="2"/>
      <c r="G869" s="2"/>
      <c r="H869" s="2"/>
      <c r="I869" s="2">
        <v>69.769199999999998</v>
      </c>
      <c r="J869" s="2">
        <v>96</v>
      </c>
      <c r="K869" s="2">
        <v>68.739500000000007</v>
      </c>
      <c r="L869" s="2">
        <v>123</v>
      </c>
      <c r="M869" s="2">
        <v>99.341399999999993</v>
      </c>
      <c r="N869" s="2">
        <v>202</v>
      </c>
      <c r="O869" s="2">
        <v>99.144499999999994</v>
      </c>
      <c r="P869" s="2">
        <v>204</v>
      </c>
      <c r="Q869" s="2">
        <v>102.3511</v>
      </c>
      <c r="R869" s="2">
        <v>184</v>
      </c>
      <c r="S869" s="2">
        <v>104.3466</v>
      </c>
      <c r="T869" s="2">
        <v>222</v>
      </c>
      <c r="U869" s="2">
        <v>0.35706900000000003</v>
      </c>
      <c r="V869" s="2">
        <v>214</v>
      </c>
      <c r="W869" s="2">
        <v>2004</v>
      </c>
    </row>
    <row r="870" spans="1:23" ht="12.3" hidden="1" x14ac:dyDescent="0.4">
      <c r="A870" s="2" t="s">
        <v>110</v>
      </c>
      <c r="B870" s="2"/>
      <c r="C870" s="2"/>
      <c r="D870" s="2"/>
      <c r="E870" s="2"/>
      <c r="F870" s="2"/>
      <c r="G870" s="2"/>
      <c r="H870" s="2"/>
      <c r="I870" s="2">
        <v>62.702300000000001</v>
      </c>
      <c r="J870" s="2">
        <v>310</v>
      </c>
      <c r="K870" s="2">
        <v>63.209800000000001</v>
      </c>
      <c r="L870" s="2">
        <v>304</v>
      </c>
      <c r="M870" s="2">
        <v>98.993700000000004</v>
      </c>
      <c r="N870" s="2">
        <v>212</v>
      </c>
      <c r="O870" s="2">
        <v>99.248400000000004</v>
      </c>
      <c r="P870" s="2">
        <v>199</v>
      </c>
      <c r="Q870" s="2">
        <v>104.2632</v>
      </c>
      <c r="R870" s="2">
        <v>241</v>
      </c>
      <c r="S870" s="2">
        <v>104.4696</v>
      </c>
      <c r="T870" s="2">
        <v>227</v>
      </c>
      <c r="U870" s="2">
        <v>0.35672300000000001</v>
      </c>
      <c r="V870" s="2">
        <v>215</v>
      </c>
      <c r="W870" s="2">
        <v>2004</v>
      </c>
    </row>
    <row r="871" spans="1:23" ht="12.3" hidden="1" x14ac:dyDescent="0.4">
      <c r="A871" s="2" t="s">
        <v>103</v>
      </c>
      <c r="B871" s="2"/>
      <c r="C871" s="2"/>
      <c r="D871" s="2"/>
      <c r="E871" s="2"/>
      <c r="F871" s="2"/>
      <c r="G871" s="2"/>
      <c r="H871" s="2"/>
      <c r="I871" s="2">
        <v>65.269000000000005</v>
      </c>
      <c r="J871" s="2">
        <v>252</v>
      </c>
      <c r="K871" s="2">
        <v>65.044899999999998</v>
      </c>
      <c r="L871" s="2">
        <v>265</v>
      </c>
      <c r="M871" s="2">
        <v>94.076499999999996</v>
      </c>
      <c r="N871" s="2">
        <v>285</v>
      </c>
      <c r="O871" s="2">
        <v>98.139099999999999</v>
      </c>
      <c r="P871" s="2">
        <v>221</v>
      </c>
      <c r="Q871" s="2">
        <v>105.38500000000001</v>
      </c>
      <c r="R871" s="2">
        <v>263</v>
      </c>
      <c r="S871" s="2">
        <v>103.3449</v>
      </c>
      <c r="T871" s="2">
        <v>192</v>
      </c>
      <c r="U871" s="2">
        <v>0.35563099999999997</v>
      </c>
      <c r="V871" s="2">
        <v>216</v>
      </c>
      <c r="W871" s="2">
        <v>2004</v>
      </c>
    </row>
    <row r="872" spans="1:23" ht="12.3" hidden="1" x14ac:dyDescent="0.4">
      <c r="A872" s="2" t="s">
        <v>189</v>
      </c>
      <c r="B872" s="2"/>
      <c r="C872" s="2"/>
      <c r="D872" s="2"/>
      <c r="E872" s="2"/>
      <c r="F872" s="2"/>
      <c r="G872" s="2"/>
      <c r="H872" s="2"/>
      <c r="I872" s="2">
        <v>70.459800000000001</v>
      </c>
      <c r="J872" s="2">
        <v>69</v>
      </c>
      <c r="K872" s="2">
        <v>71.509799999999998</v>
      </c>
      <c r="L872" s="2">
        <v>31</v>
      </c>
      <c r="M872" s="2">
        <v>98.900599999999997</v>
      </c>
      <c r="N872" s="2">
        <v>214</v>
      </c>
      <c r="O872" s="2">
        <v>99.163300000000007</v>
      </c>
      <c r="P872" s="2">
        <v>202</v>
      </c>
      <c r="Q872" s="2">
        <v>103.7243</v>
      </c>
      <c r="R872" s="2">
        <v>221</v>
      </c>
      <c r="S872" s="2">
        <v>104.4619</v>
      </c>
      <c r="T872" s="2">
        <v>226</v>
      </c>
      <c r="U872" s="2">
        <v>0.354657</v>
      </c>
      <c r="V872" s="2">
        <v>217</v>
      </c>
      <c r="W872" s="2">
        <v>2004</v>
      </c>
    </row>
    <row r="873" spans="1:23" ht="12.3" hidden="1" x14ac:dyDescent="0.4">
      <c r="A873" s="2" t="s">
        <v>156</v>
      </c>
      <c r="B873" s="2"/>
      <c r="C873" s="2"/>
      <c r="D873" s="2"/>
      <c r="E873" s="2"/>
      <c r="F873" s="2"/>
      <c r="G873" s="2"/>
      <c r="H873" s="2"/>
      <c r="I873" s="2">
        <v>66.254300000000001</v>
      </c>
      <c r="J873" s="2">
        <v>221</v>
      </c>
      <c r="K873" s="2">
        <v>65.619299999999996</v>
      </c>
      <c r="L873" s="2">
        <v>238</v>
      </c>
      <c r="M873" s="2">
        <v>104.9768</v>
      </c>
      <c r="N873" s="2">
        <v>87</v>
      </c>
      <c r="O873" s="2">
        <v>101.5774</v>
      </c>
      <c r="P873" s="2">
        <v>150</v>
      </c>
      <c r="Q873" s="2">
        <v>103.1516</v>
      </c>
      <c r="R873" s="2">
        <v>205</v>
      </c>
      <c r="S873" s="2">
        <v>107.10039999999999</v>
      </c>
      <c r="T873" s="2">
        <v>279</v>
      </c>
      <c r="U873" s="2">
        <v>0.35231699999999999</v>
      </c>
      <c r="V873" s="2">
        <v>218</v>
      </c>
      <c r="W873" s="2">
        <v>2004</v>
      </c>
    </row>
    <row r="874" spans="1:23" ht="12.3" hidden="1" x14ac:dyDescent="0.4">
      <c r="A874" s="2" t="s">
        <v>102</v>
      </c>
      <c r="B874" s="2"/>
      <c r="C874" s="2"/>
      <c r="D874" s="2"/>
      <c r="E874" s="2"/>
      <c r="F874" s="2"/>
      <c r="G874" s="2"/>
      <c r="H874" s="2"/>
      <c r="I874" s="2">
        <v>66.349800000000002</v>
      </c>
      <c r="J874" s="2">
        <v>219</v>
      </c>
      <c r="K874" s="2">
        <v>67.690700000000007</v>
      </c>
      <c r="L874" s="2">
        <v>165</v>
      </c>
      <c r="M874" s="2">
        <v>92.341399999999993</v>
      </c>
      <c r="N874" s="2">
        <v>294</v>
      </c>
      <c r="O874" s="2">
        <v>95.664699999999996</v>
      </c>
      <c r="P874" s="2">
        <v>263</v>
      </c>
      <c r="Q874" s="2">
        <v>105.6533</v>
      </c>
      <c r="R874" s="2">
        <v>268</v>
      </c>
      <c r="S874" s="2">
        <v>100.8716</v>
      </c>
      <c r="T874" s="2">
        <v>155</v>
      </c>
      <c r="U874" s="2">
        <v>0.35217700000000002</v>
      </c>
      <c r="V874" s="2">
        <v>219</v>
      </c>
      <c r="W874" s="2">
        <v>2004</v>
      </c>
    </row>
    <row r="875" spans="1:23" ht="12.3" hidden="1" x14ac:dyDescent="0.4">
      <c r="A875" s="2" t="s">
        <v>240</v>
      </c>
      <c r="B875" s="2"/>
      <c r="C875" s="2"/>
      <c r="D875" s="2"/>
      <c r="E875" s="2"/>
      <c r="F875" s="2"/>
      <c r="G875" s="2"/>
      <c r="H875" s="2"/>
      <c r="I875" s="2">
        <v>64.354200000000006</v>
      </c>
      <c r="J875" s="2">
        <v>279</v>
      </c>
      <c r="K875" s="2">
        <v>64.653999999999996</v>
      </c>
      <c r="L875" s="2">
        <v>275</v>
      </c>
      <c r="M875" s="2">
        <v>101.3736</v>
      </c>
      <c r="N875" s="2">
        <v>156</v>
      </c>
      <c r="O875" s="2">
        <v>99.171300000000002</v>
      </c>
      <c r="P875" s="2">
        <v>201</v>
      </c>
      <c r="Q875" s="2">
        <v>100.32470000000001</v>
      </c>
      <c r="R875" s="2">
        <v>137</v>
      </c>
      <c r="S875" s="2">
        <v>104.5703</v>
      </c>
      <c r="T875" s="2">
        <v>231</v>
      </c>
      <c r="U875" s="2">
        <v>0.35214499999999999</v>
      </c>
      <c r="V875" s="2">
        <v>220</v>
      </c>
      <c r="W875" s="2">
        <v>2004</v>
      </c>
    </row>
    <row r="876" spans="1:23" ht="12.3" hidden="1" x14ac:dyDescent="0.4">
      <c r="A876" s="2" t="s">
        <v>348</v>
      </c>
      <c r="B876" s="2"/>
      <c r="C876" s="2"/>
      <c r="D876" s="2"/>
      <c r="E876" s="2"/>
      <c r="F876" s="2"/>
      <c r="G876" s="2"/>
      <c r="H876" s="2"/>
      <c r="I876" s="2">
        <v>64.334999999999994</v>
      </c>
      <c r="J876" s="2">
        <v>280</v>
      </c>
      <c r="K876" s="2">
        <v>65.1755</v>
      </c>
      <c r="L876" s="2">
        <v>259</v>
      </c>
      <c r="M876" s="2">
        <v>99.576999999999998</v>
      </c>
      <c r="N876" s="2">
        <v>193</v>
      </c>
      <c r="O876" s="2">
        <v>99.353999999999999</v>
      </c>
      <c r="P876" s="2">
        <v>195</v>
      </c>
      <c r="Q876" s="2">
        <v>109.4464</v>
      </c>
      <c r="R876" s="2">
        <v>309</v>
      </c>
      <c r="S876" s="2">
        <v>105.0303</v>
      </c>
      <c r="T876" s="2">
        <v>240</v>
      </c>
      <c r="U876" s="2">
        <v>0.34548600000000002</v>
      </c>
      <c r="V876" s="2">
        <v>221</v>
      </c>
      <c r="W876" s="2">
        <v>2004</v>
      </c>
    </row>
    <row r="877" spans="1:23" ht="12.3" hidden="1" x14ac:dyDescent="0.4">
      <c r="A877" s="2" t="s">
        <v>130</v>
      </c>
      <c r="B877" s="2"/>
      <c r="C877" s="2"/>
      <c r="D877" s="2"/>
      <c r="E877" s="2"/>
      <c r="F877" s="2"/>
      <c r="G877" s="2"/>
      <c r="H877" s="2"/>
      <c r="I877" s="2">
        <v>63.446800000000003</v>
      </c>
      <c r="J877" s="2">
        <v>299</v>
      </c>
      <c r="K877" s="2">
        <v>63.063600000000001</v>
      </c>
      <c r="L877" s="2">
        <v>306</v>
      </c>
      <c r="M877" s="2">
        <v>90.768500000000003</v>
      </c>
      <c r="N877" s="2">
        <v>304</v>
      </c>
      <c r="O877" s="2">
        <v>92.569900000000004</v>
      </c>
      <c r="P877" s="2">
        <v>296</v>
      </c>
      <c r="Q877" s="2">
        <v>99.519400000000005</v>
      </c>
      <c r="R877" s="2">
        <v>117</v>
      </c>
      <c r="S877" s="2">
        <v>97.905199999999994</v>
      </c>
      <c r="T877" s="2">
        <v>84</v>
      </c>
      <c r="U877" s="2">
        <v>0.34424900000000003</v>
      </c>
      <c r="V877" s="2">
        <v>222</v>
      </c>
      <c r="W877" s="2">
        <v>2004</v>
      </c>
    </row>
    <row r="878" spans="1:23" ht="12.3" hidden="1" x14ac:dyDescent="0.4">
      <c r="A878" s="2" t="s">
        <v>277</v>
      </c>
      <c r="B878" s="2"/>
      <c r="C878" s="2"/>
      <c r="D878" s="2"/>
      <c r="E878" s="2"/>
      <c r="F878" s="2"/>
      <c r="G878" s="2"/>
      <c r="H878" s="2"/>
      <c r="I878" s="2">
        <v>70.833600000000004</v>
      </c>
      <c r="J878" s="2">
        <v>56</v>
      </c>
      <c r="K878" s="2">
        <v>70.788300000000007</v>
      </c>
      <c r="L878" s="2">
        <v>54</v>
      </c>
      <c r="M878" s="2">
        <v>100.2548</v>
      </c>
      <c r="N878" s="2">
        <v>177</v>
      </c>
      <c r="O878" s="2">
        <v>97.256600000000006</v>
      </c>
      <c r="P878" s="2">
        <v>239</v>
      </c>
      <c r="Q878" s="2">
        <v>98.089799999999997</v>
      </c>
      <c r="R878" s="2">
        <v>95</v>
      </c>
      <c r="S878" s="2">
        <v>102.8621</v>
      </c>
      <c r="T878" s="2">
        <v>187</v>
      </c>
      <c r="U878" s="2">
        <v>0.34424900000000003</v>
      </c>
      <c r="V878" s="2">
        <v>223</v>
      </c>
      <c r="W878" s="2">
        <v>2004</v>
      </c>
    </row>
    <row r="879" spans="1:23" ht="12.3" hidden="1" x14ac:dyDescent="0.4">
      <c r="A879" s="2" t="s">
        <v>209</v>
      </c>
      <c r="B879" s="2"/>
      <c r="C879" s="2"/>
      <c r="D879" s="2"/>
      <c r="E879" s="2"/>
      <c r="F879" s="2"/>
      <c r="G879" s="2"/>
      <c r="H879" s="2"/>
      <c r="I879" s="2">
        <v>66.777299999999997</v>
      </c>
      <c r="J879" s="2">
        <v>200</v>
      </c>
      <c r="K879" s="2">
        <v>66.186800000000005</v>
      </c>
      <c r="L879" s="2">
        <v>217</v>
      </c>
      <c r="M879" s="2">
        <v>99.300299999999993</v>
      </c>
      <c r="N879" s="2">
        <v>204</v>
      </c>
      <c r="O879" s="2">
        <v>99.070499999999996</v>
      </c>
      <c r="P879" s="2">
        <v>207</v>
      </c>
      <c r="Q879" s="2">
        <v>105.83669999999999</v>
      </c>
      <c r="R879" s="2">
        <v>273</v>
      </c>
      <c r="S879" s="2">
        <v>104.9278</v>
      </c>
      <c r="T879" s="2">
        <v>237</v>
      </c>
      <c r="U879" s="2">
        <v>0.34061399999999997</v>
      </c>
      <c r="V879" s="2">
        <v>224</v>
      </c>
      <c r="W879" s="2">
        <v>2004</v>
      </c>
    </row>
    <row r="880" spans="1:23" ht="12.3" x14ac:dyDescent="0.4">
      <c r="A880" s="2" t="s">
        <v>157</v>
      </c>
      <c r="B880" s="2">
        <v>11</v>
      </c>
      <c r="C880" s="2"/>
      <c r="D880" s="2"/>
      <c r="E880" s="2"/>
      <c r="F880" s="2"/>
      <c r="G880" s="2"/>
      <c r="H880" s="2"/>
      <c r="I880" s="2">
        <v>64.468000000000004</v>
      </c>
      <c r="J880" s="2">
        <v>255</v>
      </c>
      <c r="K880" s="2">
        <v>64.772000000000006</v>
      </c>
      <c r="L880" s="2">
        <v>241</v>
      </c>
      <c r="M880" s="2">
        <v>108.88549999999999</v>
      </c>
      <c r="N880" s="2">
        <v>39</v>
      </c>
      <c r="O880" s="2">
        <v>111.5288</v>
      </c>
      <c r="P880" s="2">
        <v>24</v>
      </c>
      <c r="Q880" s="2">
        <v>104.9198</v>
      </c>
      <c r="R880" s="2">
        <v>262</v>
      </c>
      <c r="S880" s="2">
        <v>102.41070000000001</v>
      </c>
      <c r="T880" s="2">
        <v>194</v>
      </c>
      <c r="U880" s="2">
        <v>0.72727799999999998</v>
      </c>
      <c r="V880" s="2">
        <v>75</v>
      </c>
      <c r="W880" s="2">
        <v>2012</v>
      </c>
    </row>
    <row r="881" spans="1:23" ht="12.3" hidden="1" x14ac:dyDescent="0.4">
      <c r="A881" s="2" t="s">
        <v>161</v>
      </c>
      <c r="B881" s="2"/>
      <c r="C881" s="2"/>
      <c r="D881" s="2"/>
      <c r="E881" s="2"/>
      <c r="F881" s="2"/>
      <c r="G881" s="2"/>
      <c r="H881" s="2"/>
      <c r="I881" s="2">
        <v>69.281000000000006</v>
      </c>
      <c r="J881" s="2">
        <v>110</v>
      </c>
      <c r="K881" s="2">
        <v>68.691100000000006</v>
      </c>
      <c r="L881" s="2">
        <v>125</v>
      </c>
      <c r="M881" s="2">
        <v>94.114400000000003</v>
      </c>
      <c r="N881" s="2">
        <v>284</v>
      </c>
      <c r="O881" s="2">
        <v>96.854500000000002</v>
      </c>
      <c r="P881" s="2">
        <v>247</v>
      </c>
      <c r="Q881" s="2">
        <v>101.5244</v>
      </c>
      <c r="R881" s="2">
        <v>167</v>
      </c>
      <c r="S881" s="2">
        <v>102.8128</v>
      </c>
      <c r="T881" s="2">
        <v>185</v>
      </c>
      <c r="U881" s="2">
        <v>0.33479999999999999</v>
      </c>
      <c r="V881" s="2">
        <v>226</v>
      </c>
      <c r="W881" s="2">
        <v>2004</v>
      </c>
    </row>
    <row r="882" spans="1:23" ht="12.3" hidden="1" x14ac:dyDescent="0.4">
      <c r="A882" s="2" t="s">
        <v>275</v>
      </c>
      <c r="B882" s="2"/>
      <c r="C882" s="2"/>
      <c r="D882" s="2"/>
      <c r="E882" s="2"/>
      <c r="F882" s="2"/>
      <c r="G882" s="2"/>
      <c r="H882" s="2"/>
      <c r="I882" s="2">
        <v>69.326400000000007</v>
      </c>
      <c r="J882" s="2">
        <v>109</v>
      </c>
      <c r="K882" s="2">
        <v>69.278000000000006</v>
      </c>
      <c r="L882" s="2">
        <v>106</v>
      </c>
      <c r="M882" s="2">
        <v>106.1502</v>
      </c>
      <c r="N882" s="2">
        <v>74</v>
      </c>
      <c r="O882" s="2">
        <v>102.79989999999999</v>
      </c>
      <c r="P882" s="2">
        <v>127</v>
      </c>
      <c r="Q882" s="2">
        <v>106.8618</v>
      </c>
      <c r="R882" s="2">
        <v>287</v>
      </c>
      <c r="S882" s="2">
        <v>109.172</v>
      </c>
      <c r="T882" s="2">
        <v>301</v>
      </c>
      <c r="U882" s="2">
        <v>0.33367599999999997</v>
      </c>
      <c r="V882" s="2">
        <v>227</v>
      </c>
      <c r="W882" s="2">
        <v>2004</v>
      </c>
    </row>
    <row r="883" spans="1:23" ht="12.3" hidden="1" x14ac:dyDescent="0.4">
      <c r="A883" s="2" t="s">
        <v>127</v>
      </c>
      <c r="B883" s="2"/>
      <c r="C883" s="2"/>
      <c r="D883" s="2"/>
      <c r="E883" s="2"/>
      <c r="F883" s="2"/>
      <c r="G883" s="2"/>
      <c r="H883" s="2"/>
      <c r="I883" s="2">
        <v>71.2761</v>
      </c>
      <c r="J883" s="2">
        <v>44</v>
      </c>
      <c r="K883" s="2">
        <v>68.749899999999997</v>
      </c>
      <c r="L883" s="2">
        <v>122</v>
      </c>
      <c r="M883" s="2">
        <v>100.9746</v>
      </c>
      <c r="N883" s="2">
        <v>164</v>
      </c>
      <c r="O883" s="2">
        <v>100.75839999999999</v>
      </c>
      <c r="P883" s="2">
        <v>167</v>
      </c>
      <c r="Q883" s="2">
        <v>105.1741</v>
      </c>
      <c r="R883" s="2">
        <v>259</v>
      </c>
      <c r="S883" s="2">
        <v>107.0598</v>
      </c>
      <c r="T883" s="2">
        <v>278</v>
      </c>
      <c r="U883" s="2">
        <v>0.33234200000000003</v>
      </c>
      <c r="V883" s="2">
        <v>228</v>
      </c>
      <c r="W883" s="2">
        <v>2004</v>
      </c>
    </row>
    <row r="884" spans="1:23" ht="12.3" hidden="1" x14ac:dyDescent="0.4">
      <c r="A884" s="2" t="s">
        <v>269</v>
      </c>
      <c r="B884" s="2"/>
      <c r="C884" s="2"/>
      <c r="D884" s="2"/>
      <c r="E884" s="2"/>
      <c r="F884" s="2"/>
      <c r="G884" s="2"/>
      <c r="H884" s="2"/>
      <c r="I884" s="2">
        <v>68.547399999999996</v>
      </c>
      <c r="J884" s="2">
        <v>138</v>
      </c>
      <c r="K884" s="2">
        <v>67.434799999999996</v>
      </c>
      <c r="L884" s="2">
        <v>172</v>
      </c>
      <c r="M884" s="2">
        <v>95.982200000000006</v>
      </c>
      <c r="N884" s="2">
        <v>265</v>
      </c>
      <c r="O884" s="2">
        <v>94.104600000000005</v>
      </c>
      <c r="P884" s="2">
        <v>284</v>
      </c>
      <c r="Q884" s="2">
        <v>98.915000000000006</v>
      </c>
      <c r="R884" s="2">
        <v>110</v>
      </c>
      <c r="S884" s="2">
        <v>100.0591</v>
      </c>
      <c r="T884" s="2">
        <v>141</v>
      </c>
      <c r="U884" s="2">
        <v>0.33057999999999998</v>
      </c>
      <c r="V884" s="2">
        <v>229</v>
      </c>
      <c r="W884" s="2">
        <v>2004</v>
      </c>
    </row>
    <row r="885" spans="1:23" ht="12.3" hidden="1" x14ac:dyDescent="0.4">
      <c r="A885" s="2" t="s">
        <v>273</v>
      </c>
      <c r="B885" s="2"/>
      <c r="C885" s="2"/>
      <c r="D885" s="2"/>
      <c r="E885" s="2"/>
      <c r="F885" s="2"/>
      <c r="G885" s="2"/>
      <c r="H885" s="2"/>
      <c r="I885" s="2">
        <v>69.111400000000003</v>
      </c>
      <c r="J885" s="2">
        <v>120</v>
      </c>
      <c r="K885" s="2">
        <v>70.046999999999997</v>
      </c>
      <c r="L885" s="2">
        <v>75</v>
      </c>
      <c r="M885" s="2">
        <v>105.83159999999999</v>
      </c>
      <c r="N885" s="2">
        <v>78</v>
      </c>
      <c r="O885" s="2">
        <v>105.19889999999999</v>
      </c>
      <c r="P885" s="2">
        <v>87</v>
      </c>
      <c r="Q885" s="2">
        <v>103.86499999999999</v>
      </c>
      <c r="R885" s="2">
        <v>229</v>
      </c>
      <c r="S885" s="2">
        <v>111.9067</v>
      </c>
      <c r="T885" s="2">
        <v>321</v>
      </c>
      <c r="U885" s="2">
        <v>0.32941199999999998</v>
      </c>
      <c r="V885" s="2">
        <v>230</v>
      </c>
      <c r="W885" s="2">
        <v>2004</v>
      </c>
    </row>
    <row r="886" spans="1:23" ht="12.3" hidden="1" x14ac:dyDescent="0.4">
      <c r="A886" s="2" t="s">
        <v>333</v>
      </c>
      <c r="B886" s="2"/>
      <c r="C886" s="2"/>
      <c r="D886" s="2"/>
      <c r="E886" s="2"/>
      <c r="F886" s="2"/>
      <c r="G886" s="2"/>
      <c r="H886" s="2"/>
      <c r="I886" s="2">
        <v>69.481200000000001</v>
      </c>
      <c r="J886" s="2">
        <v>104</v>
      </c>
      <c r="K886" s="2">
        <v>70.313400000000001</v>
      </c>
      <c r="L886" s="2">
        <v>67</v>
      </c>
      <c r="M886" s="2">
        <v>100.38800000000001</v>
      </c>
      <c r="N886" s="2">
        <v>174</v>
      </c>
      <c r="O886" s="2">
        <v>98.273399999999995</v>
      </c>
      <c r="P886" s="2">
        <v>217</v>
      </c>
      <c r="Q886" s="2">
        <v>101.42270000000001</v>
      </c>
      <c r="R886" s="2">
        <v>164</v>
      </c>
      <c r="S886" s="2">
        <v>104.5488</v>
      </c>
      <c r="T886" s="2">
        <v>230</v>
      </c>
      <c r="U886" s="2">
        <v>0.32919100000000001</v>
      </c>
      <c r="V886" s="2">
        <v>231</v>
      </c>
      <c r="W886" s="2">
        <v>2004</v>
      </c>
    </row>
    <row r="887" spans="1:23" ht="12.3" hidden="1" x14ac:dyDescent="0.4">
      <c r="A887" s="2" t="s">
        <v>288</v>
      </c>
      <c r="B887" s="2"/>
      <c r="C887" s="2"/>
      <c r="D887" s="2"/>
      <c r="E887" s="2"/>
      <c r="F887" s="2"/>
      <c r="G887" s="2"/>
      <c r="H887" s="2"/>
      <c r="I887" s="2">
        <v>67.371399999999994</v>
      </c>
      <c r="J887" s="2">
        <v>186</v>
      </c>
      <c r="K887" s="2">
        <v>67.344700000000003</v>
      </c>
      <c r="L887" s="2">
        <v>177</v>
      </c>
      <c r="M887" s="2">
        <v>102.4076</v>
      </c>
      <c r="N887" s="2">
        <v>124</v>
      </c>
      <c r="O887" s="2">
        <v>99.334999999999994</v>
      </c>
      <c r="P887" s="2">
        <v>196</v>
      </c>
      <c r="Q887" s="2">
        <v>97.0518</v>
      </c>
      <c r="R887" s="2">
        <v>82</v>
      </c>
      <c r="S887" s="2">
        <v>105.7187</v>
      </c>
      <c r="T887" s="2">
        <v>255</v>
      </c>
      <c r="U887" s="2">
        <v>0.32821800000000001</v>
      </c>
      <c r="V887" s="2">
        <v>232</v>
      </c>
      <c r="W887" s="2">
        <v>2004</v>
      </c>
    </row>
    <row r="888" spans="1:23" ht="12.3" hidden="1" x14ac:dyDescent="0.4">
      <c r="A888" s="2" t="s">
        <v>163</v>
      </c>
      <c r="B888" s="2"/>
      <c r="C888" s="2"/>
      <c r="D888" s="2"/>
      <c r="E888" s="2"/>
      <c r="F888" s="2"/>
      <c r="G888" s="2"/>
      <c r="H888" s="2"/>
      <c r="I888" s="2">
        <v>69.267499999999998</v>
      </c>
      <c r="J888" s="2">
        <v>111</v>
      </c>
      <c r="K888" s="2">
        <v>68.291700000000006</v>
      </c>
      <c r="L888" s="2">
        <v>143</v>
      </c>
      <c r="M888" s="2">
        <v>97.211200000000005</v>
      </c>
      <c r="N888" s="2">
        <v>250</v>
      </c>
      <c r="O888" s="2">
        <v>93.939099999999996</v>
      </c>
      <c r="P888" s="2">
        <v>287</v>
      </c>
      <c r="Q888" s="2">
        <v>98.706900000000005</v>
      </c>
      <c r="R888" s="2">
        <v>104</v>
      </c>
      <c r="S888" s="2">
        <v>100.0086</v>
      </c>
      <c r="T888" s="2">
        <v>138</v>
      </c>
      <c r="U888" s="2">
        <v>0.32739099999999999</v>
      </c>
      <c r="V888" s="2">
        <v>233</v>
      </c>
      <c r="W888" s="2">
        <v>2004</v>
      </c>
    </row>
    <row r="889" spans="1:23" ht="12.3" hidden="1" x14ac:dyDescent="0.4">
      <c r="A889" s="2" t="s">
        <v>318</v>
      </c>
      <c r="B889" s="2"/>
      <c r="C889" s="2"/>
      <c r="D889" s="2"/>
      <c r="E889" s="2"/>
      <c r="F889" s="2"/>
      <c r="G889" s="2"/>
      <c r="H889" s="2"/>
      <c r="I889" s="2">
        <v>70.271900000000002</v>
      </c>
      <c r="J889" s="2">
        <v>74</v>
      </c>
      <c r="K889" s="2">
        <v>69.257099999999994</v>
      </c>
      <c r="L889" s="2">
        <v>108</v>
      </c>
      <c r="M889" s="2">
        <v>100.67619999999999</v>
      </c>
      <c r="N889" s="2">
        <v>170</v>
      </c>
      <c r="O889" s="2">
        <v>101.11790000000001</v>
      </c>
      <c r="P889" s="2">
        <v>161</v>
      </c>
      <c r="Q889" s="2">
        <v>108.30629999999999</v>
      </c>
      <c r="R889" s="2">
        <v>303</v>
      </c>
      <c r="S889" s="2">
        <v>107.6713</v>
      </c>
      <c r="T889" s="2">
        <v>282</v>
      </c>
      <c r="U889" s="2">
        <v>0.32691900000000002</v>
      </c>
      <c r="V889" s="2">
        <v>234</v>
      </c>
      <c r="W889" s="2">
        <v>2004</v>
      </c>
    </row>
    <row r="890" spans="1:23" ht="12.3" hidden="1" x14ac:dyDescent="0.4">
      <c r="A890" s="2" t="s">
        <v>182</v>
      </c>
      <c r="B890" s="2"/>
      <c r="C890" s="2"/>
      <c r="D890" s="2"/>
      <c r="E890" s="2"/>
      <c r="F890" s="2"/>
      <c r="G890" s="2"/>
      <c r="H890" s="2"/>
      <c r="I890" s="2">
        <v>66.528599999999997</v>
      </c>
      <c r="J890" s="2">
        <v>210</v>
      </c>
      <c r="K890" s="2">
        <v>65.399199999999993</v>
      </c>
      <c r="L890" s="2">
        <v>249</v>
      </c>
      <c r="M890" s="2">
        <v>100.7209</v>
      </c>
      <c r="N890" s="2">
        <v>169</v>
      </c>
      <c r="O890" s="2">
        <v>98.083399999999997</v>
      </c>
      <c r="P890" s="2">
        <v>222</v>
      </c>
      <c r="Q890" s="2">
        <v>101.94580000000001</v>
      </c>
      <c r="R890" s="2">
        <v>176</v>
      </c>
      <c r="S890" s="2">
        <v>104.52460000000001</v>
      </c>
      <c r="T890" s="2">
        <v>229</v>
      </c>
      <c r="U890" s="2">
        <v>0.32487500000000002</v>
      </c>
      <c r="V890" s="2">
        <v>235</v>
      </c>
      <c r="W890" s="2">
        <v>2004</v>
      </c>
    </row>
    <row r="891" spans="1:23" ht="12.3" hidden="1" x14ac:dyDescent="0.4">
      <c r="A891" s="2" t="s">
        <v>334</v>
      </c>
      <c r="B891" s="2"/>
      <c r="C891" s="2"/>
      <c r="D891" s="2"/>
      <c r="E891" s="2"/>
      <c r="F891" s="2"/>
      <c r="G891" s="2"/>
      <c r="H891" s="2"/>
      <c r="I891" s="2">
        <v>68.692499999999995</v>
      </c>
      <c r="J891" s="2">
        <v>134</v>
      </c>
      <c r="K891" s="2">
        <v>68.308800000000005</v>
      </c>
      <c r="L891" s="2">
        <v>141</v>
      </c>
      <c r="M891" s="2">
        <v>99.276700000000005</v>
      </c>
      <c r="N891" s="2">
        <v>206</v>
      </c>
      <c r="O891" s="2">
        <v>96.994500000000002</v>
      </c>
      <c r="P891" s="2">
        <v>245</v>
      </c>
      <c r="Q891" s="2">
        <v>99.054199999999994</v>
      </c>
      <c r="R891" s="2">
        <v>111</v>
      </c>
      <c r="S891" s="2">
        <v>103.4122</v>
      </c>
      <c r="T891" s="2">
        <v>193</v>
      </c>
      <c r="U891" s="2">
        <v>0.32370599999999999</v>
      </c>
      <c r="V891" s="2">
        <v>236</v>
      </c>
      <c r="W891" s="2">
        <v>2004</v>
      </c>
    </row>
    <row r="892" spans="1:23" ht="12.3" hidden="1" x14ac:dyDescent="0.4">
      <c r="A892" s="2" t="s">
        <v>158</v>
      </c>
      <c r="B892" s="2"/>
      <c r="C892" s="2"/>
      <c r="D892" s="2"/>
      <c r="E892" s="2"/>
      <c r="F892" s="2"/>
      <c r="G892" s="2"/>
      <c r="H892" s="2"/>
      <c r="I892" s="2">
        <v>63.418599999999998</v>
      </c>
      <c r="J892" s="2">
        <v>301</v>
      </c>
      <c r="K892" s="2">
        <v>62.9998</v>
      </c>
      <c r="L892" s="2">
        <v>307</v>
      </c>
      <c r="M892" s="2">
        <v>97.024000000000001</v>
      </c>
      <c r="N892" s="2">
        <v>252</v>
      </c>
      <c r="O892" s="2">
        <v>99.442599999999999</v>
      </c>
      <c r="P892" s="2">
        <v>193</v>
      </c>
      <c r="Q892" s="2">
        <v>109.67829999999999</v>
      </c>
      <c r="R892" s="2">
        <v>312</v>
      </c>
      <c r="S892" s="2">
        <v>106.035</v>
      </c>
      <c r="T892" s="2">
        <v>263</v>
      </c>
      <c r="U892" s="2">
        <v>0.323405</v>
      </c>
      <c r="V892" s="2">
        <v>237</v>
      </c>
      <c r="W892" s="2">
        <v>2004</v>
      </c>
    </row>
    <row r="893" spans="1:23" ht="12.3" hidden="1" x14ac:dyDescent="0.4">
      <c r="A893" s="2" t="s">
        <v>246</v>
      </c>
      <c r="B893" s="2"/>
      <c r="C893" s="2"/>
      <c r="D893" s="2"/>
      <c r="E893" s="2"/>
      <c r="F893" s="2"/>
      <c r="G893" s="2"/>
      <c r="H893" s="2"/>
      <c r="I893" s="2">
        <v>71.843699999999998</v>
      </c>
      <c r="J893" s="2">
        <v>31</v>
      </c>
      <c r="K893" s="2">
        <v>69.760900000000007</v>
      </c>
      <c r="L893" s="2">
        <v>86</v>
      </c>
      <c r="M893" s="2">
        <v>96.744799999999998</v>
      </c>
      <c r="N893" s="2">
        <v>256</v>
      </c>
      <c r="O893" s="2">
        <v>96.573700000000002</v>
      </c>
      <c r="P893" s="2">
        <v>252</v>
      </c>
      <c r="Q893" s="2">
        <v>101.3206</v>
      </c>
      <c r="R893" s="2">
        <v>161</v>
      </c>
      <c r="S893" s="2">
        <v>103.047</v>
      </c>
      <c r="T893" s="2">
        <v>189</v>
      </c>
      <c r="U893" s="2">
        <v>0.32166899999999998</v>
      </c>
      <c r="V893" s="2">
        <v>238</v>
      </c>
      <c r="W893" s="2">
        <v>2004</v>
      </c>
    </row>
    <row r="894" spans="1:23" ht="12.3" hidden="1" x14ac:dyDescent="0.4">
      <c r="A894" s="2" t="s">
        <v>107</v>
      </c>
      <c r="B894" s="2"/>
      <c r="C894" s="2"/>
      <c r="D894" s="2"/>
      <c r="E894" s="2"/>
      <c r="F894" s="2"/>
      <c r="G894" s="2"/>
      <c r="H894" s="2"/>
      <c r="I894" s="2">
        <v>74.033299999999997</v>
      </c>
      <c r="J894" s="2">
        <v>10</v>
      </c>
      <c r="K894" s="2">
        <v>72.997900000000001</v>
      </c>
      <c r="L894" s="2">
        <v>12</v>
      </c>
      <c r="M894" s="2">
        <v>99.090699999999998</v>
      </c>
      <c r="N894" s="2">
        <v>208</v>
      </c>
      <c r="O894" s="2">
        <v>97.754000000000005</v>
      </c>
      <c r="P894" s="2">
        <v>229</v>
      </c>
      <c r="Q894" s="2">
        <v>102.9355</v>
      </c>
      <c r="R894" s="2">
        <v>196</v>
      </c>
      <c r="S894" s="2">
        <v>104.3098</v>
      </c>
      <c r="T894" s="2">
        <v>221</v>
      </c>
      <c r="U894" s="2">
        <v>0.32158799999999998</v>
      </c>
      <c r="V894" s="2">
        <v>239</v>
      </c>
      <c r="W894" s="2">
        <v>2004</v>
      </c>
    </row>
    <row r="895" spans="1:23" ht="12.3" hidden="1" x14ac:dyDescent="0.4">
      <c r="A895" s="2" t="s">
        <v>303</v>
      </c>
      <c r="B895" s="2"/>
      <c r="C895" s="2"/>
      <c r="D895" s="2"/>
      <c r="E895" s="2"/>
      <c r="F895" s="2"/>
      <c r="G895" s="2"/>
      <c r="H895" s="2"/>
      <c r="I895" s="2">
        <v>65.707999999999998</v>
      </c>
      <c r="J895" s="2">
        <v>236</v>
      </c>
      <c r="K895" s="2">
        <v>65.546499999999995</v>
      </c>
      <c r="L895" s="2">
        <v>242</v>
      </c>
      <c r="M895" s="2">
        <v>106.93259999999999</v>
      </c>
      <c r="N895" s="2">
        <v>60</v>
      </c>
      <c r="O895" s="2">
        <v>105.1127</v>
      </c>
      <c r="P895" s="2">
        <v>89</v>
      </c>
      <c r="Q895" s="2">
        <v>110.3289</v>
      </c>
      <c r="R895" s="2">
        <v>315</v>
      </c>
      <c r="S895" s="2">
        <v>112.1778</v>
      </c>
      <c r="T895" s="2">
        <v>323</v>
      </c>
      <c r="U895" s="2">
        <v>0.32123600000000002</v>
      </c>
      <c r="V895" s="2">
        <v>240</v>
      </c>
      <c r="W895" s="2">
        <v>2004</v>
      </c>
    </row>
    <row r="896" spans="1:23" ht="12.3" hidden="1" x14ac:dyDescent="0.4">
      <c r="A896" s="2" t="s">
        <v>114</v>
      </c>
      <c r="B896" s="2"/>
      <c r="C896" s="2"/>
      <c r="D896" s="2"/>
      <c r="E896" s="2"/>
      <c r="F896" s="2"/>
      <c r="G896" s="2"/>
      <c r="H896" s="2"/>
      <c r="I896" s="2">
        <v>70.121399999999994</v>
      </c>
      <c r="J896" s="2">
        <v>84</v>
      </c>
      <c r="K896" s="2">
        <v>69.485799999999998</v>
      </c>
      <c r="L896" s="2">
        <v>100</v>
      </c>
      <c r="M896" s="2">
        <v>105.2611</v>
      </c>
      <c r="N896" s="2">
        <v>82</v>
      </c>
      <c r="O896" s="2">
        <v>102.61190000000001</v>
      </c>
      <c r="P896" s="2">
        <v>132</v>
      </c>
      <c r="Q896" s="2">
        <v>110.3775</v>
      </c>
      <c r="R896" s="2">
        <v>316</v>
      </c>
      <c r="S896" s="2">
        <v>109.7069</v>
      </c>
      <c r="T896" s="2">
        <v>305</v>
      </c>
      <c r="U896" s="2">
        <v>0.31672299999999998</v>
      </c>
      <c r="V896" s="2">
        <v>241</v>
      </c>
      <c r="W896" s="2">
        <v>2004</v>
      </c>
    </row>
    <row r="897" spans="1:23" ht="12.3" hidden="1" x14ac:dyDescent="0.4">
      <c r="A897" s="2" t="s">
        <v>341</v>
      </c>
      <c r="B897" s="2"/>
      <c r="C897" s="2"/>
      <c r="D897" s="2"/>
      <c r="E897" s="2"/>
      <c r="F897" s="2"/>
      <c r="G897" s="2"/>
      <c r="H897" s="2"/>
      <c r="I897" s="2">
        <v>63.5747</v>
      </c>
      <c r="J897" s="2">
        <v>297</v>
      </c>
      <c r="K897" s="2">
        <v>63.389899999999997</v>
      </c>
      <c r="L897" s="2">
        <v>302</v>
      </c>
      <c r="M897" s="2">
        <v>95.986500000000007</v>
      </c>
      <c r="N897" s="2">
        <v>264</v>
      </c>
      <c r="O897" s="2">
        <v>92.993499999999997</v>
      </c>
      <c r="P897" s="2">
        <v>293</v>
      </c>
      <c r="Q897" s="2">
        <v>94.822100000000006</v>
      </c>
      <c r="R897" s="2">
        <v>40</v>
      </c>
      <c r="S897" s="2">
        <v>99.515500000000003</v>
      </c>
      <c r="T897" s="2">
        <v>124</v>
      </c>
      <c r="U897" s="2">
        <v>0.31442500000000001</v>
      </c>
      <c r="V897" s="2">
        <v>242</v>
      </c>
      <c r="W897" s="2">
        <v>2004</v>
      </c>
    </row>
    <row r="898" spans="1:23" ht="12.3" hidden="1" x14ac:dyDescent="0.4">
      <c r="A898" s="2" t="s">
        <v>283</v>
      </c>
      <c r="B898" s="2"/>
      <c r="C898" s="2"/>
      <c r="D898" s="2"/>
      <c r="E898" s="2"/>
      <c r="F898" s="2"/>
      <c r="G898" s="2"/>
      <c r="H898" s="2"/>
      <c r="I898" s="2">
        <v>68.626800000000003</v>
      </c>
      <c r="J898" s="2">
        <v>136</v>
      </c>
      <c r="K898" s="2">
        <v>68.41</v>
      </c>
      <c r="L898" s="2">
        <v>134</v>
      </c>
      <c r="M898" s="2">
        <v>99.343299999999999</v>
      </c>
      <c r="N898" s="2">
        <v>201</v>
      </c>
      <c r="O898" s="2">
        <v>98.770099999999999</v>
      </c>
      <c r="P898" s="2">
        <v>211</v>
      </c>
      <c r="Q898" s="2">
        <v>104.12779999999999</v>
      </c>
      <c r="R898" s="2">
        <v>239</v>
      </c>
      <c r="S898" s="2">
        <v>105.7654</v>
      </c>
      <c r="T898" s="2">
        <v>256</v>
      </c>
      <c r="U898" s="2">
        <v>0.31282799999999999</v>
      </c>
      <c r="V898" s="2">
        <v>243</v>
      </c>
      <c r="W898" s="2">
        <v>2004</v>
      </c>
    </row>
    <row r="899" spans="1:23" ht="12.3" hidden="1" x14ac:dyDescent="0.4">
      <c r="A899" s="2" t="s">
        <v>257</v>
      </c>
      <c r="B899" s="2"/>
      <c r="C899" s="2"/>
      <c r="D899" s="2"/>
      <c r="E899" s="2"/>
      <c r="F899" s="2"/>
      <c r="G899" s="2"/>
      <c r="H899" s="2"/>
      <c r="I899" s="2">
        <v>70.448099999999997</v>
      </c>
      <c r="J899" s="2">
        <v>70</v>
      </c>
      <c r="K899" s="2">
        <v>69.748000000000005</v>
      </c>
      <c r="L899" s="2">
        <v>87</v>
      </c>
      <c r="M899" s="2">
        <v>101.1305</v>
      </c>
      <c r="N899" s="2">
        <v>159</v>
      </c>
      <c r="O899" s="2">
        <v>103.5176</v>
      </c>
      <c r="P899" s="2">
        <v>108</v>
      </c>
      <c r="Q899" s="2">
        <v>108.0665</v>
      </c>
      <c r="R899" s="2">
        <v>301</v>
      </c>
      <c r="S899" s="2">
        <v>110.90349999999999</v>
      </c>
      <c r="T899" s="2">
        <v>315</v>
      </c>
      <c r="U899" s="2">
        <v>0.31161699999999998</v>
      </c>
      <c r="V899" s="2">
        <v>244</v>
      </c>
      <c r="W899" s="2">
        <v>2004</v>
      </c>
    </row>
    <row r="900" spans="1:23" ht="12.3" hidden="1" x14ac:dyDescent="0.4">
      <c r="A900" s="2" t="s">
        <v>202</v>
      </c>
      <c r="B900" s="2"/>
      <c r="C900" s="2"/>
      <c r="D900" s="2"/>
      <c r="E900" s="2"/>
      <c r="F900" s="2"/>
      <c r="G900" s="2"/>
      <c r="H900" s="2"/>
      <c r="I900" s="2">
        <v>69.951700000000002</v>
      </c>
      <c r="J900" s="2">
        <v>92</v>
      </c>
      <c r="K900" s="2">
        <v>69.599900000000005</v>
      </c>
      <c r="L900" s="2">
        <v>95</v>
      </c>
      <c r="M900" s="2">
        <v>95.136899999999997</v>
      </c>
      <c r="N900" s="2">
        <v>273</v>
      </c>
      <c r="O900" s="2">
        <v>93.046000000000006</v>
      </c>
      <c r="P900" s="2">
        <v>292</v>
      </c>
      <c r="Q900" s="2">
        <v>103.1635</v>
      </c>
      <c r="R900" s="2">
        <v>206</v>
      </c>
      <c r="S900" s="2">
        <v>99.696200000000005</v>
      </c>
      <c r="T900" s="2">
        <v>126</v>
      </c>
      <c r="U900" s="2">
        <v>0.311336</v>
      </c>
      <c r="V900" s="2">
        <v>245</v>
      </c>
      <c r="W900" s="2">
        <v>2004</v>
      </c>
    </row>
    <row r="901" spans="1:23" ht="12.3" hidden="1" x14ac:dyDescent="0.4">
      <c r="A901" s="2" t="s">
        <v>306</v>
      </c>
      <c r="B901" s="2"/>
      <c r="C901" s="2"/>
      <c r="D901" s="2"/>
      <c r="E901" s="2"/>
      <c r="F901" s="2"/>
      <c r="G901" s="2"/>
      <c r="H901" s="2"/>
      <c r="I901" s="2">
        <v>69.182599999999994</v>
      </c>
      <c r="J901" s="2">
        <v>114</v>
      </c>
      <c r="K901" s="2">
        <v>66.977699999999999</v>
      </c>
      <c r="L901" s="2">
        <v>194</v>
      </c>
      <c r="M901" s="2">
        <v>96.6768</v>
      </c>
      <c r="N901" s="2">
        <v>258</v>
      </c>
      <c r="O901" s="2">
        <v>98.021299999999997</v>
      </c>
      <c r="P901" s="2">
        <v>224</v>
      </c>
      <c r="Q901" s="2">
        <v>105.1199</v>
      </c>
      <c r="R901" s="2">
        <v>257</v>
      </c>
      <c r="S901" s="2">
        <v>105.35899999999999</v>
      </c>
      <c r="T901" s="2">
        <v>246</v>
      </c>
      <c r="U901" s="2">
        <v>0.30360999999999999</v>
      </c>
      <c r="V901" s="2">
        <v>246</v>
      </c>
      <c r="W901" s="2">
        <v>2004</v>
      </c>
    </row>
    <row r="902" spans="1:23" ht="12.3" hidden="1" x14ac:dyDescent="0.4">
      <c r="A902" s="2" t="s">
        <v>278</v>
      </c>
      <c r="B902" s="2"/>
      <c r="C902" s="2"/>
      <c r="D902" s="2"/>
      <c r="E902" s="2"/>
      <c r="F902" s="2"/>
      <c r="G902" s="2"/>
      <c r="H902" s="2"/>
      <c r="I902" s="2">
        <v>62.712000000000003</v>
      </c>
      <c r="J902" s="2">
        <v>309</v>
      </c>
      <c r="K902" s="2">
        <v>62.597299999999997</v>
      </c>
      <c r="L902" s="2">
        <v>309</v>
      </c>
      <c r="M902" s="2">
        <v>94.469700000000003</v>
      </c>
      <c r="N902" s="2">
        <v>280</v>
      </c>
      <c r="O902" s="2">
        <v>97.214600000000004</v>
      </c>
      <c r="P902" s="2">
        <v>240</v>
      </c>
      <c r="Q902" s="2">
        <v>107.0074</v>
      </c>
      <c r="R902" s="2">
        <v>289</v>
      </c>
      <c r="S902" s="2">
        <v>104.5222</v>
      </c>
      <c r="T902" s="2">
        <v>228</v>
      </c>
      <c r="U902" s="2">
        <v>0.30290499999999998</v>
      </c>
      <c r="V902" s="2">
        <v>247</v>
      </c>
      <c r="W902" s="2">
        <v>2004</v>
      </c>
    </row>
    <row r="903" spans="1:23" ht="12.3" hidden="1" x14ac:dyDescent="0.4">
      <c r="A903" s="2" t="s">
        <v>230</v>
      </c>
      <c r="B903" s="2"/>
      <c r="C903" s="2"/>
      <c r="D903" s="2"/>
      <c r="E903" s="2"/>
      <c r="F903" s="2"/>
      <c r="G903" s="2"/>
      <c r="H903" s="2"/>
      <c r="I903" s="2">
        <v>63.3581</v>
      </c>
      <c r="J903" s="2">
        <v>302</v>
      </c>
      <c r="K903" s="2">
        <v>64.792599999999993</v>
      </c>
      <c r="L903" s="2">
        <v>271</v>
      </c>
      <c r="M903" s="2">
        <v>91.428100000000001</v>
      </c>
      <c r="N903" s="2">
        <v>300</v>
      </c>
      <c r="O903" s="2">
        <v>94.1614</v>
      </c>
      <c r="P903" s="2">
        <v>283</v>
      </c>
      <c r="Q903" s="2">
        <v>105.6875</v>
      </c>
      <c r="R903" s="2">
        <v>270</v>
      </c>
      <c r="S903" s="2">
        <v>101.26690000000001</v>
      </c>
      <c r="T903" s="2">
        <v>163</v>
      </c>
      <c r="U903" s="2">
        <v>0.30224699999999999</v>
      </c>
      <c r="V903" s="2">
        <v>248</v>
      </c>
      <c r="W903" s="2">
        <v>2004</v>
      </c>
    </row>
    <row r="904" spans="1:23" ht="12.3" hidden="1" x14ac:dyDescent="0.4">
      <c r="A904" s="2" t="s">
        <v>234</v>
      </c>
      <c r="B904" s="2"/>
      <c r="C904" s="2"/>
      <c r="D904" s="2"/>
      <c r="E904" s="2"/>
      <c r="F904" s="2"/>
      <c r="G904" s="2"/>
      <c r="H904" s="2"/>
      <c r="I904" s="2">
        <v>70.255799999999994</v>
      </c>
      <c r="J904" s="2">
        <v>76</v>
      </c>
      <c r="K904" s="2">
        <v>69.110299999999995</v>
      </c>
      <c r="L904" s="2">
        <v>114</v>
      </c>
      <c r="M904" s="2">
        <v>96.88</v>
      </c>
      <c r="N904" s="2">
        <v>253</v>
      </c>
      <c r="O904" s="2">
        <v>97.073599999999999</v>
      </c>
      <c r="P904" s="2">
        <v>242</v>
      </c>
      <c r="Q904" s="2">
        <v>104.35129999999999</v>
      </c>
      <c r="R904" s="2">
        <v>244</v>
      </c>
      <c r="S904" s="2">
        <v>104.4169</v>
      </c>
      <c r="T904" s="2">
        <v>225</v>
      </c>
      <c r="U904" s="2">
        <v>0.30182799999999999</v>
      </c>
      <c r="V904" s="2">
        <v>249</v>
      </c>
      <c r="W904" s="2">
        <v>2004</v>
      </c>
    </row>
    <row r="905" spans="1:23" ht="12.3" hidden="1" x14ac:dyDescent="0.4">
      <c r="A905" s="2" t="s">
        <v>218</v>
      </c>
      <c r="B905" s="2"/>
      <c r="C905" s="2"/>
      <c r="D905" s="2"/>
      <c r="E905" s="2"/>
      <c r="F905" s="2"/>
      <c r="G905" s="2"/>
      <c r="H905" s="2"/>
      <c r="I905" s="2">
        <v>73.515100000000004</v>
      </c>
      <c r="J905" s="2">
        <v>16</v>
      </c>
      <c r="K905" s="2">
        <v>72.430300000000003</v>
      </c>
      <c r="L905" s="2">
        <v>21</v>
      </c>
      <c r="M905" s="2">
        <v>101.6784</v>
      </c>
      <c r="N905" s="2">
        <v>145</v>
      </c>
      <c r="O905" s="2">
        <v>97.916600000000003</v>
      </c>
      <c r="P905" s="2">
        <v>226</v>
      </c>
      <c r="Q905" s="2">
        <v>103.5891</v>
      </c>
      <c r="R905" s="2">
        <v>219</v>
      </c>
      <c r="S905" s="2">
        <v>105.44710000000001</v>
      </c>
      <c r="T905" s="2">
        <v>250</v>
      </c>
      <c r="U905" s="2">
        <v>0.29899799999999999</v>
      </c>
      <c r="V905" s="2">
        <v>250</v>
      </c>
      <c r="W905" s="2">
        <v>2004</v>
      </c>
    </row>
    <row r="906" spans="1:23" ht="12.3" hidden="1" x14ac:dyDescent="0.4">
      <c r="A906" s="2" t="s">
        <v>315</v>
      </c>
      <c r="B906" s="2"/>
      <c r="C906" s="2"/>
      <c r="D906" s="2"/>
      <c r="E906" s="2"/>
      <c r="F906" s="2"/>
      <c r="G906" s="2"/>
      <c r="H906" s="2"/>
      <c r="I906" s="2">
        <v>65.578100000000006</v>
      </c>
      <c r="J906" s="2">
        <v>241</v>
      </c>
      <c r="K906" s="2">
        <v>66.145700000000005</v>
      </c>
      <c r="L906" s="2">
        <v>218</v>
      </c>
      <c r="M906" s="2">
        <v>91.320300000000003</v>
      </c>
      <c r="N906" s="2">
        <v>302</v>
      </c>
      <c r="O906" s="2">
        <v>90.007099999999994</v>
      </c>
      <c r="P906" s="2">
        <v>308</v>
      </c>
      <c r="Q906" s="2">
        <v>94.998800000000003</v>
      </c>
      <c r="R906" s="2">
        <v>42</v>
      </c>
      <c r="S906" s="2">
        <v>97.284999999999997</v>
      </c>
      <c r="T906" s="2">
        <v>76</v>
      </c>
      <c r="U906" s="2">
        <v>0.290244</v>
      </c>
      <c r="V906" s="2">
        <v>251</v>
      </c>
      <c r="W906" s="2">
        <v>2004</v>
      </c>
    </row>
    <row r="907" spans="1:23" ht="12.3" hidden="1" x14ac:dyDescent="0.4">
      <c r="A907" s="2" t="s">
        <v>237</v>
      </c>
      <c r="B907" s="2"/>
      <c r="C907" s="2"/>
      <c r="D907" s="2"/>
      <c r="E907" s="2"/>
      <c r="F907" s="2"/>
      <c r="G907" s="2"/>
      <c r="H907" s="2"/>
      <c r="I907" s="2">
        <v>63.639800000000001</v>
      </c>
      <c r="J907" s="2">
        <v>296</v>
      </c>
      <c r="K907" s="2">
        <v>64.179400000000001</v>
      </c>
      <c r="L907" s="2">
        <v>286</v>
      </c>
      <c r="M907" s="2">
        <v>98.873999999999995</v>
      </c>
      <c r="N907" s="2">
        <v>216</v>
      </c>
      <c r="O907" s="2">
        <v>99.761600000000001</v>
      </c>
      <c r="P907" s="2">
        <v>184</v>
      </c>
      <c r="Q907" s="2">
        <v>111.3043</v>
      </c>
      <c r="R907" s="2">
        <v>319</v>
      </c>
      <c r="S907" s="2">
        <v>107.9966</v>
      </c>
      <c r="T907" s="2">
        <v>290</v>
      </c>
      <c r="U907" s="2">
        <v>0.28656399999999999</v>
      </c>
      <c r="V907" s="2">
        <v>252</v>
      </c>
      <c r="W907" s="2">
        <v>2004</v>
      </c>
    </row>
    <row r="908" spans="1:23" ht="12.3" hidden="1" x14ac:dyDescent="0.4">
      <c r="A908" s="2" t="s">
        <v>354</v>
      </c>
      <c r="B908" s="2"/>
      <c r="C908" s="2"/>
      <c r="D908" s="2"/>
      <c r="E908" s="2"/>
      <c r="F908" s="2"/>
      <c r="G908" s="2"/>
      <c r="H908" s="2"/>
      <c r="I908" s="2">
        <v>66.251599999999996</v>
      </c>
      <c r="J908" s="2">
        <v>223</v>
      </c>
      <c r="K908" s="2">
        <v>64.713300000000004</v>
      </c>
      <c r="L908" s="2">
        <v>274</v>
      </c>
      <c r="M908" s="2">
        <v>101.9958</v>
      </c>
      <c r="N908" s="2">
        <v>137</v>
      </c>
      <c r="O908" s="2">
        <v>99.912800000000004</v>
      </c>
      <c r="P908" s="2">
        <v>179</v>
      </c>
      <c r="Q908" s="2">
        <v>105.696</v>
      </c>
      <c r="R908" s="2">
        <v>271</v>
      </c>
      <c r="S908" s="2">
        <v>108.76730000000001</v>
      </c>
      <c r="T908" s="2">
        <v>300</v>
      </c>
      <c r="U908" s="2">
        <v>0.273588</v>
      </c>
      <c r="V908" s="2">
        <v>253</v>
      </c>
      <c r="W908" s="2">
        <v>2004</v>
      </c>
    </row>
    <row r="909" spans="1:23" ht="12.3" hidden="1" x14ac:dyDescent="0.4">
      <c r="A909" s="2" t="s">
        <v>106</v>
      </c>
      <c r="B909" s="2"/>
      <c r="C909" s="2"/>
      <c r="D909" s="2"/>
      <c r="E909" s="2"/>
      <c r="F909" s="2"/>
      <c r="G909" s="2"/>
      <c r="H909" s="2"/>
      <c r="I909" s="2">
        <v>70.724500000000006</v>
      </c>
      <c r="J909" s="2">
        <v>59</v>
      </c>
      <c r="K909" s="2">
        <v>71.359300000000005</v>
      </c>
      <c r="L909" s="2">
        <v>35</v>
      </c>
      <c r="M909" s="2">
        <v>95.376300000000001</v>
      </c>
      <c r="N909" s="2">
        <v>271</v>
      </c>
      <c r="O909" s="2">
        <v>98.261300000000006</v>
      </c>
      <c r="P909" s="2">
        <v>218</v>
      </c>
      <c r="Q909" s="2">
        <v>111.71</v>
      </c>
      <c r="R909" s="2">
        <v>321</v>
      </c>
      <c r="S909" s="2">
        <v>107.01690000000001</v>
      </c>
      <c r="T909" s="2">
        <v>277</v>
      </c>
      <c r="U909" s="2">
        <v>0.27257399999999998</v>
      </c>
      <c r="V909" s="2">
        <v>254</v>
      </c>
      <c r="W909" s="2">
        <v>2004</v>
      </c>
    </row>
    <row r="910" spans="1:23" ht="12.3" hidden="1" x14ac:dyDescent="0.4">
      <c r="A910" s="2" t="s">
        <v>317</v>
      </c>
      <c r="B910" s="2"/>
      <c r="C910" s="2"/>
      <c r="D910" s="2"/>
      <c r="E910" s="2"/>
      <c r="F910" s="2"/>
      <c r="G910" s="2"/>
      <c r="H910" s="2"/>
      <c r="I910" s="2">
        <v>68.0608</v>
      </c>
      <c r="J910" s="2">
        <v>158</v>
      </c>
      <c r="K910" s="2">
        <v>69.576999999999998</v>
      </c>
      <c r="L910" s="2">
        <v>96</v>
      </c>
      <c r="M910" s="2">
        <v>95.109899999999996</v>
      </c>
      <c r="N910" s="2">
        <v>274</v>
      </c>
      <c r="O910" s="2">
        <v>95.177400000000006</v>
      </c>
      <c r="P910" s="2">
        <v>269</v>
      </c>
      <c r="Q910" s="2">
        <v>106.0945</v>
      </c>
      <c r="R910" s="2">
        <v>274</v>
      </c>
      <c r="S910" s="2">
        <v>103.7094</v>
      </c>
      <c r="T910" s="2">
        <v>203</v>
      </c>
      <c r="U910" s="2">
        <v>0.27145000000000002</v>
      </c>
      <c r="V910" s="2">
        <v>255</v>
      </c>
      <c r="W910" s="2">
        <v>2004</v>
      </c>
    </row>
    <row r="911" spans="1:23" ht="12.3" hidden="1" x14ac:dyDescent="0.4">
      <c r="A911" s="2" t="s">
        <v>268</v>
      </c>
      <c r="B911" s="2"/>
      <c r="C911" s="2"/>
      <c r="D911" s="2"/>
      <c r="E911" s="2"/>
      <c r="F911" s="2"/>
      <c r="G911" s="2"/>
      <c r="H911" s="2"/>
      <c r="I911" s="2">
        <v>69.006299999999996</v>
      </c>
      <c r="J911" s="2">
        <v>123</v>
      </c>
      <c r="K911" s="2">
        <v>68.451800000000006</v>
      </c>
      <c r="L911" s="2">
        <v>132</v>
      </c>
      <c r="M911" s="2">
        <v>100.8642</v>
      </c>
      <c r="N911" s="2">
        <v>167</v>
      </c>
      <c r="O911" s="2">
        <v>103.3511</v>
      </c>
      <c r="P911" s="2">
        <v>115</v>
      </c>
      <c r="Q911" s="2">
        <v>113.6943</v>
      </c>
      <c r="R911" s="2">
        <v>326</v>
      </c>
      <c r="S911" s="2">
        <v>112.7435</v>
      </c>
      <c r="T911" s="2">
        <v>325</v>
      </c>
      <c r="U911" s="2">
        <v>0.26888200000000001</v>
      </c>
      <c r="V911" s="2">
        <v>256</v>
      </c>
      <c r="W911" s="2">
        <v>2004</v>
      </c>
    </row>
    <row r="912" spans="1:23" ht="12.3" hidden="1" x14ac:dyDescent="0.4">
      <c r="A912" s="2" t="s">
        <v>280</v>
      </c>
      <c r="B912" s="2"/>
      <c r="C912" s="2"/>
      <c r="D912" s="2"/>
      <c r="E912" s="2"/>
      <c r="F912" s="2"/>
      <c r="G912" s="2"/>
      <c r="H912" s="2"/>
      <c r="I912" s="2">
        <v>70.865399999999994</v>
      </c>
      <c r="J912" s="2">
        <v>54</v>
      </c>
      <c r="K912" s="2">
        <v>70.539400000000001</v>
      </c>
      <c r="L912" s="2">
        <v>59</v>
      </c>
      <c r="M912" s="2">
        <v>98.971100000000007</v>
      </c>
      <c r="N912" s="2">
        <v>213</v>
      </c>
      <c r="O912" s="2">
        <v>97.432400000000001</v>
      </c>
      <c r="P912" s="2">
        <v>235</v>
      </c>
      <c r="Q912" s="2">
        <v>107.6284</v>
      </c>
      <c r="R912" s="2">
        <v>297</v>
      </c>
      <c r="S912" s="2">
        <v>106.3779</v>
      </c>
      <c r="T912" s="2">
        <v>267</v>
      </c>
      <c r="U912" s="2">
        <v>0.26695200000000002</v>
      </c>
      <c r="V912" s="2">
        <v>257</v>
      </c>
      <c r="W912" s="2">
        <v>2004</v>
      </c>
    </row>
    <row r="913" spans="1:23" ht="12.3" hidden="1" x14ac:dyDescent="0.4">
      <c r="A913" s="2" t="s">
        <v>259</v>
      </c>
      <c r="B913" s="2"/>
      <c r="C913" s="2"/>
      <c r="D913" s="2"/>
      <c r="E913" s="2"/>
      <c r="F913" s="2"/>
      <c r="G913" s="2"/>
      <c r="H913" s="2"/>
      <c r="I913" s="2">
        <v>75.575400000000002</v>
      </c>
      <c r="J913" s="2">
        <v>6</v>
      </c>
      <c r="K913" s="2">
        <v>73.884699999999995</v>
      </c>
      <c r="L913" s="2">
        <v>9</v>
      </c>
      <c r="M913" s="2">
        <v>95.508099999999999</v>
      </c>
      <c r="N913" s="2">
        <v>270</v>
      </c>
      <c r="O913" s="2">
        <v>94.782799999999995</v>
      </c>
      <c r="P913" s="2">
        <v>276</v>
      </c>
      <c r="Q913" s="2">
        <v>101.8317</v>
      </c>
      <c r="R913" s="2">
        <v>173</v>
      </c>
      <c r="S913" s="2">
        <v>103.6322</v>
      </c>
      <c r="T913" s="2">
        <v>198</v>
      </c>
      <c r="U913" s="2">
        <v>0.263766</v>
      </c>
      <c r="V913" s="2">
        <v>258</v>
      </c>
      <c r="W913" s="2">
        <v>2004</v>
      </c>
    </row>
    <row r="914" spans="1:23" ht="12.3" hidden="1" x14ac:dyDescent="0.4">
      <c r="A914" s="2" t="s">
        <v>265</v>
      </c>
      <c r="B914" s="2"/>
      <c r="C914" s="2"/>
      <c r="D914" s="2"/>
      <c r="E914" s="2"/>
      <c r="F914" s="2"/>
      <c r="G914" s="2"/>
      <c r="H914" s="2"/>
      <c r="I914" s="2">
        <v>60.485900000000001</v>
      </c>
      <c r="J914" s="2">
        <v>319</v>
      </c>
      <c r="K914" s="2">
        <v>60.455500000000001</v>
      </c>
      <c r="L914" s="2">
        <v>319</v>
      </c>
      <c r="M914" s="2">
        <v>99.941199999999995</v>
      </c>
      <c r="N914" s="2">
        <v>182</v>
      </c>
      <c r="O914" s="2">
        <v>98.241299999999995</v>
      </c>
      <c r="P914" s="2">
        <v>219</v>
      </c>
      <c r="Q914" s="2">
        <v>101.2662</v>
      </c>
      <c r="R914" s="2">
        <v>160</v>
      </c>
      <c r="S914" s="2">
        <v>107.5059</v>
      </c>
      <c r="T914" s="2">
        <v>280</v>
      </c>
      <c r="U914" s="2">
        <v>0.26185199999999997</v>
      </c>
      <c r="V914" s="2">
        <v>259</v>
      </c>
      <c r="W914" s="2">
        <v>2004</v>
      </c>
    </row>
    <row r="915" spans="1:23" ht="12.3" hidden="1" x14ac:dyDescent="0.4">
      <c r="A915" s="2" t="s">
        <v>330</v>
      </c>
      <c r="B915" s="2"/>
      <c r="C915" s="2"/>
      <c r="D915" s="2"/>
      <c r="E915" s="2"/>
      <c r="F915" s="2"/>
      <c r="G915" s="2"/>
      <c r="H915" s="2"/>
      <c r="I915" s="2">
        <v>71.359800000000007</v>
      </c>
      <c r="J915" s="2">
        <v>43</v>
      </c>
      <c r="K915" s="2">
        <v>70.902199999999993</v>
      </c>
      <c r="L915" s="2">
        <v>48</v>
      </c>
      <c r="M915" s="2">
        <v>98.101100000000002</v>
      </c>
      <c r="N915" s="2">
        <v>230</v>
      </c>
      <c r="O915" s="2">
        <v>96.1999</v>
      </c>
      <c r="P915" s="2">
        <v>257</v>
      </c>
      <c r="Q915" s="2">
        <v>98.197599999999994</v>
      </c>
      <c r="R915" s="2">
        <v>97</v>
      </c>
      <c r="S915" s="2">
        <v>105.42570000000001</v>
      </c>
      <c r="T915" s="2">
        <v>248</v>
      </c>
      <c r="U915" s="2">
        <v>0.25862000000000002</v>
      </c>
      <c r="V915" s="2">
        <v>260</v>
      </c>
      <c r="W915" s="2">
        <v>2004</v>
      </c>
    </row>
    <row r="916" spans="1:23" ht="12.3" hidden="1" x14ac:dyDescent="0.4">
      <c r="A916" s="2" t="s">
        <v>294</v>
      </c>
      <c r="B916" s="2"/>
      <c r="C916" s="2"/>
      <c r="D916" s="2"/>
      <c r="E916" s="2"/>
      <c r="F916" s="2"/>
      <c r="G916" s="2"/>
      <c r="H916" s="2"/>
      <c r="I916" s="2">
        <v>71.982299999999995</v>
      </c>
      <c r="J916" s="2">
        <v>28</v>
      </c>
      <c r="K916" s="2">
        <v>71.455100000000002</v>
      </c>
      <c r="L916" s="2">
        <v>33</v>
      </c>
      <c r="M916" s="2">
        <v>98.310699999999997</v>
      </c>
      <c r="N916" s="2">
        <v>228</v>
      </c>
      <c r="O916" s="2">
        <v>100.57689999999999</v>
      </c>
      <c r="P916" s="2">
        <v>170</v>
      </c>
      <c r="Q916" s="2">
        <v>108.342</v>
      </c>
      <c r="R916" s="2">
        <v>304</v>
      </c>
      <c r="S916" s="2">
        <v>110.316</v>
      </c>
      <c r="T916" s="2">
        <v>311</v>
      </c>
      <c r="U916" s="2">
        <v>0.25675500000000001</v>
      </c>
      <c r="V916" s="2">
        <v>261</v>
      </c>
      <c r="W916" s="2">
        <v>2004</v>
      </c>
    </row>
    <row r="917" spans="1:23" ht="12.3" hidden="1" x14ac:dyDescent="0.4">
      <c r="A917" s="2" t="s">
        <v>349</v>
      </c>
      <c r="B917" s="2"/>
      <c r="C917" s="2"/>
      <c r="D917" s="2"/>
      <c r="E917" s="2"/>
      <c r="F917" s="2"/>
      <c r="G917" s="2"/>
      <c r="H917" s="2"/>
      <c r="I917" s="2">
        <v>67.355800000000002</v>
      </c>
      <c r="J917" s="2">
        <v>187</v>
      </c>
      <c r="K917" s="2">
        <v>66.440399999999997</v>
      </c>
      <c r="L917" s="2">
        <v>206</v>
      </c>
      <c r="M917" s="2">
        <v>97.637200000000007</v>
      </c>
      <c r="N917" s="2">
        <v>239</v>
      </c>
      <c r="O917" s="2">
        <v>95.412499999999994</v>
      </c>
      <c r="P917" s="2">
        <v>266</v>
      </c>
      <c r="Q917" s="2">
        <v>102.97</v>
      </c>
      <c r="R917" s="2">
        <v>199</v>
      </c>
      <c r="S917" s="2">
        <v>104.7054</v>
      </c>
      <c r="T917" s="2">
        <v>234</v>
      </c>
      <c r="U917" s="2">
        <v>0.25562699999999999</v>
      </c>
      <c r="V917" s="2">
        <v>262</v>
      </c>
      <c r="W917" s="2">
        <v>2004</v>
      </c>
    </row>
    <row r="918" spans="1:23" ht="12.3" hidden="1" x14ac:dyDescent="0.4">
      <c r="A918" s="2" t="s">
        <v>332</v>
      </c>
      <c r="B918" s="2"/>
      <c r="C918" s="2"/>
      <c r="D918" s="2"/>
      <c r="E918" s="2"/>
      <c r="F918" s="2"/>
      <c r="G918" s="2"/>
      <c r="H918" s="2"/>
      <c r="I918" s="2">
        <v>65.668300000000002</v>
      </c>
      <c r="J918" s="2">
        <v>238</v>
      </c>
      <c r="K918" s="2">
        <v>65.268000000000001</v>
      </c>
      <c r="L918" s="2">
        <v>254</v>
      </c>
      <c r="M918" s="2">
        <v>102.0218</v>
      </c>
      <c r="N918" s="2">
        <v>135</v>
      </c>
      <c r="O918" s="2">
        <v>99.071200000000005</v>
      </c>
      <c r="P918" s="2">
        <v>206</v>
      </c>
      <c r="Q918" s="2">
        <v>106.59059999999999</v>
      </c>
      <c r="R918" s="2">
        <v>284</v>
      </c>
      <c r="S918" s="2">
        <v>108.7642</v>
      </c>
      <c r="T918" s="2">
        <v>299</v>
      </c>
      <c r="U918" s="2">
        <v>0.254747</v>
      </c>
      <c r="V918" s="2">
        <v>263</v>
      </c>
      <c r="W918" s="2">
        <v>2004</v>
      </c>
    </row>
    <row r="919" spans="1:23" ht="12.3" hidden="1" x14ac:dyDescent="0.4">
      <c r="A919" s="2" t="s">
        <v>249</v>
      </c>
      <c r="B919" s="2"/>
      <c r="C919" s="2"/>
      <c r="D919" s="2"/>
      <c r="E919" s="2"/>
      <c r="F919" s="2"/>
      <c r="G919" s="2"/>
      <c r="H919" s="2"/>
      <c r="I919" s="2">
        <v>68.263400000000004</v>
      </c>
      <c r="J919" s="2">
        <v>149</v>
      </c>
      <c r="K919" s="2">
        <v>68.622699999999995</v>
      </c>
      <c r="L919" s="2">
        <v>128</v>
      </c>
      <c r="M919" s="2">
        <v>90.500299999999996</v>
      </c>
      <c r="N919" s="2">
        <v>307</v>
      </c>
      <c r="O919" s="2">
        <v>94.477400000000003</v>
      </c>
      <c r="P919" s="2">
        <v>281</v>
      </c>
      <c r="Q919" s="2">
        <v>108.1776</v>
      </c>
      <c r="R919" s="2">
        <v>302</v>
      </c>
      <c r="S919" s="2">
        <v>103.7602</v>
      </c>
      <c r="T919" s="2">
        <v>205</v>
      </c>
      <c r="U919" s="2">
        <v>0.25392300000000001</v>
      </c>
      <c r="V919" s="2">
        <v>264</v>
      </c>
      <c r="W919" s="2">
        <v>2004</v>
      </c>
    </row>
    <row r="920" spans="1:23" ht="12.3" hidden="1" x14ac:dyDescent="0.4">
      <c r="A920" s="2" t="s">
        <v>208</v>
      </c>
      <c r="B920" s="2"/>
      <c r="C920" s="2"/>
      <c r="D920" s="2"/>
      <c r="E920" s="2"/>
      <c r="F920" s="2"/>
      <c r="G920" s="2"/>
      <c r="H920" s="2"/>
      <c r="I920" s="2">
        <v>60.602499999999999</v>
      </c>
      <c r="J920" s="2">
        <v>317</v>
      </c>
      <c r="K920" s="2">
        <v>60.563099999999999</v>
      </c>
      <c r="L920" s="2">
        <v>317</v>
      </c>
      <c r="M920" s="2">
        <v>98.796700000000001</v>
      </c>
      <c r="N920" s="2">
        <v>217</v>
      </c>
      <c r="O920" s="2">
        <v>97.140100000000004</v>
      </c>
      <c r="P920" s="2">
        <v>241</v>
      </c>
      <c r="Q920" s="2">
        <v>108.789</v>
      </c>
      <c r="R920" s="2">
        <v>305</v>
      </c>
      <c r="S920" s="2">
        <v>106.95050000000001</v>
      </c>
      <c r="T920" s="2">
        <v>275</v>
      </c>
      <c r="U920" s="2">
        <v>0.24853600000000001</v>
      </c>
      <c r="V920" s="2">
        <v>265</v>
      </c>
      <c r="W920" s="2">
        <v>2004</v>
      </c>
    </row>
    <row r="921" spans="1:23" ht="12.3" hidden="1" x14ac:dyDescent="0.4">
      <c r="A921" s="2" t="s">
        <v>271</v>
      </c>
      <c r="B921" s="2"/>
      <c r="C921" s="2"/>
      <c r="D921" s="2"/>
      <c r="E921" s="2"/>
      <c r="F921" s="2"/>
      <c r="G921" s="2"/>
      <c r="H921" s="2"/>
      <c r="I921" s="2">
        <v>69.194000000000003</v>
      </c>
      <c r="J921" s="2">
        <v>113</v>
      </c>
      <c r="K921" s="2">
        <v>69.437799999999996</v>
      </c>
      <c r="L921" s="2">
        <v>101</v>
      </c>
      <c r="M921" s="2">
        <v>94.830799999999996</v>
      </c>
      <c r="N921" s="2">
        <v>279</v>
      </c>
      <c r="O921" s="2">
        <v>94.048199999999994</v>
      </c>
      <c r="P921" s="2">
        <v>286</v>
      </c>
      <c r="Q921" s="2">
        <v>101.20229999999999</v>
      </c>
      <c r="R921" s="2">
        <v>158</v>
      </c>
      <c r="S921" s="2">
        <v>103.5844</v>
      </c>
      <c r="T921" s="2">
        <v>196</v>
      </c>
      <c r="U921" s="2">
        <v>0.24774599999999999</v>
      </c>
      <c r="V921" s="2">
        <v>266</v>
      </c>
      <c r="W921" s="2">
        <v>2004</v>
      </c>
    </row>
    <row r="922" spans="1:23" ht="12.3" x14ac:dyDescent="0.4">
      <c r="A922" s="2" t="s">
        <v>234</v>
      </c>
      <c r="B922" s="2">
        <v>13</v>
      </c>
      <c r="C922" s="2"/>
      <c r="D922" s="2"/>
      <c r="E922" s="2"/>
      <c r="F922" s="2"/>
      <c r="G922" s="2"/>
      <c r="H922" s="2"/>
      <c r="I922" s="2">
        <v>66.360699999999994</v>
      </c>
      <c r="J922" s="2">
        <v>164</v>
      </c>
      <c r="K922" s="2">
        <v>65.628500000000003</v>
      </c>
      <c r="L922" s="2">
        <v>193</v>
      </c>
      <c r="M922" s="2">
        <v>106.8279</v>
      </c>
      <c r="N922" s="2">
        <v>62</v>
      </c>
      <c r="O922" s="2">
        <v>101.84350000000001</v>
      </c>
      <c r="P922" s="2">
        <v>151</v>
      </c>
      <c r="Q922" s="2">
        <v>93.354600000000005</v>
      </c>
      <c r="R922" s="2">
        <v>32</v>
      </c>
      <c r="S922" s="2">
        <v>94.484499999999997</v>
      </c>
      <c r="T922" s="2">
        <v>46</v>
      </c>
      <c r="U922" s="2">
        <v>0.70318700000000001</v>
      </c>
      <c r="V922" s="2">
        <v>81</v>
      </c>
      <c r="W922" s="2">
        <v>2012</v>
      </c>
    </row>
    <row r="923" spans="1:23" ht="12.3" hidden="1" x14ac:dyDescent="0.4">
      <c r="A923" s="2" t="s">
        <v>200</v>
      </c>
      <c r="B923" s="2"/>
      <c r="C923" s="2"/>
      <c r="D923" s="2"/>
      <c r="E923" s="2"/>
      <c r="F923" s="2"/>
      <c r="G923" s="2"/>
      <c r="H923" s="2"/>
      <c r="I923" s="2">
        <v>66.557199999999995</v>
      </c>
      <c r="J923" s="2">
        <v>207</v>
      </c>
      <c r="K923" s="2">
        <v>65.812799999999996</v>
      </c>
      <c r="L923" s="2">
        <v>232</v>
      </c>
      <c r="M923" s="2">
        <v>97.151300000000006</v>
      </c>
      <c r="N923" s="2">
        <v>251</v>
      </c>
      <c r="O923" s="2">
        <v>97.734200000000001</v>
      </c>
      <c r="P923" s="2">
        <v>230</v>
      </c>
      <c r="Q923" s="2">
        <v>107.2923</v>
      </c>
      <c r="R923" s="2">
        <v>291</v>
      </c>
      <c r="S923" s="2">
        <v>107.797</v>
      </c>
      <c r="T923" s="2">
        <v>287</v>
      </c>
      <c r="U923" s="2">
        <v>0.24471899999999999</v>
      </c>
      <c r="V923" s="2">
        <v>268</v>
      </c>
      <c r="W923" s="2">
        <v>2004</v>
      </c>
    </row>
    <row r="924" spans="1:23" ht="12.3" x14ac:dyDescent="0.4">
      <c r="A924" s="2" t="s">
        <v>129</v>
      </c>
      <c r="B924" s="2">
        <v>11</v>
      </c>
      <c r="C924" s="4" t="s">
        <v>33</v>
      </c>
      <c r="D924" s="2"/>
      <c r="E924" s="2"/>
      <c r="F924" s="2"/>
      <c r="G924" s="2"/>
      <c r="H924" s="2"/>
      <c r="I924" s="2">
        <v>65.243200000000002</v>
      </c>
      <c r="J924" s="2">
        <v>216</v>
      </c>
      <c r="K924" s="2">
        <v>65.574299999999994</v>
      </c>
      <c r="L924" s="2">
        <v>197</v>
      </c>
      <c r="M924" s="2">
        <v>101.20959999999999</v>
      </c>
      <c r="N924" s="2">
        <v>169</v>
      </c>
      <c r="O924" s="2">
        <v>102.13160000000001</v>
      </c>
      <c r="P924" s="2">
        <v>146</v>
      </c>
      <c r="Q924" s="2">
        <v>96.7881</v>
      </c>
      <c r="R924" s="2">
        <v>74</v>
      </c>
      <c r="S924" s="2">
        <v>94.980099999999993</v>
      </c>
      <c r="T924" s="2">
        <v>53</v>
      </c>
      <c r="U924" s="2">
        <v>0.69737700000000002</v>
      </c>
      <c r="V924" s="2">
        <v>87</v>
      </c>
      <c r="W924" s="2">
        <v>2012</v>
      </c>
    </row>
    <row r="925" spans="1:23" ht="12.3" hidden="1" x14ac:dyDescent="0.4">
      <c r="A925" s="2" t="s">
        <v>307</v>
      </c>
      <c r="B925" s="2"/>
      <c r="C925" s="2"/>
      <c r="D925" s="2"/>
      <c r="E925" s="2"/>
      <c r="F925" s="2"/>
      <c r="G925" s="2"/>
      <c r="H925" s="2"/>
      <c r="I925" s="2">
        <v>65.478999999999999</v>
      </c>
      <c r="J925" s="2">
        <v>246</v>
      </c>
      <c r="K925" s="2">
        <v>64.384200000000007</v>
      </c>
      <c r="L925" s="2">
        <v>282</v>
      </c>
      <c r="M925" s="2">
        <v>103.6324</v>
      </c>
      <c r="N925" s="2">
        <v>103</v>
      </c>
      <c r="O925" s="2">
        <v>99.765900000000002</v>
      </c>
      <c r="P925" s="2">
        <v>183</v>
      </c>
      <c r="Q925" s="2">
        <v>107.8527</v>
      </c>
      <c r="R925" s="2">
        <v>299</v>
      </c>
      <c r="S925" s="2">
        <v>110.453</v>
      </c>
      <c r="T925" s="2">
        <v>312</v>
      </c>
      <c r="U925" s="2">
        <v>0.23680399999999999</v>
      </c>
      <c r="V925" s="2">
        <v>270</v>
      </c>
      <c r="W925" s="2">
        <v>2004</v>
      </c>
    </row>
    <row r="926" spans="1:23" ht="12.3" hidden="1" x14ac:dyDescent="0.4">
      <c r="A926" s="2" t="s">
        <v>225</v>
      </c>
      <c r="B926" s="2"/>
      <c r="C926" s="2"/>
      <c r="D926" s="2"/>
      <c r="E926" s="2"/>
      <c r="F926" s="2"/>
      <c r="G926" s="2"/>
      <c r="H926" s="2"/>
      <c r="I926" s="2">
        <v>73.945800000000006</v>
      </c>
      <c r="J926" s="2">
        <v>11</v>
      </c>
      <c r="K926" s="2">
        <v>72.391599999999997</v>
      </c>
      <c r="L926" s="2">
        <v>22</v>
      </c>
      <c r="M926" s="2">
        <v>97.633799999999994</v>
      </c>
      <c r="N926" s="2">
        <v>240</v>
      </c>
      <c r="O926" s="2">
        <v>96.116200000000006</v>
      </c>
      <c r="P926" s="2">
        <v>258</v>
      </c>
      <c r="Q926" s="2">
        <v>105.0548</v>
      </c>
      <c r="R926" s="2">
        <v>256</v>
      </c>
      <c r="S926" s="2">
        <v>106.7346</v>
      </c>
      <c r="T926" s="2">
        <v>269</v>
      </c>
      <c r="U926" s="2">
        <v>0.23057800000000001</v>
      </c>
      <c r="V926" s="2">
        <v>271</v>
      </c>
      <c r="W926" s="2">
        <v>2004</v>
      </c>
    </row>
    <row r="927" spans="1:23" ht="12.3" hidden="1" x14ac:dyDescent="0.4">
      <c r="A927" s="2" t="s">
        <v>215</v>
      </c>
      <c r="B927" s="2"/>
      <c r="C927" s="2"/>
      <c r="D927" s="2"/>
      <c r="E927" s="2"/>
      <c r="F927" s="2"/>
      <c r="G927" s="2"/>
      <c r="H927" s="2"/>
      <c r="I927" s="2">
        <v>67.964799999999997</v>
      </c>
      <c r="J927" s="2">
        <v>163</v>
      </c>
      <c r="K927" s="2">
        <v>67.634100000000004</v>
      </c>
      <c r="L927" s="2">
        <v>167</v>
      </c>
      <c r="M927" s="2">
        <v>97.838999999999999</v>
      </c>
      <c r="N927" s="2">
        <v>237</v>
      </c>
      <c r="O927" s="2">
        <v>94.788300000000007</v>
      </c>
      <c r="P927" s="2">
        <v>275</v>
      </c>
      <c r="Q927" s="2">
        <v>103.00960000000001</v>
      </c>
      <c r="R927" s="2">
        <v>201</v>
      </c>
      <c r="S927" s="2">
        <v>105.3359</v>
      </c>
      <c r="T927" s="2">
        <v>245</v>
      </c>
      <c r="U927" s="2">
        <v>0.22910800000000001</v>
      </c>
      <c r="V927" s="2">
        <v>272</v>
      </c>
      <c r="W927" s="2">
        <v>2004</v>
      </c>
    </row>
    <row r="928" spans="1:23" ht="12.3" hidden="1" x14ac:dyDescent="0.4">
      <c r="A928" s="2" t="s">
        <v>298</v>
      </c>
      <c r="B928" s="2"/>
      <c r="C928" s="2"/>
      <c r="D928" s="2"/>
      <c r="E928" s="2"/>
      <c r="F928" s="2"/>
      <c r="G928" s="2"/>
      <c r="H928" s="2"/>
      <c r="I928" s="2">
        <v>68.504000000000005</v>
      </c>
      <c r="J928" s="2">
        <v>141</v>
      </c>
      <c r="K928" s="2">
        <v>66.744900000000001</v>
      </c>
      <c r="L928" s="2">
        <v>201</v>
      </c>
      <c r="M928" s="2">
        <v>96.489800000000002</v>
      </c>
      <c r="N928" s="2">
        <v>260</v>
      </c>
      <c r="O928" s="2">
        <v>94.385099999999994</v>
      </c>
      <c r="P928" s="2">
        <v>282</v>
      </c>
      <c r="Q928" s="2">
        <v>105.6027</v>
      </c>
      <c r="R928" s="2">
        <v>265</v>
      </c>
      <c r="S928" s="2">
        <v>104.9971</v>
      </c>
      <c r="T928" s="2">
        <v>239</v>
      </c>
      <c r="U928" s="2">
        <v>0.22700100000000001</v>
      </c>
      <c r="V928" s="2">
        <v>273</v>
      </c>
      <c r="W928" s="2">
        <v>2004</v>
      </c>
    </row>
    <row r="929" spans="1:23" ht="12.3" hidden="1" x14ac:dyDescent="0.4">
      <c r="A929" s="2" t="s">
        <v>235</v>
      </c>
      <c r="B929" s="2"/>
      <c r="C929" s="2"/>
      <c r="D929" s="2"/>
      <c r="E929" s="2"/>
      <c r="F929" s="2"/>
      <c r="G929" s="2"/>
      <c r="H929" s="2"/>
      <c r="I929" s="2">
        <v>72.4876</v>
      </c>
      <c r="J929" s="2">
        <v>25</v>
      </c>
      <c r="K929" s="2">
        <v>72.933999999999997</v>
      </c>
      <c r="L929" s="2">
        <v>13</v>
      </c>
      <c r="M929" s="2">
        <v>94.276899999999998</v>
      </c>
      <c r="N929" s="2">
        <v>282</v>
      </c>
      <c r="O929" s="2">
        <v>95.971000000000004</v>
      </c>
      <c r="P929" s="2">
        <v>260</v>
      </c>
      <c r="Q929" s="2">
        <v>109.5513</v>
      </c>
      <c r="R929" s="2">
        <v>311</v>
      </c>
      <c r="S929" s="2">
        <v>106.8738</v>
      </c>
      <c r="T929" s="2">
        <v>272</v>
      </c>
      <c r="U929" s="2">
        <v>0.224884</v>
      </c>
      <c r="V929" s="2">
        <v>274</v>
      </c>
      <c r="W929" s="2">
        <v>2004</v>
      </c>
    </row>
    <row r="930" spans="1:23" ht="12.3" hidden="1" x14ac:dyDescent="0.4">
      <c r="A930" s="2" t="s">
        <v>193</v>
      </c>
      <c r="B930" s="2"/>
      <c r="C930" s="2"/>
      <c r="D930" s="2"/>
      <c r="E930" s="2"/>
      <c r="F930" s="2"/>
      <c r="G930" s="2"/>
      <c r="H930" s="2"/>
      <c r="I930" s="2">
        <v>71.499899999999997</v>
      </c>
      <c r="J930" s="2">
        <v>38</v>
      </c>
      <c r="K930" s="2">
        <v>70.313599999999994</v>
      </c>
      <c r="L930" s="2">
        <v>66</v>
      </c>
      <c r="M930" s="2">
        <v>92.221599999999995</v>
      </c>
      <c r="N930" s="2">
        <v>295</v>
      </c>
      <c r="O930" s="2">
        <v>92.062100000000001</v>
      </c>
      <c r="P930" s="2">
        <v>301</v>
      </c>
      <c r="Q930" s="2">
        <v>102.48390000000001</v>
      </c>
      <c r="R930" s="2">
        <v>186</v>
      </c>
      <c r="S930" s="2">
        <v>102.5608</v>
      </c>
      <c r="T930" s="2">
        <v>182</v>
      </c>
      <c r="U930" s="2">
        <v>0.224104</v>
      </c>
      <c r="V930" s="2">
        <v>275</v>
      </c>
      <c r="W930" s="2">
        <v>2004</v>
      </c>
    </row>
    <row r="931" spans="1:23" ht="12.3" hidden="1" x14ac:dyDescent="0.4">
      <c r="A931" s="2" t="s">
        <v>211</v>
      </c>
      <c r="B931" s="2"/>
      <c r="C931" s="2"/>
      <c r="D931" s="2"/>
      <c r="E931" s="2"/>
      <c r="F931" s="2"/>
      <c r="G931" s="2"/>
      <c r="H931" s="2"/>
      <c r="I931" s="2">
        <v>68.732500000000002</v>
      </c>
      <c r="J931" s="2">
        <v>132</v>
      </c>
      <c r="K931" s="2">
        <v>67.386399999999995</v>
      </c>
      <c r="L931" s="2">
        <v>175</v>
      </c>
      <c r="M931" s="2">
        <v>96.018199999999993</v>
      </c>
      <c r="N931" s="2">
        <v>263</v>
      </c>
      <c r="O931" s="2">
        <v>95.961799999999997</v>
      </c>
      <c r="P931" s="2">
        <v>261</v>
      </c>
      <c r="Q931" s="2">
        <v>106.62739999999999</v>
      </c>
      <c r="R931" s="2">
        <v>285</v>
      </c>
      <c r="S931" s="2">
        <v>106.96420000000001</v>
      </c>
      <c r="T931" s="2">
        <v>276</v>
      </c>
      <c r="U931" s="2">
        <v>0.22300300000000001</v>
      </c>
      <c r="V931" s="2">
        <v>276</v>
      </c>
      <c r="W931" s="2">
        <v>2004</v>
      </c>
    </row>
    <row r="932" spans="1:23" ht="12.3" hidden="1" x14ac:dyDescent="0.4">
      <c r="A932" s="2" t="s">
        <v>316</v>
      </c>
      <c r="B932" s="2"/>
      <c r="C932" s="2"/>
      <c r="D932" s="2"/>
      <c r="E932" s="2"/>
      <c r="F932" s="2"/>
      <c r="G932" s="2"/>
      <c r="H932" s="2"/>
      <c r="I932" s="2">
        <v>73.804100000000005</v>
      </c>
      <c r="J932" s="2">
        <v>13</v>
      </c>
      <c r="K932" s="2">
        <v>74.193899999999999</v>
      </c>
      <c r="L932" s="2">
        <v>8</v>
      </c>
      <c r="M932" s="2">
        <v>99.429199999999994</v>
      </c>
      <c r="N932" s="2">
        <v>198</v>
      </c>
      <c r="O932" s="2">
        <v>97.447000000000003</v>
      </c>
      <c r="P932" s="2">
        <v>234</v>
      </c>
      <c r="Q932" s="2">
        <v>104.2097</v>
      </c>
      <c r="R932" s="2">
        <v>240</v>
      </c>
      <c r="S932" s="2">
        <v>108.72669999999999</v>
      </c>
      <c r="T932" s="2">
        <v>298</v>
      </c>
      <c r="U932" s="2">
        <v>0.22104599999999999</v>
      </c>
      <c r="V932" s="2">
        <v>277</v>
      </c>
      <c r="W932" s="2">
        <v>2004</v>
      </c>
    </row>
    <row r="933" spans="1:23" ht="12.3" hidden="1" x14ac:dyDescent="0.4">
      <c r="A933" s="2" t="s">
        <v>293</v>
      </c>
      <c r="B933" s="2"/>
      <c r="C933" s="2"/>
      <c r="D933" s="2"/>
      <c r="E933" s="2"/>
      <c r="F933" s="2"/>
      <c r="G933" s="2"/>
      <c r="H933" s="2"/>
      <c r="I933" s="2">
        <v>66.158199999999994</v>
      </c>
      <c r="J933" s="2">
        <v>228</v>
      </c>
      <c r="K933" s="2">
        <v>66.257000000000005</v>
      </c>
      <c r="L933" s="2">
        <v>213</v>
      </c>
      <c r="M933" s="2">
        <v>91.973600000000005</v>
      </c>
      <c r="N933" s="2">
        <v>298</v>
      </c>
      <c r="O933" s="2">
        <v>93.444599999999994</v>
      </c>
      <c r="P933" s="2">
        <v>290</v>
      </c>
      <c r="Q933" s="2">
        <v>104.2955</v>
      </c>
      <c r="R933" s="2">
        <v>242</v>
      </c>
      <c r="S933" s="2">
        <v>104.36669999999999</v>
      </c>
      <c r="T933" s="2">
        <v>223</v>
      </c>
      <c r="U933" s="2">
        <v>0.21904599999999999</v>
      </c>
      <c r="V933" s="2">
        <v>278</v>
      </c>
      <c r="W933" s="2">
        <v>2004</v>
      </c>
    </row>
    <row r="934" spans="1:23" ht="12.3" hidden="1" x14ac:dyDescent="0.4">
      <c r="A934" s="2" t="s">
        <v>133</v>
      </c>
      <c r="B934" s="2"/>
      <c r="C934" s="2"/>
      <c r="D934" s="2"/>
      <c r="E934" s="2"/>
      <c r="F934" s="2"/>
      <c r="G934" s="2"/>
      <c r="H934" s="2"/>
      <c r="I934" s="2">
        <v>70.995699999999999</v>
      </c>
      <c r="J934" s="2">
        <v>49</v>
      </c>
      <c r="K934" s="2">
        <v>71.887100000000004</v>
      </c>
      <c r="L934" s="2">
        <v>27</v>
      </c>
      <c r="M934" s="2">
        <v>95.285899999999998</v>
      </c>
      <c r="N934" s="2">
        <v>272</v>
      </c>
      <c r="O934" s="2">
        <v>98.049499999999995</v>
      </c>
      <c r="P934" s="2">
        <v>223</v>
      </c>
      <c r="Q934" s="2">
        <v>113.4569</v>
      </c>
      <c r="R934" s="2">
        <v>325</v>
      </c>
      <c r="S934" s="2">
        <v>109.5949</v>
      </c>
      <c r="T934" s="2">
        <v>304</v>
      </c>
      <c r="U934" s="2">
        <v>0.21752299999999999</v>
      </c>
      <c r="V934" s="2">
        <v>279</v>
      </c>
      <c r="W934" s="2">
        <v>2004</v>
      </c>
    </row>
    <row r="935" spans="1:23" ht="12.3" hidden="1" x14ac:dyDescent="0.4">
      <c r="A935" s="2" t="s">
        <v>135</v>
      </c>
      <c r="B935" s="2"/>
      <c r="C935" s="2"/>
      <c r="D935" s="2"/>
      <c r="E935" s="2"/>
      <c r="F935" s="2"/>
      <c r="G935" s="2"/>
      <c r="H935" s="2"/>
      <c r="I935" s="2">
        <v>70.265000000000001</v>
      </c>
      <c r="J935" s="2">
        <v>75</v>
      </c>
      <c r="K935" s="2">
        <v>70.587199999999996</v>
      </c>
      <c r="L935" s="2">
        <v>58</v>
      </c>
      <c r="M935" s="2">
        <v>97.881200000000007</v>
      </c>
      <c r="N935" s="2">
        <v>235</v>
      </c>
      <c r="O935" s="2">
        <v>96.322800000000001</v>
      </c>
      <c r="P935" s="2">
        <v>254</v>
      </c>
      <c r="Q935" s="2">
        <v>100.1728</v>
      </c>
      <c r="R935" s="2">
        <v>134</v>
      </c>
      <c r="S935" s="2">
        <v>107.7077</v>
      </c>
      <c r="T935" s="2">
        <v>284</v>
      </c>
      <c r="U935" s="2">
        <v>0.21674399999999999</v>
      </c>
      <c r="V935" s="2">
        <v>280</v>
      </c>
      <c r="W935" s="2">
        <v>2004</v>
      </c>
    </row>
    <row r="936" spans="1:23" ht="12.3" hidden="1" x14ac:dyDescent="0.4">
      <c r="A936" s="2" t="s">
        <v>264</v>
      </c>
      <c r="B936" s="2"/>
      <c r="C936" s="2"/>
      <c r="D936" s="2"/>
      <c r="E936" s="2"/>
      <c r="F936" s="2"/>
      <c r="G936" s="2"/>
      <c r="H936" s="2"/>
      <c r="I936" s="2">
        <v>69.445499999999996</v>
      </c>
      <c r="J936" s="2">
        <v>106</v>
      </c>
      <c r="K936" s="2">
        <v>69.679500000000004</v>
      </c>
      <c r="L936" s="2">
        <v>90</v>
      </c>
      <c r="M936" s="2">
        <v>95.643100000000004</v>
      </c>
      <c r="N936" s="2">
        <v>269</v>
      </c>
      <c r="O936" s="2">
        <v>94.691000000000003</v>
      </c>
      <c r="P936" s="2">
        <v>278</v>
      </c>
      <c r="Q936" s="2">
        <v>107.982</v>
      </c>
      <c r="R936" s="2">
        <v>300</v>
      </c>
      <c r="S936" s="2">
        <v>106.0046</v>
      </c>
      <c r="T936" s="2">
        <v>261</v>
      </c>
      <c r="U936" s="2">
        <v>0.21451300000000001</v>
      </c>
      <c r="V936" s="2">
        <v>281</v>
      </c>
      <c r="W936" s="2">
        <v>2004</v>
      </c>
    </row>
    <row r="937" spans="1:23" ht="12.3" hidden="1" x14ac:dyDescent="0.4">
      <c r="A937" s="2" t="s">
        <v>279</v>
      </c>
      <c r="B937" s="2"/>
      <c r="C937" s="2"/>
      <c r="D937" s="2"/>
      <c r="E937" s="2"/>
      <c r="F937" s="2"/>
      <c r="G937" s="2"/>
      <c r="H937" s="2"/>
      <c r="I937" s="2">
        <v>73.872600000000006</v>
      </c>
      <c r="J937" s="2">
        <v>12</v>
      </c>
      <c r="K937" s="2">
        <v>72.5321</v>
      </c>
      <c r="L937" s="2">
        <v>19</v>
      </c>
      <c r="M937" s="2">
        <v>95.697000000000003</v>
      </c>
      <c r="N937" s="2">
        <v>268</v>
      </c>
      <c r="O937" s="2">
        <v>97.841700000000003</v>
      </c>
      <c r="P937" s="2">
        <v>227</v>
      </c>
      <c r="Q937" s="2">
        <v>109.76949999999999</v>
      </c>
      <c r="R937" s="2">
        <v>314</v>
      </c>
      <c r="S937" s="2">
        <v>109.708</v>
      </c>
      <c r="T937" s="2">
        <v>306</v>
      </c>
      <c r="U937" s="2">
        <v>0.21141499999999999</v>
      </c>
      <c r="V937" s="2">
        <v>282</v>
      </c>
      <c r="W937" s="2">
        <v>2004</v>
      </c>
    </row>
    <row r="938" spans="1:23" ht="12.3" hidden="1" x14ac:dyDescent="0.4">
      <c r="A938" s="2" t="s">
        <v>214</v>
      </c>
      <c r="B938" s="2"/>
      <c r="C938" s="2"/>
      <c r="D938" s="2"/>
      <c r="E938" s="2"/>
      <c r="F938" s="2"/>
      <c r="G938" s="2"/>
      <c r="H938" s="2"/>
      <c r="I938" s="2">
        <v>70.312600000000003</v>
      </c>
      <c r="J938" s="2">
        <v>72</v>
      </c>
      <c r="K938" s="2">
        <v>69.684100000000001</v>
      </c>
      <c r="L938" s="2">
        <v>89</v>
      </c>
      <c r="M938" s="2">
        <v>98.437899999999999</v>
      </c>
      <c r="N938" s="2">
        <v>226</v>
      </c>
      <c r="O938" s="2">
        <v>96.011899999999997</v>
      </c>
      <c r="P938" s="2">
        <v>259</v>
      </c>
      <c r="Q938" s="2">
        <v>106.1602</v>
      </c>
      <c r="R938" s="2">
        <v>276</v>
      </c>
      <c r="S938" s="2">
        <v>108.0008</v>
      </c>
      <c r="T938" s="2">
        <v>291</v>
      </c>
      <c r="U938" s="2">
        <v>0.20535500000000001</v>
      </c>
      <c r="V938" s="2">
        <v>283</v>
      </c>
      <c r="W938" s="2">
        <v>2004</v>
      </c>
    </row>
    <row r="939" spans="1:23" ht="12.3" hidden="1" x14ac:dyDescent="0.4">
      <c r="A939" s="2" t="s">
        <v>247</v>
      </c>
      <c r="B939" s="2"/>
      <c r="C939" s="2"/>
      <c r="D939" s="2"/>
      <c r="E939" s="2"/>
      <c r="F939" s="2"/>
      <c r="G939" s="2"/>
      <c r="H939" s="2"/>
      <c r="I939" s="2">
        <v>65.536199999999994</v>
      </c>
      <c r="J939" s="2">
        <v>244</v>
      </c>
      <c r="K939" s="2">
        <v>65.924499999999995</v>
      </c>
      <c r="L939" s="2">
        <v>228</v>
      </c>
      <c r="M939" s="2">
        <v>99.628299999999996</v>
      </c>
      <c r="N939" s="2">
        <v>191</v>
      </c>
      <c r="O939" s="2">
        <v>97.341999999999999</v>
      </c>
      <c r="P939" s="2">
        <v>238</v>
      </c>
      <c r="Q939" s="2">
        <v>104.56059999999999</v>
      </c>
      <c r="R939" s="2">
        <v>247</v>
      </c>
      <c r="S939" s="2">
        <v>109.568</v>
      </c>
      <c r="T939" s="2">
        <v>303</v>
      </c>
      <c r="U939" s="2">
        <v>0.20413999999999999</v>
      </c>
      <c r="V939" s="2">
        <v>284</v>
      </c>
      <c r="W939" s="2">
        <v>2004</v>
      </c>
    </row>
    <row r="940" spans="1:23" ht="12.3" hidden="1" x14ac:dyDescent="0.4">
      <c r="A940" s="2" t="s">
        <v>223</v>
      </c>
      <c r="B940" s="2"/>
      <c r="C940" s="2"/>
      <c r="D940" s="2"/>
      <c r="E940" s="2"/>
      <c r="F940" s="2"/>
      <c r="G940" s="2"/>
      <c r="H940" s="2"/>
      <c r="I940" s="2">
        <v>67.827500000000001</v>
      </c>
      <c r="J940" s="2">
        <v>171</v>
      </c>
      <c r="K940" s="2">
        <v>67.708399999999997</v>
      </c>
      <c r="L940" s="2">
        <v>163</v>
      </c>
      <c r="M940" s="2">
        <v>96.822000000000003</v>
      </c>
      <c r="N940" s="2">
        <v>254</v>
      </c>
      <c r="O940" s="2">
        <v>94.073499999999996</v>
      </c>
      <c r="P940" s="2">
        <v>285</v>
      </c>
      <c r="Q940" s="2">
        <v>101.9019</v>
      </c>
      <c r="R940" s="2">
        <v>175</v>
      </c>
      <c r="S940" s="2">
        <v>106.06699999999999</v>
      </c>
      <c r="T940" s="2">
        <v>265</v>
      </c>
      <c r="U940" s="2">
        <v>0.201018</v>
      </c>
      <c r="V940" s="2">
        <v>285</v>
      </c>
      <c r="W940" s="2">
        <v>2004</v>
      </c>
    </row>
    <row r="941" spans="1:23" ht="12.3" hidden="1" x14ac:dyDescent="0.4">
      <c r="A941" s="2" t="s">
        <v>295</v>
      </c>
      <c r="B941" s="2"/>
      <c r="C941" s="2"/>
      <c r="D941" s="2"/>
      <c r="E941" s="2"/>
      <c r="F941" s="2"/>
      <c r="G941" s="2"/>
      <c r="H941" s="2"/>
      <c r="I941" s="2">
        <v>65.644599999999997</v>
      </c>
      <c r="J941" s="2">
        <v>240</v>
      </c>
      <c r="K941" s="2">
        <v>65.555400000000006</v>
      </c>
      <c r="L941" s="2">
        <v>241</v>
      </c>
      <c r="M941" s="2">
        <v>94.846299999999999</v>
      </c>
      <c r="N941" s="2">
        <v>278</v>
      </c>
      <c r="O941" s="2">
        <v>95.505300000000005</v>
      </c>
      <c r="P941" s="2">
        <v>264</v>
      </c>
      <c r="Q941" s="2">
        <v>103.827</v>
      </c>
      <c r="R941" s="2">
        <v>227</v>
      </c>
      <c r="S941" s="2">
        <v>107.73520000000001</v>
      </c>
      <c r="T941" s="2">
        <v>286</v>
      </c>
      <c r="U941" s="2">
        <v>0.200098</v>
      </c>
      <c r="V941" s="2">
        <v>286</v>
      </c>
      <c r="W941" s="2">
        <v>2004</v>
      </c>
    </row>
    <row r="942" spans="1:23" ht="12.3" hidden="1" x14ac:dyDescent="0.4">
      <c r="A942" s="2" t="s">
        <v>338</v>
      </c>
      <c r="B942" s="2"/>
      <c r="C942" s="2"/>
      <c r="D942" s="2"/>
      <c r="E942" s="2"/>
      <c r="F942" s="2"/>
      <c r="G942" s="2"/>
      <c r="H942" s="2"/>
      <c r="I942" s="2">
        <v>70.942599999999999</v>
      </c>
      <c r="J942" s="2">
        <v>51</v>
      </c>
      <c r="K942" s="2">
        <v>70.459800000000001</v>
      </c>
      <c r="L942" s="2">
        <v>62</v>
      </c>
      <c r="M942" s="2">
        <v>97.965199999999996</v>
      </c>
      <c r="N942" s="2">
        <v>233</v>
      </c>
      <c r="O942" s="2">
        <v>94.989500000000007</v>
      </c>
      <c r="P942" s="2">
        <v>272</v>
      </c>
      <c r="Q942" s="2">
        <v>98.516000000000005</v>
      </c>
      <c r="R942" s="2">
        <v>100</v>
      </c>
      <c r="S942" s="2">
        <v>107.6324</v>
      </c>
      <c r="T942" s="2">
        <v>281</v>
      </c>
      <c r="U942" s="2">
        <v>0.19201299999999999</v>
      </c>
      <c r="V942" s="2">
        <v>287</v>
      </c>
      <c r="W942" s="2">
        <v>2004</v>
      </c>
    </row>
    <row r="943" spans="1:23" ht="12.3" hidden="1" x14ac:dyDescent="0.4">
      <c r="A943" s="2" t="s">
        <v>266</v>
      </c>
      <c r="B943" s="2"/>
      <c r="C943" s="2"/>
      <c r="D943" s="2"/>
      <c r="E943" s="2"/>
      <c r="F943" s="2"/>
      <c r="G943" s="2"/>
      <c r="H943" s="2"/>
      <c r="I943" s="2">
        <v>77.074100000000001</v>
      </c>
      <c r="J943" s="2">
        <v>1</v>
      </c>
      <c r="K943" s="2">
        <v>75.473100000000002</v>
      </c>
      <c r="L943" s="2">
        <v>2</v>
      </c>
      <c r="M943" s="2">
        <v>97.552999999999997</v>
      </c>
      <c r="N943" s="2">
        <v>242</v>
      </c>
      <c r="O943" s="2">
        <v>95.272000000000006</v>
      </c>
      <c r="P943" s="2">
        <v>268</v>
      </c>
      <c r="Q943" s="2">
        <v>104.0321</v>
      </c>
      <c r="R943" s="2">
        <v>236</v>
      </c>
      <c r="S943" s="2">
        <v>107.9652</v>
      </c>
      <c r="T943" s="2">
        <v>289</v>
      </c>
      <c r="U943" s="2">
        <v>0.191802</v>
      </c>
      <c r="V943" s="2">
        <v>288</v>
      </c>
      <c r="W943" s="2">
        <v>2004</v>
      </c>
    </row>
    <row r="944" spans="1:23" ht="12.3" hidden="1" x14ac:dyDescent="0.4">
      <c r="A944" s="2" t="s">
        <v>252</v>
      </c>
      <c r="B944" s="2"/>
      <c r="C944" s="2"/>
      <c r="D944" s="2"/>
      <c r="E944" s="2"/>
      <c r="F944" s="2"/>
      <c r="G944" s="2"/>
      <c r="H944" s="2"/>
      <c r="I944" s="2">
        <v>63.921399999999998</v>
      </c>
      <c r="J944" s="2">
        <v>289</v>
      </c>
      <c r="K944" s="2">
        <v>65.169799999999995</v>
      </c>
      <c r="L944" s="2">
        <v>261</v>
      </c>
      <c r="M944" s="2">
        <v>93.659599999999998</v>
      </c>
      <c r="N944" s="2">
        <v>290</v>
      </c>
      <c r="O944" s="2">
        <v>92.142600000000002</v>
      </c>
      <c r="P944" s="2">
        <v>300</v>
      </c>
      <c r="Q944" s="2">
        <v>99.247799999999998</v>
      </c>
      <c r="R944" s="2">
        <v>116</v>
      </c>
      <c r="S944" s="2">
        <v>104.6756</v>
      </c>
      <c r="T944" s="2">
        <v>232</v>
      </c>
      <c r="U944" s="2">
        <v>0.18746199999999999</v>
      </c>
      <c r="V944" s="2">
        <v>289</v>
      </c>
      <c r="W944" s="2">
        <v>2004</v>
      </c>
    </row>
    <row r="945" spans="1:23" ht="12.3" hidden="1" x14ac:dyDescent="0.4">
      <c r="A945" s="2" t="s">
        <v>322</v>
      </c>
      <c r="B945" s="2"/>
      <c r="C945" s="2"/>
      <c r="D945" s="2"/>
      <c r="E945" s="2"/>
      <c r="F945" s="2"/>
      <c r="G945" s="2"/>
      <c r="H945" s="2"/>
      <c r="I945" s="2">
        <v>65.827399999999997</v>
      </c>
      <c r="J945" s="2">
        <v>233</v>
      </c>
      <c r="K945" s="2">
        <v>67.360100000000003</v>
      </c>
      <c r="L945" s="2">
        <v>176</v>
      </c>
      <c r="M945" s="2">
        <v>93.003</v>
      </c>
      <c r="N945" s="2">
        <v>292</v>
      </c>
      <c r="O945" s="2">
        <v>95.423199999999994</v>
      </c>
      <c r="P945" s="2">
        <v>265</v>
      </c>
      <c r="Q945" s="2">
        <v>110.4941</v>
      </c>
      <c r="R945" s="2">
        <v>317</v>
      </c>
      <c r="S945" s="2">
        <v>108.45659999999999</v>
      </c>
      <c r="T945" s="2">
        <v>296</v>
      </c>
      <c r="U945" s="2">
        <v>0.186589</v>
      </c>
      <c r="V945" s="2">
        <v>290</v>
      </c>
      <c r="W945" s="2">
        <v>2004</v>
      </c>
    </row>
    <row r="946" spans="1:23" ht="12.3" hidden="1" x14ac:dyDescent="0.4">
      <c r="A946" s="2" t="s">
        <v>188</v>
      </c>
      <c r="B946" s="2"/>
      <c r="C946" s="2"/>
      <c r="D946" s="2"/>
      <c r="E946" s="2"/>
      <c r="F946" s="2"/>
      <c r="G946" s="2"/>
      <c r="H946" s="2"/>
      <c r="I946" s="2">
        <v>66.2363</v>
      </c>
      <c r="J946" s="2">
        <v>224</v>
      </c>
      <c r="K946" s="2">
        <v>67.616100000000003</v>
      </c>
      <c r="L946" s="2">
        <v>169</v>
      </c>
      <c r="M946" s="2">
        <v>94.03</v>
      </c>
      <c r="N946" s="2">
        <v>287</v>
      </c>
      <c r="O946" s="2">
        <v>94.900700000000001</v>
      </c>
      <c r="P946" s="2">
        <v>273</v>
      </c>
      <c r="Q946" s="2">
        <v>109.7683</v>
      </c>
      <c r="R946" s="2">
        <v>313</v>
      </c>
      <c r="S946" s="2">
        <v>107.92919999999999</v>
      </c>
      <c r="T946" s="2">
        <v>288</v>
      </c>
      <c r="U946" s="2">
        <v>0.18551599999999999</v>
      </c>
      <c r="V946" s="2">
        <v>291</v>
      </c>
      <c r="W946" s="2">
        <v>2004</v>
      </c>
    </row>
    <row r="947" spans="1:23" ht="12.3" hidden="1" x14ac:dyDescent="0.4">
      <c r="A947" s="2" t="s">
        <v>310</v>
      </c>
      <c r="B947" s="2"/>
      <c r="C947" s="2"/>
      <c r="D947" s="2"/>
      <c r="E947" s="2"/>
      <c r="F947" s="2"/>
      <c r="G947" s="2"/>
      <c r="H947" s="2"/>
      <c r="I947" s="2">
        <v>64.823899999999995</v>
      </c>
      <c r="J947" s="2">
        <v>262</v>
      </c>
      <c r="K947" s="2">
        <v>65.825100000000006</v>
      </c>
      <c r="L947" s="2">
        <v>231</v>
      </c>
      <c r="M947" s="2">
        <v>92.689499999999995</v>
      </c>
      <c r="N947" s="2">
        <v>293</v>
      </c>
      <c r="O947" s="2">
        <v>92.412499999999994</v>
      </c>
      <c r="P947" s="2">
        <v>297</v>
      </c>
      <c r="Q947" s="2">
        <v>99.667400000000001</v>
      </c>
      <c r="R947" s="2">
        <v>119</v>
      </c>
      <c r="S947" s="2">
        <v>105.2209</v>
      </c>
      <c r="T947" s="2">
        <v>243</v>
      </c>
      <c r="U947" s="2">
        <v>0.18351799999999999</v>
      </c>
      <c r="V947" s="2">
        <v>292</v>
      </c>
      <c r="W947" s="2">
        <v>2004</v>
      </c>
    </row>
    <row r="948" spans="1:23" ht="12.3" hidden="1" x14ac:dyDescent="0.4">
      <c r="A948" s="2" t="s">
        <v>336</v>
      </c>
      <c r="B948" s="2"/>
      <c r="C948" s="2"/>
      <c r="D948" s="2"/>
      <c r="E948" s="2"/>
      <c r="F948" s="2"/>
      <c r="G948" s="2"/>
      <c r="H948" s="2"/>
      <c r="I948" s="2">
        <v>64.510099999999994</v>
      </c>
      <c r="J948" s="2">
        <v>271</v>
      </c>
      <c r="K948" s="2">
        <v>65.779799999999994</v>
      </c>
      <c r="L948" s="2">
        <v>234</v>
      </c>
      <c r="M948" s="2">
        <v>95.091899999999995</v>
      </c>
      <c r="N948" s="2">
        <v>275</v>
      </c>
      <c r="O948" s="2">
        <v>95.014300000000006</v>
      </c>
      <c r="P948" s="2">
        <v>271</v>
      </c>
      <c r="Q948" s="2">
        <v>102.5369</v>
      </c>
      <c r="R948" s="2">
        <v>187</v>
      </c>
      <c r="S948" s="2">
        <v>108.1982</v>
      </c>
      <c r="T948" s="2">
        <v>293</v>
      </c>
      <c r="U948" s="2">
        <v>0.18328</v>
      </c>
      <c r="V948" s="2">
        <v>293</v>
      </c>
      <c r="W948" s="2">
        <v>2004</v>
      </c>
    </row>
    <row r="949" spans="1:23" ht="12.3" hidden="1" x14ac:dyDescent="0.4">
      <c r="A949" s="2" t="s">
        <v>329</v>
      </c>
      <c r="B949" s="2"/>
      <c r="C949" s="2"/>
      <c r="D949" s="2"/>
      <c r="E949" s="2"/>
      <c r="F949" s="2"/>
      <c r="G949" s="2"/>
      <c r="H949" s="2"/>
      <c r="I949" s="2">
        <v>71.362300000000005</v>
      </c>
      <c r="J949" s="2">
        <v>42</v>
      </c>
      <c r="K949" s="2">
        <v>70.971000000000004</v>
      </c>
      <c r="L949" s="2">
        <v>46</v>
      </c>
      <c r="M949" s="2">
        <v>92.066100000000006</v>
      </c>
      <c r="N949" s="2">
        <v>296</v>
      </c>
      <c r="O949" s="2">
        <v>93.649900000000002</v>
      </c>
      <c r="P949" s="2">
        <v>289</v>
      </c>
      <c r="Q949" s="2">
        <v>100.75660000000001</v>
      </c>
      <c r="R949" s="2">
        <v>149</v>
      </c>
      <c r="S949" s="2">
        <v>106.7607</v>
      </c>
      <c r="T949" s="2">
        <v>270</v>
      </c>
      <c r="U949" s="2">
        <v>0.18141199999999999</v>
      </c>
      <c r="V949" s="2">
        <v>294</v>
      </c>
      <c r="W949" s="2">
        <v>2004</v>
      </c>
    </row>
    <row r="950" spans="1:23" ht="12.3" hidden="1" x14ac:dyDescent="0.4">
      <c r="A950" s="2" t="s">
        <v>222</v>
      </c>
      <c r="B950" s="2"/>
      <c r="C950" s="2"/>
      <c r="D950" s="2"/>
      <c r="E950" s="2"/>
      <c r="F950" s="2"/>
      <c r="G950" s="2"/>
      <c r="H950" s="2"/>
      <c r="I950" s="2">
        <v>70.676400000000001</v>
      </c>
      <c r="J950" s="2">
        <v>63</v>
      </c>
      <c r="K950" s="2">
        <v>70.795400000000001</v>
      </c>
      <c r="L950" s="2">
        <v>53</v>
      </c>
      <c r="M950" s="2">
        <v>90.335599999999999</v>
      </c>
      <c r="N950" s="2">
        <v>308</v>
      </c>
      <c r="O950" s="2">
        <v>90.758799999999994</v>
      </c>
      <c r="P950" s="2">
        <v>305</v>
      </c>
      <c r="Q950" s="2">
        <v>106.2171</v>
      </c>
      <c r="R950" s="2">
        <v>277</v>
      </c>
      <c r="S950" s="2">
        <v>103.6156</v>
      </c>
      <c r="T950" s="2">
        <v>197</v>
      </c>
      <c r="U950" s="2">
        <v>0.17893999999999999</v>
      </c>
      <c r="V950" s="2">
        <v>295</v>
      </c>
      <c r="W950" s="2">
        <v>2004</v>
      </c>
    </row>
    <row r="951" spans="1:23" ht="12.3" hidden="1" x14ac:dyDescent="0.4">
      <c r="A951" s="2" t="s">
        <v>143</v>
      </c>
      <c r="B951" s="2"/>
      <c r="C951" s="2"/>
      <c r="D951" s="2"/>
      <c r="E951" s="2"/>
      <c r="F951" s="2"/>
      <c r="G951" s="2"/>
      <c r="H951" s="2"/>
      <c r="I951" s="2">
        <v>67.593299999999999</v>
      </c>
      <c r="J951" s="2">
        <v>179</v>
      </c>
      <c r="K951" s="2">
        <v>66.586600000000004</v>
      </c>
      <c r="L951" s="2">
        <v>203</v>
      </c>
      <c r="M951" s="2">
        <v>91.3797</v>
      </c>
      <c r="N951" s="2">
        <v>301</v>
      </c>
      <c r="O951" s="2">
        <v>91.072100000000006</v>
      </c>
      <c r="P951" s="2">
        <v>304</v>
      </c>
      <c r="Q951" s="2">
        <v>104.0859</v>
      </c>
      <c r="R951" s="2">
        <v>238</v>
      </c>
      <c r="S951" s="2">
        <v>103.9936</v>
      </c>
      <c r="T951" s="2">
        <v>210</v>
      </c>
      <c r="U951" s="2">
        <v>0.17860999999999999</v>
      </c>
      <c r="V951" s="2">
        <v>296</v>
      </c>
      <c r="W951" s="2">
        <v>2004</v>
      </c>
    </row>
    <row r="952" spans="1:23" ht="12.3" hidden="1" x14ac:dyDescent="0.4">
      <c r="A952" s="2" t="s">
        <v>312</v>
      </c>
      <c r="B952" s="2"/>
      <c r="C952" s="2"/>
      <c r="D952" s="2"/>
      <c r="E952" s="2"/>
      <c r="F952" s="2"/>
      <c r="G952" s="2"/>
      <c r="H952" s="2"/>
      <c r="I952" s="2">
        <v>70.167699999999996</v>
      </c>
      <c r="J952" s="2">
        <v>80</v>
      </c>
      <c r="K952" s="2">
        <v>69.614099999999993</v>
      </c>
      <c r="L952" s="2">
        <v>94</v>
      </c>
      <c r="M952" s="2">
        <v>89.421199999999999</v>
      </c>
      <c r="N952" s="2">
        <v>311</v>
      </c>
      <c r="O952" s="2">
        <v>87.177000000000007</v>
      </c>
      <c r="P952" s="2">
        <v>316</v>
      </c>
      <c r="Q952" s="2">
        <v>93.020399999999995</v>
      </c>
      <c r="R952" s="2">
        <v>19</v>
      </c>
      <c r="S952" s="2">
        <v>100.1379</v>
      </c>
      <c r="T952" s="2">
        <v>145</v>
      </c>
      <c r="U952" s="2">
        <v>0.168823</v>
      </c>
      <c r="V952" s="2">
        <v>297</v>
      </c>
      <c r="W952" s="2">
        <v>2004</v>
      </c>
    </row>
    <row r="953" spans="1:23" ht="12.3" hidden="1" x14ac:dyDescent="0.4">
      <c r="A953" s="2" t="s">
        <v>274</v>
      </c>
      <c r="B953" s="2"/>
      <c r="C953" s="2"/>
      <c r="D953" s="2"/>
      <c r="E953" s="2"/>
      <c r="F953" s="2"/>
      <c r="G953" s="2"/>
      <c r="H953" s="2"/>
      <c r="I953" s="2">
        <v>71.845600000000005</v>
      </c>
      <c r="J953" s="2">
        <v>30</v>
      </c>
      <c r="K953" s="2">
        <v>71.768500000000003</v>
      </c>
      <c r="L953" s="2">
        <v>29</v>
      </c>
      <c r="M953" s="2">
        <v>99.745400000000004</v>
      </c>
      <c r="N953" s="2">
        <v>185</v>
      </c>
      <c r="O953" s="2">
        <v>96.837699999999998</v>
      </c>
      <c r="P953" s="2">
        <v>248</v>
      </c>
      <c r="Q953" s="2">
        <v>107.35769999999999</v>
      </c>
      <c r="R953" s="2">
        <v>292</v>
      </c>
      <c r="S953" s="2">
        <v>111.2557</v>
      </c>
      <c r="T953" s="2">
        <v>318</v>
      </c>
      <c r="U953" s="2">
        <v>0.16852</v>
      </c>
      <c r="V953" s="2">
        <v>298</v>
      </c>
      <c r="W953" s="2">
        <v>2004</v>
      </c>
    </row>
    <row r="954" spans="1:23" ht="12.3" hidden="1" x14ac:dyDescent="0.4">
      <c r="A954" s="2" t="s">
        <v>320</v>
      </c>
      <c r="B954" s="2"/>
      <c r="C954" s="2"/>
      <c r="D954" s="2"/>
      <c r="E954" s="2"/>
      <c r="F954" s="2"/>
      <c r="G954" s="2"/>
      <c r="H954" s="2"/>
      <c r="I954" s="2">
        <v>65.571600000000004</v>
      </c>
      <c r="J954" s="2">
        <v>242</v>
      </c>
      <c r="K954" s="2">
        <v>64.870699999999999</v>
      </c>
      <c r="L954" s="2">
        <v>270</v>
      </c>
      <c r="M954" s="2">
        <v>93.760499999999993</v>
      </c>
      <c r="N954" s="2">
        <v>289</v>
      </c>
      <c r="O954" s="2">
        <v>91.992400000000004</v>
      </c>
      <c r="P954" s="2">
        <v>302</v>
      </c>
      <c r="Q954" s="2">
        <v>98.481099999999998</v>
      </c>
      <c r="R954" s="2">
        <v>99</v>
      </c>
      <c r="S954" s="2">
        <v>106.03279999999999</v>
      </c>
      <c r="T954" s="2">
        <v>262</v>
      </c>
      <c r="U954" s="2">
        <v>0.163353</v>
      </c>
      <c r="V954" s="2">
        <v>299</v>
      </c>
      <c r="W954" s="2">
        <v>2004</v>
      </c>
    </row>
    <row r="955" spans="1:23" ht="12.3" hidden="1" x14ac:dyDescent="0.4">
      <c r="A955" s="2" t="s">
        <v>325</v>
      </c>
      <c r="B955" s="2"/>
      <c r="C955" s="2"/>
      <c r="D955" s="2"/>
      <c r="E955" s="2"/>
      <c r="F955" s="2"/>
      <c r="G955" s="2"/>
      <c r="H955" s="2"/>
      <c r="I955" s="2">
        <v>71.962999999999994</v>
      </c>
      <c r="J955" s="2">
        <v>29</v>
      </c>
      <c r="K955" s="2">
        <v>71.060100000000006</v>
      </c>
      <c r="L955" s="2">
        <v>44</v>
      </c>
      <c r="M955" s="2">
        <v>91.019900000000007</v>
      </c>
      <c r="N955" s="2">
        <v>303</v>
      </c>
      <c r="O955" s="2">
        <v>87.391999999999996</v>
      </c>
      <c r="P955" s="2">
        <v>315</v>
      </c>
      <c r="Q955" s="2">
        <v>93.089399999999998</v>
      </c>
      <c r="R955" s="2">
        <v>20</v>
      </c>
      <c r="S955" s="2">
        <v>101.1063</v>
      </c>
      <c r="T955" s="2">
        <v>161</v>
      </c>
      <c r="U955" s="2">
        <v>0.157581</v>
      </c>
      <c r="V955" s="2">
        <v>300</v>
      </c>
      <c r="W955" s="2">
        <v>2004</v>
      </c>
    </row>
    <row r="956" spans="1:23" ht="12.3" hidden="1" x14ac:dyDescent="0.4">
      <c r="A956" s="2" t="s">
        <v>343</v>
      </c>
      <c r="B956" s="2"/>
      <c r="C956" s="2"/>
      <c r="D956" s="2"/>
      <c r="E956" s="2"/>
      <c r="F956" s="2"/>
      <c r="G956" s="2"/>
      <c r="H956" s="2"/>
      <c r="I956" s="2">
        <v>73.002499999999998</v>
      </c>
      <c r="J956" s="2">
        <v>21</v>
      </c>
      <c r="K956" s="2">
        <v>72.806299999999993</v>
      </c>
      <c r="L956" s="2">
        <v>16</v>
      </c>
      <c r="M956" s="2">
        <v>94.317499999999995</v>
      </c>
      <c r="N956" s="2">
        <v>281</v>
      </c>
      <c r="O956" s="2">
        <v>92.198599999999999</v>
      </c>
      <c r="P956" s="2">
        <v>298</v>
      </c>
      <c r="Q956" s="2">
        <v>103.1707</v>
      </c>
      <c r="R956" s="2">
        <v>207</v>
      </c>
      <c r="S956" s="2">
        <v>106.83329999999999</v>
      </c>
      <c r="T956" s="2">
        <v>271</v>
      </c>
      <c r="U956" s="2">
        <v>0.155219</v>
      </c>
      <c r="V956" s="2">
        <v>301</v>
      </c>
      <c r="W956" s="2">
        <v>2004</v>
      </c>
    </row>
    <row r="957" spans="1:23" ht="12.3" hidden="1" x14ac:dyDescent="0.4">
      <c r="A957" s="2" t="s">
        <v>272</v>
      </c>
      <c r="B957" s="2"/>
      <c r="C957" s="2"/>
      <c r="D957" s="2"/>
      <c r="E957" s="2"/>
      <c r="F957" s="2"/>
      <c r="G957" s="2"/>
      <c r="H957" s="2"/>
      <c r="I957" s="2">
        <v>72.278899999999993</v>
      </c>
      <c r="J957" s="2">
        <v>27</v>
      </c>
      <c r="K957" s="2">
        <v>70.999600000000001</v>
      </c>
      <c r="L957" s="2">
        <v>45</v>
      </c>
      <c r="M957" s="2">
        <v>96.768199999999993</v>
      </c>
      <c r="N957" s="2">
        <v>255</v>
      </c>
      <c r="O957" s="2">
        <v>95.099900000000005</v>
      </c>
      <c r="P957" s="2">
        <v>270</v>
      </c>
      <c r="Q957" s="2">
        <v>101.4851</v>
      </c>
      <c r="R957" s="2">
        <v>165</v>
      </c>
      <c r="S957" s="2">
        <v>110.6207</v>
      </c>
      <c r="T957" s="2">
        <v>314</v>
      </c>
      <c r="U957" s="2">
        <v>0.14949499999999999</v>
      </c>
      <c r="V957" s="2">
        <v>302</v>
      </c>
      <c r="W957" s="2">
        <v>2004</v>
      </c>
    </row>
    <row r="958" spans="1:23" ht="12.3" hidden="1" x14ac:dyDescent="0.4">
      <c r="A958" s="2" t="s">
        <v>345</v>
      </c>
      <c r="B958" s="2"/>
      <c r="C958" s="2"/>
      <c r="D958" s="2"/>
      <c r="E958" s="2"/>
      <c r="F958" s="2"/>
      <c r="G958" s="2"/>
      <c r="H958" s="2"/>
      <c r="I958" s="2">
        <v>69.600200000000001</v>
      </c>
      <c r="J958" s="2">
        <v>102</v>
      </c>
      <c r="K958" s="2">
        <v>69.867400000000004</v>
      </c>
      <c r="L958" s="2">
        <v>83</v>
      </c>
      <c r="M958" s="2">
        <v>97.344700000000003</v>
      </c>
      <c r="N958" s="2">
        <v>247</v>
      </c>
      <c r="O958" s="2">
        <v>94.557100000000005</v>
      </c>
      <c r="P958" s="2">
        <v>280</v>
      </c>
      <c r="Q958" s="2">
        <v>101.8135</v>
      </c>
      <c r="R958" s="2">
        <v>172</v>
      </c>
      <c r="S958" s="2">
        <v>110.1743</v>
      </c>
      <c r="T958" s="2">
        <v>309</v>
      </c>
      <c r="U958" s="2">
        <v>0.14705599999999999</v>
      </c>
      <c r="V958" s="2">
        <v>303</v>
      </c>
      <c r="W958" s="2">
        <v>2004</v>
      </c>
    </row>
    <row r="959" spans="1:23" ht="12.3" hidden="1" x14ac:dyDescent="0.4">
      <c r="A959" s="2" t="s">
        <v>281</v>
      </c>
      <c r="B959" s="2"/>
      <c r="C959" s="2"/>
      <c r="D959" s="2"/>
      <c r="E959" s="2"/>
      <c r="F959" s="2"/>
      <c r="G959" s="2"/>
      <c r="H959" s="2"/>
      <c r="I959" s="2">
        <v>67.456000000000003</v>
      </c>
      <c r="J959" s="2">
        <v>184</v>
      </c>
      <c r="K959" s="2">
        <v>66.799700000000001</v>
      </c>
      <c r="L959" s="2">
        <v>200</v>
      </c>
      <c r="M959" s="2">
        <v>91.539100000000005</v>
      </c>
      <c r="N959" s="2">
        <v>299</v>
      </c>
      <c r="O959" s="2">
        <v>92.766599999999997</v>
      </c>
      <c r="P959" s="2">
        <v>294</v>
      </c>
      <c r="Q959" s="2">
        <v>106.7133</v>
      </c>
      <c r="R959" s="2">
        <v>286</v>
      </c>
      <c r="S959" s="2">
        <v>108.66970000000001</v>
      </c>
      <c r="T959" s="2">
        <v>297</v>
      </c>
      <c r="U959" s="2">
        <v>0.13948199999999999</v>
      </c>
      <c r="V959" s="2">
        <v>304</v>
      </c>
      <c r="W959" s="2">
        <v>2004</v>
      </c>
    </row>
    <row r="960" spans="1:23" ht="12.3" hidden="1" x14ac:dyDescent="0.4">
      <c r="A960" s="2" t="s">
        <v>337</v>
      </c>
      <c r="B960" s="2"/>
      <c r="C960" s="2"/>
      <c r="D960" s="2"/>
      <c r="E960" s="2"/>
      <c r="F960" s="2"/>
      <c r="G960" s="2"/>
      <c r="H960" s="2"/>
      <c r="I960" s="2">
        <v>69.154799999999994</v>
      </c>
      <c r="J960" s="2">
        <v>115</v>
      </c>
      <c r="K960" s="2">
        <v>68.310299999999998</v>
      </c>
      <c r="L960" s="2">
        <v>140</v>
      </c>
      <c r="M960" s="2">
        <v>97.416700000000006</v>
      </c>
      <c r="N960" s="2">
        <v>246</v>
      </c>
      <c r="O960" s="2">
        <v>95.702100000000002</v>
      </c>
      <c r="P960" s="2">
        <v>262</v>
      </c>
      <c r="Q960" s="2">
        <v>112.4813</v>
      </c>
      <c r="R960" s="2">
        <v>324</v>
      </c>
      <c r="S960" s="2">
        <v>112.15389999999999</v>
      </c>
      <c r="T960" s="2">
        <v>322</v>
      </c>
      <c r="U960" s="2">
        <v>0.13892299999999999</v>
      </c>
      <c r="V960" s="2">
        <v>305</v>
      </c>
      <c r="W960" s="2">
        <v>2004</v>
      </c>
    </row>
    <row r="961" spans="1:23" ht="12.3" hidden="1" x14ac:dyDescent="0.4">
      <c r="A961" s="2" t="s">
        <v>285</v>
      </c>
      <c r="B961" s="2"/>
      <c r="C961" s="2"/>
      <c r="D961" s="2"/>
      <c r="E961" s="2"/>
      <c r="F961" s="2"/>
      <c r="G961" s="2"/>
      <c r="H961" s="2"/>
      <c r="I961" s="2">
        <v>69.793800000000005</v>
      </c>
      <c r="J961" s="2">
        <v>95</v>
      </c>
      <c r="K961" s="2">
        <v>69.527000000000001</v>
      </c>
      <c r="L961" s="2">
        <v>97</v>
      </c>
      <c r="M961" s="2">
        <v>93.917299999999997</v>
      </c>
      <c r="N961" s="2">
        <v>288</v>
      </c>
      <c r="O961" s="2">
        <v>93.8446</v>
      </c>
      <c r="P961" s="2">
        <v>288</v>
      </c>
      <c r="Q961" s="2">
        <v>111.9823</v>
      </c>
      <c r="R961" s="2">
        <v>322</v>
      </c>
      <c r="S961" s="2">
        <v>110.1434</v>
      </c>
      <c r="T961" s="2">
        <v>307</v>
      </c>
      <c r="U961" s="2">
        <v>0.13685600000000001</v>
      </c>
      <c r="V961" s="2">
        <v>306</v>
      </c>
      <c r="W961" s="2">
        <v>2004</v>
      </c>
    </row>
    <row r="962" spans="1:23" ht="12.3" hidden="1" x14ac:dyDescent="0.4">
      <c r="A962" s="2" t="s">
        <v>305</v>
      </c>
      <c r="B962" s="2"/>
      <c r="C962" s="2"/>
      <c r="D962" s="2"/>
      <c r="E962" s="2"/>
      <c r="F962" s="2"/>
      <c r="G962" s="2"/>
      <c r="H962" s="2"/>
      <c r="I962" s="2">
        <v>62.782499999999999</v>
      </c>
      <c r="J962" s="2">
        <v>308</v>
      </c>
      <c r="K962" s="2">
        <v>63.393799999999999</v>
      </c>
      <c r="L962" s="2">
        <v>301</v>
      </c>
      <c r="M962" s="2">
        <v>90.265900000000002</v>
      </c>
      <c r="N962" s="2">
        <v>309</v>
      </c>
      <c r="O962" s="2">
        <v>90.274000000000001</v>
      </c>
      <c r="P962" s="2">
        <v>307</v>
      </c>
      <c r="Q962" s="2">
        <v>103.3279</v>
      </c>
      <c r="R962" s="2">
        <v>211</v>
      </c>
      <c r="S962" s="2">
        <v>105.9997</v>
      </c>
      <c r="T962" s="2">
        <v>260</v>
      </c>
      <c r="U962" s="2">
        <v>0.13625499999999999</v>
      </c>
      <c r="V962" s="2">
        <v>307</v>
      </c>
      <c r="W962" s="2">
        <v>2004</v>
      </c>
    </row>
    <row r="963" spans="1:23" ht="12.3" hidden="1" x14ac:dyDescent="0.4">
      <c r="A963" s="2" t="s">
        <v>255</v>
      </c>
      <c r="B963" s="2"/>
      <c r="C963" s="2"/>
      <c r="D963" s="2"/>
      <c r="E963" s="2"/>
      <c r="F963" s="2"/>
      <c r="G963" s="2"/>
      <c r="H963" s="2"/>
      <c r="I963" s="2">
        <v>71.733599999999996</v>
      </c>
      <c r="J963" s="2">
        <v>34</v>
      </c>
      <c r="K963" s="2">
        <v>72.915499999999994</v>
      </c>
      <c r="L963" s="2">
        <v>14</v>
      </c>
      <c r="M963" s="2">
        <v>88.851799999999997</v>
      </c>
      <c r="N963" s="2">
        <v>315</v>
      </c>
      <c r="O963" s="2">
        <v>88.554000000000002</v>
      </c>
      <c r="P963" s="2">
        <v>311</v>
      </c>
      <c r="Q963" s="2">
        <v>104.9742</v>
      </c>
      <c r="R963" s="2">
        <v>254</v>
      </c>
      <c r="S963" s="2">
        <v>104.9002</v>
      </c>
      <c r="T963" s="2">
        <v>236</v>
      </c>
      <c r="U963" s="2">
        <v>0.124764</v>
      </c>
      <c r="V963" s="2">
        <v>308</v>
      </c>
      <c r="W963" s="2">
        <v>2004</v>
      </c>
    </row>
    <row r="964" spans="1:23" ht="12.3" hidden="1" x14ac:dyDescent="0.4">
      <c r="A964" s="2" t="s">
        <v>261</v>
      </c>
      <c r="B964" s="2"/>
      <c r="C964" s="2"/>
      <c r="D964" s="2"/>
      <c r="E964" s="2"/>
      <c r="F964" s="2"/>
      <c r="G964" s="2"/>
      <c r="H964" s="2"/>
      <c r="I964" s="2">
        <v>69.756</v>
      </c>
      <c r="J964" s="2">
        <v>98</v>
      </c>
      <c r="K964" s="2">
        <v>69.174099999999996</v>
      </c>
      <c r="L964" s="2">
        <v>112</v>
      </c>
      <c r="M964" s="2">
        <v>92.040999999999997</v>
      </c>
      <c r="N964" s="2">
        <v>297</v>
      </c>
      <c r="O964" s="2">
        <v>92.187399999999997</v>
      </c>
      <c r="P964" s="2">
        <v>299</v>
      </c>
      <c r="Q964" s="2">
        <v>104.01349999999999</v>
      </c>
      <c r="R964" s="2">
        <v>234</v>
      </c>
      <c r="S964" s="2">
        <v>110.923</v>
      </c>
      <c r="T964" s="2">
        <v>316</v>
      </c>
      <c r="U964" s="2">
        <v>0.10643900000000001</v>
      </c>
      <c r="V964" s="2">
        <v>309</v>
      </c>
      <c r="W964" s="2">
        <v>2004</v>
      </c>
    </row>
    <row r="965" spans="1:23" ht="12.3" hidden="1" x14ac:dyDescent="0.4">
      <c r="A965" s="2" t="s">
        <v>339</v>
      </c>
      <c r="B965" s="2"/>
      <c r="C965" s="2"/>
      <c r="D965" s="2"/>
      <c r="E965" s="2"/>
      <c r="F965" s="2"/>
      <c r="G965" s="2"/>
      <c r="H965" s="2"/>
      <c r="I965" s="2">
        <v>63.890900000000002</v>
      </c>
      <c r="J965" s="2">
        <v>293</v>
      </c>
      <c r="K965" s="2">
        <v>64.205600000000004</v>
      </c>
      <c r="L965" s="2">
        <v>285</v>
      </c>
      <c r="M965" s="2">
        <v>88.841700000000003</v>
      </c>
      <c r="N965" s="2">
        <v>316</v>
      </c>
      <c r="O965" s="2">
        <v>86.068700000000007</v>
      </c>
      <c r="P965" s="2">
        <v>318</v>
      </c>
      <c r="Q965" s="2">
        <v>101.08880000000001</v>
      </c>
      <c r="R965" s="2">
        <v>155</v>
      </c>
      <c r="S965" s="2">
        <v>103.89360000000001</v>
      </c>
      <c r="T965" s="2">
        <v>209</v>
      </c>
      <c r="U965" s="2">
        <v>0.10298</v>
      </c>
      <c r="V965" s="2">
        <v>310</v>
      </c>
      <c r="W965" s="2">
        <v>2004</v>
      </c>
    </row>
    <row r="966" spans="1:23" ht="12.3" hidden="1" x14ac:dyDescent="0.4">
      <c r="A966" s="2" t="s">
        <v>319</v>
      </c>
      <c r="B966" s="2"/>
      <c r="C966" s="2"/>
      <c r="D966" s="2"/>
      <c r="E966" s="2"/>
      <c r="F966" s="2"/>
      <c r="G966" s="2"/>
      <c r="H966" s="2"/>
      <c r="I966" s="2">
        <v>76.063900000000004</v>
      </c>
      <c r="J966" s="2">
        <v>4</v>
      </c>
      <c r="K966" s="2">
        <v>75.835099999999997</v>
      </c>
      <c r="L966" s="2">
        <v>1</v>
      </c>
      <c r="M966" s="2">
        <v>90.554500000000004</v>
      </c>
      <c r="N966" s="2">
        <v>305</v>
      </c>
      <c r="O966" s="2">
        <v>91.409400000000005</v>
      </c>
      <c r="P966" s="2">
        <v>303</v>
      </c>
      <c r="Q966" s="2">
        <v>112.1613</v>
      </c>
      <c r="R966" s="2">
        <v>323</v>
      </c>
      <c r="S966" s="2">
        <v>111.78579999999999</v>
      </c>
      <c r="T966" s="2">
        <v>320</v>
      </c>
      <c r="U966" s="2">
        <v>8.9953000000000005E-2</v>
      </c>
      <c r="V966" s="2">
        <v>311</v>
      </c>
      <c r="W966" s="2">
        <v>2004</v>
      </c>
    </row>
    <row r="967" spans="1:23" ht="12.3" hidden="1" x14ac:dyDescent="0.4">
      <c r="A967" s="2" t="s">
        <v>242</v>
      </c>
      <c r="B967" s="2"/>
      <c r="C967" s="2"/>
      <c r="D967" s="2"/>
      <c r="E967" s="2"/>
      <c r="F967" s="2"/>
      <c r="G967" s="2"/>
      <c r="H967" s="2"/>
      <c r="I967" s="2">
        <v>67.007099999999994</v>
      </c>
      <c r="J967" s="2">
        <v>194</v>
      </c>
      <c r="K967" s="2">
        <v>68.488299999999995</v>
      </c>
      <c r="L967" s="2">
        <v>131</v>
      </c>
      <c r="M967" s="2">
        <v>89.712000000000003</v>
      </c>
      <c r="N967" s="2">
        <v>310</v>
      </c>
      <c r="O967" s="2">
        <v>86.059600000000003</v>
      </c>
      <c r="P967" s="2">
        <v>319</v>
      </c>
      <c r="Q967" s="2">
        <v>97.838700000000003</v>
      </c>
      <c r="R967" s="2">
        <v>93</v>
      </c>
      <c r="S967" s="2">
        <v>105.39870000000001</v>
      </c>
      <c r="T967" s="2">
        <v>247</v>
      </c>
      <c r="U967" s="2">
        <v>8.8575000000000001E-2</v>
      </c>
      <c r="V967" s="2">
        <v>312</v>
      </c>
      <c r="W967" s="2">
        <v>2004</v>
      </c>
    </row>
    <row r="968" spans="1:23" ht="12.3" hidden="1" x14ac:dyDescent="0.4">
      <c r="A968" s="2" t="s">
        <v>260</v>
      </c>
      <c r="B968" s="2"/>
      <c r="C968" s="2"/>
      <c r="D968" s="2"/>
      <c r="E968" s="2"/>
      <c r="F968" s="2"/>
      <c r="G968" s="2"/>
      <c r="H968" s="2"/>
      <c r="I968" s="2">
        <v>64.906000000000006</v>
      </c>
      <c r="J968" s="2">
        <v>259</v>
      </c>
      <c r="K968" s="2">
        <v>64.016599999999997</v>
      </c>
      <c r="L968" s="2">
        <v>290</v>
      </c>
      <c r="M968" s="2">
        <v>82.631399999999999</v>
      </c>
      <c r="N968" s="2">
        <v>321</v>
      </c>
      <c r="O968" s="2">
        <v>81.891800000000003</v>
      </c>
      <c r="P968" s="2">
        <v>322</v>
      </c>
      <c r="Q968" s="2">
        <v>104.355</v>
      </c>
      <c r="R968" s="2">
        <v>245</v>
      </c>
      <c r="S968" s="2">
        <v>100.80029999999999</v>
      </c>
      <c r="T968" s="2">
        <v>153</v>
      </c>
      <c r="U968" s="2">
        <v>8.4013000000000004E-2</v>
      </c>
      <c r="V968" s="2">
        <v>313</v>
      </c>
      <c r="W968" s="2">
        <v>2004</v>
      </c>
    </row>
    <row r="969" spans="1:23" ht="12.3" hidden="1" x14ac:dyDescent="0.4">
      <c r="A969" s="2" t="s">
        <v>313</v>
      </c>
      <c r="B969" s="2"/>
      <c r="C969" s="2"/>
      <c r="D969" s="2"/>
      <c r="E969" s="2"/>
      <c r="F969" s="2"/>
      <c r="G969" s="2"/>
      <c r="H969" s="2"/>
      <c r="I969" s="2">
        <v>65.390199999999993</v>
      </c>
      <c r="J969" s="2">
        <v>248</v>
      </c>
      <c r="K969" s="2">
        <v>65.263099999999994</v>
      </c>
      <c r="L969" s="2">
        <v>255</v>
      </c>
      <c r="M969" s="2">
        <v>89.222200000000001</v>
      </c>
      <c r="N969" s="2">
        <v>313</v>
      </c>
      <c r="O969" s="2">
        <v>89.328500000000005</v>
      </c>
      <c r="P969" s="2">
        <v>310</v>
      </c>
      <c r="Q969" s="2">
        <v>101.1508</v>
      </c>
      <c r="R969" s="2">
        <v>156</v>
      </c>
      <c r="S969" s="2">
        <v>111.16840000000001</v>
      </c>
      <c r="T969" s="2">
        <v>317</v>
      </c>
      <c r="U969" s="2">
        <v>7.4788999999999994E-2</v>
      </c>
      <c r="V969" s="2">
        <v>314</v>
      </c>
      <c r="W969" s="2">
        <v>2004</v>
      </c>
    </row>
    <row r="970" spans="1:23" ht="12.3" hidden="1" x14ac:dyDescent="0.4">
      <c r="A970" s="2" t="s">
        <v>352</v>
      </c>
      <c r="B970" s="2"/>
      <c r="C970" s="2"/>
      <c r="D970" s="2"/>
      <c r="E970" s="2"/>
      <c r="F970" s="2"/>
      <c r="G970" s="2"/>
      <c r="H970" s="2"/>
      <c r="I970" s="2">
        <v>73.004000000000005</v>
      </c>
      <c r="J970" s="2">
        <v>20</v>
      </c>
      <c r="K970" s="2">
        <v>73.860100000000003</v>
      </c>
      <c r="L970" s="2">
        <v>10</v>
      </c>
      <c r="M970" s="2">
        <v>82.158900000000003</v>
      </c>
      <c r="N970" s="2">
        <v>322</v>
      </c>
      <c r="O970" s="2">
        <v>84.9328</v>
      </c>
      <c r="P970" s="2">
        <v>320</v>
      </c>
      <c r="Q970" s="2">
        <v>107.62690000000001</v>
      </c>
      <c r="R970" s="2">
        <v>296</v>
      </c>
      <c r="S970" s="2">
        <v>105.91289999999999</v>
      </c>
      <c r="T970" s="2">
        <v>258</v>
      </c>
      <c r="U970" s="2">
        <v>7.3189000000000004E-2</v>
      </c>
      <c r="V970" s="2">
        <v>315</v>
      </c>
      <c r="W970" s="2">
        <v>2004</v>
      </c>
    </row>
    <row r="971" spans="1:23" ht="12.3" hidden="1" x14ac:dyDescent="0.4">
      <c r="A971" s="2" t="s">
        <v>179</v>
      </c>
      <c r="B971" s="2"/>
      <c r="C971" s="2"/>
      <c r="D971" s="2"/>
      <c r="E971" s="2"/>
      <c r="F971" s="2"/>
      <c r="G971" s="2"/>
      <c r="H971" s="2"/>
      <c r="I971" s="2">
        <v>67.327600000000004</v>
      </c>
      <c r="J971" s="2">
        <v>189</v>
      </c>
      <c r="K971" s="2">
        <v>65.314099999999996</v>
      </c>
      <c r="L971" s="2">
        <v>253</v>
      </c>
      <c r="M971" s="2">
        <v>83.5989</v>
      </c>
      <c r="N971" s="2">
        <v>319</v>
      </c>
      <c r="O971" s="2">
        <v>86.078900000000004</v>
      </c>
      <c r="P971" s="2">
        <v>317</v>
      </c>
      <c r="Q971" s="2">
        <v>107.7063</v>
      </c>
      <c r="R971" s="2">
        <v>298</v>
      </c>
      <c r="S971" s="2">
        <v>107.7041</v>
      </c>
      <c r="T971" s="2">
        <v>283</v>
      </c>
      <c r="U971" s="2">
        <v>7.0606000000000002E-2</v>
      </c>
      <c r="V971" s="2">
        <v>316</v>
      </c>
      <c r="W971" s="2">
        <v>2004</v>
      </c>
    </row>
    <row r="972" spans="1:23" ht="12.3" hidden="1" x14ac:dyDescent="0.4">
      <c r="A972" s="2" t="s">
        <v>340</v>
      </c>
      <c r="B972" s="2"/>
      <c r="C972" s="2"/>
      <c r="D972" s="2"/>
      <c r="E972" s="2"/>
      <c r="F972" s="2"/>
      <c r="G972" s="2"/>
      <c r="H972" s="2"/>
      <c r="I972" s="2">
        <v>67.867000000000004</v>
      </c>
      <c r="J972" s="2">
        <v>167</v>
      </c>
      <c r="K972" s="2">
        <v>68.157499999999999</v>
      </c>
      <c r="L972" s="2">
        <v>150</v>
      </c>
      <c r="M972" s="2">
        <v>88.658100000000005</v>
      </c>
      <c r="N972" s="2">
        <v>317</v>
      </c>
      <c r="O972" s="2">
        <v>88.039599999999993</v>
      </c>
      <c r="P972" s="2">
        <v>312</v>
      </c>
      <c r="Q972" s="2">
        <v>109.5373</v>
      </c>
      <c r="R972" s="2">
        <v>310</v>
      </c>
      <c r="S972" s="2">
        <v>110.2171</v>
      </c>
      <c r="T972" s="2">
        <v>310</v>
      </c>
      <c r="U972" s="2">
        <v>7.0197999999999997E-2</v>
      </c>
      <c r="V972" s="2">
        <v>317</v>
      </c>
      <c r="W972" s="2">
        <v>2004</v>
      </c>
    </row>
    <row r="973" spans="1:23" ht="12.3" hidden="1" x14ac:dyDescent="0.4">
      <c r="A973" s="2" t="s">
        <v>347</v>
      </c>
      <c r="B973" s="2"/>
      <c r="C973" s="2"/>
      <c r="D973" s="2"/>
      <c r="E973" s="2"/>
      <c r="F973" s="2"/>
      <c r="G973" s="2"/>
      <c r="H973" s="2"/>
      <c r="I973" s="2">
        <v>70.305499999999995</v>
      </c>
      <c r="J973" s="2">
        <v>73</v>
      </c>
      <c r="K973" s="2">
        <v>68.216999999999999</v>
      </c>
      <c r="L973" s="2">
        <v>147</v>
      </c>
      <c r="M973" s="2">
        <v>89.402900000000002</v>
      </c>
      <c r="N973" s="2">
        <v>312</v>
      </c>
      <c r="O973" s="2">
        <v>89.520799999999994</v>
      </c>
      <c r="P973" s="2">
        <v>309</v>
      </c>
      <c r="Q973" s="2">
        <v>109.3891</v>
      </c>
      <c r="R973" s="2">
        <v>307</v>
      </c>
      <c r="S973" s="2">
        <v>112.3115</v>
      </c>
      <c r="T973" s="2">
        <v>324</v>
      </c>
      <c r="U973" s="2">
        <v>6.8608000000000002E-2</v>
      </c>
      <c r="V973" s="2">
        <v>318</v>
      </c>
      <c r="W973" s="2">
        <v>2004</v>
      </c>
    </row>
    <row r="974" spans="1:23" ht="12.3" hidden="1" x14ac:dyDescent="0.4">
      <c r="A974" s="2" t="s">
        <v>263</v>
      </c>
      <c r="B974" s="2"/>
      <c r="C974" s="2"/>
      <c r="D974" s="2"/>
      <c r="E974" s="2"/>
      <c r="F974" s="2"/>
      <c r="G974" s="2"/>
      <c r="H974" s="2"/>
      <c r="I974" s="2">
        <v>66.023099999999999</v>
      </c>
      <c r="J974" s="2">
        <v>230</v>
      </c>
      <c r="K974" s="2">
        <v>66.107100000000003</v>
      </c>
      <c r="L974" s="2">
        <v>219</v>
      </c>
      <c r="M974" s="2">
        <v>82.721699999999998</v>
      </c>
      <c r="N974" s="2">
        <v>320</v>
      </c>
      <c r="O974" s="2">
        <v>83.189700000000002</v>
      </c>
      <c r="P974" s="2">
        <v>321</v>
      </c>
      <c r="Q974" s="2">
        <v>103.7341</v>
      </c>
      <c r="R974" s="2">
        <v>222</v>
      </c>
      <c r="S974" s="2">
        <v>104.7264</v>
      </c>
      <c r="T974" s="2">
        <v>235</v>
      </c>
      <c r="U974" s="2">
        <v>6.6136E-2</v>
      </c>
      <c r="V974" s="2">
        <v>319</v>
      </c>
      <c r="W974" s="2">
        <v>2004</v>
      </c>
    </row>
    <row r="975" spans="1:23" ht="12.3" hidden="1" x14ac:dyDescent="0.4">
      <c r="A975" s="2" t="s">
        <v>327</v>
      </c>
      <c r="B975" s="2"/>
      <c r="C975" s="2"/>
      <c r="D975" s="2"/>
      <c r="E975" s="2"/>
      <c r="F975" s="2"/>
      <c r="G975" s="2"/>
      <c r="H975" s="2"/>
      <c r="I975" s="2">
        <v>63.248899999999999</v>
      </c>
      <c r="J975" s="2">
        <v>304</v>
      </c>
      <c r="K975" s="2">
        <v>63.972200000000001</v>
      </c>
      <c r="L975" s="2">
        <v>291</v>
      </c>
      <c r="M975" s="2">
        <v>88.425600000000003</v>
      </c>
      <c r="N975" s="2">
        <v>318</v>
      </c>
      <c r="O975" s="2">
        <v>87.430800000000005</v>
      </c>
      <c r="P975" s="2">
        <v>314</v>
      </c>
      <c r="Q975" s="2">
        <v>107.3848</v>
      </c>
      <c r="R975" s="2">
        <v>293</v>
      </c>
      <c r="S975" s="2">
        <v>110.48650000000001</v>
      </c>
      <c r="T975" s="2">
        <v>313</v>
      </c>
      <c r="U975" s="2">
        <v>6.3476000000000005E-2</v>
      </c>
      <c r="V975" s="2">
        <v>320</v>
      </c>
      <c r="W975" s="2">
        <v>2004</v>
      </c>
    </row>
    <row r="976" spans="1:23" ht="12.3" hidden="1" x14ac:dyDescent="0.4">
      <c r="A976" s="2" t="s">
        <v>321</v>
      </c>
      <c r="B976" s="2"/>
      <c r="C976" s="2"/>
      <c r="D976" s="2"/>
      <c r="E976" s="2"/>
      <c r="F976" s="2"/>
      <c r="G976" s="2"/>
      <c r="H976" s="2"/>
      <c r="I976" s="2">
        <v>64.140299999999996</v>
      </c>
      <c r="J976" s="2">
        <v>286</v>
      </c>
      <c r="K976" s="2">
        <v>63.709699999999998</v>
      </c>
      <c r="L976" s="2">
        <v>294</v>
      </c>
      <c r="M976" s="2">
        <v>90.529600000000002</v>
      </c>
      <c r="N976" s="2">
        <v>306</v>
      </c>
      <c r="O976" s="2">
        <v>90.732200000000006</v>
      </c>
      <c r="P976" s="2">
        <v>306</v>
      </c>
      <c r="Q976" s="2">
        <v>106.43640000000001</v>
      </c>
      <c r="R976" s="2">
        <v>282</v>
      </c>
      <c r="S976" s="2">
        <v>115.29510000000001</v>
      </c>
      <c r="T976" s="2">
        <v>326</v>
      </c>
      <c r="U976" s="2">
        <v>5.9794E-2</v>
      </c>
      <c r="V976" s="2">
        <v>321</v>
      </c>
      <c r="W976" s="2">
        <v>2004</v>
      </c>
    </row>
    <row r="977" spans="1:23" ht="12.3" hidden="1" x14ac:dyDescent="0.4">
      <c r="A977" s="2" t="s">
        <v>342</v>
      </c>
      <c r="B977" s="2"/>
      <c r="C977" s="2"/>
      <c r="D977" s="2"/>
      <c r="E977" s="2"/>
      <c r="F977" s="2"/>
      <c r="G977" s="2"/>
      <c r="H977" s="2"/>
      <c r="I977" s="2">
        <v>69.138000000000005</v>
      </c>
      <c r="J977" s="2">
        <v>118</v>
      </c>
      <c r="K977" s="2">
        <v>68.794700000000006</v>
      </c>
      <c r="L977" s="2">
        <v>121</v>
      </c>
      <c r="M977" s="2">
        <v>89.175899999999999</v>
      </c>
      <c r="N977" s="2">
        <v>314</v>
      </c>
      <c r="O977" s="2">
        <v>87.850300000000004</v>
      </c>
      <c r="P977" s="2">
        <v>313</v>
      </c>
      <c r="Q977" s="2">
        <v>105.169</v>
      </c>
      <c r="R977" s="2">
        <v>258</v>
      </c>
      <c r="S977" s="2">
        <v>111.6795</v>
      </c>
      <c r="T977" s="2">
        <v>319</v>
      </c>
      <c r="U977" s="2">
        <v>5.9525000000000002E-2</v>
      </c>
      <c r="V977" s="2">
        <v>322</v>
      </c>
      <c r="W977" s="2">
        <v>2004</v>
      </c>
    </row>
    <row r="978" spans="1:23" ht="12.3" hidden="1" x14ac:dyDescent="0.4">
      <c r="A978" s="2" t="s">
        <v>300</v>
      </c>
      <c r="B978" s="2"/>
      <c r="C978" s="2"/>
      <c r="D978" s="2"/>
      <c r="E978" s="2"/>
      <c r="F978" s="2"/>
      <c r="G978" s="2"/>
      <c r="H978" s="2"/>
      <c r="I978" s="2">
        <v>66.5381</v>
      </c>
      <c r="J978" s="2">
        <v>208</v>
      </c>
      <c r="K978" s="2">
        <v>68.1785</v>
      </c>
      <c r="L978" s="2">
        <v>148</v>
      </c>
      <c r="M978" s="2">
        <v>81.769000000000005</v>
      </c>
      <c r="N978" s="2">
        <v>323</v>
      </c>
      <c r="O978" s="2">
        <v>81.187899999999999</v>
      </c>
      <c r="P978" s="2">
        <v>323</v>
      </c>
      <c r="Q978" s="2">
        <v>106.88200000000001</v>
      </c>
      <c r="R978" s="2">
        <v>288</v>
      </c>
      <c r="S978" s="2">
        <v>103.5843</v>
      </c>
      <c r="T978" s="2">
        <v>195</v>
      </c>
      <c r="U978" s="2">
        <v>5.7236000000000002E-2</v>
      </c>
      <c r="V978" s="2">
        <v>323</v>
      </c>
      <c r="W978" s="2">
        <v>2004</v>
      </c>
    </row>
    <row r="979" spans="1:23" ht="12.3" hidden="1" x14ac:dyDescent="0.4">
      <c r="A979" s="2" t="s">
        <v>296</v>
      </c>
      <c r="B979" s="2"/>
      <c r="C979" s="2"/>
      <c r="D979" s="2"/>
      <c r="E979" s="2"/>
      <c r="F979" s="2"/>
      <c r="G979" s="2"/>
      <c r="H979" s="2"/>
      <c r="I979" s="2">
        <v>74.9251</v>
      </c>
      <c r="J979" s="2">
        <v>8</v>
      </c>
      <c r="K979" s="2">
        <v>75.078900000000004</v>
      </c>
      <c r="L979" s="2">
        <v>5</v>
      </c>
      <c r="M979" s="2">
        <v>76.938500000000005</v>
      </c>
      <c r="N979" s="2">
        <v>325</v>
      </c>
      <c r="O979" s="2">
        <v>76.551500000000004</v>
      </c>
      <c r="P979" s="2">
        <v>326</v>
      </c>
      <c r="Q979" s="2">
        <v>98.763099999999994</v>
      </c>
      <c r="R979" s="2">
        <v>105</v>
      </c>
      <c r="S979" s="2">
        <v>100.12860000000001</v>
      </c>
      <c r="T979" s="2">
        <v>144</v>
      </c>
      <c r="U979" s="2">
        <v>4.3618999999999998E-2</v>
      </c>
      <c r="V979" s="2">
        <v>324</v>
      </c>
      <c r="W979" s="2">
        <v>2004</v>
      </c>
    </row>
    <row r="980" spans="1:23" ht="12.3" hidden="1" x14ac:dyDescent="0.4">
      <c r="A980" s="2" t="s">
        <v>314</v>
      </c>
      <c r="B980" s="2"/>
      <c r="C980" s="2"/>
      <c r="D980" s="2"/>
      <c r="E980" s="2"/>
      <c r="F980" s="2"/>
      <c r="G980" s="2"/>
      <c r="H980" s="2"/>
      <c r="I980" s="2">
        <v>63.435499999999998</v>
      </c>
      <c r="J980" s="2">
        <v>300</v>
      </c>
      <c r="K980" s="2">
        <v>63.8474</v>
      </c>
      <c r="L980" s="2">
        <v>292</v>
      </c>
      <c r="M980" s="2">
        <v>77.500600000000006</v>
      </c>
      <c r="N980" s="2">
        <v>324</v>
      </c>
      <c r="O980" s="2">
        <v>78.614000000000004</v>
      </c>
      <c r="P980" s="2">
        <v>324</v>
      </c>
      <c r="Q980" s="2">
        <v>101.575</v>
      </c>
      <c r="R980" s="2">
        <v>168</v>
      </c>
      <c r="S980" s="2">
        <v>104.6764</v>
      </c>
      <c r="T980" s="2">
        <v>233</v>
      </c>
      <c r="U980" s="2">
        <v>3.5822E-2</v>
      </c>
      <c r="V980" s="2">
        <v>325</v>
      </c>
      <c r="W980" s="2">
        <v>2004</v>
      </c>
    </row>
    <row r="981" spans="1:23" ht="12.3" hidden="1" x14ac:dyDescent="0.4">
      <c r="A981" s="2" t="s">
        <v>351</v>
      </c>
      <c r="B981" s="2"/>
      <c r="C981" s="2"/>
      <c r="D981" s="2"/>
      <c r="E981" s="2"/>
      <c r="F981" s="2"/>
      <c r="G981" s="2"/>
      <c r="H981" s="2"/>
      <c r="I981" s="2">
        <v>70.003200000000007</v>
      </c>
      <c r="J981" s="2">
        <v>89</v>
      </c>
      <c r="K981" s="2">
        <v>69.524000000000001</v>
      </c>
      <c r="L981" s="2">
        <v>98</v>
      </c>
      <c r="M981" s="2">
        <v>75.2136</v>
      </c>
      <c r="N981" s="2">
        <v>326</v>
      </c>
      <c r="O981" s="2">
        <v>76.767399999999995</v>
      </c>
      <c r="P981" s="2">
        <v>325</v>
      </c>
      <c r="Q981" s="2">
        <v>106.5097</v>
      </c>
      <c r="R981" s="2">
        <v>283</v>
      </c>
      <c r="S981" s="2">
        <v>110.1635</v>
      </c>
      <c r="T981" s="2">
        <v>308</v>
      </c>
      <c r="U981" s="2">
        <v>1.5464E-2</v>
      </c>
      <c r="V981" s="2">
        <v>326</v>
      </c>
      <c r="W981" s="2">
        <v>2004</v>
      </c>
    </row>
    <row r="982" spans="1:23" ht="12.3" x14ac:dyDescent="0.4">
      <c r="A982" s="2" t="s">
        <v>266</v>
      </c>
      <c r="B982" s="2">
        <v>16</v>
      </c>
      <c r="C982" s="25"/>
      <c r="D982" s="25"/>
      <c r="E982" s="25"/>
      <c r="F982" s="25"/>
      <c r="G982" s="25"/>
      <c r="H982" s="2"/>
      <c r="I982" s="2">
        <v>68.553600000000003</v>
      </c>
      <c r="J982" s="2">
        <v>62</v>
      </c>
      <c r="K982" s="2">
        <v>67.026300000000006</v>
      </c>
      <c r="L982" s="2">
        <v>121</v>
      </c>
      <c r="M982" s="2">
        <v>105.6296</v>
      </c>
      <c r="N982" s="2">
        <v>85</v>
      </c>
      <c r="O982" s="2">
        <v>105.5522</v>
      </c>
      <c r="P982" s="2">
        <v>86</v>
      </c>
      <c r="Q982" s="2">
        <v>95.410899999999998</v>
      </c>
      <c r="R982" s="2">
        <v>55</v>
      </c>
      <c r="S982" s="2">
        <v>98.787400000000005</v>
      </c>
      <c r="T982" s="2">
        <v>122</v>
      </c>
      <c r="U982" s="2">
        <v>0.68172500000000003</v>
      </c>
      <c r="V982" s="2">
        <v>98</v>
      </c>
      <c r="W982" s="2">
        <v>2012</v>
      </c>
    </row>
    <row r="983" spans="1:23" ht="12.3" x14ac:dyDescent="0.4">
      <c r="A983" s="2" t="s">
        <v>132</v>
      </c>
      <c r="B983" s="2">
        <v>15</v>
      </c>
      <c r="C983" s="25"/>
      <c r="D983" s="25"/>
      <c r="E983" s="25"/>
      <c r="F983" s="25"/>
      <c r="G983" s="25"/>
      <c r="H983" s="25"/>
      <c r="I983" s="2">
        <v>66.800399999999996</v>
      </c>
      <c r="J983" s="2">
        <v>140</v>
      </c>
      <c r="K983" s="2">
        <v>68.207800000000006</v>
      </c>
      <c r="L983" s="2">
        <v>73</v>
      </c>
      <c r="M983" s="2">
        <v>105.69289999999999</v>
      </c>
      <c r="N983" s="2">
        <v>84</v>
      </c>
      <c r="O983" s="2">
        <v>107.17400000000001</v>
      </c>
      <c r="P983" s="2">
        <v>64</v>
      </c>
      <c r="Q983" s="2">
        <v>101.07559999999999</v>
      </c>
      <c r="R983" s="2">
        <v>175</v>
      </c>
      <c r="S983" s="2">
        <v>101.1803</v>
      </c>
      <c r="T983" s="2">
        <v>166</v>
      </c>
      <c r="U983" s="2">
        <v>0.65966999999999998</v>
      </c>
      <c r="V983" s="2">
        <v>107</v>
      </c>
      <c r="W983" s="2">
        <v>2012</v>
      </c>
    </row>
    <row r="984" spans="1:23" ht="12.3" x14ac:dyDescent="0.4">
      <c r="A984" s="2" t="s">
        <v>220</v>
      </c>
      <c r="B984" s="2">
        <v>16</v>
      </c>
      <c r="C984" s="25"/>
      <c r="D984" s="25"/>
      <c r="E984" s="2"/>
      <c r="F984" s="2"/>
      <c r="G984" s="2"/>
      <c r="H984" s="2"/>
      <c r="I984" s="2">
        <v>63.268700000000003</v>
      </c>
      <c r="J984" s="2">
        <v>295</v>
      </c>
      <c r="K984" s="2">
        <v>63.640300000000003</v>
      </c>
      <c r="L984" s="2">
        <v>282</v>
      </c>
      <c r="M984" s="2">
        <v>105.0145</v>
      </c>
      <c r="N984" s="2">
        <v>97</v>
      </c>
      <c r="O984" s="2">
        <v>101.35769999999999</v>
      </c>
      <c r="P984" s="2">
        <v>164</v>
      </c>
      <c r="Q984" s="2">
        <v>94.652500000000003</v>
      </c>
      <c r="R984" s="2">
        <v>47</v>
      </c>
      <c r="S984" s="2">
        <v>97.380399999999995</v>
      </c>
      <c r="T984" s="2">
        <v>90</v>
      </c>
      <c r="U984" s="2">
        <v>0.61309899999999995</v>
      </c>
      <c r="V984" s="2">
        <v>121</v>
      </c>
      <c r="W984" s="2">
        <v>2012</v>
      </c>
    </row>
    <row r="985" spans="1:23" ht="12.3" x14ac:dyDescent="0.4">
      <c r="A985" s="2" t="s">
        <v>281</v>
      </c>
      <c r="B985" s="2">
        <v>16</v>
      </c>
      <c r="C985" s="25"/>
      <c r="D985" s="25"/>
      <c r="E985" s="25"/>
      <c r="F985" s="25"/>
      <c r="G985" s="25"/>
      <c r="H985" s="2"/>
      <c r="I985" s="2">
        <v>70.191299999999998</v>
      </c>
      <c r="J985" s="2">
        <v>31</v>
      </c>
      <c r="K985" s="2">
        <v>69.466700000000003</v>
      </c>
      <c r="L985" s="2">
        <v>35</v>
      </c>
      <c r="M985" s="2">
        <v>111.4371</v>
      </c>
      <c r="N985" s="2">
        <v>19</v>
      </c>
      <c r="O985" s="2">
        <v>107.1992</v>
      </c>
      <c r="P985" s="2">
        <v>63</v>
      </c>
      <c r="Q985" s="2">
        <v>102.30589999999999</v>
      </c>
      <c r="R985" s="2">
        <v>200</v>
      </c>
      <c r="S985" s="2">
        <v>103.1621</v>
      </c>
      <c r="T985" s="2">
        <v>212</v>
      </c>
      <c r="U985" s="2">
        <v>0.60860400000000003</v>
      </c>
      <c r="V985" s="2">
        <v>122</v>
      </c>
      <c r="W985" s="2">
        <v>2012</v>
      </c>
    </row>
    <row r="986" spans="1:23" ht="12.3" x14ac:dyDescent="0.4">
      <c r="A986" s="2" t="s">
        <v>340</v>
      </c>
      <c r="B986" s="2">
        <v>15</v>
      </c>
      <c r="C986" s="25"/>
      <c r="D986" s="2"/>
      <c r="E986" s="2"/>
      <c r="F986" s="2"/>
      <c r="G986" s="2"/>
      <c r="H986" s="2"/>
      <c r="I986" s="2">
        <v>65.218000000000004</v>
      </c>
      <c r="J986" s="2">
        <v>217</v>
      </c>
      <c r="K986" s="2">
        <v>64.148899999999998</v>
      </c>
      <c r="L986" s="2">
        <v>262</v>
      </c>
      <c r="M986" s="2">
        <v>103.69289999999999</v>
      </c>
      <c r="N986" s="2">
        <v>117</v>
      </c>
      <c r="O986" s="2">
        <v>102.19240000000001</v>
      </c>
      <c r="P986" s="2">
        <v>144</v>
      </c>
      <c r="Q986" s="2">
        <v>97.623000000000005</v>
      </c>
      <c r="R986" s="2">
        <v>90</v>
      </c>
      <c r="S986" s="2">
        <v>98.6083</v>
      </c>
      <c r="T986" s="2">
        <v>117</v>
      </c>
      <c r="U986" s="2">
        <v>0.60122500000000001</v>
      </c>
      <c r="V986" s="2">
        <v>128</v>
      </c>
      <c r="W986" s="2">
        <v>2012</v>
      </c>
    </row>
    <row r="987" spans="1:23" ht="12.3" x14ac:dyDescent="0.4">
      <c r="A987" s="2" t="s">
        <v>343</v>
      </c>
      <c r="B987" s="2">
        <v>16</v>
      </c>
      <c r="C987" s="25"/>
      <c r="D987" s="2"/>
      <c r="E987" s="2"/>
      <c r="F987" s="2"/>
      <c r="G987" s="2"/>
      <c r="H987" s="2"/>
      <c r="I987" s="2">
        <v>74.972700000000003</v>
      </c>
      <c r="J987" s="2">
        <v>2</v>
      </c>
      <c r="K987" s="2">
        <v>74.442800000000005</v>
      </c>
      <c r="L987" s="2">
        <v>2</v>
      </c>
      <c r="M987" s="2">
        <v>108.8421</v>
      </c>
      <c r="N987" s="2">
        <v>40</v>
      </c>
      <c r="O987" s="2">
        <v>106.8891</v>
      </c>
      <c r="P987" s="2">
        <v>68</v>
      </c>
      <c r="Q987" s="2">
        <v>102.68559999999999</v>
      </c>
      <c r="R987" s="2">
        <v>210</v>
      </c>
      <c r="S987" s="2">
        <v>106.5365</v>
      </c>
      <c r="T987" s="2">
        <v>277</v>
      </c>
      <c r="U987" s="2">
        <v>0.50949999999999995</v>
      </c>
      <c r="V987" s="2">
        <v>161</v>
      </c>
      <c r="W987" s="2">
        <v>2012</v>
      </c>
    </row>
    <row r="988" spans="1:23" ht="12.3" x14ac:dyDescent="0.4">
      <c r="A988" s="2" t="s">
        <v>320</v>
      </c>
      <c r="B988" s="2">
        <v>15</v>
      </c>
      <c r="C988" s="3" t="s">
        <v>33</v>
      </c>
      <c r="D988" s="25"/>
      <c r="E988" s="2"/>
      <c r="F988" s="2"/>
      <c r="G988" s="2"/>
      <c r="H988" s="2"/>
      <c r="I988" s="2">
        <v>68.635000000000005</v>
      </c>
      <c r="J988" s="2">
        <v>57</v>
      </c>
      <c r="K988" s="2">
        <v>67.735500000000002</v>
      </c>
      <c r="L988" s="2">
        <v>92</v>
      </c>
      <c r="M988" s="2">
        <v>100.4777</v>
      </c>
      <c r="N988" s="2">
        <v>178</v>
      </c>
      <c r="O988" s="2">
        <v>98.803200000000004</v>
      </c>
      <c r="P988" s="2">
        <v>217</v>
      </c>
      <c r="Q988" s="2">
        <v>96.478800000000007</v>
      </c>
      <c r="R988" s="2">
        <v>70</v>
      </c>
      <c r="S988" s="2">
        <v>101.0852</v>
      </c>
      <c r="T988" s="2">
        <v>163</v>
      </c>
      <c r="U988" s="2">
        <v>0.434728</v>
      </c>
      <c r="V988" s="2">
        <v>188</v>
      </c>
      <c r="W988" s="2">
        <v>2012</v>
      </c>
    </row>
    <row r="989" spans="1:23" ht="12.3" x14ac:dyDescent="0.4">
      <c r="A989" s="2" t="s">
        <v>68</v>
      </c>
      <c r="B989" s="2">
        <v>16</v>
      </c>
      <c r="C989" s="25"/>
      <c r="D989" s="25"/>
      <c r="E989" s="2"/>
      <c r="F989" s="2"/>
      <c r="G989" s="2"/>
      <c r="H989" s="2"/>
      <c r="I989" s="2">
        <v>68.222099999999998</v>
      </c>
      <c r="J989" s="2">
        <v>77</v>
      </c>
      <c r="K989" s="2">
        <v>68.706400000000002</v>
      </c>
      <c r="L989" s="2">
        <v>53</v>
      </c>
      <c r="M989" s="2">
        <v>94.913600000000002</v>
      </c>
      <c r="N989" s="2">
        <v>282</v>
      </c>
      <c r="O989" s="2">
        <v>97.150300000000001</v>
      </c>
      <c r="P989" s="2">
        <v>247</v>
      </c>
      <c r="Q989" s="2">
        <v>99.162599999999998</v>
      </c>
      <c r="R989" s="2">
        <v>131</v>
      </c>
      <c r="S989" s="2">
        <v>99.748400000000004</v>
      </c>
      <c r="T989" s="2">
        <v>139</v>
      </c>
      <c r="U989" s="2">
        <v>0.42469899999999999</v>
      </c>
      <c r="V989" s="2">
        <v>192</v>
      </c>
      <c r="W989" s="2">
        <v>2012</v>
      </c>
    </row>
    <row r="990" spans="1:23" ht="12.3" x14ac:dyDescent="0.4">
      <c r="A990" s="2" t="s">
        <v>299</v>
      </c>
      <c r="B990" s="2">
        <v>16</v>
      </c>
      <c r="C990" s="25"/>
      <c r="D990" s="2"/>
      <c r="E990" s="2"/>
      <c r="F990" s="2"/>
      <c r="G990" s="2"/>
      <c r="H990" s="2"/>
      <c r="I990" s="2">
        <v>69.792299999999997</v>
      </c>
      <c r="J990" s="2">
        <v>36</v>
      </c>
      <c r="K990" s="2">
        <v>69.7714</v>
      </c>
      <c r="L990" s="2">
        <v>29</v>
      </c>
      <c r="M990" s="2">
        <v>97.946700000000007</v>
      </c>
      <c r="N990" s="2">
        <v>234</v>
      </c>
      <c r="O990" s="2">
        <v>97.327799999999996</v>
      </c>
      <c r="P990" s="2">
        <v>243</v>
      </c>
      <c r="Q990" s="2">
        <v>98.540300000000002</v>
      </c>
      <c r="R990" s="2">
        <v>114</v>
      </c>
      <c r="S990" s="2">
        <v>103.547</v>
      </c>
      <c r="T990" s="2">
        <v>222</v>
      </c>
      <c r="U990" s="2">
        <v>0.32908500000000002</v>
      </c>
      <c r="V990" s="2">
        <v>235</v>
      </c>
      <c r="W990" s="2">
        <v>2012</v>
      </c>
    </row>
    <row r="991" spans="1:23" ht="12.3" x14ac:dyDescent="0.4">
      <c r="A991" s="2" t="s">
        <v>21</v>
      </c>
      <c r="B991" s="2">
        <v>1</v>
      </c>
      <c r="C991" s="3" t="s">
        <v>33</v>
      </c>
      <c r="D991" s="3" t="s">
        <v>33</v>
      </c>
      <c r="E991" s="25"/>
      <c r="F991" s="2"/>
      <c r="G991" s="2"/>
      <c r="H991" s="2"/>
      <c r="I991" s="2">
        <v>64.483000000000004</v>
      </c>
      <c r="J991" s="2">
        <v>269</v>
      </c>
      <c r="K991" s="2">
        <v>65.619699999999995</v>
      </c>
      <c r="L991" s="2">
        <v>229</v>
      </c>
      <c r="M991" s="2">
        <v>119.2011</v>
      </c>
      <c r="N991" s="2">
        <v>1</v>
      </c>
      <c r="O991" s="2">
        <v>122.7577</v>
      </c>
      <c r="P991" s="2">
        <v>1</v>
      </c>
      <c r="Q991" s="2">
        <v>93.425799999999995</v>
      </c>
      <c r="R991" s="2">
        <v>19</v>
      </c>
      <c r="S991" s="2">
        <v>93.061499999999995</v>
      </c>
      <c r="T991" s="2">
        <v>22</v>
      </c>
      <c r="U991" s="2">
        <v>0.96026400000000001</v>
      </c>
      <c r="V991" s="2">
        <v>1</v>
      </c>
      <c r="W991" s="2">
        <v>2011</v>
      </c>
    </row>
    <row r="992" spans="1:23" ht="12.3" x14ac:dyDescent="0.4">
      <c r="A992" s="2" t="s">
        <v>32</v>
      </c>
      <c r="B992" s="2">
        <v>1</v>
      </c>
      <c r="C992" s="4" t="s">
        <v>33</v>
      </c>
      <c r="D992" s="4" t="s">
        <v>33</v>
      </c>
      <c r="E992" s="2"/>
      <c r="F992" s="2"/>
      <c r="G992" s="2"/>
      <c r="H992" s="2"/>
      <c r="I992" s="2">
        <v>70.7577</v>
      </c>
      <c r="J992" s="2">
        <v>32</v>
      </c>
      <c r="K992" s="2">
        <v>69.644099999999995</v>
      </c>
      <c r="L992" s="2">
        <v>44</v>
      </c>
      <c r="M992" s="2">
        <v>114.4312</v>
      </c>
      <c r="N992" s="2">
        <v>10</v>
      </c>
      <c r="O992" s="2">
        <v>117.0254</v>
      </c>
      <c r="P992" s="2">
        <v>5</v>
      </c>
      <c r="Q992" s="2">
        <v>90.833100000000002</v>
      </c>
      <c r="R992" s="2">
        <v>8</v>
      </c>
      <c r="S992" s="2">
        <v>90.596999999999994</v>
      </c>
      <c r="T992" s="2">
        <v>8</v>
      </c>
      <c r="U992" s="2">
        <v>0.94996199999999997</v>
      </c>
      <c r="V992" s="2">
        <v>2</v>
      </c>
      <c r="W992" s="2">
        <v>2011</v>
      </c>
    </row>
    <row r="993" spans="1:23" ht="12.3" x14ac:dyDescent="0.4">
      <c r="A993" s="2" t="s">
        <v>35</v>
      </c>
      <c r="B993" s="2">
        <v>1</v>
      </c>
      <c r="C993" s="3" t="s">
        <v>33</v>
      </c>
      <c r="D993" s="4" t="s">
        <v>33</v>
      </c>
      <c r="E993" s="4" t="s">
        <v>33</v>
      </c>
      <c r="F993" s="2"/>
      <c r="G993" s="2"/>
      <c r="H993" s="2"/>
      <c r="I993" s="2">
        <v>70.376099999999994</v>
      </c>
      <c r="J993" s="2">
        <v>38</v>
      </c>
      <c r="K993" s="2">
        <v>69.552499999999995</v>
      </c>
      <c r="L993" s="2">
        <v>48</v>
      </c>
      <c r="M993" s="2">
        <v>116.7659</v>
      </c>
      <c r="N993" s="2">
        <v>6</v>
      </c>
      <c r="O993" s="2">
        <v>118.10550000000001</v>
      </c>
      <c r="P993" s="2">
        <v>4</v>
      </c>
      <c r="Q993" s="2">
        <v>92.559600000000003</v>
      </c>
      <c r="R993" s="2">
        <v>15</v>
      </c>
      <c r="S993" s="2">
        <v>92.614400000000003</v>
      </c>
      <c r="T993" s="2">
        <v>21</v>
      </c>
      <c r="U993" s="2">
        <v>0.94246099999999999</v>
      </c>
      <c r="V993" s="2">
        <v>3</v>
      </c>
      <c r="W993" s="2">
        <v>2011</v>
      </c>
    </row>
    <row r="994" spans="1:23" ht="12.3" x14ac:dyDescent="0.4">
      <c r="A994" s="2" t="s">
        <v>67</v>
      </c>
      <c r="B994" s="2">
        <v>4</v>
      </c>
      <c r="C994" s="3" t="s">
        <v>33</v>
      </c>
      <c r="D994" s="25"/>
      <c r="E994" s="25"/>
      <c r="F994" s="25"/>
      <c r="G994" s="2"/>
      <c r="H994" s="2"/>
      <c r="I994" s="2">
        <v>68.139700000000005</v>
      </c>
      <c r="J994" s="2">
        <v>103</v>
      </c>
      <c r="K994" s="2">
        <v>66.940600000000003</v>
      </c>
      <c r="L994" s="2">
        <v>157</v>
      </c>
      <c r="M994" s="2">
        <v>109.4233</v>
      </c>
      <c r="N994" s="2">
        <v>42</v>
      </c>
      <c r="O994" s="2">
        <v>114.2741</v>
      </c>
      <c r="P994" s="2">
        <v>13</v>
      </c>
      <c r="Q994" s="2">
        <v>89.971999999999994</v>
      </c>
      <c r="R994" s="2">
        <v>5</v>
      </c>
      <c r="S994" s="2">
        <v>89.946600000000004</v>
      </c>
      <c r="T994" s="2">
        <v>5</v>
      </c>
      <c r="U994" s="2">
        <v>0.94007799999999997</v>
      </c>
      <c r="V994" s="2">
        <v>4</v>
      </c>
      <c r="W994" s="2">
        <v>2011</v>
      </c>
    </row>
    <row r="995" spans="1:23" ht="12.3" x14ac:dyDescent="0.4">
      <c r="A995" s="2" t="s">
        <v>46</v>
      </c>
      <c r="B995" s="2">
        <v>1</v>
      </c>
      <c r="C995" s="4" t="s">
        <v>33</v>
      </c>
      <c r="D995" s="2"/>
      <c r="E995" s="2"/>
      <c r="F995" s="2"/>
      <c r="G995" s="2"/>
      <c r="H995" s="2"/>
      <c r="I995" s="2">
        <v>63.701799999999999</v>
      </c>
      <c r="J995" s="2">
        <v>300</v>
      </c>
      <c r="K995" s="2">
        <v>63.281799999999997</v>
      </c>
      <c r="L995" s="2">
        <v>314</v>
      </c>
      <c r="M995" s="2">
        <v>115.89700000000001</v>
      </c>
      <c r="N995" s="2">
        <v>8</v>
      </c>
      <c r="O995" s="2">
        <v>116.95820000000001</v>
      </c>
      <c r="P995" s="2">
        <v>6</v>
      </c>
      <c r="Q995" s="2">
        <v>95.435000000000002</v>
      </c>
      <c r="R995" s="2">
        <v>43</v>
      </c>
      <c r="S995" s="2">
        <v>92.302700000000002</v>
      </c>
      <c r="T995" s="2">
        <v>17</v>
      </c>
      <c r="U995" s="2">
        <v>0.93834399999999996</v>
      </c>
      <c r="V995" s="2">
        <v>5</v>
      </c>
      <c r="W995" s="2">
        <v>2011</v>
      </c>
    </row>
    <row r="996" spans="1:23" ht="12.3" x14ac:dyDescent="0.4">
      <c r="A996" s="2" t="s">
        <v>97</v>
      </c>
      <c r="B996" s="2">
        <v>2</v>
      </c>
      <c r="C996" s="3" t="s">
        <v>33</v>
      </c>
      <c r="D996" s="3" t="s">
        <v>33</v>
      </c>
      <c r="E996" s="2"/>
      <c r="F996" s="2"/>
      <c r="G996" s="2"/>
      <c r="H996" s="2"/>
      <c r="I996" s="2">
        <v>64.149199999999993</v>
      </c>
      <c r="J996" s="2">
        <v>284</v>
      </c>
      <c r="K996" s="2">
        <v>64.169600000000003</v>
      </c>
      <c r="L996" s="2">
        <v>287</v>
      </c>
      <c r="M996" s="2">
        <v>110.62009999999999</v>
      </c>
      <c r="N996" s="2">
        <v>28</v>
      </c>
      <c r="O996" s="2">
        <v>111.798</v>
      </c>
      <c r="P996" s="2">
        <v>27</v>
      </c>
      <c r="Q996" s="2">
        <v>91.863600000000005</v>
      </c>
      <c r="R996" s="2">
        <v>10</v>
      </c>
      <c r="S996" s="2">
        <v>88.544200000000004</v>
      </c>
      <c r="T996" s="2">
        <v>1</v>
      </c>
      <c r="U996" s="2">
        <v>0.93593800000000005</v>
      </c>
      <c r="V996" s="2">
        <v>6</v>
      </c>
      <c r="W996" s="2">
        <v>2011</v>
      </c>
    </row>
    <row r="997" spans="1:23" ht="12.3" x14ac:dyDescent="0.4">
      <c r="A997" s="2" t="s">
        <v>45</v>
      </c>
      <c r="B997" s="2">
        <v>4</v>
      </c>
      <c r="C997" s="3" t="s">
        <v>33</v>
      </c>
      <c r="D997" s="4" t="s">
        <v>33</v>
      </c>
      <c r="E997" s="4" t="s">
        <v>33</v>
      </c>
      <c r="F997" s="4" t="s">
        <v>33</v>
      </c>
      <c r="G997" s="2"/>
      <c r="H997" s="2"/>
      <c r="I997" s="2">
        <v>67.182699999999997</v>
      </c>
      <c r="J997" s="2">
        <v>160</v>
      </c>
      <c r="K997" s="2">
        <v>66.775800000000004</v>
      </c>
      <c r="L997" s="2">
        <v>164</v>
      </c>
      <c r="M997" s="2">
        <v>113.6506</v>
      </c>
      <c r="N997" s="2">
        <v>12</v>
      </c>
      <c r="O997" s="2">
        <v>116.2402</v>
      </c>
      <c r="P997" s="2">
        <v>8</v>
      </c>
      <c r="Q997" s="2">
        <v>94.906400000000005</v>
      </c>
      <c r="R997" s="2">
        <v>35</v>
      </c>
      <c r="S997" s="2">
        <v>93.258799999999994</v>
      </c>
      <c r="T997" s="2">
        <v>27</v>
      </c>
      <c r="U997" s="2">
        <v>0.92643799999999998</v>
      </c>
      <c r="V997" s="2">
        <v>7</v>
      </c>
      <c r="W997" s="2">
        <v>2011</v>
      </c>
    </row>
    <row r="998" spans="1:23" ht="12.3" x14ac:dyDescent="0.4">
      <c r="A998" s="2" t="s">
        <v>56</v>
      </c>
      <c r="B998" s="2">
        <v>2</v>
      </c>
      <c r="C998" s="4" t="s">
        <v>33</v>
      </c>
      <c r="D998" s="2"/>
      <c r="E998" s="2"/>
      <c r="F998" s="2"/>
      <c r="G998" s="2"/>
      <c r="H998" s="2"/>
      <c r="I998" s="2">
        <v>64.575000000000003</v>
      </c>
      <c r="J998" s="2">
        <v>267</v>
      </c>
      <c r="K998" s="2">
        <v>64.4465</v>
      </c>
      <c r="L998" s="2">
        <v>273</v>
      </c>
      <c r="M998" s="2">
        <v>115.9097</v>
      </c>
      <c r="N998" s="2">
        <v>7</v>
      </c>
      <c r="O998" s="2">
        <v>121.10250000000001</v>
      </c>
      <c r="P998" s="2">
        <v>2</v>
      </c>
      <c r="Q998" s="2">
        <v>100.4776</v>
      </c>
      <c r="R998" s="2">
        <v>140</v>
      </c>
      <c r="S998" s="2">
        <v>97.474100000000007</v>
      </c>
      <c r="T998" s="2">
        <v>76</v>
      </c>
      <c r="U998" s="2">
        <v>0.92386699999999999</v>
      </c>
      <c r="V998" s="2">
        <v>8</v>
      </c>
      <c r="W998" s="2">
        <v>2011</v>
      </c>
    </row>
    <row r="999" spans="1:23" ht="12.3" x14ac:dyDescent="0.4">
      <c r="A999" s="2" t="s">
        <v>121</v>
      </c>
      <c r="B999" s="2">
        <v>3</v>
      </c>
      <c r="C999" s="3" t="s">
        <v>33</v>
      </c>
      <c r="D999" s="25"/>
      <c r="E999" s="25"/>
      <c r="F999" s="2"/>
      <c r="G999" s="2"/>
      <c r="H999" s="2"/>
      <c r="I999" s="2">
        <v>66.106300000000005</v>
      </c>
      <c r="J999" s="2">
        <v>203</v>
      </c>
      <c r="K999" s="2">
        <v>67.156400000000005</v>
      </c>
      <c r="L999" s="2">
        <v>145</v>
      </c>
      <c r="M999" s="2">
        <v>109.59050000000001</v>
      </c>
      <c r="N999" s="2">
        <v>39</v>
      </c>
      <c r="O999" s="2">
        <v>113.3805</v>
      </c>
      <c r="P999" s="2">
        <v>19</v>
      </c>
      <c r="Q999" s="2">
        <v>93.340199999999996</v>
      </c>
      <c r="R999" s="2">
        <v>18</v>
      </c>
      <c r="S999" s="2">
        <v>91.319400000000002</v>
      </c>
      <c r="T999" s="2">
        <v>14</v>
      </c>
      <c r="U999" s="2">
        <v>0.92332800000000004</v>
      </c>
      <c r="V999" s="2">
        <v>9</v>
      </c>
      <c r="W999" s="2">
        <v>2011</v>
      </c>
    </row>
    <row r="1000" spans="1:23" ht="12.3" x14ac:dyDescent="0.4">
      <c r="A1000" s="2" t="s">
        <v>76</v>
      </c>
      <c r="B1000" s="2">
        <v>4</v>
      </c>
      <c r="C1000" s="3" t="s">
        <v>33</v>
      </c>
      <c r="D1000" s="3" t="s">
        <v>33</v>
      </c>
      <c r="E1000" s="25"/>
      <c r="F1000" s="2"/>
      <c r="G1000" s="2"/>
      <c r="H1000" s="2"/>
      <c r="I1000" s="2">
        <v>57.072200000000002</v>
      </c>
      <c r="J1000" s="2">
        <v>345</v>
      </c>
      <c r="K1000" s="2">
        <v>57.615400000000001</v>
      </c>
      <c r="L1000" s="2">
        <v>345</v>
      </c>
      <c r="M1000" s="2">
        <v>118.351</v>
      </c>
      <c r="N1000" s="2">
        <v>2</v>
      </c>
      <c r="O1000" s="2">
        <v>119.7906</v>
      </c>
      <c r="P1000" s="2">
        <v>3</v>
      </c>
      <c r="Q1000" s="2">
        <v>101.3777</v>
      </c>
      <c r="R1000" s="2">
        <v>171</v>
      </c>
      <c r="S1000" s="2">
        <v>96.650300000000001</v>
      </c>
      <c r="T1000" s="2">
        <v>61</v>
      </c>
      <c r="U1000" s="2">
        <v>0.92189900000000002</v>
      </c>
      <c r="V1000" s="2">
        <v>10</v>
      </c>
      <c r="W1000" s="2">
        <v>2011</v>
      </c>
    </row>
    <row r="1001" spans="1:23" ht="12.3" x14ac:dyDescent="0.4">
      <c r="A1001" s="2" t="s">
        <v>86</v>
      </c>
      <c r="B1001" s="2">
        <v>4</v>
      </c>
      <c r="C1001" s="2"/>
      <c r="D1001" s="2"/>
      <c r="E1001" s="2"/>
      <c r="F1001" s="2"/>
      <c r="G1001" s="2"/>
      <c r="H1001" s="2"/>
      <c r="I1001" s="2">
        <v>68.303600000000003</v>
      </c>
      <c r="J1001" s="2">
        <v>94</v>
      </c>
      <c r="K1001" s="2">
        <v>67.706000000000003</v>
      </c>
      <c r="L1001" s="2">
        <v>112</v>
      </c>
      <c r="M1001" s="2">
        <v>107.791</v>
      </c>
      <c r="N1001" s="2">
        <v>53</v>
      </c>
      <c r="O1001" s="2">
        <v>109.27079999999999</v>
      </c>
      <c r="P1001" s="2">
        <v>49</v>
      </c>
      <c r="Q1001" s="2">
        <v>92.951300000000003</v>
      </c>
      <c r="R1001" s="2">
        <v>16</v>
      </c>
      <c r="S1001" s="2">
        <v>89.155500000000004</v>
      </c>
      <c r="T1001" s="2">
        <v>3</v>
      </c>
      <c r="U1001" s="2">
        <v>0.91210800000000003</v>
      </c>
      <c r="V1001" s="2">
        <v>11</v>
      </c>
      <c r="W1001" s="2">
        <v>2011</v>
      </c>
    </row>
    <row r="1002" spans="1:23" ht="12.3" x14ac:dyDescent="0.4">
      <c r="A1002" s="2" t="s">
        <v>96</v>
      </c>
      <c r="B1002" s="2">
        <v>3</v>
      </c>
      <c r="C1002" s="3" t="s">
        <v>33</v>
      </c>
      <c r="D1002" s="4" t="s">
        <v>33</v>
      </c>
      <c r="E1002" s="2"/>
      <c r="F1002" s="2"/>
      <c r="G1002" s="2"/>
      <c r="H1002" s="2"/>
      <c r="I1002" s="2">
        <v>71.221599999999995</v>
      </c>
      <c r="J1002" s="2">
        <v>25</v>
      </c>
      <c r="K1002" s="2">
        <v>71.155199999999994</v>
      </c>
      <c r="L1002" s="2">
        <v>23</v>
      </c>
      <c r="M1002" s="2">
        <v>113.2313</v>
      </c>
      <c r="N1002" s="2">
        <v>13</v>
      </c>
      <c r="O1002" s="2">
        <v>116.8365</v>
      </c>
      <c r="P1002" s="2">
        <v>7</v>
      </c>
      <c r="Q1002" s="2">
        <v>95.103099999999998</v>
      </c>
      <c r="R1002" s="2">
        <v>37</v>
      </c>
      <c r="S1002" s="2">
        <v>95.592100000000002</v>
      </c>
      <c r="T1002" s="2">
        <v>51</v>
      </c>
      <c r="U1002" s="2">
        <v>0.909528</v>
      </c>
      <c r="V1002" s="2">
        <v>12</v>
      </c>
      <c r="W1002" s="2">
        <v>2011</v>
      </c>
    </row>
    <row r="1003" spans="1:23" ht="12.3" x14ac:dyDescent="0.4">
      <c r="A1003" s="2" t="s">
        <v>54</v>
      </c>
      <c r="B1003" s="2">
        <v>3</v>
      </c>
      <c r="C1003" s="4" t="s">
        <v>33</v>
      </c>
      <c r="D1003" s="4" t="s">
        <v>33</v>
      </c>
      <c r="E1003" s="4" t="s">
        <v>33</v>
      </c>
      <c r="F1003" s="4" t="s">
        <v>33</v>
      </c>
      <c r="G1003" s="4" t="s">
        <v>33</v>
      </c>
      <c r="H1003" s="4" t="s">
        <v>33</v>
      </c>
      <c r="I1003" s="2">
        <v>66.219499999999996</v>
      </c>
      <c r="J1003" s="2">
        <v>197</v>
      </c>
      <c r="K1003" s="2">
        <v>66.264799999999994</v>
      </c>
      <c r="L1003" s="2">
        <v>193</v>
      </c>
      <c r="M1003" s="2">
        <v>108.5852</v>
      </c>
      <c r="N1003" s="2">
        <v>48</v>
      </c>
      <c r="O1003" s="2">
        <v>113.8185</v>
      </c>
      <c r="P1003" s="2">
        <v>17</v>
      </c>
      <c r="Q1003" s="2">
        <v>98.411000000000001</v>
      </c>
      <c r="R1003" s="2">
        <v>93</v>
      </c>
      <c r="S1003" s="2">
        <v>93.8292</v>
      </c>
      <c r="T1003" s="2">
        <v>30</v>
      </c>
      <c r="U1003" s="2">
        <v>0.90211799999999998</v>
      </c>
      <c r="V1003" s="2">
        <v>13</v>
      </c>
      <c r="W1003" s="2">
        <v>2011</v>
      </c>
    </row>
    <row r="1004" spans="1:23" ht="12.3" x14ac:dyDescent="0.4">
      <c r="A1004" s="2" t="s">
        <v>168</v>
      </c>
      <c r="B1004" s="2">
        <v>2</v>
      </c>
      <c r="C1004" s="3" t="s">
        <v>33</v>
      </c>
      <c r="D1004" s="3" t="s">
        <v>33</v>
      </c>
      <c r="E1004" s="4" t="s">
        <v>33</v>
      </c>
      <c r="F1004" s="2"/>
      <c r="G1004" s="2"/>
      <c r="H1004" s="2"/>
      <c r="I1004" s="2">
        <v>72.261300000000006</v>
      </c>
      <c r="J1004" s="2">
        <v>17</v>
      </c>
      <c r="K1004" s="2">
        <v>71.319100000000006</v>
      </c>
      <c r="L1004" s="2">
        <v>21</v>
      </c>
      <c r="M1004" s="2">
        <v>105.4297</v>
      </c>
      <c r="N1004" s="2">
        <v>83</v>
      </c>
      <c r="O1004" s="2">
        <v>109.1614</v>
      </c>
      <c r="P1004" s="2">
        <v>51</v>
      </c>
      <c r="Q1004" s="2">
        <v>93.4452</v>
      </c>
      <c r="R1004" s="2">
        <v>20</v>
      </c>
      <c r="S1004" s="2">
        <v>90.342699999999994</v>
      </c>
      <c r="T1004" s="2">
        <v>7</v>
      </c>
      <c r="U1004" s="2">
        <v>0.89807400000000004</v>
      </c>
      <c r="V1004" s="2">
        <v>14</v>
      </c>
      <c r="W1004" s="2">
        <v>2011</v>
      </c>
    </row>
    <row r="1005" spans="1:23" ht="12.3" x14ac:dyDescent="0.4">
      <c r="A1005" s="2" t="s">
        <v>98</v>
      </c>
      <c r="B1005" s="2">
        <v>12</v>
      </c>
      <c r="C1005" s="25"/>
      <c r="D1005" s="2"/>
      <c r="E1005" s="2"/>
      <c r="F1005" s="2"/>
      <c r="G1005" s="2"/>
      <c r="H1005" s="2"/>
      <c r="I1005" s="2">
        <v>64.009799999999998</v>
      </c>
      <c r="J1005" s="2">
        <v>290</v>
      </c>
      <c r="K1005" s="2">
        <v>63.741599999999998</v>
      </c>
      <c r="L1005" s="2">
        <v>302</v>
      </c>
      <c r="M1005" s="2">
        <v>110.5461</v>
      </c>
      <c r="N1005" s="2">
        <v>30</v>
      </c>
      <c r="O1005" s="2">
        <v>108.39660000000001</v>
      </c>
      <c r="P1005" s="2">
        <v>61</v>
      </c>
      <c r="Q1005" s="2">
        <v>89.897400000000005</v>
      </c>
      <c r="R1005" s="2">
        <v>4</v>
      </c>
      <c r="S1005" s="2">
        <v>89.738299999999995</v>
      </c>
      <c r="T1005" s="2">
        <v>4</v>
      </c>
      <c r="U1005" s="2">
        <v>0.89773700000000001</v>
      </c>
      <c r="V1005" s="2">
        <v>15</v>
      </c>
      <c r="W1005" s="2">
        <v>2011</v>
      </c>
    </row>
    <row r="1006" spans="1:23" ht="12.3" x14ac:dyDescent="0.4">
      <c r="A1006" s="2" t="s">
        <v>23</v>
      </c>
      <c r="B1006" s="2">
        <v>3</v>
      </c>
      <c r="C1006" s="3" t="s">
        <v>33</v>
      </c>
      <c r="D1006" s="2"/>
      <c r="E1006" s="2"/>
      <c r="F1006" s="2"/>
      <c r="G1006" s="2"/>
      <c r="H1006" s="2"/>
      <c r="I1006" s="2">
        <v>66.376800000000003</v>
      </c>
      <c r="J1006" s="2">
        <v>191</v>
      </c>
      <c r="K1006" s="2">
        <v>66.644199999999998</v>
      </c>
      <c r="L1006" s="2">
        <v>173</v>
      </c>
      <c r="M1006" s="2">
        <v>109.9216</v>
      </c>
      <c r="N1006" s="2">
        <v>34</v>
      </c>
      <c r="O1006" s="2">
        <v>111.56270000000001</v>
      </c>
      <c r="P1006" s="2">
        <v>29</v>
      </c>
      <c r="Q1006" s="2">
        <v>94.682500000000005</v>
      </c>
      <c r="R1006" s="2">
        <v>32</v>
      </c>
      <c r="S1006" s="2">
        <v>92.5685</v>
      </c>
      <c r="T1006" s="2">
        <v>20</v>
      </c>
      <c r="U1006" s="2">
        <v>0.89532599999999996</v>
      </c>
      <c r="V1006" s="2">
        <v>16</v>
      </c>
      <c r="W1006" s="2">
        <v>2011</v>
      </c>
    </row>
    <row r="1007" spans="1:23" ht="12.3" x14ac:dyDescent="0.4">
      <c r="A1007" s="2" t="s">
        <v>37</v>
      </c>
      <c r="B1007" s="2">
        <v>2</v>
      </c>
      <c r="C1007" s="3" t="s">
        <v>33</v>
      </c>
      <c r="D1007" s="4" t="s">
        <v>33</v>
      </c>
      <c r="E1007" s="4" t="s">
        <v>33</v>
      </c>
      <c r="F1007" s="2"/>
      <c r="G1007" s="2"/>
      <c r="H1007" s="2"/>
      <c r="I1007" s="2">
        <v>63.863799999999998</v>
      </c>
      <c r="J1007" s="2">
        <v>295</v>
      </c>
      <c r="K1007" s="2">
        <v>63.918700000000001</v>
      </c>
      <c r="L1007" s="2">
        <v>297</v>
      </c>
      <c r="M1007" s="2">
        <v>109.40479999999999</v>
      </c>
      <c r="N1007" s="2">
        <v>43</v>
      </c>
      <c r="O1007" s="2">
        <v>113.4598</v>
      </c>
      <c r="P1007" s="2">
        <v>18</v>
      </c>
      <c r="Q1007" s="2">
        <v>96.625799999999998</v>
      </c>
      <c r="R1007" s="2">
        <v>60</v>
      </c>
      <c r="S1007" s="2">
        <v>95.228899999999996</v>
      </c>
      <c r="T1007" s="2">
        <v>45</v>
      </c>
      <c r="U1007" s="2">
        <v>0.88229999999999997</v>
      </c>
      <c r="V1007" s="2">
        <v>17</v>
      </c>
      <c r="W1007" s="2">
        <v>2011</v>
      </c>
    </row>
    <row r="1008" spans="1:23" ht="12.3" x14ac:dyDescent="0.4">
      <c r="A1008" s="2" t="s">
        <v>34</v>
      </c>
      <c r="B1008" s="2">
        <v>6</v>
      </c>
      <c r="C1008" s="4" t="s">
        <v>33</v>
      </c>
      <c r="D1008" s="2"/>
      <c r="E1008" s="2"/>
      <c r="F1008" s="2"/>
      <c r="G1008" s="2"/>
      <c r="H1008" s="2"/>
      <c r="I1008" s="2">
        <v>63.942</v>
      </c>
      <c r="J1008" s="2">
        <v>291</v>
      </c>
      <c r="K1008" s="2">
        <v>64.1785</v>
      </c>
      <c r="L1008" s="2">
        <v>286</v>
      </c>
      <c r="M1008" s="2">
        <v>107.0048</v>
      </c>
      <c r="N1008" s="2">
        <v>62</v>
      </c>
      <c r="O1008" s="2">
        <v>108.1173</v>
      </c>
      <c r="P1008" s="2">
        <v>64</v>
      </c>
      <c r="Q1008" s="2">
        <v>92.523200000000003</v>
      </c>
      <c r="R1008" s="2">
        <v>14</v>
      </c>
      <c r="S1008" s="2">
        <v>90.919799999999995</v>
      </c>
      <c r="T1008" s="2">
        <v>10</v>
      </c>
      <c r="U1008" s="2">
        <v>0.87998100000000001</v>
      </c>
      <c r="V1008" s="2">
        <v>18</v>
      </c>
      <c r="W1008" s="2">
        <v>2011</v>
      </c>
    </row>
    <row r="1009" spans="1:23" ht="12.3" x14ac:dyDescent="0.4">
      <c r="A1009" s="2" t="s">
        <v>229</v>
      </c>
      <c r="B1009" s="2">
        <v>5</v>
      </c>
      <c r="C1009" s="3" t="s">
        <v>33</v>
      </c>
      <c r="D1009" s="2"/>
      <c r="E1009" s="2"/>
      <c r="F1009" s="2"/>
      <c r="G1009" s="2"/>
      <c r="H1009" s="2"/>
      <c r="I1009" s="2">
        <v>64.383899999999997</v>
      </c>
      <c r="J1009" s="2">
        <v>275</v>
      </c>
      <c r="K1009" s="2">
        <v>63.578800000000001</v>
      </c>
      <c r="L1009" s="2">
        <v>308</v>
      </c>
      <c r="M1009" s="2">
        <v>107.7522</v>
      </c>
      <c r="N1009" s="2">
        <v>54</v>
      </c>
      <c r="O1009" s="2">
        <v>111.202</v>
      </c>
      <c r="P1009" s="2">
        <v>32</v>
      </c>
      <c r="Q1009" s="2">
        <v>99.9148</v>
      </c>
      <c r="R1009" s="2">
        <v>122</v>
      </c>
      <c r="S1009" s="2">
        <v>93.554500000000004</v>
      </c>
      <c r="T1009" s="2">
        <v>28</v>
      </c>
      <c r="U1009" s="2">
        <v>0.87945200000000001</v>
      </c>
      <c r="V1009" s="2">
        <v>19</v>
      </c>
      <c r="W1009" s="2">
        <v>2011</v>
      </c>
    </row>
    <row r="1010" spans="1:23" ht="12.3" x14ac:dyDescent="0.4">
      <c r="A1010" s="2" t="s">
        <v>131</v>
      </c>
      <c r="B1010" s="2">
        <v>7</v>
      </c>
      <c r="C1010" s="4" t="s">
        <v>33</v>
      </c>
      <c r="D1010" s="2"/>
      <c r="E1010" s="2"/>
      <c r="F1010" s="2"/>
      <c r="G1010" s="2"/>
      <c r="H1010" s="2"/>
      <c r="I1010" s="2">
        <v>72.541399999999996</v>
      </c>
      <c r="J1010" s="2">
        <v>13</v>
      </c>
      <c r="K1010" s="2">
        <v>71.681100000000001</v>
      </c>
      <c r="L1010" s="2">
        <v>16</v>
      </c>
      <c r="M1010" s="2">
        <v>113.95610000000001</v>
      </c>
      <c r="N1010" s="2">
        <v>11</v>
      </c>
      <c r="O1010" s="2">
        <v>113.1615</v>
      </c>
      <c r="P1010" s="2">
        <v>21</v>
      </c>
      <c r="Q1010" s="2">
        <v>96.537899999999993</v>
      </c>
      <c r="R1010" s="2">
        <v>58</v>
      </c>
      <c r="S1010" s="2">
        <v>95.297200000000004</v>
      </c>
      <c r="T1010" s="2">
        <v>46</v>
      </c>
      <c r="U1010" s="2">
        <v>0.87824000000000002</v>
      </c>
      <c r="V1010" s="2">
        <v>20</v>
      </c>
      <c r="W1010" s="2">
        <v>2011</v>
      </c>
    </row>
    <row r="1011" spans="1:23" ht="12.3" hidden="1" x14ac:dyDescent="0.4">
      <c r="A1011" s="2" t="s">
        <v>21</v>
      </c>
      <c r="B1011" s="2"/>
      <c r="C1011" s="2"/>
      <c r="D1011" s="2"/>
      <c r="E1011" s="2"/>
      <c r="F1011" s="2"/>
      <c r="G1011" s="2"/>
      <c r="H1011" s="2"/>
      <c r="I1011" s="2">
        <v>66.096199999999996</v>
      </c>
      <c r="J1011" s="2">
        <v>208</v>
      </c>
      <c r="K1011" s="2">
        <v>66.511700000000005</v>
      </c>
      <c r="L1011" s="2">
        <v>196</v>
      </c>
      <c r="M1011" s="2">
        <v>105.6623</v>
      </c>
      <c r="N1011" s="2">
        <v>73</v>
      </c>
      <c r="O1011" s="2">
        <v>107.33369999999999</v>
      </c>
      <c r="P1011" s="2">
        <v>64</v>
      </c>
      <c r="Q1011" s="2">
        <v>95.382599999999996</v>
      </c>
      <c r="R1011" s="2">
        <v>41</v>
      </c>
      <c r="S1011" s="2">
        <v>93.160499999999999</v>
      </c>
      <c r="T1011" s="2">
        <v>18</v>
      </c>
      <c r="U1011" s="2">
        <v>0.83597900000000003</v>
      </c>
      <c r="V1011" s="2">
        <v>30</v>
      </c>
      <c r="W1011" s="2">
        <v>2005</v>
      </c>
    </row>
    <row r="1012" spans="1:23" ht="12.3" x14ac:dyDescent="0.4">
      <c r="A1012" s="2" t="s">
        <v>244</v>
      </c>
      <c r="B1012" s="2">
        <v>13</v>
      </c>
      <c r="C1012" s="2"/>
      <c r="D1012" s="2"/>
      <c r="E1012" s="2"/>
      <c r="F1012" s="2"/>
      <c r="G1012" s="2"/>
      <c r="H1012" s="2"/>
      <c r="I1012" s="2">
        <v>69.637600000000006</v>
      </c>
      <c r="J1012" s="2">
        <v>45</v>
      </c>
      <c r="K1012" s="2">
        <v>69.110900000000001</v>
      </c>
      <c r="L1012" s="2">
        <v>56</v>
      </c>
      <c r="M1012" s="2">
        <v>114.8511</v>
      </c>
      <c r="N1012" s="2">
        <v>9</v>
      </c>
      <c r="O1012" s="2">
        <v>109.9871</v>
      </c>
      <c r="P1012" s="2">
        <v>39</v>
      </c>
      <c r="Q1012" s="2">
        <v>88.135800000000003</v>
      </c>
      <c r="R1012" s="2">
        <v>2</v>
      </c>
      <c r="S1012" s="2">
        <v>93.127700000000004</v>
      </c>
      <c r="T1012" s="2">
        <v>26</v>
      </c>
      <c r="U1012" s="2">
        <v>0.87141100000000005</v>
      </c>
      <c r="V1012" s="2">
        <v>21</v>
      </c>
      <c r="W1012" s="2">
        <v>2011</v>
      </c>
    </row>
    <row r="1013" spans="1:23" ht="12.3" x14ac:dyDescent="0.4">
      <c r="A1013" s="2" t="s">
        <v>44</v>
      </c>
      <c r="B1013" s="2">
        <v>9</v>
      </c>
      <c r="C1013" s="4" t="s">
        <v>33</v>
      </c>
      <c r="D1013" s="2"/>
      <c r="E1013" s="2"/>
      <c r="F1013" s="2"/>
      <c r="G1013" s="2"/>
      <c r="H1013" s="2"/>
      <c r="I1013" s="2">
        <v>66.438000000000002</v>
      </c>
      <c r="J1013" s="2">
        <v>185</v>
      </c>
      <c r="K1013" s="2">
        <v>66.700199999999995</v>
      </c>
      <c r="L1013" s="2">
        <v>168</v>
      </c>
      <c r="M1013" s="2">
        <v>106.7756</v>
      </c>
      <c r="N1013" s="2">
        <v>65</v>
      </c>
      <c r="O1013" s="2">
        <v>109.6508</v>
      </c>
      <c r="P1013" s="2">
        <v>46</v>
      </c>
      <c r="Q1013" s="2">
        <v>98.081699999999998</v>
      </c>
      <c r="R1013" s="2">
        <v>85</v>
      </c>
      <c r="S1013" s="2">
        <v>93.108000000000004</v>
      </c>
      <c r="T1013" s="2">
        <v>25</v>
      </c>
      <c r="U1013" s="2">
        <v>0.86769300000000005</v>
      </c>
      <c r="V1013" s="2">
        <v>22</v>
      </c>
      <c r="W1013" s="2">
        <v>2011</v>
      </c>
    </row>
    <row r="1014" spans="1:23" ht="12.3" x14ac:dyDescent="0.4">
      <c r="A1014" s="2" t="s">
        <v>24</v>
      </c>
      <c r="B1014" s="2">
        <v>12</v>
      </c>
      <c r="C1014" s="2"/>
      <c r="D1014" s="2"/>
      <c r="E1014" s="2"/>
      <c r="F1014" s="2"/>
      <c r="G1014" s="2"/>
      <c r="H1014" s="2"/>
      <c r="I1014" s="2">
        <v>65.401499999999999</v>
      </c>
      <c r="J1014" s="2">
        <v>243</v>
      </c>
      <c r="K1014" s="2">
        <v>65.012200000000007</v>
      </c>
      <c r="L1014" s="2">
        <v>252</v>
      </c>
      <c r="M1014" s="2">
        <v>103.777</v>
      </c>
      <c r="N1014" s="2">
        <v>119</v>
      </c>
      <c r="O1014" s="2">
        <v>106.7393</v>
      </c>
      <c r="P1014" s="2">
        <v>80</v>
      </c>
      <c r="Q1014" s="2">
        <v>92.321899999999999</v>
      </c>
      <c r="R1014" s="2">
        <v>12</v>
      </c>
      <c r="S1014" s="2">
        <v>90.658500000000004</v>
      </c>
      <c r="T1014" s="2">
        <v>9</v>
      </c>
      <c r="U1014" s="2">
        <v>0.86736199999999997</v>
      </c>
      <c r="V1014" s="2">
        <v>23</v>
      </c>
      <c r="W1014" s="2">
        <v>2011</v>
      </c>
    </row>
    <row r="1015" spans="1:23" ht="12.3" x14ac:dyDescent="0.4">
      <c r="A1015" s="2" t="s">
        <v>109</v>
      </c>
      <c r="B1015" s="2">
        <v>8</v>
      </c>
      <c r="C1015" s="25"/>
      <c r="D1015" s="2"/>
      <c r="E1015" s="2"/>
      <c r="F1015" s="2"/>
      <c r="G1015" s="2"/>
      <c r="H1015" s="2"/>
      <c r="I1015" s="2">
        <v>67.441500000000005</v>
      </c>
      <c r="J1015" s="2">
        <v>142</v>
      </c>
      <c r="K1015" s="2">
        <v>67.983099999999993</v>
      </c>
      <c r="L1015" s="2">
        <v>101</v>
      </c>
      <c r="M1015" s="2">
        <v>106.342</v>
      </c>
      <c r="N1015" s="2">
        <v>73</v>
      </c>
      <c r="O1015" s="2">
        <v>108.5438</v>
      </c>
      <c r="P1015" s="2">
        <v>57</v>
      </c>
      <c r="Q1015" s="2">
        <v>92.514300000000006</v>
      </c>
      <c r="R1015" s="2">
        <v>13</v>
      </c>
      <c r="S1015" s="2">
        <v>92.341899999999995</v>
      </c>
      <c r="T1015" s="2">
        <v>18</v>
      </c>
      <c r="U1015" s="2">
        <v>0.86518499999999998</v>
      </c>
      <c r="V1015" s="2">
        <v>24</v>
      </c>
      <c r="W1015" s="2">
        <v>2011</v>
      </c>
    </row>
    <row r="1016" spans="1:23" ht="12.3" x14ac:dyDescent="0.4">
      <c r="A1016" s="2" t="s">
        <v>147</v>
      </c>
      <c r="B1016" s="2">
        <v>8</v>
      </c>
      <c r="C1016" s="4" t="s">
        <v>33</v>
      </c>
      <c r="D1016" s="2"/>
      <c r="E1016" s="2"/>
      <c r="F1016" s="2"/>
      <c r="G1016" s="2"/>
      <c r="H1016" s="2"/>
      <c r="I1016" s="2">
        <v>64.391400000000004</v>
      </c>
      <c r="J1016" s="2">
        <v>274</v>
      </c>
      <c r="K1016" s="2">
        <v>65.8399</v>
      </c>
      <c r="L1016" s="2">
        <v>220</v>
      </c>
      <c r="M1016" s="2">
        <v>112.85169999999999</v>
      </c>
      <c r="N1016" s="2">
        <v>14</v>
      </c>
      <c r="O1016" s="2">
        <v>112.50539999999999</v>
      </c>
      <c r="P1016" s="2">
        <v>23</v>
      </c>
      <c r="Q1016" s="2">
        <v>94.522800000000004</v>
      </c>
      <c r="R1016" s="2">
        <v>30</v>
      </c>
      <c r="S1016" s="2">
        <v>95.719200000000001</v>
      </c>
      <c r="T1016" s="2">
        <v>53</v>
      </c>
      <c r="U1016" s="2">
        <v>0.86508700000000005</v>
      </c>
      <c r="V1016" s="2">
        <v>25</v>
      </c>
      <c r="W1016" s="2">
        <v>2011</v>
      </c>
    </row>
    <row r="1017" spans="1:23" ht="12.3" hidden="1" x14ac:dyDescent="0.4">
      <c r="A1017" s="2" t="s">
        <v>111</v>
      </c>
      <c r="B1017" s="2"/>
      <c r="C1017" s="2"/>
      <c r="D1017" s="2"/>
      <c r="E1017" s="2"/>
      <c r="F1017" s="2"/>
      <c r="G1017" s="2"/>
      <c r="H1017" s="2"/>
      <c r="I1017" s="2">
        <v>66.805599999999998</v>
      </c>
      <c r="J1017" s="2">
        <v>181</v>
      </c>
      <c r="K1017" s="2">
        <v>66.450199999999995</v>
      </c>
      <c r="L1017" s="2">
        <v>202</v>
      </c>
      <c r="M1017" s="2">
        <v>107.1253</v>
      </c>
      <c r="N1017" s="2">
        <v>57</v>
      </c>
      <c r="O1017" s="2">
        <v>109.5067</v>
      </c>
      <c r="P1017" s="2">
        <v>44</v>
      </c>
      <c r="Q1017" s="2">
        <v>96.957899999999995</v>
      </c>
      <c r="R1017" s="2">
        <v>60</v>
      </c>
      <c r="S1017" s="2">
        <v>96.317300000000003</v>
      </c>
      <c r="T1017" s="2">
        <v>60</v>
      </c>
      <c r="U1017" s="2">
        <v>0.81394999999999995</v>
      </c>
      <c r="V1017" s="2">
        <v>36</v>
      </c>
      <c r="W1017" s="2">
        <v>2005</v>
      </c>
    </row>
    <row r="1018" spans="1:23" ht="12.3" x14ac:dyDescent="0.4">
      <c r="A1018" s="2" t="s">
        <v>148</v>
      </c>
      <c r="B1018" s="2">
        <v>5</v>
      </c>
      <c r="C1018" s="3" t="s">
        <v>33</v>
      </c>
      <c r="D1018" s="25"/>
      <c r="E1018" s="25"/>
      <c r="F1018" s="2"/>
      <c r="G1018" s="2"/>
      <c r="H1018" s="2"/>
      <c r="I1018" s="2">
        <v>69.251999999999995</v>
      </c>
      <c r="J1018" s="2">
        <v>59</v>
      </c>
      <c r="K1018" s="2">
        <v>68.035300000000007</v>
      </c>
      <c r="L1018" s="2">
        <v>97</v>
      </c>
      <c r="M1018" s="2">
        <v>104.78919999999999</v>
      </c>
      <c r="N1018" s="2">
        <v>98</v>
      </c>
      <c r="O1018" s="2">
        <v>107.584</v>
      </c>
      <c r="P1018" s="2">
        <v>70</v>
      </c>
      <c r="Q1018" s="2">
        <v>95.742699999999999</v>
      </c>
      <c r="R1018" s="2">
        <v>45</v>
      </c>
      <c r="S1018" s="2">
        <v>92.074299999999994</v>
      </c>
      <c r="T1018" s="2">
        <v>16</v>
      </c>
      <c r="U1018" s="2">
        <v>0.85696099999999997</v>
      </c>
      <c r="V1018" s="2">
        <v>26</v>
      </c>
      <c r="W1018" s="2">
        <v>2011</v>
      </c>
    </row>
    <row r="1019" spans="1:23" ht="12.3" x14ac:dyDescent="0.4">
      <c r="A1019" s="2" t="s">
        <v>62</v>
      </c>
      <c r="B1019" s="2">
        <v>6</v>
      </c>
      <c r="C1019" s="2"/>
      <c r="D1019" s="2"/>
      <c r="E1019" s="2"/>
      <c r="F1019" s="2"/>
      <c r="G1019" s="2"/>
      <c r="H1019" s="2"/>
      <c r="I1019" s="2">
        <v>65.104100000000003</v>
      </c>
      <c r="J1019" s="2">
        <v>249</v>
      </c>
      <c r="K1019" s="2">
        <v>64.876599999999996</v>
      </c>
      <c r="L1019" s="2">
        <v>255</v>
      </c>
      <c r="M1019" s="2">
        <v>107.95269999999999</v>
      </c>
      <c r="N1019" s="2">
        <v>52</v>
      </c>
      <c r="O1019" s="2">
        <v>111.50409999999999</v>
      </c>
      <c r="P1019" s="2">
        <v>31</v>
      </c>
      <c r="Q1019" s="2">
        <v>101.0925</v>
      </c>
      <c r="R1019" s="2">
        <v>160</v>
      </c>
      <c r="S1019" s="2">
        <v>95.549899999999994</v>
      </c>
      <c r="T1019" s="2">
        <v>49</v>
      </c>
      <c r="U1019" s="2">
        <v>0.85516999999999999</v>
      </c>
      <c r="V1019" s="2">
        <v>27</v>
      </c>
      <c r="W1019" s="2">
        <v>2011</v>
      </c>
    </row>
    <row r="1020" spans="1:23" ht="12.3" x14ac:dyDescent="0.4">
      <c r="A1020" s="2" t="s">
        <v>88</v>
      </c>
      <c r="B1020" s="2">
        <v>7</v>
      </c>
      <c r="C1020" s="3" t="s">
        <v>33</v>
      </c>
      <c r="D1020" s="25"/>
      <c r="E1020" s="2"/>
      <c r="F1020" s="2"/>
      <c r="G1020" s="2"/>
      <c r="H1020" s="2"/>
      <c r="I1020" s="2">
        <v>66.045699999999997</v>
      </c>
      <c r="J1020" s="2">
        <v>205</v>
      </c>
      <c r="K1020" s="2">
        <v>65.311800000000005</v>
      </c>
      <c r="L1020" s="2">
        <v>243</v>
      </c>
      <c r="M1020" s="2">
        <v>107.21040000000001</v>
      </c>
      <c r="N1020" s="2">
        <v>58</v>
      </c>
      <c r="O1020" s="2">
        <v>108.4174</v>
      </c>
      <c r="P1020" s="2">
        <v>60</v>
      </c>
      <c r="Q1020" s="2">
        <v>93.617999999999995</v>
      </c>
      <c r="R1020" s="2">
        <v>24</v>
      </c>
      <c r="S1020" s="2">
        <v>93.088999999999999</v>
      </c>
      <c r="T1020" s="2">
        <v>23</v>
      </c>
      <c r="U1020" s="2">
        <v>0.85232799999999997</v>
      </c>
      <c r="V1020" s="2">
        <v>28</v>
      </c>
      <c r="W1020" s="2">
        <v>2011</v>
      </c>
    </row>
    <row r="1021" spans="1:23" ht="12.3" x14ac:dyDescent="0.4">
      <c r="A1021" s="2" t="s">
        <v>39</v>
      </c>
      <c r="B1021" s="2">
        <v>11</v>
      </c>
      <c r="C1021" s="3" t="s">
        <v>33</v>
      </c>
      <c r="D1021" s="4" t="s">
        <v>33</v>
      </c>
      <c r="E1021" s="2"/>
      <c r="F1021" s="2"/>
      <c r="G1021" s="2"/>
      <c r="H1021" s="2"/>
      <c r="I1021" s="2">
        <v>68.589799999999997</v>
      </c>
      <c r="J1021" s="2">
        <v>83</v>
      </c>
      <c r="K1021" s="2">
        <v>67.697999999999993</v>
      </c>
      <c r="L1021" s="2">
        <v>114</v>
      </c>
      <c r="M1021" s="2">
        <v>110.6293</v>
      </c>
      <c r="N1021" s="2">
        <v>27</v>
      </c>
      <c r="O1021" s="2">
        <v>113.99460000000001</v>
      </c>
      <c r="P1021" s="2">
        <v>16</v>
      </c>
      <c r="Q1021" s="2">
        <v>101.23779999999999</v>
      </c>
      <c r="R1021" s="2">
        <v>166</v>
      </c>
      <c r="S1021" s="2">
        <v>97.985799999999998</v>
      </c>
      <c r="T1021" s="2">
        <v>86</v>
      </c>
      <c r="U1021" s="2">
        <v>0.85072099999999995</v>
      </c>
      <c r="V1021" s="2">
        <v>29</v>
      </c>
      <c r="W1021" s="2">
        <v>2011</v>
      </c>
    </row>
    <row r="1022" spans="1:23" ht="12.3" hidden="1" x14ac:dyDescent="0.4">
      <c r="A1022" s="2" t="s">
        <v>36</v>
      </c>
      <c r="B1022" s="2"/>
      <c r="C1022" s="2"/>
      <c r="D1022" s="2"/>
      <c r="E1022" s="2"/>
      <c r="F1022" s="2"/>
      <c r="G1022" s="2"/>
      <c r="H1022" s="2"/>
      <c r="I1022" s="2">
        <v>76.869799999999998</v>
      </c>
      <c r="J1022" s="2">
        <v>2</v>
      </c>
      <c r="K1022" s="2">
        <v>74.939400000000006</v>
      </c>
      <c r="L1022" s="2">
        <v>3</v>
      </c>
      <c r="M1022" s="2">
        <v>104.9654</v>
      </c>
      <c r="N1022" s="2">
        <v>89</v>
      </c>
      <c r="O1022" s="2">
        <v>109.24460000000001</v>
      </c>
      <c r="P1022" s="2">
        <v>45</v>
      </c>
      <c r="Q1022" s="2">
        <v>98.011700000000005</v>
      </c>
      <c r="R1022" s="2">
        <v>83</v>
      </c>
      <c r="S1022" s="2">
        <v>96.760599999999997</v>
      </c>
      <c r="T1022" s="2">
        <v>67</v>
      </c>
      <c r="U1022" s="2">
        <v>0.80147199999999996</v>
      </c>
      <c r="V1022" s="2">
        <v>41</v>
      </c>
      <c r="W1022" s="2">
        <v>2005</v>
      </c>
    </row>
    <row r="1023" spans="1:23" ht="12.3" hidden="1" x14ac:dyDescent="0.4">
      <c r="A1023" s="2" t="s">
        <v>248</v>
      </c>
      <c r="B1023" s="2"/>
      <c r="C1023" s="2"/>
      <c r="D1023" s="2"/>
      <c r="E1023" s="2"/>
      <c r="F1023" s="2"/>
      <c r="G1023" s="2"/>
      <c r="H1023" s="2"/>
      <c r="I1023" s="2">
        <v>66.636499999999998</v>
      </c>
      <c r="J1023" s="2">
        <v>188</v>
      </c>
      <c r="K1023" s="2">
        <v>65.539500000000004</v>
      </c>
      <c r="L1023" s="2">
        <v>236</v>
      </c>
      <c r="M1023" s="2">
        <v>109.748</v>
      </c>
      <c r="N1023" s="2">
        <v>36</v>
      </c>
      <c r="O1023" s="2">
        <v>111.8985</v>
      </c>
      <c r="P1023" s="2">
        <v>28</v>
      </c>
      <c r="Q1023" s="2">
        <v>98.372799999999998</v>
      </c>
      <c r="R1023" s="2">
        <v>91</v>
      </c>
      <c r="S1023" s="2">
        <v>99.363500000000002</v>
      </c>
      <c r="T1023" s="2">
        <v>113</v>
      </c>
      <c r="U1023" s="2">
        <v>0.79678000000000004</v>
      </c>
      <c r="V1023" s="2">
        <v>42</v>
      </c>
      <c r="W1023" s="2">
        <v>2005</v>
      </c>
    </row>
    <row r="1024" spans="1:23" ht="12.3" x14ac:dyDescent="0.4">
      <c r="A1024" s="2" t="s">
        <v>43</v>
      </c>
      <c r="B1024" s="2">
        <v>5</v>
      </c>
      <c r="C1024" s="3" t="s">
        <v>33</v>
      </c>
      <c r="D1024" s="4" t="s">
        <v>33</v>
      </c>
      <c r="E1024" s="4" t="s">
        <v>33</v>
      </c>
      <c r="F1024" s="2"/>
      <c r="G1024" s="2"/>
      <c r="H1024" s="2"/>
      <c r="I1024" s="2">
        <v>67.051299999999998</v>
      </c>
      <c r="J1024" s="2">
        <v>169</v>
      </c>
      <c r="K1024" s="2">
        <v>66.236900000000006</v>
      </c>
      <c r="L1024" s="2">
        <v>194</v>
      </c>
      <c r="M1024" s="2">
        <v>112.6932</v>
      </c>
      <c r="N1024" s="2">
        <v>16</v>
      </c>
      <c r="O1024" s="2">
        <v>114.0809</v>
      </c>
      <c r="P1024" s="2">
        <v>15</v>
      </c>
      <c r="Q1024" s="2">
        <v>98.897099999999995</v>
      </c>
      <c r="R1024" s="2">
        <v>102</v>
      </c>
      <c r="S1024" s="2">
        <v>98.095399999999998</v>
      </c>
      <c r="T1024" s="2">
        <v>89</v>
      </c>
      <c r="U1024" s="2">
        <v>0.85019500000000003</v>
      </c>
      <c r="V1024" s="2">
        <v>30</v>
      </c>
      <c r="W1024" s="2">
        <v>2011</v>
      </c>
    </row>
    <row r="1025" spans="1:23" ht="12.3" x14ac:dyDescent="0.4">
      <c r="A1025" s="2" t="s">
        <v>102</v>
      </c>
      <c r="B1025" s="2">
        <v>6</v>
      </c>
      <c r="C1025" s="25"/>
      <c r="D1025" s="25"/>
      <c r="E1025" s="2"/>
      <c r="F1025" s="2"/>
      <c r="G1025" s="2"/>
      <c r="H1025" s="2"/>
      <c r="I1025" s="2">
        <v>66.396699999999996</v>
      </c>
      <c r="J1025" s="2">
        <v>190</v>
      </c>
      <c r="K1025" s="2">
        <v>67.192700000000002</v>
      </c>
      <c r="L1025" s="2">
        <v>143</v>
      </c>
      <c r="M1025" s="2">
        <v>105.087</v>
      </c>
      <c r="N1025" s="2">
        <v>92</v>
      </c>
      <c r="O1025" s="2">
        <v>109.46299999999999</v>
      </c>
      <c r="P1025" s="2">
        <v>48</v>
      </c>
      <c r="Q1025" s="2">
        <v>99.456900000000005</v>
      </c>
      <c r="R1025" s="2">
        <v>110</v>
      </c>
      <c r="S1025" s="2">
        <v>94.1892</v>
      </c>
      <c r="T1025" s="2">
        <v>35</v>
      </c>
      <c r="U1025" s="2">
        <v>0.84918499999999997</v>
      </c>
      <c r="V1025" s="2">
        <v>31</v>
      </c>
      <c r="W1025" s="2">
        <v>2011</v>
      </c>
    </row>
    <row r="1026" spans="1:23" ht="12.3" hidden="1" x14ac:dyDescent="0.4">
      <c r="A1026" s="2" t="s">
        <v>204</v>
      </c>
      <c r="B1026" s="2"/>
      <c r="C1026" s="2"/>
      <c r="D1026" s="2"/>
      <c r="E1026" s="2"/>
      <c r="F1026" s="2"/>
      <c r="G1026" s="2"/>
      <c r="H1026" s="2"/>
      <c r="I1026" s="2">
        <v>55.540100000000002</v>
      </c>
      <c r="J1026" s="2">
        <v>329</v>
      </c>
      <c r="K1026" s="2">
        <v>55.778599999999997</v>
      </c>
      <c r="L1026" s="2">
        <v>329</v>
      </c>
      <c r="M1026" s="2">
        <v>109.9255</v>
      </c>
      <c r="N1026" s="2">
        <v>33</v>
      </c>
      <c r="O1026" s="2">
        <v>109.2276</v>
      </c>
      <c r="P1026" s="2">
        <v>46</v>
      </c>
      <c r="Q1026" s="2">
        <v>98.4024</v>
      </c>
      <c r="R1026" s="2">
        <v>92</v>
      </c>
      <c r="S1026" s="2">
        <v>97.639499999999998</v>
      </c>
      <c r="T1026" s="2">
        <v>79</v>
      </c>
      <c r="U1026" s="2">
        <v>0.78410299999999999</v>
      </c>
      <c r="V1026" s="2">
        <v>45</v>
      </c>
      <c r="W1026" s="2">
        <v>2005</v>
      </c>
    </row>
    <row r="1027" spans="1:23" ht="12.3" x14ac:dyDescent="0.4">
      <c r="A1027" s="2" t="s">
        <v>50</v>
      </c>
      <c r="B1027" s="2">
        <v>6</v>
      </c>
      <c r="C1027" s="25"/>
      <c r="D1027" s="2"/>
      <c r="E1027" s="2"/>
      <c r="F1027" s="2"/>
      <c r="G1027" s="2"/>
      <c r="H1027" s="2"/>
      <c r="I1027" s="2">
        <v>65.404899999999998</v>
      </c>
      <c r="J1027" s="2">
        <v>242</v>
      </c>
      <c r="K1027" s="2">
        <v>66.111800000000002</v>
      </c>
      <c r="L1027" s="2">
        <v>204</v>
      </c>
      <c r="M1027" s="2">
        <v>109.2818</v>
      </c>
      <c r="N1027" s="2">
        <v>44</v>
      </c>
      <c r="O1027" s="2">
        <v>111.5789</v>
      </c>
      <c r="P1027" s="2">
        <v>28</v>
      </c>
      <c r="Q1027" s="2">
        <v>97.208500000000001</v>
      </c>
      <c r="R1027" s="2">
        <v>72</v>
      </c>
      <c r="S1027" s="2">
        <v>96.127099999999999</v>
      </c>
      <c r="T1027" s="2">
        <v>56</v>
      </c>
      <c r="U1027" s="2">
        <v>0.84738000000000002</v>
      </c>
      <c r="V1027" s="2">
        <v>32</v>
      </c>
      <c r="W1027" s="2">
        <v>2011</v>
      </c>
    </row>
    <row r="1028" spans="1:23" ht="12.3" hidden="1" x14ac:dyDescent="0.4">
      <c r="A1028" s="2" t="s">
        <v>91</v>
      </c>
      <c r="B1028" s="2"/>
      <c r="C1028" s="2"/>
      <c r="D1028" s="2"/>
      <c r="E1028" s="2"/>
      <c r="F1028" s="2"/>
      <c r="G1028" s="2"/>
      <c r="H1028" s="2"/>
      <c r="I1028" s="2">
        <v>62.563699999999997</v>
      </c>
      <c r="J1028" s="2">
        <v>306</v>
      </c>
      <c r="K1028" s="2">
        <v>63.1751</v>
      </c>
      <c r="L1028" s="2">
        <v>299</v>
      </c>
      <c r="M1028" s="2">
        <v>103.52379999999999</v>
      </c>
      <c r="N1028" s="2">
        <v>122</v>
      </c>
      <c r="O1028" s="2">
        <v>105.9088</v>
      </c>
      <c r="P1028" s="2">
        <v>87</v>
      </c>
      <c r="Q1028" s="2">
        <v>95.068200000000004</v>
      </c>
      <c r="R1028" s="2">
        <v>38</v>
      </c>
      <c r="S1028" s="2">
        <v>94.984999999999999</v>
      </c>
      <c r="T1028" s="2">
        <v>40</v>
      </c>
      <c r="U1028" s="2">
        <v>0.77762600000000004</v>
      </c>
      <c r="V1028" s="2">
        <v>47</v>
      </c>
      <c r="W1028" s="2">
        <v>2005</v>
      </c>
    </row>
    <row r="1029" spans="1:23" ht="12.3" x14ac:dyDescent="0.4">
      <c r="A1029" s="2" t="s">
        <v>78</v>
      </c>
      <c r="B1029" s="2">
        <v>9</v>
      </c>
      <c r="C1029" s="25"/>
      <c r="D1029" s="2"/>
      <c r="E1029" s="2"/>
      <c r="F1029" s="2"/>
      <c r="G1029" s="2"/>
      <c r="H1029" s="2"/>
      <c r="I1029" s="2">
        <v>66.211200000000005</v>
      </c>
      <c r="J1029" s="2">
        <v>199</v>
      </c>
      <c r="K1029" s="2">
        <v>66.236199999999997</v>
      </c>
      <c r="L1029" s="2">
        <v>195</v>
      </c>
      <c r="M1029" s="2">
        <v>109.5659</v>
      </c>
      <c r="N1029" s="2">
        <v>40</v>
      </c>
      <c r="O1029" s="2">
        <v>113.3295</v>
      </c>
      <c r="P1029" s="2">
        <v>20</v>
      </c>
      <c r="Q1029" s="2">
        <v>98.962199999999996</v>
      </c>
      <c r="R1029" s="2">
        <v>106</v>
      </c>
      <c r="S1029" s="2">
        <v>97.819299999999998</v>
      </c>
      <c r="T1029" s="2">
        <v>81</v>
      </c>
      <c r="U1029" s="2">
        <v>0.84455800000000003</v>
      </c>
      <c r="V1029" s="2">
        <v>33</v>
      </c>
      <c r="W1029" s="2">
        <v>2011</v>
      </c>
    </row>
    <row r="1030" spans="1:23" ht="12.3" x14ac:dyDescent="0.4">
      <c r="A1030" s="2" t="s">
        <v>47</v>
      </c>
      <c r="B1030" s="2">
        <v>11</v>
      </c>
      <c r="C1030" s="4" t="s">
        <v>33</v>
      </c>
      <c r="D1030" s="2"/>
      <c r="E1030" s="2"/>
      <c r="F1030" s="2"/>
      <c r="G1030" s="2"/>
      <c r="H1030" s="2"/>
      <c r="I1030" s="2">
        <v>68.028599999999997</v>
      </c>
      <c r="J1030" s="2">
        <v>111</v>
      </c>
      <c r="K1030" s="2">
        <v>67.670100000000005</v>
      </c>
      <c r="L1030" s="2">
        <v>116</v>
      </c>
      <c r="M1030" s="2">
        <v>110.5722</v>
      </c>
      <c r="N1030" s="2">
        <v>29</v>
      </c>
      <c r="O1030" s="2">
        <v>109.1328</v>
      </c>
      <c r="P1030" s="2">
        <v>52</v>
      </c>
      <c r="Q1030" s="2">
        <v>95.232200000000006</v>
      </c>
      <c r="R1030" s="2">
        <v>39</v>
      </c>
      <c r="S1030" s="2">
        <v>94.938999999999993</v>
      </c>
      <c r="T1030" s="2">
        <v>41</v>
      </c>
      <c r="U1030" s="2">
        <v>0.83233900000000005</v>
      </c>
      <c r="V1030" s="2">
        <v>34</v>
      </c>
      <c r="W1030" s="2">
        <v>2011</v>
      </c>
    </row>
    <row r="1031" spans="1:23" ht="12.3" x14ac:dyDescent="0.4">
      <c r="A1031" s="2" t="s">
        <v>100</v>
      </c>
      <c r="B1031" s="2">
        <v>12</v>
      </c>
      <c r="C1031" s="4" t="s">
        <v>33</v>
      </c>
      <c r="D1031" s="4" t="s">
        <v>33</v>
      </c>
      <c r="E1031" s="2"/>
      <c r="F1031" s="2"/>
      <c r="G1031" s="2"/>
      <c r="H1031" s="2"/>
      <c r="I1031" s="2">
        <v>63.9236</v>
      </c>
      <c r="J1031" s="2">
        <v>292</v>
      </c>
      <c r="K1031" s="2">
        <v>63.799900000000001</v>
      </c>
      <c r="L1031" s="2">
        <v>300</v>
      </c>
      <c r="M1031" s="2">
        <v>109.1121</v>
      </c>
      <c r="N1031" s="2">
        <v>46</v>
      </c>
      <c r="O1031" s="2">
        <v>109.8189</v>
      </c>
      <c r="P1031" s="2">
        <v>44</v>
      </c>
      <c r="Q1031" s="2">
        <v>94.848200000000006</v>
      </c>
      <c r="R1031" s="2">
        <v>34</v>
      </c>
      <c r="S1031" s="2">
        <v>95.578800000000001</v>
      </c>
      <c r="T1031" s="2">
        <v>50</v>
      </c>
      <c r="U1031" s="2">
        <v>0.83161799999999997</v>
      </c>
      <c r="V1031" s="2">
        <v>35</v>
      </c>
      <c r="W1031" s="2">
        <v>2011</v>
      </c>
    </row>
    <row r="1032" spans="1:23" ht="12.3" hidden="1" x14ac:dyDescent="0.4">
      <c r="A1032" s="2" t="s">
        <v>56</v>
      </c>
      <c r="B1032" s="2"/>
      <c r="C1032" s="2"/>
      <c r="D1032" s="2"/>
      <c r="E1032" s="2"/>
      <c r="F1032" s="2"/>
      <c r="G1032" s="2"/>
      <c r="H1032" s="2"/>
      <c r="I1032" s="2">
        <v>63.512099999999997</v>
      </c>
      <c r="J1032" s="2">
        <v>290</v>
      </c>
      <c r="K1032" s="2">
        <v>65.189099999999996</v>
      </c>
      <c r="L1032" s="2">
        <v>246</v>
      </c>
      <c r="M1032" s="2">
        <v>105.56</v>
      </c>
      <c r="N1032" s="2">
        <v>76</v>
      </c>
      <c r="O1032" s="2">
        <v>108.2277</v>
      </c>
      <c r="P1032" s="2">
        <v>55</v>
      </c>
      <c r="Q1032" s="2">
        <v>99.775800000000004</v>
      </c>
      <c r="R1032" s="2">
        <v>123</v>
      </c>
      <c r="S1032" s="2">
        <v>97.386799999999994</v>
      </c>
      <c r="T1032" s="2">
        <v>75</v>
      </c>
      <c r="U1032" s="2">
        <v>0.77096799999999999</v>
      </c>
      <c r="V1032" s="2">
        <v>51</v>
      </c>
      <c r="W1032" s="2">
        <v>2005</v>
      </c>
    </row>
    <row r="1033" spans="1:23" ht="12.3" x14ac:dyDescent="0.4">
      <c r="A1033" s="2" t="s">
        <v>73</v>
      </c>
      <c r="B1033" s="2">
        <v>11</v>
      </c>
      <c r="C1033" s="2"/>
      <c r="D1033" s="2"/>
      <c r="E1033" s="2"/>
      <c r="F1033" s="2"/>
      <c r="G1033" s="2"/>
      <c r="H1033" s="2"/>
      <c r="I1033" s="2">
        <v>72.605800000000002</v>
      </c>
      <c r="J1033" s="2">
        <v>12</v>
      </c>
      <c r="K1033" s="2">
        <v>72.144599999999997</v>
      </c>
      <c r="L1033" s="2">
        <v>13</v>
      </c>
      <c r="M1033" s="2">
        <v>109.8463</v>
      </c>
      <c r="N1033" s="2">
        <v>35</v>
      </c>
      <c r="O1033" s="2">
        <v>111.55840000000001</v>
      </c>
      <c r="P1033" s="2">
        <v>30</v>
      </c>
      <c r="Q1033" s="2">
        <v>98.125699999999995</v>
      </c>
      <c r="R1033" s="2">
        <v>86</v>
      </c>
      <c r="S1033" s="2">
        <v>97.093699999999998</v>
      </c>
      <c r="T1033" s="2">
        <v>67</v>
      </c>
      <c r="U1033" s="2">
        <v>0.83160299999999998</v>
      </c>
      <c r="V1033" s="2">
        <v>36</v>
      </c>
      <c r="W1033" s="2">
        <v>2011</v>
      </c>
    </row>
    <row r="1034" spans="1:23" ht="12.3" hidden="1" x14ac:dyDescent="0.4">
      <c r="A1034" s="2" t="s">
        <v>24</v>
      </c>
      <c r="B1034" s="2"/>
      <c r="C1034" s="2"/>
      <c r="D1034" s="2"/>
      <c r="E1034" s="2"/>
      <c r="F1034" s="2"/>
      <c r="G1034" s="2"/>
      <c r="H1034" s="2"/>
      <c r="I1034" s="2">
        <v>72.089399999999998</v>
      </c>
      <c r="J1034" s="2">
        <v>29</v>
      </c>
      <c r="K1034" s="2">
        <v>70.557500000000005</v>
      </c>
      <c r="L1034" s="2">
        <v>47</v>
      </c>
      <c r="M1034" s="2">
        <v>98.992800000000003</v>
      </c>
      <c r="N1034" s="2">
        <v>216</v>
      </c>
      <c r="O1034" s="2">
        <v>104.10169999999999</v>
      </c>
      <c r="P1034" s="2">
        <v>111</v>
      </c>
      <c r="Q1034" s="2">
        <v>95.347099999999998</v>
      </c>
      <c r="R1034" s="2">
        <v>40</v>
      </c>
      <c r="S1034" s="2">
        <v>93.872</v>
      </c>
      <c r="T1034" s="2">
        <v>29</v>
      </c>
      <c r="U1034" s="2">
        <v>0.766656</v>
      </c>
      <c r="V1034" s="2">
        <v>53</v>
      </c>
      <c r="W1034" s="2">
        <v>2005</v>
      </c>
    </row>
    <row r="1035" spans="1:23" ht="12.3" hidden="1" x14ac:dyDescent="0.4">
      <c r="A1035" s="2" t="s">
        <v>40</v>
      </c>
      <c r="B1035" s="2"/>
      <c r="C1035" s="2"/>
      <c r="D1035" s="2"/>
      <c r="E1035" s="2"/>
      <c r="F1035" s="2"/>
      <c r="G1035" s="2"/>
      <c r="H1035" s="2"/>
      <c r="I1035" s="2">
        <v>62.069299999999998</v>
      </c>
      <c r="J1035" s="2">
        <v>311</v>
      </c>
      <c r="K1035" s="2">
        <v>62.311399999999999</v>
      </c>
      <c r="L1035" s="2">
        <v>310</v>
      </c>
      <c r="M1035" s="2">
        <v>102.02200000000001</v>
      </c>
      <c r="N1035" s="2">
        <v>146</v>
      </c>
      <c r="O1035" s="2">
        <v>109.1936</v>
      </c>
      <c r="P1035" s="2">
        <v>47</v>
      </c>
      <c r="Q1035" s="2">
        <v>101.2771</v>
      </c>
      <c r="R1035" s="2">
        <v>162</v>
      </c>
      <c r="S1035" s="2">
        <v>98.520600000000002</v>
      </c>
      <c r="T1035" s="2">
        <v>94</v>
      </c>
      <c r="U1035" s="2">
        <v>0.76546099999999995</v>
      </c>
      <c r="V1035" s="2">
        <v>54</v>
      </c>
      <c r="W1035" s="2">
        <v>2005</v>
      </c>
    </row>
    <row r="1036" spans="1:23" ht="12.3" hidden="1" x14ac:dyDescent="0.4">
      <c r="A1036" s="2" t="s">
        <v>17</v>
      </c>
      <c r="B1036" s="2"/>
      <c r="C1036" s="2"/>
      <c r="D1036" s="2"/>
      <c r="E1036" s="2"/>
      <c r="F1036" s="2"/>
      <c r="G1036" s="2"/>
      <c r="H1036" s="2"/>
      <c r="I1036" s="2">
        <v>64.313500000000005</v>
      </c>
      <c r="J1036" s="2">
        <v>273</v>
      </c>
      <c r="K1036" s="2">
        <v>64.851600000000005</v>
      </c>
      <c r="L1036" s="2">
        <v>258</v>
      </c>
      <c r="M1036" s="2">
        <v>104.8886</v>
      </c>
      <c r="N1036" s="2">
        <v>91</v>
      </c>
      <c r="O1036" s="2">
        <v>108.0988</v>
      </c>
      <c r="P1036" s="2">
        <v>57</v>
      </c>
      <c r="Q1036" s="2">
        <v>99.569400000000002</v>
      </c>
      <c r="R1036" s="2">
        <v>119</v>
      </c>
      <c r="S1036" s="2">
        <v>97.5715</v>
      </c>
      <c r="T1036" s="2">
        <v>77</v>
      </c>
      <c r="U1036" s="2">
        <v>0.76464100000000002</v>
      </c>
      <c r="V1036" s="2">
        <v>55</v>
      </c>
      <c r="W1036" s="2">
        <v>2005</v>
      </c>
    </row>
    <row r="1037" spans="1:23" ht="12.3" hidden="1" x14ac:dyDescent="0.4">
      <c r="A1037" s="2" t="s">
        <v>192</v>
      </c>
      <c r="B1037" s="2"/>
      <c r="C1037" s="2"/>
      <c r="D1037" s="2"/>
      <c r="E1037" s="2"/>
      <c r="F1037" s="2"/>
      <c r="G1037" s="2"/>
      <c r="H1037" s="2"/>
      <c r="I1037" s="2">
        <v>65.139700000000005</v>
      </c>
      <c r="J1037" s="2">
        <v>253</v>
      </c>
      <c r="K1037" s="2">
        <v>64.972399999999993</v>
      </c>
      <c r="L1037" s="2">
        <v>254</v>
      </c>
      <c r="M1037" s="2">
        <v>109.6396</v>
      </c>
      <c r="N1037" s="2">
        <v>38</v>
      </c>
      <c r="O1037" s="2">
        <v>110.648</v>
      </c>
      <c r="P1037" s="2">
        <v>36</v>
      </c>
      <c r="Q1037" s="2">
        <v>101.8905</v>
      </c>
      <c r="R1037" s="2">
        <v>181</v>
      </c>
      <c r="S1037" s="2">
        <v>99.9482</v>
      </c>
      <c r="T1037" s="2">
        <v>127</v>
      </c>
      <c r="U1037" s="2">
        <v>0.76306700000000005</v>
      </c>
      <c r="V1037" s="2">
        <v>56</v>
      </c>
      <c r="W1037" s="2">
        <v>2005</v>
      </c>
    </row>
    <row r="1038" spans="1:23" ht="12.3" x14ac:dyDescent="0.4">
      <c r="A1038" s="2" t="s">
        <v>111</v>
      </c>
      <c r="B1038" s="2">
        <v>5</v>
      </c>
      <c r="C1038" s="25"/>
      <c r="D1038" s="2"/>
      <c r="E1038" s="2"/>
      <c r="F1038" s="2"/>
      <c r="G1038" s="2"/>
      <c r="H1038" s="2"/>
      <c r="I1038" s="2">
        <v>68.009799999999998</v>
      </c>
      <c r="J1038" s="2">
        <v>112</v>
      </c>
      <c r="K1038" s="2">
        <v>67.729299999999995</v>
      </c>
      <c r="L1038" s="2">
        <v>110</v>
      </c>
      <c r="M1038" s="2">
        <v>111.0209</v>
      </c>
      <c r="N1038" s="2">
        <v>24</v>
      </c>
      <c r="O1038" s="2">
        <v>114.09350000000001</v>
      </c>
      <c r="P1038" s="2">
        <v>14</v>
      </c>
      <c r="Q1038" s="2">
        <v>98.703599999999994</v>
      </c>
      <c r="R1038" s="2">
        <v>99</v>
      </c>
      <c r="S1038" s="2">
        <v>99.4773</v>
      </c>
      <c r="T1038" s="2">
        <v>114</v>
      </c>
      <c r="U1038" s="2">
        <v>0.828712</v>
      </c>
      <c r="V1038" s="2">
        <v>37</v>
      </c>
      <c r="W1038" s="2">
        <v>2011</v>
      </c>
    </row>
    <row r="1039" spans="1:23" ht="12.3" hidden="1" x14ac:dyDescent="0.4">
      <c r="A1039" s="2" t="s">
        <v>120</v>
      </c>
      <c r="B1039" s="2"/>
      <c r="C1039" s="2"/>
      <c r="D1039" s="2"/>
      <c r="E1039" s="2"/>
      <c r="F1039" s="2"/>
      <c r="G1039" s="2"/>
      <c r="H1039" s="2"/>
      <c r="I1039" s="2">
        <v>69.180199999999999</v>
      </c>
      <c r="J1039" s="2">
        <v>96</v>
      </c>
      <c r="K1039" s="2">
        <v>69.981899999999996</v>
      </c>
      <c r="L1039" s="2">
        <v>61</v>
      </c>
      <c r="M1039" s="2">
        <v>105.79</v>
      </c>
      <c r="N1039" s="2">
        <v>69</v>
      </c>
      <c r="O1039" s="2">
        <v>109.16379999999999</v>
      </c>
      <c r="P1039" s="2">
        <v>48</v>
      </c>
      <c r="Q1039" s="2">
        <v>104.41079999999999</v>
      </c>
      <c r="R1039" s="2">
        <v>240</v>
      </c>
      <c r="S1039" s="2">
        <v>98.783600000000007</v>
      </c>
      <c r="T1039" s="2">
        <v>96</v>
      </c>
      <c r="U1039" s="2">
        <v>0.75933799999999996</v>
      </c>
      <c r="V1039" s="2">
        <v>58</v>
      </c>
      <c r="W1039" s="2">
        <v>2005</v>
      </c>
    </row>
    <row r="1040" spans="1:23" ht="12.3" hidden="1" x14ac:dyDescent="0.4">
      <c r="A1040" s="2" t="s">
        <v>71</v>
      </c>
      <c r="B1040" s="2"/>
      <c r="C1040" s="2"/>
      <c r="D1040" s="2"/>
      <c r="E1040" s="2"/>
      <c r="F1040" s="2"/>
      <c r="G1040" s="2"/>
      <c r="H1040" s="2"/>
      <c r="I1040" s="2">
        <v>68.102599999999995</v>
      </c>
      <c r="J1040" s="2">
        <v>132</v>
      </c>
      <c r="K1040" s="2">
        <v>67.478399999999993</v>
      </c>
      <c r="L1040" s="2">
        <v>150</v>
      </c>
      <c r="M1040" s="2">
        <v>103.67619999999999</v>
      </c>
      <c r="N1040" s="2">
        <v>117</v>
      </c>
      <c r="O1040" s="2">
        <v>105.5595</v>
      </c>
      <c r="P1040" s="2">
        <v>91</v>
      </c>
      <c r="Q1040" s="2">
        <v>96.257099999999994</v>
      </c>
      <c r="R1040" s="2">
        <v>51</v>
      </c>
      <c r="S1040" s="2">
        <v>95.549499999999995</v>
      </c>
      <c r="T1040" s="2">
        <v>47</v>
      </c>
      <c r="U1040" s="2">
        <v>0.75873500000000005</v>
      </c>
      <c r="V1040" s="2">
        <v>59</v>
      </c>
      <c r="W1040" s="2">
        <v>2005</v>
      </c>
    </row>
    <row r="1041" spans="1:23" ht="12.3" x14ac:dyDescent="0.4">
      <c r="A1041" s="2" t="s">
        <v>190</v>
      </c>
      <c r="B1041" s="2">
        <v>9</v>
      </c>
      <c r="C1041" s="2"/>
      <c r="D1041" s="2"/>
      <c r="E1041" s="2"/>
      <c r="F1041" s="2"/>
      <c r="G1041" s="2"/>
      <c r="H1041" s="2"/>
      <c r="I1041" s="2">
        <v>60.9557</v>
      </c>
      <c r="J1041" s="2">
        <v>340</v>
      </c>
      <c r="K1041" s="2">
        <v>61.403500000000001</v>
      </c>
      <c r="L1041" s="2">
        <v>332</v>
      </c>
      <c r="M1041" s="2">
        <v>108.0705</v>
      </c>
      <c r="N1041" s="2">
        <v>50</v>
      </c>
      <c r="O1041" s="2">
        <v>108.35720000000001</v>
      </c>
      <c r="P1041" s="2">
        <v>62</v>
      </c>
      <c r="Q1041" s="2">
        <v>95.345200000000006</v>
      </c>
      <c r="R1041" s="2">
        <v>40</v>
      </c>
      <c r="S1041" s="2">
        <v>94.734800000000007</v>
      </c>
      <c r="T1041" s="2">
        <v>39</v>
      </c>
      <c r="U1041" s="2">
        <v>0.82419799999999999</v>
      </c>
      <c r="V1041" s="2">
        <v>39</v>
      </c>
      <c r="W1041" s="2">
        <v>2011</v>
      </c>
    </row>
    <row r="1042" spans="1:23" ht="12.3" hidden="1" x14ac:dyDescent="0.4">
      <c r="A1042" s="2" t="s">
        <v>178</v>
      </c>
      <c r="B1042" s="2"/>
      <c r="C1042" s="2"/>
      <c r="D1042" s="2"/>
      <c r="E1042" s="2"/>
      <c r="F1042" s="2"/>
      <c r="G1042" s="2"/>
      <c r="H1042" s="2"/>
      <c r="I1042" s="2">
        <v>63.632100000000001</v>
      </c>
      <c r="J1042" s="2">
        <v>288</v>
      </c>
      <c r="K1042" s="2">
        <v>64.371099999999998</v>
      </c>
      <c r="L1042" s="2">
        <v>276</v>
      </c>
      <c r="M1042" s="2">
        <v>103.6798</v>
      </c>
      <c r="N1042" s="2">
        <v>116</v>
      </c>
      <c r="O1042" s="2">
        <v>101.4689</v>
      </c>
      <c r="P1042" s="2">
        <v>159</v>
      </c>
      <c r="Q1042" s="2">
        <v>86.663700000000006</v>
      </c>
      <c r="R1042" s="2">
        <v>1</v>
      </c>
      <c r="S1042" s="2">
        <v>91.872600000000006</v>
      </c>
      <c r="T1042" s="2">
        <v>13</v>
      </c>
      <c r="U1042" s="2">
        <v>0.75814199999999998</v>
      </c>
      <c r="V1042" s="2">
        <v>61</v>
      </c>
      <c r="W1042" s="2">
        <v>2005</v>
      </c>
    </row>
    <row r="1043" spans="1:23" ht="12.3" x14ac:dyDescent="0.4">
      <c r="A1043" s="2" t="s">
        <v>248</v>
      </c>
      <c r="B1043" s="2">
        <v>7</v>
      </c>
      <c r="C1043" s="2"/>
      <c r="D1043" s="2"/>
      <c r="E1043" s="2"/>
      <c r="F1043" s="2"/>
      <c r="G1043" s="2"/>
      <c r="H1043" s="2"/>
      <c r="I1043" s="2">
        <v>63.3643</v>
      </c>
      <c r="J1043" s="2">
        <v>306</v>
      </c>
      <c r="K1043" s="2">
        <v>62.4497</v>
      </c>
      <c r="L1043" s="2">
        <v>325</v>
      </c>
      <c r="M1043" s="2">
        <v>106.31570000000001</v>
      </c>
      <c r="N1043" s="2">
        <v>74</v>
      </c>
      <c r="O1043" s="2">
        <v>107.6803</v>
      </c>
      <c r="P1043" s="2">
        <v>66</v>
      </c>
      <c r="Q1043" s="2">
        <v>96.104900000000001</v>
      </c>
      <c r="R1043" s="2">
        <v>50</v>
      </c>
      <c r="S1043" s="2">
        <v>94.159300000000002</v>
      </c>
      <c r="T1043" s="2">
        <v>34</v>
      </c>
      <c r="U1043" s="2">
        <v>0.823909</v>
      </c>
      <c r="V1043" s="2">
        <v>40</v>
      </c>
      <c r="W1043" s="2">
        <v>2011</v>
      </c>
    </row>
    <row r="1044" spans="1:23" ht="12.3" x14ac:dyDescent="0.4">
      <c r="A1044" s="2" t="s">
        <v>20</v>
      </c>
      <c r="B1044" s="2">
        <v>10</v>
      </c>
      <c r="C1044" s="4" t="s">
        <v>33</v>
      </c>
      <c r="D1044" s="4" t="s">
        <v>33</v>
      </c>
      <c r="E1044" s="2"/>
      <c r="F1044" s="2"/>
      <c r="G1044" s="2"/>
      <c r="H1044" s="2"/>
      <c r="I1044" s="2">
        <v>69.8065</v>
      </c>
      <c r="J1044" s="2">
        <v>43</v>
      </c>
      <c r="K1044" s="2">
        <v>69.047399999999996</v>
      </c>
      <c r="L1044" s="2">
        <v>57</v>
      </c>
      <c r="M1044" s="2">
        <v>98.826800000000006</v>
      </c>
      <c r="N1044" s="2">
        <v>229</v>
      </c>
      <c r="O1044" s="2">
        <v>100.986</v>
      </c>
      <c r="P1044" s="2">
        <v>183</v>
      </c>
      <c r="Q1044" s="2">
        <v>89.5274</v>
      </c>
      <c r="R1044" s="2">
        <v>3</v>
      </c>
      <c r="S1044" s="2">
        <v>88.593199999999996</v>
      </c>
      <c r="T1044" s="2">
        <v>2</v>
      </c>
      <c r="U1044" s="2">
        <v>0.81841600000000003</v>
      </c>
      <c r="V1044" s="2">
        <v>42</v>
      </c>
      <c r="W1044" s="2">
        <v>2011</v>
      </c>
    </row>
    <row r="1045" spans="1:23" ht="12.3" hidden="1" x14ac:dyDescent="0.4">
      <c r="A1045" s="2" t="s">
        <v>141</v>
      </c>
      <c r="B1045" s="2"/>
      <c r="C1045" s="2"/>
      <c r="D1045" s="2"/>
      <c r="E1045" s="2"/>
      <c r="F1045" s="2"/>
      <c r="G1045" s="2"/>
      <c r="H1045" s="2"/>
      <c r="I1045" s="2">
        <v>68.249600000000001</v>
      </c>
      <c r="J1045" s="2">
        <v>128</v>
      </c>
      <c r="K1045" s="2">
        <v>68.775599999999997</v>
      </c>
      <c r="L1045" s="2">
        <v>102</v>
      </c>
      <c r="M1045" s="2">
        <v>104.96680000000001</v>
      </c>
      <c r="N1045" s="2">
        <v>88</v>
      </c>
      <c r="O1045" s="2">
        <v>107.03400000000001</v>
      </c>
      <c r="P1045" s="2">
        <v>66</v>
      </c>
      <c r="Q1045" s="2">
        <v>97.814899999999994</v>
      </c>
      <c r="R1045" s="2">
        <v>76</v>
      </c>
      <c r="S1045" s="2">
        <v>97.286100000000005</v>
      </c>
      <c r="T1045" s="2">
        <v>74</v>
      </c>
      <c r="U1045" s="2">
        <v>0.74990999999999997</v>
      </c>
      <c r="V1045" s="2">
        <v>64</v>
      </c>
      <c r="W1045" s="2">
        <v>2005</v>
      </c>
    </row>
    <row r="1046" spans="1:23" ht="12.3" hidden="1" x14ac:dyDescent="0.4">
      <c r="A1046" s="2" t="s">
        <v>167</v>
      </c>
      <c r="B1046" s="2"/>
      <c r="C1046" s="2"/>
      <c r="D1046" s="2"/>
      <c r="E1046" s="2"/>
      <c r="F1046" s="2"/>
      <c r="G1046" s="2"/>
      <c r="H1046" s="2"/>
      <c r="I1046" s="2">
        <v>61.477400000000003</v>
      </c>
      <c r="J1046" s="2">
        <v>315</v>
      </c>
      <c r="K1046" s="2">
        <v>61.731900000000003</v>
      </c>
      <c r="L1046" s="2">
        <v>315</v>
      </c>
      <c r="M1046" s="2">
        <v>104.3656</v>
      </c>
      <c r="N1046" s="2">
        <v>105</v>
      </c>
      <c r="O1046" s="2">
        <v>103.3258</v>
      </c>
      <c r="P1046" s="2">
        <v>122</v>
      </c>
      <c r="Q1046" s="2">
        <v>97.957899999999995</v>
      </c>
      <c r="R1046" s="2">
        <v>81</v>
      </c>
      <c r="S1046" s="2">
        <v>94.012600000000006</v>
      </c>
      <c r="T1046" s="2">
        <v>30</v>
      </c>
      <c r="U1046" s="2">
        <v>0.74767700000000004</v>
      </c>
      <c r="V1046" s="2">
        <v>65</v>
      </c>
      <c r="W1046" s="2">
        <v>2005</v>
      </c>
    </row>
    <row r="1047" spans="1:23" ht="12.3" hidden="1" x14ac:dyDescent="0.4">
      <c r="A1047" s="2" t="s">
        <v>207</v>
      </c>
      <c r="B1047" s="2"/>
      <c r="C1047" s="2"/>
      <c r="D1047" s="2"/>
      <c r="E1047" s="2"/>
      <c r="F1047" s="2"/>
      <c r="G1047" s="2"/>
      <c r="H1047" s="2"/>
      <c r="I1047" s="2">
        <v>63.1586</v>
      </c>
      <c r="J1047" s="2">
        <v>298</v>
      </c>
      <c r="K1047" s="2">
        <v>63.445500000000003</v>
      </c>
      <c r="L1047" s="2">
        <v>297</v>
      </c>
      <c r="M1047" s="2">
        <v>107.4611</v>
      </c>
      <c r="N1047" s="2">
        <v>55</v>
      </c>
      <c r="O1047" s="2">
        <v>108.63200000000001</v>
      </c>
      <c r="P1047" s="2">
        <v>53</v>
      </c>
      <c r="Q1047" s="2">
        <v>100.1233</v>
      </c>
      <c r="R1047" s="2">
        <v>134</v>
      </c>
      <c r="S1047" s="2">
        <v>98.846599999999995</v>
      </c>
      <c r="T1047" s="2">
        <v>99</v>
      </c>
      <c r="U1047" s="2">
        <v>0.74754600000000004</v>
      </c>
      <c r="V1047" s="2">
        <v>66</v>
      </c>
      <c r="W1047" s="2">
        <v>2005</v>
      </c>
    </row>
    <row r="1048" spans="1:23" ht="12.3" x14ac:dyDescent="0.4">
      <c r="A1048" s="2" t="s">
        <v>154</v>
      </c>
      <c r="B1048" s="2">
        <v>8</v>
      </c>
      <c r="C1048" s="4" t="s">
        <v>33</v>
      </c>
      <c r="D1048" s="2"/>
      <c r="E1048" s="2"/>
      <c r="F1048" s="2"/>
      <c r="G1048" s="2"/>
      <c r="H1048" s="2"/>
      <c r="I1048" s="2">
        <v>61.804299999999998</v>
      </c>
      <c r="J1048" s="2">
        <v>332</v>
      </c>
      <c r="K1048" s="2">
        <v>62.807299999999998</v>
      </c>
      <c r="L1048" s="2">
        <v>323</v>
      </c>
      <c r="M1048" s="2">
        <v>105.3073</v>
      </c>
      <c r="N1048" s="2">
        <v>88</v>
      </c>
      <c r="O1048" s="2">
        <v>109.05589999999999</v>
      </c>
      <c r="P1048" s="2">
        <v>55</v>
      </c>
      <c r="Q1048" s="2">
        <v>100.8622</v>
      </c>
      <c r="R1048" s="2">
        <v>153</v>
      </c>
      <c r="S1048" s="2">
        <v>95.739900000000006</v>
      </c>
      <c r="T1048" s="2">
        <v>54</v>
      </c>
      <c r="U1048" s="2">
        <v>0.81721600000000005</v>
      </c>
      <c r="V1048" s="2">
        <v>43</v>
      </c>
      <c r="W1048" s="2">
        <v>2011</v>
      </c>
    </row>
    <row r="1049" spans="1:23" ht="12.3" hidden="1" x14ac:dyDescent="0.4">
      <c r="A1049" s="2" t="s">
        <v>60</v>
      </c>
      <c r="B1049" s="2"/>
      <c r="C1049" s="2"/>
      <c r="D1049" s="2"/>
      <c r="E1049" s="2"/>
      <c r="F1049" s="2"/>
      <c r="G1049" s="2"/>
      <c r="H1049" s="2"/>
      <c r="I1049" s="2">
        <v>67.25</v>
      </c>
      <c r="J1049" s="2">
        <v>165</v>
      </c>
      <c r="K1049" s="2">
        <v>65.87</v>
      </c>
      <c r="L1049" s="2">
        <v>228</v>
      </c>
      <c r="M1049" s="2">
        <v>105.7139</v>
      </c>
      <c r="N1049" s="2">
        <v>71</v>
      </c>
      <c r="O1049" s="2">
        <v>108.795</v>
      </c>
      <c r="P1049" s="2">
        <v>51</v>
      </c>
      <c r="Q1049" s="2">
        <v>102.53019999999999</v>
      </c>
      <c r="R1049" s="2">
        <v>202</v>
      </c>
      <c r="S1049" s="2">
        <v>99.133300000000006</v>
      </c>
      <c r="T1049" s="2">
        <v>109</v>
      </c>
      <c r="U1049" s="2">
        <v>0.744502</v>
      </c>
      <c r="V1049" s="2">
        <v>68</v>
      </c>
      <c r="W1049" s="2">
        <v>2005</v>
      </c>
    </row>
    <row r="1050" spans="1:23" ht="12.3" x14ac:dyDescent="0.4">
      <c r="A1050" s="2" t="s">
        <v>230</v>
      </c>
      <c r="B1050" s="2">
        <v>10</v>
      </c>
      <c r="C1050" s="2"/>
      <c r="D1050" s="2"/>
      <c r="E1050" s="2"/>
      <c r="F1050" s="2"/>
      <c r="G1050" s="2"/>
      <c r="H1050" s="2"/>
      <c r="I1050" s="2">
        <v>59.965200000000003</v>
      </c>
      <c r="J1050" s="2">
        <v>342</v>
      </c>
      <c r="K1050" s="2">
        <v>60.504199999999997</v>
      </c>
      <c r="L1050" s="2">
        <v>341</v>
      </c>
      <c r="M1050" s="2">
        <v>105.4044</v>
      </c>
      <c r="N1050" s="2">
        <v>84</v>
      </c>
      <c r="O1050" s="2">
        <v>109.8158</v>
      </c>
      <c r="P1050" s="2">
        <v>45</v>
      </c>
      <c r="Q1050" s="2">
        <v>104.1575</v>
      </c>
      <c r="R1050" s="2">
        <v>241</v>
      </c>
      <c r="S1050" s="2">
        <v>96.790599999999998</v>
      </c>
      <c r="T1050" s="2">
        <v>64</v>
      </c>
      <c r="U1050" s="2">
        <v>0.81029600000000002</v>
      </c>
      <c r="V1050" s="2">
        <v>44</v>
      </c>
      <c r="W1050" s="2">
        <v>2011</v>
      </c>
    </row>
    <row r="1051" spans="1:23" ht="12.3" hidden="1" x14ac:dyDescent="0.4">
      <c r="A1051" s="2" t="s">
        <v>62</v>
      </c>
      <c r="B1051" s="2"/>
      <c r="C1051" s="2"/>
      <c r="D1051" s="2"/>
      <c r="E1051" s="2"/>
      <c r="F1051" s="2"/>
      <c r="G1051" s="2"/>
      <c r="H1051" s="2"/>
      <c r="I1051" s="2">
        <v>60.053100000000001</v>
      </c>
      <c r="J1051" s="2">
        <v>326</v>
      </c>
      <c r="K1051" s="2">
        <v>60.062899999999999</v>
      </c>
      <c r="L1051" s="2">
        <v>324</v>
      </c>
      <c r="M1051" s="2">
        <v>106.1827</v>
      </c>
      <c r="N1051" s="2">
        <v>64</v>
      </c>
      <c r="O1051" s="2">
        <v>110.36920000000001</v>
      </c>
      <c r="P1051" s="2">
        <v>38</v>
      </c>
      <c r="Q1051" s="2">
        <v>102.0395</v>
      </c>
      <c r="R1051" s="2">
        <v>186</v>
      </c>
      <c r="S1051" s="2">
        <v>100.5972</v>
      </c>
      <c r="T1051" s="2">
        <v>140</v>
      </c>
      <c r="U1051" s="2">
        <v>0.74385999999999997</v>
      </c>
      <c r="V1051" s="2">
        <v>70</v>
      </c>
      <c r="W1051" s="2">
        <v>2005</v>
      </c>
    </row>
    <row r="1052" spans="1:23" ht="12.3" hidden="1" x14ac:dyDescent="0.4">
      <c r="A1052" s="2" t="s">
        <v>213</v>
      </c>
      <c r="B1052" s="2"/>
      <c r="C1052" s="2"/>
      <c r="D1052" s="2"/>
      <c r="E1052" s="2"/>
      <c r="F1052" s="2"/>
      <c r="G1052" s="2"/>
      <c r="H1052" s="2"/>
      <c r="I1052" s="2">
        <v>69.456800000000001</v>
      </c>
      <c r="J1052" s="2">
        <v>91</v>
      </c>
      <c r="K1052" s="2">
        <v>69.739500000000007</v>
      </c>
      <c r="L1052" s="2">
        <v>72</v>
      </c>
      <c r="M1052" s="2">
        <v>105.4987</v>
      </c>
      <c r="N1052" s="2">
        <v>78</v>
      </c>
      <c r="O1052" s="2">
        <v>106.1306</v>
      </c>
      <c r="P1052" s="2">
        <v>83</v>
      </c>
      <c r="Q1052" s="2">
        <v>99.736099999999993</v>
      </c>
      <c r="R1052" s="2">
        <v>122</v>
      </c>
      <c r="S1052" s="2">
        <v>96.853300000000004</v>
      </c>
      <c r="T1052" s="2">
        <v>69</v>
      </c>
      <c r="U1052" s="2">
        <v>0.741147</v>
      </c>
      <c r="V1052" s="2">
        <v>71</v>
      </c>
      <c r="W1052" s="2">
        <v>2005</v>
      </c>
    </row>
    <row r="1053" spans="1:23" ht="12.3" hidden="1" x14ac:dyDescent="0.4">
      <c r="A1053" s="2" t="s">
        <v>99</v>
      </c>
      <c r="B1053" s="2"/>
      <c r="C1053" s="2"/>
      <c r="D1053" s="2"/>
      <c r="E1053" s="2"/>
      <c r="F1053" s="2"/>
      <c r="G1053" s="2"/>
      <c r="H1053" s="2"/>
      <c r="I1053" s="2">
        <v>70.424999999999997</v>
      </c>
      <c r="J1053" s="2">
        <v>62</v>
      </c>
      <c r="K1053" s="2">
        <v>69.391300000000001</v>
      </c>
      <c r="L1053" s="2">
        <v>82</v>
      </c>
      <c r="M1053" s="2">
        <v>107.4182</v>
      </c>
      <c r="N1053" s="2">
        <v>56</v>
      </c>
      <c r="O1053" s="2">
        <v>109.5077</v>
      </c>
      <c r="P1053" s="2">
        <v>43</v>
      </c>
      <c r="Q1053" s="2">
        <v>101.02889999999999</v>
      </c>
      <c r="R1053" s="2">
        <v>152</v>
      </c>
      <c r="S1053" s="2">
        <v>99.994900000000001</v>
      </c>
      <c r="T1053" s="2">
        <v>128</v>
      </c>
      <c r="U1053" s="2">
        <v>0.73982599999999998</v>
      </c>
      <c r="V1053" s="2">
        <v>72</v>
      </c>
      <c r="W1053" s="2">
        <v>2005</v>
      </c>
    </row>
    <row r="1054" spans="1:23" ht="12.3" hidden="1" x14ac:dyDescent="0.4">
      <c r="A1054" s="2" t="s">
        <v>148</v>
      </c>
      <c r="B1054" s="2"/>
      <c r="C1054" s="2"/>
      <c r="D1054" s="2"/>
      <c r="E1054" s="2"/>
      <c r="F1054" s="2"/>
      <c r="G1054" s="2"/>
      <c r="H1054" s="2"/>
      <c r="I1054" s="2">
        <v>64.677000000000007</v>
      </c>
      <c r="J1054" s="2">
        <v>264</v>
      </c>
      <c r="K1054" s="2">
        <v>64.709400000000002</v>
      </c>
      <c r="L1054" s="2">
        <v>263</v>
      </c>
      <c r="M1054" s="2">
        <v>104.68300000000001</v>
      </c>
      <c r="N1054" s="2">
        <v>99</v>
      </c>
      <c r="O1054" s="2">
        <v>108.04989999999999</v>
      </c>
      <c r="P1054" s="2">
        <v>60</v>
      </c>
      <c r="Q1054" s="2">
        <v>101.3665</v>
      </c>
      <c r="R1054" s="2">
        <v>164</v>
      </c>
      <c r="S1054" s="2">
        <v>98.878200000000007</v>
      </c>
      <c r="T1054" s="2">
        <v>102</v>
      </c>
      <c r="U1054" s="2">
        <v>0.73499300000000001</v>
      </c>
      <c r="V1054" s="2">
        <v>73</v>
      </c>
      <c r="W1054" s="2">
        <v>2005</v>
      </c>
    </row>
    <row r="1055" spans="1:23" ht="12.3" hidden="1" x14ac:dyDescent="0.4">
      <c r="A1055" s="2" t="s">
        <v>239</v>
      </c>
      <c r="B1055" s="2"/>
      <c r="C1055" s="2"/>
      <c r="D1055" s="2"/>
      <c r="E1055" s="2"/>
      <c r="F1055" s="2"/>
      <c r="G1055" s="2"/>
      <c r="H1055" s="2"/>
      <c r="I1055" s="2">
        <v>61.008899999999997</v>
      </c>
      <c r="J1055" s="2">
        <v>321</v>
      </c>
      <c r="K1055" s="2">
        <v>59.430399999999999</v>
      </c>
      <c r="L1055" s="2">
        <v>326</v>
      </c>
      <c r="M1055" s="2">
        <v>89.831999999999994</v>
      </c>
      <c r="N1055" s="2">
        <v>318</v>
      </c>
      <c r="O1055" s="2">
        <v>94.796800000000005</v>
      </c>
      <c r="P1055" s="2">
        <v>270</v>
      </c>
      <c r="Q1055" s="2">
        <v>91.046000000000006</v>
      </c>
      <c r="R1055" s="2">
        <v>7</v>
      </c>
      <c r="S1055" s="2">
        <v>86.921800000000005</v>
      </c>
      <c r="T1055" s="2">
        <v>1</v>
      </c>
      <c r="U1055" s="2">
        <v>0.73053999999999997</v>
      </c>
      <c r="V1055" s="2">
        <v>74</v>
      </c>
      <c r="W1055" s="2">
        <v>2005</v>
      </c>
    </row>
    <row r="1056" spans="1:23" ht="12.3" hidden="1" x14ac:dyDescent="0.4">
      <c r="A1056" s="2" t="s">
        <v>80</v>
      </c>
      <c r="B1056" s="2"/>
      <c r="C1056" s="2"/>
      <c r="D1056" s="2"/>
      <c r="E1056" s="2"/>
      <c r="F1056" s="2"/>
      <c r="G1056" s="2"/>
      <c r="H1056" s="2"/>
      <c r="I1056" s="2">
        <v>67.4602</v>
      </c>
      <c r="J1056" s="2">
        <v>155</v>
      </c>
      <c r="K1056" s="2">
        <v>66.810100000000006</v>
      </c>
      <c r="L1056" s="2">
        <v>183</v>
      </c>
      <c r="M1056" s="2">
        <v>105.217</v>
      </c>
      <c r="N1056" s="2">
        <v>84</v>
      </c>
      <c r="O1056" s="2">
        <v>103.0446</v>
      </c>
      <c r="P1056" s="2">
        <v>127</v>
      </c>
      <c r="Q1056" s="2">
        <v>93.547200000000004</v>
      </c>
      <c r="R1056" s="2">
        <v>24</v>
      </c>
      <c r="S1056" s="2">
        <v>94.656099999999995</v>
      </c>
      <c r="T1056" s="2">
        <v>35</v>
      </c>
      <c r="U1056" s="2">
        <v>0.72641100000000003</v>
      </c>
      <c r="V1056" s="2">
        <v>75</v>
      </c>
      <c r="W1056" s="2">
        <v>2005</v>
      </c>
    </row>
    <row r="1057" spans="1:23" ht="12.3" hidden="1" x14ac:dyDescent="0.4">
      <c r="A1057" s="2" t="s">
        <v>138</v>
      </c>
      <c r="B1057" s="2"/>
      <c r="C1057" s="2"/>
      <c r="D1057" s="2"/>
      <c r="E1057" s="2"/>
      <c r="F1057" s="2"/>
      <c r="G1057" s="2"/>
      <c r="H1057" s="2"/>
      <c r="I1057" s="2">
        <v>69.610500000000002</v>
      </c>
      <c r="J1057" s="2">
        <v>88</v>
      </c>
      <c r="K1057" s="2">
        <v>70.784099999999995</v>
      </c>
      <c r="L1057" s="2">
        <v>44</v>
      </c>
      <c r="M1057" s="2">
        <v>110.1768</v>
      </c>
      <c r="N1057" s="2">
        <v>31</v>
      </c>
      <c r="O1057" s="2">
        <v>105.5568</v>
      </c>
      <c r="P1057" s="2">
        <v>92</v>
      </c>
      <c r="Q1057" s="2">
        <v>96.549599999999998</v>
      </c>
      <c r="R1057" s="2">
        <v>54</v>
      </c>
      <c r="S1057" s="2">
        <v>96.977000000000004</v>
      </c>
      <c r="T1057" s="2">
        <v>70</v>
      </c>
      <c r="U1057" s="2">
        <v>0.72609800000000002</v>
      </c>
      <c r="V1057" s="2">
        <v>76</v>
      </c>
      <c r="W1057" s="2">
        <v>2005</v>
      </c>
    </row>
    <row r="1058" spans="1:23" ht="12.3" x14ac:dyDescent="0.4">
      <c r="A1058" s="2" t="s">
        <v>18</v>
      </c>
      <c r="B1058" s="2">
        <v>8</v>
      </c>
      <c r="C1058" s="4" t="s">
        <v>33</v>
      </c>
      <c r="D1058" s="4" t="s">
        <v>33</v>
      </c>
      <c r="E1058" s="4" t="s">
        <v>33</v>
      </c>
      <c r="F1058" s="4" t="s">
        <v>33</v>
      </c>
      <c r="G1058" s="4" t="s">
        <v>33</v>
      </c>
      <c r="H1058" s="2"/>
      <c r="I1058" s="2">
        <v>65.457700000000003</v>
      </c>
      <c r="J1058" s="2">
        <v>236</v>
      </c>
      <c r="K1058" s="2">
        <v>64.418700000000001</v>
      </c>
      <c r="L1058" s="2">
        <v>276</v>
      </c>
      <c r="M1058" s="2">
        <v>109.5098</v>
      </c>
      <c r="N1058" s="2">
        <v>41</v>
      </c>
      <c r="O1058" s="2">
        <v>110.4816</v>
      </c>
      <c r="P1058" s="2">
        <v>37</v>
      </c>
      <c r="Q1058" s="2">
        <v>98.036799999999999</v>
      </c>
      <c r="R1058" s="2">
        <v>84</v>
      </c>
      <c r="S1058" s="2">
        <v>97.494900000000001</v>
      </c>
      <c r="T1058" s="2">
        <v>77</v>
      </c>
      <c r="U1058" s="2">
        <v>0.80815400000000004</v>
      </c>
      <c r="V1058" s="2">
        <v>45</v>
      </c>
      <c r="W1058" s="2">
        <v>2011</v>
      </c>
    </row>
    <row r="1059" spans="1:23" ht="12.3" hidden="1" x14ac:dyDescent="0.4">
      <c r="A1059" s="2" t="s">
        <v>162</v>
      </c>
      <c r="B1059" s="2"/>
      <c r="C1059" s="2"/>
      <c r="D1059" s="2"/>
      <c r="E1059" s="2"/>
      <c r="F1059" s="2"/>
      <c r="G1059" s="2"/>
      <c r="H1059" s="2"/>
      <c r="I1059" s="2">
        <v>66.243099999999998</v>
      </c>
      <c r="J1059" s="2">
        <v>202</v>
      </c>
      <c r="K1059" s="2">
        <v>66.499099999999999</v>
      </c>
      <c r="L1059" s="2">
        <v>197</v>
      </c>
      <c r="M1059" s="2">
        <v>109.5752</v>
      </c>
      <c r="N1059" s="2">
        <v>39</v>
      </c>
      <c r="O1059" s="2">
        <v>110.70189999999999</v>
      </c>
      <c r="P1059" s="2">
        <v>35</v>
      </c>
      <c r="Q1059" s="2">
        <v>101.4473</v>
      </c>
      <c r="R1059" s="2">
        <v>166</v>
      </c>
      <c r="S1059" s="2">
        <v>101.85899999999999</v>
      </c>
      <c r="T1059" s="2">
        <v>173</v>
      </c>
      <c r="U1059" s="2">
        <v>0.72259899999999999</v>
      </c>
      <c r="V1059" s="2">
        <v>78</v>
      </c>
      <c r="W1059" s="2">
        <v>2005</v>
      </c>
    </row>
    <row r="1060" spans="1:23" ht="12.3" hidden="1" x14ac:dyDescent="0.4">
      <c r="A1060" s="2" t="s">
        <v>256</v>
      </c>
      <c r="B1060" s="2"/>
      <c r="C1060" s="2"/>
      <c r="D1060" s="2"/>
      <c r="E1060" s="2"/>
      <c r="F1060" s="2"/>
      <c r="G1060" s="2"/>
      <c r="H1060" s="2"/>
      <c r="I1060" s="2">
        <v>67.071299999999994</v>
      </c>
      <c r="J1060" s="2">
        <v>169</v>
      </c>
      <c r="K1060" s="2">
        <v>67.197400000000002</v>
      </c>
      <c r="L1060" s="2">
        <v>165</v>
      </c>
      <c r="M1060" s="2">
        <v>105.4443</v>
      </c>
      <c r="N1060" s="2">
        <v>79</v>
      </c>
      <c r="O1060" s="2">
        <v>102.5609</v>
      </c>
      <c r="P1060" s="2">
        <v>139</v>
      </c>
      <c r="Q1060" s="2">
        <v>97.661900000000003</v>
      </c>
      <c r="R1060" s="2">
        <v>72</v>
      </c>
      <c r="S1060" s="2">
        <v>94.4619</v>
      </c>
      <c r="T1060" s="2">
        <v>34</v>
      </c>
      <c r="U1060" s="2">
        <v>0.72030899999999998</v>
      </c>
      <c r="V1060" s="2">
        <v>79</v>
      </c>
      <c r="W1060" s="2">
        <v>2005</v>
      </c>
    </row>
    <row r="1061" spans="1:23" ht="12.3" hidden="1" x14ac:dyDescent="0.4">
      <c r="A1061" s="2" t="s">
        <v>81</v>
      </c>
      <c r="B1061" s="2"/>
      <c r="C1061" s="2"/>
      <c r="D1061" s="2"/>
      <c r="E1061" s="2"/>
      <c r="F1061" s="2"/>
      <c r="G1061" s="2"/>
      <c r="H1061" s="2"/>
      <c r="I1061" s="2">
        <v>66.128399999999999</v>
      </c>
      <c r="J1061" s="2">
        <v>206</v>
      </c>
      <c r="K1061" s="2">
        <v>66.080600000000004</v>
      </c>
      <c r="L1061" s="2">
        <v>216</v>
      </c>
      <c r="M1061" s="2">
        <v>104.1429</v>
      </c>
      <c r="N1061" s="2">
        <v>108</v>
      </c>
      <c r="O1061" s="2">
        <v>108.93470000000001</v>
      </c>
      <c r="P1061" s="2">
        <v>49</v>
      </c>
      <c r="Q1061" s="2">
        <v>103.8963</v>
      </c>
      <c r="R1061" s="2">
        <v>227</v>
      </c>
      <c r="S1061" s="2">
        <v>100.6621</v>
      </c>
      <c r="T1061" s="2">
        <v>141</v>
      </c>
      <c r="U1061" s="2">
        <v>0.71264400000000006</v>
      </c>
      <c r="V1061" s="2">
        <v>80</v>
      </c>
      <c r="W1061" s="2">
        <v>2005</v>
      </c>
    </row>
    <row r="1062" spans="1:23" ht="12.3" hidden="1" x14ac:dyDescent="0.4">
      <c r="A1062" s="2" t="s">
        <v>136</v>
      </c>
      <c r="B1062" s="2"/>
      <c r="C1062" s="2"/>
      <c r="D1062" s="2"/>
      <c r="E1062" s="2"/>
      <c r="F1062" s="2"/>
      <c r="G1062" s="2"/>
      <c r="H1062" s="2"/>
      <c r="I1062" s="2">
        <v>66.052300000000002</v>
      </c>
      <c r="J1062" s="2">
        <v>212</v>
      </c>
      <c r="K1062" s="2">
        <v>66.344999999999999</v>
      </c>
      <c r="L1062" s="2">
        <v>204</v>
      </c>
      <c r="M1062" s="2">
        <v>102.11960000000001</v>
      </c>
      <c r="N1062" s="2">
        <v>142</v>
      </c>
      <c r="O1062" s="2">
        <v>103.41459999999999</v>
      </c>
      <c r="P1062" s="2">
        <v>121</v>
      </c>
      <c r="Q1062" s="2">
        <v>96.184299999999993</v>
      </c>
      <c r="R1062" s="2">
        <v>49</v>
      </c>
      <c r="S1062" s="2">
        <v>95.832800000000006</v>
      </c>
      <c r="T1062" s="2">
        <v>51</v>
      </c>
      <c r="U1062" s="2">
        <v>0.70591400000000004</v>
      </c>
      <c r="V1062" s="2">
        <v>81</v>
      </c>
      <c r="W1062" s="2">
        <v>2005</v>
      </c>
    </row>
    <row r="1063" spans="1:23" ht="12.3" hidden="1" x14ac:dyDescent="0.4">
      <c r="A1063" s="2" t="s">
        <v>50</v>
      </c>
      <c r="B1063" s="2"/>
      <c r="C1063" s="2"/>
      <c r="D1063" s="2"/>
      <c r="E1063" s="2"/>
      <c r="F1063" s="2"/>
      <c r="G1063" s="2"/>
      <c r="H1063" s="2"/>
      <c r="I1063" s="2">
        <v>62.801200000000001</v>
      </c>
      <c r="J1063" s="2">
        <v>302</v>
      </c>
      <c r="K1063" s="2">
        <v>63.997399999999999</v>
      </c>
      <c r="L1063" s="2">
        <v>287</v>
      </c>
      <c r="M1063" s="2">
        <v>109.3322</v>
      </c>
      <c r="N1063" s="2">
        <v>41</v>
      </c>
      <c r="O1063" s="2">
        <v>109.6322</v>
      </c>
      <c r="P1063" s="2">
        <v>42</v>
      </c>
      <c r="Q1063" s="2">
        <v>101.4422</v>
      </c>
      <c r="R1063" s="2">
        <v>165</v>
      </c>
      <c r="S1063" s="2">
        <v>101.63939999999999</v>
      </c>
      <c r="T1063" s="2">
        <v>167</v>
      </c>
      <c r="U1063" s="2">
        <v>0.70486000000000004</v>
      </c>
      <c r="V1063" s="2">
        <v>82</v>
      </c>
      <c r="W1063" s="2">
        <v>2005</v>
      </c>
    </row>
    <row r="1064" spans="1:23" ht="12.3" hidden="1" x14ac:dyDescent="0.4">
      <c r="A1064" s="2" t="s">
        <v>203</v>
      </c>
      <c r="B1064" s="2"/>
      <c r="C1064" s="2"/>
      <c r="D1064" s="2"/>
      <c r="E1064" s="2"/>
      <c r="F1064" s="2"/>
      <c r="G1064" s="2"/>
      <c r="H1064" s="2"/>
      <c r="I1064" s="2">
        <v>62.388300000000001</v>
      </c>
      <c r="J1064" s="2">
        <v>308</v>
      </c>
      <c r="K1064" s="2">
        <v>62.580100000000002</v>
      </c>
      <c r="L1064" s="2">
        <v>307</v>
      </c>
      <c r="M1064" s="2">
        <v>101.87820000000001</v>
      </c>
      <c r="N1064" s="2">
        <v>149</v>
      </c>
      <c r="O1064" s="2">
        <v>99.3155</v>
      </c>
      <c r="P1064" s="2">
        <v>205</v>
      </c>
      <c r="Q1064" s="2">
        <v>88.473600000000005</v>
      </c>
      <c r="R1064" s="2">
        <v>2</v>
      </c>
      <c r="S1064" s="2">
        <v>92.272999999999996</v>
      </c>
      <c r="T1064" s="2">
        <v>14</v>
      </c>
      <c r="U1064" s="2">
        <v>0.69969000000000003</v>
      </c>
      <c r="V1064" s="2">
        <v>83</v>
      </c>
      <c r="W1064" s="2">
        <v>2005</v>
      </c>
    </row>
    <row r="1065" spans="1:23" ht="12.3" hidden="1" x14ac:dyDescent="0.4">
      <c r="A1065" s="2" t="s">
        <v>53</v>
      </c>
      <c r="B1065" s="2"/>
      <c r="C1065" s="2"/>
      <c r="D1065" s="2"/>
      <c r="E1065" s="2"/>
      <c r="F1065" s="2"/>
      <c r="G1065" s="2"/>
      <c r="H1065" s="2"/>
      <c r="I1065" s="2">
        <v>65.6006</v>
      </c>
      <c r="J1065" s="2">
        <v>232</v>
      </c>
      <c r="K1065" s="2">
        <v>66.2774</v>
      </c>
      <c r="L1065" s="2">
        <v>206</v>
      </c>
      <c r="M1065" s="2">
        <v>104.4953</v>
      </c>
      <c r="N1065" s="2">
        <v>103</v>
      </c>
      <c r="O1065" s="2">
        <v>104.5403</v>
      </c>
      <c r="P1065" s="2">
        <v>109</v>
      </c>
      <c r="Q1065" s="2">
        <v>99.907799999999995</v>
      </c>
      <c r="R1065" s="2">
        <v>126</v>
      </c>
      <c r="S1065" s="2">
        <v>97.531599999999997</v>
      </c>
      <c r="T1065" s="2">
        <v>76</v>
      </c>
      <c r="U1065" s="2">
        <v>0.68955900000000003</v>
      </c>
      <c r="V1065" s="2">
        <v>84</v>
      </c>
      <c r="W1065" s="2">
        <v>2005</v>
      </c>
    </row>
    <row r="1066" spans="1:23" ht="12.3" hidden="1" x14ac:dyDescent="0.4">
      <c r="A1066" s="2" t="s">
        <v>286</v>
      </c>
      <c r="B1066" s="2"/>
      <c r="C1066" s="2"/>
      <c r="D1066" s="2"/>
      <c r="E1066" s="2"/>
      <c r="F1066" s="2"/>
      <c r="G1066" s="2"/>
      <c r="H1066" s="2"/>
      <c r="I1066" s="2">
        <v>68.794200000000004</v>
      </c>
      <c r="J1066" s="2">
        <v>112</v>
      </c>
      <c r="K1066" s="2">
        <v>67.896000000000001</v>
      </c>
      <c r="L1066" s="2">
        <v>130</v>
      </c>
      <c r="M1066" s="2">
        <v>105.655</v>
      </c>
      <c r="N1066" s="2">
        <v>74</v>
      </c>
      <c r="O1066" s="2">
        <v>105.33280000000001</v>
      </c>
      <c r="P1066" s="2">
        <v>96</v>
      </c>
      <c r="Q1066" s="2">
        <v>97.342100000000002</v>
      </c>
      <c r="R1066" s="2">
        <v>64</v>
      </c>
      <c r="S1066" s="2">
        <v>98.442899999999995</v>
      </c>
      <c r="T1066" s="2">
        <v>93</v>
      </c>
      <c r="U1066" s="2">
        <v>0.68523800000000001</v>
      </c>
      <c r="V1066" s="2">
        <v>85</v>
      </c>
      <c r="W1066" s="2">
        <v>2005</v>
      </c>
    </row>
    <row r="1067" spans="1:23" ht="12.3" hidden="1" x14ac:dyDescent="0.4">
      <c r="A1067" s="2" t="s">
        <v>88</v>
      </c>
      <c r="B1067" s="2"/>
      <c r="C1067" s="2"/>
      <c r="D1067" s="2"/>
      <c r="E1067" s="2"/>
      <c r="F1067" s="2"/>
      <c r="G1067" s="2"/>
      <c r="H1067" s="2"/>
      <c r="I1067" s="2">
        <v>61.034500000000001</v>
      </c>
      <c r="J1067" s="2">
        <v>320</v>
      </c>
      <c r="K1067" s="2">
        <v>61.762300000000003</v>
      </c>
      <c r="L1067" s="2">
        <v>314</v>
      </c>
      <c r="M1067" s="2">
        <v>105.5402</v>
      </c>
      <c r="N1067" s="2">
        <v>77</v>
      </c>
      <c r="O1067" s="2">
        <v>106.7046</v>
      </c>
      <c r="P1067" s="2">
        <v>72</v>
      </c>
      <c r="Q1067" s="2">
        <v>100.65300000000001</v>
      </c>
      <c r="R1067" s="2">
        <v>145</v>
      </c>
      <c r="S1067" s="2">
        <v>99.745699999999999</v>
      </c>
      <c r="T1067" s="2">
        <v>123</v>
      </c>
      <c r="U1067" s="2">
        <v>0.68472500000000003</v>
      </c>
      <c r="V1067" s="2">
        <v>86</v>
      </c>
      <c r="W1067" s="2">
        <v>2005</v>
      </c>
    </row>
    <row r="1068" spans="1:23" ht="12.3" x14ac:dyDescent="0.4">
      <c r="A1068" s="2" t="s">
        <v>58</v>
      </c>
      <c r="B1068" s="2">
        <v>10</v>
      </c>
      <c r="C1068" s="2"/>
      <c r="D1068" s="2"/>
      <c r="E1068" s="2"/>
      <c r="F1068" s="2"/>
      <c r="G1068" s="2"/>
      <c r="H1068" s="2"/>
      <c r="I1068" s="2">
        <v>65.704800000000006</v>
      </c>
      <c r="J1068" s="2">
        <v>226</v>
      </c>
      <c r="K1068" s="2">
        <v>65.833399999999997</v>
      </c>
      <c r="L1068" s="2">
        <v>221</v>
      </c>
      <c r="M1068" s="2">
        <v>102.3626</v>
      </c>
      <c r="N1068" s="2">
        <v>154</v>
      </c>
      <c r="O1068" s="2">
        <v>106.45869999999999</v>
      </c>
      <c r="P1068" s="2">
        <v>84</v>
      </c>
      <c r="Q1068" s="2">
        <v>100.0946</v>
      </c>
      <c r="R1068" s="2">
        <v>131</v>
      </c>
      <c r="S1068" s="2">
        <v>94.0441</v>
      </c>
      <c r="T1068" s="2">
        <v>32</v>
      </c>
      <c r="U1068" s="2">
        <v>0.80626600000000004</v>
      </c>
      <c r="V1068" s="2">
        <v>46</v>
      </c>
      <c r="W1068" s="2">
        <v>2011</v>
      </c>
    </row>
    <row r="1069" spans="1:23" ht="12.3" hidden="1" x14ac:dyDescent="0.4">
      <c r="A1069" s="2" t="s">
        <v>231</v>
      </c>
      <c r="B1069" s="2"/>
      <c r="C1069" s="2"/>
      <c r="D1069" s="2"/>
      <c r="E1069" s="2"/>
      <c r="F1069" s="2"/>
      <c r="G1069" s="2"/>
      <c r="H1069" s="2"/>
      <c r="I1069" s="2">
        <v>68.365200000000002</v>
      </c>
      <c r="J1069" s="2">
        <v>124</v>
      </c>
      <c r="K1069" s="2">
        <v>67.262500000000003</v>
      </c>
      <c r="L1069" s="2">
        <v>162</v>
      </c>
      <c r="M1069" s="2">
        <v>105.33929999999999</v>
      </c>
      <c r="N1069" s="2">
        <v>81</v>
      </c>
      <c r="O1069" s="2">
        <v>105.044</v>
      </c>
      <c r="P1069" s="2">
        <v>99</v>
      </c>
      <c r="Q1069" s="2">
        <v>99.507199999999997</v>
      </c>
      <c r="R1069" s="2">
        <v>117</v>
      </c>
      <c r="S1069" s="2">
        <v>98.316400000000002</v>
      </c>
      <c r="T1069" s="2">
        <v>87</v>
      </c>
      <c r="U1069" s="2">
        <v>0.68160699999999996</v>
      </c>
      <c r="V1069" s="2">
        <v>88</v>
      </c>
      <c r="W1069" s="2">
        <v>2005</v>
      </c>
    </row>
    <row r="1070" spans="1:23" ht="12.3" hidden="1" x14ac:dyDescent="0.4">
      <c r="A1070" s="2" t="s">
        <v>159</v>
      </c>
      <c r="B1070" s="2"/>
      <c r="C1070" s="2"/>
      <c r="D1070" s="2"/>
      <c r="E1070" s="2"/>
      <c r="F1070" s="2"/>
      <c r="G1070" s="2"/>
      <c r="H1070" s="2"/>
      <c r="I1070" s="2">
        <v>69.372799999999998</v>
      </c>
      <c r="J1070" s="2">
        <v>94</v>
      </c>
      <c r="K1070" s="2">
        <v>67.389399999999995</v>
      </c>
      <c r="L1070" s="2">
        <v>154</v>
      </c>
      <c r="M1070" s="2">
        <v>99.49</v>
      </c>
      <c r="N1070" s="2">
        <v>209</v>
      </c>
      <c r="O1070" s="2">
        <v>103.2003</v>
      </c>
      <c r="P1070" s="2">
        <v>125</v>
      </c>
      <c r="Q1070" s="2">
        <v>99.337000000000003</v>
      </c>
      <c r="R1070" s="2">
        <v>113</v>
      </c>
      <c r="S1070" s="2">
        <v>96.615899999999996</v>
      </c>
      <c r="T1070" s="2">
        <v>64</v>
      </c>
      <c r="U1070" s="2">
        <v>0.68095600000000001</v>
      </c>
      <c r="V1070" s="2">
        <v>89</v>
      </c>
      <c r="W1070" s="2">
        <v>2005</v>
      </c>
    </row>
    <row r="1071" spans="1:23" ht="12.3" hidden="1" x14ac:dyDescent="0.4">
      <c r="A1071" s="2" t="s">
        <v>186</v>
      </c>
      <c r="B1071" s="2"/>
      <c r="C1071" s="2"/>
      <c r="D1071" s="2"/>
      <c r="E1071" s="2"/>
      <c r="F1071" s="2"/>
      <c r="G1071" s="2"/>
      <c r="H1071" s="2"/>
      <c r="I1071" s="2">
        <v>66.856499999999997</v>
      </c>
      <c r="J1071" s="2">
        <v>176</v>
      </c>
      <c r="K1071" s="2">
        <v>66.704499999999996</v>
      </c>
      <c r="L1071" s="2">
        <v>191</v>
      </c>
      <c r="M1071" s="2">
        <v>103.5988</v>
      </c>
      <c r="N1071" s="2">
        <v>120</v>
      </c>
      <c r="O1071" s="2">
        <v>105.3758</v>
      </c>
      <c r="P1071" s="2">
        <v>95</v>
      </c>
      <c r="Q1071" s="2">
        <v>100.9</v>
      </c>
      <c r="R1071" s="2">
        <v>151</v>
      </c>
      <c r="S1071" s="2">
        <v>98.793099999999995</v>
      </c>
      <c r="T1071" s="2">
        <v>97</v>
      </c>
      <c r="U1071" s="2">
        <v>0.67739300000000002</v>
      </c>
      <c r="V1071" s="2">
        <v>90</v>
      </c>
      <c r="W1071" s="2">
        <v>2005</v>
      </c>
    </row>
    <row r="1072" spans="1:23" ht="12.3" hidden="1" x14ac:dyDescent="0.4">
      <c r="A1072" s="2" t="s">
        <v>243</v>
      </c>
      <c r="B1072" s="2"/>
      <c r="C1072" s="2"/>
      <c r="D1072" s="2"/>
      <c r="E1072" s="2"/>
      <c r="F1072" s="2"/>
      <c r="G1072" s="2"/>
      <c r="H1072" s="2"/>
      <c r="I1072" s="2">
        <v>67.124499999999998</v>
      </c>
      <c r="J1072" s="2">
        <v>168</v>
      </c>
      <c r="K1072" s="2">
        <v>67.89</v>
      </c>
      <c r="L1072" s="2">
        <v>131</v>
      </c>
      <c r="M1072" s="2">
        <v>107.00320000000001</v>
      </c>
      <c r="N1072" s="2">
        <v>60</v>
      </c>
      <c r="O1072" s="2">
        <v>106.76430000000001</v>
      </c>
      <c r="P1072" s="2">
        <v>71</v>
      </c>
      <c r="Q1072" s="2">
        <v>97.608900000000006</v>
      </c>
      <c r="R1072" s="2">
        <v>69</v>
      </c>
      <c r="S1072" s="2">
        <v>100.19450000000001</v>
      </c>
      <c r="T1072" s="2">
        <v>134</v>
      </c>
      <c r="U1072" s="2">
        <v>0.67488599999999999</v>
      </c>
      <c r="V1072" s="2">
        <v>91</v>
      </c>
      <c r="W1072" s="2">
        <v>2005</v>
      </c>
    </row>
    <row r="1073" spans="1:23" ht="12.3" hidden="1" x14ac:dyDescent="0.4">
      <c r="A1073" s="2" t="s">
        <v>130</v>
      </c>
      <c r="B1073" s="2"/>
      <c r="C1073" s="2"/>
      <c r="D1073" s="2"/>
      <c r="E1073" s="2"/>
      <c r="F1073" s="2"/>
      <c r="G1073" s="2"/>
      <c r="H1073" s="2"/>
      <c r="I1073" s="2">
        <v>69.036299999999997</v>
      </c>
      <c r="J1073" s="2">
        <v>103</v>
      </c>
      <c r="K1073" s="2">
        <v>67.674999999999997</v>
      </c>
      <c r="L1073" s="2">
        <v>141</v>
      </c>
      <c r="M1073" s="2">
        <v>101.2931</v>
      </c>
      <c r="N1073" s="2">
        <v>171</v>
      </c>
      <c r="O1073" s="2">
        <v>103.4692</v>
      </c>
      <c r="P1073" s="2">
        <v>120</v>
      </c>
      <c r="Q1073" s="2">
        <v>98.844800000000006</v>
      </c>
      <c r="R1073" s="2">
        <v>104</v>
      </c>
      <c r="S1073" s="2">
        <v>97.189599999999999</v>
      </c>
      <c r="T1073" s="2">
        <v>72</v>
      </c>
      <c r="U1073" s="2">
        <v>0.67261099999999996</v>
      </c>
      <c r="V1073" s="2">
        <v>92</v>
      </c>
      <c r="W1073" s="2">
        <v>2005</v>
      </c>
    </row>
    <row r="1074" spans="1:23" ht="12.3" x14ac:dyDescent="0.4">
      <c r="A1074" s="2" t="s">
        <v>42</v>
      </c>
      <c r="B1074" s="2">
        <v>11</v>
      </c>
      <c r="C1074" s="25"/>
      <c r="D1074" s="2"/>
      <c r="E1074" s="2"/>
      <c r="F1074" s="2"/>
      <c r="G1074" s="2"/>
      <c r="H1074" s="2"/>
      <c r="I1074" s="2">
        <v>64.581400000000002</v>
      </c>
      <c r="J1074" s="2">
        <v>266</v>
      </c>
      <c r="K1074" s="2">
        <v>63.322200000000002</v>
      </c>
      <c r="L1074" s="2">
        <v>313</v>
      </c>
      <c r="M1074" s="2">
        <v>103.0684</v>
      </c>
      <c r="N1074" s="2">
        <v>133</v>
      </c>
      <c r="O1074" s="2">
        <v>106.3344</v>
      </c>
      <c r="P1074" s="2">
        <v>87</v>
      </c>
      <c r="Q1074" s="2">
        <v>97.023200000000003</v>
      </c>
      <c r="R1074" s="2">
        <v>67</v>
      </c>
      <c r="S1074" s="2">
        <v>94.121099999999998</v>
      </c>
      <c r="T1074" s="2">
        <v>33</v>
      </c>
      <c r="U1074" s="2">
        <v>0.80267200000000005</v>
      </c>
      <c r="V1074" s="2">
        <v>48</v>
      </c>
      <c r="W1074" s="2">
        <v>2011</v>
      </c>
    </row>
    <row r="1075" spans="1:23" ht="12.3" hidden="1" x14ac:dyDescent="0.4">
      <c r="A1075" s="2" t="s">
        <v>198</v>
      </c>
      <c r="B1075" s="2"/>
      <c r="C1075" s="2"/>
      <c r="D1075" s="2"/>
      <c r="E1075" s="2"/>
      <c r="F1075" s="2"/>
      <c r="G1075" s="2"/>
      <c r="H1075" s="2"/>
      <c r="I1075" s="2">
        <v>69.212500000000006</v>
      </c>
      <c r="J1075" s="2">
        <v>95</v>
      </c>
      <c r="K1075" s="2">
        <v>69.246399999999994</v>
      </c>
      <c r="L1075" s="2">
        <v>85</v>
      </c>
      <c r="M1075" s="2">
        <v>102.57080000000001</v>
      </c>
      <c r="N1075" s="2">
        <v>134</v>
      </c>
      <c r="O1075" s="2">
        <v>101.9545</v>
      </c>
      <c r="P1075" s="2">
        <v>149</v>
      </c>
      <c r="Q1075" s="2">
        <v>96.162400000000005</v>
      </c>
      <c r="R1075" s="2">
        <v>48</v>
      </c>
      <c r="S1075" s="2">
        <v>96.000200000000007</v>
      </c>
      <c r="T1075" s="2">
        <v>54</v>
      </c>
      <c r="U1075" s="2">
        <v>0.66641799999999995</v>
      </c>
      <c r="V1075" s="2">
        <v>94</v>
      </c>
      <c r="W1075" s="2">
        <v>2005</v>
      </c>
    </row>
    <row r="1076" spans="1:23" ht="12.3" hidden="1" x14ac:dyDescent="0.4">
      <c r="A1076" s="2" t="s">
        <v>73</v>
      </c>
      <c r="B1076" s="2"/>
      <c r="C1076" s="2"/>
      <c r="D1076" s="2"/>
      <c r="E1076" s="2"/>
      <c r="F1076" s="2"/>
      <c r="G1076" s="2"/>
      <c r="H1076" s="2"/>
      <c r="I1076" s="2">
        <v>64.689099999999996</v>
      </c>
      <c r="J1076" s="2">
        <v>263</v>
      </c>
      <c r="K1076" s="2">
        <v>64.977999999999994</v>
      </c>
      <c r="L1076" s="2">
        <v>253</v>
      </c>
      <c r="M1076" s="2">
        <v>98.926100000000005</v>
      </c>
      <c r="N1076" s="2">
        <v>218</v>
      </c>
      <c r="O1076" s="2">
        <v>102.3008</v>
      </c>
      <c r="P1076" s="2">
        <v>144</v>
      </c>
      <c r="Q1076" s="2">
        <v>101.6185</v>
      </c>
      <c r="R1076" s="2">
        <v>173</v>
      </c>
      <c r="S1076" s="2">
        <v>96.419499999999999</v>
      </c>
      <c r="T1076" s="2">
        <v>62</v>
      </c>
      <c r="U1076" s="2">
        <v>0.663941</v>
      </c>
      <c r="V1076" s="2">
        <v>95</v>
      </c>
      <c r="W1076" s="2">
        <v>2005</v>
      </c>
    </row>
    <row r="1077" spans="1:23" ht="12.3" hidden="1" x14ac:dyDescent="0.4">
      <c r="A1077" s="2" t="s">
        <v>308</v>
      </c>
      <c r="B1077" s="2"/>
      <c r="C1077" s="2"/>
      <c r="D1077" s="2"/>
      <c r="E1077" s="2"/>
      <c r="F1077" s="2"/>
      <c r="G1077" s="2"/>
      <c r="H1077" s="2"/>
      <c r="I1077" s="2">
        <v>71.075000000000003</v>
      </c>
      <c r="J1077" s="2">
        <v>41</v>
      </c>
      <c r="K1077" s="2">
        <v>72.635999999999996</v>
      </c>
      <c r="L1077" s="2">
        <v>16</v>
      </c>
      <c r="M1077" s="2">
        <v>103.9169</v>
      </c>
      <c r="N1077" s="2">
        <v>111</v>
      </c>
      <c r="O1077" s="2">
        <v>104.3817</v>
      </c>
      <c r="P1077" s="2">
        <v>110</v>
      </c>
      <c r="Q1077" s="2">
        <v>97.5458</v>
      </c>
      <c r="R1077" s="2">
        <v>67</v>
      </c>
      <c r="S1077" s="2">
        <v>98.400099999999995</v>
      </c>
      <c r="T1077" s="2">
        <v>91</v>
      </c>
      <c r="U1077" s="2">
        <v>0.66343700000000005</v>
      </c>
      <c r="V1077" s="2">
        <v>96</v>
      </c>
      <c r="W1077" s="2">
        <v>2005</v>
      </c>
    </row>
    <row r="1078" spans="1:23" ht="12.3" x14ac:dyDescent="0.4">
      <c r="A1078" s="2" t="s">
        <v>65</v>
      </c>
      <c r="B1078" s="2">
        <v>7</v>
      </c>
      <c r="C1078" s="4" t="s">
        <v>33</v>
      </c>
      <c r="D1078" s="2"/>
      <c r="E1078" s="2"/>
      <c r="F1078" s="2"/>
      <c r="G1078" s="2"/>
      <c r="H1078" s="2"/>
      <c r="I1078" s="2">
        <v>67.2393</v>
      </c>
      <c r="J1078" s="2">
        <v>155</v>
      </c>
      <c r="K1078" s="2">
        <v>66.218800000000002</v>
      </c>
      <c r="L1078" s="2">
        <v>196</v>
      </c>
      <c r="M1078" s="2">
        <v>103.5282</v>
      </c>
      <c r="N1078" s="2">
        <v>124</v>
      </c>
      <c r="O1078" s="2">
        <v>105.187</v>
      </c>
      <c r="P1078" s="2">
        <v>97</v>
      </c>
      <c r="Q1078" s="2">
        <v>96.861500000000007</v>
      </c>
      <c r="R1078" s="2">
        <v>64</v>
      </c>
      <c r="S1078" s="2">
        <v>93.778700000000001</v>
      </c>
      <c r="T1078" s="2">
        <v>29</v>
      </c>
      <c r="U1078" s="2">
        <v>0.78922000000000003</v>
      </c>
      <c r="V1078" s="2">
        <v>53</v>
      </c>
      <c r="W1078" s="2">
        <v>2011</v>
      </c>
    </row>
    <row r="1079" spans="1:23" ht="12.3" hidden="1" x14ac:dyDescent="0.4">
      <c r="A1079" s="2" t="s">
        <v>87</v>
      </c>
      <c r="B1079" s="2"/>
      <c r="C1079" s="2"/>
      <c r="D1079" s="2"/>
      <c r="E1079" s="2"/>
      <c r="F1079" s="2"/>
      <c r="G1079" s="2"/>
      <c r="H1079" s="2"/>
      <c r="I1079" s="2">
        <v>70.369399999999999</v>
      </c>
      <c r="J1079" s="2">
        <v>64</v>
      </c>
      <c r="K1079" s="2">
        <v>68.701700000000002</v>
      </c>
      <c r="L1079" s="2">
        <v>108</v>
      </c>
      <c r="M1079" s="2">
        <v>101.4516</v>
      </c>
      <c r="N1079" s="2">
        <v>162</v>
      </c>
      <c r="O1079" s="2">
        <v>105.0095</v>
      </c>
      <c r="P1079" s="2">
        <v>101</v>
      </c>
      <c r="Q1079" s="2">
        <v>105.5106</v>
      </c>
      <c r="R1079" s="2">
        <v>261</v>
      </c>
      <c r="S1079" s="2">
        <v>99.084299999999999</v>
      </c>
      <c r="T1079" s="2">
        <v>107</v>
      </c>
      <c r="U1079" s="2">
        <v>0.66103699999999999</v>
      </c>
      <c r="V1079" s="2">
        <v>98</v>
      </c>
      <c r="W1079" s="2">
        <v>2005</v>
      </c>
    </row>
    <row r="1080" spans="1:23" ht="12.3" hidden="1" x14ac:dyDescent="0.4">
      <c r="A1080" s="2" t="s">
        <v>68</v>
      </c>
      <c r="B1080" s="2"/>
      <c r="C1080" s="2"/>
      <c r="D1080" s="2"/>
      <c r="E1080" s="2"/>
      <c r="F1080" s="2"/>
      <c r="G1080" s="2"/>
      <c r="H1080" s="2"/>
      <c r="I1080" s="2">
        <v>66.804500000000004</v>
      </c>
      <c r="J1080" s="2">
        <v>182</v>
      </c>
      <c r="K1080" s="2">
        <v>66.712500000000006</v>
      </c>
      <c r="L1080" s="2">
        <v>190</v>
      </c>
      <c r="M1080" s="2">
        <v>111.5945</v>
      </c>
      <c r="N1080" s="2">
        <v>24</v>
      </c>
      <c r="O1080" s="2">
        <v>111.5093</v>
      </c>
      <c r="P1080" s="2">
        <v>29</v>
      </c>
      <c r="Q1080" s="2">
        <v>102.9652</v>
      </c>
      <c r="R1080" s="2">
        <v>213</v>
      </c>
      <c r="S1080" s="2">
        <v>105.3711</v>
      </c>
      <c r="T1080" s="2">
        <v>245</v>
      </c>
      <c r="U1080" s="2">
        <v>0.65726300000000004</v>
      </c>
      <c r="V1080" s="2">
        <v>99</v>
      </c>
      <c r="W1080" s="2">
        <v>2005</v>
      </c>
    </row>
    <row r="1081" spans="1:23" ht="12.3" hidden="1" x14ac:dyDescent="0.4">
      <c r="A1081" s="2" t="s">
        <v>109</v>
      </c>
      <c r="B1081" s="2"/>
      <c r="C1081" s="2"/>
      <c r="D1081" s="2"/>
      <c r="E1081" s="2"/>
      <c r="F1081" s="2"/>
      <c r="G1081" s="2"/>
      <c r="H1081" s="2"/>
      <c r="I1081" s="2">
        <v>69.133899999999997</v>
      </c>
      <c r="J1081" s="2">
        <v>100</v>
      </c>
      <c r="K1081" s="2">
        <v>69.602699999999999</v>
      </c>
      <c r="L1081" s="2">
        <v>75</v>
      </c>
      <c r="M1081" s="2">
        <v>103.0202</v>
      </c>
      <c r="N1081" s="2">
        <v>127</v>
      </c>
      <c r="O1081" s="2">
        <v>105.4982</v>
      </c>
      <c r="P1081" s="2">
        <v>94</v>
      </c>
      <c r="Q1081" s="2">
        <v>102.82899999999999</v>
      </c>
      <c r="R1081" s="2">
        <v>207</v>
      </c>
      <c r="S1081" s="2">
        <v>99.749899999999997</v>
      </c>
      <c r="T1081" s="2">
        <v>124</v>
      </c>
      <c r="U1081" s="2">
        <v>0.65572699999999995</v>
      </c>
      <c r="V1081" s="2">
        <v>100</v>
      </c>
      <c r="W1081" s="2">
        <v>2005</v>
      </c>
    </row>
    <row r="1082" spans="1:23" ht="12.3" hidden="1" x14ac:dyDescent="0.4">
      <c r="A1082" s="2" t="s">
        <v>20</v>
      </c>
      <c r="B1082" s="2"/>
      <c r="C1082" s="2"/>
      <c r="D1082" s="2"/>
      <c r="E1082" s="2"/>
      <c r="F1082" s="2"/>
      <c r="G1082" s="2"/>
      <c r="H1082" s="2"/>
      <c r="I1082" s="2">
        <v>68.215699999999998</v>
      </c>
      <c r="J1082" s="2">
        <v>129</v>
      </c>
      <c r="K1082" s="2">
        <v>66.716899999999995</v>
      </c>
      <c r="L1082" s="2">
        <v>189</v>
      </c>
      <c r="M1082" s="2">
        <v>98.514899999999997</v>
      </c>
      <c r="N1082" s="2">
        <v>224</v>
      </c>
      <c r="O1082" s="2">
        <v>103.29940000000001</v>
      </c>
      <c r="P1082" s="2">
        <v>123</v>
      </c>
      <c r="Q1082" s="2">
        <v>102.31229999999999</v>
      </c>
      <c r="R1082" s="2">
        <v>195</v>
      </c>
      <c r="S1082" s="2">
        <v>97.678899999999999</v>
      </c>
      <c r="T1082" s="2">
        <v>81</v>
      </c>
      <c r="U1082" s="2">
        <v>0.65551499999999996</v>
      </c>
      <c r="V1082" s="2">
        <v>101</v>
      </c>
      <c r="W1082" s="2">
        <v>2005</v>
      </c>
    </row>
    <row r="1083" spans="1:23" ht="12.3" hidden="1" x14ac:dyDescent="0.4">
      <c r="A1083" s="2" t="s">
        <v>41</v>
      </c>
      <c r="B1083" s="2"/>
      <c r="C1083" s="2"/>
      <c r="D1083" s="2"/>
      <c r="E1083" s="2"/>
      <c r="F1083" s="2"/>
      <c r="G1083" s="2"/>
      <c r="H1083" s="2"/>
      <c r="I1083" s="2">
        <v>68.486800000000002</v>
      </c>
      <c r="J1083" s="2">
        <v>119</v>
      </c>
      <c r="K1083" s="2">
        <v>67.357399999999998</v>
      </c>
      <c r="L1083" s="2">
        <v>156</v>
      </c>
      <c r="M1083" s="2">
        <v>102.2081</v>
      </c>
      <c r="N1083" s="2">
        <v>141</v>
      </c>
      <c r="O1083" s="2">
        <v>104.8385</v>
      </c>
      <c r="P1083" s="2">
        <v>103</v>
      </c>
      <c r="Q1083" s="2">
        <v>102.58450000000001</v>
      </c>
      <c r="R1083" s="2">
        <v>203</v>
      </c>
      <c r="S1083" s="2">
        <v>99.323700000000002</v>
      </c>
      <c r="T1083" s="2">
        <v>112</v>
      </c>
      <c r="U1083" s="2">
        <v>0.65054400000000001</v>
      </c>
      <c r="V1083" s="2">
        <v>102</v>
      </c>
      <c r="W1083" s="2">
        <v>2005</v>
      </c>
    </row>
    <row r="1084" spans="1:23" ht="12.3" hidden="1" x14ac:dyDescent="0.4">
      <c r="A1084" s="2" t="s">
        <v>39</v>
      </c>
      <c r="B1084" s="2"/>
      <c r="C1084" s="2"/>
      <c r="D1084" s="2"/>
      <c r="E1084" s="2"/>
      <c r="F1084" s="2"/>
      <c r="G1084" s="2"/>
      <c r="H1084" s="2"/>
      <c r="I1084" s="2">
        <v>62.265500000000003</v>
      </c>
      <c r="J1084" s="2">
        <v>309</v>
      </c>
      <c r="K1084" s="2">
        <v>62.546900000000001</v>
      </c>
      <c r="L1084" s="2">
        <v>308</v>
      </c>
      <c r="M1084" s="2">
        <v>107.0326</v>
      </c>
      <c r="N1084" s="2">
        <v>59</v>
      </c>
      <c r="O1084" s="2">
        <v>107.62820000000001</v>
      </c>
      <c r="P1084" s="2">
        <v>62</v>
      </c>
      <c r="Q1084" s="2">
        <v>103.11450000000001</v>
      </c>
      <c r="R1084" s="2">
        <v>216</v>
      </c>
      <c r="S1084" s="2">
        <v>102.1267</v>
      </c>
      <c r="T1084" s="2">
        <v>179</v>
      </c>
      <c r="U1084" s="2">
        <v>0.64642900000000003</v>
      </c>
      <c r="V1084" s="2">
        <v>103</v>
      </c>
      <c r="W1084" s="2">
        <v>2005</v>
      </c>
    </row>
    <row r="1085" spans="1:23" ht="12.3" hidden="1" x14ac:dyDescent="0.4">
      <c r="A1085" s="2" t="s">
        <v>210</v>
      </c>
      <c r="B1085" s="2"/>
      <c r="C1085" s="2"/>
      <c r="D1085" s="2"/>
      <c r="E1085" s="2"/>
      <c r="F1085" s="2"/>
      <c r="G1085" s="2"/>
      <c r="H1085" s="2"/>
      <c r="I1085" s="2">
        <v>65.857100000000003</v>
      </c>
      <c r="J1085" s="2">
        <v>217</v>
      </c>
      <c r="K1085" s="2">
        <v>66.313199999999995</v>
      </c>
      <c r="L1085" s="2">
        <v>205</v>
      </c>
      <c r="M1085" s="2">
        <v>104.7334</v>
      </c>
      <c r="N1085" s="2">
        <v>97</v>
      </c>
      <c r="O1085" s="2">
        <v>105.0223</v>
      </c>
      <c r="P1085" s="2">
        <v>100</v>
      </c>
      <c r="Q1085" s="2">
        <v>98.511300000000006</v>
      </c>
      <c r="R1085" s="2">
        <v>94</v>
      </c>
      <c r="S1085" s="2">
        <v>99.805499999999995</v>
      </c>
      <c r="T1085" s="2">
        <v>125</v>
      </c>
      <c r="U1085" s="2">
        <v>0.642428</v>
      </c>
      <c r="V1085" s="2">
        <v>104</v>
      </c>
      <c r="W1085" s="2">
        <v>2005</v>
      </c>
    </row>
    <row r="1086" spans="1:23" ht="12.3" hidden="1" x14ac:dyDescent="0.4">
      <c r="A1086" s="2" t="s">
        <v>149</v>
      </c>
      <c r="B1086" s="2"/>
      <c r="C1086" s="2"/>
      <c r="D1086" s="2"/>
      <c r="E1086" s="2"/>
      <c r="F1086" s="2"/>
      <c r="G1086" s="2"/>
      <c r="H1086" s="2"/>
      <c r="I1086" s="2">
        <v>70.312200000000004</v>
      </c>
      <c r="J1086" s="2">
        <v>67</v>
      </c>
      <c r="K1086" s="2">
        <v>69.172700000000006</v>
      </c>
      <c r="L1086" s="2">
        <v>89</v>
      </c>
      <c r="M1086" s="2">
        <v>102.322</v>
      </c>
      <c r="N1086" s="2">
        <v>138</v>
      </c>
      <c r="O1086" s="2">
        <v>106.1339</v>
      </c>
      <c r="P1086" s="2">
        <v>82</v>
      </c>
      <c r="Q1086" s="2">
        <v>103.92959999999999</v>
      </c>
      <c r="R1086" s="2">
        <v>228</v>
      </c>
      <c r="S1086" s="2">
        <v>101.13420000000001</v>
      </c>
      <c r="T1086" s="2">
        <v>156</v>
      </c>
      <c r="U1086" s="2">
        <v>0.63527400000000001</v>
      </c>
      <c r="V1086" s="2">
        <v>105</v>
      </c>
      <c r="W1086" s="2">
        <v>2005</v>
      </c>
    </row>
    <row r="1087" spans="1:23" ht="12.3" hidden="1" x14ac:dyDescent="0.4">
      <c r="A1087" s="2" t="s">
        <v>129</v>
      </c>
      <c r="B1087" s="2"/>
      <c r="C1087" s="2"/>
      <c r="D1087" s="2"/>
      <c r="E1087" s="2"/>
      <c r="F1087" s="2"/>
      <c r="G1087" s="2"/>
      <c r="H1087" s="2"/>
      <c r="I1087" s="2">
        <v>69.922399999999996</v>
      </c>
      <c r="J1087" s="2">
        <v>77</v>
      </c>
      <c r="K1087" s="2">
        <v>70.561300000000003</v>
      </c>
      <c r="L1087" s="2">
        <v>46</v>
      </c>
      <c r="M1087" s="2">
        <v>101.00360000000001</v>
      </c>
      <c r="N1087" s="2">
        <v>181</v>
      </c>
      <c r="O1087" s="2">
        <v>106.1469</v>
      </c>
      <c r="P1087" s="2">
        <v>81</v>
      </c>
      <c r="Q1087" s="2">
        <v>106.4635</v>
      </c>
      <c r="R1087" s="2">
        <v>268</v>
      </c>
      <c r="S1087" s="2">
        <v>101.2868</v>
      </c>
      <c r="T1087" s="2">
        <v>161</v>
      </c>
      <c r="U1087" s="2">
        <v>0.631575</v>
      </c>
      <c r="V1087" s="2">
        <v>106</v>
      </c>
      <c r="W1087" s="2">
        <v>2005</v>
      </c>
    </row>
    <row r="1088" spans="1:23" ht="12.3" hidden="1" x14ac:dyDescent="0.4">
      <c r="A1088" s="2" t="s">
        <v>102</v>
      </c>
      <c r="B1088" s="2"/>
      <c r="C1088" s="2"/>
      <c r="D1088" s="2"/>
      <c r="E1088" s="2"/>
      <c r="F1088" s="2"/>
      <c r="G1088" s="2"/>
      <c r="H1088" s="2"/>
      <c r="I1088" s="2">
        <v>66.805999999999997</v>
      </c>
      <c r="J1088" s="2">
        <v>180</v>
      </c>
      <c r="K1088" s="2">
        <v>67.850499999999997</v>
      </c>
      <c r="L1088" s="2">
        <v>134</v>
      </c>
      <c r="M1088" s="2">
        <v>96.557000000000002</v>
      </c>
      <c r="N1088" s="2">
        <v>243</v>
      </c>
      <c r="O1088" s="2">
        <v>98.652000000000001</v>
      </c>
      <c r="P1088" s="2">
        <v>214</v>
      </c>
      <c r="Q1088" s="2">
        <v>100.0111</v>
      </c>
      <c r="R1088" s="2">
        <v>130</v>
      </c>
      <c r="S1088" s="2">
        <v>94.18</v>
      </c>
      <c r="T1088" s="2">
        <v>32</v>
      </c>
      <c r="U1088" s="2">
        <v>0.630297</v>
      </c>
      <c r="V1088" s="2">
        <v>107</v>
      </c>
      <c r="W1088" s="2">
        <v>2005</v>
      </c>
    </row>
    <row r="1089" spans="1:23" ht="12.3" hidden="1" x14ac:dyDescent="0.4">
      <c r="A1089" s="2" t="s">
        <v>101</v>
      </c>
      <c r="B1089" s="2"/>
      <c r="C1089" s="2"/>
      <c r="D1089" s="2"/>
      <c r="E1089" s="2"/>
      <c r="F1089" s="2"/>
      <c r="G1089" s="2"/>
      <c r="H1089" s="2"/>
      <c r="I1089" s="2">
        <v>65.190299999999993</v>
      </c>
      <c r="J1089" s="2">
        <v>251</v>
      </c>
      <c r="K1089" s="2">
        <v>66.687200000000004</v>
      </c>
      <c r="L1089" s="2">
        <v>192</v>
      </c>
      <c r="M1089" s="2">
        <v>106.4768</v>
      </c>
      <c r="N1089" s="2">
        <v>62</v>
      </c>
      <c r="O1089" s="2">
        <v>107.22920000000001</v>
      </c>
      <c r="P1089" s="2">
        <v>65</v>
      </c>
      <c r="Q1089" s="2">
        <v>105.1086</v>
      </c>
      <c r="R1089" s="2">
        <v>254</v>
      </c>
      <c r="S1089" s="2">
        <v>102.49079999999999</v>
      </c>
      <c r="T1089" s="2">
        <v>185</v>
      </c>
      <c r="U1089" s="2">
        <v>0.62708799999999998</v>
      </c>
      <c r="V1089" s="2">
        <v>108</v>
      </c>
      <c r="W1089" s="2">
        <v>2005</v>
      </c>
    </row>
    <row r="1090" spans="1:23" ht="12.3" hidden="1" x14ac:dyDescent="0.4">
      <c r="A1090" s="2" t="s">
        <v>142</v>
      </c>
      <c r="B1090" s="2"/>
      <c r="C1090" s="2"/>
      <c r="D1090" s="2"/>
      <c r="E1090" s="2"/>
      <c r="F1090" s="2"/>
      <c r="G1090" s="2"/>
      <c r="H1090" s="2"/>
      <c r="I1090" s="2">
        <v>70.3249</v>
      </c>
      <c r="J1090" s="2">
        <v>65</v>
      </c>
      <c r="K1090" s="2">
        <v>69.048900000000003</v>
      </c>
      <c r="L1090" s="2">
        <v>93</v>
      </c>
      <c r="M1090" s="2">
        <v>99.211799999999997</v>
      </c>
      <c r="N1090" s="2">
        <v>213</v>
      </c>
      <c r="O1090" s="2">
        <v>99.719300000000004</v>
      </c>
      <c r="P1090" s="2">
        <v>196</v>
      </c>
      <c r="Q1090" s="2">
        <v>96.525199999999998</v>
      </c>
      <c r="R1090" s="2">
        <v>53</v>
      </c>
      <c r="S1090" s="2">
        <v>95.438000000000002</v>
      </c>
      <c r="T1090" s="2">
        <v>46</v>
      </c>
      <c r="U1090" s="2">
        <v>0.623552</v>
      </c>
      <c r="V1090" s="2">
        <v>109</v>
      </c>
      <c r="W1090" s="2">
        <v>2005</v>
      </c>
    </row>
    <row r="1091" spans="1:23" ht="12.3" hidden="1" x14ac:dyDescent="0.4">
      <c r="A1091" s="2" t="s">
        <v>133</v>
      </c>
      <c r="B1091" s="2"/>
      <c r="C1091" s="2"/>
      <c r="D1091" s="2"/>
      <c r="E1091" s="2"/>
      <c r="F1091" s="2"/>
      <c r="G1091" s="2"/>
      <c r="H1091" s="2"/>
      <c r="I1091" s="2">
        <v>72.325500000000005</v>
      </c>
      <c r="J1091" s="2">
        <v>26</v>
      </c>
      <c r="K1091" s="2">
        <v>71.735399999999998</v>
      </c>
      <c r="L1091" s="2">
        <v>29</v>
      </c>
      <c r="M1091" s="2">
        <v>104.9267</v>
      </c>
      <c r="N1091" s="2">
        <v>90</v>
      </c>
      <c r="O1091" s="2">
        <v>106.7645</v>
      </c>
      <c r="P1091" s="2">
        <v>70</v>
      </c>
      <c r="Q1091" s="2">
        <v>104.0305</v>
      </c>
      <c r="R1091" s="2">
        <v>231</v>
      </c>
      <c r="S1091" s="2">
        <v>102.3599</v>
      </c>
      <c r="T1091" s="2">
        <v>183</v>
      </c>
      <c r="U1091" s="2">
        <v>0.61880800000000002</v>
      </c>
      <c r="V1091" s="2">
        <v>110</v>
      </c>
      <c r="W1091" s="2">
        <v>2005</v>
      </c>
    </row>
    <row r="1092" spans="1:23" ht="12.3" hidden="1" x14ac:dyDescent="0.4">
      <c r="A1092" s="2" t="s">
        <v>173</v>
      </c>
      <c r="B1092" s="2"/>
      <c r="C1092" s="2"/>
      <c r="D1092" s="2"/>
      <c r="E1092" s="2"/>
      <c r="F1092" s="2"/>
      <c r="G1092" s="2"/>
      <c r="H1092" s="2"/>
      <c r="I1092" s="2">
        <v>68.613</v>
      </c>
      <c r="J1092" s="2">
        <v>114</v>
      </c>
      <c r="K1092" s="2">
        <v>66.936599999999999</v>
      </c>
      <c r="L1092" s="2">
        <v>177</v>
      </c>
      <c r="M1092" s="2">
        <v>98.233400000000003</v>
      </c>
      <c r="N1092" s="2">
        <v>228</v>
      </c>
      <c r="O1092" s="2">
        <v>99.317400000000006</v>
      </c>
      <c r="P1092" s="2">
        <v>204</v>
      </c>
      <c r="Q1092" s="2">
        <v>97.525599999999997</v>
      </c>
      <c r="R1092" s="2">
        <v>66</v>
      </c>
      <c r="S1092" s="2">
        <v>95.291899999999998</v>
      </c>
      <c r="T1092" s="2">
        <v>44</v>
      </c>
      <c r="U1092" s="2">
        <v>0.61676200000000003</v>
      </c>
      <c r="V1092" s="2">
        <v>111</v>
      </c>
      <c r="W1092" s="2">
        <v>2005</v>
      </c>
    </row>
    <row r="1093" spans="1:23" ht="12.3" hidden="1" x14ac:dyDescent="0.4">
      <c r="A1093" s="2" t="s">
        <v>93</v>
      </c>
      <c r="B1093" s="2"/>
      <c r="C1093" s="2"/>
      <c r="D1093" s="2"/>
      <c r="E1093" s="2"/>
      <c r="F1093" s="2"/>
      <c r="G1093" s="2"/>
      <c r="H1093" s="2"/>
      <c r="I1093" s="2">
        <v>68.596699999999998</v>
      </c>
      <c r="J1093" s="2">
        <v>115</v>
      </c>
      <c r="K1093" s="2">
        <v>70.109800000000007</v>
      </c>
      <c r="L1093" s="2">
        <v>59</v>
      </c>
      <c r="M1093" s="2">
        <v>101.163</v>
      </c>
      <c r="N1093" s="2">
        <v>177</v>
      </c>
      <c r="O1093" s="2">
        <v>103.03230000000001</v>
      </c>
      <c r="P1093" s="2">
        <v>128</v>
      </c>
      <c r="Q1093" s="2">
        <v>101.5385</v>
      </c>
      <c r="R1093" s="2">
        <v>170</v>
      </c>
      <c r="S1093" s="2">
        <v>98.872299999999996</v>
      </c>
      <c r="T1093" s="2">
        <v>101</v>
      </c>
      <c r="U1093" s="2">
        <v>0.61631999999999998</v>
      </c>
      <c r="V1093" s="2">
        <v>112</v>
      </c>
      <c r="W1093" s="2">
        <v>2005</v>
      </c>
    </row>
    <row r="1094" spans="1:23" ht="12.3" hidden="1" x14ac:dyDescent="0.4">
      <c r="A1094" s="2" t="s">
        <v>64</v>
      </c>
      <c r="B1094" s="2"/>
      <c r="C1094" s="2"/>
      <c r="D1094" s="2"/>
      <c r="E1094" s="2"/>
      <c r="F1094" s="2"/>
      <c r="G1094" s="2"/>
      <c r="H1094" s="2"/>
      <c r="I1094" s="2">
        <v>63.124400000000001</v>
      </c>
      <c r="J1094" s="2">
        <v>299</v>
      </c>
      <c r="K1094" s="2">
        <v>64.169600000000003</v>
      </c>
      <c r="L1094" s="2">
        <v>285</v>
      </c>
      <c r="M1094" s="2">
        <v>101.43210000000001</v>
      </c>
      <c r="N1094" s="2">
        <v>163</v>
      </c>
      <c r="O1094" s="2">
        <v>100.0027</v>
      </c>
      <c r="P1094" s="2">
        <v>188</v>
      </c>
      <c r="Q1094" s="2">
        <v>96.251800000000003</v>
      </c>
      <c r="R1094" s="2">
        <v>50</v>
      </c>
      <c r="S1094" s="2">
        <v>96.099500000000006</v>
      </c>
      <c r="T1094" s="2">
        <v>56</v>
      </c>
      <c r="U1094" s="2">
        <v>0.61250599999999999</v>
      </c>
      <c r="V1094" s="2">
        <v>113</v>
      </c>
      <c r="W1094" s="2">
        <v>2005</v>
      </c>
    </row>
    <row r="1095" spans="1:23" ht="12.3" hidden="1" x14ac:dyDescent="0.4">
      <c r="A1095" s="2" t="s">
        <v>124</v>
      </c>
      <c r="B1095" s="2"/>
      <c r="C1095" s="2"/>
      <c r="D1095" s="2"/>
      <c r="E1095" s="2"/>
      <c r="F1095" s="2"/>
      <c r="G1095" s="2"/>
      <c r="H1095" s="2"/>
      <c r="I1095" s="2">
        <v>60.699399999999997</v>
      </c>
      <c r="J1095" s="2">
        <v>323</v>
      </c>
      <c r="K1095" s="2">
        <v>62.331400000000002</v>
      </c>
      <c r="L1095" s="2">
        <v>309</v>
      </c>
      <c r="M1095" s="2">
        <v>97.187399999999997</v>
      </c>
      <c r="N1095" s="2">
        <v>238</v>
      </c>
      <c r="O1095" s="2">
        <v>99.887</v>
      </c>
      <c r="P1095" s="2">
        <v>190</v>
      </c>
      <c r="Q1095" s="2">
        <v>102.0018</v>
      </c>
      <c r="R1095" s="2">
        <v>183</v>
      </c>
      <c r="S1095" s="2">
        <v>96.026700000000005</v>
      </c>
      <c r="T1095" s="2">
        <v>55</v>
      </c>
      <c r="U1095" s="2">
        <v>0.61141100000000004</v>
      </c>
      <c r="V1095" s="2">
        <v>114</v>
      </c>
      <c r="W1095" s="2">
        <v>2005</v>
      </c>
    </row>
    <row r="1096" spans="1:23" ht="12.3" hidden="1" x14ac:dyDescent="0.4">
      <c r="A1096" s="2" t="s">
        <v>137</v>
      </c>
      <c r="B1096" s="2"/>
      <c r="C1096" s="2"/>
      <c r="D1096" s="2"/>
      <c r="E1096" s="2"/>
      <c r="F1096" s="2"/>
      <c r="G1096" s="2"/>
      <c r="H1096" s="2"/>
      <c r="I1096" s="2">
        <v>66.248500000000007</v>
      </c>
      <c r="J1096" s="2">
        <v>201</v>
      </c>
      <c r="K1096" s="2">
        <v>66.265699999999995</v>
      </c>
      <c r="L1096" s="2">
        <v>209</v>
      </c>
      <c r="M1096" s="2">
        <v>104.82859999999999</v>
      </c>
      <c r="N1096" s="2">
        <v>94</v>
      </c>
      <c r="O1096" s="2">
        <v>104.79259999999999</v>
      </c>
      <c r="P1096" s="2">
        <v>104</v>
      </c>
      <c r="Q1096" s="2">
        <v>97.986500000000007</v>
      </c>
      <c r="R1096" s="2">
        <v>82</v>
      </c>
      <c r="S1096" s="2">
        <v>100.7435</v>
      </c>
      <c r="T1096" s="2">
        <v>143</v>
      </c>
      <c r="U1096" s="2">
        <v>0.61139100000000002</v>
      </c>
      <c r="V1096" s="2">
        <v>115</v>
      </c>
      <c r="W1096" s="2">
        <v>2005</v>
      </c>
    </row>
    <row r="1097" spans="1:23" ht="12.3" hidden="1" x14ac:dyDescent="0.4">
      <c r="A1097" s="2" t="s">
        <v>51</v>
      </c>
      <c r="B1097" s="2"/>
      <c r="C1097" s="2"/>
      <c r="D1097" s="2"/>
      <c r="E1097" s="2"/>
      <c r="F1097" s="2"/>
      <c r="G1097" s="2"/>
      <c r="H1097" s="2"/>
      <c r="I1097" s="2">
        <v>63.665900000000001</v>
      </c>
      <c r="J1097" s="2">
        <v>286</v>
      </c>
      <c r="K1097" s="2">
        <v>64.316000000000003</v>
      </c>
      <c r="L1097" s="2">
        <v>281</v>
      </c>
      <c r="M1097" s="2">
        <v>99.395200000000003</v>
      </c>
      <c r="N1097" s="2">
        <v>210</v>
      </c>
      <c r="O1097" s="2">
        <v>99.651600000000002</v>
      </c>
      <c r="P1097" s="2">
        <v>197</v>
      </c>
      <c r="Q1097" s="2">
        <v>100.7612</v>
      </c>
      <c r="R1097" s="2">
        <v>148</v>
      </c>
      <c r="S1097" s="2">
        <v>95.857200000000006</v>
      </c>
      <c r="T1097" s="2">
        <v>52</v>
      </c>
      <c r="U1097" s="2">
        <v>0.609792</v>
      </c>
      <c r="V1097" s="2">
        <v>116</v>
      </c>
      <c r="W1097" s="2">
        <v>2005</v>
      </c>
    </row>
    <row r="1098" spans="1:23" ht="12.3" hidden="1" x14ac:dyDescent="0.4">
      <c r="A1098" s="2" t="s">
        <v>42</v>
      </c>
      <c r="B1098" s="2"/>
      <c r="C1098" s="2"/>
      <c r="D1098" s="2"/>
      <c r="E1098" s="2"/>
      <c r="F1098" s="2"/>
      <c r="G1098" s="2"/>
      <c r="H1098" s="2"/>
      <c r="I1098" s="2">
        <v>72.843199999999996</v>
      </c>
      <c r="J1098" s="2">
        <v>22</v>
      </c>
      <c r="K1098" s="2">
        <v>71.509600000000006</v>
      </c>
      <c r="L1098" s="2">
        <v>31</v>
      </c>
      <c r="M1098" s="2">
        <v>101.62009999999999</v>
      </c>
      <c r="N1098" s="2">
        <v>158</v>
      </c>
      <c r="O1098" s="2">
        <v>106.0757</v>
      </c>
      <c r="P1098" s="2">
        <v>84</v>
      </c>
      <c r="Q1098" s="2">
        <v>105.0977</v>
      </c>
      <c r="R1098" s="2">
        <v>253</v>
      </c>
      <c r="S1098" s="2">
        <v>102.0928</v>
      </c>
      <c r="T1098" s="2">
        <v>178</v>
      </c>
      <c r="U1098" s="2">
        <v>0.60828700000000002</v>
      </c>
      <c r="V1098" s="2">
        <v>117</v>
      </c>
      <c r="W1098" s="2">
        <v>2005</v>
      </c>
    </row>
    <row r="1099" spans="1:23" ht="12.3" x14ac:dyDescent="0.4">
      <c r="A1099" s="2" t="s">
        <v>128</v>
      </c>
      <c r="B1099" s="2">
        <v>12</v>
      </c>
      <c r="C1099" s="2"/>
      <c r="D1099" s="2"/>
      <c r="E1099" s="2"/>
      <c r="F1099" s="2"/>
      <c r="G1099" s="2"/>
      <c r="H1099" s="2"/>
      <c r="I1099" s="2">
        <v>63.0989</v>
      </c>
      <c r="J1099" s="2">
        <v>312</v>
      </c>
      <c r="K1099" s="2">
        <v>62.937199999999997</v>
      </c>
      <c r="L1099" s="2">
        <v>318</v>
      </c>
      <c r="M1099" s="2">
        <v>106.8412</v>
      </c>
      <c r="N1099" s="2">
        <v>63</v>
      </c>
      <c r="O1099" s="2">
        <v>107.0116</v>
      </c>
      <c r="P1099" s="2">
        <v>76</v>
      </c>
      <c r="Q1099" s="2">
        <v>96.061599999999999</v>
      </c>
      <c r="R1099" s="2">
        <v>49</v>
      </c>
      <c r="S1099" s="2">
        <v>95.424999999999997</v>
      </c>
      <c r="T1099" s="2">
        <v>47</v>
      </c>
      <c r="U1099" s="2">
        <v>0.78882600000000003</v>
      </c>
      <c r="V1099" s="2">
        <v>54</v>
      </c>
      <c r="W1099" s="2">
        <v>2011</v>
      </c>
    </row>
    <row r="1100" spans="1:23" ht="12.3" hidden="1" x14ac:dyDescent="0.4">
      <c r="A1100" s="2" t="s">
        <v>228</v>
      </c>
      <c r="B1100" s="2"/>
      <c r="C1100" s="2"/>
      <c r="D1100" s="2"/>
      <c r="E1100" s="2"/>
      <c r="F1100" s="2"/>
      <c r="G1100" s="2"/>
      <c r="H1100" s="2"/>
      <c r="I1100" s="2">
        <v>66.976799999999997</v>
      </c>
      <c r="J1100" s="2">
        <v>172</v>
      </c>
      <c r="K1100" s="2">
        <v>66.513900000000007</v>
      </c>
      <c r="L1100" s="2">
        <v>195</v>
      </c>
      <c r="M1100" s="2">
        <v>103.60120000000001</v>
      </c>
      <c r="N1100" s="2">
        <v>119</v>
      </c>
      <c r="O1100" s="2">
        <v>102.6965</v>
      </c>
      <c r="P1100" s="2">
        <v>135</v>
      </c>
      <c r="Q1100" s="2">
        <v>98.438599999999994</v>
      </c>
      <c r="R1100" s="2">
        <v>93</v>
      </c>
      <c r="S1100" s="2">
        <v>98.987499999999997</v>
      </c>
      <c r="T1100" s="2">
        <v>105</v>
      </c>
      <c r="U1100" s="2">
        <v>0.60420499999999999</v>
      </c>
      <c r="V1100" s="2">
        <v>119</v>
      </c>
      <c r="W1100" s="2">
        <v>2005</v>
      </c>
    </row>
    <row r="1101" spans="1:23" ht="12.3" x14ac:dyDescent="0.4">
      <c r="A1101" s="2" t="s">
        <v>81</v>
      </c>
      <c r="B1101" s="2">
        <v>9</v>
      </c>
      <c r="C1101" s="2"/>
      <c r="D1101" s="2"/>
      <c r="E1101" s="2"/>
      <c r="F1101" s="2"/>
      <c r="G1101" s="2"/>
      <c r="H1101" s="2"/>
      <c r="I1101" s="2">
        <v>67.618200000000002</v>
      </c>
      <c r="J1101" s="2">
        <v>133</v>
      </c>
      <c r="K1101" s="2">
        <v>67.145300000000006</v>
      </c>
      <c r="L1101" s="2">
        <v>146</v>
      </c>
      <c r="M1101" s="2">
        <v>103.5544</v>
      </c>
      <c r="N1101" s="2">
        <v>123</v>
      </c>
      <c r="O1101" s="2">
        <v>105.9635</v>
      </c>
      <c r="P1101" s="2">
        <v>89</v>
      </c>
      <c r="Q1101" s="2">
        <v>98.867699999999999</v>
      </c>
      <c r="R1101" s="2">
        <v>101</v>
      </c>
      <c r="S1101" s="2">
        <v>94.754800000000003</v>
      </c>
      <c r="T1101" s="2">
        <v>40</v>
      </c>
      <c r="U1101" s="2">
        <v>0.78342100000000003</v>
      </c>
      <c r="V1101" s="2">
        <v>57</v>
      </c>
      <c r="W1101" s="2">
        <v>2011</v>
      </c>
    </row>
    <row r="1102" spans="1:23" ht="12.3" hidden="1" x14ac:dyDescent="0.4">
      <c r="A1102" s="2" t="s">
        <v>217</v>
      </c>
      <c r="B1102" s="2"/>
      <c r="C1102" s="2"/>
      <c r="D1102" s="2"/>
      <c r="E1102" s="2"/>
      <c r="F1102" s="2"/>
      <c r="G1102" s="2"/>
      <c r="H1102" s="2"/>
      <c r="I1102" s="2">
        <v>70.934200000000004</v>
      </c>
      <c r="J1102" s="2">
        <v>47</v>
      </c>
      <c r="K1102" s="2">
        <v>69.876900000000006</v>
      </c>
      <c r="L1102" s="2">
        <v>64</v>
      </c>
      <c r="M1102" s="2">
        <v>103.67010000000001</v>
      </c>
      <c r="N1102" s="2">
        <v>118</v>
      </c>
      <c r="O1102" s="2">
        <v>104.63590000000001</v>
      </c>
      <c r="P1102" s="2">
        <v>107</v>
      </c>
      <c r="Q1102" s="2">
        <v>102.84220000000001</v>
      </c>
      <c r="R1102" s="2">
        <v>208</v>
      </c>
      <c r="S1102" s="2">
        <v>101.1039</v>
      </c>
      <c r="T1102" s="2">
        <v>155</v>
      </c>
      <c r="U1102" s="2">
        <v>0.59745800000000004</v>
      </c>
      <c r="V1102" s="2">
        <v>121</v>
      </c>
      <c r="W1102" s="2">
        <v>2005</v>
      </c>
    </row>
    <row r="1103" spans="1:23" ht="12.3" hidden="1" x14ac:dyDescent="0.4">
      <c r="A1103" s="2" t="s">
        <v>119</v>
      </c>
      <c r="B1103" s="2"/>
      <c r="C1103" s="2"/>
      <c r="D1103" s="2"/>
      <c r="E1103" s="2"/>
      <c r="F1103" s="2"/>
      <c r="G1103" s="2"/>
      <c r="H1103" s="2"/>
      <c r="I1103" s="2">
        <v>64.616200000000006</v>
      </c>
      <c r="J1103" s="2">
        <v>267</v>
      </c>
      <c r="K1103" s="2">
        <v>65.272300000000001</v>
      </c>
      <c r="L1103" s="2">
        <v>244</v>
      </c>
      <c r="M1103" s="2">
        <v>96.412700000000001</v>
      </c>
      <c r="N1103" s="2">
        <v>246</v>
      </c>
      <c r="O1103" s="2">
        <v>98.041300000000007</v>
      </c>
      <c r="P1103" s="2">
        <v>223</v>
      </c>
      <c r="Q1103" s="2">
        <v>98.283600000000007</v>
      </c>
      <c r="R1103" s="2">
        <v>88</v>
      </c>
      <c r="S1103" s="2">
        <v>94.755499999999998</v>
      </c>
      <c r="T1103" s="2">
        <v>37</v>
      </c>
      <c r="U1103" s="2">
        <v>0.59677100000000005</v>
      </c>
      <c r="V1103" s="2">
        <v>122</v>
      </c>
      <c r="W1103" s="2">
        <v>2005</v>
      </c>
    </row>
    <row r="1104" spans="1:23" ht="12.3" hidden="1" x14ac:dyDescent="0.4">
      <c r="A1104" s="2" t="s">
        <v>79</v>
      </c>
      <c r="B1104" s="2"/>
      <c r="C1104" s="2"/>
      <c r="D1104" s="2"/>
      <c r="E1104" s="2"/>
      <c r="F1104" s="2"/>
      <c r="G1104" s="2"/>
      <c r="H1104" s="2"/>
      <c r="I1104" s="2">
        <v>70.948599999999999</v>
      </c>
      <c r="J1104" s="2">
        <v>44</v>
      </c>
      <c r="K1104" s="2">
        <v>69.799800000000005</v>
      </c>
      <c r="L1104" s="2">
        <v>67</v>
      </c>
      <c r="M1104" s="2">
        <v>104.7958</v>
      </c>
      <c r="N1104" s="2">
        <v>95</v>
      </c>
      <c r="O1104" s="2">
        <v>107.5992</v>
      </c>
      <c r="P1104" s="2">
        <v>63</v>
      </c>
      <c r="Q1104" s="2">
        <v>104.6561</v>
      </c>
      <c r="R1104" s="2">
        <v>243</v>
      </c>
      <c r="S1104" s="2">
        <v>104.1696</v>
      </c>
      <c r="T1104" s="2">
        <v>222</v>
      </c>
      <c r="U1104" s="2">
        <v>0.59206700000000001</v>
      </c>
      <c r="V1104" s="2">
        <v>123</v>
      </c>
      <c r="W1104" s="2">
        <v>2005</v>
      </c>
    </row>
    <row r="1105" spans="1:23" ht="12.3" hidden="1" x14ac:dyDescent="0.4">
      <c r="A1105" s="2" t="s">
        <v>311</v>
      </c>
      <c r="B1105" s="2"/>
      <c r="C1105" s="2"/>
      <c r="D1105" s="2"/>
      <c r="E1105" s="2"/>
      <c r="F1105" s="2"/>
      <c r="G1105" s="2"/>
      <c r="H1105" s="2"/>
      <c r="I1105" s="2">
        <v>69.4739</v>
      </c>
      <c r="J1105" s="2">
        <v>90</v>
      </c>
      <c r="K1105" s="2">
        <v>71.430999999999997</v>
      </c>
      <c r="L1105" s="2">
        <v>33</v>
      </c>
      <c r="M1105" s="2">
        <v>105.6939</v>
      </c>
      <c r="N1105" s="2">
        <v>72</v>
      </c>
      <c r="O1105" s="2">
        <v>105.08369999999999</v>
      </c>
      <c r="P1105" s="2">
        <v>98</v>
      </c>
      <c r="Q1105" s="2">
        <v>101.349</v>
      </c>
      <c r="R1105" s="2">
        <v>163</v>
      </c>
      <c r="S1105" s="2">
        <v>101.7641</v>
      </c>
      <c r="T1105" s="2">
        <v>171</v>
      </c>
      <c r="U1105" s="2">
        <v>0.591252</v>
      </c>
      <c r="V1105" s="2">
        <v>124</v>
      </c>
      <c r="W1105" s="2">
        <v>2005</v>
      </c>
    </row>
    <row r="1106" spans="1:23" ht="12.3" hidden="1" x14ac:dyDescent="0.4">
      <c r="A1106" s="2" t="s">
        <v>181</v>
      </c>
      <c r="B1106" s="2"/>
      <c r="C1106" s="2"/>
      <c r="D1106" s="2"/>
      <c r="E1106" s="2"/>
      <c r="F1106" s="2"/>
      <c r="G1106" s="2"/>
      <c r="H1106" s="2"/>
      <c r="I1106" s="2">
        <v>64.366699999999994</v>
      </c>
      <c r="J1106" s="2">
        <v>272</v>
      </c>
      <c r="K1106" s="2">
        <v>64.366</v>
      </c>
      <c r="L1106" s="2">
        <v>277</v>
      </c>
      <c r="M1106" s="2">
        <v>109.8177</v>
      </c>
      <c r="N1106" s="2">
        <v>35</v>
      </c>
      <c r="O1106" s="2">
        <v>106.6858</v>
      </c>
      <c r="P1106" s="2">
        <v>73</v>
      </c>
      <c r="Q1106" s="2">
        <v>102.4601</v>
      </c>
      <c r="R1106" s="2">
        <v>199</v>
      </c>
      <c r="S1106" s="2">
        <v>103.4066</v>
      </c>
      <c r="T1106" s="2">
        <v>206</v>
      </c>
      <c r="U1106" s="2">
        <v>0.58880299999999997</v>
      </c>
      <c r="V1106" s="2">
        <v>125</v>
      </c>
      <c r="W1106" s="2">
        <v>2005</v>
      </c>
    </row>
    <row r="1107" spans="1:23" ht="12.3" hidden="1" x14ac:dyDescent="0.4">
      <c r="A1107" s="2" t="s">
        <v>164</v>
      </c>
      <c r="B1107" s="2"/>
      <c r="C1107" s="2"/>
      <c r="D1107" s="2"/>
      <c r="E1107" s="2"/>
      <c r="F1107" s="2"/>
      <c r="G1107" s="2"/>
      <c r="H1107" s="2"/>
      <c r="I1107" s="2">
        <v>64.477199999999996</v>
      </c>
      <c r="J1107" s="2">
        <v>270</v>
      </c>
      <c r="K1107" s="2">
        <v>64.744600000000005</v>
      </c>
      <c r="L1107" s="2">
        <v>262</v>
      </c>
      <c r="M1107" s="2">
        <v>102.07080000000001</v>
      </c>
      <c r="N1107" s="2">
        <v>143</v>
      </c>
      <c r="O1107" s="2">
        <v>104.02760000000001</v>
      </c>
      <c r="P1107" s="2">
        <v>113</v>
      </c>
      <c r="Q1107" s="2">
        <v>102.34829999999999</v>
      </c>
      <c r="R1107" s="2">
        <v>197</v>
      </c>
      <c r="S1107" s="2">
        <v>101.1801</v>
      </c>
      <c r="T1107" s="2">
        <v>157</v>
      </c>
      <c r="U1107" s="2">
        <v>0.579121</v>
      </c>
      <c r="V1107" s="2">
        <v>126</v>
      </c>
      <c r="W1107" s="2">
        <v>2005</v>
      </c>
    </row>
    <row r="1108" spans="1:23" ht="12.3" hidden="1" x14ac:dyDescent="0.4">
      <c r="A1108" s="2" t="s">
        <v>121</v>
      </c>
      <c r="B1108" s="2"/>
      <c r="C1108" s="2"/>
      <c r="D1108" s="2"/>
      <c r="E1108" s="2"/>
      <c r="F1108" s="2"/>
      <c r="G1108" s="2"/>
      <c r="H1108" s="2"/>
      <c r="I1108" s="2">
        <v>63.404200000000003</v>
      </c>
      <c r="J1108" s="2">
        <v>296</v>
      </c>
      <c r="K1108" s="2">
        <v>64.363399999999999</v>
      </c>
      <c r="L1108" s="2">
        <v>278</v>
      </c>
      <c r="M1108" s="2">
        <v>98.700599999999994</v>
      </c>
      <c r="N1108" s="2">
        <v>221</v>
      </c>
      <c r="O1108" s="2">
        <v>103.7637</v>
      </c>
      <c r="P1108" s="2">
        <v>118</v>
      </c>
      <c r="Q1108" s="2">
        <v>106.89360000000001</v>
      </c>
      <c r="R1108" s="2">
        <v>275</v>
      </c>
      <c r="S1108" s="2">
        <v>101.0155</v>
      </c>
      <c r="T1108" s="2">
        <v>152</v>
      </c>
      <c r="U1108" s="2">
        <v>0.57656499999999999</v>
      </c>
      <c r="V1108" s="2">
        <v>127</v>
      </c>
      <c r="W1108" s="2">
        <v>2005</v>
      </c>
    </row>
    <row r="1109" spans="1:23" ht="12.3" hidden="1" x14ac:dyDescent="0.4">
      <c r="A1109" s="2" t="s">
        <v>103</v>
      </c>
      <c r="B1109" s="2"/>
      <c r="C1109" s="2"/>
      <c r="D1109" s="2"/>
      <c r="E1109" s="2"/>
      <c r="F1109" s="2"/>
      <c r="G1109" s="2"/>
      <c r="H1109" s="2"/>
      <c r="I1109" s="2">
        <v>67.524600000000007</v>
      </c>
      <c r="J1109" s="2">
        <v>152</v>
      </c>
      <c r="K1109" s="2">
        <v>67.354900000000001</v>
      </c>
      <c r="L1109" s="2">
        <v>157</v>
      </c>
      <c r="M1109" s="2">
        <v>100.5951</v>
      </c>
      <c r="N1109" s="2">
        <v>189</v>
      </c>
      <c r="O1109" s="2">
        <v>101.4529</v>
      </c>
      <c r="P1109" s="2">
        <v>160</v>
      </c>
      <c r="Q1109" s="2">
        <v>99.616600000000005</v>
      </c>
      <c r="R1109" s="2">
        <v>120</v>
      </c>
      <c r="S1109" s="2">
        <v>98.811499999999995</v>
      </c>
      <c r="T1109" s="2">
        <v>98</v>
      </c>
      <c r="U1109" s="2">
        <v>0.57526699999999997</v>
      </c>
      <c r="V1109" s="2">
        <v>128</v>
      </c>
      <c r="W1109" s="2">
        <v>2005</v>
      </c>
    </row>
    <row r="1110" spans="1:23" ht="12.3" hidden="1" x14ac:dyDescent="0.4">
      <c r="A1110" s="2" t="s">
        <v>132</v>
      </c>
      <c r="B1110" s="2"/>
      <c r="C1110" s="2"/>
      <c r="D1110" s="2"/>
      <c r="E1110" s="2"/>
      <c r="F1110" s="2"/>
      <c r="G1110" s="2"/>
      <c r="H1110" s="2"/>
      <c r="I1110" s="2">
        <v>60.116399999999999</v>
      </c>
      <c r="J1110" s="2">
        <v>324</v>
      </c>
      <c r="K1110" s="2">
        <v>60.294199999999996</v>
      </c>
      <c r="L1110" s="2">
        <v>322</v>
      </c>
      <c r="M1110" s="2">
        <v>102.04730000000001</v>
      </c>
      <c r="N1110" s="2">
        <v>144</v>
      </c>
      <c r="O1110" s="2">
        <v>101.4221</v>
      </c>
      <c r="P1110" s="2">
        <v>161</v>
      </c>
      <c r="Q1110" s="2">
        <v>101.0988</v>
      </c>
      <c r="R1110" s="2">
        <v>155</v>
      </c>
      <c r="S1110" s="2">
        <v>98.855599999999995</v>
      </c>
      <c r="T1110" s="2">
        <v>100</v>
      </c>
      <c r="U1110" s="2">
        <v>0.57316</v>
      </c>
      <c r="V1110" s="2">
        <v>129</v>
      </c>
      <c r="W1110" s="2">
        <v>2005</v>
      </c>
    </row>
    <row r="1111" spans="1:23" ht="12.3" hidden="1" x14ac:dyDescent="0.4">
      <c r="A1111" s="2" t="s">
        <v>140</v>
      </c>
      <c r="B1111" s="2"/>
      <c r="C1111" s="2"/>
      <c r="D1111" s="2"/>
      <c r="E1111" s="2"/>
      <c r="F1111" s="2"/>
      <c r="G1111" s="2"/>
      <c r="H1111" s="2"/>
      <c r="I1111" s="2">
        <v>65.725399999999993</v>
      </c>
      <c r="J1111" s="2">
        <v>224</v>
      </c>
      <c r="K1111" s="2">
        <v>65.012600000000006</v>
      </c>
      <c r="L1111" s="2">
        <v>252</v>
      </c>
      <c r="M1111" s="2">
        <v>102.7783</v>
      </c>
      <c r="N1111" s="2">
        <v>131</v>
      </c>
      <c r="O1111" s="2">
        <v>102.7989</v>
      </c>
      <c r="P1111" s="2">
        <v>134</v>
      </c>
      <c r="Q1111" s="2">
        <v>100.3788</v>
      </c>
      <c r="R1111" s="2">
        <v>140</v>
      </c>
      <c r="S1111" s="2">
        <v>100.5462</v>
      </c>
      <c r="T1111" s="2">
        <v>138</v>
      </c>
      <c r="U1111" s="2">
        <v>0.56335999999999997</v>
      </c>
      <c r="V1111" s="2">
        <v>130</v>
      </c>
      <c r="W1111" s="2">
        <v>2005</v>
      </c>
    </row>
    <row r="1112" spans="1:23" ht="12.3" hidden="1" x14ac:dyDescent="0.4">
      <c r="A1112" s="2" t="s">
        <v>154</v>
      </c>
      <c r="B1112" s="2"/>
      <c r="C1112" s="2"/>
      <c r="D1112" s="2"/>
      <c r="E1112" s="2"/>
      <c r="F1112" s="2"/>
      <c r="G1112" s="2"/>
      <c r="H1112" s="2"/>
      <c r="I1112" s="2">
        <v>62.646299999999997</v>
      </c>
      <c r="J1112" s="2">
        <v>304</v>
      </c>
      <c r="K1112" s="2">
        <v>63.1158</v>
      </c>
      <c r="L1112" s="2">
        <v>302</v>
      </c>
      <c r="M1112" s="2">
        <v>98.136499999999998</v>
      </c>
      <c r="N1112" s="2">
        <v>229</v>
      </c>
      <c r="O1112" s="2">
        <v>101.5852</v>
      </c>
      <c r="P1112" s="2">
        <v>157</v>
      </c>
      <c r="Q1112" s="2">
        <v>101.46120000000001</v>
      </c>
      <c r="R1112" s="2">
        <v>167</v>
      </c>
      <c r="S1112" s="2">
        <v>99.445400000000006</v>
      </c>
      <c r="T1112" s="2">
        <v>116</v>
      </c>
      <c r="U1112" s="2">
        <v>0.56090200000000001</v>
      </c>
      <c r="V1112" s="2">
        <v>131</v>
      </c>
      <c r="W1112" s="2">
        <v>2005</v>
      </c>
    </row>
    <row r="1113" spans="1:23" ht="12.3" hidden="1" x14ac:dyDescent="0.4">
      <c r="A1113" s="2" t="s">
        <v>134</v>
      </c>
      <c r="B1113" s="2"/>
      <c r="C1113" s="2"/>
      <c r="D1113" s="2"/>
      <c r="E1113" s="2"/>
      <c r="F1113" s="2"/>
      <c r="G1113" s="2"/>
      <c r="H1113" s="2"/>
      <c r="I1113" s="2">
        <v>66.525000000000006</v>
      </c>
      <c r="J1113" s="2">
        <v>191</v>
      </c>
      <c r="K1113" s="2">
        <v>66.066900000000004</v>
      </c>
      <c r="L1113" s="2">
        <v>217</v>
      </c>
      <c r="M1113" s="2">
        <v>105.2573</v>
      </c>
      <c r="N1113" s="2">
        <v>83</v>
      </c>
      <c r="O1113" s="2">
        <v>105.5311</v>
      </c>
      <c r="P1113" s="2">
        <v>93</v>
      </c>
      <c r="Q1113" s="2">
        <v>101.8541</v>
      </c>
      <c r="R1113" s="2">
        <v>180</v>
      </c>
      <c r="S1113" s="2">
        <v>103.4198</v>
      </c>
      <c r="T1113" s="2">
        <v>207</v>
      </c>
      <c r="U1113" s="2">
        <v>0.55784199999999995</v>
      </c>
      <c r="V1113" s="2">
        <v>132</v>
      </c>
      <c r="W1113" s="2">
        <v>2005</v>
      </c>
    </row>
    <row r="1114" spans="1:23" ht="12.3" hidden="1" x14ac:dyDescent="0.4">
      <c r="A1114" s="2" t="s">
        <v>66</v>
      </c>
      <c r="B1114" s="2"/>
      <c r="C1114" s="2"/>
      <c r="D1114" s="2"/>
      <c r="E1114" s="2"/>
      <c r="F1114" s="2"/>
      <c r="G1114" s="2"/>
      <c r="H1114" s="2"/>
      <c r="I1114" s="2">
        <v>66.089699999999993</v>
      </c>
      <c r="J1114" s="2">
        <v>209</v>
      </c>
      <c r="K1114" s="2">
        <v>65.879499999999993</v>
      </c>
      <c r="L1114" s="2">
        <v>227</v>
      </c>
      <c r="M1114" s="2">
        <v>103.4173</v>
      </c>
      <c r="N1114" s="2">
        <v>123</v>
      </c>
      <c r="O1114" s="2">
        <v>102.9996</v>
      </c>
      <c r="P1114" s="2">
        <v>129</v>
      </c>
      <c r="Q1114" s="2">
        <v>99.914400000000001</v>
      </c>
      <c r="R1114" s="2">
        <v>127</v>
      </c>
      <c r="S1114" s="2">
        <v>100.9877</v>
      </c>
      <c r="T1114" s="2">
        <v>150</v>
      </c>
      <c r="U1114" s="2">
        <v>0.556473</v>
      </c>
      <c r="V1114" s="2">
        <v>133</v>
      </c>
      <c r="W1114" s="2">
        <v>2005</v>
      </c>
    </row>
    <row r="1115" spans="1:23" ht="12.3" hidden="1" x14ac:dyDescent="0.4">
      <c r="A1115" s="2" t="s">
        <v>123</v>
      </c>
      <c r="B1115" s="2"/>
      <c r="C1115" s="2"/>
      <c r="D1115" s="2"/>
      <c r="E1115" s="2"/>
      <c r="F1115" s="2"/>
      <c r="G1115" s="2"/>
      <c r="H1115" s="2"/>
      <c r="I1115" s="2">
        <v>63.448799999999999</v>
      </c>
      <c r="J1115" s="2">
        <v>294</v>
      </c>
      <c r="K1115" s="2">
        <v>65.0535</v>
      </c>
      <c r="L1115" s="2">
        <v>251</v>
      </c>
      <c r="M1115" s="2">
        <v>100.44370000000001</v>
      </c>
      <c r="N1115" s="2">
        <v>192</v>
      </c>
      <c r="O1115" s="2">
        <v>104.6019</v>
      </c>
      <c r="P1115" s="2">
        <v>108</v>
      </c>
      <c r="Q1115" s="2">
        <v>109.3614</v>
      </c>
      <c r="R1115" s="2">
        <v>309</v>
      </c>
      <c r="S1115" s="2">
        <v>103.1049</v>
      </c>
      <c r="T1115" s="2">
        <v>200</v>
      </c>
      <c r="U1115" s="2">
        <v>0.54134800000000005</v>
      </c>
      <c r="V1115" s="2">
        <v>134</v>
      </c>
      <c r="W1115" s="2">
        <v>2005</v>
      </c>
    </row>
    <row r="1116" spans="1:23" ht="12.3" hidden="1" x14ac:dyDescent="0.4">
      <c r="A1116" s="2" t="s">
        <v>89</v>
      </c>
      <c r="B1116" s="2"/>
      <c r="C1116" s="2"/>
      <c r="D1116" s="2"/>
      <c r="E1116" s="2"/>
      <c r="F1116" s="2"/>
      <c r="G1116" s="2"/>
      <c r="H1116" s="2"/>
      <c r="I1116" s="2">
        <v>65.304500000000004</v>
      </c>
      <c r="J1116" s="2">
        <v>242</v>
      </c>
      <c r="K1116" s="2">
        <v>66.118899999999996</v>
      </c>
      <c r="L1116" s="2">
        <v>215</v>
      </c>
      <c r="M1116" s="2">
        <v>105.88679999999999</v>
      </c>
      <c r="N1116" s="2">
        <v>67</v>
      </c>
      <c r="O1116" s="2">
        <v>105.9866</v>
      </c>
      <c r="P1116" s="2">
        <v>86</v>
      </c>
      <c r="Q1116" s="2">
        <v>105.7495</v>
      </c>
      <c r="R1116" s="2">
        <v>266</v>
      </c>
      <c r="S1116" s="2">
        <v>104.4717</v>
      </c>
      <c r="T1116" s="2">
        <v>227</v>
      </c>
      <c r="U1116" s="2">
        <v>0.541296</v>
      </c>
      <c r="V1116" s="2">
        <v>135</v>
      </c>
      <c r="W1116" s="2">
        <v>2005</v>
      </c>
    </row>
    <row r="1117" spans="1:23" ht="12.3" hidden="1" x14ac:dyDescent="0.4">
      <c r="A1117" s="2" t="s">
        <v>245</v>
      </c>
      <c r="B1117" s="2"/>
      <c r="C1117" s="2"/>
      <c r="D1117" s="2"/>
      <c r="E1117" s="2"/>
      <c r="F1117" s="2"/>
      <c r="G1117" s="2"/>
      <c r="H1117" s="2"/>
      <c r="I1117" s="2">
        <v>69.8964</v>
      </c>
      <c r="J1117" s="2">
        <v>79</v>
      </c>
      <c r="K1117" s="2">
        <v>71.617599999999996</v>
      </c>
      <c r="L1117" s="2">
        <v>30</v>
      </c>
      <c r="M1117" s="2">
        <v>99.926599999999993</v>
      </c>
      <c r="N1117" s="2">
        <v>202</v>
      </c>
      <c r="O1117" s="2">
        <v>99.796800000000005</v>
      </c>
      <c r="P1117" s="2">
        <v>194</v>
      </c>
      <c r="Q1117" s="2">
        <v>101.7775</v>
      </c>
      <c r="R1117" s="2">
        <v>178</v>
      </c>
      <c r="S1117" s="2">
        <v>98.373500000000007</v>
      </c>
      <c r="T1117" s="2">
        <v>90</v>
      </c>
      <c r="U1117" s="2">
        <v>0.54120599999999996</v>
      </c>
      <c r="V1117" s="2">
        <v>136</v>
      </c>
      <c r="W1117" s="2">
        <v>2005</v>
      </c>
    </row>
    <row r="1118" spans="1:23" ht="12.3" hidden="1" x14ac:dyDescent="0.4">
      <c r="A1118" s="2" t="s">
        <v>113</v>
      </c>
      <c r="B1118" s="2"/>
      <c r="C1118" s="2"/>
      <c r="D1118" s="2"/>
      <c r="E1118" s="2"/>
      <c r="F1118" s="2"/>
      <c r="G1118" s="2"/>
      <c r="H1118" s="2"/>
      <c r="I1118" s="2">
        <v>68.590299999999999</v>
      </c>
      <c r="J1118" s="2">
        <v>116</v>
      </c>
      <c r="K1118" s="2">
        <v>68.674499999999995</v>
      </c>
      <c r="L1118" s="2">
        <v>111</v>
      </c>
      <c r="M1118" s="2">
        <v>101.6178</v>
      </c>
      <c r="N1118" s="2">
        <v>159</v>
      </c>
      <c r="O1118" s="2">
        <v>104.9541</v>
      </c>
      <c r="P1118" s="2">
        <v>102</v>
      </c>
      <c r="Q1118" s="2">
        <v>108.4286</v>
      </c>
      <c r="R1118" s="2">
        <v>297</v>
      </c>
      <c r="S1118" s="2">
        <v>103.4683</v>
      </c>
      <c r="T1118" s="2">
        <v>210</v>
      </c>
      <c r="U1118" s="2">
        <v>0.54090000000000005</v>
      </c>
      <c r="V1118" s="2">
        <v>137</v>
      </c>
      <c r="W1118" s="2">
        <v>2005</v>
      </c>
    </row>
    <row r="1119" spans="1:23" ht="12.3" hidden="1" x14ac:dyDescent="0.4">
      <c r="A1119" s="2" t="s">
        <v>57</v>
      </c>
      <c r="B1119" s="2"/>
      <c r="C1119" s="2"/>
      <c r="D1119" s="2"/>
      <c r="E1119" s="2"/>
      <c r="F1119" s="2"/>
      <c r="G1119" s="2"/>
      <c r="H1119" s="2"/>
      <c r="I1119" s="2">
        <v>68.926400000000001</v>
      </c>
      <c r="J1119" s="2">
        <v>108</v>
      </c>
      <c r="K1119" s="2">
        <v>67.606999999999999</v>
      </c>
      <c r="L1119" s="2">
        <v>147</v>
      </c>
      <c r="M1119" s="2">
        <v>97.497100000000003</v>
      </c>
      <c r="N1119" s="2">
        <v>236</v>
      </c>
      <c r="O1119" s="2">
        <v>99.841700000000003</v>
      </c>
      <c r="P1119" s="2">
        <v>192</v>
      </c>
      <c r="Q1119" s="2">
        <v>102.0025</v>
      </c>
      <c r="R1119" s="2">
        <v>184</v>
      </c>
      <c r="S1119" s="2">
        <v>98.430400000000006</v>
      </c>
      <c r="T1119" s="2">
        <v>92</v>
      </c>
      <c r="U1119" s="2">
        <v>0.54083899999999996</v>
      </c>
      <c r="V1119" s="2">
        <v>138</v>
      </c>
      <c r="W1119" s="2">
        <v>2005</v>
      </c>
    </row>
    <row r="1120" spans="1:23" ht="12.3" hidden="1" x14ac:dyDescent="0.4">
      <c r="A1120" s="2" t="s">
        <v>205</v>
      </c>
      <c r="B1120" s="2"/>
      <c r="C1120" s="2"/>
      <c r="D1120" s="2"/>
      <c r="E1120" s="2"/>
      <c r="F1120" s="2"/>
      <c r="G1120" s="2"/>
      <c r="H1120" s="2"/>
      <c r="I1120" s="2">
        <v>67.347700000000003</v>
      </c>
      <c r="J1120" s="2">
        <v>159</v>
      </c>
      <c r="K1120" s="2">
        <v>67.8964</v>
      </c>
      <c r="L1120" s="2">
        <v>129</v>
      </c>
      <c r="M1120" s="2">
        <v>101.77509999999999</v>
      </c>
      <c r="N1120" s="2">
        <v>151</v>
      </c>
      <c r="O1120" s="2">
        <v>103.7696</v>
      </c>
      <c r="P1120" s="2">
        <v>117</v>
      </c>
      <c r="Q1120" s="2">
        <v>105.3372</v>
      </c>
      <c r="R1120" s="2">
        <v>257</v>
      </c>
      <c r="S1120" s="2">
        <v>102.3296</v>
      </c>
      <c r="T1120" s="2">
        <v>182</v>
      </c>
      <c r="U1120" s="2">
        <v>0.54008800000000001</v>
      </c>
      <c r="V1120" s="2">
        <v>139</v>
      </c>
      <c r="W1120" s="2">
        <v>2005</v>
      </c>
    </row>
    <row r="1121" spans="1:23" ht="12.3" hidden="1" x14ac:dyDescent="0.4">
      <c r="A1121" s="2" t="s">
        <v>209</v>
      </c>
      <c r="B1121" s="2"/>
      <c r="C1121" s="2"/>
      <c r="D1121" s="2"/>
      <c r="E1121" s="2"/>
      <c r="F1121" s="2"/>
      <c r="G1121" s="2"/>
      <c r="H1121" s="2"/>
      <c r="I1121" s="2">
        <v>63.998899999999999</v>
      </c>
      <c r="J1121" s="2">
        <v>282</v>
      </c>
      <c r="K1121" s="2">
        <v>63.756599999999999</v>
      </c>
      <c r="L1121" s="2">
        <v>290</v>
      </c>
      <c r="M1121" s="2">
        <v>105.6284</v>
      </c>
      <c r="N1121" s="2">
        <v>75</v>
      </c>
      <c r="O1121" s="2">
        <v>106.2086</v>
      </c>
      <c r="P1121" s="2">
        <v>79</v>
      </c>
      <c r="Q1121" s="2">
        <v>107.11360000000001</v>
      </c>
      <c r="R1121" s="2">
        <v>281</v>
      </c>
      <c r="S1121" s="2">
        <v>104.74850000000001</v>
      </c>
      <c r="T1121" s="2">
        <v>233</v>
      </c>
      <c r="U1121" s="2">
        <v>0.53971599999999997</v>
      </c>
      <c r="V1121" s="2">
        <v>140</v>
      </c>
      <c r="W1121" s="2">
        <v>2005</v>
      </c>
    </row>
    <row r="1122" spans="1:23" ht="12.3" hidden="1" x14ac:dyDescent="0.4">
      <c r="A1122" s="2" t="s">
        <v>147</v>
      </c>
      <c r="B1122" s="2"/>
      <c r="C1122" s="2"/>
      <c r="D1122" s="2"/>
      <c r="E1122" s="2"/>
      <c r="F1122" s="2"/>
      <c r="G1122" s="2"/>
      <c r="H1122" s="2"/>
      <c r="I1122" s="2">
        <v>67.025199999999998</v>
      </c>
      <c r="J1122" s="2">
        <v>171</v>
      </c>
      <c r="K1122" s="2">
        <v>66.947699999999998</v>
      </c>
      <c r="L1122" s="2">
        <v>176</v>
      </c>
      <c r="M1122" s="2">
        <v>107.8699</v>
      </c>
      <c r="N1122" s="2">
        <v>53</v>
      </c>
      <c r="O1122" s="2">
        <v>106.5005</v>
      </c>
      <c r="P1122" s="2">
        <v>75</v>
      </c>
      <c r="Q1122" s="2">
        <v>102.4622</v>
      </c>
      <c r="R1122" s="2">
        <v>200</v>
      </c>
      <c r="S1122" s="2">
        <v>105.0866</v>
      </c>
      <c r="T1122" s="2">
        <v>239</v>
      </c>
      <c r="U1122" s="2">
        <v>0.53835</v>
      </c>
      <c r="V1122" s="2">
        <v>141</v>
      </c>
      <c r="W1122" s="2">
        <v>2005</v>
      </c>
    </row>
    <row r="1123" spans="1:23" ht="12.3" hidden="1" x14ac:dyDescent="0.4">
      <c r="A1123" s="2" t="s">
        <v>125</v>
      </c>
      <c r="B1123" s="2"/>
      <c r="C1123" s="2"/>
      <c r="D1123" s="2"/>
      <c r="E1123" s="2"/>
      <c r="F1123" s="2"/>
      <c r="G1123" s="2"/>
      <c r="H1123" s="2"/>
      <c r="I1123" s="2">
        <v>65.008200000000002</v>
      </c>
      <c r="J1123" s="2">
        <v>255</v>
      </c>
      <c r="K1123" s="2">
        <v>64.344200000000001</v>
      </c>
      <c r="L1123" s="2">
        <v>279</v>
      </c>
      <c r="M1123" s="2">
        <v>99.966499999999996</v>
      </c>
      <c r="N1123" s="2">
        <v>200</v>
      </c>
      <c r="O1123" s="2">
        <v>100.95650000000001</v>
      </c>
      <c r="P1123" s="2">
        <v>173</v>
      </c>
      <c r="Q1123" s="2">
        <v>101.58839999999999</v>
      </c>
      <c r="R1123" s="2">
        <v>172</v>
      </c>
      <c r="S1123" s="2">
        <v>99.666300000000007</v>
      </c>
      <c r="T1123" s="2">
        <v>122</v>
      </c>
      <c r="U1123" s="2">
        <v>0.53691100000000003</v>
      </c>
      <c r="V1123" s="2">
        <v>142</v>
      </c>
      <c r="W1123" s="2">
        <v>2005</v>
      </c>
    </row>
    <row r="1124" spans="1:23" ht="12.3" hidden="1" x14ac:dyDescent="0.4">
      <c r="A1124" s="2" t="s">
        <v>199</v>
      </c>
      <c r="B1124" s="2"/>
      <c r="C1124" s="2"/>
      <c r="D1124" s="2"/>
      <c r="E1124" s="2"/>
      <c r="F1124" s="2"/>
      <c r="G1124" s="2"/>
      <c r="H1124" s="2"/>
      <c r="I1124" s="2">
        <v>62.885800000000003</v>
      </c>
      <c r="J1124" s="2">
        <v>301</v>
      </c>
      <c r="K1124" s="2">
        <v>63.657899999999998</v>
      </c>
      <c r="L1124" s="2">
        <v>294</v>
      </c>
      <c r="M1124" s="2">
        <v>111.56399999999999</v>
      </c>
      <c r="N1124" s="2">
        <v>25</v>
      </c>
      <c r="O1124" s="2">
        <v>108.15519999999999</v>
      </c>
      <c r="P1124" s="2">
        <v>56</v>
      </c>
      <c r="Q1124" s="2">
        <v>108.58629999999999</v>
      </c>
      <c r="R1124" s="2">
        <v>299</v>
      </c>
      <c r="S1124" s="2">
        <v>106.96380000000001</v>
      </c>
      <c r="T1124" s="2">
        <v>273</v>
      </c>
      <c r="U1124" s="2">
        <v>0.53180499999999997</v>
      </c>
      <c r="V1124" s="2">
        <v>143</v>
      </c>
      <c r="W1124" s="2">
        <v>2005</v>
      </c>
    </row>
    <row r="1125" spans="1:23" ht="12.3" hidden="1" x14ac:dyDescent="0.4">
      <c r="A1125" s="2" t="s">
        <v>144</v>
      </c>
      <c r="B1125" s="2"/>
      <c r="C1125" s="2"/>
      <c r="D1125" s="2"/>
      <c r="E1125" s="2"/>
      <c r="F1125" s="2"/>
      <c r="G1125" s="2"/>
      <c r="H1125" s="2"/>
      <c r="I1125" s="2">
        <v>65.761200000000002</v>
      </c>
      <c r="J1125" s="2">
        <v>221</v>
      </c>
      <c r="K1125" s="2">
        <v>67.2256</v>
      </c>
      <c r="L1125" s="2">
        <v>164</v>
      </c>
      <c r="M1125" s="2">
        <v>105.033</v>
      </c>
      <c r="N1125" s="2">
        <v>87</v>
      </c>
      <c r="O1125" s="2">
        <v>106.34869999999999</v>
      </c>
      <c r="P1125" s="2">
        <v>77</v>
      </c>
      <c r="Q1125" s="2">
        <v>104.6465</v>
      </c>
      <c r="R1125" s="2">
        <v>242</v>
      </c>
      <c r="S1125" s="2">
        <v>105.2304</v>
      </c>
      <c r="T1125" s="2">
        <v>243</v>
      </c>
      <c r="U1125" s="2">
        <v>0.53035299999999996</v>
      </c>
      <c r="V1125" s="2">
        <v>144</v>
      </c>
      <c r="W1125" s="2">
        <v>2005</v>
      </c>
    </row>
    <row r="1126" spans="1:23" ht="12.3" x14ac:dyDescent="0.4">
      <c r="A1126" s="2" t="s">
        <v>165</v>
      </c>
      <c r="B1126" s="2">
        <v>13</v>
      </c>
      <c r="C1126" s="2"/>
      <c r="D1126" s="2"/>
      <c r="E1126" s="2"/>
      <c r="F1126" s="2"/>
      <c r="G1126" s="2"/>
      <c r="H1126" s="2"/>
      <c r="I1126" s="2">
        <v>72.440100000000001</v>
      </c>
      <c r="J1126" s="2">
        <v>14</v>
      </c>
      <c r="K1126" s="2">
        <v>72.876999999999995</v>
      </c>
      <c r="L1126" s="2">
        <v>7</v>
      </c>
      <c r="M1126" s="2">
        <v>117.0802</v>
      </c>
      <c r="N1126" s="2">
        <v>4</v>
      </c>
      <c r="O1126" s="2">
        <v>115.9563</v>
      </c>
      <c r="P1126" s="2">
        <v>9</v>
      </c>
      <c r="Q1126" s="2">
        <v>105.2766</v>
      </c>
      <c r="R1126" s="2">
        <v>265</v>
      </c>
      <c r="S1126" s="2">
        <v>103.94499999999999</v>
      </c>
      <c r="T1126" s="2">
        <v>222</v>
      </c>
      <c r="U1126" s="2">
        <v>0.77860399999999996</v>
      </c>
      <c r="V1126" s="2">
        <v>60</v>
      </c>
      <c r="W1126" s="2">
        <v>2011</v>
      </c>
    </row>
    <row r="1127" spans="1:23" ht="12.3" hidden="1" x14ac:dyDescent="0.4">
      <c r="A1127" s="2" t="s">
        <v>176</v>
      </c>
      <c r="B1127" s="2"/>
      <c r="C1127" s="2"/>
      <c r="D1127" s="2"/>
      <c r="E1127" s="2"/>
      <c r="F1127" s="2"/>
      <c r="G1127" s="2"/>
      <c r="H1127" s="2"/>
      <c r="I1127" s="2">
        <v>53.728299999999997</v>
      </c>
      <c r="J1127" s="2">
        <v>330</v>
      </c>
      <c r="K1127" s="2">
        <v>54.2438</v>
      </c>
      <c r="L1127" s="2">
        <v>330</v>
      </c>
      <c r="M1127" s="2">
        <v>102.3439</v>
      </c>
      <c r="N1127" s="2">
        <v>137</v>
      </c>
      <c r="O1127" s="2">
        <v>104.00109999999999</v>
      </c>
      <c r="P1127" s="2">
        <v>114</v>
      </c>
      <c r="Q1127" s="2">
        <v>100.45</v>
      </c>
      <c r="R1127" s="2">
        <v>143</v>
      </c>
      <c r="S1127" s="2">
        <v>103.0012</v>
      </c>
      <c r="T1127" s="2">
        <v>192</v>
      </c>
      <c r="U1127" s="2">
        <v>0.52774600000000005</v>
      </c>
      <c r="V1127" s="2">
        <v>146</v>
      </c>
      <c r="W1127" s="2">
        <v>2005</v>
      </c>
    </row>
    <row r="1128" spans="1:23" ht="12.3" hidden="1" x14ac:dyDescent="0.4">
      <c r="A1128" s="2" t="s">
        <v>290</v>
      </c>
      <c r="B1128" s="2"/>
      <c r="C1128" s="2"/>
      <c r="D1128" s="2"/>
      <c r="E1128" s="2"/>
      <c r="F1128" s="2"/>
      <c r="G1128" s="2"/>
      <c r="H1128" s="2"/>
      <c r="I1128" s="2">
        <v>67.486500000000007</v>
      </c>
      <c r="J1128" s="2">
        <v>154</v>
      </c>
      <c r="K1128" s="2">
        <v>66.785200000000003</v>
      </c>
      <c r="L1128" s="2">
        <v>185</v>
      </c>
      <c r="M1128" s="2">
        <v>101.55970000000001</v>
      </c>
      <c r="N1128" s="2">
        <v>161</v>
      </c>
      <c r="O1128" s="2">
        <v>102.6671</v>
      </c>
      <c r="P1128" s="2">
        <v>137</v>
      </c>
      <c r="Q1128" s="2">
        <v>101.2764</v>
      </c>
      <c r="R1128" s="2">
        <v>161</v>
      </c>
      <c r="S1128" s="2">
        <v>101.68429999999999</v>
      </c>
      <c r="T1128" s="2">
        <v>169</v>
      </c>
      <c r="U1128" s="2">
        <v>0.52762799999999999</v>
      </c>
      <c r="V1128" s="2">
        <v>147</v>
      </c>
      <c r="W1128" s="2">
        <v>2005</v>
      </c>
    </row>
    <row r="1129" spans="1:23" ht="12.3" hidden="1" x14ac:dyDescent="0.4">
      <c r="A1129" s="2" t="s">
        <v>114</v>
      </c>
      <c r="B1129" s="2"/>
      <c r="C1129" s="2"/>
      <c r="D1129" s="2"/>
      <c r="E1129" s="2"/>
      <c r="F1129" s="2"/>
      <c r="G1129" s="2"/>
      <c r="H1129" s="2"/>
      <c r="I1129" s="2">
        <v>68.135300000000001</v>
      </c>
      <c r="J1129" s="2">
        <v>131</v>
      </c>
      <c r="K1129" s="2">
        <v>68.599100000000007</v>
      </c>
      <c r="L1129" s="2">
        <v>115</v>
      </c>
      <c r="M1129" s="2">
        <v>103.21259999999999</v>
      </c>
      <c r="N1129" s="2">
        <v>124</v>
      </c>
      <c r="O1129" s="2">
        <v>99.769099999999995</v>
      </c>
      <c r="P1129" s="2">
        <v>195</v>
      </c>
      <c r="Q1129" s="2">
        <v>100.02500000000001</v>
      </c>
      <c r="R1129" s="2">
        <v>131</v>
      </c>
      <c r="S1129" s="2">
        <v>99.123000000000005</v>
      </c>
      <c r="T1129" s="2">
        <v>108</v>
      </c>
      <c r="U1129" s="2">
        <v>0.51867099999999999</v>
      </c>
      <c r="V1129" s="2">
        <v>148</v>
      </c>
      <c r="W1129" s="2">
        <v>2005</v>
      </c>
    </row>
    <row r="1130" spans="1:23" ht="12.3" hidden="1" x14ac:dyDescent="0.4">
      <c r="A1130" s="2" t="s">
        <v>83</v>
      </c>
      <c r="B1130" s="2"/>
      <c r="C1130" s="2"/>
      <c r="D1130" s="2"/>
      <c r="E1130" s="2"/>
      <c r="F1130" s="2"/>
      <c r="G1130" s="2"/>
      <c r="H1130" s="2"/>
      <c r="I1130" s="2">
        <v>63.898899999999998</v>
      </c>
      <c r="J1130" s="2">
        <v>283</v>
      </c>
      <c r="K1130" s="2">
        <v>63.788800000000002</v>
      </c>
      <c r="L1130" s="2">
        <v>289</v>
      </c>
      <c r="M1130" s="2">
        <v>101.1324</v>
      </c>
      <c r="N1130" s="2">
        <v>178</v>
      </c>
      <c r="O1130" s="2">
        <v>98.473600000000005</v>
      </c>
      <c r="P1130" s="2">
        <v>217</v>
      </c>
      <c r="Q1130" s="2">
        <v>98.049099999999996</v>
      </c>
      <c r="R1130" s="2">
        <v>85</v>
      </c>
      <c r="S1130" s="2">
        <v>98.022800000000004</v>
      </c>
      <c r="T1130" s="2">
        <v>84</v>
      </c>
      <c r="U1130" s="2">
        <v>0.51319000000000004</v>
      </c>
      <c r="V1130" s="2">
        <v>149</v>
      </c>
      <c r="W1130" s="2">
        <v>2005</v>
      </c>
    </row>
    <row r="1131" spans="1:23" ht="12.3" hidden="1" x14ac:dyDescent="0.4">
      <c r="A1131" s="2" t="s">
        <v>225</v>
      </c>
      <c r="B1131" s="2"/>
      <c r="C1131" s="2"/>
      <c r="D1131" s="2"/>
      <c r="E1131" s="2"/>
      <c r="F1131" s="2"/>
      <c r="G1131" s="2"/>
      <c r="H1131" s="2"/>
      <c r="I1131" s="2">
        <v>72.601900000000001</v>
      </c>
      <c r="J1131" s="2">
        <v>24</v>
      </c>
      <c r="K1131" s="2">
        <v>71.951300000000003</v>
      </c>
      <c r="L1131" s="2">
        <v>27</v>
      </c>
      <c r="M1131" s="2">
        <v>96.709100000000007</v>
      </c>
      <c r="N1131" s="2">
        <v>240</v>
      </c>
      <c r="O1131" s="2">
        <v>96.275899999999993</v>
      </c>
      <c r="P1131" s="2">
        <v>250</v>
      </c>
      <c r="Q1131" s="2">
        <v>94.715400000000002</v>
      </c>
      <c r="R1131" s="2">
        <v>36</v>
      </c>
      <c r="S1131" s="2">
        <v>95.869200000000006</v>
      </c>
      <c r="T1131" s="2">
        <v>53</v>
      </c>
      <c r="U1131" s="2">
        <v>0.51216899999999999</v>
      </c>
      <c r="V1131" s="2">
        <v>150</v>
      </c>
      <c r="W1131" s="2">
        <v>2005</v>
      </c>
    </row>
    <row r="1132" spans="1:23" ht="12.3" hidden="1" x14ac:dyDescent="0.4">
      <c r="A1132" s="2" t="s">
        <v>94</v>
      </c>
      <c r="B1132" s="2"/>
      <c r="C1132" s="2"/>
      <c r="D1132" s="2"/>
      <c r="E1132" s="2"/>
      <c r="F1132" s="2"/>
      <c r="G1132" s="2"/>
      <c r="H1132" s="2"/>
      <c r="I1132" s="2">
        <v>69.676400000000001</v>
      </c>
      <c r="J1132" s="2">
        <v>86</v>
      </c>
      <c r="K1132" s="2">
        <v>68.628900000000002</v>
      </c>
      <c r="L1132" s="2">
        <v>113</v>
      </c>
      <c r="M1132" s="2">
        <v>100.04389999999999</v>
      </c>
      <c r="N1132" s="2">
        <v>198</v>
      </c>
      <c r="O1132" s="2">
        <v>101.0468</v>
      </c>
      <c r="P1132" s="2">
        <v>170</v>
      </c>
      <c r="Q1132" s="2">
        <v>100.3533</v>
      </c>
      <c r="R1132" s="2">
        <v>139</v>
      </c>
      <c r="S1132" s="2">
        <v>100.8081</v>
      </c>
      <c r="T1132" s="2">
        <v>146</v>
      </c>
      <c r="U1132" s="2">
        <v>0.50680000000000003</v>
      </c>
      <c r="V1132" s="2">
        <v>151</v>
      </c>
      <c r="W1132" s="2">
        <v>2005</v>
      </c>
    </row>
    <row r="1133" spans="1:23" ht="12.3" hidden="1" x14ac:dyDescent="0.4">
      <c r="A1133" s="2" t="s">
        <v>339</v>
      </c>
      <c r="B1133" s="2"/>
      <c r="C1133" s="2"/>
      <c r="D1133" s="2"/>
      <c r="E1133" s="2"/>
      <c r="F1133" s="2"/>
      <c r="G1133" s="2"/>
      <c r="H1133" s="2"/>
      <c r="I1133" s="2">
        <v>65.329400000000007</v>
      </c>
      <c r="J1133" s="2">
        <v>239</v>
      </c>
      <c r="K1133" s="2">
        <v>65.9786</v>
      </c>
      <c r="L1133" s="2">
        <v>222</v>
      </c>
      <c r="M1133" s="2">
        <v>102.3943</v>
      </c>
      <c r="N1133" s="2">
        <v>135</v>
      </c>
      <c r="O1133" s="2">
        <v>102.09520000000001</v>
      </c>
      <c r="P1133" s="2">
        <v>147</v>
      </c>
      <c r="Q1133" s="2">
        <v>98.139799999999994</v>
      </c>
      <c r="R1133" s="2">
        <v>87</v>
      </c>
      <c r="S1133" s="2">
        <v>101.99639999999999</v>
      </c>
      <c r="T1133" s="2">
        <v>177</v>
      </c>
      <c r="U1133" s="2">
        <v>0.50278199999999995</v>
      </c>
      <c r="V1133" s="2">
        <v>152</v>
      </c>
      <c r="W1133" s="2">
        <v>2005</v>
      </c>
    </row>
    <row r="1134" spans="1:23" ht="12.3" hidden="1" x14ac:dyDescent="0.4">
      <c r="A1134" s="2" t="s">
        <v>157</v>
      </c>
      <c r="B1134" s="2"/>
      <c r="C1134" s="2"/>
      <c r="D1134" s="2"/>
      <c r="E1134" s="2"/>
      <c r="F1134" s="2"/>
      <c r="G1134" s="2"/>
      <c r="H1134" s="2"/>
      <c r="I1134" s="2">
        <v>66.481800000000007</v>
      </c>
      <c r="J1134" s="2">
        <v>193</v>
      </c>
      <c r="K1134" s="2">
        <v>67.646100000000004</v>
      </c>
      <c r="L1134" s="2">
        <v>143</v>
      </c>
      <c r="M1134" s="2">
        <v>101.7328</v>
      </c>
      <c r="N1134" s="2">
        <v>153</v>
      </c>
      <c r="O1134" s="2">
        <v>101.5735</v>
      </c>
      <c r="P1134" s="2">
        <v>158</v>
      </c>
      <c r="Q1134" s="2">
        <v>104.18729999999999</v>
      </c>
      <c r="R1134" s="2">
        <v>234</v>
      </c>
      <c r="S1134" s="2">
        <v>101.53230000000001</v>
      </c>
      <c r="T1134" s="2">
        <v>163</v>
      </c>
      <c r="U1134" s="2">
        <v>0.50116799999999995</v>
      </c>
      <c r="V1134" s="2">
        <v>153</v>
      </c>
      <c r="W1134" s="2">
        <v>2005</v>
      </c>
    </row>
    <row r="1135" spans="1:23" ht="12.3" hidden="1" x14ac:dyDescent="0.4">
      <c r="A1135" s="2" t="s">
        <v>96</v>
      </c>
      <c r="B1135" s="2"/>
      <c r="C1135" s="2"/>
      <c r="D1135" s="2"/>
      <c r="E1135" s="2"/>
      <c r="F1135" s="2"/>
      <c r="G1135" s="2"/>
      <c r="H1135" s="2"/>
      <c r="I1135" s="2">
        <v>65.606200000000001</v>
      </c>
      <c r="J1135" s="2">
        <v>231</v>
      </c>
      <c r="K1135" s="2">
        <v>66.718699999999998</v>
      </c>
      <c r="L1135" s="2">
        <v>188</v>
      </c>
      <c r="M1135" s="2">
        <v>96.662099999999995</v>
      </c>
      <c r="N1135" s="2">
        <v>241</v>
      </c>
      <c r="O1135" s="2">
        <v>99.367400000000004</v>
      </c>
      <c r="P1135" s="2">
        <v>203</v>
      </c>
      <c r="Q1135" s="2">
        <v>105.23220000000001</v>
      </c>
      <c r="R1135" s="2">
        <v>255</v>
      </c>
      <c r="S1135" s="2">
        <v>99.372100000000003</v>
      </c>
      <c r="T1135" s="2">
        <v>114</v>
      </c>
      <c r="U1135" s="2">
        <v>0.499863</v>
      </c>
      <c r="V1135" s="2">
        <v>154</v>
      </c>
      <c r="W1135" s="2">
        <v>2005</v>
      </c>
    </row>
    <row r="1136" spans="1:23" ht="12.3" hidden="1" x14ac:dyDescent="0.4">
      <c r="A1136" s="2" t="s">
        <v>18</v>
      </c>
      <c r="B1136" s="2"/>
      <c r="C1136" s="2"/>
      <c r="D1136" s="2"/>
      <c r="E1136" s="2"/>
      <c r="F1136" s="2"/>
      <c r="G1136" s="2"/>
      <c r="H1136" s="2"/>
      <c r="I1136" s="2">
        <v>58.088799999999999</v>
      </c>
      <c r="J1136" s="2">
        <v>327</v>
      </c>
      <c r="K1136" s="2">
        <v>59.298900000000003</v>
      </c>
      <c r="L1136" s="2">
        <v>327</v>
      </c>
      <c r="M1136" s="2">
        <v>108.34139999999999</v>
      </c>
      <c r="N1136" s="2">
        <v>49</v>
      </c>
      <c r="O1136" s="2">
        <v>106.8969</v>
      </c>
      <c r="P1136" s="2">
        <v>68</v>
      </c>
      <c r="Q1136" s="2">
        <v>105.65770000000001</v>
      </c>
      <c r="R1136" s="2">
        <v>263</v>
      </c>
      <c r="S1136" s="2">
        <v>106.9552</v>
      </c>
      <c r="T1136" s="2">
        <v>272</v>
      </c>
      <c r="U1136" s="2">
        <v>0.49843199999999999</v>
      </c>
      <c r="V1136" s="2">
        <v>155</v>
      </c>
      <c r="W1136" s="2">
        <v>2005</v>
      </c>
    </row>
    <row r="1137" spans="1:23" ht="12.3" hidden="1" x14ac:dyDescent="0.4">
      <c r="A1137" s="2" t="s">
        <v>97</v>
      </c>
      <c r="B1137" s="2"/>
      <c r="C1137" s="2"/>
      <c r="D1137" s="2"/>
      <c r="E1137" s="2"/>
      <c r="F1137" s="2"/>
      <c r="G1137" s="2"/>
      <c r="H1137" s="2"/>
      <c r="I1137" s="2">
        <v>66.063999999999993</v>
      </c>
      <c r="J1137" s="2">
        <v>211</v>
      </c>
      <c r="K1137" s="2">
        <v>67.656000000000006</v>
      </c>
      <c r="L1137" s="2">
        <v>142</v>
      </c>
      <c r="M1137" s="2">
        <v>101.0187</v>
      </c>
      <c r="N1137" s="2">
        <v>180</v>
      </c>
      <c r="O1137" s="2">
        <v>104.7672</v>
      </c>
      <c r="P1137" s="2">
        <v>105</v>
      </c>
      <c r="Q1137" s="2">
        <v>107.8567</v>
      </c>
      <c r="R1137" s="2">
        <v>289</v>
      </c>
      <c r="S1137" s="2">
        <v>104.82899999999999</v>
      </c>
      <c r="T1137" s="2">
        <v>236</v>
      </c>
      <c r="U1137" s="2">
        <v>0.49830400000000002</v>
      </c>
      <c r="V1137" s="2">
        <v>156</v>
      </c>
      <c r="W1137" s="2">
        <v>2005</v>
      </c>
    </row>
    <row r="1138" spans="1:23" ht="12.3" hidden="1" x14ac:dyDescent="0.4">
      <c r="A1138" s="2" t="s">
        <v>291</v>
      </c>
      <c r="B1138" s="2"/>
      <c r="C1138" s="2"/>
      <c r="D1138" s="2"/>
      <c r="E1138" s="2"/>
      <c r="F1138" s="2"/>
      <c r="G1138" s="2"/>
      <c r="H1138" s="2"/>
      <c r="I1138" s="2">
        <v>69.820400000000006</v>
      </c>
      <c r="J1138" s="2">
        <v>83</v>
      </c>
      <c r="K1138" s="2">
        <v>69.0822</v>
      </c>
      <c r="L1138" s="2">
        <v>92</v>
      </c>
      <c r="M1138" s="2">
        <v>96.632999999999996</v>
      </c>
      <c r="N1138" s="2">
        <v>242</v>
      </c>
      <c r="O1138" s="2">
        <v>96.156199999999998</v>
      </c>
      <c r="P1138" s="2">
        <v>252</v>
      </c>
      <c r="Q1138" s="2">
        <v>100.39490000000001</v>
      </c>
      <c r="R1138" s="2">
        <v>141</v>
      </c>
      <c r="S1138" s="2">
        <v>96.230199999999996</v>
      </c>
      <c r="T1138" s="2">
        <v>58</v>
      </c>
      <c r="U1138" s="2">
        <v>0.49778800000000001</v>
      </c>
      <c r="V1138" s="2">
        <v>157</v>
      </c>
      <c r="W1138" s="2">
        <v>2005</v>
      </c>
    </row>
    <row r="1139" spans="1:23" ht="12.3" hidden="1" x14ac:dyDescent="0.4">
      <c r="A1139" s="2" t="s">
        <v>182</v>
      </c>
      <c r="B1139" s="2"/>
      <c r="C1139" s="2"/>
      <c r="D1139" s="2"/>
      <c r="E1139" s="2"/>
      <c r="F1139" s="2"/>
      <c r="G1139" s="2"/>
      <c r="H1139" s="2"/>
      <c r="I1139" s="2">
        <v>67.828400000000002</v>
      </c>
      <c r="J1139" s="2">
        <v>139</v>
      </c>
      <c r="K1139" s="2">
        <v>66.877099999999999</v>
      </c>
      <c r="L1139" s="2">
        <v>179</v>
      </c>
      <c r="M1139" s="2">
        <v>107.9543</v>
      </c>
      <c r="N1139" s="2">
        <v>52</v>
      </c>
      <c r="O1139" s="2">
        <v>106.5819</v>
      </c>
      <c r="P1139" s="2">
        <v>74</v>
      </c>
      <c r="Q1139" s="2">
        <v>104.6641</v>
      </c>
      <c r="R1139" s="2">
        <v>244</v>
      </c>
      <c r="S1139" s="2">
        <v>106.7127</v>
      </c>
      <c r="T1139" s="2">
        <v>266</v>
      </c>
      <c r="U1139" s="2">
        <v>0.49647200000000002</v>
      </c>
      <c r="V1139" s="2">
        <v>158</v>
      </c>
      <c r="W1139" s="2">
        <v>2005</v>
      </c>
    </row>
    <row r="1140" spans="1:23" ht="12.3" hidden="1" x14ac:dyDescent="0.4">
      <c r="A1140" s="2" t="s">
        <v>116</v>
      </c>
      <c r="B1140" s="2"/>
      <c r="C1140" s="2"/>
      <c r="D1140" s="2"/>
      <c r="E1140" s="2"/>
      <c r="F1140" s="2"/>
      <c r="G1140" s="2"/>
      <c r="H1140" s="2"/>
      <c r="I1140" s="2">
        <v>61.071399999999997</v>
      </c>
      <c r="J1140" s="2">
        <v>319</v>
      </c>
      <c r="K1140" s="2">
        <v>61.143700000000003</v>
      </c>
      <c r="L1140" s="2">
        <v>317</v>
      </c>
      <c r="M1140" s="2">
        <v>90.999899999999997</v>
      </c>
      <c r="N1140" s="2">
        <v>308</v>
      </c>
      <c r="O1140" s="2">
        <v>93.169700000000006</v>
      </c>
      <c r="P1140" s="2">
        <v>292</v>
      </c>
      <c r="Q1140" s="2">
        <v>98.034199999999998</v>
      </c>
      <c r="R1140" s="2">
        <v>84</v>
      </c>
      <c r="S1140" s="2">
        <v>93.296400000000006</v>
      </c>
      <c r="T1140" s="2">
        <v>20</v>
      </c>
      <c r="U1140" s="2">
        <v>0.49609300000000001</v>
      </c>
      <c r="V1140" s="2">
        <v>159</v>
      </c>
      <c r="W1140" s="2">
        <v>2005</v>
      </c>
    </row>
    <row r="1141" spans="1:23" ht="12.3" hidden="1" x14ac:dyDescent="0.4">
      <c r="A1141" s="2" t="s">
        <v>172</v>
      </c>
      <c r="B1141" s="2"/>
      <c r="C1141" s="2"/>
      <c r="D1141" s="2"/>
      <c r="E1141" s="2"/>
      <c r="F1141" s="2"/>
      <c r="G1141" s="2"/>
      <c r="H1141" s="2"/>
      <c r="I1141" s="2">
        <v>70.943799999999996</v>
      </c>
      <c r="J1141" s="2">
        <v>45</v>
      </c>
      <c r="K1141" s="2">
        <v>69.504000000000005</v>
      </c>
      <c r="L1141" s="2">
        <v>77</v>
      </c>
      <c r="M1141" s="2">
        <v>104.6754</v>
      </c>
      <c r="N1141" s="2">
        <v>100</v>
      </c>
      <c r="O1141" s="2">
        <v>103.81950000000001</v>
      </c>
      <c r="P1141" s="2">
        <v>116</v>
      </c>
      <c r="Q1141" s="2">
        <v>103.4336</v>
      </c>
      <c r="R1141" s="2">
        <v>222</v>
      </c>
      <c r="S1141" s="2">
        <v>103.98050000000001</v>
      </c>
      <c r="T1141" s="2">
        <v>219</v>
      </c>
      <c r="U1141" s="2">
        <v>0.49554599999999999</v>
      </c>
      <c r="V1141" s="2">
        <v>160</v>
      </c>
      <c r="W1141" s="2">
        <v>2005</v>
      </c>
    </row>
    <row r="1142" spans="1:23" ht="12.3" hidden="1" x14ac:dyDescent="0.4">
      <c r="A1142" s="2" t="s">
        <v>139</v>
      </c>
      <c r="B1142" s="2"/>
      <c r="C1142" s="2"/>
      <c r="D1142" s="2"/>
      <c r="E1142" s="2"/>
      <c r="F1142" s="2"/>
      <c r="G1142" s="2"/>
      <c r="H1142" s="2"/>
      <c r="I1142" s="2">
        <v>68.075199999999995</v>
      </c>
      <c r="J1142" s="2">
        <v>133</v>
      </c>
      <c r="K1142" s="2">
        <v>67.174999999999997</v>
      </c>
      <c r="L1142" s="2">
        <v>166</v>
      </c>
      <c r="M1142" s="2">
        <v>104.6892</v>
      </c>
      <c r="N1142" s="2">
        <v>98</v>
      </c>
      <c r="O1142" s="2">
        <v>101.87390000000001</v>
      </c>
      <c r="P1142" s="2">
        <v>152</v>
      </c>
      <c r="Q1142" s="2">
        <v>102.4851</v>
      </c>
      <c r="R1142" s="2">
        <v>201</v>
      </c>
      <c r="S1142" s="2">
        <v>102.23699999999999</v>
      </c>
      <c r="T1142" s="2">
        <v>181</v>
      </c>
      <c r="U1142" s="2">
        <v>0.48977300000000001</v>
      </c>
      <c r="V1142" s="2">
        <v>161</v>
      </c>
      <c r="W1142" s="2">
        <v>2005</v>
      </c>
    </row>
    <row r="1143" spans="1:23" ht="12.3" x14ac:dyDescent="0.4">
      <c r="A1143" s="2" t="s">
        <v>19</v>
      </c>
      <c r="B1143" s="2">
        <v>10</v>
      </c>
      <c r="C1143" s="2"/>
      <c r="D1143" s="2"/>
      <c r="E1143" s="2"/>
      <c r="F1143" s="2"/>
      <c r="G1143" s="2"/>
      <c r="H1143" s="2"/>
      <c r="I1143" s="2">
        <v>64.839299999999994</v>
      </c>
      <c r="J1143" s="2">
        <v>258</v>
      </c>
      <c r="K1143" s="2">
        <v>64.736199999999997</v>
      </c>
      <c r="L1143" s="2">
        <v>261</v>
      </c>
      <c r="M1143" s="2">
        <v>103.8391</v>
      </c>
      <c r="N1143" s="2">
        <v>117</v>
      </c>
      <c r="O1143" s="2">
        <v>105.91549999999999</v>
      </c>
      <c r="P1143" s="2">
        <v>91</v>
      </c>
      <c r="Q1143" s="2">
        <v>96.692999999999998</v>
      </c>
      <c r="R1143" s="2">
        <v>61</v>
      </c>
      <c r="S1143" s="2">
        <v>95.204800000000006</v>
      </c>
      <c r="T1143" s="2">
        <v>44</v>
      </c>
      <c r="U1143" s="2">
        <v>0.77312400000000003</v>
      </c>
      <c r="V1143" s="2">
        <v>61</v>
      </c>
      <c r="W1143" s="2">
        <v>2011</v>
      </c>
    </row>
    <row r="1144" spans="1:23" ht="12.3" hidden="1" x14ac:dyDescent="0.4">
      <c r="A1144" s="2" t="s">
        <v>105</v>
      </c>
      <c r="B1144" s="2"/>
      <c r="C1144" s="2"/>
      <c r="D1144" s="2"/>
      <c r="E1144" s="2"/>
      <c r="F1144" s="2"/>
      <c r="G1144" s="2"/>
      <c r="H1144" s="2"/>
      <c r="I1144" s="2">
        <v>70.266000000000005</v>
      </c>
      <c r="J1144" s="2">
        <v>68</v>
      </c>
      <c r="K1144" s="2">
        <v>68.746300000000005</v>
      </c>
      <c r="L1144" s="2">
        <v>104</v>
      </c>
      <c r="M1144" s="2">
        <v>101.7741</v>
      </c>
      <c r="N1144" s="2">
        <v>152</v>
      </c>
      <c r="O1144" s="2">
        <v>99.158199999999994</v>
      </c>
      <c r="P1144" s="2">
        <v>207</v>
      </c>
      <c r="Q1144" s="2">
        <v>95.518900000000002</v>
      </c>
      <c r="R1144" s="2">
        <v>42</v>
      </c>
      <c r="S1144" s="2">
        <v>99.609200000000001</v>
      </c>
      <c r="T1144" s="2">
        <v>120</v>
      </c>
      <c r="U1144" s="2">
        <v>0.48695500000000003</v>
      </c>
      <c r="V1144" s="2">
        <v>163</v>
      </c>
      <c r="W1144" s="2">
        <v>2005</v>
      </c>
    </row>
    <row r="1145" spans="1:23" ht="12.3" hidden="1" x14ac:dyDescent="0.4">
      <c r="A1145" s="2" t="s">
        <v>259</v>
      </c>
      <c r="B1145" s="2"/>
      <c r="C1145" s="2"/>
      <c r="D1145" s="2"/>
      <c r="E1145" s="2"/>
      <c r="F1145" s="2"/>
      <c r="G1145" s="2"/>
      <c r="H1145" s="2"/>
      <c r="I1145" s="2">
        <v>70.424599999999998</v>
      </c>
      <c r="J1145" s="2">
        <v>63</v>
      </c>
      <c r="K1145" s="2">
        <v>68.684600000000003</v>
      </c>
      <c r="L1145" s="2">
        <v>109</v>
      </c>
      <c r="M1145" s="2">
        <v>102.637</v>
      </c>
      <c r="N1145" s="2">
        <v>132</v>
      </c>
      <c r="O1145" s="2">
        <v>102.5014</v>
      </c>
      <c r="P1145" s="2">
        <v>142</v>
      </c>
      <c r="Q1145" s="2">
        <v>102.0745</v>
      </c>
      <c r="R1145" s="2">
        <v>187</v>
      </c>
      <c r="S1145" s="2">
        <v>103.056</v>
      </c>
      <c r="T1145" s="2">
        <v>196</v>
      </c>
      <c r="U1145" s="2">
        <v>0.484491</v>
      </c>
      <c r="V1145" s="2">
        <v>164</v>
      </c>
      <c r="W1145" s="2">
        <v>2005</v>
      </c>
    </row>
    <row r="1146" spans="1:23" ht="12.3" hidden="1" x14ac:dyDescent="0.4">
      <c r="A1146" s="2" t="s">
        <v>191</v>
      </c>
      <c r="B1146" s="2"/>
      <c r="C1146" s="2"/>
      <c r="D1146" s="2"/>
      <c r="E1146" s="2"/>
      <c r="F1146" s="2"/>
      <c r="G1146" s="2"/>
      <c r="H1146" s="2"/>
      <c r="I1146" s="2">
        <v>66.762</v>
      </c>
      <c r="J1146" s="2">
        <v>184</v>
      </c>
      <c r="K1146" s="2">
        <v>67.809200000000004</v>
      </c>
      <c r="L1146" s="2">
        <v>136</v>
      </c>
      <c r="M1146" s="2">
        <v>108.8156</v>
      </c>
      <c r="N1146" s="2">
        <v>46</v>
      </c>
      <c r="O1146" s="2">
        <v>105.8312</v>
      </c>
      <c r="P1146" s="2">
        <v>88</v>
      </c>
      <c r="Q1146" s="2">
        <v>108.3233</v>
      </c>
      <c r="R1146" s="2">
        <v>295</v>
      </c>
      <c r="S1146" s="2">
        <v>106.62560000000001</v>
      </c>
      <c r="T1146" s="2">
        <v>262</v>
      </c>
      <c r="U1146" s="2">
        <v>0.47851199999999999</v>
      </c>
      <c r="V1146" s="2">
        <v>165</v>
      </c>
      <c r="W1146" s="2">
        <v>2005</v>
      </c>
    </row>
    <row r="1147" spans="1:23" ht="12.3" hidden="1" x14ac:dyDescent="0.4">
      <c r="A1147" s="2" t="s">
        <v>292</v>
      </c>
      <c r="B1147" s="2"/>
      <c r="C1147" s="2"/>
      <c r="D1147" s="2"/>
      <c r="E1147" s="2"/>
      <c r="F1147" s="2"/>
      <c r="G1147" s="2"/>
      <c r="H1147" s="2"/>
      <c r="I1147" s="2">
        <v>67.447800000000001</v>
      </c>
      <c r="J1147" s="2">
        <v>156</v>
      </c>
      <c r="K1147" s="2">
        <v>67.804500000000004</v>
      </c>
      <c r="L1147" s="2">
        <v>137</v>
      </c>
      <c r="M1147" s="2">
        <v>104.7936</v>
      </c>
      <c r="N1147" s="2">
        <v>96</v>
      </c>
      <c r="O1147" s="2">
        <v>105.21729999999999</v>
      </c>
      <c r="P1147" s="2">
        <v>97</v>
      </c>
      <c r="Q1147" s="2">
        <v>108.0277</v>
      </c>
      <c r="R1147" s="2">
        <v>293</v>
      </c>
      <c r="S1147" s="2">
        <v>106.10680000000001</v>
      </c>
      <c r="T1147" s="2">
        <v>254</v>
      </c>
      <c r="U1147" s="2">
        <v>0.47581499999999999</v>
      </c>
      <c r="V1147" s="2">
        <v>166</v>
      </c>
      <c r="W1147" s="2">
        <v>2005</v>
      </c>
    </row>
    <row r="1148" spans="1:23" ht="12.3" hidden="1" x14ac:dyDescent="0.4">
      <c r="A1148" s="2" t="s">
        <v>303</v>
      </c>
      <c r="B1148" s="2"/>
      <c r="C1148" s="2"/>
      <c r="D1148" s="2"/>
      <c r="E1148" s="2"/>
      <c r="F1148" s="2"/>
      <c r="G1148" s="2"/>
      <c r="H1148" s="2"/>
      <c r="I1148" s="2">
        <v>65.230400000000003</v>
      </c>
      <c r="J1148" s="2">
        <v>249</v>
      </c>
      <c r="K1148" s="2">
        <v>65.347899999999996</v>
      </c>
      <c r="L1148" s="2">
        <v>242</v>
      </c>
      <c r="M1148" s="2">
        <v>103.6831</v>
      </c>
      <c r="N1148" s="2">
        <v>115</v>
      </c>
      <c r="O1148" s="2">
        <v>102.1938</v>
      </c>
      <c r="P1148" s="2">
        <v>146</v>
      </c>
      <c r="Q1148" s="2">
        <v>102.2795</v>
      </c>
      <c r="R1148" s="2">
        <v>194</v>
      </c>
      <c r="S1148" s="2">
        <v>103.0668</v>
      </c>
      <c r="T1148" s="2">
        <v>198</v>
      </c>
      <c r="U1148" s="2">
        <v>0.47556300000000001</v>
      </c>
      <c r="V1148" s="2">
        <v>167</v>
      </c>
      <c r="W1148" s="2">
        <v>2005</v>
      </c>
    </row>
    <row r="1149" spans="1:23" ht="12.3" hidden="1" x14ac:dyDescent="0.4">
      <c r="A1149" s="2" t="s">
        <v>153</v>
      </c>
      <c r="B1149" s="2"/>
      <c r="C1149" s="2"/>
      <c r="D1149" s="2"/>
      <c r="E1149" s="2"/>
      <c r="F1149" s="2"/>
      <c r="G1149" s="2"/>
      <c r="H1149" s="2"/>
      <c r="I1149" s="2">
        <v>77.025599999999997</v>
      </c>
      <c r="J1149" s="2">
        <v>1</v>
      </c>
      <c r="K1149" s="2">
        <v>76.004499999999993</v>
      </c>
      <c r="L1149" s="2">
        <v>1</v>
      </c>
      <c r="M1149" s="2">
        <v>101.214</v>
      </c>
      <c r="N1149" s="2">
        <v>175</v>
      </c>
      <c r="O1149" s="2">
        <v>99.253900000000002</v>
      </c>
      <c r="P1149" s="2">
        <v>206</v>
      </c>
      <c r="Q1149" s="2">
        <v>97.653199999999998</v>
      </c>
      <c r="R1149" s="2">
        <v>70</v>
      </c>
      <c r="S1149" s="2">
        <v>100.1378</v>
      </c>
      <c r="T1149" s="2">
        <v>132</v>
      </c>
      <c r="U1149" s="2">
        <v>0.47453099999999998</v>
      </c>
      <c r="V1149" s="2">
        <v>168</v>
      </c>
      <c r="W1149" s="2">
        <v>2005</v>
      </c>
    </row>
    <row r="1150" spans="1:23" ht="12.3" hidden="1" x14ac:dyDescent="0.4">
      <c r="A1150" s="2" t="s">
        <v>150</v>
      </c>
      <c r="B1150" s="2"/>
      <c r="C1150" s="2"/>
      <c r="D1150" s="2"/>
      <c r="E1150" s="2"/>
      <c r="F1150" s="2"/>
      <c r="G1150" s="2"/>
      <c r="H1150" s="2"/>
      <c r="I1150" s="2">
        <v>67.403999999999996</v>
      </c>
      <c r="J1150" s="2">
        <v>157</v>
      </c>
      <c r="K1150" s="2">
        <v>68.721900000000005</v>
      </c>
      <c r="L1150" s="2">
        <v>106</v>
      </c>
      <c r="M1150" s="2">
        <v>98.561000000000007</v>
      </c>
      <c r="N1150" s="2">
        <v>223</v>
      </c>
      <c r="O1150" s="2">
        <v>99.022599999999997</v>
      </c>
      <c r="P1150" s="2">
        <v>209</v>
      </c>
      <c r="Q1150" s="2">
        <v>102.598</v>
      </c>
      <c r="R1150" s="2">
        <v>204</v>
      </c>
      <c r="S1150" s="2">
        <v>99.918800000000005</v>
      </c>
      <c r="T1150" s="2">
        <v>126</v>
      </c>
      <c r="U1150" s="2">
        <v>0.47411799999999998</v>
      </c>
      <c r="V1150" s="2">
        <v>169</v>
      </c>
      <c r="W1150" s="2">
        <v>2005</v>
      </c>
    </row>
    <row r="1151" spans="1:23" ht="12.3" hidden="1" x14ac:dyDescent="0.4">
      <c r="A1151" s="2" t="s">
        <v>100</v>
      </c>
      <c r="B1151" s="2"/>
      <c r="C1151" s="2"/>
      <c r="D1151" s="2"/>
      <c r="E1151" s="2"/>
      <c r="F1151" s="2"/>
      <c r="G1151" s="2"/>
      <c r="H1151" s="2"/>
      <c r="I1151" s="2">
        <v>66.142700000000005</v>
      </c>
      <c r="J1151" s="2">
        <v>204</v>
      </c>
      <c r="K1151" s="2">
        <v>67.004800000000003</v>
      </c>
      <c r="L1151" s="2">
        <v>174</v>
      </c>
      <c r="M1151" s="2">
        <v>100.9597</v>
      </c>
      <c r="N1151" s="2">
        <v>182</v>
      </c>
      <c r="O1151" s="2">
        <v>101.69029999999999</v>
      </c>
      <c r="P1151" s="2">
        <v>154</v>
      </c>
      <c r="Q1151" s="2">
        <v>104.84139999999999</v>
      </c>
      <c r="R1151" s="2">
        <v>248</v>
      </c>
      <c r="S1151" s="2">
        <v>102.6272</v>
      </c>
      <c r="T1151" s="2">
        <v>188</v>
      </c>
      <c r="U1151" s="2">
        <v>0.47365699999999999</v>
      </c>
      <c r="V1151" s="2">
        <v>170</v>
      </c>
      <c r="W1151" s="2">
        <v>2005</v>
      </c>
    </row>
    <row r="1152" spans="1:23" ht="12.3" hidden="1" x14ac:dyDescent="0.4">
      <c r="A1152" s="2" t="s">
        <v>276</v>
      </c>
      <c r="B1152" s="2"/>
      <c r="C1152" s="2"/>
      <c r="D1152" s="2"/>
      <c r="E1152" s="2"/>
      <c r="F1152" s="2"/>
      <c r="G1152" s="2"/>
      <c r="H1152" s="2"/>
      <c r="I1152" s="2">
        <v>67.705699999999993</v>
      </c>
      <c r="J1152" s="2">
        <v>147</v>
      </c>
      <c r="K1152" s="2">
        <v>67.588099999999997</v>
      </c>
      <c r="L1152" s="2">
        <v>148</v>
      </c>
      <c r="M1152" s="2">
        <v>105.9534</v>
      </c>
      <c r="N1152" s="2">
        <v>66</v>
      </c>
      <c r="O1152" s="2">
        <v>102.55880000000001</v>
      </c>
      <c r="P1152" s="2">
        <v>140</v>
      </c>
      <c r="Q1152" s="2">
        <v>97.676500000000004</v>
      </c>
      <c r="R1152" s="2">
        <v>73</v>
      </c>
      <c r="S1152" s="2">
        <v>103.5111</v>
      </c>
      <c r="T1152" s="2">
        <v>211</v>
      </c>
      <c r="U1152" s="2">
        <v>0.47345399999999999</v>
      </c>
      <c r="V1152" s="2">
        <v>171</v>
      </c>
      <c r="W1152" s="2">
        <v>2005</v>
      </c>
    </row>
    <row r="1153" spans="1:23" ht="12.3" hidden="1" x14ac:dyDescent="0.4">
      <c r="A1153" s="2" t="s">
        <v>112</v>
      </c>
      <c r="B1153" s="2"/>
      <c r="C1153" s="2"/>
      <c r="D1153" s="2"/>
      <c r="E1153" s="2"/>
      <c r="F1153" s="2"/>
      <c r="G1153" s="2"/>
      <c r="H1153" s="2"/>
      <c r="I1153" s="2">
        <v>70.984999999999999</v>
      </c>
      <c r="J1153" s="2">
        <v>43</v>
      </c>
      <c r="K1153" s="2">
        <v>69.742400000000004</v>
      </c>
      <c r="L1153" s="2">
        <v>71</v>
      </c>
      <c r="M1153" s="2">
        <v>100.6507</v>
      </c>
      <c r="N1153" s="2">
        <v>188</v>
      </c>
      <c r="O1153" s="2">
        <v>99.856700000000004</v>
      </c>
      <c r="P1153" s="2">
        <v>191</v>
      </c>
      <c r="Q1153" s="2">
        <v>99.822900000000004</v>
      </c>
      <c r="R1153" s="2">
        <v>124</v>
      </c>
      <c r="S1153" s="2">
        <v>100.9186</v>
      </c>
      <c r="T1153" s="2">
        <v>148</v>
      </c>
      <c r="U1153" s="2">
        <v>0.46962500000000001</v>
      </c>
      <c r="V1153" s="2">
        <v>172</v>
      </c>
      <c r="W1153" s="2">
        <v>2005</v>
      </c>
    </row>
    <row r="1154" spans="1:23" ht="12.3" hidden="1" x14ac:dyDescent="0.4">
      <c r="A1154" s="2" t="s">
        <v>221</v>
      </c>
      <c r="B1154" s="2"/>
      <c r="C1154" s="2"/>
      <c r="D1154" s="2"/>
      <c r="E1154" s="2"/>
      <c r="F1154" s="2"/>
      <c r="G1154" s="2"/>
      <c r="H1154" s="2"/>
      <c r="I1154" s="2">
        <v>65.737700000000004</v>
      </c>
      <c r="J1154" s="2">
        <v>222</v>
      </c>
      <c r="K1154" s="2">
        <v>64.5124</v>
      </c>
      <c r="L1154" s="2">
        <v>270</v>
      </c>
      <c r="M1154" s="2">
        <v>101.6165</v>
      </c>
      <c r="N1154" s="2">
        <v>160</v>
      </c>
      <c r="O1154" s="2">
        <v>100.7715</v>
      </c>
      <c r="P1154" s="2">
        <v>177</v>
      </c>
      <c r="Q1154" s="2">
        <v>100.0488</v>
      </c>
      <c r="R1154" s="2">
        <v>132</v>
      </c>
      <c r="S1154" s="2">
        <v>101.86369999999999</v>
      </c>
      <c r="T1154" s="2">
        <v>174</v>
      </c>
      <c r="U1154" s="2">
        <v>0.46904699999999999</v>
      </c>
      <c r="V1154" s="2">
        <v>173</v>
      </c>
      <c r="W1154" s="2">
        <v>2005</v>
      </c>
    </row>
    <row r="1155" spans="1:23" ht="12.3" hidden="1" x14ac:dyDescent="0.4">
      <c r="A1155" s="2" t="s">
        <v>267</v>
      </c>
      <c r="B1155" s="2"/>
      <c r="C1155" s="2"/>
      <c r="D1155" s="2"/>
      <c r="E1155" s="2"/>
      <c r="F1155" s="2"/>
      <c r="G1155" s="2"/>
      <c r="H1155" s="2"/>
      <c r="I1155" s="2">
        <v>64.527500000000003</v>
      </c>
      <c r="J1155" s="2">
        <v>268</v>
      </c>
      <c r="K1155" s="2">
        <v>64.544799999999995</v>
      </c>
      <c r="L1155" s="2">
        <v>268</v>
      </c>
      <c r="M1155" s="2">
        <v>93.52</v>
      </c>
      <c r="N1155" s="2">
        <v>282</v>
      </c>
      <c r="O1155" s="2">
        <v>95.434200000000004</v>
      </c>
      <c r="P1155" s="2">
        <v>263</v>
      </c>
      <c r="Q1155" s="2">
        <v>99.395799999999994</v>
      </c>
      <c r="R1155" s="2">
        <v>114</v>
      </c>
      <c r="S1155" s="2">
        <v>96.5274</v>
      </c>
      <c r="T1155" s="2">
        <v>63</v>
      </c>
      <c r="U1155" s="2">
        <v>0.46729999999999999</v>
      </c>
      <c r="V1155" s="2">
        <v>174</v>
      </c>
      <c r="W1155" s="2">
        <v>2005</v>
      </c>
    </row>
    <row r="1156" spans="1:23" ht="12.3" hidden="1" x14ac:dyDescent="0.4">
      <c r="A1156" s="2" t="s">
        <v>266</v>
      </c>
      <c r="B1156" s="2"/>
      <c r="C1156" s="2"/>
      <c r="D1156" s="2"/>
      <c r="E1156" s="2"/>
      <c r="F1156" s="2"/>
      <c r="G1156" s="2"/>
      <c r="H1156" s="2"/>
      <c r="I1156" s="2">
        <v>75.697400000000002</v>
      </c>
      <c r="J1156" s="2">
        <v>4</v>
      </c>
      <c r="K1156" s="2">
        <v>75.084400000000002</v>
      </c>
      <c r="L1156" s="2">
        <v>2</v>
      </c>
      <c r="M1156" s="2">
        <v>102.3105</v>
      </c>
      <c r="N1156" s="2">
        <v>139</v>
      </c>
      <c r="O1156" s="2">
        <v>101.0415</v>
      </c>
      <c r="P1156" s="2">
        <v>172</v>
      </c>
      <c r="Q1156" s="2">
        <v>99.528599999999997</v>
      </c>
      <c r="R1156" s="2">
        <v>118</v>
      </c>
      <c r="S1156" s="2">
        <v>102.2167</v>
      </c>
      <c r="T1156" s="2">
        <v>180</v>
      </c>
      <c r="U1156" s="2">
        <v>0.46680199999999999</v>
      </c>
      <c r="V1156" s="2">
        <v>175</v>
      </c>
      <c r="W1156" s="2">
        <v>2005</v>
      </c>
    </row>
    <row r="1157" spans="1:23" ht="12.3" x14ac:dyDescent="0.4">
      <c r="A1157" s="2" t="s">
        <v>176</v>
      </c>
      <c r="B1157" s="2">
        <v>13</v>
      </c>
      <c r="C1157" s="2"/>
      <c r="D1157" s="2"/>
      <c r="E1157" s="2"/>
      <c r="F1157" s="2"/>
      <c r="G1157" s="2"/>
      <c r="H1157" s="2"/>
      <c r="I1157" s="2">
        <v>64.034000000000006</v>
      </c>
      <c r="J1157" s="2">
        <v>288</v>
      </c>
      <c r="K1157" s="2">
        <v>64.259500000000003</v>
      </c>
      <c r="L1157" s="2">
        <v>283</v>
      </c>
      <c r="M1157" s="2">
        <v>106.59869999999999</v>
      </c>
      <c r="N1157" s="2">
        <v>66</v>
      </c>
      <c r="O1157" s="2">
        <v>105.0343</v>
      </c>
      <c r="P1157" s="2">
        <v>102</v>
      </c>
      <c r="Q1157" s="2">
        <v>97.742900000000006</v>
      </c>
      <c r="R1157" s="2">
        <v>79</v>
      </c>
      <c r="S1157" s="2">
        <v>96.383300000000006</v>
      </c>
      <c r="T1157" s="2">
        <v>58</v>
      </c>
      <c r="U1157" s="2">
        <v>0.72878699999999996</v>
      </c>
      <c r="V1157" s="2">
        <v>74</v>
      </c>
      <c r="W1157" s="2">
        <v>2011</v>
      </c>
    </row>
    <row r="1158" spans="1:23" ht="12.3" hidden="1" x14ac:dyDescent="0.4">
      <c r="A1158" s="2" t="s">
        <v>315</v>
      </c>
      <c r="B1158" s="2"/>
      <c r="C1158" s="2"/>
      <c r="D1158" s="2"/>
      <c r="E1158" s="2"/>
      <c r="F1158" s="2"/>
      <c r="G1158" s="2"/>
      <c r="H1158" s="2"/>
      <c r="I1158" s="2">
        <v>64.168099999999995</v>
      </c>
      <c r="J1158" s="2">
        <v>278</v>
      </c>
      <c r="K1158" s="2">
        <v>64.341800000000006</v>
      </c>
      <c r="L1158" s="2">
        <v>280</v>
      </c>
      <c r="M1158" s="2">
        <v>96.473399999999998</v>
      </c>
      <c r="N1158" s="2">
        <v>245</v>
      </c>
      <c r="O1158" s="2">
        <v>97.998400000000004</v>
      </c>
      <c r="P1158" s="2">
        <v>224</v>
      </c>
      <c r="Q1158" s="2">
        <v>98.74</v>
      </c>
      <c r="R1158" s="2">
        <v>101</v>
      </c>
      <c r="S1158" s="2">
        <v>99.255899999999997</v>
      </c>
      <c r="T1158" s="2">
        <v>111</v>
      </c>
      <c r="U1158" s="2">
        <v>0.46340999999999999</v>
      </c>
      <c r="V1158" s="2">
        <v>177</v>
      </c>
      <c r="W1158" s="2">
        <v>2005</v>
      </c>
    </row>
    <row r="1159" spans="1:23" ht="12.3" hidden="1" x14ac:dyDescent="0.4">
      <c r="A1159" s="2" t="s">
        <v>335</v>
      </c>
      <c r="B1159" s="2"/>
      <c r="C1159" s="2"/>
      <c r="D1159" s="2"/>
      <c r="E1159" s="2"/>
      <c r="F1159" s="2"/>
      <c r="G1159" s="2"/>
      <c r="H1159" s="2"/>
      <c r="I1159" s="2">
        <v>74.201099999999997</v>
      </c>
      <c r="J1159" s="2">
        <v>9</v>
      </c>
      <c r="K1159" s="2">
        <v>73.857600000000005</v>
      </c>
      <c r="L1159" s="2">
        <v>9</v>
      </c>
      <c r="M1159" s="2">
        <v>105.4158</v>
      </c>
      <c r="N1159" s="2">
        <v>80</v>
      </c>
      <c r="O1159" s="2">
        <v>102.8777</v>
      </c>
      <c r="P1159" s="2">
        <v>132</v>
      </c>
      <c r="Q1159" s="2">
        <v>103.62090000000001</v>
      </c>
      <c r="R1159" s="2">
        <v>224</v>
      </c>
      <c r="S1159" s="2">
        <v>104.3651</v>
      </c>
      <c r="T1159" s="2">
        <v>226</v>
      </c>
      <c r="U1159" s="2">
        <v>0.45882499999999998</v>
      </c>
      <c r="V1159" s="2">
        <v>178</v>
      </c>
      <c r="W1159" s="2">
        <v>2005</v>
      </c>
    </row>
    <row r="1160" spans="1:23" ht="12.3" hidden="1" x14ac:dyDescent="0.4">
      <c r="A1160" s="2" t="s">
        <v>183</v>
      </c>
      <c r="B1160" s="2"/>
      <c r="C1160" s="2"/>
      <c r="D1160" s="2"/>
      <c r="E1160" s="2"/>
      <c r="F1160" s="2"/>
      <c r="G1160" s="2"/>
      <c r="H1160" s="2"/>
      <c r="I1160" s="2">
        <v>65.623800000000003</v>
      </c>
      <c r="J1160" s="2">
        <v>230</v>
      </c>
      <c r="K1160" s="2">
        <v>65.161000000000001</v>
      </c>
      <c r="L1160" s="2">
        <v>250</v>
      </c>
      <c r="M1160" s="2">
        <v>101.3035</v>
      </c>
      <c r="N1160" s="2">
        <v>170</v>
      </c>
      <c r="O1160" s="2">
        <v>101.84050000000001</v>
      </c>
      <c r="P1160" s="2">
        <v>153</v>
      </c>
      <c r="Q1160" s="2">
        <v>105.66719999999999</v>
      </c>
      <c r="R1160" s="2">
        <v>264</v>
      </c>
      <c r="S1160" s="2">
        <v>103.3609</v>
      </c>
      <c r="T1160" s="2">
        <v>204</v>
      </c>
      <c r="U1160" s="2">
        <v>0.45749899999999999</v>
      </c>
      <c r="V1160" s="2">
        <v>179</v>
      </c>
      <c r="W1160" s="2">
        <v>2005</v>
      </c>
    </row>
    <row r="1161" spans="1:23" ht="12.3" hidden="1" x14ac:dyDescent="0.4">
      <c r="A1161" s="2" t="s">
        <v>253</v>
      </c>
      <c r="B1161" s="2"/>
      <c r="C1161" s="2"/>
      <c r="D1161" s="2"/>
      <c r="E1161" s="2"/>
      <c r="F1161" s="2"/>
      <c r="G1161" s="2"/>
      <c r="H1161" s="2"/>
      <c r="I1161" s="2">
        <v>70.228700000000003</v>
      </c>
      <c r="J1161" s="2">
        <v>71</v>
      </c>
      <c r="K1161" s="2">
        <v>67.761300000000006</v>
      </c>
      <c r="L1161" s="2">
        <v>138</v>
      </c>
      <c r="M1161" s="2">
        <v>101.6242</v>
      </c>
      <c r="N1161" s="2">
        <v>157</v>
      </c>
      <c r="O1161" s="2">
        <v>100.63809999999999</v>
      </c>
      <c r="P1161" s="2">
        <v>179</v>
      </c>
      <c r="Q1161" s="2">
        <v>99.049000000000007</v>
      </c>
      <c r="R1161" s="2">
        <v>109</v>
      </c>
      <c r="S1161" s="2">
        <v>102.4547</v>
      </c>
      <c r="T1161" s="2">
        <v>184</v>
      </c>
      <c r="U1161" s="2">
        <v>0.44874799999999998</v>
      </c>
      <c r="V1161" s="2">
        <v>180</v>
      </c>
      <c r="W1161" s="2">
        <v>2005</v>
      </c>
    </row>
    <row r="1162" spans="1:23" ht="12.3" hidden="1" x14ac:dyDescent="0.4">
      <c r="A1162" s="2" t="s">
        <v>110</v>
      </c>
      <c r="B1162" s="2"/>
      <c r="C1162" s="2"/>
      <c r="D1162" s="2"/>
      <c r="E1162" s="2"/>
      <c r="F1162" s="2"/>
      <c r="G1162" s="2"/>
      <c r="H1162" s="2"/>
      <c r="I1162" s="2">
        <v>65.572800000000001</v>
      </c>
      <c r="J1162" s="2">
        <v>233</v>
      </c>
      <c r="K1162" s="2">
        <v>65.4559</v>
      </c>
      <c r="L1162" s="2">
        <v>239</v>
      </c>
      <c r="M1162" s="2">
        <v>101.97669999999999</v>
      </c>
      <c r="N1162" s="2">
        <v>148</v>
      </c>
      <c r="O1162" s="2">
        <v>102.0643</v>
      </c>
      <c r="P1162" s="2">
        <v>148</v>
      </c>
      <c r="Q1162" s="2">
        <v>103.0179</v>
      </c>
      <c r="R1162" s="2">
        <v>215</v>
      </c>
      <c r="S1162" s="2">
        <v>104.1099</v>
      </c>
      <c r="T1162" s="2">
        <v>220</v>
      </c>
      <c r="U1162" s="2">
        <v>0.443193</v>
      </c>
      <c r="V1162" s="2">
        <v>181</v>
      </c>
      <c r="W1162" s="2">
        <v>2005</v>
      </c>
    </row>
    <row r="1163" spans="1:23" ht="12.3" hidden="1" x14ac:dyDescent="0.4">
      <c r="A1163" s="2" t="s">
        <v>155</v>
      </c>
      <c r="B1163" s="2"/>
      <c r="C1163" s="2"/>
      <c r="D1163" s="2"/>
      <c r="E1163" s="2"/>
      <c r="F1163" s="2"/>
      <c r="G1163" s="2"/>
      <c r="H1163" s="2"/>
      <c r="I1163" s="2">
        <v>63.502600000000001</v>
      </c>
      <c r="J1163" s="2">
        <v>291</v>
      </c>
      <c r="K1163" s="2">
        <v>64.495199999999997</v>
      </c>
      <c r="L1163" s="2">
        <v>272</v>
      </c>
      <c r="M1163" s="2">
        <v>97.293099999999995</v>
      </c>
      <c r="N1163" s="2">
        <v>237</v>
      </c>
      <c r="O1163" s="2">
        <v>97.475800000000007</v>
      </c>
      <c r="P1163" s="2">
        <v>233</v>
      </c>
      <c r="Q1163" s="2">
        <v>100.06829999999999</v>
      </c>
      <c r="R1163" s="2">
        <v>133</v>
      </c>
      <c r="S1163" s="2">
        <v>99.438999999999993</v>
      </c>
      <c r="T1163" s="2">
        <v>115</v>
      </c>
      <c r="U1163" s="2">
        <v>0.44292199999999998</v>
      </c>
      <c r="V1163" s="2">
        <v>182</v>
      </c>
      <c r="W1163" s="2">
        <v>2005</v>
      </c>
    </row>
    <row r="1164" spans="1:23" ht="12.3" x14ac:dyDescent="0.4">
      <c r="A1164" s="2" t="s">
        <v>137</v>
      </c>
      <c r="B1164" s="2">
        <v>11</v>
      </c>
      <c r="C1164" s="4" t="s">
        <v>33</v>
      </c>
      <c r="D1164" s="4" t="s">
        <v>33</v>
      </c>
      <c r="E1164" s="4" t="s">
        <v>33</v>
      </c>
      <c r="F1164" s="4" t="s">
        <v>33</v>
      </c>
      <c r="G1164" s="2"/>
      <c r="H1164" s="2"/>
      <c r="I1164" s="2">
        <v>65.618899999999996</v>
      </c>
      <c r="J1164" s="2">
        <v>228</v>
      </c>
      <c r="K1164" s="2">
        <v>66.498699999999999</v>
      </c>
      <c r="L1164" s="2">
        <v>177</v>
      </c>
      <c r="M1164" s="2">
        <v>107.977</v>
      </c>
      <c r="N1164" s="2">
        <v>51</v>
      </c>
      <c r="O1164" s="2">
        <v>109.1301</v>
      </c>
      <c r="P1164" s="2">
        <v>53</v>
      </c>
      <c r="Q1164" s="2">
        <v>101.8681</v>
      </c>
      <c r="R1164" s="2">
        <v>184</v>
      </c>
      <c r="S1164" s="2">
        <v>101.0565</v>
      </c>
      <c r="T1164" s="2">
        <v>145</v>
      </c>
      <c r="U1164" s="2">
        <v>0.70762899999999995</v>
      </c>
      <c r="V1164" s="2">
        <v>78</v>
      </c>
      <c r="W1164" s="2">
        <v>2011</v>
      </c>
    </row>
    <row r="1165" spans="1:23" ht="12.3" hidden="1" x14ac:dyDescent="0.4">
      <c r="A1165" s="2" t="s">
        <v>241</v>
      </c>
      <c r="B1165" s="2"/>
      <c r="C1165" s="2"/>
      <c r="D1165" s="2"/>
      <c r="E1165" s="2"/>
      <c r="F1165" s="2"/>
      <c r="G1165" s="2"/>
      <c r="H1165" s="2"/>
      <c r="I1165" s="2">
        <v>69.844099999999997</v>
      </c>
      <c r="J1165" s="2">
        <v>81</v>
      </c>
      <c r="K1165" s="2">
        <v>68.743700000000004</v>
      </c>
      <c r="L1165" s="2">
        <v>105</v>
      </c>
      <c r="M1165" s="2">
        <v>101.3245</v>
      </c>
      <c r="N1165" s="2">
        <v>169</v>
      </c>
      <c r="O1165" s="2">
        <v>99.633399999999995</v>
      </c>
      <c r="P1165" s="2">
        <v>198</v>
      </c>
      <c r="Q1165" s="2">
        <v>101.145</v>
      </c>
      <c r="R1165" s="2">
        <v>157</v>
      </c>
      <c r="S1165" s="2">
        <v>101.7315</v>
      </c>
      <c r="T1165" s="2">
        <v>170</v>
      </c>
      <c r="U1165" s="2">
        <v>0.44037199999999999</v>
      </c>
      <c r="V1165" s="2">
        <v>184</v>
      </c>
      <c r="W1165" s="2">
        <v>2005</v>
      </c>
    </row>
    <row r="1166" spans="1:23" ht="12.3" hidden="1" x14ac:dyDescent="0.4">
      <c r="A1166" s="2" t="s">
        <v>227</v>
      </c>
      <c r="B1166" s="2"/>
      <c r="C1166" s="2"/>
      <c r="D1166" s="2"/>
      <c r="E1166" s="2"/>
      <c r="F1166" s="2"/>
      <c r="G1166" s="2"/>
      <c r="H1166" s="2"/>
      <c r="I1166" s="2">
        <v>64.643100000000004</v>
      </c>
      <c r="J1166" s="2">
        <v>266</v>
      </c>
      <c r="K1166" s="2">
        <v>65.600200000000001</v>
      </c>
      <c r="L1166" s="2">
        <v>233</v>
      </c>
      <c r="M1166" s="2">
        <v>99.283299999999997</v>
      </c>
      <c r="N1166" s="2">
        <v>212</v>
      </c>
      <c r="O1166" s="2">
        <v>98.6738</v>
      </c>
      <c r="P1166" s="2">
        <v>211</v>
      </c>
      <c r="Q1166" s="2">
        <v>102.0141</v>
      </c>
      <c r="R1166" s="2">
        <v>185</v>
      </c>
      <c r="S1166" s="2">
        <v>100.7567</v>
      </c>
      <c r="T1166" s="2">
        <v>144</v>
      </c>
      <c r="U1166" s="2">
        <v>0.44023000000000001</v>
      </c>
      <c r="V1166" s="2">
        <v>185</v>
      </c>
      <c r="W1166" s="2">
        <v>2005</v>
      </c>
    </row>
    <row r="1167" spans="1:23" ht="12.3" hidden="1" x14ac:dyDescent="0.4">
      <c r="A1167" s="2" t="s">
        <v>69</v>
      </c>
      <c r="B1167" s="2"/>
      <c r="C1167" s="2"/>
      <c r="D1167" s="2"/>
      <c r="E1167" s="2"/>
      <c r="F1167" s="2"/>
      <c r="G1167" s="2"/>
      <c r="H1167" s="2"/>
      <c r="I1167" s="2">
        <v>71.337500000000006</v>
      </c>
      <c r="J1167" s="2">
        <v>38</v>
      </c>
      <c r="K1167" s="2">
        <v>70.879199999999997</v>
      </c>
      <c r="L1167" s="2">
        <v>42</v>
      </c>
      <c r="M1167" s="2">
        <v>98.4238</v>
      </c>
      <c r="N1167" s="2">
        <v>226</v>
      </c>
      <c r="O1167" s="2">
        <v>97.410799999999995</v>
      </c>
      <c r="P1167" s="2">
        <v>235</v>
      </c>
      <c r="Q1167" s="2">
        <v>99.479900000000001</v>
      </c>
      <c r="R1167" s="2">
        <v>116</v>
      </c>
      <c r="S1167" s="2">
        <v>99.6006</v>
      </c>
      <c r="T1167" s="2">
        <v>119</v>
      </c>
      <c r="U1167" s="2">
        <v>0.43643300000000002</v>
      </c>
      <c r="V1167" s="2">
        <v>186</v>
      </c>
      <c r="W1167" s="2">
        <v>2005</v>
      </c>
    </row>
    <row r="1168" spans="1:23" ht="12.3" hidden="1" x14ac:dyDescent="0.4">
      <c r="A1168" s="2" t="s">
        <v>236</v>
      </c>
      <c r="B1168" s="2"/>
      <c r="C1168" s="2"/>
      <c r="D1168" s="2"/>
      <c r="E1168" s="2"/>
      <c r="F1168" s="2"/>
      <c r="G1168" s="2"/>
      <c r="H1168" s="2"/>
      <c r="I1168" s="2">
        <v>65.077600000000004</v>
      </c>
      <c r="J1168" s="2">
        <v>254</v>
      </c>
      <c r="K1168" s="2">
        <v>67.080200000000005</v>
      </c>
      <c r="L1168" s="2">
        <v>170</v>
      </c>
      <c r="M1168" s="2">
        <v>102.6071</v>
      </c>
      <c r="N1168" s="2">
        <v>133</v>
      </c>
      <c r="O1168" s="2">
        <v>102.3445</v>
      </c>
      <c r="P1168" s="2">
        <v>143</v>
      </c>
      <c r="Q1168" s="2">
        <v>105.4282</v>
      </c>
      <c r="R1168" s="2">
        <v>260</v>
      </c>
      <c r="S1168" s="2">
        <v>104.8998</v>
      </c>
      <c r="T1168" s="2">
        <v>238</v>
      </c>
      <c r="U1168" s="2">
        <v>0.42957099999999998</v>
      </c>
      <c r="V1168" s="2">
        <v>187</v>
      </c>
      <c r="W1168" s="2">
        <v>2005</v>
      </c>
    </row>
    <row r="1169" spans="1:23" ht="12.3" hidden="1" x14ac:dyDescent="0.4">
      <c r="A1169" s="2" t="s">
        <v>249</v>
      </c>
      <c r="B1169" s="2"/>
      <c r="C1169" s="2"/>
      <c r="D1169" s="2"/>
      <c r="E1169" s="2"/>
      <c r="F1169" s="2"/>
      <c r="G1169" s="2"/>
      <c r="H1169" s="2"/>
      <c r="I1169" s="2">
        <v>65.276200000000003</v>
      </c>
      <c r="J1169" s="2">
        <v>245</v>
      </c>
      <c r="K1169" s="2">
        <v>66.826899999999995</v>
      </c>
      <c r="L1169" s="2">
        <v>182</v>
      </c>
      <c r="M1169" s="2">
        <v>95.664500000000004</v>
      </c>
      <c r="N1169" s="2">
        <v>261</v>
      </c>
      <c r="O1169" s="2">
        <v>95.710400000000007</v>
      </c>
      <c r="P1169" s="2">
        <v>260</v>
      </c>
      <c r="Q1169" s="2">
        <v>98.607200000000006</v>
      </c>
      <c r="R1169" s="2">
        <v>96</v>
      </c>
      <c r="S1169" s="2">
        <v>98.294700000000006</v>
      </c>
      <c r="T1169" s="2">
        <v>85</v>
      </c>
      <c r="U1169" s="2">
        <v>0.42399500000000001</v>
      </c>
      <c r="V1169" s="2">
        <v>188</v>
      </c>
      <c r="W1169" s="2">
        <v>2005</v>
      </c>
    </row>
    <row r="1170" spans="1:23" ht="12.3" hidden="1" x14ac:dyDescent="0.4">
      <c r="A1170" s="2" t="s">
        <v>171</v>
      </c>
      <c r="B1170" s="2"/>
      <c r="C1170" s="2"/>
      <c r="D1170" s="2"/>
      <c r="E1170" s="2"/>
      <c r="F1170" s="2"/>
      <c r="G1170" s="2"/>
      <c r="H1170" s="2"/>
      <c r="I1170" s="2">
        <v>61.101399999999998</v>
      </c>
      <c r="J1170" s="2">
        <v>318</v>
      </c>
      <c r="K1170" s="2">
        <v>62.029699999999998</v>
      </c>
      <c r="L1170" s="2">
        <v>312</v>
      </c>
      <c r="M1170" s="2">
        <v>103.0099</v>
      </c>
      <c r="N1170" s="2">
        <v>129</v>
      </c>
      <c r="O1170" s="2">
        <v>102.6737</v>
      </c>
      <c r="P1170" s="2">
        <v>136</v>
      </c>
      <c r="Q1170" s="2">
        <v>104.21129999999999</v>
      </c>
      <c r="R1170" s="2">
        <v>236</v>
      </c>
      <c r="S1170" s="2">
        <v>105.53189999999999</v>
      </c>
      <c r="T1170" s="2">
        <v>248</v>
      </c>
      <c r="U1170" s="2">
        <v>0.421709</v>
      </c>
      <c r="V1170" s="2">
        <v>189</v>
      </c>
      <c r="W1170" s="2">
        <v>2005</v>
      </c>
    </row>
    <row r="1171" spans="1:23" ht="12.3" hidden="1" x14ac:dyDescent="0.4">
      <c r="A1171" s="2" t="s">
        <v>288</v>
      </c>
      <c r="B1171" s="2"/>
      <c r="C1171" s="2"/>
      <c r="D1171" s="2"/>
      <c r="E1171" s="2"/>
      <c r="F1171" s="2"/>
      <c r="G1171" s="2"/>
      <c r="H1171" s="2"/>
      <c r="I1171" s="2">
        <v>65.496099999999998</v>
      </c>
      <c r="J1171" s="2">
        <v>236</v>
      </c>
      <c r="K1171" s="2">
        <v>66.223299999999995</v>
      </c>
      <c r="L1171" s="2">
        <v>210</v>
      </c>
      <c r="M1171" s="2">
        <v>100.861</v>
      </c>
      <c r="N1171" s="2">
        <v>185</v>
      </c>
      <c r="O1171" s="2">
        <v>97.3309</v>
      </c>
      <c r="P1171" s="2">
        <v>236</v>
      </c>
      <c r="Q1171" s="2">
        <v>92.054199999999994</v>
      </c>
      <c r="R1171" s="2">
        <v>12</v>
      </c>
      <c r="S1171" s="2">
        <v>100.1219</v>
      </c>
      <c r="T1171" s="2">
        <v>131</v>
      </c>
      <c r="U1171" s="2">
        <v>0.41942800000000002</v>
      </c>
      <c r="V1171" s="2">
        <v>190</v>
      </c>
      <c r="W1171" s="2">
        <v>2005</v>
      </c>
    </row>
    <row r="1172" spans="1:23" ht="12.3" x14ac:dyDescent="0.4">
      <c r="A1172" s="2" t="s">
        <v>289</v>
      </c>
      <c r="B1172" s="2">
        <v>14</v>
      </c>
      <c r="C1172" s="2"/>
      <c r="D1172" s="2"/>
      <c r="E1172" s="2"/>
      <c r="F1172" s="2"/>
      <c r="G1172" s="2"/>
      <c r="H1172" s="2"/>
      <c r="I1172" s="2">
        <v>66.2316</v>
      </c>
      <c r="J1172" s="2">
        <v>196</v>
      </c>
      <c r="K1172" s="2">
        <v>66.272199999999998</v>
      </c>
      <c r="L1172" s="2">
        <v>192</v>
      </c>
      <c r="M1172" s="2">
        <v>106.5111</v>
      </c>
      <c r="N1172" s="2">
        <v>68</v>
      </c>
      <c r="O1172" s="2">
        <v>104.3282</v>
      </c>
      <c r="P1172" s="2">
        <v>112</v>
      </c>
      <c r="Q1172" s="2">
        <v>95.543400000000005</v>
      </c>
      <c r="R1172" s="2">
        <v>44</v>
      </c>
      <c r="S1172" s="2">
        <v>97.1023</v>
      </c>
      <c r="T1172" s="2">
        <v>68</v>
      </c>
      <c r="U1172" s="2">
        <v>0.69538999999999995</v>
      </c>
      <c r="V1172" s="2">
        <v>82</v>
      </c>
      <c r="W1172" s="2">
        <v>2011</v>
      </c>
    </row>
    <row r="1173" spans="1:23" ht="12.3" hidden="1" x14ac:dyDescent="0.4">
      <c r="A1173" s="2" t="s">
        <v>74</v>
      </c>
      <c r="B1173" s="2"/>
      <c r="C1173" s="2"/>
      <c r="D1173" s="2"/>
      <c r="E1173" s="2"/>
      <c r="F1173" s="2"/>
      <c r="G1173" s="2"/>
      <c r="H1173" s="2"/>
      <c r="I1173" s="2">
        <v>66.710300000000004</v>
      </c>
      <c r="J1173" s="2">
        <v>185</v>
      </c>
      <c r="K1173" s="2">
        <v>66.862399999999994</v>
      </c>
      <c r="L1173" s="2">
        <v>180</v>
      </c>
      <c r="M1173" s="2">
        <v>104.1041</v>
      </c>
      <c r="N1173" s="2">
        <v>110</v>
      </c>
      <c r="O1173" s="2">
        <v>103.1018</v>
      </c>
      <c r="P1173" s="2">
        <v>126</v>
      </c>
      <c r="Q1173" s="2">
        <v>108.2256</v>
      </c>
      <c r="R1173" s="2">
        <v>294</v>
      </c>
      <c r="S1173" s="2">
        <v>106.09439999999999</v>
      </c>
      <c r="T1173" s="2">
        <v>253</v>
      </c>
      <c r="U1173" s="2">
        <v>0.41847400000000001</v>
      </c>
      <c r="V1173" s="2">
        <v>192</v>
      </c>
      <c r="W1173" s="2">
        <v>2005</v>
      </c>
    </row>
    <row r="1174" spans="1:23" ht="12.3" hidden="1" x14ac:dyDescent="0.4">
      <c r="A1174" s="2" t="s">
        <v>226</v>
      </c>
      <c r="B1174" s="2"/>
      <c r="C1174" s="2"/>
      <c r="D1174" s="2"/>
      <c r="E1174" s="2"/>
      <c r="F1174" s="2"/>
      <c r="G1174" s="2"/>
      <c r="H1174" s="2"/>
      <c r="I1174" s="2">
        <v>65.284499999999994</v>
      </c>
      <c r="J1174" s="2">
        <v>244</v>
      </c>
      <c r="K1174" s="2">
        <v>65.379599999999996</v>
      </c>
      <c r="L1174" s="2">
        <v>241</v>
      </c>
      <c r="M1174" s="2">
        <v>100.9229</v>
      </c>
      <c r="N1174" s="2">
        <v>184</v>
      </c>
      <c r="O1174" s="2">
        <v>99.587900000000005</v>
      </c>
      <c r="P1174" s="2">
        <v>199</v>
      </c>
      <c r="Q1174" s="2">
        <v>99.199299999999994</v>
      </c>
      <c r="R1174" s="2">
        <v>112</v>
      </c>
      <c r="S1174" s="2">
        <v>102.542</v>
      </c>
      <c r="T1174" s="2">
        <v>186</v>
      </c>
      <c r="U1174" s="2">
        <v>0.41674299999999997</v>
      </c>
      <c r="V1174" s="2">
        <v>193</v>
      </c>
      <c r="W1174" s="2">
        <v>2005</v>
      </c>
    </row>
    <row r="1175" spans="1:23" ht="12.3" x14ac:dyDescent="0.4">
      <c r="A1175" s="2" t="s">
        <v>201</v>
      </c>
      <c r="B1175" s="2">
        <v>13</v>
      </c>
      <c r="C1175" s="4" t="s">
        <v>33</v>
      </c>
      <c r="D1175" s="2"/>
      <c r="E1175" s="2"/>
      <c r="F1175" s="2"/>
      <c r="G1175" s="2"/>
      <c r="H1175" s="2"/>
      <c r="I1175" s="2">
        <v>64.049700000000001</v>
      </c>
      <c r="J1175" s="2">
        <v>287</v>
      </c>
      <c r="K1175" s="2">
        <v>64.780500000000004</v>
      </c>
      <c r="L1175" s="2">
        <v>258</v>
      </c>
      <c r="M1175" s="2">
        <v>106.2067</v>
      </c>
      <c r="N1175" s="2">
        <v>77</v>
      </c>
      <c r="O1175" s="2">
        <v>104.3969</v>
      </c>
      <c r="P1175" s="2">
        <v>109</v>
      </c>
      <c r="Q1175" s="2">
        <v>96.197199999999995</v>
      </c>
      <c r="R1175" s="2">
        <v>52</v>
      </c>
      <c r="S1175" s="2">
        <v>97.601799999999997</v>
      </c>
      <c r="T1175" s="2">
        <v>79</v>
      </c>
      <c r="U1175" s="2">
        <v>0.68438500000000002</v>
      </c>
      <c r="V1175" s="2">
        <v>83</v>
      </c>
      <c r="W1175" s="2">
        <v>2011</v>
      </c>
    </row>
    <row r="1176" spans="1:23" ht="12.3" hidden="1" x14ac:dyDescent="0.4">
      <c r="A1176" s="2" t="s">
        <v>160</v>
      </c>
      <c r="B1176" s="2"/>
      <c r="C1176" s="2"/>
      <c r="D1176" s="2"/>
      <c r="E1176" s="2"/>
      <c r="F1176" s="2"/>
      <c r="G1176" s="2"/>
      <c r="H1176" s="2"/>
      <c r="I1176" s="2">
        <v>67.486699999999999</v>
      </c>
      <c r="J1176" s="2">
        <v>153</v>
      </c>
      <c r="K1176" s="2">
        <v>67.850399999999993</v>
      </c>
      <c r="L1176" s="2">
        <v>135</v>
      </c>
      <c r="M1176" s="2">
        <v>97.758700000000005</v>
      </c>
      <c r="N1176" s="2">
        <v>232</v>
      </c>
      <c r="O1176" s="2">
        <v>98.114999999999995</v>
      </c>
      <c r="P1176" s="2">
        <v>221</v>
      </c>
      <c r="Q1176" s="2">
        <v>101.196</v>
      </c>
      <c r="R1176" s="2">
        <v>158</v>
      </c>
      <c r="S1176" s="2">
        <v>101.2694</v>
      </c>
      <c r="T1176" s="2">
        <v>159</v>
      </c>
      <c r="U1176" s="2">
        <v>0.41001500000000002</v>
      </c>
      <c r="V1176" s="2">
        <v>195</v>
      </c>
      <c r="W1176" s="2">
        <v>2005</v>
      </c>
    </row>
    <row r="1177" spans="1:23" ht="12.3" hidden="1" x14ac:dyDescent="0.4">
      <c r="A1177" s="2" t="s">
        <v>206</v>
      </c>
      <c r="B1177" s="2"/>
      <c r="C1177" s="2"/>
      <c r="D1177" s="2"/>
      <c r="E1177" s="2"/>
      <c r="F1177" s="2"/>
      <c r="G1177" s="2"/>
      <c r="H1177" s="2"/>
      <c r="I1177" s="2">
        <v>68.352599999999995</v>
      </c>
      <c r="J1177" s="2">
        <v>125</v>
      </c>
      <c r="K1177" s="2">
        <v>67.924899999999994</v>
      </c>
      <c r="L1177" s="2">
        <v>127</v>
      </c>
      <c r="M1177" s="2">
        <v>91.047499999999999</v>
      </c>
      <c r="N1177" s="2">
        <v>307</v>
      </c>
      <c r="O1177" s="2">
        <v>95.166399999999996</v>
      </c>
      <c r="P1177" s="2">
        <v>267</v>
      </c>
      <c r="Q1177" s="2">
        <v>102.9817</v>
      </c>
      <c r="R1177" s="2">
        <v>214</v>
      </c>
      <c r="S1177" s="2">
        <v>98.325100000000006</v>
      </c>
      <c r="T1177" s="2">
        <v>88</v>
      </c>
      <c r="U1177" s="2">
        <v>0.40721000000000002</v>
      </c>
      <c r="V1177" s="2">
        <v>196</v>
      </c>
      <c r="W1177" s="2">
        <v>2005</v>
      </c>
    </row>
    <row r="1178" spans="1:23" ht="12.3" hidden="1" x14ac:dyDescent="0.4">
      <c r="A1178" s="2" t="s">
        <v>208</v>
      </c>
      <c r="B1178" s="2"/>
      <c r="C1178" s="2"/>
      <c r="D1178" s="2"/>
      <c r="E1178" s="2"/>
      <c r="F1178" s="2"/>
      <c r="G1178" s="2"/>
      <c r="H1178" s="2"/>
      <c r="I1178" s="2">
        <v>56.927999999999997</v>
      </c>
      <c r="J1178" s="2">
        <v>328</v>
      </c>
      <c r="K1178" s="2">
        <v>57.327399999999997</v>
      </c>
      <c r="L1178" s="2">
        <v>328</v>
      </c>
      <c r="M1178" s="2">
        <v>110.5133</v>
      </c>
      <c r="N1178" s="2">
        <v>28</v>
      </c>
      <c r="O1178" s="2">
        <v>108.0877</v>
      </c>
      <c r="P1178" s="2">
        <v>58</v>
      </c>
      <c r="Q1178" s="2">
        <v>109.53360000000001</v>
      </c>
      <c r="R1178" s="2">
        <v>313</v>
      </c>
      <c r="S1178" s="2">
        <v>111.75239999999999</v>
      </c>
      <c r="T1178" s="2">
        <v>319</v>
      </c>
      <c r="U1178" s="2">
        <v>0.40529599999999999</v>
      </c>
      <c r="V1178" s="2">
        <v>197</v>
      </c>
      <c r="W1178" s="2">
        <v>2005</v>
      </c>
    </row>
    <row r="1179" spans="1:23" ht="12.3" hidden="1" x14ac:dyDescent="0.4">
      <c r="A1179" s="2" t="s">
        <v>195</v>
      </c>
      <c r="B1179" s="2"/>
      <c r="C1179" s="2"/>
      <c r="D1179" s="2"/>
      <c r="E1179" s="2"/>
      <c r="F1179" s="2"/>
      <c r="G1179" s="2"/>
      <c r="H1179" s="2"/>
      <c r="I1179" s="2">
        <v>66.064099999999996</v>
      </c>
      <c r="J1179" s="2">
        <v>210</v>
      </c>
      <c r="K1179" s="2">
        <v>64.301699999999997</v>
      </c>
      <c r="L1179" s="2">
        <v>283</v>
      </c>
      <c r="M1179" s="2">
        <v>101.4294</v>
      </c>
      <c r="N1179" s="2">
        <v>164</v>
      </c>
      <c r="O1179" s="2">
        <v>99.992000000000004</v>
      </c>
      <c r="P1179" s="2">
        <v>189</v>
      </c>
      <c r="Q1179" s="2">
        <v>101.7604</v>
      </c>
      <c r="R1179" s="2">
        <v>175</v>
      </c>
      <c r="S1179" s="2">
        <v>103.40130000000001</v>
      </c>
      <c r="T1179" s="2">
        <v>205</v>
      </c>
      <c r="U1179" s="2">
        <v>0.40478700000000001</v>
      </c>
      <c r="V1179" s="2">
        <v>198</v>
      </c>
      <c r="W1179" s="2">
        <v>2005</v>
      </c>
    </row>
    <row r="1180" spans="1:23" ht="12.3" hidden="1" x14ac:dyDescent="0.4">
      <c r="A1180" s="2" t="s">
        <v>197</v>
      </c>
      <c r="B1180" s="2"/>
      <c r="C1180" s="2"/>
      <c r="D1180" s="2"/>
      <c r="E1180" s="2"/>
      <c r="F1180" s="2"/>
      <c r="G1180" s="2"/>
      <c r="H1180" s="2"/>
      <c r="I1180" s="2">
        <v>66.608900000000006</v>
      </c>
      <c r="J1180" s="2">
        <v>189</v>
      </c>
      <c r="K1180" s="2">
        <v>66.149100000000004</v>
      </c>
      <c r="L1180" s="2">
        <v>213</v>
      </c>
      <c r="M1180" s="2">
        <v>100.1279</v>
      </c>
      <c r="N1180" s="2">
        <v>195</v>
      </c>
      <c r="O1180" s="2">
        <v>102.8413</v>
      </c>
      <c r="P1180" s="2">
        <v>133</v>
      </c>
      <c r="Q1180" s="2">
        <v>110.89619999999999</v>
      </c>
      <c r="R1180" s="2">
        <v>322</v>
      </c>
      <c r="S1180" s="2">
        <v>106.74299999999999</v>
      </c>
      <c r="T1180" s="2">
        <v>267</v>
      </c>
      <c r="U1180" s="2">
        <v>0.39455000000000001</v>
      </c>
      <c r="V1180" s="2">
        <v>199</v>
      </c>
      <c r="W1180" s="2">
        <v>2005</v>
      </c>
    </row>
    <row r="1181" spans="1:23" ht="12.3" x14ac:dyDescent="0.4">
      <c r="A1181" s="2" t="s">
        <v>279</v>
      </c>
      <c r="B1181" s="2">
        <v>14</v>
      </c>
      <c r="C1181" s="2"/>
      <c r="D1181" s="2"/>
      <c r="E1181" s="2"/>
      <c r="F1181" s="2"/>
      <c r="G1181" s="2"/>
      <c r="H1181" s="2"/>
      <c r="I1181" s="2">
        <v>64.415099999999995</v>
      </c>
      <c r="J1181" s="2">
        <v>271</v>
      </c>
      <c r="K1181" s="2">
        <v>64.572599999999994</v>
      </c>
      <c r="L1181" s="2">
        <v>270</v>
      </c>
      <c r="M1181" s="2">
        <v>112.4804</v>
      </c>
      <c r="N1181" s="2">
        <v>18</v>
      </c>
      <c r="O1181" s="2">
        <v>110.9243</v>
      </c>
      <c r="P1181" s="2">
        <v>33</v>
      </c>
      <c r="Q1181" s="2">
        <v>103.3314</v>
      </c>
      <c r="R1181" s="2">
        <v>208</v>
      </c>
      <c r="S1181" s="2">
        <v>103.7717</v>
      </c>
      <c r="T1181" s="2">
        <v>217</v>
      </c>
      <c r="U1181" s="2">
        <v>0.68276899999999996</v>
      </c>
      <c r="V1181" s="2">
        <v>84</v>
      </c>
      <c r="W1181" s="2">
        <v>2011</v>
      </c>
    </row>
    <row r="1182" spans="1:23" ht="12.3" hidden="1" x14ac:dyDescent="0.4">
      <c r="A1182" s="2" t="s">
        <v>268</v>
      </c>
      <c r="B1182" s="2"/>
      <c r="C1182" s="2"/>
      <c r="D1182" s="2"/>
      <c r="E1182" s="2"/>
      <c r="F1182" s="2"/>
      <c r="G1182" s="2"/>
      <c r="H1182" s="2"/>
      <c r="I1182" s="2">
        <v>70.005200000000002</v>
      </c>
      <c r="J1182" s="2">
        <v>74</v>
      </c>
      <c r="K1182" s="2">
        <v>70.564400000000006</v>
      </c>
      <c r="L1182" s="2">
        <v>45</v>
      </c>
      <c r="M1182" s="2">
        <v>103.8381</v>
      </c>
      <c r="N1182" s="2">
        <v>113</v>
      </c>
      <c r="O1182" s="2">
        <v>102.9863</v>
      </c>
      <c r="P1182" s="2">
        <v>130</v>
      </c>
      <c r="Q1182" s="2">
        <v>108.8561</v>
      </c>
      <c r="R1182" s="2">
        <v>302</v>
      </c>
      <c r="S1182" s="2">
        <v>107.1125</v>
      </c>
      <c r="T1182" s="2">
        <v>274</v>
      </c>
      <c r="U1182" s="2">
        <v>0.38894099999999998</v>
      </c>
      <c r="V1182" s="2">
        <v>201</v>
      </c>
      <c r="W1182" s="2">
        <v>2005</v>
      </c>
    </row>
    <row r="1183" spans="1:23" ht="12.3" hidden="1" x14ac:dyDescent="0.4">
      <c r="A1183" s="2" t="s">
        <v>260</v>
      </c>
      <c r="B1183" s="2"/>
      <c r="C1183" s="2"/>
      <c r="D1183" s="2"/>
      <c r="E1183" s="2"/>
      <c r="F1183" s="2"/>
      <c r="G1183" s="2"/>
      <c r="H1183" s="2"/>
      <c r="I1183" s="2">
        <v>68.318899999999999</v>
      </c>
      <c r="J1183" s="2">
        <v>126</v>
      </c>
      <c r="K1183" s="2">
        <v>67.913600000000002</v>
      </c>
      <c r="L1183" s="2">
        <v>128</v>
      </c>
      <c r="M1183" s="2">
        <v>95.734399999999994</v>
      </c>
      <c r="N1183" s="2">
        <v>260</v>
      </c>
      <c r="O1183" s="2">
        <v>97.712100000000007</v>
      </c>
      <c r="P1183" s="2">
        <v>229</v>
      </c>
      <c r="Q1183" s="2">
        <v>101.5133</v>
      </c>
      <c r="R1183" s="2">
        <v>168</v>
      </c>
      <c r="S1183" s="2">
        <v>101.6332</v>
      </c>
      <c r="T1183" s="2">
        <v>165</v>
      </c>
      <c r="U1183" s="2">
        <v>0.38877400000000001</v>
      </c>
      <c r="V1183" s="2">
        <v>202</v>
      </c>
      <c r="W1183" s="2">
        <v>2005</v>
      </c>
    </row>
    <row r="1184" spans="1:23" ht="12.3" hidden="1" x14ac:dyDescent="0.4">
      <c r="A1184" s="2" t="s">
        <v>331</v>
      </c>
      <c r="B1184" s="2"/>
      <c r="C1184" s="2"/>
      <c r="D1184" s="2"/>
      <c r="E1184" s="2"/>
      <c r="F1184" s="2"/>
      <c r="G1184" s="2"/>
      <c r="H1184" s="2"/>
      <c r="I1184" s="2">
        <v>70.522099999999995</v>
      </c>
      <c r="J1184" s="2">
        <v>60</v>
      </c>
      <c r="K1184" s="2">
        <v>70.988600000000005</v>
      </c>
      <c r="L1184" s="2">
        <v>39</v>
      </c>
      <c r="M1184" s="2">
        <v>102.03230000000001</v>
      </c>
      <c r="N1184" s="2">
        <v>145</v>
      </c>
      <c r="O1184" s="2">
        <v>101.2343</v>
      </c>
      <c r="P1184" s="2">
        <v>164</v>
      </c>
      <c r="Q1184" s="2">
        <v>106.6712</v>
      </c>
      <c r="R1184" s="2">
        <v>272</v>
      </c>
      <c r="S1184" s="2">
        <v>105.4271</v>
      </c>
      <c r="T1184" s="2">
        <v>246</v>
      </c>
      <c r="U1184" s="2">
        <v>0.38539899999999999</v>
      </c>
      <c r="V1184" s="2">
        <v>203</v>
      </c>
      <c r="W1184" s="2">
        <v>2005</v>
      </c>
    </row>
    <row r="1185" spans="1:23" ht="12.3" hidden="1" x14ac:dyDescent="0.4">
      <c r="A1185" s="2" t="s">
        <v>185</v>
      </c>
      <c r="B1185" s="2"/>
      <c r="C1185" s="2"/>
      <c r="D1185" s="2"/>
      <c r="E1185" s="2"/>
      <c r="F1185" s="2"/>
      <c r="G1185" s="2"/>
      <c r="H1185" s="2"/>
      <c r="I1185" s="2">
        <v>74.867699999999999</v>
      </c>
      <c r="J1185" s="2">
        <v>6</v>
      </c>
      <c r="K1185" s="2">
        <v>73.827699999999993</v>
      </c>
      <c r="L1185" s="2">
        <v>10</v>
      </c>
      <c r="M1185" s="2">
        <v>100.657</v>
      </c>
      <c r="N1185" s="2">
        <v>187</v>
      </c>
      <c r="O1185" s="2">
        <v>99.0625</v>
      </c>
      <c r="P1185" s="2">
        <v>208</v>
      </c>
      <c r="Q1185" s="2">
        <v>101.128</v>
      </c>
      <c r="R1185" s="2">
        <v>156</v>
      </c>
      <c r="S1185" s="2">
        <v>103.3128</v>
      </c>
      <c r="T1185" s="2">
        <v>202</v>
      </c>
      <c r="U1185" s="2">
        <v>0.381517</v>
      </c>
      <c r="V1185" s="2">
        <v>204</v>
      </c>
      <c r="W1185" s="2">
        <v>2005</v>
      </c>
    </row>
    <row r="1186" spans="1:23" ht="12.3" hidden="1" x14ac:dyDescent="0.4">
      <c r="A1186" s="2" t="s">
        <v>127</v>
      </c>
      <c r="B1186" s="2"/>
      <c r="C1186" s="2"/>
      <c r="D1186" s="2"/>
      <c r="E1186" s="2"/>
      <c r="F1186" s="2"/>
      <c r="G1186" s="2"/>
      <c r="H1186" s="2"/>
      <c r="I1186" s="2">
        <v>72.674400000000006</v>
      </c>
      <c r="J1186" s="2">
        <v>23</v>
      </c>
      <c r="K1186" s="2">
        <v>70.797499999999999</v>
      </c>
      <c r="L1186" s="2">
        <v>43</v>
      </c>
      <c r="M1186" s="2">
        <v>95.912199999999999</v>
      </c>
      <c r="N1186" s="2">
        <v>256</v>
      </c>
      <c r="O1186" s="2">
        <v>97.608000000000004</v>
      </c>
      <c r="P1186" s="2">
        <v>232</v>
      </c>
      <c r="Q1186" s="2">
        <v>101.0617</v>
      </c>
      <c r="R1186" s="2">
        <v>153</v>
      </c>
      <c r="S1186" s="2">
        <v>101.9254</v>
      </c>
      <c r="T1186" s="2">
        <v>175</v>
      </c>
      <c r="U1186" s="2">
        <v>0.37807200000000002</v>
      </c>
      <c r="V1186" s="2">
        <v>205</v>
      </c>
      <c r="W1186" s="2">
        <v>2005</v>
      </c>
    </row>
    <row r="1187" spans="1:23" ht="12.3" hidden="1" x14ac:dyDescent="0.4">
      <c r="A1187" s="2" t="s">
        <v>285</v>
      </c>
      <c r="B1187" s="2"/>
      <c r="C1187" s="2"/>
      <c r="D1187" s="2"/>
      <c r="E1187" s="2"/>
      <c r="F1187" s="2"/>
      <c r="G1187" s="2"/>
      <c r="H1187" s="2"/>
      <c r="I1187" s="2">
        <v>65.229500000000002</v>
      </c>
      <c r="J1187" s="2">
        <v>250</v>
      </c>
      <c r="K1187" s="2">
        <v>65.471999999999994</v>
      </c>
      <c r="L1187" s="2">
        <v>238</v>
      </c>
      <c r="M1187" s="2">
        <v>100.09139999999999</v>
      </c>
      <c r="N1187" s="2">
        <v>197</v>
      </c>
      <c r="O1187" s="2">
        <v>98.533100000000005</v>
      </c>
      <c r="P1187" s="2">
        <v>216</v>
      </c>
      <c r="Q1187" s="2">
        <v>105.0142</v>
      </c>
      <c r="R1187" s="2">
        <v>250</v>
      </c>
      <c r="S1187" s="2">
        <v>103.07250000000001</v>
      </c>
      <c r="T1187" s="2">
        <v>199</v>
      </c>
      <c r="U1187" s="2">
        <v>0.37332900000000002</v>
      </c>
      <c r="V1187" s="2">
        <v>206</v>
      </c>
      <c r="W1187" s="2">
        <v>2005</v>
      </c>
    </row>
    <row r="1188" spans="1:23" ht="12.3" hidden="1" x14ac:dyDescent="0.4">
      <c r="A1188" s="2" t="s">
        <v>309</v>
      </c>
      <c r="B1188" s="2"/>
      <c r="C1188" s="2"/>
      <c r="D1188" s="2"/>
      <c r="E1188" s="2"/>
      <c r="F1188" s="2"/>
      <c r="G1188" s="2"/>
      <c r="H1188" s="2"/>
      <c r="I1188" s="2">
        <v>67.617800000000003</v>
      </c>
      <c r="J1188" s="2">
        <v>149</v>
      </c>
      <c r="K1188" s="2">
        <v>68.111800000000002</v>
      </c>
      <c r="L1188" s="2">
        <v>122</v>
      </c>
      <c r="M1188" s="2">
        <v>92.113</v>
      </c>
      <c r="N1188" s="2">
        <v>301</v>
      </c>
      <c r="O1188" s="2">
        <v>93.529300000000006</v>
      </c>
      <c r="P1188" s="2">
        <v>290</v>
      </c>
      <c r="Q1188" s="2">
        <v>96.0458</v>
      </c>
      <c r="R1188" s="2">
        <v>47</v>
      </c>
      <c r="S1188" s="2">
        <v>97.906999999999996</v>
      </c>
      <c r="T1188" s="2">
        <v>82</v>
      </c>
      <c r="U1188" s="2">
        <v>0.37143900000000002</v>
      </c>
      <c r="V1188" s="2">
        <v>207</v>
      </c>
      <c r="W1188" s="2">
        <v>2005</v>
      </c>
    </row>
    <row r="1189" spans="1:23" ht="12.3" hidden="1" x14ac:dyDescent="0.4">
      <c r="A1189" s="2" t="s">
        <v>326</v>
      </c>
      <c r="B1189" s="2"/>
      <c r="C1189" s="2"/>
      <c r="D1189" s="2"/>
      <c r="E1189" s="2"/>
      <c r="F1189" s="2"/>
      <c r="G1189" s="2"/>
      <c r="H1189" s="2"/>
      <c r="I1189" s="2">
        <v>64.729299999999995</v>
      </c>
      <c r="J1189" s="2">
        <v>262</v>
      </c>
      <c r="K1189" s="2">
        <v>65.248199999999997</v>
      </c>
      <c r="L1189" s="2">
        <v>245</v>
      </c>
      <c r="M1189" s="2">
        <v>94.696100000000001</v>
      </c>
      <c r="N1189" s="2">
        <v>271</v>
      </c>
      <c r="O1189" s="2">
        <v>94.442700000000002</v>
      </c>
      <c r="P1189" s="2">
        <v>276</v>
      </c>
      <c r="Q1189" s="2">
        <v>94.227000000000004</v>
      </c>
      <c r="R1189" s="2">
        <v>31</v>
      </c>
      <c r="S1189" s="2">
        <v>98.881900000000002</v>
      </c>
      <c r="T1189" s="2">
        <v>103</v>
      </c>
      <c r="U1189" s="2">
        <v>0.37092999999999998</v>
      </c>
      <c r="V1189" s="2">
        <v>208</v>
      </c>
      <c r="W1189" s="2">
        <v>2005</v>
      </c>
    </row>
    <row r="1190" spans="1:23" ht="12.3" hidden="1" x14ac:dyDescent="0.4">
      <c r="A1190" s="2" t="s">
        <v>211</v>
      </c>
      <c r="B1190" s="2"/>
      <c r="C1190" s="2"/>
      <c r="D1190" s="2"/>
      <c r="E1190" s="2"/>
      <c r="F1190" s="2"/>
      <c r="G1190" s="2"/>
      <c r="H1190" s="2"/>
      <c r="I1190" s="2">
        <v>69.897499999999994</v>
      </c>
      <c r="J1190" s="2">
        <v>78</v>
      </c>
      <c r="K1190" s="2">
        <v>68.613500000000002</v>
      </c>
      <c r="L1190" s="2">
        <v>114</v>
      </c>
      <c r="M1190" s="2">
        <v>101.64530000000001</v>
      </c>
      <c r="N1190" s="2">
        <v>156</v>
      </c>
      <c r="O1190" s="2">
        <v>96.647800000000004</v>
      </c>
      <c r="P1190" s="2">
        <v>242</v>
      </c>
      <c r="Q1190" s="2">
        <v>98.660200000000003</v>
      </c>
      <c r="R1190" s="2">
        <v>97</v>
      </c>
      <c r="S1190" s="2">
        <v>101.22450000000001</v>
      </c>
      <c r="T1190" s="2">
        <v>158</v>
      </c>
      <c r="U1190" s="2">
        <v>0.370033</v>
      </c>
      <c r="V1190" s="2">
        <v>209</v>
      </c>
      <c r="W1190" s="2">
        <v>2005</v>
      </c>
    </row>
    <row r="1191" spans="1:23" ht="12.3" hidden="1" x14ac:dyDescent="0.4">
      <c r="A1191" s="2" t="s">
        <v>251</v>
      </c>
      <c r="B1191" s="2"/>
      <c r="C1191" s="2"/>
      <c r="D1191" s="2"/>
      <c r="E1191" s="2"/>
      <c r="F1191" s="2"/>
      <c r="G1191" s="2"/>
      <c r="H1191" s="2"/>
      <c r="I1191" s="2">
        <v>63.422400000000003</v>
      </c>
      <c r="J1191" s="2">
        <v>295</v>
      </c>
      <c r="K1191" s="2">
        <v>62.973500000000001</v>
      </c>
      <c r="L1191" s="2">
        <v>303</v>
      </c>
      <c r="M1191" s="2">
        <v>100.4353</v>
      </c>
      <c r="N1191" s="2">
        <v>193</v>
      </c>
      <c r="O1191" s="2">
        <v>97.048599999999993</v>
      </c>
      <c r="P1191" s="2">
        <v>239</v>
      </c>
      <c r="Q1191" s="2">
        <v>99.925299999999993</v>
      </c>
      <c r="R1191" s="2">
        <v>128</v>
      </c>
      <c r="S1191" s="2">
        <v>101.82129999999999</v>
      </c>
      <c r="T1191" s="2">
        <v>172</v>
      </c>
      <c r="U1191" s="2">
        <v>0.36537900000000001</v>
      </c>
      <c r="V1191" s="2">
        <v>210</v>
      </c>
      <c r="W1191" s="2">
        <v>2005</v>
      </c>
    </row>
    <row r="1192" spans="1:23" ht="12.3" hidden="1" x14ac:dyDescent="0.4">
      <c r="A1192" s="2" t="s">
        <v>255</v>
      </c>
      <c r="B1192" s="2"/>
      <c r="C1192" s="2"/>
      <c r="D1192" s="2"/>
      <c r="E1192" s="2"/>
      <c r="F1192" s="2"/>
      <c r="G1192" s="2"/>
      <c r="H1192" s="2"/>
      <c r="I1192" s="2">
        <v>69.137699999999995</v>
      </c>
      <c r="J1192" s="2">
        <v>98</v>
      </c>
      <c r="K1192" s="2">
        <v>70.527699999999996</v>
      </c>
      <c r="L1192" s="2">
        <v>48</v>
      </c>
      <c r="M1192" s="2">
        <v>95.363399999999999</v>
      </c>
      <c r="N1192" s="2">
        <v>264</v>
      </c>
      <c r="O1192" s="2">
        <v>96.111900000000006</v>
      </c>
      <c r="P1192" s="2">
        <v>253</v>
      </c>
      <c r="Q1192" s="2">
        <v>98.903599999999997</v>
      </c>
      <c r="R1192" s="2">
        <v>105</v>
      </c>
      <c r="S1192" s="2">
        <v>100.8588</v>
      </c>
      <c r="T1192" s="2">
        <v>147</v>
      </c>
      <c r="U1192" s="2">
        <v>0.36484499999999997</v>
      </c>
      <c r="V1192" s="2">
        <v>211</v>
      </c>
      <c r="W1192" s="2">
        <v>2005</v>
      </c>
    </row>
    <row r="1193" spans="1:23" ht="12.3" hidden="1" x14ac:dyDescent="0.4">
      <c r="A1193" s="2" t="s">
        <v>104</v>
      </c>
      <c r="B1193" s="2"/>
      <c r="C1193" s="2"/>
      <c r="D1193" s="2"/>
      <c r="E1193" s="2"/>
      <c r="F1193" s="2"/>
      <c r="G1193" s="2"/>
      <c r="H1193" s="2"/>
      <c r="I1193" s="2">
        <v>61.548000000000002</v>
      </c>
      <c r="J1193" s="2">
        <v>314</v>
      </c>
      <c r="K1193" s="2">
        <v>61.444299999999998</v>
      </c>
      <c r="L1193" s="2">
        <v>316</v>
      </c>
      <c r="M1193" s="2">
        <v>95.8245</v>
      </c>
      <c r="N1193" s="2">
        <v>259</v>
      </c>
      <c r="O1193" s="2">
        <v>95.271100000000004</v>
      </c>
      <c r="P1193" s="2">
        <v>265</v>
      </c>
      <c r="Q1193" s="2">
        <v>101.8261</v>
      </c>
      <c r="R1193" s="2">
        <v>179</v>
      </c>
      <c r="S1193" s="2">
        <v>100.2411</v>
      </c>
      <c r="T1193" s="2">
        <v>136</v>
      </c>
      <c r="U1193" s="2">
        <v>0.35782999999999998</v>
      </c>
      <c r="V1193" s="2">
        <v>212</v>
      </c>
      <c r="W1193" s="2">
        <v>2005</v>
      </c>
    </row>
    <row r="1194" spans="1:23" ht="12.3" hidden="1" x14ac:dyDescent="0.4">
      <c r="A1194" s="2" t="s">
        <v>212</v>
      </c>
      <c r="B1194" s="2"/>
      <c r="C1194" s="2"/>
      <c r="D1194" s="2"/>
      <c r="E1194" s="2"/>
      <c r="F1194" s="2"/>
      <c r="G1194" s="2"/>
      <c r="H1194" s="2"/>
      <c r="I1194" s="2">
        <v>69.741699999999994</v>
      </c>
      <c r="J1194" s="2">
        <v>85</v>
      </c>
      <c r="K1194" s="2">
        <v>70.234499999999997</v>
      </c>
      <c r="L1194" s="2">
        <v>52</v>
      </c>
      <c r="M1194" s="2">
        <v>101.8061</v>
      </c>
      <c r="N1194" s="2">
        <v>150</v>
      </c>
      <c r="O1194" s="2">
        <v>103.2176</v>
      </c>
      <c r="P1194" s="2">
        <v>124</v>
      </c>
      <c r="Q1194" s="2">
        <v>107.37139999999999</v>
      </c>
      <c r="R1194" s="2">
        <v>286</v>
      </c>
      <c r="S1194" s="2">
        <v>108.62390000000001</v>
      </c>
      <c r="T1194" s="2">
        <v>291</v>
      </c>
      <c r="U1194" s="2">
        <v>0.35730000000000001</v>
      </c>
      <c r="V1194" s="2">
        <v>213</v>
      </c>
      <c r="W1194" s="2">
        <v>2005</v>
      </c>
    </row>
    <row r="1195" spans="1:23" ht="12.3" hidden="1" x14ac:dyDescent="0.4">
      <c r="A1195" s="2" t="s">
        <v>269</v>
      </c>
      <c r="B1195" s="2"/>
      <c r="C1195" s="2"/>
      <c r="D1195" s="2"/>
      <c r="E1195" s="2"/>
      <c r="F1195" s="2"/>
      <c r="G1195" s="2"/>
      <c r="H1195" s="2"/>
      <c r="I1195" s="2">
        <v>70.655799999999999</v>
      </c>
      <c r="J1195" s="2">
        <v>54</v>
      </c>
      <c r="K1195" s="2">
        <v>69.780100000000004</v>
      </c>
      <c r="L1195" s="2">
        <v>68</v>
      </c>
      <c r="M1195" s="2">
        <v>102.3871</v>
      </c>
      <c r="N1195" s="2">
        <v>136</v>
      </c>
      <c r="O1195" s="2">
        <v>97.738</v>
      </c>
      <c r="P1195" s="2">
        <v>228</v>
      </c>
      <c r="Q1195" s="2">
        <v>97.657200000000003</v>
      </c>
      <c r="R1195" s="2">
        <v>71</v>
      </c>
      <c r="S1195" s="2">
        <v>103.0578</v>
      </c>
      <c r="T1195" s="2">
        <v>197</v>
      </c>
      <c r="U1195" s="2">
        <v>0.35217500000000002</v>
      </c>
      <c r="V1195" s="2">
        <v>214</v>
      </c>
      <c r="W1195" s="2">
        <v>2005</v>
      </c>
    </row>
    <row r="1196" spans="1:23" ht="12.3" hidden="1" x14ac:dyDescent="0.4">
      <c r="A1196" s="2" t="s">
        <v>169</v>
      </c>
      <c r="B1196" s="2"/>
      <c r="C1196" s="2"/>
      <c r="D1196" s="2"/>
      <c r="E1196" s="2"/>
      <c r="F1196" s="2"/>
      <c r="G1196" s="2"/>
      <c r="H1196" s="2"/>
      <c r="I1196" s="2">
        <v>63.769199999999998</v>
      </c>
      <c r="J1196" s="2">
        <v>285</v>
      </c>
      <c r="K1196" s="2">
        <v>64.758899999999997</v>
      </c>
      <c r="L1196" s="2">
        <v>261</v>
      </c>
      <c r="M1196" s="2">
        <v>96.052999999999997</v>
      </c>
      <c r="N1196" s="2">
        <v>254</v>
      </c>
      <c r="O1196" s="2">
        <v>98.383300000000006</v>
      </c>
      <c r="P1196" s="2">
        <v>219</v>
      </c>
      <c r="Q1196" s="2">
        <v>104.80840000000001</v>
      </c>
      <c r="R1196" s="2">
        <v>247</v>
      </c>
      <c r="S1196" s="2">
        <v>103.749</v>
      </c>
      <c r="T1196" s="2">
        <v>213</v>
      </c>
      <c r="U1196" s="2">
        <v>0.35190100000000002</v>
      </c>
      <c r="V1196" s="2">
        <v>215</v>
      </c>
      <c r="W1196" s="2">
        <v>2005</v>
      </c>
    </row>
    <row r="1197" spans="1:23" ht="12.3" hidden="1" x14ac:dyDescent="0.4">
      <c r="A1197" s="2" t="s">
        <v>135</v>
      </c>
      <c r="B1197" s="2"/>
      <c r="C1197" s="2"/>
      <c r="D1197" s="2"/>
      <c r="E1197" s="2"/>
      <c r="F1197" s="2"/>
      <c r="G1197" s="2"/>
      <c r="H1197" s="2"/>
      <c r="I1197" s="2">
        <v>67.789400000000001</v>
      </c>
      <c r="J1197" s="2">
        <v>140</v>
      </c>
      <c r="K1197" s="2">
        <v>67.032600000000002</v>
      </c>
      <c r="L1197" s="2">
        <v>172</v>
      </c>
      <c r="M1197" s="2">
        <v>96.044200000000004</v>
      </c>
      <c r="N1197" s="2">
        <v>255</v>
      </c>
      <c r="O1197" s="2">
        <v>94.025899999999993</v>
      </c>
      <c r="P1197" s="2">
        <v>281</v>
      </c>
      <c r="Q1197" s="2">
        <v>93.745599999999996</v>
      </c>
      <c r="R1197" s="2">
        <v>26</v>
      </c>
      <c r="S1197" s="2">
        <v>99.221199999999996</v>
      </c>
      <c r="T1197" s="2">
        <v>110</v>
      </c>
      <c r="U1197" s="2">
        <v>0.35012599999999999</v>
      </c>
      <c r="V1197" s="2">
        <v>216</v>
      </c>
      <c r="W1197" s="2">
        <v>2005</v>
      </c>
    </row>
    <row r="1198" spans="1:23" ht="12.3" hidden="1" x14ac:dyDescent="0.4">
      <c r="A1198" s="2" t="s">
        <v>355</v>
      </c>
      <c r="B1198" s="2"/>
      <c r="C1198" s="2"/>
      <c r="D1198" s="2"/>
      <c r="E1198" s="2"/>
      <c r="F1198" s="2"/>
      <c r="G1198" s="2"/>
      <c r="H1198" s="2"/>
      <c r="I1198" s="2">
        <v>64.304299999999998</v>
      </c>
      <c r="J1198" s="2">
        <v>274</v>
      </c>
      <c r="K1198" s="2">
        <v>63.264299999999999</v>
      </c>
      <c r="L1198" s="2">
        <v>298</v>
      </c>
      <c r="M1198" s="2">
        <v>103.16889999999999</v>
      </c>
      <c r="N1198" s="2">
        <v>125</v>
      </c>
      <c r="O1198" s="2">
        <v>99.547799999999995</v>
      </c>
      <c r="P1198" s="2">
        <v>200</v>
      </c>
      <c r="Q1198" s="2">
        <v>103.31140000000001</v>
      </c>
      <c r="R1198" s="2">
        <v>219</v>
      </c>
      <c r="S1198" s="2">
        <v>105.0942</v>
      </c>
      <c r="T1198" s="2">
        <v>240</v>
      </c>
      <c r="U1198" s="2">
        <v>0.34898200000000001</v>
      </c>
      <c r="V1198" s="2">
        <v>217</v>
      </c>
      <c r="W1198" s="2">
        <v>2005</v>
      </c>
    </row>
    <row r="1199" spans="1:23" ht="12.3" hidden="1" x14ac:dyDescent="0.4">
      <c r="A1199" s="2" t="s">
        <v>244</v>
      </c>
      <c r="B1199" s="2"/>
      <c r="C1199" s="2"/>
      <c r="D1199" s="2"/>
      <c r="E1199" s="2"/>
      <c r="F1199" s="2"/>
      <c r="G1199" s="2"/>
      <c r="H1199" s="2"/>
      <c r="I1199" s="2">
        <v>68.177199999999999</v>
      </c>
      <c r="J1199" s="2">
        <v>130</v>
      </c>
      <c r="K1199" s="2">
        <v>66.584100000000007</v>
      </c>
      <c r="L1199" s="2">
        <v>194</v>
      </c>
      <c r="M1199" s="2">
        <v>101.4224</v>
      </c>
      <c r="N1199" s="2">
        <v>165</v>
      </c>
      <c r="O1199" s="2">
        <v>97.825599999999994</v>
      </c>
      <c r="P1199" s="2">
        <v>227</v>
      </c>
      <c r="Q1199" s="2">
        <v>100.712</v>
      </c>
      <c r="R1199" s="2">
        <v>146</v>
      </c>
      <c r="S1199" s="2">
        <v>103.31780000000001</v>
      </c>
      <c r="T1199" s="2">
        <v>203</v>
      </c>
      <c r="U1199" s="2">
        <v>0.34792600000000001</v>
      </c>
      <c r="V1199" s="2">
        <v>218</v>
      </c>
      <c r="W1199" s="2">
        <v>2005</v>
      </c>
    </row>
    <row r="1200" spans="1:23" ht="12.3" hidden="1" x14ac:dyDescent="0.4">
      <c r="A1200" s="2" t="s">
        <v>230</v>
      </c>
      <c r="B1200" s="2"/>
      <c r="C1200" s="2"/>
      <c r="D1200" s="2"/>
      <c r="E1200" s="2"/>
      <c r="F1200" s="2"/>
      <c r="G1200" s="2"/>
      <c r="H1200" s="2"/>
      <c r="I1200" s="2">
        <v>65.662499999999994</v>
      </c>
      <c r="J1200" s="2">
        <v>226</v>
      </c>
      <c r="K1200" s="2">
        <v>66.759900000000002</v>
      </c>
      <c r="L1200" s="2">
        <v>187</v>
      </c>
      <c r="M1200" s="2">
        <v>94.9084</v>
      </c>
      <c r="N1200" s="2">
        <v>266</v>
      </c>
      <c r="O1200" s="2">
        <v>98.663499999999999</v>
      </c>
      <c r="P1200" s="2">
        <v>212</v>
      </c>
      <c r="Q1200" s="2">
        <v>109.631</v>
      </c>
      <c r="R1200" s="2">
        <v>314</v>
      </c>
      <c r="S1200" s="2">
        <v>104.20480000000001</v>
      </c>
      <c r="T1200" s="2">
        <v>224</v>
      </c>
      <c r="U1200" s="2">
        <v>0.34787200000000001</v>
      </c>
      <c r="V1200" s="2">
        <v>219</v>
      </c>
      <c r="W1200" s="2">
        <v>2005</v>
      </c>
    </row>
    <row r="1201" spans="1:23" ht="12.3" hidden="1" x14ac:dyDescent="0.4">
      <c r="A1201" s="2" t="s">
        <v>222</v>
      </c>
      <c r="B1201" s="2"/>
      <c r="C1201" s="2"/>
      <c r="D1201" s="2"/>
      <c r="E1201" s="2"/>
      <c r="F1201" s="2"/>
      <c r="G1201" s="2"/>
      <c r="H1201" s="2"/>
      <c r="I1201" s="2">
        <v>68.486999999999995</v>
      </c>
      <c r="J1201" s="2">
        <v>118</v>
      </c>
      <c r="K1201" s="2">
        <v>69.472899999999996</v>
      </c>
      <c r="L1201" s="2">
        <v>80</v>
      </c>
      <c r="M1201" s="2">
        <v>98.644199999999998</v>
      </c>
      <c r="N1201" s="2">
        <v>222</v>
      </c>
      <c r="O1201" s="2">
        <v>98.094899999999996</v>
      </c>
      <c r="P1201" s="2">
        <v>222</v>
      </c>
      <c r="Q1201" s="2">
        <v>105.24639999999999</v>
      </c>
      <c r="R1201" s="2">
        <v>256</v>
      </c>
      <c r="S1201" s="2">
        <v>103.6591</v>
      </c>
      <c r="T1201" s="2">
        <v>212</v>
      </c>
      <c r="U1201" s="2">
        <v>0.34649400000000002</v>
      </c>
      <c r="V1201" s="2">
        <v>220</v>
      </c>
      <c r="W1201" s="2">
        <v>2005</v>
      </c>
    </row>
    <row r="1202" spans="1:23" ht="12.3" hidden="1" x14ac:dyDescent="0.4">
      <c r="A1202" s="2" t="s">
        <v>287</v>
      </c>
      <c r="B1202" s="2"/>
      <c r="C1202" s="2"/>
      <c r="D1202" s="2"/>
      <c r="E1202" s="2"/>
      <c r="F1202" s="2"/>
      <c r="G1202" s="2"/>
      <c r="H1202" s="2"/>
      <c r="I1202" s="2">
        <v>64.798100000000005</v>
      </c>
      <c r="J1202" s="2">
        <v>260</v>
      </c>
      <c r="K1202" s="2">
        <v>64.494600000000005</v>
      </c>
      <c r="L1202" s="2">
        <v>273</v>
      </c>
      <c r="M1202" s="2">
        <v>92.918899999999994</v>
      </c>
      <c r="N1202" s="2">
        <v>289</v>
      </c>
      <c r="O1202" s="2">
        <v>95.392099999999999</v>
      </c>
      <c r="P1202" s="2">
        <v>264</v>
      </c>
      <c r="Q1202" s="2">
        <v>102.1553</v>
      </c>
      <c r="R1202" s="2">
        <v>193</v>
      </c>
      <c r="S1202" s="2">
        <v>101.0367</v>
      </c>
      <c r="T1202" s="2">
        <v>153</v>
      </c>
      <c r="U1202" s="2">
        <v>0.34048800000000001</v>
      </c>
      <c r="V1202" s="2">
        <v>221</v>
      </c>
      <c r="W1202" s="2">
        <v>2005</v>
      </c>
    </row>
    <row r="1203" spans="1:23" ht="12.3" hidden="1" x14ac:dyDescent="0.4">
      <c r="A1203" s="2" t="s">
        <v>323</v>
      </c>
      <c r="B1203" s="2"/>
      <c r="C1203" s="2"/>
      <c r="D1203" s="2"/>
      <c r="E1203" s="2"/>
      <c r="F1203" s="2"/>
      <c r="G1203" s="2"/>
      <c r="H1203" s="2"/>
      <c r="I1203" s="2">
        <v>61.392699999999998</v>
      </c>
      <c r="J1203" s="2">
        <v>316</v>
      </c>
      <c r="K1203" s="2">
        <v>61.109099999999998</v>
      </c>
      <c r="L1203" s="2">
        <v>318</v>
      </c>
      <c r="M1203" s="2">
        <v>104.4311</v>
      </c>
      <c r="N1203" s="2">
        <v>104</v>
      </c>
      <c r="O1203" s="2">
        <v>101.6045</v>
      </c>
      <c r="P1203" s="2">
        <v>156</v>
      </c>
      <c r="Q1203" s="2">
        <v>102.8751</v>
      </c>
      <c r="R1203" s="2">
        <v>209</v>
      </c>
      <c r="S1203" s="2">
        <v>107.64</v>
      </c>
      <c r="T1203" s="2">
        <v>280</v>
      </c>
      <c r="U1203" s="2">
        <v>0.33993000000000001</v>
      </c>
      <c r="V1203" s="2">
        <v>222</v>
      </c>
      <c r="W1203" s="2">
        <v>2005</v>
      </c>
    </row>
    <row r="1204" spans="1:23" ht="12.3" hidden="1" x14ac:dyDescent="0.4">
      <c r="A1204" s="2" t="s">
        <v>333</v>
      </c>
      <c r="B1204" s="2"/>
      <c r="C1204" s="2"/>
      <c r="D1204" s="2"/>
      <c r="E1204" s="2"/>
      <c r="F1204" s="2"/>
      <c r="G1204" s="2"/>
      <c r="H1204" s="2"/>
      <c r="I1204" s="2">
        <v>62.556600000000003</v>
      </c>
      <c r="J1204" s="2">
        <v>307</v>
      </c>
      <c r="K1204" s="2">
        <v>63.6</v>
      </c>
      <c r="L1204" s="2">
        <v>296</v>
      </c>
      <c r="M1204" s="2">
        <v>101.2052</v>
      </c>
      <c r="N1204" s="2">
        <v>176</v>
      </c>
      <c r="O1204" s="2">
        <v>100.6375</v>
      </c>
      <c r="P1204" s="2">
        <v>180</v>
      </c>
      <c r="Q1204" s="2">
        <v>104.6675</v>
      </c>
      <c r="R1204" s="2">
        <v>245</v>
      </c>
      <c r="S1204" s="2">
        <v>106.7724</v>
      </c>
      <c r="T1204" s="2">
        <v>269</v>
      </c>
      <c r="U1204" s="2">
        <v>0.33614699999999997</v>
      </c>
      <c r="V1204" s="2">
        <v>223</v>
      </c>
      <c r="W1204" s="2">
        <v>2005</v>
      </c>
    </row>
    <row r="1205" spans="1:23" ht="12.3" hidden="1" x14ac:dyDescent="0.4">
      <c r="A1205" s="2" t="s">
        <v>184</v>
      </c>
      <c r="B1205" s="2"/>
      <c r="C1205" s="2"/>
      <c r="D1205" s="2"/>
      <c r="E1205" s="2"/>
      <c r="F1205" s="2"/>
      <c r="G1205" s="2"/>
      <c r="H1205" s="2"/>
      <c r="I1205" s="2">
        <v>72.963899999999995</v>
      </c>
      <c r="J1205" s="2">
        <v>21</v>
      </c>
      <c r="K1205" s="2">
        <v>72.415599999999998</v>
      </c>
      <c r="L1205" s="2">
        <v>20</v>
      </c>
      <c r="M1205" s="2">
        <v>98.961399999999998</v>
      </c>
      <c r="N1205" s="2">
        <v>217</v>
      </c>
      <c r="O1205" s="2">
        <v>99.470100000000002</v>
      </c>
      <c r="P1205" s="2">
        <v>201</v>
      </c>
      <c r="Q1205" s="2">
        <v>103.35509999999999</v>
      </c>
      <c r="R1205" s="2">
        <v>221</v>
      </c>
      <c r="S1205" s="2">
        <v>105.58459999999999</v>
      </c>
      <c r="T1205" s="2">
        <v>250</v>
      </c>
      <c r="U1205" s="2">
        <v>0.33491500000000002</v>
      </c>
      <c r="V1205" s="2">
        <v>224</v>
      </c>
      <c r="W1205" s="2">
        <v>2005</v>
      </c>
    </row>
    <row r="1206" spans="1:23" ht="12.3" hidden="1" x14ac:dyDescent="0.4">
      <c r="A1206" s="2" t="s">
        <v>107</v>
      </c>
      <c r="B1206" s="2"/>
      <c r="C1206" s="2"/>
      <c r="D1206" s="2"/>
      <c r="E1206" s="2"/>
      <c r="F1206" s="2"/>
      <c r="G1206" s="2"/>
      <c r="H1206" s="2"/>
      <c r="I1206" s="2">
        <v>75.054199999999994</v>
      </c>
      <c r="J1206" s="2">
        <v>5</v>
      </c>
      <c r="K1206" s="2">
        <v>74.726299999999995</v>
      </c>
      <c r="L1206" s="2">
        <v>4</v>
      </c>
      <c r="M1206" s="2">
        <v>97.602400000000003</v>
      </c>
      <c r="N1206" s="2">
        <v>234</v>
      </c>
      <c r="O1206" s="2">
        <v>97.012699999999995</v>
      </c>
      <c r="P1206" s="2">
        <v>240</v>
      </c>
      <c r="Q1206" s="2">
        <v>102.3193</v>
      </c>
      <c r="R1206" s="2">
        <v>196</v>
      </c>
      <c r="S1206" s="2">
        <v>103.02160000000001</v>
      </c>
      <c r="T1206" s="2">
        <v>193</v>
      </c>
      <c r="U1206" s="2">
        <v>0.333785</v>
      </c>
      <c r="V1206" s="2">
        <v>225</v>
      </c>
      <c r="W1206" s="2">
        <v>2005</v>
      </c>
    </row>
    <row r="1207" spans="1:23" ht="12.3" hidden="1" x14ac:dyDescent="0.4">
      <c r="A1207" s="2" t="s">
        <v>19</v>
      </c>
      <c r="B1207" s="2"/>
      <c r="C1207" s="2"/>
      <c r="D1207" s="2"/>
      <c r="E1207" s="2"/>
      <c r="F1207" s="2"/>
      <c r="G1207" s="2"/>
      <c r="H1207" s="2"/>
      <c r="I1207" s="2">
        <v>65.537800000000004</v>
      </c>
      <c r="J1207" s="2">
        <v>235</v>
      </c>
      <c r="K1207" s="2">
        <v>65.277100000000004</v>
      </c>
      <c r="L1207" s="2">
        <v>243</v>
      </c>
      <c r="M1207" s="2">
        <v>90.326899999999995</v>
      </c>
      <c r="N1207" s="2">
        <v>316</v>
      </c>
      <c r="O1207" s="2">
        <v>91.874200000000002</v>
      </c>
      <c r="P1207" s="2">
        <v>301</v>
      </c>
      <c r="Q1207" s="2">
        <v>102.44289999999999</v>
      </c>
      <c r="R1207" s="2">
        <v>198</v>
      </c>
      <c r="S1207" s="2">
        <v>97.613399999999999</v>
      </c>
      <c r="T1207" s="2">
        <v>78</v>
      </c>
      <c r="U1207" s="2">
        <v>0.332513</v>
      </c>
      <c r="V1207" s="2">
        <v>226</v>
      </c>
      <c r="W1207" s="2">
        <v>2005</v>
      </c>
    </row>
    <row r="1208" spans="1:23" ht="12.3" hidden="1" x14ac:dyDescent="0.4">
      <c r="A1208" s="2" t="s">
        <v>174</v>
      </c>
      <c r="B1208" s="2"/>
      <c r="C1208" s="2"/>
      <c r="D1208" s="2"/>
      <c r="E1208" s="2"/>
      <c r="F1208" s="2"/>
      <c r="G1208" s="2"/>
      <c r="H1208" s="2"/>
      <c r="I1208" s="2">
        <v>68.2911</v>
      </c>
      <c r="J1208" s="2">
        <v>127</v>
      </c>
      <c r="K1208" s="2">
        <v>69.374099999999999</v>
      </c>
      <c r="L1208" s="2">
        <v>83</v>
      </c>
      <c r="M1208" s="2">
        <v>94.727199999999996</v>
      </c>
      <c r="N1208" s="2">
        <v>270</v>
      </c>
      <c r="O1208" s="2">
        <v>94.526499999999999</v>
      </c>
      <c r="P1208" s="2">
        <v>273</v>
      </c>
      <c r="Q1208" s="2">
        <v>99.193799999999996</v>
      </c>
      <c r="R1208" s="2">
        <v>111</v>
      </c>
      <c r="S1208" s="2">
        <v>100.5467</v>
      </c>
      <c r="T1208" s="2">
        <v>139</v>
      </c>
      <c r="U1208" s="2">
        <v>0.32959300000000002</v>
      </c>
      <c r="V1208" s="2">
        <v>227</v>
      </c>
      <c r="W1208" s="2">
        <v>2005</v>
      </c>
    </row>
    <row r="1209" spans="1:23" ht="12.3" hidden="1" x14ac:dyDescent="0.4">
      <c r="A1209" s="2" t="s">
        <v>330</v>
      </c>
      <c r="B1209" s="2"/>
      <c r="C1209" s="2"/>
      <c r="D1209" s="2"/>
      <c r="E1209" s="2"/>
      <c r="F1209" s="2"/>
      <c r="G1209" s="2"/>
      <c r="H1209" s="2"/>
      <c r="I1209" s="2">
        <v>72.056799999999996</v>
      </c>
      <c r="J1209" s="2">
        <v>30</v>
      </c>
      <c r="K1209" s="2">
        <v>73.285700000000006</v>
      </c>
      <c r="L1209" s="2">
        <v>12</v>
      </c>
      <c r="M1209" s="2">
        <v>99.805300000000003</v>
      </c>
      <c r="N1209" s="2">
        <v>203</v>
      </c>
      <c r="O1209" s="2">
        <v>96.686199999999999</v>
      </c>
      <c r="P1209" s="2">
        <v>241</v>
      </c>
      <c r="Q1209" s="2">
        <v>99.180599999999998</v>
      </c>
      <c r="R1209" s="2">
        <v>110</v>
      </c>
      <c r="S1209" s="2">
        <v>103.0535</v>
      </c>
      <c r="T1209" s="2">
        <v>195</v>
      </c>
      <c r="U1209" s="2">
        <v>0.32444000000000001</v>
      </c>
      <c r="V1209" s="2">
        <v>228</v>
      </c>
      <c r="W1209" s="2">
        <v>2005</v>
      </c>
    </row>
    <row r="1210" spans="1:23" ht="12.3" hidden="1" x14ac:dyDescent="0.4">
      <c r="A1210" s="2" t="s">
        <v>264</v>
      </c>
      <c r="B1210" s="2"/>
      <c r="C1210" s="2"/>
      <c r="D1210" s="2"/>
      <c r="E1210" s="2"/>
      <c r="F1210" s="2"/>
      <c r="G1210" s="2"/>
      <c r="H1210" s="2"/>
      <c r="I1210" s="2">
        <v>66.423100000000005</v>
      </c>
      <c r="J1210" s="2">
        <v>197</v>
      </c>
      <c r="K1210" s="2">
        <v>67.265299999999996</v>
      </c>
      <c r="L1210" s="2">
        <v>161</v>
      </c>
      <c r="M1210" s="2">
        <v>101.3527</v>
      </c>
      <c r="N1210" s="2">
        <v>167</v>
      </c>
      <c r="O1210" s="2">
        <v>100.90170000000001</v>
      </c>
      <c r="P1210" s="2">
        <v>174</v>
      </c>
      <c r="Q1210" s="2">
        <v>107.9359</v>
      </c>
      <c r="R1210" s="2">
        <v>291</v>
      </c>
      <c r="S1210" s="2">
        <v>107.8296</v>
      </c>
      <c r="T1210" s="2">
        <v>283</v>
      </c>
      <c r="U1210" s="2">
        <v>0.31785200000000002</v>
      </c>
      <c r="V1210" s="2">
        <v>229</v>
      </c>
      <c r="W1210" s="2">
        <v>2005</v>
      </c>
    </row>
    <row r="1211" spans="1:23" ht="12.3" hidden="1" x14ac:dyDescent="0.4">
      <c r="A1211" s="2" t="s">
        <v>279</v>
      </c>
      <c r="B1211" s="2"/>
      <c r="C1211" s="2"/>
      <c r="D1211" s="2"/>
      <c r="E1211" s="2"/>
      <c r="F1211" s="2"/>
      <c r="G1211" s="2"/>
      <c r="H1211" s="2"/>
      <c r="I1211" s="2">
        <v>68.683999999999997</v>
      </c>
      <c r="J1211" s="2">
        <v>113</v>
      </c>
      <c r="K1211" s="2">
        <v>67.637200000000007</v>
      </c>
      <c r="L1211" s="2">
        <v>145</v>
      </c>
      <c r="M1211" s="2">
        <v>100.4658</v>
      </c>
      <c r="N1211" s="2">
        <v>190</v>
      </c>
      <c r="O1211" s="2">
        <v>101.1063</v>
      </c>
      <c r="P1211" s="2">
        <v>168</v>
      </c>
      <c r="Q1211" s="2">
        <v>104.70950000000001</v>
      </c>
      <c r="R1211" s="2">
        <v>246</v>
      </c>
      <c r="S1211" s="2">
        <v>108.16670000000001</v>
      </c>
      <c r="T1211" s="2">
        <v>284</v>
      </c>
      <c r="U1211" s="2">
        <v>0.31512600000000002</v>
      </c>
      <c r="V1211" s="2">
        <v>230</v>
      </c>
      <c r="W1211" s="2">
        <v>2005</v>
      </c>
    </row>
    <row r="1212" spans="1:23" ht="12.3" hidden="1" x14ac:dyDescent="0.4">
      <c r="A1212" s="2" t="s">
        <v>318</v>
      </c>
      <c r="B1212" s="2"/>
      <c r="C1212" s="2"/>
      <c r="D1212" s="2"/>
      <c r="E1212" s="2"/>
      <c r="F1212" s="2"/>
      <c r="G1212" s="2"/>
      <c r="H1212" s="2"/>
      <c r="I1212" s="2">
        <v>73.867000000000004</v>
      </c>
      <c r="J1212" s="2">
        <v>13</v>
      </c>
      <c r="K1212" s="2">
        <v>72.228899999999996</v>
      </c>
      <c r="L1212" s="2">
        <v>23</v>
      </c>
      <c r="M1212" s="2">
        <v>105.7739</v>
      </c>
      <c r="N1212" s="2">
        <v>70</v>
      </c>
      <c r="O1212" s="2">
        <v>101.6103</v>
      </c>
      <c r="P1212" s="2">
        <v>155</v>
      </c>
      <c r="Q1212" s="2">
        <v>104.3336</v>
      </c>
      <c r="R1212" s="2">
        <v>238</v>
      </c>
      <c r="S1212" s="2">
        <v>108.75490000000001</v>
      </c>
      <c r="T1212" s="2">
        <v>294</v>
      </c>
      <c r="U1212" s="2">
        <v>0.31400800000000001</v>
      </c>
      <c r="V1212" s="2">
        <v>231</v>
      </c>
      <c r="W1212" s="2">
        <v>2005</v>
      </c>
    </row>
    <row r="1213" spans="1:23" ht="12.3" hidden="1" x14ac:dyDescent="0.4">
      <c r="A1213" s="2" t="s">
        <v>152</v>
      </c>
      <c r="B1213" s="2"/>
      <c r="C1213" s="2"/>
      <c r="D1213" s="2"/>
      <c r="E1213" s="2"/>
      <c r="F1213" s="2"/>
      <c r="G1213" s="2"/>
      <c r="H1213" s="2"/>
      <c r="I1213" s="2">
        <v>67.330799999999996</v>
      </c>
      <c r="J1213" s="2">
        <v>160</v>
      </c>
      <c r="K1213" s="2">
        <v>66.276799999999994</v>
      </c>
      <c r="L1213" s="2">
        <v>207</v>
      </c>
      <c r="M1213" s="2">
        <v>103.086</v>
      </c>
      <c r="N1213" s="2">
        <v>126</v>
      </c>
      <c r="O1213" s="2">
        <v>101.1536</v>
      </c>
      <c r="P1213" s="2">
        <v>166</v>
      </c>
      <c r="Q1213" s="2">
        <v>106.77809999999999</v>
      </c>
      <c r="R1213" s="2">
        <v>273</v>
      </c>
      <c r="S1213" s="2">
        <v>108.43729999999999</v>
      </c>
      <c r="T1213" s="2">
        <v>288</v>
      </c>
      <c r="U1213" s="2">
        <v>0.31010900000000002</v>
      </c>
      <c r="V1213" s="2">
        <v>232</v>
      </c>
      <c r="W1213" s="2">
        <v>2005</v>
      </c>
    </row>
    <row r="1214" spans="1:23" ht="12.3" hidden="1" x14ac:dyDescent="0.4">
      <c r="A1214" s="2" t="s">
        <v>218</v>
      </c>
      <c r="B1214" s="2"/>
      <c r="C1214" s="2"/>
      <c r="D1214" s="2"/>
      <c r="E1214" s="2"/>
      <c r="F1214" s="2"/>
      <c r="G1214" s="2"/>
      <c r="H1214" s="2"/>
      <c r="I1214" s="2">
        <v>74.008700000000005</v>
      </c>
      <c r="J1214" s="2">
        <v>11</v>
      </c>
      <c r="K1214" s="2">
        <v>74.138000000000005</v>
      </c>
      <c r="L1214" s="2">
        <v>8</v>
      </c>
      <c r="M1214" s="2">
        <v>101.28579999999999</v>
      </c>
      <c r="N1214" s="2">
        <v>172</v>
      </c>
      <c r="O1214" s="2">
        <v>100.4687</v>
      </c>
      <c r="P1214" s="2">
        <v>182</v>
      </c>
      <c r="Q1214" s="2">
        <v>103.94759999999999</v>
      </c>
      <c r="R1214" s="2">
        <v>229</v>
      </c>
      <c r="S1214" s="2">
        <v>107.72239999999999</v>
      </c>
      <c r="T1214" s="2">
        <v>282</v>
      </c>
      <c r="U1214" s="2">
        <v>0.309666</v>
      </c>
      <c r="V1214" s="2">
        <v>233</v>
      </c>
      <c r="W1214" s="2">
        <v>2005</v>
      </c>
    </row>
    <row r="1215" spans="1:23" ht="12.3" hidden="1" x14ac:dyDescent="0.4">
      <c r="A1215" s="2" t="s">
        <v>143</v>
      </c>
      <c r="B1215" s="2"/>
      <c r="C1215" s="2"/>
      <c r="D1215" s="2"/>
      <c r="E1215" s="2"/>
      <c r="F1215" s="2"/>
      <c r="G1215" s="2"/>
      <c r="H1215" s="2"/>
      <c r="I1215" s="2">
        <v>67.770499999999998</v>
      </c>
      <c r="J1215" s="2">
        <v>141</v>
      </c>
      <c r="K1215" s="2">
        <v>66.792299999999997</v>
      </c>
      <c r="L1215" s="2">
        <v>184</v>
      </c>
      <c r="M1215" s="2">
        <v>103.0181</v>
      </c>
      <c r="N1215" s="2">
        <v>128</v>
      </c>
      <c r="O1215" s="2">
        <v>100.0577</v>
      </c>
      <c r="P1215" s="2">
        <v>187</v>
      </c>
      <c r="Q1215" s="2">
        <v>107.045</v>
      </c>
      <c r="R1215" s="2">
        <v>278</v>
      </c>
      <c r="S1215" s="2">
        <v>107.3403</v>
      </c>
      <c r="T1215" s="2">
        <v>277</v>
      </c>
      <c r="U1215" s="2">
        <v>0.30832500000000002</v>
      </c>
      <c r="V1215" s="2">
        <v>234</v>
      </c>
      <c r="W1215" s="2">
        <v>2005</v>
      </c>
    </row>
    <row r="1216" spans="1:23" ht="12.3" hidden="1" x14ac:dyDescent="0.4">
      <c r="A1216" s="2" t="s">
        <v>158</v>
      </c>
      <c r="B1216" s="2"/>
      <c r="C1216" s="2"/>
      <c r="D1216" s="2"/>
      <c r="E1216" s="2"/>
      <c r="F1216" s="2"/>
      <c r="G1216" s="2"/>
      <c r="H1216" s="2"/>
      <c r="I1216" s="2">
        <v>65.359300000000005</v>
      </c>
      <c r="J1216" s="2">
        <v>238</v>
      </c>
      <c r="K1216" s="2">
        <v>64.848699999999994</v>
      </c>
      <c r="L1216" s="2">
        <v>259</v>
      </c>
      <c r="M1216" s="2">
        <v>100.1129</v>
      </c>
      <c r="N1216" s="2">
        <v>196</v>
      </c>
      <c r="O1216" s="2">
        <v>102.5042</v>
      </c>
      <c r="P1216" s="2">
        <v>141</v>
      </c>
      <c r="Q1216" s="2">
        <v>111.49760000000001</v>
      </c>
      <c r="R1216" s="2">
        <v>324</v>
      </c>
      <c r="S1216" s="2">
        <v>109.9726</v>
      </c>
      <c r="T1216" s="2">
        <v>305</v>
      </c>
      <c r="U1216" s="2">
        <v>0.30815300000000001</v>
      </c>
      <c r="V1216" s="2">
        <v>235</v>
      </c>
      <c r="W1216" s="2">
        <v>2005</v>
      </c>
    </row>
    <row r="1217" spans="1:23" ht="12.3" hidden="1" x14ac:dyDescent="0.4">
      <c r="A1217" s="2" t="s">
        <v>188</v>
      </c>
      <c r="B1217" s="2"/>
      <c r="C1217" s="2"/>
      <c r="D1217" s="2"/>
      <c r="E1217" s="2"/>
      <c r="F1217" s="2"/>
      <c r="G1217" s="2"/>
      <c r="H1217" s="2"/>
      <c r="I1217" s="2">
        <v>64.954300000000003</v>
      </c>
      <c r="J1217" s="2">
        <v>258</v>
      </c>
      <c r="K1217" s="2">
        <v>65.179199999999994</v>
      </c>
      <c r="L1217" s="2">
        <v>248</v>
      </c>
      <c r="M1217" s="2">
        <v>92.494900000000001</v>
      </c>
      <c r="N1217" s="2">
        <v>295</v>
      </c>
      <c r="O1217" s="2">
        <v>93.097700000000003</v>
      </c>
      <c r="P1217" s="2">
        <v>293</v>
      </c>
      <c r="Q1217" s="2">
        <v>101.0855</v>
      </c>
      <c r="R1217" s="2">
        <v>154</v>
      </c>
      <c r="S1217" s="2">
        <v>100.0733</v>
      </c>
      <c r="T1217" s="2">
        <v>129</v>
      </c>
      <c r="U1217" s="2">
        <v>0.303452</v>
      </c>
      <c r="V1217" s="2">
        <v>236</v>
      </c>
      <c r="W1217" s="2">
        <v>2005</v>
      </c>
    </row>
    <row r="1218" spans="1:23" ht="12.3" hidden="1" x14ac:dyDescent="0.4">
      <c r="A1218" s="2" t="s">
        <v>175</v>
      </c>
      <c r="B1218" s="2"/>
      <c r="C1218" s="2"/>
      <c r="D1218" s="2"/>
      <c r="E1218" s="2"/>
      <c r="F1218" s="2"/>
      <c r="G1218" s="2"/>
      <c r="H1218" s="2"/>
      <c r="I1218" s="2">
        <v>66.331500000000005</v>
      </c>
      <c r="J1218" s="2">
        <v>200</v>
      </c>
      <c r="K1218" s="2">
        <v>65.688400000000001</v>
      </c>
      <c r="L1218" s="2">
        <v>232</v>
      </c>
      <c r="M1218" s="2">
        <v>99.149299999999997</v>
      </c>
      <c r="N1218" s="2">
        <v>214</v>
      </c>
      <c r="O1218" s="2">
        <v>101.9344</v>
      </c>
      <c r="P1218" s="2">
        <v>151</v>
      </c>
      <c r="Q1218" s="2">
        <v>109.0896</v>
      </c>
      <c r="R1218" s="2">
        <v>304</v>
      </c>
      <c r="S1218" s="2">
        <v>109.6129</v>
      </c>
      <c r="T1218" s="2">
        <v>302</v>
      </c>
      <c r="U1218" s="2">
        <v>0.30254799999999998</v>
      </c>
      <c r="V1218" s="2">
        <v>237</v>
      </c>
      <c r="W1218" s="2">
        <v>2005</v>
      </c>
    </row>
    <row r="1219" spans="1:23" ht="12.3" hidden="1" x14ac:dyDescent="0.4">
      <c r="A1219" s="2" t="s">
        <v>233</v>
      </c>
      <c r="B1219" s="2"/>
      <c r="C1219" s="2"/>
      <c r="D1219" s="2"/>
      <c r="E1219" s="2"/>
      <c r="F1219" s="2"/>
      <c r="G1219" s="2"/>
      <c r="H1219" s="2"/>
      <c r="I1219" s="2">
        <v>66.884200000000007</v>
      </c>
      <c r="J1219" s="2">
        <v>175</v>
      </c>
      <c r="K1219" s="2">
        <v>68.850200000000001</v>
      </c>
      <c r="L1219" s="2">
        <v>99</v>
      </c>
      <c r="M1219" s="2">
        <v>98.465800000000002</v>
      </c>
      <c r="N1219" s="2">
        <v>225</v>
      </c>
      <c r="O1219" s="2">
        <v>97.202600000000004</v>
      </c>
      <c r="P1219" s="2">
        <v>237</v>
      </c>
      <c r="Q1219" s="2">
        <v>101.2428</v>
      </c>
      <c r="R1219" s="2">
        <v>160</v>
      </c>
      <c r="S1219" s="2">
        <v>104.5868</v>
      </c>
      <c r="T1219" s="2">
        <v>229</v>
      </c>
      <c r="U1219" s="2">
        <v>0.30110599999999998</v>
      </c>
      <c r="V1219" s="2">
        <v>238</v>
      </c>
      <c r="W1219" s="2">
        <v>2005</v>
      </c>
    </row>
    <row r="1220" spans="1:23" ht="12.3" hidden="1" x14ac:dyDescent="0.4">
      <c r="A1220" s="2" t="s">
        <v>348</v>
      </c>
      <c r="B1220" s="2"/>
      <c r="C1220" s="2"/>
      <c r="D1220" s="2"/>
      <c r="E1220" s="2"/>
      <c r="F1220" s="2"/>
      <c r="G1220" s="2"/>
      <c r="H1220" s="2"/>
      <c r="I1220" s="2">
        <v>65.667400000000001</v>
      </c>
      <c r="J1220" s="2">
        <v>225</v>
      </c>
      <c r="K1220" s="2">
        <v>66.491900000000001</v>
      </c>
      <c r="L1220" s="2">
        <v>199</v>
      </c>
      <c r="M1220" s="2">
        <v>97.961799999999997</v>
      </c>
      <c r="N1220" s="2">
        <v>231</v>
      </c>
      <c r="O1220" s="2">
        <v>96.008399999999995</v>
      </c>
      <c r="P1220" s="2">
        <v>254</v>
      </c>
      <c r="Q1220" s="2">
        <v>107.2835</v>
      </c>
      <c r="R1220" s="2">
        <v>285</v>
      </c>
      <c r="S1220" s="2">
        <v>103.4391</v>
      </c>
      <c r="T1220" s="2">
        <v>208</v>
      </c>
      <c r="U1220" s="2">
        <v>0.297906</v>
      </c>
      <c r="V1220" s="2">
        <v>239</v>
      </c>
      <c r="W1220" s="2">
        <v>2005</v>
      </c>
    </row>
    <row r="1221" spans="1:23" ht="12.3" hidden="1" x14ac:dyDescent="0.4">
      <c r="A1221" s="2" t="s">
        <v>235</v>
      </c>
      <c r="B1221" s="2"/>
      <c r="C1221" s="2"/>
      <c r="D1221" s="2"/>
      <c r="E1221" s="2"/>
      <c r="F1221" s="2"/>
      <c r="G1221" s="2"/>
      <c r="H1221" s="2"/>
      <c r="I1221" s="2">
        <v>69.813500000000005</v>
      </c>
      <c r="J1221" s="2">
        <v>84</v>
      </c>
      <c r="K1221" s="2">
        <v>69.743200000000002</v>
      </c>
      <c r="L1221" s="2">
        <v>70</v>
      </c>
      <c r="M1221" s="2">
        <v>94.416300000000007</v>
      </c>
      <c r="N1221" s="2">
        <v>274</v>
      </c>
      <c r="O1221" s="2">
        <v>96.388000000000005</v>
      </c>
      <c r="P1221" s="2">
        <v>247</v>
      </c>
      <c r="Q1221" s="2">
        <v>109.3784</v>
      </c>
      <c r="R1221" s="2">
        <v>310</v>
      </c>
      <c r="S1221" s="2">
        <v>103.858</v>
      </c>
      <c r="T1221" s="2">
        <v>216</v>
      </c>
      <c r="U1221" s="2">
        <v>0.29767500000000002</v>
      </c>
      <c r="V1221" s="2">
        <v>240</v>
      </c>
      <c r="W1221" s="2">
        <v>2005</v>
      </c>
    </row>
    <row r="1222" spans="1:23" ht="12.3" hidden="1" x14ac:dyDescent="0.4">
      <c r="A1222" s="2" t="s">
        <v>341</v>
      </c>
      <c r="B1222" s="2"/>
      <c r="C1222" s="2"/>
      <c r="D1222" s="2"/>
      <c r="E1222" s="2"/>
      <c r="F1222" s="2"/>
      <c r="G1222" s="2"/>
      <c r="H1222" s="2"/>
      <c r="I1222" s="2">
        <v>65.329300000000003</v>
      </c>
      <c r="J1222" s="2">
        <v>240</v>
      </c>
      <c r="K1222" s="2">
        <v>65.577500000000001</v>
      </c>
      <c r="L1222" s="2">
        <v>234</v>
      </c>
      <c r="M1222" s="2">
        <v>91.325800000000001</v>
      </c>
      <c r="N1222" s="2">
        <v>305</v>
      </c>
      <c r="O1222" s="2">
        <v>91.859499999999997</v>
      </c>
      <c r="P1222" s="2">
        <v>302</v>
      </c>
      <c r="Q1222" s="2">
        <v>96.692999999999998</v>
      </c>
      <c r="R1222" s="2">
        <v>56</v>
      </c>
      <c r="S1222" s="2">
        <v>99.056799999999996</v>
      </c>
      <c r="T1222" s="2">
        <v>106</v>
      </c>
      <c r="U1222" s="2">
        <v>0.29577799999999999</v>
      </c>
      <c r="V1222" s="2">
        <v>241</v>
      </c>
      <c r="W1222" s="2">
        <v>2005</v>
      </c>
    </row>
    <row r="1223" spans="1:23" ht="12.3" hidden="1" x14ac:dyDescent="0.4">
      <c r="A1223" s="2" t="s">
        <v>156</v>
      </c>
      <c r="B1223" s="2"/>
      <c r="C1223" s="2"/>
      <c r="D1223" s="2"/>
      <c r="E1223" s="2"/>
      <c r="F1223" s="2"/>
      <c r="G1223" s="2"/>
      <c r="H1223" s="2"/>
      <c r="I1223" s="2">
        <v>65.004900000000006</v>
      </c>
      <c r="J1223" s="2">
        <v>257</v>
      </c>
      <c r="K1223" s="2">
        <v>64.678799999999995</v>
      </c>
      <c r="L1223" s="2">
        <v>265</v>
      </c>
      <c r="M1223" s="2">
        <v>105.11360000000001</v>
      </c>
      <c r="N1223" s="2">
        <v>86</v>
      </c>
      <c r="O1223" s="2">
        <v>101.2195</v>
      </c>
      <c r="P1223" s="2">
        <v>165</v>
      </c>
      <c r="Q1223" s="2">
        <v>106.6371</v>
      </c>
      <c r="R1223" s="2">
        <v>270</v>
      </c>
      <c r="S1223" s="2">
        <v>109.1537</v>
      </c>
      <c r="T1223" s="2">
        <v>298</v>
      </c>
      <c r="U1223" s="2">
        <v>0.29570000000000002</v>
      </c>
      <c r="V1223" s="2">
        <v>242</v>
      </c>
      <c r="W1223" s="2">
        <v>2005</v>
      </c>
    </row>
    <row r="1224" spans="1:23" ht="12.3" hidden="1" x14ac:dyDescent="0.4">
      <c r="A1224" s="2" t="s">
        <v>215</v>
      </c>
      <c r="B1224" s="2"/>
      <c r="C1224" s="2"/>
      <c r="D1224" s="2"/>
      <c r="E1224" s="2"/>
      <c r="F1224" s="2"/>
      <c r="G1224" s="2"/>
      <c r="H1224" s="2"/>
      <c r="I1224" s="2">
        <v>64.285700000000006</v>
      </c>
      <c r="J1224" s="2">
        <v>276</v>
      </c>
      <c r="K1224" s="2">
        <v>63.7211</v>
      </c>
      <c r="L1224" s="2">
        <v>291</v>
      </c>
      <c r="M1224" s="2">
        <v>96.058999999999997</v>
      </c>
      <c r="N1224" s="2">
        <v>253</v>
      </c>
      <c r="O1224" s="2">
        <v>93.581199999999995</v>
      </c>
      <c r="P1224" s="2">
        <v>288</v>
      </c>
      <c r="Q1224" s="2">
        <v>100.7525</v>
      </c>
      <c r="R1224" s="2">
        <v>147</v>
      </c>
      <c r="S1224" s="2">
        <v>100.979</v>
      </c>
      <c r="T1224" s="2">
        <v>149</v>
      </c>
      <c r="U1224" s="2">
        <v>0.29422300000000001</v>
      </c>
      <c r="V1224" s="2">
        <v>243</v>
      </c>
      <c r="W1224" s="2">
        <v>2005</v>
      </c>
    </row>
    <row r="1225" spans="1:23" ht="12.3" hidden="1" x14ac:dyDescent="0.4">
      <c r="A1225" s="2" t="s">
        <v>163</v>
      </c>
      <c r="B1225" s="2"/>
      <c r="C1225" s="2"/>
      <c r="D1225" s="2"/>
      <c r="E1225" s="2"/>
      <c r="F1225" s="2"/>
      <c r="G1225" s="2"/>
      <c r="H1225" s="2"/>
      <c r="I1225" s="2">
        <v>69.019099999999995</v>
      </c>
      <c r="J1225" s="2">
        <v>104</v>
      </c>
      <c r="K1225" s="2">
        <v>69.2273</v>
      </c>
      <c r="L1225" s="2">
        <v>87</v>
      </c>
      <c r="M1225" s="2">
        <v>95.442099999999996</v>
      </c>
      <c r="N1225" s="2">
        <v>263</v>
      </c>
      <c r="O1225" s="2">
        <v>93.987899999999996</v>
      </c>
      <c r="P1225" s="2">
        <v>282</v>
      </c>
      <c r="Q1225" s="2">
        <v>97.587800000000001</v>
      </c>
      <c r="R1225" s="2">
        <v>68</v>
      </c>
      <c r="S1225" s="2">
        <v>101.5615</v>
      </c>
      <c r="T1225" s="2">
        <v>164</v>
      </c>
      <c r="U1225" s="2">
        <v>0.290856</v>
      </c>
      <c r="V1225" s="2">
        <v>244</v>
      </c>
      <c r="W1225" s="2">
        <v>2005</v>
      </c>
    </row>
    <row r="1226" spans="1:23" ht="12.3" hidden="1" x14ac:dyDescent="0.4">
      <c r="A1226" s="2" t="s">
        <v>336</v>
      </c>
      <c r="B1226" s="2"/>
      <c r="C1226" s="2"/>
      <c r="D1226" s="2"/>
      <c r="E1226" s="2"/>
      <c r="F1226" s="2"/>
      <c r="G1226" s="2"/>
      <c r="H1226" s="2"/>
      <c r="I1226" s="2">
        <v>65.245000000000005</v>
      </c>
      <c r="J1226" s="2">
        <v>246</v>
      </c>
      <c r="K1226" s="2">
        <v>65.920199999999994</v>
      </c>
      <c r="L1226" s="2">
        <v>224</v>
      </c>
      <c r="M1226" s="2">
        <v>94.314099999999996</v>
      </c>
      <c r="N1226" s="2">
        <v>277</v>
      </c>
      <c r="O1226" s="2">
        <v>94.863900000000001</v>
      </c>
      <c r="P1226" s="2">
        <v>268</v>
      </c>
      <c r="Q1226" s="2">
        <v>100.1332</v>
      </c>
      <c r="R1226" s="2">
        <v>135</v>
      </c>
      <c r="S1226" s="2">
        <v>102.5581</v>
      </c>
      <c r="T1226" s="2">
        <v>187</v>
      </c>
      <c r="U1226" s="2">
        <v>0.28970099999999999</v>
      </c>
      <c r="V1226" s="2">
        <v>245</v>
      </c>
      <c r="W1226" s="2">
        <v>2005</v>
      </c>
    </row>
    <row r="1227" spans="1:23" ht="12.3" hidden="1" x14ac:dyDescent="0.4">
      <c r="A1227" s="2" t="s">
        <v>356</v>
      </c>
      <c r="B1227" s="2"/>
      <c r="C1227" s="2"/>
      <c r="D1227" s="2"/>
      <c r="E1227" s="2"/>
      <c r="F1227" s="2"/>
      <c r="G1227" s="2"/>
      <c r="H1227" s="2"/>
      <c r="I1227" s="2">
        <v>70.791799999999995</v>
      </c>
      <c r="J1227" s="2">
        <v>50</v>
      </c>
      <c r="K1227" s="2">
        <v>70.209599999999995</v>
      </c>
      <c r="L1227" s="2">
        <v>54</v>
      </c>
      <c r="M1227" s="2">
        <v>103.7795</v>
      </c>
      <c r="N1227" s="2">
        <v>114</v>
      </c>
      <c r="O1227" s="2">
        <v>103.71420000000001</v>
      </c>
      <c r="P1227" s="2">
        <v>119</v>
      </c>
      <c r="Q1227" s="2">
        <v>110.13549999999999</v>
      </c>
      <c r="R1227" s="2">
        <v>318</v>
      </c>
      <c r="S1227" s="2">
        <v>112.15860000000001</v>
      </c>
      <c r="T1227" s="2">
        <v>321</v>
      </c>
      <c r="U1227" s="2">
        <v>0.289018</v>
      </c>
      <c r="V1227" s="2">
        <v>246</v>
      </c>
      <c r="W1227" s="2">
        <v>2005</v>
      </c>
    </row>
    <row r="1228" spans="1:23" ht="12.3" hidden="1" x14ac:dyDescent="0.4">
      <c r="A1228" s="2" t="s">
        <v>277</v>
      </c>
      <c r="B1228" s="2"/>
      <c r="C1228" s="2"/>
      <c r="D1228" s="2"/>
      <c r="E1228" s="2"/>
      <c r="F1228" s="2"/>
      <c r="G1228" s="2"/>
      <c r="H1228" s="2"/>
      <c r="I1228" s="2">
        <v>70.207999999999998</v>
      </c>
      <c r="J1228" s="2">
        <v>72</v>
      </c>
      <c r="K1228" s="2">
        <v>70.990200000000002</v>
      </c>
      <c r="L1228" s="2">
        <v>38</v>
      </c>
      <c r="M1228" s="2">
        <v>99.382400000000004</v>
      </c>
      <c r="N1228" s="2">
        <v>211</v>
      </c>
      <c r="O1228" s="2">
        <v>96.236199999999997</v>
      </c>
      <c r="P1228" s="2">
        <v>251</v>
      </c>
      <c r="Q1228" s="2">
        <v>99.626900000000006</v>
      </c>
      <c r="R1228" s="2">
        <v>121</v>
      </c>
      <c r="S1228" s="2">
        <v>104.2118</v>
      </c>
      <c r="T1228" s="2">
        <v>225</v>
      </c>
      <c r="U1228" s="2">
        <v>0.28584900000000002</v>
      </c>
      <c r="V1228" s="2">
        <v>247</v>
      </c>
      <c r="W1228" s="2">
        <v>2005</v>
      </c>
    </row>
    <row r="1229" spans="1:23" ht="12.3" hidden="1" x14ac:dyDescent="0.4">
      <c r="A1229" s="2" t="s">
        <v>170</v>
      </c>
      <c r="B1229" s="2"/>
      <c r="C1229" s="2"/>
      <c r="D1229" s="2"/>
      <c r="E1229" s="2"/>
      <c r="F1229" s="2"/>
      <c r="G1229" s="2"/>
      <c r="H1229" s="2"/>
      <c r="I1229" s="2">
        <v>64.146600000000007</v>
      </c>
      <c r="J1229" s="2">
        <v>280</v>
      </c>
      <c r="K1229" s="2">
        <v>63.910600000000002</v>
      </c>
      <c r="L1229" s="2">
        <v>288</v>
      </c>
      <c r="M1229" s="2">
        <v>101.32859999999999</v>
      </c>
      <c r="N1229" s="2">
        <v>168</v>
      </c>
      <c r="O1229" s="2">
        <v>100.2632</v>
      </c>
      <c r="P1229" s="2">
        <v>184</v>
      </c>
      <c r="Q1229" s="2">
        <v>104.57940000000001</v>
      </c>
      <c r="R1229" s="2">
        <v>241</v>
      </c>
      <c r="S1229" s="2">
        <v>108.71259999999999</v>
      </c>
      <c r="T1229" s="2">
        <v>292</v>
      </c>
      <c r="U1229" s="2">
        <v>0.282833</v>
      </c>
      <c r="V1229" s="2">
        <v>248</v>
      </c>
      <c r="W1229" s="2">
        <v>2005</v>
      </c>
    </row>
    <row r="1230" spans="1:23" ht="12.3" hidden="1" x14ac:dyDescent="0.4">
      <c r="A1230" s="2" t="s">
        <v>247</v>
      </c>
      <c r="B1230" s="2"/>
      <c r="C1230" s="2"/>
      <c r="D1230" s="2"/>
      <c r="E1230" s="2"/>
      <c r="F1230" s="2"/>
      <c r="G1230" s="2"/>
      <c r="H1230" s="2"/>
      <c r="I1230" s="2">
        <v>65.238200000000006</v>
      </c>
      <c r="J1230" s="2">
        <v>247</v>
      </c>
      <c r="K1230" s="2">
        <v>65.417400000000001</v>
      </c>
      <c r="L1230" s="2">
        <v>240</v>
      </c>
      <c r="M1230" s="2">
        <v>98.744799999999998</v>
      </c>
      <c r="N1230" s="2">
        <v>220</v>
      </c>
      <c r="O1230" s="2">
        <v>98.422300000000007</v>
      </c>
      <c r="P1230" s="2">
        <v>218</v>
      </c>
      <c r="Q1230" s="2">
        <v>104.197</v>
      </c>
      <c r="R1230" s="2">
        <v>235</v>
      </c>
      <c r="S1230" s="2">
        <v>106.84229999999999</v>
      </c>
      <c r="T1230" s="2">
        <v>271</v>
      </c>
      <c r="U1230" s="2">
        <v>0.28009499999999998</v>
      </c>
      <c r="V1230" s="2">
        <v>249</v>
      </c>
      <c r="W1230" s="2">
        <v>2005</v>
      </c>
    </row>
    <row r="1231" spans="1:23" ht="12.3" hidden="1" x14ac:dyDescent="0.4">
      <c r="A1231" s="2" t="s">
        <v>254</v>
      </c>
      <c r="B1231" s="2"/>
      <c r="C1231" s="2"/>
      <c r="D1231" s="2"/>
      <c r="E1231" s="2"/>
      <c r="F1231" s="2"/>
      <c r="G1231" s="2"/>
      <c r="H1231" s="2"/>
      <c r="I1231" s="2">
        <v>73.8322</v>
      </c>
      <c r="J1231" s="2">
        <v>14</v>
      </c>
      <c r="K1231" s="2">
        <v>72.8142</v>
      </c>
      <c r="L1231" s="2">
        <v>15</v>
      </c>
      <c r="M1231" s="2">
        <v>101.7092</v>
      </c>
      <c r="N1231" s="2">
        <v>154</v>
      </c>
      <c r="O1231" s="2">
        <v>100.4028</v>
      </c>
      <c r="P1231" s="2">
        <v>183</v>
      </c>
      <c r="Q1231" s="2">
        <v>102.8809</v>
      </c>
      <c r="R1231" s="2">
        <v>211</v>
      </c>
      <c r="S1231" s="2">
        <v>109.05159999999999</v>
      </c>
      <c r="T1231" s="2">
        <v>297</v>
      </c>
      <c r="U1231" s="2">
        <v>0.278833</v>
      </c>
      <c r="V1231" s="2">
        <v>250</v>
      </c>
      <c r="W1231" s="2">
        <v>2005</v>
      </c>
    </row>
    <row r="1232" spans="1:23" ht="12.3" hidden="1" x14ac:dyDescent="0.4">
      <c r="A1232" s="2" t="s">
        <v>271</v>
      </c>
      <c r="B1232" s="2"/>
      <c r="C1232" s="2"/>
      <c r="D1232" s="2"/>
      <c r="E1232" s="2"/>
      <c r="F1232" s="2"/>
      <c r="G1232" s="2"/>
      <c r="H1232" s="2"/>
      <c r="I1232" s="2">
        <v>66.697699999999998</v>
      </c>
      <c r="J1232" s="2">
        <v>186</v>
      </c>
      <c r="K1232" s="2">
        <v>67.455399999999997</v>
      </c>
      <c r="L1232" s="2">
        <v>153</v>
      </c>
      <c r="M1232" s="2">
        <v>96.325800000000001</v>
      </c>
      <c r="N1232" s="2">
        <v>247</v>
      </c>
      <c r="O1232" s="2">
        <v>94.837100000000007</v>
      </c>
      <c r="P1232" s="2">
        <v>269</v>
      </c>
      <c r="Q1232" s="2">
        <v>98.364000000000004</v>
      </c>
      <c r="R1232" s="2">
        <v>90</v>
      </c>
      <c r="S1232" s="2">
        <v>103.0264</v>
      </c>
      <c r="T1232" s="2">
        <v>194</v>
      </c>
      <c r="U1232" s="2">
        <v>0.27838600000000002</v>
      </c>
      <c r="V1232" s="2">
        <v>251</v>
      </c>
      <c r="W1232" s="2">
        <v>2005</v>
      </c>
    </row>
    <row r="1233" spans="1:23" ht="12.3" hidden="1" x14ac:dyDescent="0.4">
      <c r="A1233" s="2" t="s">
        <v>161</v>
      </c>
      <c r="B1233" s="2"/>
      <c r="C1233" s="2"/>
      <c r="D1233" s="2"/>
      <c r="E1233" s="2"/>
      <c r="F1233" s="2"/>
      <c r="G1233" s="2"/>
      <c r="H1233" s="2"/>
      <c r="I1233" s="2">
        <v>68.863399999999999</v>
      </c>
      <c r="J1233" s="2">
        <v>111</v>
      </c>
      <c r="K1233" s="2">
        <v>69.146699999999996</v>
      </c>
      <c r="L1233" s="2">
        <v>90</v>
      </c>
      <c r="M1233" s="2">
        <v>96.13</v>
      </c>
      <c r="N1233" s="2">
        <v>250</v>
      </c>
      <c r="O1233" s="2">
        <v>97.684299999999993</v>
      </c>
      <c r="P1233" s="2">
        <v>231</v>
      </c>
      <c r="Q1233" s="2">
        <v>106.53579999999999</v>
      </c>
      <c r="R1233" s="2">
        <v>269</v>
      </c>
      <c r="S1233" s="2">
        <v>106.4255</v>
      </c>
      <c r="T1233" s="2">
        <v>256</v>
      </c>
      <c r="U1233" s="2">
        <v>0.271783</v>
      </c>
      <c r="V1233" s="2">
        <v>252</v>
      </c>
      <c r="W1233" s="2">
        <v>2005</v>
      </c>
    </row>
    <row r="1234" spans="1:23" ht="12.3" hidden="1" x14ac:dyDescent="0.4">
      <c r="A1234" s="2" t="s">
        <v>354</v>
      </c>
      <c r="B1234" s="2"/>
      <c r="C1234" s="2"/>
      <c r="D1234" s="2"/>
      <c r="E1234" s="2"/>
      <c r="F1234" s="2"/>
      <c r="G1234" s="2"/>
      <c r="H1234" s="2"/>
      <c r="I1234" s="2">
        <v>64.785799999999995</v>
      </c>
      <c r="J1234" s="2">
        <v>261</v>
      </c>
      <c r="K1234" s="2">
        <v>63.159500000000001</v>
      </c>
      <c r="L1234" s="2">
        <v>300</v>
      </c>
      <c r="M1234" s="2">
        <v>101.2754</v>
      </c>
      <c r="N1234" s="2">
        <v>174</v>
      </c>
      <c r="O1234" s="2">
        <v>100.7313</v>
      </c>
      <c r="P1234" s="2">
        <v>178</v>
      </c>
      <c r="Q1234" s="2">
        <v>107.02630000000001</v>
      </c>
      <c r="R1234" s="2">
        <v>277</v>
      </c>
      <c r="S1234" s="2">
        <v>110.0005</v>
      </c>
      <c r="T1234" s="2">
        <v>306</v>
      </c>
      <c r="U1234" s="2">
        <v>0.26652500000000001</v>
      </c>
      <c r="V1234" s="2">
        <v>253</v>
      </c>
      <c r="W1234" s="2">
        <v>2005</v>
      </c>
    </row>
    <row r="1235" spans="1:23" ht="12.3" hidden="1" x14ac:dyDescent="0.4">
      <c r="A1235" s="2" t="s">
        <v>304</v>
      </c>
      <c r="B1235" s="2"/>
      <c r="C1235" s="2"/>
      <c r="D1235" s="2"/>
      <c r="E1235" s="2"/>
      <c r="F1235" s="2"/>
      <c r="G1235" s="2"/>
      <c r="H1235" s="2"/>
      <c r="I1235" s="2">
        <v>63.648299999999999</v>
      </c>
      <c r="J1235" s="2">
        <v>287</v>
      </c>
      <c r="K1235" s="2">
        <v>64.516599999999997</v>
      </c>
      <c r="L1235" s="2">
        <v>269</v>
      </c>
      <c r="M1235" s="2">
        <v>94.6648</v>
      </c>
      <c r="N1235" s="2">
        <v>272</v>
      </c>
      <c r="O1235" s="2">
        <v>94.281099999999995</v>
      </c>
      <c r="P1235" s="2">
        <v>278</v>
      </c>
      <c r="Q1235" s="2">
        <v>103.3318</v>
      </c>
      <c r="R1235" s="2">
        <v>220</v>
      </c>
      <c r="S1235" s="2">
        <v>102.9854</v>
      </c>
      <c r="T1235" s="2">
        <v>191</v>
      </c>
      <c r="U1235" s="2">
        <v>0.26590000000000003</v>
      </c>
      <c r="V1235" s="2">
        <v>254</v>
      </c>
      <c r="W1235" s="2">
        <v>2005</v>
      </c>
    </row>
    <row r="1236" spans="1:23" ht="12.3" hidden="1" x14ac:dyDescent="0.4">
      <c r="A1236" s="2" t="s">
        <v>299</v>
      </c>
      <c r="B1236" s="2"/>
      <c r="C1236" s="2"/>
      <c r="D1236" s="2"/>
      <c r="E1236" s="2"/>
      <c r="F1236" s="2"/>
      <c r="G1236" s="2"/>
      <c r="H1236" s="2"/>
      <c r="I1236" s="2">
        <v>68.026799999999994</v>
      </c>
      <c r="J1236" s="2">
        <v>136</v>
      </c>
      <c r="K1236" s="2">
        <v>66.680700000000002</v>
      </c>
      <c r="L1236" s="2">
        <v>193</v>
      </c>
      <c r="M1236" s="2">
        <v>98.803700000000006</v>
      </c>
      <c r="N1236" s="2">
        <v>219</v>
      </c>
      <c r="O1236" s="2">
        <v>96.433800000000005</v>
      </c>
      <c r="P1236" s="2">
        <v>246</v>
      </c>
      <c r="Q1236" s="2">
        <v>96.344099999999997</v>
      </c>
      <c r="R1236" s="2">
        <v>52</v>
      </c>
      <c r="S1236" s="2">
        <v>105.33799999999999</v>
      </c>
      <c r="T1236" s="2">
        <v>244</v>
      </c>
      <c r="U1236" s="2">
        <v>0.265874</v>
      </c>
      <c r="V1236" s="2">
        <v>255</v>
      </c>
      <c r="W1236" s="2">
        <v>2005</v>
      </c>
    </row>
    <row r="1237" spans="1:23" ht="12.3" hidden="1" x14ac:dyDescent="0.4">
      <c r="A1237" s="2" t="s">
        <v>332</v>
      </c>
      <c r="B1237" s="2"/>
      <c r="C1237" s="2"/>
      <c r="D1237" s="2"/>
      <c r="E1237" s="2"/>
      <c r="F1237" s="2"/>
      <c r="G1237" s="2"/>
      <c r="H1237" s="2"/>
      <c r="I1237" s="2">
        <v>65.320400000000006</v>
      </c>
      <c r="J1237" s="2">
        <v>241</v>
      </c>
      <c r="K1237" s="2">
        <v>64.64</v>
      </c>
      <c r="L1237" s="2">
        <v>266</v>
      </c>
      <c r="M1237" s="2">
        <v>106.2257</v>
      </c>
      <c r="N1237" s="2">
        <v>63</v>
      </c>
      <c r="O1237" s="2">
        <v>104.0342</v>
      </c>
      <c r="P1237" s="2">
        <v>112</v>
      </c>
      <c r="Q1237" s="2">
        <v>109.24079999999999</v>
      </c>
      <c r="R1237" s="2">
        <v>306</v>
      </c>
      <c r="S1237" s="2">
        <v>113.7123</v>
      </c>
      <c r="T1237" s="2">
        <v>327</v>
      </c>
      <c r="U1237" s="2">
        <v>0.26445299999999999</v>
      </c>
      <c r="V1237" s="2">
        <v>256</v>
      </c>
      <c r="W1237" s="2">
        <v>2005</v>
      </c>
    </row>
    <row r="1238" spans="1:23" ht="12.3" hidden="1" x14ac:dyDescent="0.4">
      <c r="A1238" s="2" t="s">
        <v>307</v>
      </c>
      <c r="B1238" s="2"/>
      <c r="C1238" s="2"/>
      <c r="D1238" s="2"/>
      <c r="E1238" s="2"/>
      <c r="F1238" s="2"/>
      <c r="G1238" s="2"/>
      <c r="H1238" s="2"/>
      <c r="I1238" s="2">
        <v>65.939700000000002</v>
      </c>
      <c r="J1238" s="2">
        <v>215</v>
      </c>
      <c r="K1238" s="2">
        <v>66.452299999999994</v>
      </c>
      <c r="L1238" s="2">
        <v>201</v>
      </c>
      <c r="M1238" s="2">
        <v>103.5265</v>
      </c>
      <c r="N1238" s="2">
        <v>121</v>
      </c>
      <c r="O1238" s="2">
        <v>101.94580000000001</v>
      </c>
      <c r="P1238" s="2">
        <v>150</v>
      </c>
      <c r="Q1238" s="2">
        <v>107.72580000000001</v>
      </c>
      <c r="R1238" s="2">
        <v>287</v>
      </c>
      <c r="S1238" s="2">
        <v>111.4464</v>
      </c>
      <c r="T1238" s="2">
        <v>317</v>
      </c>
      <c r="U1238" s="2">
        <v>0.26411699999999999</v>
      </c>
      <c r="V1238" s="2">
        <v>257</v>
      </c>
      <c r="W1238" s="2">
        <v>2005</v>
      </c>
    </row>
    <row r="1239" spans="1:23" ht="12.3" hidden="1" x14ac:dyDescent="0.4">
      <c r="A1239" s="2" t="s">
        <v>108</v>
      </c>
      <c r="B1239" s="2"/>
      <c r="C1239" s="2"/>
      <c r="D1239" s="2"/>
      <c r="E1239" s="2"/>
      <c r="F1239" s="2"/>
      <c r="G1239" s="2"/>
      <c r="H1239" s="2"/>
      <c r="I1239" s="2">
        <v>74.315299999999993</v>
      </c>
      <c r="J1239" s="2">
        <v>8</v>
      </c>
      <c r="K1239" s="2">
        <v>73.533600000000007</v>
      </c>
      <c r="L1239" s="2">
        <v>11</v>
      </c>
      <c r="M1239" s="2">
        <v>100.0181</v>
      </c>
      <c r="N1239" s="2">
        <v>199</v>
      </c>
      <c r="O1239" s="2">
        <v>101.32429999999999</v>
      </c>
      <c r="P1239" s="2">
        <v>162</v>
      </c>
      <c r="Q1239" s="2">
        <v>108.6533</v>
      </c>
      <c r="R1239" s="2">
        <v>300</v>
      </c>
      <c r="S1239" s="2">
        <v>110.78319999999999</v>
      </c>
      <c r="T1239" s="2">
        <v>313</v>
      </c>
      <c r="U1239" s="2">
        <v>0.26379000000000002</v>
      </c>
      <c r="V1239" s="2">
        <v>258</v>
      </c>
      <c r="W1239" s="2">
        <v>2005</v>
      </c>
    </row>
    <row r="1240" spans="1:23" ht="12.3" hidden="1" x14ac:dyDescent="0.4">
      <c r="A1240" s="2" t="s">
        <v>310</v>
      </c>
      <c r="B1240" s="2"/>
      <c r="C1240" s="2"/>
      <c r="D1240" s="2"/>
      <c r="E1240" s="2"/>
      <c r="F1240" s="2"/>
      <c r="G1240" s="2"/>
      <c r="H1240" s="2"/>
      <c r="I1240" s="2">
        <v>66.463499999999996</v>
      </c>
      <c r="J1240" s="2">
        <v>194</v>
      </c>
      <c r="K1240" s="2">
        <v>67.638900000000007</v>
      </c>
      <c r="L1240" s="2">
        <v>144</v>
      </c>
      <c r="M1240" s="2">
        <v>95.881900000000002</v>
      </c>
      <c r="N1240" s="2">
        <v>257</v>
      </c>
      <c r="O1240" s="2">
        <v>97.691400000000002</v>
      </c>
      <c r="P1240" s="2">
        <v>230</v>
      </c>
      <c r="Q1240" s="2">
        <v>104.99250000000001</v>
      </c>
      <c r="R1240" s="2">
        <v>249</v>
      </c>
      <c r="S1240" s="2">
        <v>106.8253</v>
      </c>
      <c r="T1240" s="2">
        <v>270</v>
      </c>
      <c r="U1240" s="2">
        <v>0.26349499999999998</v>
      </c>
      <c r="V1240" s="2">
        <v>259</v>
      </c>
      <c r="W1240" s="2">
        <v>2005</v>
      </c>
    </row>
    <row r="1241" spans="1:23" ht="12.3" hidden="1" x14ac:dyDescent="0.4">
      <c r="A1241" s="2" t="s">
        <v>270</v>
      </c>
      <c r="B1241" s="2"/>
      <c r="C1241" s="2"/>
      <c r="D1241" s="2"/>
      <c r="E1241" s="2"/>
      <c r="F1241" s="2"/>
      <c r="G1241" s="2"/>
      <c r="H1241" s="2"/>
      <c r="I1241" s="2">
        <v>71.446899999999999</v>
      </c>
      <c r="J1241" s="2">
        <v>36</v>
      </c>
      <c r="K1241" s="2">
        <v>69.491600000000005</v>
      </c>
      <c r="L1241" s="2">
        <v>79</v>
      </c>
      <c r="M1241" s="2">
        <v>96.310100000000006</v>
      </c>
      <c r="N1241" s="2">
        <v>248</v>
      </c>
      <c r="O1241" s="2">
        <v>95.740600000000001</v>
      </c>
      <c r="P1241" s="2">
        <v>259</v>
      </c>
      <c r="Q1241" s="2">
        <v>102.9325</v>
      </c>
      <c r="R1241" s="2">
        <v>212</v>
      </c>
      <c r="S1241" s="2">
        <v>104.7552</v>
      </c>
      <c r="T1241" s="2">
        <v>235</v>
      </c>
      <c r="U1241" s="2">
        <v>0.26215100000000002</v>
      </c>
      <c r="V1241" s="2">
        <v>260</v>
      </c>
      <c r="W1241" s="2">
        <v>2005</v>
      </c>
    </row>
    <row r="1242" spans="1:23" ht="12.3" hidden="1" x14ac:dyDescent="0.4">
      <c r="A1242" s="2" t="s">
        <v>281</v>
      </c>
      <c r="B1242" s="2"/>
      <c r="C1242" s="2"/>
      <c r="D1242" s="2"/>
      <c r="E1242" s="2"/>
      <c r="F1242" s="2"/>
      <c r="G1242" s="2"/>
      <c r="H1242" s="2"/>
      <c r="I1242" s="2">
        <v>70.153899999999993</v>
      </c>
      <c r="J1242" s="2">
        <v>73</v>
      </c>
      <c r="K1242" s="2">
        <v>70.063999999999993</v>
      </c>
      <c r="L1242" s="2">
        <v>60</v>
      </c>
      <c r="M1242" s="2">
        <v>99.724900000000005</v>
      </c>
      <c r="N1242" s="2">
        <v>205</v>
      </c>
      <c r="O1242" s="2">
        <v>100.2105</v>
      </c>
      <c r="P1242" s="2">
        <v>186</v>
      </c>
      <c r="Q1242" s="2">
        <v>108.52079999999999</v>
      </c>
      <c r="R1242" s="2">
        <v>298</v>
      </c>
      <c r="S1242" s="2">
        <v>109.7559</v>
      </c>
      <c r="T1242" s="2">
        <v>304</v>
      </c>
      <c r="U1242" s="2">
        <v>0.25992999999999999</v>
      </c>
      <c r="V1242" s="2">
        <v>261</v>
      </c>
      <c r="W1242" s="2">
        <v>2005</v>
      </c>
    </row>
    <row r="1243" spans="1:23" ht="12.3" hidden="1" x14ac:dyDescent="0.4">
      <c r="A1243" s="2" t="s">
        <v>357</v>
      </c>
      <c r="B1243" s="2"/>
      <c r="C1243" s="2"/>
      <c r="D1243" s="2"/>
      <c r="E1243" s="2"/>
      <c r="F1243" s="2"/>
      <c r="G1243" s="2"/>
      <c r="H1243" s="2"/>
      <c r="I1243" s="2">
        <v>65.233999999999995</v>
      </c>
      <c r="J1243" s="2">
        <v>248</v>
      </c>
      <c r="K1243" s="2">
        <v>65.918300000000002</v>
      </c>
      <c r="L1243" s="2">
        <v>225</v>
      </c>
      <c r="M1243" s="2">
        <v>100.7837</v>
      </c>
      <c r="N1243" s="2">
        <v>186</v>
      </c>
      <c r="O1243" s="2">
        <v>99.806100000000001</v>
      </c>
      <c r="P1243" s="2">
        <v>193</v>
      </c>
      <c r="Q1243" s="2">
        <v>109.3105</v>
      </c>
      <c r="R1243" s="2">
        <v>307</v>
      </c>
      <c r="S1243" s="2">
        <v>109.4074</v>
      </c>
      <c r="T1243" s="2">
        <v>299</v>
      </c>
      <c r="U1243" s="2">
        <v>0.25802199999999997</v>
      </c>
      <c r="V1243" s="2">
        <v>262</v>
      </c>
      <c r="W1243" s="2">
        <v>2005</v>
      </c>
    </row>
    <row r="1244" spans="1:23" ht="12.3" hidden="1" x14ac:dyDescent="0.4">
      <c r="A1244" s="2" t="s">
        <v>283</v>
      </c>
      <c r="B1244" s="2"/>
      <c r="C1244" s="2"/>
      <c r="D1244" s="2"/>
      <c r="E1244" s="2"/>
      <c r="F1244" s="2"/>
      <c r="G1244" s="2"/>
      <c r="H1244" s="2"/>
      <c r="I1244" s="2">
        <v>68.908299999999997</v>
      </c>
      <c r="J1244" s="2">
        <v>110</v>
      </c>
      <c r="K1244" s="2">
        <v>67.878299999999996</v>
      </c>
      <c r="L1244" s="2">
        <v>133</v>
      </c>
      <c r="M1244" s="2">
        <v>100.9337</v>
      </c>
      <c r="N1244" s="2">
        <v>183</v>
      </c>
      <c r="O1244" s="2">
        <v>98.6614</v>
      </c>
      <c r="P1244" s="2">
        <v>213</v>
      </c>
      <c r="Q1244" s="2">
        <v>107.0861</v>
      </c>
      <c r="R1244" s="2">
        <v>280</v>
      </c>
      <c r="S1244" s="2">
        <v>108.1728</v>
      </c>
      <c r="T1244" s="2">
        <v>285</v>
      </c>
      <c r="U1244" s="2">
        <v>0.25761299999999998</v>
      </c>
      <c r="V1244" s="2">
        <v>263</v>
      </c>
      <c r="W1244" s="2">
        <v>2005</v>
      </c>
    </row>
    <row r="1245" spans="1:23" ht="12.3" hidden="1" x14ac:dyDescent="0.4">
      <c r="A1245" s="2" t="s">
        <v>250</v>
      </c>
      <c r="B1245" s="2"/>
      <c r="C1245" s="2"/>
      <c r="D1245" s="2"/>
      <c r="E1245" s="2"/>
      <c r="F1245" s="2"/>
      <c r="G1245" s="2"/>
      <c r="H1245" s="2"/>
      <c r="I1245" s="2">
        <v>66.671499999999995</v>
      </c>
      <c r="J1245" s="2">
        <v>187</v>
      </c>
      <c r="K1245" s="2">
        <v>67.464500000000001</v>
      </c>
      <c r="L1245" s="2">
        <v>151</v>
      </c>
      <c r="M1245" s="2">
        <v>99.791600000000003</v>
      </c>
      <c r="N1245" s="2">
        <v>204</v>
      </c>
      <c r="O1245" s="2">
        <v>100.52290000000001</v>
      </c>
      <c r="P1245" s="2">
        <v>181</v>
      </c>
      <c r="Q1245" s="2">
        <v>111.32940000000001</v>
      </c>
      <c r="R1245" s="2">
        <v>323</v>
      </c>
      <c r="S1245" s="2">
        <v>110.23090000000001</v>
      </c>
      <c r="T1245" s="2">
        <v>308</v>
      </c>
      <c r="U1245" s="2">
        <v>0.25727</v>
      </c>
      <c r="V1245" s="2">
        <v>264</v>
      </c>
      <c r="W1245" s="2">
        <v>2005</v>
      </c>
    </row>
    <row r="1246" spans="1:23" ht="12.3" hidden="1" x14ac:dyDescent="0.4">
      <c r="A1246" s="2" t="s">
        <v>346</v>
      </c>
      <c r="B1246" s="2"/>
      <c r="C1246" s="2"/>
      <c r="D1246" s="2"/>
      <c r="E1246" s="2"/>
      <c r="F1246" s="2"/>
      <c r="G1246" s="2"/>
      <c r="H1246" s="2"/>
      <c r="I1246" s="2">
        <v>69.820899999999995</v>
      </c>
      <c r="J1246" s="2">
        <v>82</v>
      </c>
      <c r="K1246" s="2">
        <v>70.183099999999996</v>
      </c>
      <c r="L1246" s="2">
        <v>56</v>
      </c>
      <c r="M1246" s="2">
        <v>96.2714</v>
      </c>
      <c r="N1246" s="2">
        <v>249</v>
      </c>
      <c r="O1246" s="2">
        <v>97.086100000000002</v>
      </c>
      <c r="P1246" s="2">
        <v>238</v>
      </c>
      <c r="Q1246" s="2">
        <v>105.5484</v>
      </c>
      <c r="R1246" s="2">
        <v>262</v>
      </c>
      <c r="S1246" s="2">
        <v>106.5471</v>
      </c>
      <c r="T1246" s="2">
        <v>260</v>
      </c>
      <c r="U1246" s="2">
        <v>0.255523</v>
      </c>
      <c r="V1246" s="2">
        <v>265</v>
      </c>
      <c r="W1246" s="2">
        <v>2005</v>
      </c>
    </row>
    <row r="1247" spans="1:23" ht="12.3" hidden="1" x14ac:dyDescent="0.4">
      <c r="A1247" s="2" t="s">
        <v>258</v>
      </c>
      <c r="B1247" s="2"/>
      <c r="C1247" s="2"/>
      <c r="D1247" s="2"/>
      <c r="E1247" s="2"/>
      <c r="F1247" s="2"/>
      <c r="G1247" s="2"/>
      <c r="H1247" s="2"/>
      <c r="I1247" s="2">
        <v>61.854700000000001</v>
      </c>
      <c r="J1247" s="2">
        <v>313</v>
      </c>
      <c r="K1247" s="2">
        <v>63.1509</v>
      </c>
      <c r="L1247" s="2">
        <v>301</v>
      </c>
      <c r="M1247" s="2">
        <v>92.715199999999996</v>
      </c>
      <c r="N1247" s="2">
        <v>291</v>
      </c>
      <c r="O1247" s="2">
        <v>94.156999999999996</v>
      </c>
      <c r="P1247" s="2">
        <v>279</v>
      </c>
      <c r="Q1247" s="2">
        <v>102.74420000000001</v>
      </c>
      <c r="R1247" s="2">
        <v>205</v>
      </c>
      <c r="S1247" s="2">
        <v>103.46769999999999</v>
      </c>
      <c r="T1247" s="2">
        <v>209</v>
      </c>
      <c r="U1247" s="2">
        <v>0.25267400000000001</v>
      </c>
      <c r="V1247" s="2">
        <v>266</v>
      </c>
      <c r="W1247" s="2">
        <v>2005</v>
      </c>
    </row>
    <row r="1248" spans="1:23" ht="12.3" hidden="1" x14ac:dyDescent="0.4">
      <c r="A1248" s="2" t="s">
        <v>237</v>
      </c>
      <c r="B1248" s="2"/>
      <c r="C1248" s="2"/>
      <c r="D1248" s="2"/>
      <c r="E1248" s="2"/>
      <c r="F1248" s="2"/>
      <c r="G1248" s="2"/>
      <c r="H1248" s="2"/>
      <c r="I1248" s="2">
        <v>66.379199999999997</v>
      </c>
      <c r="J1248" s="2">
        <v>199</v>
      </c>
      <c r="K1248" s="2">
        <v>66.853899999999996</v>
      </c>
      <c r="L1248" s="2">
        <v>181</v>
      </c>
      <c r="M1248" s="2">
        <v>101.6498</v>
      </c>
      <c r="N1248" s="2">
        <v>155</v>
      </c>
      <c r="O1248" s="2">
        <v>100.22410000000001</v>
      </c>
      <c r="P1248" s="2">
        <v>185</v>
      </c>
      <c r="Q1248" s="2">
        <v>109.95820000000001</v>
      </c>
      <c r="R1248" s="2">
        <v>317</v>
      </c>
      <c r="S1248" s="2">
        <v>110.438</v>
      </c>
      <c r="T1248" s="2">
        <v>309</v>
      </c>
      <c r="U1248" s="2">
        <v>0.24675</v>
      </c>
      <c r="V1248" s="2">
        <v>267</v>
      </c>
      <c r="W1248" s="2">
        <v>2005</v>
      </c>
    </row>
    <row r="1249" spans="1:23" ht="12.3" hidden="1" x14ac:dyDescent="0.4">
      <c r="A1249" s="2" t="s">
        <v>187</v>
      </c>
      <c r="B1249" s="2"/>
      <c r="C1249" s="2"/>
      <c r="D1249" s="2"/>
      <c r="E1249" s="2"/>
      <c r="F1249" s="2"/>
      <c r="G1249" s="2"/>
      <c r="H1249" s="2"/>
      <c r="I1249" s="2">
        <v>66.413600000000002</v>
      </c>
      <c r="J1249" s="2">
        <v>198</v>
      </c>
      <c r="K1249" s="2">
        <v>64.636600000000001</v>
      </c>
      <c r="L1249" s="2">
        <v>267</v>
      </c>
      <c r="M1249" s="2">
        <v>92.485100000000003</v>
      </c>
      <c r="N1249" s="2">
        <v>296</v>
      </c>
      <c r="O1249" s="2">
        <v>91.03</v>
      </c>
      <c r="P1249" s="2">
        <v>306</v>
      </c>
      <c r="Q1249" s="2">
        <v>101.2132</v>
      </c>
      <c r="R1249" s="2">
        <v>159</v>
      </c>
      <c r="S1249" s="2">
        <v>100.76220000000001</v>
      </c>
      <c r="T1249" s="2">
        <v>145</v>
      </c>
      <c r="U1249" s="2">
        <v>0.23719599999999999</v>
      </c>
      <c r="V1249" s="2">
        <v>268</v>
      </c>
      <c r="W1249" s="2">
        <v>2005</v>
      </c>
    </row>
    <row r="1250" spans="1:23" ht="12.3" hidden="1" x14ac:dyDescent="0.4">
      <c r="A1250" s="2" t="s">
        <v>282</v>
      </c>
      <c r="B1250" s="2"/>
      <c r="C1250" s="2"/>
      <c r="D1250" s="2"/>
      <c r="E1250" s="2"/>
      <c r="F1250" s="2"/>
      <c r="G1250" s="2"/>
      <c r="H1250" s="2"/>
      <c r="I1250" s="2">
        <v>62.674999999999997</v>
      </c>
      <c r="J1250" s="2">
        <v>303</v>
      </c>
      <c r="K1250" s="2">
        <v>60.5989</v>
      </c>
      <c r="L1250" s="2">
        <v>321</v>
      </c>
      <c r="M1250" s="2">
        <v>97.641800000000003</v>
      </c>
      <c r="N1250" s="2">
        <v>233</v>
      </c>
      <c r="O1250" s="2">
        <v>96.327500000000001</v>
      </c>
      <c r="P1250" s="2">
        <v>249</v>
      </c>
      <c r="Q1250" s="2">
        <v>101.574</v>
      </c>
      <c r="R1250" s="2">
        <v>171</v>
      </c>
      <c r="S1250" s="2">
        <v>106.7461</v>
      </c>
      <c r="T1250" s="2">
        <v>268</v>
      </c>
      <c r="U1250" s="2">
        <v>0.23486599999999999</v>
      </c>
      <c r="V1250" s="2">
        <v>269</v>
      </c>
      <c r="W1250" s="2">
        <v>2005</v>
      </c>
    </row>
    <row r="1251" spans="1:23" ht="12.3" hidden="1" x14ac:dyDescent="0.4">
      <c r="A1251" s="2" t="s">
        <v>337</v>
      </c>
      <c r="B1251" s="2"/>
      <c r="C1251" s="2"/>
      <c r="D1251" s="2"/>
      <c r="E1251" s="2"/>
      <c r="F1251" s="2"/>
      <c r="G1251" s="2"/>
      <c r="H1251" s="2"/>
      <c r="I1251" s="2">
        <v>66.826499999999996</v>
      </c>
      <c r="J1251" s="2">
        <v>178</v>
      </c>
      <c r="K1251" s="2">
        <v>64.775599999999997</v>
      </c>
      <c r="L1251" s="2">
        <v>260</v>
      </c>
      <c r="M1251" s="2">
        <v>99.669799999999995</v>
      </c>
      <c r="N1251" s="2">
        <v>206</v>
      </c>
      <c r="O1251" s="2">
        <v>95.784400000000005</v>
      </c>
      <c r="P1251" s="2">
        <v>258</v>
      </c>
      <c r="Q1251" s="2">
        <v>102.1125</v>
      </c>
      <c r="R1251" s="2">
        <v>191</v>
      </c>
      <c r="S1251" s="2">
        <v>106.36450000000001</v>
      </c>
      <c r="T1251" s="2">
        <v>255</v>
      </c>
      <c r="U1251" s="2">
        <v>0.23060900000000001</v>
      </c>
      <c r="V1251" s="2">
        <v>270</v>
      </c>
      <c r="W1251" s="2">
        <v>2005</v>
      </c>
    </row>
    <row r="1252" spans="1:23" ht="12.3" hidden="1" x14ac:dyDescent="0.4">
      <c r="A1252" s="2" t="s">
        <v>214</v>
      </c>
      <c r="B1252" s="2"/>
      <c r="C1252" s="2"/>
      <c r="D1252" s="2"/>
      <c r="E1252" s="2"/>
      <c r="F1252" s="2"/>
      <c r="G1252" s="2"/>
      <c r="H1252" s="2"/>
      <c r="I1252" s="2">
        <v>72.9709</v>
      </c>
      <c r="J1252" s="2">
        <v>20</v>
      </c>
      <c r="K1252" s="2">
        <v>72.104600000000005</v>
      </c>
      <c r="L1252" s="2">
        <v>25</v>
      </c>
      <c r="M1252" s="2">
        <v>95.877300000000005</v>
      </c>
      <c r="N1252" s="2">
        <v>258</v>
      </c>
      <c r="O1252" s="2">
        <v>93.555800000000005</v>
      </c>
      <c r="P1252" s="2">
        <v>289</v>
      </c>
      <c r="Q1252" s="2">
        <v>101.7765</v>
      </c>
      <c r="R1252" s="2">
        <v>177</v>
      </c>
      <c r="S1252" s="2">
        <v>103.9469</v>
      </c>
      <c r="T1252" s="2">
        <v>218</v>
      </c>
      <c r="U1252" s="2">
        <v>0.229487</v>
      </c>
      <c r="V1252" s="2">
        <v>271</v>
      </c>
      <c r="W1252" s="2">
        <v>2005</v>
      </c>
    </row>
    <row r="1253" spans="1:23" ht="12.3" hidden="1" x14ac:dyDescent="0.4">
      <c r="A1253" s="2" t="s">
        <v>298</v>
      </c>
      <c r="B1253" s="2"/>
      <c r="C1253" s="2"/>
      <c r="D1253" s="2"/>
      <c r="E1253" s="2"/>
      <c r="F1253" s="2"/>
      <c r="G1253" s="2"/>
      <c r="H1253" s="2"/>
      <c r="I1253" s="2">
        <v>68.064400000000006</v>
      </c>
      <c r="J1253" s="2">
        <v>134</v>
      </c>
      <c r="K1253" s="2">
        <v>67.504999999999995</v>
      </c>
      <c r="L1253" s="2">
        <v>149</v>
      </c>
      <c r="M1253" s="2">
        <v>97.537099999999995</v>
      </c>
      <c r="N1253" s="2">
        <v>235</v>
      </c>
      <c r="O1253" s="2">
        <v>95.825699999999998</v>
      </c>
      <c r="P1253" s="2">
        <v>257</v>
      </c>
      <c r="Q1253" s="2">
        <v>107.1793</v>
      </c>
      <c r="R1253" s="2">
        <v>283</v>
      </c>
      <c r="S1253" s="2">
        <v>106.5564</v>
      </c>
      <c r="T1253" s="2">
        <v>261</v>
      </c>
      <c r="U1253" s="2">
        <v>0.227822</v>
      </c>
      <c r="V1253" s="2">
        <v>272</v>
      </c>
      <c r="W1253" s="2">
        <v>2005</v>
      </c>
    </row>
    <row r="1254" spans="1:23" ht="12.3" x14ac:dyDescent="0.4">
      <c r="A1254" s="2" t="s">
        <v>71</v>
      </c>
      <c r="B1254" s="2">
        <v>12</v>
      </c>
      <c r="C1254" s="2"/>
      <c r="D1254" s="2"/>
      <c r="E1254" s="2"/>
      <c r="F1254" s="2"/>
      <c r="G1254" s="2"/>
      <c r="H1254" s="2"/>
      <c r="I1254" s="2">
        <v>69.316699999999997</v>
      </c>
      <c r="J1254" s="2">
        <v>56</v>
      </c>
      <c r="K1254" s="2">
        <v>68.550200000000004</v>
      </c>
      <c r="L1254" s="2">
        <v>70</v>
      </c>
      <c r="M1254" s="2">
        <v>102.785</v>
      </c>
      <c r="N1254" s="2">
        <v>142</v>
      </c>
      <c r="O1254" s="2">
        <v>102.0442</v>
      </c>
      <c r="P1254" s="2">
        <v>157</v>
      </c>
      <c r="Q1254" s="2">
        <v>97.365700000000004</v>
      </c>
      <c r="R1254" s="2">
        <v>76</v>
      </c>
      <c r="S1254" s="2">
        <v>95.933700000000002</v>
      </c>
      <c r="T1254" s="2">
        <v>55</v>
      </c>
      <c r="U1254" s="2">
        <v>0.67042500000000005</v>
      </c>
      <c r="V1254" s="2">
        <v>90</v>
      </c>
      <c r="W1254" s="2">
        <v>2011</v>
      </c>
    </row>
    <row r="1255" spans="1:23" ht="12.3" hidden="1" x14ac:dyDescent="0.4">
      <c r="A1255" s="2" t="s">
        <v>320</v>
      </c>
      <c r="B1255" s="2"/>
      <c r="C1255" s="2"/>
      <c r="D1255" s="2"/>
      <c r="E1255" s="2"/>
      <c r="F1255" s="2"/>
      <c r="G1255" s="2"/>
      <c r="H1255" s="2"/>
      <c r="I1255" s="2">
        <v>66.103999999999999</v>
      </c>
      <c r="J1255" s="2">
        <v>207</v>
      </c>
      <c r="K1255" s="2">
        <v>64.856200000000001</v>
      </c>
      <c r="L1255" s="2">
        <v>257</v>
      </c>
      <c r="M1255" s="2">
        <v>93.394800000000004</v>
      </c>
      <c r="N1255" s="2">
        <v>285</v>
      </c>
      <c r="O1255" s="2">
        <v>90.480400000000003</v>
      </c>
      <c r="P1255" s="2">
        <v>312</v>
      </c>
      <c r="Q1255" s="2">
        <v>92.954099999999997</v>
      </c>
      <c r="R1255" s="2">
        <v>20</v>
      </c>
      <c r="S1255" s="2">
        <v>100.7153</v>
      </c>
      <c r="T1255" s="2">
        <v>142</v>
      </c>
      <c r="U1255" s="2">
        <v>0.22576299999999999</v>
      </c>
      <c r="V1255" s="2">
        <v>274</v>
      </c>
      <c r="W1255" s="2">
        <v>2005</v>
      </c>
    </row>
    <row r="1256" spans="1:23" ht="12.3" hidden="1" x14ac:dyDescent="0.4">
      <c r="A1256" s="2" t="s">
        <v>334</v>
      </c>
      <c r="B1256" s="2"/>
      <c r="C1256" s="2"/>
      <c r="D1256" s="2"/>
      <c r="E1256" s="2"/>
      <c r="F1256" s="2"/>
      <c r="G1256" s="2"/>
      <c r="H1256" s="2"/>
      <c r="I1256" s="2">
        <v>68.417299999999997</v>
      </c>
      <c r="J1256" s="2">
        <v>121</v>
      </c>
      <c r="K1256" s="2">
        <v>68.581500000000005</v>
      </c>
      <c r="L1256" s="2">
        <v>116</v>
      </c>
      <c r="M1256" s="2">
        <v>99.603899999999996</v>
      </c>
      <c r="N1256" s="2">
        <v>207</v>
      </c>
      <c r="O1256" s="2">
        <v>98.375799999999998</v>
      </c>
      <c r="P1256" s="2">
        <v>220</v>
      </c>
      <c r="Q1256" s="2">
        <v>107.1584</v>
      </c>
      <c r="R1256" s="2">
        <v>282</v>
      </c>
      <c r="S1256" s="2">
        <v>109.5372</v>
      </c>
      <c r="T1256" s="2">
        <v>300</v>
      </c>
      <c r="U1256" s="2">
        <v>0.22514999999999999</v>
      </c>
      <c r="V1256" s="2">
        <v>275</v>
      </c>
      <c r="W1256" s="2">
        <v>2005</v>
      </c>
    </row>
    <row r="1257" spans="1:23" ht="12.3" hidden="1" x14ac:dyDescent="0.4">
      <c r="A1257" s="2" t="s">
        <v>343</v>
      </c>
      <c r="B1257" s="2"/>
      <c r="C1257" s="2"/>
      <c r="D1257" s="2"/>
      <c r="E1257" s="2"/>
      <c r="F1257" s="2"/>
      <c r="G1257" s="2"/>
      <c r="H1257" s="2"/>
      <c r="I1257" s="2">
        <v>69.863399999999999</v>
      </c>
      <c r="J1257" s="2">
        <v>80</v>
      </c>
      <c r="K1257" s="2">
        <v>69.731499999999997</v>
      </c>
      <c r="L1257" s="2">
        <v>73</v>
      </c>
      <c r="M1257" s="2">
        <v>96.093999999999994</v>
      </c>
      <c r="N1257" s="2">
        <v>251</v>
      </c>
      <c r="O1257" s="2">
        <v>93.927599999999998</v>
      </c>
      <c r="P1257" s="2">
        <v>283</v>
      </c>
      <c r="Q1257" s="2">
        <v>102.1511</v>
      </c>
      <c r="R1257" s="2">
        <v>192</v>
      </c>
      <c r="S1257" s="2">
        <v>104.62430000000001</v>
      </c>
      <c r="T1257" s="2">
        <v>230</v>
      </c>
      <c r="U1257" s="2">
        <v>0.224386</v>
      </c>
      <c r="V1257" s="2">
        <v>276</v>
      </c>
      <c r="W1257" s="2">
        <v>2005</v>
      </c>
    </row>
    <row r="1258" spans="1:23" ht="12.3" hidden="1" x14ac:dyDescent="0.4">
      <c r="A1258" s="2" t="s">
        <v>118</v>
      </c>
      <c r="B1258" s="2"/>
      <c r="C1258" s="2"/>
      <c r="D1258" s="2"/>
      <c r="E1258" s="2"/>
      <c r="F1258" s="2"/>
      <c r="G1258" s="2"/>
      <c r="H1258" s="2"/>
      <c r="I1258" s="2">
        <v>68.930599999999998</v>
      </c>
      <c r="J1258" s="2">
        <v>107</v>
      </c>
      <c r="K1258" s="2">
        <v>69.198300000000003</v>
      </c>
      <c r="L1258" s="2">
        <v>88</v>
      </c>
      <c r="M1258" s="2">
        <v>95.152600000000007</v>
      </c>
      <c r="N1258" s="2">
        <v>265</v>
      </c>
      <c r="O1258" s="2">
        <v>95.226200000000006</v>
      </c>
      <c r="P1258" s="2">
        <v>266</v>
      </c>
      <c r="Q1258" s="2">
        <v>109.4143</v>
      </c>
      <c r="R1258" s="2">
        <v>311</v>
      </c>
      <c r="S1258" s="2">
        <v>106.4542</v>
      </c>
      <c r="T1258" s="2">
        <v>258</v>
      </c>
      <c r="U1258" s="2">
        <v>0.217247</v>
      </c>
      <c r="V1258" s="2">
        <v>277</v>
      </c>
      <c r="W1258" s="2">
        <v>2005</v>
      </c>
    </row>
    <row r="1259" spans="1:23" ht="12.3" hidden="1" x14ac:dyDescent="0.4">
      <c r="A1259" s="2" t="s">
        <v>327</v>
      </c>
      <c r="B1259" s="2"/>
      <c r="C1259" s="2"/>
      <c r="D1259" s="2"/>
      <c r="E1259" s="2"/>
      <c r="F1259" s="2"/>
      <c r="G1259" s="2"/>
      <c r="H1259" s="2"/>
      <c r="I1259" s="2">
        <v>61.3917</v>
      </c>
      <c r="J1259" s="2">
        <v>317</v>
      </c>
      <c r="K1259" s="2">
        <v>61.783799999999999</v>
      </c>
      <c r="L1259" s="2">
        <v>313</v>
      </c>
      <c r="M1259" s="2">
        <v>93.121200000000002</v>
      </c>
      <c r="N1259" s="2">
        <v>287</v>
      </c>
      <c r="O1259" s="2">
        <v>93.3339</v>
      </c>
      <c r="P1259" s="2">
        <v>291</v>
      </c>
      <c r="Q1259" s="2">
        <v>104.15179999999999</v>
      </c>
      <c r="R1259" s="2">
        <v>233</v>
      </c>
      <c r="S1259" s="2">
        <v>104.5142</v>
      </c>
      <c r="T1259" s="2">
        <v>228</v>
      </c>
      <c r="U1259" s="2">
        <v>0.213979</v>
      </c>
      <c r="V1259" s="2">
        <v>278</v>
      </c>
      <c r="W1259" s="2">
        <v>2005</v>
      </c>
    </row>
    <row r="1260" spans="1:23" ht="12.3" hidden="1" x14ac:dyDescent="0.4">
      <c r="A1260" s="2" t="s">
        <v>284</v>
      </c>
      <c r="B1260" s="2"/>
      <c r="C1260" s="2"/>
      <c r="D1260" s="2"/>
      <c r="E1260" s="2"/>
      <c r="F1260" s="2"/>
      <c r="G1260" s="2"/>
      <c r="H1260" s="2"/>
      <c r="I1260" s="2">
        <v>65.787499999999994</v>
      </c>
      <c r="J1260" s="2">
        <v>220</v>
      </c>
      <c r="K1260" s="2">
        <v>65.566900000000004</v>
      </c>
      <c r="L1260" s="2">
        <v>235</v>
      </c>
      <c r="M1260" s="2">
        <v>92.587500000000006</v>
      </c>
      <c r="N1260" s="2">
        <v>294</v>
      </c>
      <c r="O1260" s="2">
        <v>92.6066</v>
      </c>
      <c r="P1260" s="2">
        <v>297</v>
      </c>
      <c r="Q1260" s="2">
        <v>102.10809999999999</v>
      </c>
      <c r="R1260" s="2">
        <v>189</v>
      </c>
      <c r="S1260" s="2">
        <v>103.8305</v>
      </c>
      <c r="T1260" s="2">
        <v>215</v>
      </c>
      <c r="U1260" s="2">
        <v>0.21155199999999999</v>
      </c>
      <c r="V1260" s="2">
        <v>279</v>
      </c>
      <c r="W1260" s="2">
        <v>2005</v>
      </c>
    </row>
    <row r="1261" spans="1:23" ht="12.3" hidden="1" x14ac:dyDescent="0.4">
      <c r="A1261" s="2" t="s">
        <v>252</v>
      </c>
      <c r="B1261" s="2"/>
      <c r="C1261" s="2"/>
      <c r="D1261" s="2"/>
      <c r="E1261" s="2"/>
      <c r="F1261" s="2"/>
      <c r="G1261" s="2"/>
      <c r="H1261" s="2"/>
      <c r="I1261" s="2">
        <v>64.670500000000004</v>
      </c>
      <c r="J1261" s="2">
        <v>265</v>
      </c>
      <c r="K1261" s="2">
        <v>64.860299999999995</v>
      </c>
      <c r="L1261" s="2">
        <v>256</v>
      </c>
      <c r="M1261" s="2">
        <v>93.386300000000006</v>
      </c>
      <c r="N1261" s="2">
        <v>286</v>
      </c>
      <c r="O1261" s="2">
        <v>93.705399999999997</v>
      </c>
      <c r="P1261" s="2">
        <v>287</v>
      </c>
      <c r="Q1261" s="2">
        <v>103.1555</v>
      </c>
      <c r="R1261" s="2">
        <v>217</v>
      </c>
      <c r="S1261" s="2">
        <v>105.18510000000001</v>
      </c>
      <c r="T1261" s="2">
        <v>242</v>
      </c>
      <c r="U1261" s="2">
        <v>0.20932200000000001</v>
      </c>
      <c r="V1261" s="2">
        <v>280</v>
      </c>
      <c r="W1261" s="2">
        <v>2005</v>
      </c>
    </row>
    <row r="1262" spans="1:23" ht="12.3" hidden="1" x14ac:dyDescent="0.4">
      <c r="A1262" s="2" t="s">
        <v>300</v>
      </c>
      <c r="B1262" s="2"/>
      <c r="C1262" s="2"/>
      <c r="D1262" s="2"/>
      <c r="E1262" s="2"/>
      <c r="F1262" s="2"/>
      <c r="G1262" s="2"/>
      <c r="H1262" s="2"/>
      <c r="I1262" s="2">
        <v>73.373099999999994</v>
      </c>
      <c r="J1262" s="2">
        <v>18</v>
      </c>
      <c r="K1262" s="2">
        <v>74.284599999999998</v>
      </c>
      <c r="L1262" s="2">
        <v>6</v>
      </c>
      <c r="M1262" s="2">
        <v>93.814899999999994</v>
      </c>
      <c r="N1262" s="2">
        <v>281</v>
      </c>
      <c r="O1262" s="2">
        <v>93.911600000000007</v>
      </c>
      <c r="P1262" s="2">
        <v>285</v>
      </c>
      <c r="Q1262" s="2">
        <v>101.76090000000001</v>
      </c>
      <c r="R1262" s="2">
        <v>176</v>
      </c>
      <c r="S1262" s="2">
        <v>105.4945</v>
      </c>
      <c r="T1262" s="2">
        <v>247</v>
      </c>
      <c r="U1262" s="2">
        <v>0.20791999999999999</v>
      </c>
      <c r="V1262" s="2">
        <v>281</v>
      </c>
      <c r="W1262" s="2">
        <v>2005</v>
      </c>
    </row>
    <row r="1263" spans="1:23" ht="12.3" hidden="1" x14ac:dyDescent="0.4">
      <c r="A1263" s="2" t="s">
        <v>201</v>
      </c>
      <c r="B1263" s="2"/>
      <c r="C1263" s="2"/>
      <c r="D1263" s="2"/>
      <c r="E1263" s="2"/>
      <c r="F1263" s="2"/>
      <c r="G1263" s="2"/>
      <c r="H1263" s="2"/>
      <c r="I1263" s="2">
        <v>65.636899999999997</v>
      </c>
      <c r="J1263" s="2">
        <v>228</v>
      </c>
      <c r="K1263" s="2">
        <v>66.218500000000006</v>
      </c>
      <c r="L1263" s="2">
        <v>211</v>
      </c>
      <c r="M1263" s="2">
        <v>94.128299999999996</v>
      </c>
      <c r="N1263" s="2">
        <v>278</v>
      </c>
      <c r="O1263" s="2">
        <v>96.574799999999996</v>
      </c>
      <c r="P1263" s="2">
        <v>244</v>
      </c>
      <c r="Q1263" s="2">
        <v>108.79130000000001</v>
      </c>
      <c r="R1263" s="2">
        <v>301</v>
      </c>
      <c r="S1263" s="2">
        <v>108.5744</v>
      </c>
      <c r="T1263" s="2">
        <v>289</v>
      </c>
      <c r="U1263" s="2">
        <v>0.20638500000000001</v>
      </c>
      <c r="V1263" s="2">
        <v>282</v>
      </c>
      <c r="W1263" s="2">
        <v>2005</v>
      </c>
    </row>
    <row r="1264" spans="1:23" ht="12.3" hidden="1" x14ac:dyDescent="0.4">
      <c r="A1264" s="2" t="s">
        <v>302</v>
      </c>
      <c r="B1264" s="2"/>
      <c r="C1264" s="2"/>
      <c r="D1264" s="2"/>
      <c r="E1264" s="2"/>
      <c r="F1264" s="2"/>
      <c r="G1264" s="2"/>
      <c r="H1264" s="2"/>
      <c r="I1264" s="2">
        <v>71.323400000000007</v>
      </c>
      <c r="J1264" s="2">
        <v>39</v>
      </c>
      <c r="K1264" s="2">
        <v>71.301199999999994</v>
      </c>
      <c r="L1264" s="2">
        <v>37</v>
      </c>
      <c r="M1264" s="2">
        <v>94.546300000000002</v>
      </c>
      <c r="N1264" s="2">
        <v>273</v>
      </c>
      <c r="O1264" s="2">
        <v>95.539000000000001</v>
      </c>
      <c r="P1264" s="2">
        <v>261</v>
      </c>
      <c r="Q1264" s="2">
        <v>102.8805</v>
      </c>
      <c r="R1264" s="2">
        <v>210</v>
      </c>
      <c r="S1264" s="2">
        <v>107.44710000000001</v>
      </c>
      <c r="T1264" s="2">
        <v>278</v>
      </c>
      <c r="U1264" s="2">
        <v>0.205733</v>
      </c>
      <c r="V1264" s="2">
        <v>283</v>
      </c>
      <c r="W1264" s="2">
        <v>2005</v>
      </c>
    </row>
    <row r="1265" spans="1:23" ht="12.3" hidden="1" x14ac:dyDescent="0.4">
      <c r="A1265" s="2" t="s">
        <v>273</v>
      </c>
      <c r="B1265" s="2"/>
      <c r="C1265" s="2"/>
      <c r="D1265" s="2"/>
      <c r="E1265" s="2"/>
      <c r="F1265" s="2"/>
      <c r="G1265" s="2"/>
      <c r="H1265" s="2"/>
      <c r="I1265" s="2">
        <v>71.890100000000004</v>
      </c>
      <c r="J1265" s="2">
        <v>31</v>
      </c>
      <c r="K1265" s="2">
        <v>72.495500000000007</v>
      </c>
      <c r="L1265" s="2">
        <v>17</v>
      </c>
      <c r="M1265" s="2">
        <v>91.929699999999997</v>
      </c>
      <c r="N1265" s="2">
        <v>303</v>
      </c>
      <c r="O1265" s="2">
        <v>94.737300000000005</v>
      </c>
      <c r="P1265" s="2">
        <v>271</v>
      </c>
      <c r="Q1265" s="2">
        <v>103.9777</v>
      </c>
      <c r="R1265" s="2">
        <v>230</v>
      </c>
      <c r="S1265" s="2">
        <v>106.6442</v>
      </c>
      <c r="T1265" s="2">
        <v>265</v>
      </c>
      <c r="U1265" s="2">
        <v>0.20399800000000001</v>
      </c>
      <c r="V1265" s="2">
        <v>284</v>
      </c>
      <c r="W1265" s="2">
        <v>2005</v>
      </c>
    </row>
    <row r="1266" spans="1:23" ht="12.3" hidden="1" x14ac:dyDescent="0.4">
      <c r="A1266" s="2" t="s">
        <v>202</v>
      </c>
      <c r="B1266" s="2"/>
      <c r="C1266" s="2"/>
      <c r="D1266" s="2"/>
      <c r="E1266" s="2"/>
      <c r="F1266" s="2"/>
      <c r="G1266" s="2"/>
      <c r="H1266" s="2"/>
      <c r="I1266" s="2">
        <v>68.404200000000003</v>
      </c>
      <c r="J1266" s="2">
        <v>122</v>
      </c>
      <c r="K1266" s="2">
        <v>68.981300000000005</v>
      </c>
      <c r="L1266" s="2">
        <v>95</v>
      </c>
      <c r="M1266" s="2">
        <v>97.170599999999993</v>
      </c>
      <c r="N1266" s="2">
        <v>239</v>
      </c>
      <c r="O1266" s="2">
        <v>96.378</v>
      </c>
      <c r="P1266" s="2">
        <v>248</v>
      </c>
      <c r="Q1266" s="2">
        <v>108.943</v>
      </c>
      <c r="R1266" s="2">
        <v>303</v>
      </c>
      <c r="S1266" s="2">
        <v>108.6105</v>
      </c>
      <c r="T1266" s="2">
        <v>290</v>
      </c>
      <c r="U1266" s="2">
        <v>0.20195099999999999</v>
      </c>
      <c r="V1266" s="2">
        <v>285</v>
      </c>
      <c r="W1266" s="2">
        <v>2005</v>
      </c>
    </row>
    <row r="1267" spans="1:23" ht="12.3" hidden="1" x14ac:dyDescent="0.4">
      <c r="A1267" s="2" t="s">
        <v>305</v>
      </c>
      <c r="B1267" s="2"/>
      <c r="C1267" s="2"/>
      <c r="D1267" s="2"/>
      <c r="E1267" s="2"/>
      <c r="F1267" s="2"/>
      <c r="G1267" s="2"/>
      <c r="H1267" s="2"/>
      <c r="I1267" s="2">
        <v>63.403700000000001</v>
      </c>
      <c r="J1267" s="2">
        <v>297</v>
      </c>
      <c r="K1267" s="2">
        <v>62.200699999999998</v>
      </c>
      <c r="L1267" s="2">
        <v>311</v>
      </c>
      <c r="M1267" s="2">
        <v>90.791899999999998</v>
      </c>
      <c r="N1267" s="2">
        <v>311</v>
      </c>
      <c r="O1267" s="2">
        <v>90.350499999999997</v>
      </c>
      <c r="P1267" s="2">
        <v>313</v>
      </c>
      <c r="Q1267" s="2">
        <v>100.33150000000001</v>
      </c>
      <c r="R1267" s="2">
        <v>137</v>
      </c>
      <c r="S1267" s="2">
        <v>101.9542</v>
      </c>
      <c r="T1267" s="2">
        <v>176</v>
      </c>
      <c r="U1267" s="2">
        <v>0.199487</v>
      </c>
      <c r="V1267" s="2">
        <v>286</v>
      </c>
      <c r="W1267" s="2">
        <v>2005</v>
      </c>
    </row>
    <row r="1268" spans="1:23" ht="12.3" hidden="1" x14ac:dyDescent="0.4">
      <c r="A1268" s="2" t="s">
        <v>322</v>
      </c>
      <c r="B1268" s="2"/>
      <c r="C1268" s="2"/>
      <c r="D1268" s="2"/>
      <c r="E1268" s="2"/>
      <c r="F1268" s="2"/>
      <c r="G1268" s="2"/>
      <c r="H1268" s="2"/>
      <c r="I1268" s="2">
        <v>65.625699999999995</v>
      </c>
      <c r="J1268" s="2">
        <v>229</v>
      </c>
      <c r="K1268" s="2">
        <v>66.971699999999998</v>
      </c>
      <c r="L1268" s="2">
        <v>175</v>
      </c>
      <c r="M1268" s="2">
        <v>93.115600000000001</v>
      </c>
      <c r="N1268" s="2">
        <v>288</v>
      </c>
      <c r="O1268" s="2">
        <v>94.328699999999998</v>
      </c>
      <c r="P1268" s="2">
        <v>277</v>
      </c>
      <c r="Q1268" s="2">
        <v>107.90389999999999</v>
      </c>
      <c r="R1268" s="2">
        <v>290</v>
      </c>
      <c r="S1268" s="2">
        <v>106.52160000000001</v>
      </c>
      <c r="T1268" s="2">
        <v>259</v>
      </c>
      <c r="U1268" s="2">
        <v>0.19813900000000001</v>
      </c>
      <c r="V1268" s="2">
        <v>287</v>
      </c>
      <c r="W1268" s="2">
        <v>2005</v>
      </c>
    </row>
    <row r="1269" spans="1:23" ht="12.3" hidden="1" x14ac:dyDescent="0.4">
      <c r="A1269" s="2" t="s">
        <v>275</v>
      </c>
      <c r="B1269" s="2"/>
      <c r="C1269" s="2"/>
      <c r="D1269" s="2"/>
      <c r="E1269" s="2"/>
      <c r="F1269" s="2"/>
      <c r="G1269" s="2"/>
      <c r="H1269" s="2"/>
      <c r="I1269" s="2">
        <v>67.297799999999995</v>
      </c>
      <c r="J1269" s="2">
        <v>161</v>
      </c>
      <c r="K1269" s="2">
        <v>67.755700000000004</v>
      </c>
      <c r="L1269" s="2">
        <v>139</v>
      </c>
      <c r="M1269" s="2">
        <v>98.362700000000004</v>
      </c>
      <c r="N1269" s="2">
        <v>227</v>
      </c>
      <c r="O1269" s="2">
        <v>97.862399999999994</v>
      </c>
      <c r="P1269" s="2">
        <v>226</v>
      </c>
      <c r="Q1269" s="2">
        <v>110.3109</v>
      </c>
      <c r="R1269" s="2">
        <v>320</v>
      </c>
      <c r="S1269" s="2">
        <v>110.6558</v>
      </c>
      <c r="T1269" s="2">
        <v>312</v>
      </c>
      <c r="U1269" s="2">
        <v>0.195775</v>
      </c>
      <c r="V1269" s="2">
        <v>288</v>
      </c>
      <c r="W1269" s="2">
        <v>2005</v>
      </c>
    </row>
    <row r="1270" spans="1:23" ht="12.3" hidden="1" x14ac:dyDescent="0.4">
      <c r="A1270" s="2" t="s">
        <v>257</v>
      </c>
      <c r="B1270" s="2"/>
      <c r="C1270" s="2"/>
      <c r="D1270" s="2"/>
      <c r="E1270" s="2"/>
      <c r="F1270" s="2"/>
      <c r="G1270" s="2"/>
      <c r="H1270" s="2"/>
      <c r="I1270" s="2">
        <v>67.835300000000004</v>
      </c>
      <c r="J1270" s="2">
        <v>138</v>
      </c>
      <c r="K1270" s="2">
        <v>67.750299999999996</v>
      </c>
      <c r="L1270" s="2">
        <v>140</v>
      </c>
      <c r="M1270" s="2">
        <v>93.834299999999999</v>
      </c>
      <c r="N1270" s="2">
        <v>280</v>
      </c>
      <c r="O1270" s="2">
        <v>93.012100000000004</v>
      </c>
      <c r="P1270" s="2">
        <v>294</v>
      </c>
      <c r="Q1270" s="2">
        <v>106.63760000000001</v>
      </c>
      <c r="R1270" s="2">
        <v>271</v>
      </c>
      <c r="S1270" s="2">
        <v>105.1716</v>
      </c>
      <c r="T1270" s="2">
        <v>241</v>
      </c>
      <c r="U1270" s="2">
        <v>0.195773</v>
      </c>
      <c r="V1270" s="2">
        <v>289</v>
      </c>
      <c r="W1270" s="2">
        <v>2005</v>
      </c>
    </row>
    <row r="1271" spans="1:23" ht="12.3" hidden="1" x14ac:dyDescent="0.4">
      <c r="A1271" s="2" t="s">
        <v>196</v>
      </c>
      <c r="B1271" s="2"/>
      <c r="C1271" s="2"/>
      <c r="D1271" s="2"/>
      <c r="E1271" s="2"/>
      <c r="F1271" s="2"/>
      <c r="G1271" s="2"/>
      <c r="H1271" s="2"/>
      <c r="I1271" s="2">
        <v>68.056100000000001</v>
      </c>
      <c r="J1271" s="2">
        <v>135</v>
      </c>
      <c r="K1271" s="2">
        <v>67.081199999999995</v>
      </c>
      <c r="L1271" s="2">
        <v>169</v>
      </c>
      <c r="M1271" s="2">
        <v>92.606700000000004</v>
      </c>
      <c r="N1271" s="2">
        <v>293</v>
      </c>
      <c r="O1271" s="2">
        <v>91.990099999999998</v>
      </c>
      <c r="P1271" s="2">
        <v>298</v>
      </c>
      <c r="Q1271" s="2">
        <v>105.4053</v>
      </c>
      <c r="R1271" s="2">
        <v>258</v>
      </c>
      <c r="S1271" s="2">
        <v>104.1961</v>
      </c>
      <c r="T1271" s="2">
        <v>223</v>
      </c>
      <c r="U1271" s="2">
        <v>0.192658</v>
      </c>
      <c r="V1271" s="2">
        <v>290</v>
      </c>
      <c r="W1271" s="2">
        <v>2005</v>
      </c>
    </row>
    <row r="1272" spans="1:23" ht="12.3" hidden="1" x14ac:dyDescent="0.4">
      <c r="A1272" s="2" t="s">
        <v>306</v>
      </c>
      <c r="B1272" s="2"/>
      <c r="C1272" s="2"/>
      <c r="D1272" s="2"/>
      <c r="E1272" s="2"/>
      <c r="F1272" s="2"/>
      <c r="G1272" s="2"/>
      <c r="H1272" s="2"/>
      <c r="I1272" s="2">
        <v>65.387900000000002</v>
      </c>
      <c r="J1272" s="2">
        <v>237</v>
      </c>
      <c r="K1272" s="2">
        <v>64.052199999999999</v>
      </c>
      <c r="L1272" s="2">
        <v>286</v>
      </c>
      <c r="M1272" s="2">
        <v>91.181299999999993</v>
      </c>
      <c r="N1272" s="2">
        <v>306</v>
      </c>
      <c r="O1272" s="2">
        <v>90.561300000000003</v>
      </c>
      <c r="P1272" s="2">
        <v>311</v>
      </c>
      <c r="Q1272" s="2">
        <v>103.5977</v>
      </c>
      <c r="R1272" s="2">
        <v>223</v>
      </c>
      <c r="S1272" s="2">
        <v>102.6491</v>
      </c>
      <c r="T1272" s="2">
        <v>189</v>
      </c>
      <c r="U1272" s="2">
        <v>0.191416</v>
      </c>
      <c r="V1272" s="2">
        <v>291</v>
      </c>
      <c r="W1272" s="2">
        <v>2005</v>
      </c>
    </row>
    <row r="1273" spans="1:23" ht="12.3" hidden="1" x14ac:dyDescent="0.4">
      <c r="A1273" s="2" t="s">
        <v>223</v>
      </c>
      <c r="B1273" s="2"/>
      <c r="C1273" s="2"/>
      <c r="D1273" s="2"/>
      <c r="E1273" s="2"/>
      <c r="F1273" s="2"/>
      <c r="G1273" s="2"/>
      <c r="H1273" s="2"/>
      <c r="I1273" s="2">
        <v>66.772199999999998</v>
      </c>
      <c r="J1273" s="2">
        <v>183</v>
      </c>
      <c r="K1273" s="2">
        <v>66.494100000000003</v>
      </c>
      <c r="L1273" s="2">
        <v>198</v>
      </c>
      <c r="M1273" s="2">
        <v>99.124300000000005</v>
      </c>
      <c r="N1273" s="2">
        <v>215</v>
      </c>
      <c r="O1273" s="2">
        <v>97.435500000000005</v>
      </c>
      <c r="P1273" s="2">
        <v>234</v>
      </c>
      <c r="Q1273" s="2">
        <v>106.9038</v>
      </c>
      <c r="R1273" s="2">
        <v>276</v>
      </c>
      <c r="S1273" s="2">
        <v>110.4455</v>
      </c>
      <c r="T1273" s="2">
        <v>310</v>
      </c>
      <c r="U1273" s="2">
        <v>0.19134200000000001</v>
      </c>
      <c r="V1273" s="2">
        <v>292</v>
      </c>
      <c r="W1273" s="2">
        <v>2005</v>
      </c>
    </row>
    <row r="1274" spans="1:23" ht="12.3" hidden="1" x14ac:dyDescent="0.4">
      <c r="A1274" s="2" t="s">
        <v>193</v>
      </c>
      <c r="B1274" s="2"/>
      <c r="C1274" s="2"/>
      <c r="D1274" s="2"/>
      <c r="E1274" s="2"/>
      <c r="F1274" s="2"/>
      <c r="G1274" s="2"/>
      <c r="H1274" s="2"/>
      <c r="I1274" s="2">
        <v>66.131</v>
      </c>
      <c r="J1274" s="2">
        <v>205</v>
      </c>
      <c r="K1274" s="2">
        <v>66.379099999999994</v>
      </c>
      <c r="L1274" s="2">
        <v>203</v>
      </c>
      <c r="M1274" s="2">
        <v>94.396000000000001</v>
      </c>
      <c r="N1274" s="2">
        <v>275</v>
      </c>
      <c r="O1274" s="2">
        <v>95.495999999999995</v>
      </c>
      <c r="P1274" s="2">
        <v>262</v>
      </c>
      <c r="Q1274" s="2">
        <v>106.8176</v>
      </c>
      <c r="R1274" s="2">
        <v>274</v>
      </c>
      <c r="S1274" s="2">
        <v>108.39490000000001</v>
      </c>
      <c r="T1274" s="2">
        <v>287</v>
      </c>
      <c r="U1274" s="2">
        <v>0.18892500000000001</v>
      </c>
      <c r="V1274" s="2">
        <v>293</v>
      </c>
      <c r="W1274" s="2">
        <v>2005</v>
      </c>
    </row>
    <row r="1275" spans="1:23" ht="12.3" hidden="1" x14ac:dyDescent="0.4">
      <c r="A1275" s="2" t="s">
        <v>278</v>
      </c>
      <c r="B1275" s="2"/>
      <c r="C1275" s="2"/>
      <c r="D1275" s="2"/>
      <c r="E1275" s="2"/>
      <c r="F1275" s="2"/>
      <c r="G1275" s="2"/>
      <c r="H1275" s="2"/>
      <c r="I1275" s="2">
        <v>66.016800000000003</v>
      </c>
      <c r="J1275" s="2">
        <v>213</v>
      </c>
      <c r="K1275" s="2">
        <v>65.164500000000004</v>
      </c>
      <c r="L1275" s="2">
        <v>249</v>
      </c>
      <c r="M1275" s="2">
        <v>92.024500000000003</v>
      </c>
      <c r="N1275" s="2">
        <v>302</v>
      </c>
      <c r="O1275" s="2">
        <v>94.483900000000006</v>
      </c>
      <c r="P1275" s="2">
        <v>275</v>
      </c>
      <c r="Q1275" s="2">
        <v>107.7967</v>
      </c>
      <c r="R1275" s="2">
        <v>288</v>
      </c>
      <c r="S1275" s="2">
        <v>107.616</v>
      </c>
      <c r="T1275" s="2">
        <v>279</v>
      </c>
      <c r="U1275" s="2">
        <v>0.18293100000000001</v>
      </c>
      <c r="V1275" s="2">
        <v>294</v>
      </c>
      <c r="W1275" s="2">
        <v>2005</v>
      </c>
    </row>
    <row r="1276" spans="1:23" ht="12.3" hidden="1" x14ac:dyDescent="0.4">
      <c r="A1276" s="2" t="s">
        <v>345</v>
      </c>
      <c r="B1276" s="2"/>
      <c r="C1276" s="2"/>
      <c r="D1276" s="2"/>
      <c r="E1276" s="2"/>
      <c r="F1276" s="2"/>
      <c r="G1276" s="2"/>
      <c r="H1276" s="2"/>
      <c r="I1276" s="2">
        <v>69.177599999999998</v>
      </c>
      <c r="J1276" s="2">
        <v>97</v>
      </c>
      <c r="K1276" s="2">
        <v>68.828100000000006</v>
      </c>
      <c r="L1276" s="2">
        <v>100</v>
      </c>
      <c r="M1276" s="2">
        <v>93.415899999999993</v>
      </c>
      <c r="N1276" s="2">
        <v>284</v>
      </c>
      <c r="O1276" s="2">
        <v>90.844200000000001</v>
      </c>
      <c r="P1276" s="2">
        <v>307</v>
      </c>
      <c r="Q1276" s="2">
        <v>96.919600000000003</v>
      </c>
      <c r="R1276" s="2">
        <v>59</v>
      </c>
      <c r="S1276" s="2">
        <v>103.9135</v>
      </c>
      <c r="T1276" s="2">
        <v>217</v>
      </c>
      <c r="U1276" s="2">
        <v>0.175701</v>
      </c>
      <c r="V1276" s="2">
        <v>295</v>
      </c>
      <c r="W1276" s="2">
        <v>2005</v>
      </c>
    </row>
    <row r="1277" spans="1:23" ht="12.3" hidden="1" x14ac:dyDescent="0.4">
      <c r="A1277" s="2" t="s">
        <v>274</v>
      </c>
      <c r="B1277" s="2"/>
      <c r="C1277" s="2"/>
      <c r="D1277" s="2"/>
      <c r="E1277" s="2"/>
      <c r="F1277" s="2"/>
      <c r="G1277" s="2"/>
      <c r="H1277" s="2"/>
      <c r="I1277" s="2">
        <v>71.549300000000002</v>
      </c>
      <c r="J1277" s="2">
        <v>33</v>
      </c>
      <c r="K1277" s="2">
        <v>71.424599999999998</v>
      </c>
      <c r="L1277" s="2">
        <v>34</v>
      </c>
      <c r="M1277" s="2">
        <v>102.2608</v>
      </c>
      <c r="N1277" s="2">
        <v>140</v>
      </c>
      <c r="O1277" s="2">
        <v>98.6785</v>
      </c>
      <c r="P1277" s="2">
        <v>210</v>
      </c>
      <c r="Q1277" s="2">
        <v>109.2225</v>
      </c>
      <c r="R1277" s="2">
        <v>305</v>
      </c>
      <c r="S1277" s="2">
        <v>113.0091</v>
      </c>
      <c r="T1277" s="2">
        <v>325</v>
      </c>
      <c r="U1277" s="2">
        <v>0.173731</v>
      </c>
      <c r="V1277" s="2">
        <v>296</v>
      </c>
      <c r="W1277" s="2">
        <v>2005</v>
      </c>
    </row>
    <row r="1278" spans="1:23" ht="12.3" hidden="1" x14ac:dyDescent="0.4">
      <c r="A1278" s="2" t="s">
        <v>329</v>
      </c>
      <c r="B1278" s="2"/>
      <c r="C1278" s="2"/>
      <c r="D1278" s="2"/>
      <c r="E1278" s="2"/>
      <c r="F1278" s="2"/>
      <c r="G1278" s="2"/>
      <c r="H1278" s="2"/>
      <c r="I1278" s="2">
        <v>71.078000000000003</v>
      </c>
      <c r="J1278" s="2">
        <v>40</v>
      </c>
      <c r="K1278" s="2">
        <v>69.888000000000005</v>
      </c>
      <c r="L1278" s="2">
        <v>63</v>
      </c>
      <c r="M1278" s="2">
        <v>93.926100000000005</v>
      </c>
      <c r="N1278" s="2">
        <v>279</v>
      </c>
      <c r="O1278" s="2">
        <v>92.921499999999995</v>
      </c>
      <c r="P1278" s="2">
        <v>295</v>
      </c>
      <c r="Q1278" s="2">
        <v>98.716800000000006</v>
      </c>
      <c r="R1278" s="2">
        <v>99</v>
      </c>
      <c r="S1278" s="2">
        <v>106.629</v>
      </c>
      <c r="T1278" s="2">
        <v>263</v>
      </c>
      <c r="U1278" s="2">
        <v>0.17045399999999999</v>
      </c>
      <c r="V1278" s="2">
        <v>297</v>
      </c>
      <c r="W1278" s="2">
        <v>2005</v>
      </c>
    </row>
    <row r="1279" spans="1:23" ht="12.3" hidden="1" x14ac:dyDescent="0.4">
      <c r="A1279" s="2" t="s">
        <v>312</v>
      </c>
      <c r="B1279" s="2"/>
      <c r="C1279" s="2"/>
      <c r="D1279" s="2"/>
      <c r="E1279" s="2"/>
      <c r="F1279" s="2"/>
      <c r="G1279" s="2"/>
      <c r="H1279" s="2"/>
      <c r="I1279" s="2">
        <v>72.118399999999994</v>
      </c>
      <c r="J1279" s="2">
        <v>28</v>
      </c>
      <c r="K1279" s="2">
        <v>70.930800000000005</v>
      </c>
      <c r="L1279" s="2">
        <v>41</v>
      </c>
      <c r="M1279" s="2">
        <v>89.476799999999997</v>
      </c>
      <c r="N1279" s="2">
        <v>320</v>
      </c>
      <c r="O1279" s="2">
        <v>89.745400000000004</v>
      </c>
      <c r="P1279" s="2">
        <v>316</v>
      </c>
      <c r="Q1279" s="2">
        <v>95.534000000000006</v>
      </c>
      <c r="R1279" s="2">
        <v>43</v>
      </c>
      <c r="S1279" s="2">
        <v>103.2264</v>
      </c>
      <c r="T1279" s="2">
        <v>201</v>
      </c>
      <c r="U1279" s="2">
        <v>0.16667299999999999</v>
      </c>
      <c r="V1279" s="2">
        <v>298</v>
      </c>
      <c r="W1279" s="2">
        <v>2005</v>
      </c>
    </row>
    <row r="1280" spans="1:23" ht="12.3" hidden="1" x14ac:dyDescent="0.4">
      <c r="A1280" s="2" t="s">
        <v>280</v>
      </c>
      <c r="B1280" s="2"/>
      <c r="C1280" s="2"/>
      <c r="D1280" s="2"/>
      <c r="E1280" s="2"/>
      <c r="F1280" s="2"/>
      <c r="G1280" s="2"/>
      <c r="H1280" s="2"/>
      <c r="I1280" s="2">
        <v>67.984099999999998</v>
      </c>
      <c r="J1280" s="2">
        <v>137</v>
      </c>
      <c r="K1280" s="2">
        <v>68.235600000000005</v>
      </c>
      <c r="L1280" s="2">
        <v>118</v>
      </c>
      <c r="M1280" s="2">
        <v>96.078999999999994</v>
      </c>
      <c r="N1280" s="2">
        <v>252</v>
      </c>
      <c r="O1280" s="2">
        <v>95.954300000000003</v>
      </c>
      <c r="P1280" s="2">
        <v>255</v>
      </c>
      <c r="Q1280" s="2">
        <v>113.2146</v>
      </c>
      <c r="R1280" s="2">
        <v>327</v>
      </c>
      <c r="S1280" s="2">
        <v>110.4586</v>
      </c>
      <c r="T1280" s="2">
        <v>311</v>
      </c>
      <c r="U1280" s="2">
        <v>0.16536500000000001</v>
      </c>
      <c r="V1280" s="2">
        <v>299</v>
      </c>
      <c r="W1280" s="2">
        <v>2005</v>
      </c>
    </row>
    <row r="1281" spans="1:23" ht="12.3" hidden="1" x14ac:dyDescent="0.4">
      <c r="A1281" s="2" t="s">
        <v>246</v>
      </c>
      <c r="B1281" s="2"/>
      <c r="C1281" s="2"/>
      <c r="D1281" s="2"/>
      <c r="E1281" s="2"/>
      <c r="F1281" s="2"/>
      <c r="G1281" s="2"/>
      <c r="H1281" s="2"/>
      <c r="I1281" s="2">
        <v>73.4649</v>
      </c>
      <c r="J1281" s="2">
        <v>16</v>
      </c>
      <c r="K1281" s="2">
        <v>71.947299999999998</v>
      </c>
      <c r="L1281" s="2">
        <v>28</v>
      </c>
      <c r="M1281" s="2">
        <v>90.452500000000001</v>
      </c>
      <c r="N1281" s="2">
        <v>314</v>
      </c>
      <c r="O1281" s="2">
        <v>90.725800000000007</v>
      </c>
      <c r="P1281" s="2">
        <v>310</v>
      </c>
      <c r="Q1281" s="2">
        <v>104.35809999999999</v>
      </c>
      <c r="R1281" s="2">
        <v>239</v>
      </c>
      <c r="S1281" s="2">
        <v>104.69370000000001</v>
      </c>
      <c r="T1281" s="2">
        <v>231</v>
      </c>
      <c r="U1281" s="2">
        <v>0.161548</v>
      </c>
      <c r="V1281" s="2">
        <v>300</v>
      </c>
      <c r="W1281" s="2">
        <v>2005</v>
      </c>
    </row>
    <row r="1282" spans="1:23" ht="12.3" hidden="1" x14ac:dyDescent="0.4">
      <c r="A1282" s="2" t="s">
        <v>338</v>
      </c>
      <c r="B1282" s="2"/>
      <c r="C1282" s="2"/>
      <c r="D1282" s="2"/>
      <c r="E1282" s="2"/>
      <c r="F1282" s="2"/>
      <c r="G1282" s="2"/>
      <c r="H1282" s="2"/>
      <c r="I1282" s="2">
        <v>70.244500000000002</v>
      </c>
      <c r="J1282" s="2">
        <v>70</v>
      </c>
      <c r="K1282" s="2">
        <v>68.891599999999997</v>
      </c>
      <c r="L1282" s="2">
        <v>97</v>
      </c>
      <c r="M1282" s="2">
        <v>92.184399999999997</v>
      </c>
      <c r="N1282" s="2">
        <v>299</v>
      </c>
      <c r="O1282" s="2">
        <v>89.997299999999996</v>
      </c>
      <c r="P1282" s="2">
        <v>314</v>
      </c>
      <c r="Q1282" s="2">
        <v>95.9876</v>
      </c>
      <c r="R1282" s="2">
        <v>46</v>
      </c>
      <c r="S1282" s="2">
        <v>104.1592</v>
      </c>
      <c r="T1282" s="2">
        <v>221</v>
      </c>
      <c r="U1282" s="2">
        <v>0.15701399999999999</v>
      </c>
      <c r="V1282" s="2">
        <v>301</v>
      </c>
      <c r="W1282" s="2">
        <v>2005</v>
      </c>
    </row>
    <row r="1283" spans="1:23" ht="12.3" hidden="1" x14ac:dyDescent="0.4">
      <c r="A1283" s="2" t="s">
        <v>293</v>
      </c>
      <c r="B1283" s="2"/>
      <c r="C1283" s="2"/>
      <c r="D1283" s="2"/>
      <c r="E1283" s="2"/>
      <c r="F1283" s="2"/>
      <c r="G1283" s="2"/>
      <c r="H1283" s="2"/>
      <c r="I1283" s="2">
        <v>65.1511</v>
      </c>
      <c r="J1283" s="2">
        <v>252</v>
      </c>
      <c r="K1283" s="2">
        <v>65.513599999999997</v>
      </c>
      <c r="L1283" s="2">
        <v>237</v>
      </c>
      <c r="M1283" s="2">
        <v>94.785600000000002</v>
      </c>
      <c r="N1283" s="2">
        <v>269</v>
      </c>
      <c r="O1283" s="2">
        <v>93.915899999999993</v>
      </c>
      <c r="P1283" s="2">
        <v>284</v>
      </c>
      <c r="Q1283" s="2">
        <v>107.2809</v>
      </c>
      <c r="R1283" s="2">
        <v>284</v>
      </c>
      <c r="S1283" s="2">
        <v>108.7201</v>
      </c>
      <c r="T1283" s="2">
        <v>293</v>
      </c>
      <c r="U1283" s="2">
        <v>0.15665399999999999</v>
      </c>
      <c r="V1283" s="2">
        <v>302</v>
      </c>
      <c r="W1283" s="2">
        <v>2005</v>
      </c>
    </row>
    <row r="1284" spans="1:23" ht="12.3" hidden="1" x14ac:dyDescent="0.4">
      <c r="A1284" s="2" t="s">
        <v>301</v>
      </c>
      <c r="B1284" s="2"/>
      <c r="C1284" s="2"/>
      <c r="D1284" s="2"/>
      <c r="E1284" s="2"/>
      <c r="F1284" s="2"/>
      <c r="G1284" s="2"/>
      <c r="H1284" s="2"/>
      <c r="I1284" s="2">
        <v>70.474500000000006</v>
      </c>
      <c r="J1284" s="2">
        <v>61</v>
      </c>
      <c r="K1284" s="2">
        <v>69.007300000000001</v>
      </c>
      <c r="L1284" s="2">
        <v>94</v>
      </c>
      <c r="M1284" s="2">
        <v>95.445800000000006</v>
      </c>
      <c r="N1284" s="2">
        <v>262</v>
      </c>
      <c r="O1284" s="2">
        <v>95.887600000000006</v>
      </c>
      <c r="P1284" s="2">
        <v>256</v>
      </c>
      <c r="Q1284" s="2">
        <v>103.6433</v>
      </c>
      <c r="R1284" s="2">
        <v>225</v>
      </c>
      <c r="S1284" s="2">
        <v>111.09650000000001</v>
      </c>
      <c r="T1284" s="2">
        <v>314</v>
      </c>
      <c r="U1284" s="2">
        <v>0.15537400000000001</v>
      </c>
      <c r="V1284" s="2">
        <v>303</v>
      </c>
      <c r="W1284" s="2">
        <v>2005</v>
      </c>
    </row>
    <row r="1285" spans="1:23" ht="12.3" hidden="1" x14ac:dyDescent="0.4">
      <c r="A1285" s="2" t="s">
        <v>297</v>
      </c>
      <c r="B1285" s="2"/>
      <c r="C1285" s="2"/>
      <c r="D1285" s="2"/>
      <c r="E1285" s="2"/>
      <c r="F1285" s="2"/>
      <c r="G1285" s="2"/>
      <c r="H1285" s="2"/>
      <c r="I1285" s="2">
        <v>64.289500000000004</v>
      </c>
      <c r="J1285" s="2">
        <v>275</v>
      </c>
      <c r="K1285" s="2">
        <v>62.8887</v>
      </c>
      <c r="L1285" s="2">
        <v>304</v>
      </c>
      <c r="M1285" s="2">
        <v>88.508899999999997</v>
      </c>
      <c r="N1285" s="2">
        <v>322</v>
      </c>
      <c r="O1285" s="2">
        <v>87.134100000000004</v>
      </c>
      <c r="P1285" s="2">
        <v>323</v>
      </c>
      <c r="Q1285" s="2">
        <v>93.854100000000003</v>
      </c>
      <c r="R1285" s="2">
        <v>28</v>
      </c>
      <c r="S1285" s="2">
        <v>101.102</v>
      </c>
      <c r="T1285" s="2">
        <v>154</v>
      </c>
      <c r="U1285" s="2">
        <v>0.15318399999999999</v>
      </c>
      <c r="V1285" s="2">
        <v>304</v>
      </c>
      <c r="W1285" s="2">
        <v>2005</v>
      </c>
    </row>
    <row r="1286" spans="1:23" ht="12.3" hidden="1" x14ac:dyDescent="0.4">
      <c r="A1286" s="2" t="s">
        <v>179</v>
      </c>
      <c r="B1286" s="2"/>
      <c r="C1286" s="2"/>
      <c r="D1286" s="2"/>
      <c r="E1286" s="2"/>
      <c r="F1286" s="2"/>
      <c r="G1286" s="2"/>
      <c r="H1286" s="2"/>
      <c r="I1286" s="2">
        <v>70.871399999999994</v>
      </c>
      <c r="J1286" s="2">
        <v>48</v>
      </c>
      <c r="K1286" s="2">
        <v>69.509600000000006</v>
      </c>
      <c r="L1286" s="2">
        <v>76</v>
      </c>
      <c r="M1286" s="2">
        <v>90.489199999999997</v>
      </c>
      <c r="N1286" s="2">
        <v>313</v>
      </c>
      <c r="O1286" s="2">
        <v>89.594999999999999</v>
      </c>
      <c r="P1286" s="2">
        <v>317</v>
      </c>
      <c r="Q1286" s="2">
        <v>101.62990000000001</v>
      </c>
      <c r="R1286" s="2">
        <v>174</v>
      </c>
      <c r="S1286" s="2">
        <v>104.71729999999999</v>
      </c>
      <c r="T1286" s="2">
        <v>232</v>
      </c>
      <c r="U1286" s="2">
        <v>0.14263300000000001</v>
      </c>
      <c r="V1286" s="2">
        <v>305</v>
      </c>
      <c r="W1286" s="2">
        <v>2005</v>
      </c>
    </row>
    <row r="1287" spans="1:23" ht="12.3" hidden="1" x14ac:dyDescent="0.4">
      <c r="A1287" s="2" t="s">
        <v>295</v>
      </c>
      <c r="B1287" s="2"/>
      <c r="C1287" s="2"/>
      <c r="D1287" s="2"/>
      <c r="E1287" s="2"/>
      <c r="F1287" s="2"/>
      <c r="G1287" s="2"/>
      <c r="H1287" s="2"/>
      <c r="I1287" s="2">
        <v>66.147300000000001</v>
      </c>
      <c r="J1287" s="2">
        <v>203</v>
      </c>
      <c r="K1287" s="2">
        <v>65.819599999999994</v>
      </c>
      <c r="L1287" s="2">
        <v>229</v>
      </c>
      <c r="M1287" s="2">
        <v>89.515199999999993</v>
      </c>
      <c r="N1287" s="2">
        <v>319</v>
      </c>
      <c r="O1287" s="2">
        <v>91.445700000000002</v>
      </c>
      <c r="P1287" s="2">
        <v>304</v>
      </c>
      <c r="Q1287" s="2">
        <v>105.7272</v>
      </c>
      <c r="R1287" s="2">
        <v>265</v>
      </c>
      <c r="S1287" s="2">
        <v>107.12949999999999</v>
      </c>
      <c r="T1287" s="2">
        <v>275</v>
      </c>
      <c r="U1287" s="2">
        <v>0.13938999999999999</v>
      </c>
      <c r="V1287" s="2">
        <v>306</v>
      </c>
      <c r="W1287" s="2">
        <v>2005</v>
      </c>
    </row>
    <row r="1288" spans="1:23" ht="12.3" hidden="1" x14ac:dyDescent="0.4">
      <c r="A1288" s="2" t="s">
        <v>340</v>
      </c>
      <c r="B1288" s="2"/>
      <c r="C1288" s="2"/>
      <c r="D1288" s="2"/>
      <c r="E1288" s="2"/>
      <c r="F1288" s="2"/>
      <c r="G1288" s="2"/>
      <c r="H1288" s="2"/>
      <c r="I1288" s="2">
        <v>71.539699999999996</v>
      </c>
      <c r="J1288" s="2">
        <v>34</v>
      </c>
      <c r="K1288" s="2">
        <v>70.961799999999997</v>
      </c>
      <c r="L1288" s="2">
        <v>40</v>
      </c>
      <c r="M1288" s="2">
        <v>91.759</v>
      </c>
      <c r="N1288" s="2">
        <v>304</v>
      </c>
      <c r="O1288" s="2">
        <v>89.752399999999994</v>
      </c>
      <c r="P1288" s="2">
        <v>315</v>
      </c>
      <c r="Q1288" s="2">
        <v>105.4075</v>
      </c>
      <c r="R1288" s="2">
        <v>259</v>
      </c>
      <c r="S1288" s="2">
        <v>105.57689999999999</v>
      </c>
      <c r="T1288" s="2">
        <v>249</v>
      </c>
      <c r="U1288" s="2">
        <v>0.13383999999999999</v>
      </c>
      <c r="V1288" s="2">
        <v>307</v>
      </c>
      <c r="W1288" s="2">
        <v>2005</v>
      </c>
    </row>
    <row r="1289" spans="1:23" ht="12.3" hidden="1" x14ac:dyDescent="0.4">
      <c r="A1289" s="2" t="s">
        <v>349</v>
      </c>
      <c r="B1289" s="2"/>
      <c r="C1289" s="2"/>
      <c r="D1289" s="2"/>
      <c r="E1289" s="2"/>
      <c r="F1289" s="2"/>
      <c r="G1289" s="2"/>
      <c r="H1289" s="2"/>
      <c r="I1289" s="2">
        <v>67.402100000000004</v>
      </c>
      <c r="J1289" s="2">
        <v>158</v>
      </c>
      <c r="K1289" s="2">
        <v>65.931899999999999</v>
      </c>
      <c r="L1289" s="2">
        <v>223</v>
      </c>
      <c r="M1289" s="2">
        <v>96.495400000000004</v>
      </c>
      <c r="N1289" s="2">
        <v>244</v>
      </c>
      <c r="O1289" s="2">
        <v>94.536500000000004</v>
      </c>
      <c r="P1289" s="2">
        <v>272</v>
      </c>
      <c r="Q1289" s="2">
        <v>105.92149999999999</v>
      </c>
      <c r="R1289" s="2">
        <v>267</v>
      </c>
      <c r="S1289" s="2">
        <v>111.2148</v>
      </c>
      <c r="T1289" s="2">
        <v>315</v>
      </c>
      <c r="U1289" s="2">
        <v>0.133716</v>
      </c>
      <c r="V1289" s="2">
        <v>308</v>
      </c>
      <c r="W1289" s="2">
        <v>2005</v>
      </c>
    </row>
    <row r="1290" spans="1:23" ht="12.3" hidden="1" x14ac:dyDescent="0.4">
      <c r="A1290" s="2" t="s">
        <v>263</v>
      </c>
      <c r="B1290" s="2"/>
      <c r="C1290" s="2"/>
      <c r="D1290" s="2"/>
      <c r="E1290" s="2"/>
      <c r="F1290" s="2"/>
      <c r="G1290" s="2"/>
      <c r="H1290" s="2"/>
      <c r="I1290" s="2">
        <v>68.505899999999997</v>
      </c>
      <c r="J1290" s="2">
        <v>117</v>
      </c>
      <c r="K1290" s="2">
        <v>67.352999999999994</v>
      </c>
      <c r="L1290" s="2">
        <v>158</v>
      </c>
      <c r="M1290" s="2">
        <v>92.7667</v>
      </c>
      <c r="N1290" s="2">
        <v>290</v>
      </c>
      <c r="O1290" s="2">
        <v>91.194999999999993</v>
      </c>
      <c r="P1290" s="2">
        <v>305</v>
      </c>
      <c r="Q1290" s="2">
        <v>104.04040000000001</v>
      </c>
      <c r="R1290" s="2">
        <v>232</v>
      </c>
      <c r="S1290" s="2">
        <v>107.3199</v>
      </c>
      <c r="T1290" s="2">
        <v>276</v>
      </c>
      <c r="U1290" s="2">
        <v>0.133268</v>
      </c>
      <c r="V1290" s="2">
        <v>309</v>
      </c>
      <c r="W1290" s="2">
        <v>2005</v>
      </c>
    </row>
    <row r="1291" spans="1:23" ht="12.3" hidden="1" x14ac:dyDescent="0.4">
      <c r="A1291" s="2" t="s">
        <v>189</v>
      </c>
      <c r="B1291" s="2"/>
      <c r="C1291" s="2"/>
      <c r="D1291" s="2"/>
      <c r="E1291" s="2"/>
      <c r="F1291" s="2"/>
      <c r="G1291" s="2"/>
      <c r="H1291" s="2"/>
      <c r="I1291" s="2">
        <v>70.748099999999994</v>
      </c>
      <c r="J1291" s="2">
        <v>51</v>
      </c>
      <c r="K1291" s="2">
        <v>72.112300000000005</v>
      </c>
      <c r="L1291" s="2">
        <v>24</v>
      </c>
      <c r="M1291" s="2">
        <v>94.809700000000007</v>
      </c>
      <c r="N1291" s="2">
        <v>268</v>
      </c>
      <c r="O1291" s="2">
        <v>96.551599999999993</v>
      </c>
      <c r="P1291" s="2">
        <v>245</v>
      </c>
      <c r="Q1291" s="2">
        <v>113.3387</v>
      </c>
      <c r="R1291" s="2">
        <v>329</v>
      </c>
      <c r="S1291" s="2">
        <v>113.8318</v>
      </c>
      <c r="T1291" s="2">
        <v>328</v>
      </c>
      <c r="U1291" s="2">
        <v>0.130856</v>
      </c>
      <c r="V1291" s="2">
        <v>310</v>
      </c>
      <c r="W1291" s="2">
        <v>2005</v>
      </c>
    </row>
    <row r="1292" spans="1:23" ht="12.3" hidden="1" x14ac:dyDescent="0.4">
      <c r="A1292" s="2" t="s">
        <v>294</v>
      </c>
      <c r="B1292" s="2"/>
      <c r="C1292" s="2"/>
      <c r="D1292" s="2"/>
      <c r="E1292" s="2"/>
      <c r="F1292" s="2"/>
      <c r="G1292" s="2"/>
      <c r="H1292" s="2"/>
      <c r="I1292" s="2">
        <v>67.761700000000005</v>
      </c>
      <c r="J1292" s="2">
        <v>143</v>
      </c>
      <c r="K1292" s="2">
        <v>67.461200000000005</v>
      </c>
      <c r="L1292" s="2">
        <v>152</v>
      </c>
      <c r="M1292" s="2">
        <v>90.958399999999997</v>
      </c>
      <c r="N1292" s="2">
        <v>309</v>
      </c>
      <c r="O1292" s="2">
        <v>89.434399999999997</v>
      </c>
      <c r="P1292" s="2">
        <v>318</v>
      </c>
      <c r="Q1292" s="2">
        <v>103.27079999999999</v>
      </c>
      <c r="R1292" s="2">
        <v>218</v>
      </c>
      <c r="S1292" s="2">
        <v>105.62139999999999</v>
      </c>
      <c r="T1292" s="2">
        <v>251</v>
      </c>
      <c r="U1292" s="2">
        <v>0.128635</v>
      </c>
      <c r="V1292" s="2">
        <v>311</v>
      </c>
      <c r="W1292" s="2">
        <v>2005</v>
      </c>
    </row>
    <row r="1293" spans="1:23" ht="12.3" hidden="1" x14ac:dyDescent="0.4">
      <c r="A1293" s="2" t="s">
        <v>200</v>
      </c>
      <c r="B1293" s="2"/>
      <c r="C1293" s="2"/>
      <c r="D1293" s="2"/>
      <c r="E1293" s="2"/>
      <c r="F1293" s="2"/>
      <c r="G1293" s="2"/>
      <c r="H1293" s="2"/>
      <c r="I1293" s="2">
        <v>65.969800000000006</v>
      </c>
      <c r="J1293" s="2">
        <v>214</v>
      </c>
      <c r="K1293" s="2">
        <v>65.896500000000003</v>
      </c>
      <c r="L1293" s="2">
        <v>226</v>
      </c>
      <c r="M1293" s="2">
        <v>90.518299999999996</v>
      </c>
      <c r="N1293" s="2">
        <v>312</v>
      </c>
      <c r="O1293" s="2">
        <v>91.911600000000007</v>
      </c>
      <c r="P1293" s="2">
        <v>299</v>
      </c>
      <c r="Q1293" s="2">
        <v>107.95740000000001</v>
      </c>
      <c r="R1293" s="2">
        <v>292</v>
      </c>
      <c r="S1293" s="2">
        <v>109.0248</v>
      </c>
      <c r="T1293" s="2">
        <v>296</v>
      </c>
      <c r="U1293" s="2">
        <v>0.12307700000000001</v>
      </c>
      <c r="V1293" s="2">
        <v>312</v>
      </c>
      <c r="W1293" s="2">
        <v>2005</v>
      </c>
    </row>
    <row r="1294" spans="1:23" ht="12.3" hidden="1" x14ac:dyDescent="0.4">
      <c r="A1294" s="2" t="s">
        <v>358</v>
      </c>
      <c r="B1294" s="2"/>
      <c r="C1294" s="2"/>
      <c r="D1294" s="2"/>
      <c r="E1294" s="2"/>
      <c r="F1294" s="2"/>
      <c r="G1294" s="2"/>
      <c r="H1294" s="2"/>
      <c r="I1294" s="2">
        <v>67.763999999999996</v>
      </c>
      <c r="J1294" s="2">
        <v>142</v>
      </c>
      <c r="K1294" s="2">
        <v>68.676000000000002</v>
      </c>
      <c r="L1294" s="2">
        <v>110</v>
      </c>
      <c r="M1294" s="2">
        <v>92.153300000000002</v>
      </c>
      <c r="N1294" s="2">
        <v>300</v>
      </c>
      <c r="O1294" s="2">
        <v>94.524900000000002</v>
      </c>
      <c r="P1294" s="2">
        <v>274</v>
      </c>
      <c r="Q1294" s="2">
        <v>112.24590000000001</v>
      </c>
      <c r="R1294" s="2">
        <v>326</v>
      </c>
      <c r="S1294" s="2">
        <v>112.163</v>
      </c>
      <c r="T1294" s="2">
        <v>322</v>
      </c>
      <c r="U1294" s="2">
        <v>0.122654</v>
      </c>
      <c r="V1294" s="2">
        <v>313</v>
      </c>
      <c r="W1294" s="2">
        <v>2005</v>
      </c>
    </row>
    <row r="1295" spans="1:23" ht="12.3" hidden="1" x14ac:dyDescent="0.4">
      <c r="A1295" s="2" t="s">
        <v>325</v>
      </c>
      <c r="B1295" s="2"/>
      <c r="C1295" s="2"/>
      <c r="D1295" s="2"/>
      <c r="E1295" s="2"/>
      <c r="F1295" s="2"/>
      <c r="G1295" s="2"/>
      <c r="H1295" s="2"/>
      <c r="I1295" s="2">
        <v>69.418000000000006</v>
      </c>
      <c r="J1295" s="2">
        <v>92</v>
      </c>
      <c r="K1295" s="2">
        <v>68.129900000000006</v>
      </c>
      <c r="L1295" s="2">
        <v>121</v>
      </c>
      <c r="M1295" s="2">
        <v>94.356099999999998</v>
      </c>
      <c r="N1295" s="2">
        <v>276</v>
      </c>
      <c r="O1295" s="2">
        <v>93.731499999999997</v>
      </c>
      <c r="P1295" s="2">
        <v>286</v>
      </c>
      <c r="Q1295" s="2">
        <v>99.437899999999999</v>
      </c>
      <c r="R1295" s="2">
        <v>115</v>
      </c>
      <c r="S1295" s="2">
        <v>111.29389999999999</v>
      </c>
      <c r="T1295" s="2">
        <v>316</v>
      </c>
      <c r="U1295" s="2">
        <v>0.121851</v>
      </c>
      <c r="V1295" s="2">
        <v>314</v>
      </c>
      <c r="W1295" s="2">
        <v>2005</v>
      </c>
    </row>
    <row r="1296" spans="1:23" ht="12.3" hidden="1" x14ac:dyDescent="0.4">
      <c r="A1296" s="2" t="s">
        <v>316</v>
      </c>
      <c r="B1296" s="2"/>
      <c r="C1296" s="2"/>
      <c r="D1296" s="2"/>
      <c r="E1296" s="2"/>
      <c r="F1296" s="2"/>
      <c r="G1296" s="2"/>
      <c r="H1296" s="2"/>
      <c r="I1296" s="2">
        <v>70.265600000000006</v>
      </c>
      <c r="J1296" s="2">
        <v>69</v>
      </c>
      <c r="K1296" s="2">
        <v>70.223100000000002</v>
      </c>
      <c r="L1296" s="2">
        <v>53</v>
      </c>
      <c r="M1296" s="2">
        <v>92.185400000000001</v>
      </c>
      <c r="N1296" s="2">
        <v>298</v>
      </c>
      <c r="O1296" s="2">
        <v>89.276799999999994</v>
      </c>
      <c r="P1296" s="2">
        <v>319</v>
      </c>
      <c r="Q1296" s="2">
        <v>105.06659999999999</v>
      </c>
      <c r="R1296" s="2">
        <v>252</v>
      </c>
      <c r="S1296" s="2">
        <v>106.4469</v>
      </c>
      <c r="T1296" s="2">
        <v>257</v>
      </c>
      <c r="U1296" s="2">
        <v>0.11681900000000001</v>
      </c>
      <c r="V1296" s="2">
        <v>315</v>
      </c>
      <c r="W1296" s="2">
        <v>2005</v>
      </c>
    </row>
    <row r="1297" spans="1:23" ht="12.3" hidden="1" x14ac:dyDescent="0.4">
      <c r="A1297" s="2" t="s">
        <v>347</v>
      </c>
      <c r="B1297" s="2"/>
      <c r="C1297" s="2"/>
      <c r="D1297" s="2"/>
      <c r="E1297" s="2"/>
      <c r="F1297" s="2"/>
      <c r="G1297" s="2"/>
      <c r="H1297" s="2"/>
      <c r="I1297" s="2">
        <v>74.094800000000006</v>
      </c>
      <c r="J1297" s="2">
        <v>10</v>
      </c>
      <c r="K1297" s="2">
        <v>72.302499999999995</v>
      </c>
      <c r="L1297" s="2">
        <v>22</v>
      </c>
      <c r="M1297" s="2">
        <v>94.902600000000007</v>
      </c>
      <c r="N1297" s="2">
        <v>267</v>
      </c>
      <c r="O1297" s="2">
        <v>94.0535</v>
      </c>
      <c r="P1297" s="2">
        <v>280</v>
      </c>
      <c r="Q1297" s="2">
        <v>109.9434</v>
      </c>
      <c r="R1297" s="2">
        <v>315</v>
      </c>
      <c r="S1297" s="2">
        <v>112.246</v>
      </c>
      <c r="T1297" s="2">
        <v>323</v>
      </c>
      <c r="U1297" s="2">
        <v>0.115727</v>
      </c>
      <c r="V1297" s="2">
        <v>316</v>
      </c>
      <c r="W1297" s="2">
        <v>2005</v>
      </c>
    </row>
    <row r="1298" spans="1:23" ht="12.3" hidden="1" x14ac:dyDescent="0.4">
      <c r="A1298" s="2" t="s">
        <v>313</v>
      </c>
      <c r="B1298" s="2"/>
      <c r="C1298" s="2"/>
      <c r="D1298" s="2"/>
      <c r="E1298" s="2"/>
      <c r="F1298" s="2"/>
      <c r="G1298" s="2"/>
      <c r="H1298" s="2"/>
      <c r="I1298" s="2">
        <v>69.114900000000006</v>
      </c>
      <c r="J1298" s="2">
        <v>101</v>
      </c>
      <c r="K1298" s="2">
        <v>67.932900000000004</v>
      </c>
      <c r="L1298" s="2">
        <v>126</v>
      </c>
      <c r="M1298" s="2">
        <v>92.239400000000003</v>
      </c>
      <c r="N1298" s="2">
        <v>297</v>
      </c>
      <c r="O1298" s="2">
        <v>90.762900000000002</v>
      </c>
      <c r="P1298" s="2">
        <v>309</v>
      </c>
      <c r="Q1298" s="2">
        <v>98.786600000000007</v>
      </c>
      <c r="R1298" s="2">
        <v>102</v>
      </c>
      <c r="S1298" s="2">
        <v>108.3463</v>
      </c>
      <c r="T1298" s="2">
        <v>286</v>
      </c>
      <c r="U1298" s="2">
        <v>0.11543</v>
      </c>
      <c r="V1298" s="2">
        <v>317</v>
      </c>
      <c r="W1298" s="2">
        <v>2005</v>
      </c>
    </row>
    <row r="1299" spans="1:23" ht="12.3" hidden="1" x14ac:dyDescent="0.4">
      <c r="A1299" s="2" t="s">
        <v>317</v>
      </c>
      <c r="B1299" s="2"/>
      <c r="C1299" s="2"/>
      <c r="D1299" s="2"/>
      <c r="E1299" s="2"/>
      <c r="F1299" s="2"/>
      <c r="G1299" s="2"/>
      <c r="H1299" s="2"/>
      <c r="I1299" s="2">
        <v>64.156199999999998</v>
      </c>
      <c r="J1299" s="2">
        <v>279</v>
      </c>
      <c r="K1299" s="2">
        <v>65.725700000000003</v>
      </c>
      <c r="L1299" s="2">
        <v>231</v>
      </c>
      <c r="M1299" s="2">
        <v>90.3352</v>
      </c>
      <c r="N1299" s="2">
        <v>315</v>
      </c>
      <c r="O1299" s="2">
        <v>91.607500000000002</v>
      </c>
      <c r="P1299" s="2">
        <v>303</v>
      </c>
      <c r="Q1299" s="2">
        <v>111.7373</v>
      </c>
      <c r="R1299" s="2">
        <v>325</v>
      </c>
      <c r="S1299" s="2">
        <v>109.63639999999999</v>
      </c>
      <c r="T1299" s="2">
        <v>303</v>
      </c>
      <c r="U1299" s="2">
        <v>0.112441</v>
      </c>
      <c r="V1299" s="2">
        <v>318</v>
      </c>
      <c r="W1299" s="2">
        <v>2005</v>
      </c>
    </row>
    <row r="1300" spans="1:23" ht="12.3" hidden="1" x14ac:dyDescent="0.4">
      <c r="A1300" s="2" t="s">
        <v>224</v>
      </c>
      <c r="B1300" s="2"/>
      <c r="C1300" s="2"/>
      <c r="D1300" s="2"/>
      <c r="E1300" s="2"/>
      <c r="F1300" s="2"/>
      <c r="G1300" s="2"/>
      <c r="H1300" s="2"/>
      <c r="I1300" s="2">
        <v>67.204499999999996</v>
      </c>
      <c r="J1300" s="2">
        <v>166</v>
      </c>
      <c r="K1300" s="2">
        <v>67.168199999999999</v>
      </c>
      <c r="L1300" s="2">
        <v>167</v>
      </c>
      <c r="M1300" s="2">
        <v>93.435699999999997</v>
      </c>
      <c r="N1300" s="2">
        <v>283</v>
      </c>
      <c r="O1300" s="2">
        <v>92.844300000000004</v>
      </c>
      <c r="P1300" s="2">
        <v>296</v>
      </c>
      <c r="Q1300" s="2">
        <v>114.9937</v>
      </c>
      <c r="R1300" s="2">
        <v>330</v>
      </c>
      <c r="S1300" s="2">
        <v>111.7296</v>
      </c>
      <c r="T1300" s="2">
        <v>318</v>
      </c>
      <c r="U1300" s="2">
        <v>0.10628</v>
      </c>
      <c r="V1300" s="2">
        <v>319</v>
      </c>
      <c r="W1300" s="2">
        <v>2005</v>
      </c>
    </row>
    <row r="1301" spans="1:23" ht="12.3" hidden="1" x14ac:dyDescent="0.4">
      <c r="A1301" s="2" t="s">
        <v>106</v>
      </c>
      <c r="B1301" s="2"/>
      <c r="C1301" s="2"/>
      <c r="D1301" s="2"/>
      <c r="E1301" s="2"/>
      <c r="F1301" s="2"/>
      <c r="G1301" s="2"/>
      <c r="H1301" s="2"/>
      <c r="I1301" s="2">
        <v>67.759500000000003</v>
      </c>
      <c r="J1301" s="2">
        <v>144</v>
      </c>
      <c r="K1301" s="2">
        <v>69.500299999999996</v>
      </c>
      <c r="L1301" s="2">
        <v>78</v>
      </c>
      <c r="M1301" s="2">
        <v>89.863500000000002</v>
      </c>
      <c r="N1301" s="2">
        <v>317</v>
      </c>
      <c r="O1301" s="2">
        <v>91.895399999999995</v>
      </c>
      <c r="P1301" s="2">
        <v>300</v>
      </c>
      <c r="Q1301" s="2">
        <v>113.3062</v>
      </c>
      <c r="R1301" s="2">
        <v>328</v>
      </c>
      <c r="S1301" s="2">
        <v>112.7923</v>
      </c>
      <c r="T1301" s="2">
        <v>324</v>
      </c>
      <c r="U1301" s="2">
        <v>8.6564000000000002E-2</v>
      </c>
      <c r="V1301" s="2">
        <v>320</v>
      </c>
      <c r="W1301" s="2">
        <v>2005</v>
      </c>
    </row>
    <row r="1302" spans="1:23" ht="12.3" hidden="1" x14ac:dyDescent="0.4">
      <c r="A1302" s="2" t="s">
        <v>296</v>
      </c>
      <c r="B1302" s="2"/>
      <c r="C1302" s="2"/>
      <c r="D1302" s="2"/>
      <c r="E1302" s="2"/>
      <c r="F1302" s="2"/>
      <c r="G1302" s="2"/>
      <c r="H1302" s="2"/>
      <c r="I1302" s="2">
        <v>74.845200000000006</v>
      </c>
      <c r="J1302" s="2">
        <v>7</v>
      </c>
      <c r="K1302" s="2">
        <v>74.193700000000007</v>
      </c>
      <c r="L1302" s="2">
        <v>7</v>
      </c>
      <c r="M1302" s="2">
        <v>83.926699999999997</v>
      </c>
      <c r="N1302" s="2">
        <v>325</v>
      </c>
      <c r="O1302" s="2">
        <v>82.209599999999995</v>
      </c>
      <c r="P1302" s="2">
        <v>326</v>
      </c>
      <c r="Q1302" s="2">
        <v>96.5762</v>
      </c>
      <c r="R1302" s="2">
        <v>55</v>
      </c>
      <c r="S1302" s="2">
        <v>101.2821</v>
      </c>
      <c r="T1302" s="2">
        <v>160</v>
      </c>
      <c r="U1302" s="2">
        <v>8.3224000000000006E-2</v>
      </c>
      <c r="V1302" s="2">
        <v>321</v>
      </c>
      <c r="W1302" s="2">
        <v>2005</v>
      </c>
    </row>
    <row r="1303" spans="1:23" ht="12.3" hidden="1" x14ac:dyDescent="0.4">
      <c r="A1303" s="2" t="s">
        <v>351</v>
      </c>
      <c r="B1303" s="2"/>
      <c r="C1303" s="2"/>
      <c r="D1303" s="2"/>
      <c r="E1303" s="2"/>
      <c r="F1303" s="2"/>
      <c r="G1303" s="2"/>
      <c r="H1303" s="2"/>
      <c r="I1303" s="2">
        <v>69.378200000000007</v>
      </c>
      <c r="J1303" s="2">
        <v>93</v>
      </c>
      <c r="K1303" s="2">
        <v>68.020499999999998</v>
      </c>
      <c r="L1303" s="2">
        <v>124</v>
      </c>
      <c r="M1303" s="2">
        <v>83.042299999999997</v>
      </c>
      <c r="N1303" s="2">
        <v>326</v>
      </c>
      <c r="O1303" s="2">
        <v>84.850099999999998</v>
      </c>
      <c r="P1303" s="2">
        <v>324</v>
      </c>
      <c r="Q1303" s="2">
        <v>98.667699999999996</v>
      </c>
      <c r="R1303" s="2">
        <v>98</v>
      </c>
      <c r="S1303" s="2">
        <v>104.75490000000001</v>
      </c>
      <c r="T1303" s="2">
        <v>234</v>
      </c>
      <c r="U1303" s="2">
        <v>8.14E-2</v>
      </c>
      <c r="V1303" s="2">
        <v>322</v>
      </c>
      <c r="W1303" s="2">
        <v>2005</v>
      </c>
    </row>
    <row r="1304" spans="1:23" ht="12.3" hidden="1" x14ac:dyDescent="0.4">
      <c r="A1304" s="2" t="s">
        <v>319</v>
      </c>
      <c r="B1304" s="2"/>
      <c r="C1304" s="2"/>
      <c r="D1304" s="2"/>
      <c r="E1304" s="2"/>
      <c r="F1304" s="2"/>
      <c r="G1304" s="2"/>
      <c r="H1304" s="2"/>
      <c r="I1304" s="2">
        <v>69.505099999999999</v>
      </c>
      <c r="J1304" s="2">
        <v>89</v>
      </c>
      <c r="K1304" s="2">
        <v>68.762699999999995</v>
      </c>
      <c r="L1304" s="2">
        <v>103</v>
      </c>
      <c r="M1304" s="2">
        <v>88.948999999999998</v>
      </c>
      <c r="N1304" s="2">
        <v>321</v>
      </c>
      <c r="O1304" s="2">
        <v>87.898499999999999</v>
      </c>
      <c r="P1304" s="2">
        <v>322</v>
      </c>
      <c r="Q1304" s="2">
        <v>109.4532</v>
      </c>
      <c r="R1304" s="2">
        <v>312</v>
      </c>
      <c r="S1304" s="2">
        <v>108.864</v>
      </c>
      <c r="T1304" s="2">
        <v>295</v>
      </c>
      <c r="U1304" s="2">
        <v>7.8706999999999999E-2</v>
      </c>
      <c r="V1304" s="2">
        <v>323</v>
      </c>
      <c r="W1304" s="2">
        <v>2005</v>
      </c>
    </row>
    <row r="1305" spans="1:23" ht="12.3" hidden="1" x14ac:dyDescent="0.4">
      <c r="A1305" s="2" t="s">
        <v>314</v>
      </c>
      <c r="B1305" s="2"/>
      <c r="C1305" s="2"/>
      <c r="D1305" s="2"/>
      <c r="E1305" s="2"/>
      <c r="F1305" s="2"/>
      <c r="G1305" s="2"/>
      <c r="H1305" s="2"/>
      <c r="I1305" s="2">
        <v>62.913499999999999</v>
      </c>
      <c r="J1305" s="2">
        <v>300</v>
      </c>
      <c r="K1305" s="2">
        <v>62.869799999999998</v>
      </c>
      <c r="L1305" s="2">
        <v>305</v>
      </c>
      <c r="M1305" s="2">
        <v>86.081100000000006</v>
      </c>
      <c r="N1305" s="2">
        <v>323</v>
      </c>
      <c r="O1305" s="2">
        <v>88.716800000000006</v>
      </c>
      <c r="P1305" s="2">
        <v>321</v>
      </c>
      <c r="Q1305" s="2">
        <v>109.9482</v>
      </c>
      <c r="R1305" s="2">
        <v>316</v>
      </c>
      <c r="S1305" s="2">
        <v>113.40689999999999</v>
      </c>
      <c r="T1305" s="2">
        <v>326</v>
      </c>
      <c r="U1305" s="2">
        <v>5.6061E-2</v>
      </c>
      <c r="V1305" s="2">
        <v>324</v>
      </c>
      <c r="W1305" s="2">
        <v>2005</v>
      </c>
    </row>
    <row r="1306" spans="1:23" ht="12.3" hidden="1" x14ac:dyDescent="0.4">
      <c r="A1306" s="2" t="s">
        <v>342</v>
      </c>
      <c r="B1306" s="2"/>
      <c r="C1306" s="2"/>
      <c r="D1306" s="2"/>
      <c r="E1306" s="2"/>
      <c r="F1306" s="2"/>
      <c r="G1306" s="2"/>
      <c r="H1306" s="2"/>
      <c r="I1306" s="2">
        <v>70.730900000000005</v>
      </c>
      <c r="J1306" s="2">
        <v>52</v>
      </c>
      <c r="K1306" s="2">
        <v>69.086500000000001</v>
      </c>
      <c r="L1306" s="2">
        <v>91</v>
      </c>
      <c r="M1306" s="2">
        <v>80.160799999999995</v>
      </c>
      <c r="N1306" s="2">
        <v>327</v>
      </c>
      <c r="O1306" s="2">
        <v>81.381399999999999</v>
      </c>
      <c r="P1306" s="2">
        <v>327</v>
      </c>
      <c r="Q1306" s="2">
        <v>100.5838</v>
      </c>
      <c r="R1306" s="2">
        <v>144</v>
      </c>
      <c r="S1306" s="2">
        <v>104.843</v>
      </c>
      <c r="T1306" s="2">
        <v>237</v>
      </c>
      <c r="U1306" s="2">
        <v>5.1506999999999997E-2</v>
      </c>
      <c r="V1306" s="2">
        <v>325</v>
      </c>
      <c r="W1306" s="2">
        <v>2005</v>
      </c>
    </row>
    <row r="1307" spans="1:23" ht="12.3" hidden="1" x14ac:dyDescent="0.4">
      <c r="A1307" s="2" t="s">
        <v>242</v>
      </c>
      <c r="B1307" s="2"/>
      <c r="C1307" s="2"/>
      <c r="D1307" s="2"/>
      <c r="E1307" s="2"/>
      <c r="F1307" s="2"/>
      <c r="G1307" s="2"/>
      <c r="H1307" s="2"/>
      <c r="I1307" s="2">
        <v>70.314700000000002</v>
      </c>
      <c r="J1307" s="2">
        <v>66</v>
      </c>
      <c r="K1307" s="2">
        <v>69.239099999999993</v>
      </c>
      <c r="L1307" s="2">
        <v>86</v>
      </c>
      <c r="M1307" s="2">
        <v>90.931799999999996</v>
      </c>
      <c r="N1307" s="2">
        <v>310</v>
      </c>
      <c r="O1307" s="2">
        <v>88.892899999999997</v>
      </c>
      <c r="P1307" s="2">
        <v>320</v>
      </c>
      <c r="Q1307" s="2">
        <v>105.0232</v>
      </c>
      <c r="R1307" s="2">
        <v>251</v>
      </c>
      <c r="S1307" s="2">
        <v>115.32980000000001</v>
      </c>
      <c r="T1307" s="2">
        <v>330</v>
      </c>
      <c r="U1307" s="2">
        <v>4.7689000000000002E-2</v>
      </c>
      <c r="V1307" s="2">
        <v>326</v>
      </c>
      <c r="W1307" s="2">
        <v>2005</v>
      </c>
    </row>
    <row r="1308" spans="1:23" ht="12.3" hidden="1" x14ac:dyDescent="0.4">
      <c r="A1308" s="2" t="s">
        <v>261</v>
      </c>
      <c r="B1308" s="2"/>
      <c r="C1308" s="2"/>
      <c r="D1308" s="2"/>
      <c r="E1308" s="2"/>
      <c r="F1308" s="2"/>
      <c r="G1308" s="2"/>
      <c r="H1308" s="2"/>
      <c r="I1308" s="2">
        <v>70.596599999999995</v>
      </c>
      <c r="J1308" s="2">
        <v>56</v>
      </c>
      <c r="K1308" s="2">
        <v>69.813400000000001</v>
      </c>
      <c r="L1308" s="2">
        <v>65</v>
      </c>
      <c r="M1308" s="2">
        <v>80.0107</v>
      </c>
      <c r="N1308" s="2">
        <v>328</v>
      </c>
      <c r="O1308" s="2">
        <v>79.117599999999996</v>
      </c>
      <c r="P1308" s="2">
        <v>329</v>
      </c>
      <c r="Q1308" s="2">
        <v>97.690299999999993</v>
      </c>
      <c r="R1308" s="2">
        <v>74</v>
      </c>
      <c r="S1308" s="2">
        <v>102.736</v>
      </c>
      <c r="T1308" s="2">
        <v>190</v>
      </c>
      <c r="U1308" s="2">
        <v>4.7239999999999997E-2</v>
      </c>
      <c r="V1308" s="2">
        <v>327</v>
      </c>
      <c r="W1308" s="2">
        <v>2005</v>
      </c>
    </row>
    <row r="1309" spans="1:23" ht="12.3" hidden="1" x14ac:dyDescent="0.4">
      <c r="A1309" s="2" t="s">
        <v>359</v>
      </c>
      <c r="B1309" s="2" t="e">
        <v>#N/A</v>
      </c>
      <c r="C1309" s="2"/>
      <c r="D1309" s="2"/>
      <c r="E1309" s="2"/>
      <c r="F1309" s="2"/>
      <c r="G1309" s="2"/>
      <c r="H1309" s="2"/>
      <c r="I1309" s="2">
        <v>73.385499999999993</v>
      </c>
      <c r="J1309" s="2">
        <v>17</v>
      </c>
      <c r="K1309" s="2">
        <v>72.4328</v>
      </c>
      <c r="L1309" s="2">
        <v>19</v>
      </c>
      <c r="M1309" s="2">
        <v>85.761399999999995</v>
      </c>
      <c r="N1309" s="2">
        <v>324</v>
      </c>
      <c r="O1309" s="2">
        <v>83.946799999999996</v>
      </c>
      <c r="P1309" s="2">
        <v>325</v>
      </c>
      <c r="Q1309" s="2">
        <v>108.3824</v>
      </c>
      <c r="R1309" s="2">
        <v>296</v>
      </c>
      <c r="S1309" s="2">
        <v>110.113</v>
      </c>
      <c r="T1309" s="2">
        <v>307</v>
      </c>
      <c r="U1309" s="2">
        <v>4.2280999999999999E-2</v>
      </c>
      <c r="V1309" s="2">
        <v>328</v>
      </c>
      <c r="W1309" s="2">
        <v>2005</v>
      </c>
    </row>
    <row r="1310" spans="1:23" ht="12.3" hidden="1" x14ac:dyDescent="0.4">
      <c r="A1310" s="2" t="s">
        <v>321</v>
      </c>
      <c r="B1310" s="2" t="e">
        <v>#N/A</v>
      </c>
      <c r="C1310" s="2"/>
      <c r="D1310" s="2"/>
      <c r="E1310" s="2"/>
      <c r="F1310" s="2"/>
      <c r="G1310" s="2"/>
      <c r="H1310" s="2"/>
      <c r="I1310" s="2">
        <v>72.4893</v>
      </c>
      <c r="J1310" s="2">
        <v>25</v>
      </c>
      <c r="K1310" s="2">
        <v>72.436099999999996</v>
      </c>
      <c r="L1310" s="2">
        <v>18</v>
      </c>
      <c r="M1310" s="2">
        <v>78.069900000000004</v>
      </c>
      <c r="N1310" s="2">
        <v>330</v>
      </c>
      <c r="O1310" s="2">
        <v>80.587999999999994</v>
      </c>
      <c r="P1310" s="2">
        <v>328</v>
      </c>
      <c r="Q1310" s="2">
        <v>109.3282</v>
      </c>
      <c r="R1310" s="2">
        <v>308</v>
      </c>
      <c r="S1310" s="2">
        <v>114.5784</v>
      </c>
      <c r="T1310" s="2">
        <v>329</v>
      </c>
      <c r="U1310" s="2">
        <v>1.7174999999999999E-2</v>
      </c>
      <c r="V1310" s="2">
        <v>329</v>
      </c>
      <c r="W1310" s="2">
        <v>2005</v>
      </c>
    </row>
    <row r="1311" spans="1:23" ht="12.3" hidden="1" x14ac:dyDescent="0.4">
      <c r="A1311" s="2" t="s">
        <v>352</v>
      </c>
      <c r="B1311" s="2" t="e">
        <v>#N/A</v>
      </c>
      <c r="C1311" s="2"/>
      <c r="D1311" s="2"/>
      <c r="E1311" s="2"/>
      <c r="F1311" s="2"/>
      <c r="G1311" s="2"/>
      <c r="H1311" s="2"/>
      <c r="I1311" s="2">
        <v>73.637500000000003</v>
      </c>
      <c r="J1311" s="2">
        <v>15</v>
      </c>
      <c r="K1311" s="2">
        <v>72.328900000000004</v>
      </c>
      <c r="L1311" s="2">
        <v>21</v>
      </c>
      <c r="M1311" s="2">
        <v>78.704700000000003</v>
      </c>
      <c r="N1311" s="2">
        <v>329</v>
      </c>
      <c r="O1311" s="2">
        <v>76.951300000000003</v>
      </c>
      <c r="P1311" s="2">
        <v>330</v>
      </c>
      <c r="Q1311" s="2">
        <v>110.14870000000001</v>
      </c>
      <c r="R1311" s="2">
        <v>319</v>
      </c>
      <c r="S1311" s="2">
        <v>111.8686</v>
      </c>
      <c r="T1311" s="2">
        <v>320</v>
      </c>
      <c r="U1311" s="2">
        <v>1.3351E-2</v>
      </c>
      <c r="V1311" s="2">
        <v>330</v>
      </c>
      <c r="W1311" s="2">
        <v>2005</v>
      </c>
    </row>
    <row r="1312" spans="1:23" ht="12.3" x14ac:dyDescent="0.4">
      <c r="A1312" s="2" t="s">
        <v>343</v>
      </c>
      <c r="B1312" s="2">
        <v>15</v>
      </c>
      <c r="C1312" s="25"/>
      <c r="D1312" s="25"/>
      <c r="E1312" s="2"/>
      <c r="F1312" s="2"/>
      <c r="G1312" s="2"/>
      <c r="H1312" s="2"/>
      <c r="I1312" s="2">
        <v>74.459199999999996</v>
      </c>
      <c r="J1312" s="2">
        <v>6</v>
      </c>
      <c r="K1312" s="2">
        <v>73.9482</v>
      </c>
      <c r="L1312" s="2">
        <v>4</v>
      </c>
      <c r="M1312" s="2">
        <v>110.15560000000001</v>
      </c>
      <c r="N1312" s="2">
        <v>32</v>
      </c>
      <c r="O1312" s="2">
        <v>108.45699999999999</v>
      </c>
      <c r="P1312" s="2">
        <v>58</v>
      </c>
      <c r="Q1312" s="2">
        <v>98.627399999999994</v>
      </c>
      <c r="R1312" s="2">
        <v>96</v>
      </c>
      <c r="S1312" s="2">
        <v>103.0628</v>
      </c>
      <c r="T1312" s="2">
        <v>205</v>
      </c>
      <c r="U1312" s="2">
        <v>0.64260099999999998</v>
      </c>
      <c r="V1312" s="2">
        <v>99</v>
      </c>
      <c r="W1312" s="2">
        <v>2011</v>
      </c>
    </row>
    <row r="1313" spans="1:23" ht="12.3" x14ac:dyDescent="0.4">
      <c r="A1313" s="2" t="s">
        <v>335</v>
      </c>
      <c r="B1313" s="2">
        <v>14</v>
      </c>
      <c r="C1313" s="25"/>
      <c r="D1313" s="25"/>
      <c r="E1313" s="25"/>
      <c r="F1313" s="2"/>
      <c r="G1313" s="2"/>
      <c r="H1313" s="2"/>
      <c r="I1313" s="2">
        <v>65.647999999999996</v>
      </c>
      <c r="J1313" s="2">
        <v>227</v>
      </c>
      <c r="K1313" s="2">
        <v>65.847200000000001</v>
      </c>
      <c r="L1313" s="2">
        <v>219</v>
      </c>
      <c r="M1313" s="2">
        <v>92.886899999999997</v>
      </c>
      <c r="N1313" s="2">
        <v>309</v>
      </c>
      <c r="O1313" s="2">
        <v>94.541300000000007</v>
      </c>
      <c r="P1313" s="2">
        <v>290</v>
      </c>
      <c r="Q1313" s="2">
        <v>91.023099999999999</v>
      </c>
      <c r="R1313" s="2">
        <v>9</v>
      </c>
      <c r="S1313" s="2">
        <v>90.256100000000004</v>
      </c>
      <c r="T1313" s="2">
        <v>6</v>
      </c>
      <c r="U1313" s="2">
        <v>0.63028300000000004</v>
      </c>
      <c r="V1313" s="2">
        <v>107</v>
      </c>
      <c r="W1313" s="2">
        <v>2011</v>
      </c>
    </row>
    <row r="1314" spans="1:23" ht="12.3" x14ac:dyDescent="0.4">
      <c r="A1314" s="2" t="s">
        <v>358</v>
      </c>
      <c r="B1314" s="2">
        <v>15</v>
      </c>
      <c r="C1314" s="25"/>
      <c r="D1314" s="25"/>
      <c r="E1314" s="25"/>
      <c r="F1314" s="2"/>
      <c r="G1314" s="2"/>
      <c r="H1314" s="2"/>
      <c r="I1314" s="2">
        <v>66.6267</v>
      </c>
      <c r="J1314" s="2">
        <v>180</v>
      </c>
      <c r="K1314" s="2">
        <v>67.984200000000001</v>
      </c>
      <c r="L1314" s="2">
        <v>100</v>
      </c>
      <c r="M1314" s="2">
        <v>106.5384</v>
      </c>
      <c r="N1314" s="2">
        <v>67</v>
      </c>
      <c r="O1314" s="2">
        <v>105.1764</v>
      </c>
      <c r="P1314" s="2">
        <v>98</v>
      </c>
      <c r="Q1314" s="2">
        <v>99.647300000000001</v>
      </c>
      <c r="R1314" s="2">
        <v>113</v>
      </c>
      <c r="S1314" s="2">
        <v>101.3395</v>
      </c>
      <c r="T1314" s="2">
        <v>155</v>
      </c>
      <c r="U1314" s="2">
        <v>0.60524500000000003</v>
      </c>
      <c r="V1314" s="2">
        <v>116</v>
      </c>
      <c r="W1314" s="2">
        <v>2011</v>
      </c>
    </row>
    <row r="1315" spans="1:23" ht="12.3" x14ac:dyDescent="0.4">
      <c r="A1315" s="2" t="s">
        <v>267</v>
      </c>
      <c r="B1315" s="2">
        <v>14</v>
      </c>
      <c r="C1315" s="2"/>
      <c r="D1315" s="2"/>
      <c r="E1315" s="2"/>
      <c r="F1315" s="2"/>
      <c r="G1315" s="2"/>
      <c r="H1315" s="2"/>
      <c r="I1315" s="2">
        <v>64.856999999999999</v>
      </c>
      <c r="J1315" s="2">
        <v>257</v>
      </c>
      <c r="K1315" s="2">
        <v>66.399500000000003</v>
      </c>
      <c r="L1315" s="2">
        <v>185</v>
      </c>
      <c r="M1315" s="2">
        <v>100.3648</v>
      </c>
      <c r="N1315" s="2">
        <v>199</v>
      </c>
      <c r="O1315" s="2">
        <v>100.2028</v>
      </c>
      <c r="P1315" s="2">
        <v>199</v>
      </c>
      <c r="Q1315" s="2">
        <v>98.276399999999995</v>
      </c>
      <c r="R1315" s="2">
        <v>91</v>
      </c>
      <c r="S1315" s="2">
        <v>96.599199999999996</v>
      </c>
      <c r="T1315" s="2">
        <v>60</v>
      </c>
      <c r="U1315" s="2">
        <v>0.60377000000000003</v>
      </c>
      <c r="V1315" s="2">
        <v>119</v>
      </c>
      <c r="W1315" s="2">
        <v>2011</v>
      </c>
    </row>
    <row r="1316" spans="1:23" ht="12.3" x14ac:dyDescent="0.4">
      <c r="A1316" s="2" t="s">
        <v>256</v>
      </c>
      <c r="B1316" s="2">
        <v>15</v>
      </c>
      <c r="C1316" s="25"/>
      <c r="D1316" s="25"/>
      <c r="E1316" s="25"/>
      <c r="F1316" s="2"/>
      <c r="G1316" s="2"/>
      <c r="H1316" s="2"/>
      <c r="I1316" s="2">
        <v>66.743600000000001</v>
      </c>
      <c r="J1316" s="2">
        <v>173</v>
      </c>
      <c r="K1316" s="2">
        <v>66.747900000000001</v>
      </c>
      <c r="L1316" s="2">
        <v>167</v>
      </c>
      <c r="M1316" s="2">
        <v>102.99299999999999</v>
      </c>
      <c r="N1316" s="2">
        <v>138</v>
      </c>
      <c r="O1316" s="2">
        <v>102.2825</v>
      </c>
      <c r="P1316" s="2">
        <v>152</v>
      </c>
      <c r="Q1316" s="2">
        <v>97.5702</v>
      </c>
      <c r="R1316" s="2">
        <v>78</v>
      </c>
      <c r="S1316" s="2">
        <v>98.640299999999996</v>
      </c>
      <c r="T1316" s="2">
        <v>100</v>
      </c>
      <c r="U1316" s="2">
        <v>0.60276099999999999</v>
      </c>
      <c r="V1316" s="2">
        <v>120</v>
      </c>
      <c r="W1316" s="2">
        <v>2011</v>
      </c>
    </row>
    <row r="1317" spans="1:23" ht="12.3" x14ac:dyDescent="0.4">
      <c r="A1317" s="2" t="s">
        <v>104</v>
      </c>
      <c r="B1317" s="2">
        <v>15</v>
      </c>
      <c r="C1317" s="25"/>
      <c r="D1317" s="2"/>
      <c r="E1317" s="2"/>
      <c r="F1317" s="2"/>
      <c r="G1317" s="2"/>
      <c r="H1317" s="2"/>
      <c r="I1317" s="2">
        <v>65.269599999999997</v>
      </c>
      <c r="J1317" s="2">
        <v>247</v>
      </c>
      <c r="K1317" s="2">
        <v>65.406400000000005</v>
      </c>
      <c r="L1317" s="2">
        <v>239</v>
      </c>
      <c r="M1317" s="2">
        <v>103.07259999999999</v>
      </c>
      <c r="N1317" s="2">
        <v>132</v>
      </c>
      <c r="O1317" s="2">
        <v>102.0934</v>
      </c>
      <c r="P1317" s="2">
        <v>156</v>
      </c>
      <c r="Q1317" s="2">
        <v>100.01139999999999</v>
      </c>
      <c r="R1317" s="2">
        <v>125</v>
      </c>
      <c r="S1317" s="2">
        <v>98.737499999999997</v>
      </c>
      <c r="T1317" s="2">
        <v>102</v>
      </c>
      <c r="U1317" s="2">
        <v>0.59492500000000004</v>
      </c>
      <c r="V1317" s="2">
        <v>121</v>
      </c>
      <c r="W1317" s="2">
        <v>2011</v>
      </c>
    </row>
    <row r="1318" spans="1:23" ht="12.3" x14ac:dyDescent="0.4">
      <c r="A1318" s="2" t="s">
        <v>281</v>
      </c>
      <c r="B1318" s="2">
        <v>16</v>
      </c>
      <c r="C1318" s="25"/>
      <c r="D1318" s="25"/>
      <c r="E1318" s="25"/>
      <c r="F1318" s="25"/>
      <c r="G1318" s="25"/>
      <c r="H1318" s="25"/>
      <c r="I1318" s="2">
        <v>69.4649</v>
      </c>
      <c r="J1318" s="2">
        <v>52</v>
      </c>
      <c r="K1318" s="2">
        <v>68.893100000000004</v>
      </c>
      <c r="L1318" s="2">
        <v>62</v>
      </c>
      <c r="M1318" s="2">
        <v>101.2503</v>
      </c>
      <c r="N1318" s="2">
        <v>182</v>
      </c>
      <c r="O1318" s="2">
        <v>99.722399999999993</v>
      </c>
      <c r="P1318" s="2">
        <v>209</v>
      </c>
      <c r="Q1318" s="2">
        <v>96.378699999999995</v>
      </c>
      <c r="R1318" s="2">
        <v>54</v>
      </c>
      <c r="S1318" s="2">
        <v>97.419499999999999</v>
      </c>
      <c r="T1318" s="2">
        <v>73</v>
      </c>
      <c r="U1318" s="2">
        <v>0.56677</v>
      </c>
      <c r="V1318" s="2">
        <v>135</v>
      </c>
      <c r="W1318" s="2">
        <v>2011</v>
      </c>
    </row>
    <row r="1319" spans="1:23" ht="12.3" x14ac:dyDescent="0.4">
      <c r="A1319" s="2" t="s">
        <v>203</v>
      </c>
      <c r="B1319" s="2">
        <v>16</v>
      </c>
      <c r="C1319" s="25"/>
      <c r="D1319" s="25"/>
      <c r="E1319" s="25"/>
      <c r="F1319" s="25"/>
      <c r="G1319" s="25"/>
      <c r="H1319" s="2"/>
      <c r="I1319" s="2">
        <v>63.014800000000001</v>
      </c>
      <c r="J1319" s="2">
        <v>313</v>
      </c>
      <c r="K1319" s="2">
        <v>63.9724</v>
      </c>
      <c r="L1319" s="2">
        <v>295</v>
      </c>
      <c r="M1319" s="2">
        <v>103.40479999999999</v>
      </c>
      <c r="N1319" s="2">
        <v>126</v>
      </c>
      <c r="O1319" s="2">
        <v>101.58880000000001</v>
      </c>
      <c r="P1319" s="2">
        <v>173</v>
      </c>
      <c r="Q1319" s="2">
        <v>99.673100000000005</v>
      </c>
      <c r="R1319" s="2">
        <v>114</v>
      </c>
      <c r="S1319" s="2">
        <v>101.851</v>
      </c>
      <c r="T1319" s="2">
        <v>170</v>
      </c>
      <c r="U1319" s="2">
        <v>0.492589</v>
      </c>
      <c r="V1319" s="2">
        <v>164</v>
      </c>
      <c r="W1319" s="2">
        <v>2011</v>
      </c>
    </row>
    <row r="1320" spans="1:23" ht="12.3" x14ac:dyDescent="0.4">
      <c r="A1320" s="2" t="s">
        <v>135</v>
      </c>
      <c r="B1320" s="2">
        <v>16</v>
      </c>
      <c r="C1320" s="25"/>
      <c r="D1320" s="2"/>
      <c r="E1320" s="2"/>
      <c r="F1320" s="2"/>
      <c r="G1320" s="2"/>
      <c r="H1320" s="2"/>
      <c r="I1320" s="2">
        <v>67.535799999999995</v>
      </c>
      <c r="J1320" s="2">
        <v>137</v>
      </c>
      <c r="K1320" s="2">
        <v>68.068200000000004</v>
      </c>
      <c r="L1320" s="2">
        <v>95</v>
      </c>
      <c r="M1320" s="2">
        <v>97.466499999999996</v>
      </c>
      <c r="N1320" s="2">
        <v>255</v>
      </c>
      <c r="O1320" s="2">
        <v>94.201700000000002</v>
      </c>
      <c r="P1320" s="2">
        <v>293</v>
      </c>
      <c r="Q1320" s="2">
        <v>90.420699999999997</v>
      </c>
      <c r="R1320" s="2">
        <v>7</v>
      </c>
      <c r="S1320" s="2">
        <v>96.723100000000002</v>
      </c>
      <c r="T1320" s="2">
        <v>63</v>
      </c>
      <c r="U1320" s="2">
        <v>0.42464000000000002</v>
      </c>
      <c r="V1320" s="2">
        <v>194</v>
      </c>
      <c r="W1320" s="2">
        <v>2011</v>
      </c>
    </row>
    <row r="1321" spans="1:23" ht="12.3" x14ac:dyDescent="0.4">
      <c r="A1321" s="2" t="s">
        <v>185</v>
      </c>
      <c r="B1321" s="2">
        <v>16</v>
      </c>
      <c r="C1321" s="25"/>
      <c r="D1321" s="2"/>
      <c r="E1321" s="2"/>
      <c r="F1321" s="2"/>
      <c r="G1321" s="2"/>
      <c r="H1321" s="2"/>
      <c r="I1321" s="2">
        <v>68.808599999999998</v>
      </c>
      <c r="J1321" s="2">
        <v>76</v>
      </c>
      <c r="K1321" s="2">
        <v>67.793400000000005</v>
      </c>
      <c r="L1321" s="2">
        <v>109</v>
      </c>
      <c r="M1321" s="2">
        <v>102.48569999999999</v>
      </c>
      <c r="N1321" s="2">
        <v>151</v>
      </c>
      <c r="O1321" s="2">
        <v>101.61409999999999</v>
      </c>
      <c r="P1321" s="2">
        <v>172</v>
      </c>
      <c r="Q1321" s="2">
        <v>102.8142</v>
      </c>
      <c r="R1321" s="2">
        <v>199</v>
      </c>
      <c r="S1321" s="2">
        <v>105.8219</v>
      </c>
      <c r="T1321" s="2">
        <v>259</v>
      </c>
      <c r="U1321" s="2">
        <v>0.38541900000000001</v>
      </c>
      <c r="V1321" s="2">
        <v>210</v>
      </c>
      <c r="W1321" s="2">
        <v>2011</v>
      </c>
    </row>
    <row r="1322" spans="1:23" ht="12.3" x14ac:dyDescent="0.4">
      <c r="A1322" s="2" t="s">
        <v>125</v>
      </c>
      <c r="B1322" s="2">
        <v>16</v>
      </c>
      <c r="C1322" s="25"/>
      <c r="D1322" s="25"/>
      <c r="E1322" s="25"/>
      <c r="F1322" s="2"/>
      <c r="G1322" s="2"/>
      <c r="H1322" s="2"/>
      <c r="I1322" s="2">
        <v>64.660899999999998</v>
      </c>
      <c r="J1322" s="2">
        <v>265</v>
      </c>
      <c r="K1322" s="2">
        <v>65.331400000000002</v>
      </c>
      <c r="L1322" s="2">
        <v>242</v>
      </c>
      <c r="M1322" s="2">
        <v>101.967</v>
      </c>
      <c r="N1322" s="2">
        <v>163</v>
      </c>
      <c r="O1322" s="2">
        <v>99.558599999999998</v>
      </c>
      <c r="P1322" s="2">
        <v>212</v>
      </c>
      <c r="Q1322" s="2">
        <v>103.5429</v>
      </c>
      <c r="R1322" s="2">
        <v>218</v>
      </c>
      <c r="S1322" s="2">
        <v>103.74930000000001</v>
      </c>
      <c r="T1322" s="2">
        <v>215</v>
      </c>
      <c r="U1322" s="2">
        <v>0.383635</v>
      </c>
      <c r="V1322" s="2">
        <v>212</v>
      </c>
      <c r="W1322" s="2">
        <v>2011</v>
      </c>
    </row>
    <row r="1323" spans="1:23" ht="12.3" x14ac:dyDescent="0.4">
      <c r="A1323" s="2" t="s">
        <v>297</v>
      </c>
      <c r="B1323" s="2">
        <v>16</v>
      </c>
      <c r="C1323" s="25"/>
      <c r="D1323" s="2"/>
      <c r="E1323" s="2"/>
      <c r="F1323" s="2"/>
      <c r="G1323" s="2"/>
      <c r="H1323" s="2"/>
      <c r="I1323" s="2">
        <v>66.211799999999997</v>
      </c>
      <c r="J1323" s="2">
        <v>198</v>
      </c>
      <c r="K1323" s="2">
        <v>65.006399999999999</v>
      </c>
      <c r="L1323" s="2">
        <v>253</v>
      </c>
      <c r="M1323" s="2">
        <v>92.031400000000005</v>
      </c>
      <c r="N1323" s="2">
        <v>319</v>
      </c>
      <c r="O1323" s="2">
        <v>93.230999999999995</v>
      </c>
      <c r="P1323" s="2">
        <v>303</v>
      </c>
      <c r="Q1323" s="2">
        <v>96.522900000000007</v>
      </c>
      <c r="R1323" s="2">
        <v>57</v>
      </c>
      <c r="S1323" s="2">
        <v>104.108</v>
      </c>
      <c r="T1323" s="2">
        <v>228</v>
      </c>
      <c r="U1323" s="2">
        <v>0.21942900000000001</v>
      </c>
      <c r="V1323" s="2">
        <v>290</v>
      </c>
      <c r="W1323" s="2">
        <v>2011</v>
      </c>
    </row>
    <row r="1324" spans="1:23" ht="12.3" x14ac:dyDescent="0.4">
      <c r="A1324" s="2" t="s">
        <v>35</v>
      </c>
      <c r="B1324" s="2">
        <v>1</v>
      </c>
      <c r="C1324" s="4" t="s">
        <v>33</v>
      </c>
      <c r="D1324" s="2"/>
      <c r="E1324" s="2"/>
      <c r="F1324" s="2"/>
      <c r="G1324" s="2"/>
      <c r="H1324" s="2"/>
      <c r="I1324" s="2">
        <v>69.918899999999994</v>
      </c>
      <c r="J1324" s="2">
        <v>68</v>
      </c>
      <c r="K1324" s="2">
        <v>68.384699999999995</v>
      </c>
      <c r="L1324" s="2">
        <v>119</v>
      </c>
      <c r="M1324" s="2">
        <v>116.1563</v>
      </c>
      <c r="N1324" s="2">
        <v>4</v>
      </c>
      <c r="O1324" s="2">
        <v>118.87779999999999</v>
      </c>
      <c r="P1324" s="2">
        <v>1</v>
      </c>
      <c r="Q1324" s="2">
        <v>91.097700000000003</v>
      </c>
      <c r="R1324" s="2">
        <v>9</v>
      </c>
      <c r="S1324" s="2">
        <v>88.795000000000002</v>
      </c>
      <c r="T1324" s="2">
        <v>5</v>
      </c>
      <c r="U1324" s="2">
        <v>0.96627799999999997</v>
      </c>
      <c r="V1324" s="2">
        <v>1</v>
      </c>
      <c r="W1324" s="2">
        <v>2010</v>
      </c>
    </row>
    <row r="1325" spans="1:23" ht="12.3" x14ac:dyDescent="0.4">
      <c r="A1325" s="2" t="s">
        <v>32</v>
      </c>
      <c r="B1325" s="2">
        <v>1</v>
      </c>
      <c r="C1325" s="3" t="s">
        <v>33</v>
      </c>
      <c r="D1325" s="3" t="s">
        <v>33</v>
      </c>
      <c r="E1325" s="3" t="s">
        <v>33</v>
      </c>
      <c r="F1325" s="3" t="s">
        <v>33</v>
      </c>
      <c r="G1325" s="4" t="s">
        <v>33</v>
      </c>
      <c r="H1325" s="4" t="s">
        <v>33</v>
      </c>
      <c r="I1325" s="2">
        <v>67.622799999999998</v>
      </c>
      <c r="J1325" s="2">
        <v>158</v>
      </c>
      <c r="K1325" s="2">
        <v>66.684299999999993</v>
      </c>
      <c r="L1325" s="2">
        <v>198</v>
      </c>
      <c r="M1325" s="2">
        <v>114.7741</v>
      </c>
      <c r="N1325" s="2">
        <v>6</v>
      </c>
      <c r="O1325" s="2">
        <v>116.9563</v>
      </c>
      <c r="P1325" s="2">
        <v>6</v>
      </c>
      <c r="Q1325" s="2">
        <v>91.28</v>
      </c>
      <c r="R1325" s="2">
        <v>10</v>
      </c>
      <c r="S1325" s="2">
        <v>89.206100000000006</v>
      </c>
      <c r="T1325" s="2">
        <v>6</v>
      </c>
      <c r="U1325" s="2">
        <v>0.95749799999999996</v>
      </c>
      <c r="V1325" s="2">
        <v>2</v>
      </c>
      <c r="W1325" s="2">
        <v>2010</v>
      </c>
    </row>
    <row r="1326" spans="1:23" ht="12.3" x14ac:dyDescent="0.4">
      <c r="A1326" s="2" t="s">
        <v>23</v>
      </c>
      <c r="B1326" s="2">
        <v>1</v>
      </c>
      <c r="C1326" s="3" t="s">
        <v>33</v>
      </c>
      <c r="D1326" s="3" t="s">
        <v>33</v>
      </c>
      <c r="E1326" s="2"/>
      <c r="F1326" s="2"/>
      <c r="G1326" s="2"/>
      <c r="H1326" s="2"/>
      <c r="I1326" s="2">
        <v>71.3215</v>
      </c>
      <c r="J1326" s="2">
        <v>30</v>
      </c>
      <c r="K1326" s="2">
        <v>70.744100000000003</v>
      </c>
      <c r="L1326" s="2">
        <v>37</v>
      </c>
      <c r="M1326" s="2">
        <v>114.26600000000001</v>
      </c>
      <c r="N1326" s="2">
        <v>7</v>
      </c>
      <c r="O1326" s="2">
        <v>115.7085</v>
      </c>
      <c r="P1326" s="2">
        <v>10</v>
      </c>
      <c r="Q1326" s="2">
        <v>94.187799999999996</v>
      </c>
      <c r="R1326" s="2">
        <v>40</v>
      </c>
      <c r="S1326" s="2">
        <v>91.889099999999999</v>
      </c>
      <c r="T1326" s="2">
        <v>22</v>
      </c>
      <c r="U1326" s="2">
        <v>0.93405099999999996</v>
      </c>
      <c r="V1326" s="2">
        <v>3</v>
      </c>
      <c r="W1326" s="2">
        <v>2010</v>
      </c>
    </row>
    <row r="1327" spans="1:23" ht="12.3" x14ac:dyDescent="0.4">
      <c r="A1327" s="2" t="s">
        <v>21</v>
      </c>
      <c r="B1327" s="2">
        <v>2</v>
      </c>
      <c r="C1327" s="3" t="s">
        <v>33</v>
      </c>
      <c r="D1327" s="4" t="s">
        <v>33</v>
      </c>
      <c r="E1327" s="2"/>
      <c r="F1327" s="2"/>
      <c r="G1327" s="2"/>
      <c r="H1327" s="2"/>
      <c r="I1327" s="2">
        <v>64.750699999999995</v>
      </c>
      <c r="J1327" s="2">
        <v>281</v>
      </c>
      <c r="K1327" s="2">
        <v>65.824100000000001</v>
      </c>
      <c r="L1327" s="2">
        <v>236</v>
      </c>
      <c r="M1327" s="2">
        <v>113.6388</v>
      </c>
      <c r="N1327" s="2">
        <v>9</v>
      </c>
      <c r="O1327" s="2">
        <v>116.15819999999999</v>
      </c>
      <c r="P1327" s="2">
        <v>8</v>
      </c>
      <c r="Q1327" s="2">
        <v>94.143199999999993</v>
      </c>
      <c r="R1327" s="2">
        <v>39</v>
      </c>
      <c r="S1327" s="2">
        <v>92.656400000000005</v>
      </c>
      <c r="T1327" s="2">
        <v>29</v>
      </c>
      <c r="U1327" s="2">
        <v>0.93083800000000005</v>
      </c>
      <c r="V1327" s="2">
        <v>4</v>
      </c>
      <c r="W1327" s="2">
        <v>2010</v>
      </c>
    </row>
    <row r="1328" spans="1:23" ht="12.3" x14ac:dyDescent="0.4">
      <c r="A1328" s="2" t="s">
        <v>229</v>
      </c>
      <c r="B1328" s="2">
        <v>2</v>
      </c>
      <c r="C1328" s="4" t="s">
        <v>33</v>
      </c>
      <c r="D1328" s="4" t="s">
        <v>33</v>
      </c>
      <c r="E1328" s="4" t="s">
        <v>33</v>
      </c>
      <c r="F1328" s="4" t="s">
        <v>33</v>
      </c>
      <c r="G1328" s="2"/>
      <c r="H1328" s="2"/>
      <c r="I1328" s="2">
        <v>63.989100000000001</v>
      </c>
      <c r="J1328" s="2">
        <v>298</v>
      </c>
      <c r="K1328" s="2">
        <v>63.412999999999997</v>
      </c>
      <c r="L1328" s="2">
        <v>312</v>
      </c>
      <c r="M1328" s="2">
        <v>111.91119999999999</v>
      </c>
      <c r="N1328" s="2">
        <v>17</v>
      </c>
      <c r="O1328" s="2">
        <v>115.8246</v>
      </c>
      <c r="P1328" s="2">
        <v>9</v>
      </c>
      <c r="Q1328" s="2">
        <v>97.724599999999995</v>
      </c>
      <c r="R1328" s="2">
        <v>98</v>
      </c>
      <c r="S1328" s="2">
        <v>92.837599999999995</v>
      </c>
      <c r="T1328" s="2">
        <v>31</v>
      </c>
      <c r="U1328" s="2">
        <v>0.92717499999999997</v>
      </c>
      <c r="V1328" s="2">
        <v>5</v>
      </c>
      <c r="W1328" s="2">
        <v>2010</v>
      </c>
    </row>
    <row r="1329" spans="1:23" ht="12.3" x14ac:dyDescent="0.4">
      <c r="A1329" s="2" t="s">
        <v>45</v>
      </c>
      <c r="B1329" s="2">
        <v>1</v>
      </c>
      <c r="C1329" s="3" t="s">
        <v>33</v>
      </c>
      <c r="D1329" s="3" t="s">
        <v>33</v>
      </c>
      <c r="E1329" s="4" t="s">
        <v>33</v>
      </c>
      <c r="F1329" s="2"/>
      <c r="G1329" s="2"/>
      <c r="H1329" s="2"/>
      <c r="I1329" s="2">
        <v>70.251800000000003</v>
      </c>
      <c r="J1329" s="2">
        <v>57</v>
      </c>
      <c r="K1329" s="2">
        <v>69.402600000000007</v>
      </c>
      <c r="L1329" s="2">
        <v>71</v>
      </c>
      <c r="M1329" s="2">
        <v>111.7162</v>
      </c>
      <c r="N1329" s="2">
        <v>19</v>
      </c>
      <c r="O1329" s="2">
        <v>111.7599</v>
      </c>
      <c r="P1329" s="2">
        <v>26</v>
      </c>
      <c r="Q1329" s="2">
        <v>92.029399999999995</v>
      </c>
      <c r="R1329" s="2">
        <v>21</v>
      </c>
      <c r="S1329" s="2">
        <v>89.6768</v>
      </c>
      <c r="T1329" s="2">
        <v>9</v>
      </c>
      <c r="U1329" s="2">
        <v>0.92632899999999996</v>
      </c>
      <c r="V1329" s="2">
        <v>6</v>
      </c>
      <c r="W1329" s="2">
        <v>2010</v>
      </c>
    </row>
    <row r="1330" spans="1:23" ht="12.3" x14ac:dyDescent="0.4">
      <c r="A1330" s="2" t="s">
        <v>148</v>
      </c>
      <c r="B1330" s="2">
        <v>2</v>
      </c>
      <c r="C1330" s="3" t="s">
        <v>33</v>
      </c>
      <c r="D1330" s="3" t="s">
        <v>33</v>
      </c>
      <c r="E1330" s="4" t="s">
        <v>33</v>
      </c>
      <c r="F1330" s="2"/>
      <c r="G1330" s="2"/>
      <c r="H1330" s="2"/>
      <c r="I1330" s="2">
        <v>72.0244</v>
      </c>
      <c r="J1330" s="2">
        <v>24</v>
      </c>
      <c r="K1330" s="2">
        <v>71.048000000000002</v>
      </c>
      <c r="L1330" s="2">
        <v>31</v>
      </c>
      <c r="M1330" s="2">
        <v>109.5895</v>
      </c>
      <c r="N1330" s="2">
        <v>33</v>
      </c>
      <c r="O1330" s="2">
        <v>113.9432</v>
      </c>
      <c r="P1330" s="2">
        <v>17</v>
      </c>
      <c r="Q1330" s="2">
        <v>95.613600000000005</v>
      </c>
      <c r="R1330" s="2">
        <v>50</v>
      </c>
      <c r="S1330" s="2">
        <v>91.5124</v>
      </c>
      <c r="T1330" s="2">
        <v>19</v>
      </c>
      <c r="U1330" s="2">
        <v>0.92560699999999996</v>
      </c>
      <c r="V1330" s="2">
        <v>7</v>
      </c>
      <c r="W1330" s="2">
        <v>2010</v>
      </c>
    </row>
    <row r="1331" spans="1:23" ht="12.3" x14ac:dyDescent="0.4">
      <c r="A1331" s="2" t="s">
        <v>76</v>
      </c>
      <c r="B1331" s="2">
        <v>4</v>
      </c>
      <c r="C1331" s="3" t="s">
        <v>33</v>
      </c>
      <c r="D1331" s="25"/>
      <c r="E1331" s="2"/>
      <c r="F1331" s="2"/>
      <c r="G1331" s="2"/>
      <c r="H1331" s="2"/>
      <c r="I1331" s="2">
        <v>60.0458</v>
      </c>
      <c r="J1331" s="2">
        <v>341</v>
      </c>
      <c r="K1331" s="2">
        <v>60.210900000000002</v>
      </c>
      <c r="L1331" s="2">
        <v>340</v>
      </c>
      <c r="M1331" s="2">
        <v>111.4756</v>
      </c>
      <c r="N1331" s="2">
        <v>21</v>
      </c>
      <c r="O1331" s="2">
        <v>113.3768</v>
      </c>
      <c r="P1331" s="2">
        <v>19</v>
      </c>
      <c r="Q1331" s="2">
        <v>92.853899999999996</v>
      </c>
      <c r="R1331" s="2">
        <v>28</v>
      </c>
      <c r="S1331" s="2">
        <v>91.376999999999995</v>
      </c>
      <c r="T1331" s="2">
        <v>16</v>
      </c>
      <c r="U1331" s="2">
        <v>0.922786</v>
      </c>
      <c r="V1331" s="2">
        <v>8</v>
      </c>
      <c r="W1331" s="2">
        <v>2010</v>
      </c>
    </row>
    <row r="1332" spans="1:23" ht="12.3" x14ac:dyDescent="0.4">
      <c r="A1332" s="2" t="s">
        <v>62</v>
      </c>
      <c r="B1332" s="2">
        <v>3</v>
      </c>
      <c r="C1332" s="2"/>
      <c r="D1332" s="2"/>
      <c r="E1332" s="2"/>
      <c r="F1332" s="2"/>
      <c r="G1332" s="2"/>
      <c r="H1332" s="2"/>
      <c r="I1332" s="2">
        <v>66.591300000000004</v>
      </c>
      <c r="J1332" s="2">
        <v>214</v>
      </c>
      <c r="K1332" s="2">
        <v>66.566199999999995</v>
      </c>
      <c r="L1332" s="2">
        <v>207</v>
      </c>
      <c r="M1332" s="2">
        <v>109.9958</v>
      </c>
      <c r="N1332" s="2">
        <v>31</v>
      </c>
      <c r="O1332" s="2">
        <v>115.21939999999999</v>
      </c>
      <c r="P1332" s="2">
        <v>12</v>
      </c>
      <c r="Q1332" s="2">
        <v>97.787899999999993</v>
      </c>
      <c r="R1332" s="2">
        <v>100</v>
      </c>
      <c r="S1332" s="2">
        <v>93.512100000000004</v>
      </c>
      <c r="T1332" s="2">
        <v>37</v>
      </c>
      <c r="U1332" s="2">
        <v>0.91687200000000002</v>
      </c>
      <c r="V1332" s="2">
        <v>9</v>
      </c>
      <c r="W1332" s="2">
        <v>2010</v>
      </c>
    </row>
    <row r="1333" spans="1:23" ht="12.3" x14ac:dyDescent="0.4">
      <c r="A1333" s="2" t="s">
        <v>96</v>
      </c>
      <c r="B1333" s="2">
        <v>7</v>
      </c>
      <c r="C1333" s="3" t="s">
        <v>33</v>
      </c>
      <c r="D1333" s="25"/>
      <c r="E1333" s="25"/>
      <c r="F1333" s="25"/>
      <c r="G1333" s="2"/>
      <c r="H1333" s="2"/>
      <c r="I1333" s="2">
        <v>71.448899999999995</v>
      </c>
      <c r="J1333" s="2">
        <v>29</v>
      </c>
      <c r="K1333" s="2">
        <v>72.818600000000004</v>
      </c>
      <c r="L1333" s="2">
        <v>12</v>
      </c>
      <c r="M1333" s="2">
        <v>115.54770000000001</v>
      </c>
      <c r="N1333" s="2">
        <v>5</v>
      </c>
      <c r="O1333" s="2">
        <v>115.5427</v>
      </c>
      <c r="P1333" s="2">
        <v>11</v>
      </c>
      <c r="Q1333" s="2">
        <v>91.659499999999994</v>
      </c>
      <c r="R1333" s="2">
        <v>12</v>
      </c>
      <c r="S1333" s="2">
        <v>93.917599999999993</v>
      </c>
      <c r="T1333" s="2">
        <v>44</v>
      </c>
      <c r="U1333" s="2">
        <v>0.91552599999999995</v>
      </c>
      <c r="V1333" s="2">
        <v>10</v>
      </c>
      <c r="W1333" s="2">
        <v>2010</v>
      </c>
    </row>
    <row r="1334" spans="1:23" ht="12.3" x14ac:dyDescent="0.4">
      <c r="A1334" s="2" t="s">
        <v>158</v>
      </c>
      <c r="B1334" s="2">
        <v>3</v>
      </c>
      <c r="C1334" s="3" t="s">
        <v>33</v>
      </c>
      <c r="D1334" s="3" t="s">
        <v>33</v>
      </c>
      <c r="E1334" s="4" t="s">
        <v>33</v>
      </c>
      <c r="F1334" s="2"/>
      <c r="G1334" s="2"/>
      <c r="H1334" s="2"/>
      <c r="I1334" s="2">
        <v>67.519000000000005</v>
      </c>
      <c r="J1334" s="2">
        <v>164</v>
      </c>
      <c r="K1334" s="2">
        <v>65.818399999999997</v>
      </c>
      <c r="L1334" s="2">
        <v>237</v>
      </c>
      <c r="M1334" s="2">
        <v>112.7598</v>
      </c>
      <c r="N1334" s="2">
        <v>12</v>
      </c>
      <c r="O1334" s="2">
        <v>117.53</v>
      </c>
      <c r="P1334" s="2">
        <v>4</v>
      </c>
      <c r="Q1334" s="2">
        <v>98.089799999999997</v>
      </c>
      <c r="R1334" s="2">
        <v>106</v>
      </c>
      <c r="S1334" s="2">
        <v>95.608000000000004</v>
      </c>
      <c r="T1334" s="2">
        <v>60</v>
      </c>
      <c r="U1334" s="2">
        <v>0.914825</v>
      </c>
      <c r="V1334" s="2">
        <v>11</v>
      </c>
      <c r="W1334" s="2">
        <v>2010</v>
      </c>
    </row>
    <row r="1335" spans="1:23" ht="12.3" x14ac:dyDescent="0.4">
      <c r="A1335" s="2" t="s">
        <v>88</v>
      </c>
      <c r="B1335" s="2">
        <v>5</v>
      </c>
      <c r="C1335" s="2"/>
      <c r="D1335" s="2"/>
      <c r="E1335" s="2"/>
      <c r="F1335" s="2"/>
      <c r="G1335" s="2"/>
      <c r="H1335" s="2"/>
      <c r="I1335" s="2">
        <v>62.057099999999998</v>
      </c>
      <c r="J1335" s="2">
        <v>329</v>
      </c>
      <c r="K1335" s="2">
        <v>61.204099999999997</v>
      </c>
      <c r="L1335" s="2">
        <v>336</v>
      </c>
      <c r="M1335" s="2">
        <v>104.0827</v>
      </c>
      <c r="N1335" s="2">
        <v>112</v>
      </c>
      <c r="O1335" s="2">
        <v>105.8365</v>
      </c>
      <c r="P1335" s="2">
        <v>92</v>
      </c>
      <c r="Q1335" s="2">
        <v>89.364400000000003</v>
      </c>
      <c r="R1335" s="2">
        <v>4</v>
      </c>
      <c r="S1335" s="2">
        <v>86.539599999999993</v>
      </c>
      <c r="T1335" s="2">
        <v>2</v>
      </c>
      <c r="U1335" s="2">
        <v>0.91010100000000005</v>
      </c>
      <c r="V1335" s="2">
        <v>12</v>
      </c>
      <c r="W1335" s="2">
        <v>2010</v>
      </c>
    </row>
    <row r="1336" spans="1:23" ht="12.3" x14ac:dyDescent="0.4">
      <c r="A1336" s="2" t="s">
        <v>36</v>
      </c>
      <c r="B1336" s="2">
        <v>4</v>
      </c>
      <c r="C1336" s="3" t="s">
        <v>33</v>
      </c>
      <c r="D1336" s="2"/>
      <c r="E1336" s="2"/>
      <c r="F1336" s="2"/>
      <c r="G1336" s="2"/>
      <c r="H1336" s="2"/>
      <c r="I1336" s="2">
        <v>70.327100000000002</v>
      </c>
      <c r="J1336" s="2">
        <v>53</v>
      </c>
      <c r="K1336" s="2">
        <v>70.172899999999998</v>
      </c>
      <c r="L1336" s="2">
        <v>51</v>
      </c>
      <c r="M1336" s="2">
        <v>111.324</v>
      </c>
      <c r="N1336" s="2">
        <v>23</v>
      </c>
      <c r="O1336" s="2">
        <v>116.2984</v>
      </c>
      <c r="P1336" s="2">
        <v>7</v>
      </c>
      <c r="Q1336" s="2">
        <v>95.808700000000002</v>
      </c>
      <c r="R1336" s="2">
        <v>53</v>
      </c>
      <c r="S1336" s="2">
        <v>95.673500000000004</v>
      </c>
      <c r="T1336" s="2">
        <v>61</v>
      </c>
      <c r="U1336" s="2">
        <v>0.90421799999999997</v>
      </c>
      <c r="V1336" s="2">
        <v>13</v>
      </c>
      <c r="W1336" s="2">
        <v>2010</v>
      </c>
    </row>
    <row r="1337" spans="1:23" ht="12.3" x14ac:dyDescent="0.4">
      <c r="A1337" s="2" t="s">
        <v>78</v>
      </c>
      <c r="B1337" s="2">
        <v>2</v>
      </c>
      <c r="C1337" s="4" t="s">
        <v>33</v>
      </c>
      <c r="D1337" s="2"/>
      <c r="E1337" s="2"/>
      <c r="F1337" s="2"/>
      <c r="G1337" s="2"/>
      <c r="H1337" s="2"/>
      <c r="I1337" s="2">
        <v>72.532799999999995</v>
      </c>
      <c r="J1337" s="2">
        <v>20</v>
      </c>
      <c r="K1337" s="2">
        <v>72.865600000000001</v>
      </c>
      <c r="L1337" s="2">
        <v>11</v>
      </c>
      <c r="M1337" s="2">
        <v>113.4836</v>
      </c>
      <c r="N1337" s="2">
        <v>10</v>
      </c>
      <c r="O1337" s="2">
        <v>116.99809999999999</v>
      </c>
      <c r="P1337" s="2">
        <v>5</v>
      </c>
      <c r="Q1337" s="2">
        <v>100.265</v>
      </c>
      <c r="R1337" s="2">
        <v>149</v>
      </c>
      <c r="S1337" s="2">
        <v>96.3553</v>
      </c>
      <c r="T1337" s="2">
        <v>67</v>
      </c>
      <c r="U1337" s="2">
        <v>0.903115</v>
      </c>
      <c r="V1337" s="2">
        <v>14</v>
      </c>
      <c r="W1337" s="2">
        <v>2010</v>
      </c>
    </row>
    <row r="1338" spans="1:23" ht="12.3" x14ac:dyDescent="0.4">
      <c r="A1338" s="2" t="s">
        <v>121</v>
      </c>
      <c r="B1338" s="2">
        <v>4</v>
      </c>
      <c r="C1338" s="3" t="s">
        <v>33</v>
      </c>
      <c r="D1338" s="4" t="s">
        <v>33</v>
      </c>
      <c r="E1338" s="2"/>
      <c r="F1338" s="2"/>
      <c r="G1338" s="2"/>
      <c r="H1338" s="2"/>
      <c r="I1338" s="2">
        <v>66.738299999999995</v>
      </c>
      <c r="J1338" s="2">
        <v>203</v>
      </c>
      <c r="K1338" s="2">
        <v>67.150599999999997</v>
      </c>
      <c r="L1338" s="2">
        <v>180</v>
      </c>
      <c r="M1338" s="2">
        <v>106.5055</v>
      </c>
      <c r="N1338" s="2">
        <v>80</v>
      </c>
      <c r="O1338" s="2">
        <v>107.2779</v>
      </c>
      <c r="P1338" s="2">
        <v>71</v>
      </c>
      <c r="Q1338" s="2">
        <v>91.453999999999994</v>
      </c>
      <c r="R1338" s="2">
        <v>11</v>
      </c>
      <c r="S1338" s="2">
        <v>88.759299999999996</v>
      </c>
      <c r="T1338" s="2">
        <v>4</v>
      </c>
      <c r="U1338" s="2">
        <v>0.89836400000000005</v>
      </c>
      <c r="V1338" s="2">
        <v>15</v>
      </c>
      <c r="W1338" s="2">
        <v>2010</v>
      </c>
    </row>
    <row r="1339" spans="1:23" ht="12.3" hidden="1" x14ac:dyDescent="0.4">
      <c r="A1339" s="2" t="s">
        <v>22</v>
      </c>
      <c r="B1339" s="2"/>
      <c r="C1339" s="2"/>
      <c r="D1339" s="2"/>
      <c r="E1339" s="2"/>
      <c r="F1339" s="2"/>
      <c r="G1339" s="2"/>
      <c r="H1339" s="2"/>
      <c r="I1339" s="2">
        <v>69.525400000000005</v>
      </c>
      <c r="J1339" s="2">
        <v>73</v>
      </c>
      <c r="K1339" s="2">
        <v>69.765199999999993</v>
      </c>
      <c r="L1339" s="2">
        <v>65</v>
      </c>
      <c r="M1339" s="2">
        <v>107.9456</v>
      </c>
      <c r="N1339" s="2">
        <v>54</v>
      </c>
      <c r="O1339" s="2">
        <v>110.50320000000001</v>
      </c>
      <c r="P1339" s="2">
        <v>35</v>
      </c>
      <c r="Q1339" s="2">
        <v>96.089200000000005</v>
      </c>
      <c r="R1339" s="2">
        <v>52</v>
      </c>
      <c r="S1339" s="2">
        <v>95.826800000000006</v>
      </c>
      <c r="T1339" s="2">
        <v>50</v>
      </c>
      <c r="U1339" s="2">
        <v>0.83736900000000003</v>
      </c>
      <c r="V1339" s="2">
        <v>28</v>
      </c>
      <c r="W1339" s="2">
        <v>2006</v>
      </c>
    </row>
    <row r="1340" spans="1:23" ht="12.3" x14ac:dyDescent="0.4">
      <c r="A1340" s="2" t="s">
        <v>18</v>
      </c>
      <c r="B1340" s="2">
        <v>5</v>
      </c>
      <c r="C1340" s="3" t="s">
        <v>33</v>
      </c>
      <c r="D1340" s="4" t="s">
        <v>33</v>
      </c>
      <c r="E1340" s="4" t="s">
        <v>33</v>
      </c>
      <c r="F1340" s="4" t="s">
        <v>33</v>
      </c>
      <c r="G1340" s="4" t="s">
        <v>33</v>
      </c>
      <c r="H1340" s="2"/>
      <c r="I1340" s="2">
        <v>64.527299999999997</v>
      </c>
      <c r="J1340" s="2">
        <v>287</v>
      </c>
      <c r="K1340" s="2">
        <v>65.161699999999996</v>
      </c>
      <c r="L1340" s="2">
        <v>269</v>
      </c>
      <c r="M1340" s="2">
        <v>108.49290000000001</v>
      </c>
      <c r="N1340" s="2">
        <v>47</v>
      </c>
      <c r="O1340" s="2">
        <v>108.1695</v>
      </c>
      <c r="P1340" s="2">
        <v>55</v>
      </c>
      <c r="Q1340" s="2">
        <v>92.537199999999999</v>
      </c>
      <c r="R1340" s="2">
        <v>24</v>
      </c>
      <c r="S1340" s="2">
        <v>89.628600000000006</v>
      </c>
      <c r="T1340" s="2">
        <v>8</v>
      </c>
      <c r="U1340" s="2">
        <v>0.89681200000000005</v>
      </c>
      <c r="V1340" s="2">
        <v>16</v>
      </c>
      <c r="W1340" s="2">
        <v>2010</v>
      </c>
    </row>
    <row r="1341" spans="1:23" ht="12.3" x14ac:dyDescent="0.4">
      <c r="A1341" s="2" t="s">
        <v>248</v>
      </c>
      <c r="B1341" s="2">
        <v>5</v>
      </c>
      <c r="C1341" s="4" t="s">
        <v>33</v>
      </c>
      <c r="D1341" s="2"/>
      <c r="E1341" s="2"/>
      <c r="F1341" s="2"/>
      <c r="G1341" s="2"/>
      <c r="H1341" s="2"/>
      <c r="I1341" s="2">
        <v>66.494299999999996</v>
      </c>
      <c r="J1341" s="2">
        <v>222</v>
      </c>
      <c r="K1341" s="2">
        <v>65.627499999999998</v>
      </c>
      <c r="L1341" s="2">
        <v>246</v>
      </c>
      <c r="M1341" s="2">
        <v>107.133</v>
      </c>
      <c r="N1341" s="2">
        <v>64</v>
      </c>
      <c r="O1341" s="2">
        <v>109.98560000000001</v>
      </c>
      <c r="P1341" s="2">
        <v>43</v>
      </c>
      <c r="Q1341" s="2">
        <v>97.105199999999996</v>
      </c>
      <c r="R1341" s="2">
        <v>84</v>
      </c>
      <c r="S1341" s="2">
        <v>91.801500000000004</v>
      </c>
      <c r="T1341" s="2">
        <v>21</v>
      </c>
      <c r="U1341" s="2">
        <v>0.88877499999999998</v>
      </c>
      <c r="V1341" s="2">
        <v>17</v>
      </c>
      <c r="W1341" s="2">
        <v>2010</v>
      </c>
    </row>
    <row r="1342" spans="1:23" ht="12.3" x14ac:dyDescent="0.4">
      <c r="A1342" s="2" t="s">
        <v>98</v>
      </c>
      <c r="B1342" s="2">
        <v>12</v>
      </c>
      <c r="C1342" s="2"/>
      <c r="D1342" s="2"/>
      <c r="E1342" s="2"/>
      <c r="F1342" s="2"/>
      <c r="G1342" s="2"/>
      <c r="H1342" s="2"/>
      <c r="I1342" s="2">
        <v>62.666499999999999</v>
      </c>
      <c r="J1342" s="2">
        <v>322</v>
      </c>
      <c r="K1342" s="2">
        <v>61.534700000000001</v>
      </c>
      <c r="L1342" s="2">
        <v>332</v>
      </c>
      <c r="M1342" s="2">
        <v>117.1305</v>
      </c>
      <c r="N1342" s="2">
        <v>1</v>
      </c>
      <c r="O1342" s="2">
        <v>113.6422</v>
      </c>
      <c r="P1342" s="2">
        <v>18</v>
      </c>
      <c r="Q1342" s="2">
        <v>95.665499999999994</v>
      </c>
      <c r="R1342" s="2">
        <v>51</v>
      </c>
      <c r="S1342" s="2">
        <v>95.405699999999996</v>
      </c>
      <c r="T1342" s="2">
        <v>58</v>
      </c>
      <c r="U1342" s="2">
        <v>0.88200299999999998</v>
      </c>
      <c r="V1342" s="2">
        <v>18</v>
      </c>
      <c r="W1342" s="2">
        <v>2010</v>
      </c>
    </row>
    <row r="1343" spans="1:23" ht="12.3" hidden="1" x14ac:dyDescent="0.4">
      <c r="A1343" s="2" t="s">
        <v>91</v>
      </c>
      <c r="B1343" s="2"/>
      <c r="C1343" s="2"/>
      <c r="D1343" s="2"/>
      <c r="E1343" s="2"/>
      <c r="F1343" s="2"/>
      <c r="G1343" s="2"/>
      <c r="H1343" s="2"/>
      <c r="I1343" s="2">
        <v>61.898299999999999</v>
      </c>
      <c r="J1343" s="2">
        <v>314</v>
      </c>
      <c r="K1343" s="2">
        <v>63.122599999999998</v>
      </c>
      <c r="L1343" s="2">
        <v>297</v>
      </c>
      <c r="M1343" s="2">
        <v>105.5371</v>
      </c>
      <c r="N1343" s="2">
        <v>95</v>
      </c>
      <c r="O1343" s="2">
        <v>107.66459999999999</v>
      </c>
      <c r="P1343" s="2">
        <v>67</v>
      </c>
      <c r="Q1343" s="2">
        <v>97.565100000000001</v>
      </c>
      <c r="R1343" s="2">
        <v>74</v>
      </c>
      <c r="S1343" s="2">
        <v>93.775999999999996</v>
      </c>
      <c r="T1343" s="2">
        <v>30</v>
      </c>
      <c r="U1343" s="2">
        <v>0.83037499999999997</v>
      </c>
      <c r="V1343" s="2">
        <v>32</v>
      </c>
      <c r="W1343" s="2">
        <v>2006</v>
      </c>
    </row>
    <row r="1344" spans="1:23" ht="12.3" hidden="1" x14ac:dyDescent="0.4">
      <c r="A1344" s="2" t="s">
        <v>56</v>
      </c>
      <c r="B1344" s="2"/>
      <c r="C1344" s="2"/>
      <c r="D1344" s="2"/>
      <c r="E1344" s="2"/>
      <c r="F1344" s="2"/>
      <c r="G1344" s="2"/>
      <c r="H1344" s="2"/>
      <c r="I1344" s="2">
        <v>65.2256</v>
      </c>
      <c r="J1344" s="2">
        <v>241</v>
      </c>
      <c r="K1344" s="2">
        <v>65.890100000000004</v>
      </c>
      <c r="L1344" s="2">
        <v>223</v>
      </c>
      <c r="M1344" s="2">
        <v>113.5125</v>
      </c>
      <c r="N1344" s="2">
        <v>8</v>
      </c>
      <c r="O1344" s="2">
        <v>116.8814</v>
      </c>
      <c r="P1344" s="2">
        <v>4</v>
      </c>
      <c r="Q1344" s="2">
        <v>104.7278</v>
      </c>
      <c r="R1344" s="2">
        <v>233</v>
      </c>
      <c r="S1344" s="2">
        <v>101.8048</v>
      </c>
      <c r="T1344" s="2">
        <v>159</v>
      </c>
      <c r="U1344" s="2">
        <v>0.83035999999999999</v>
      </c>
      <c r="V1344" s="2">
        <v>33</v>
      </c>
      <c r="W1344" s="2">
        <v>2006</v>
      </c>
    </row>
    <row r="1345" spans="1:23" ht="12.3" x14ac:dyDescent="0.4">
      <c r="A1345" s="2" t="s">
        <v>57</v>
      </c>
      <c r="B1345" s="2">
        <v>8</v>
      </c>
      <c r="C1345" s="4" t="s">
        <v>33</v>
      </c>
      <c r="D1345" s="2"/>
      <c r="E1345" s="2"/>
      <c r="F1345" s="2"/>
      <c r="G1345" s="2"/>
      <c r="H1345" s="2"/>
      <c r="I1345" s="2">
        <v>68.562100000000001</v>
      </c>
      <c r="J1345" s="2">
        <v>116</v>
      </c>
      <c r="K1345" s="2">
        <v>68.461100000000002</v>
      </c>
      <c r="L1345" s="2">
        <v>113</v>
      </c>
      <c r="M1345" s="2">
        <v>114.0441</v>
      </c>
      <c r="N1345" s="2">
        <v>8</v>
      </c>
      <c r="O1345" s="2">
        <v>117.8527</v>
      </c>
      <c r="P1345" s="2">
        <v>3</v>
      </c>
      <c r="Q1345" s="2">
        <v>99.397999999999996</v>
      </c>
      <c r="R1345" s="2">
        <v>132</v>
      </c>
      <c r="S1345" s="2">
        <v>99.062100000000001</v>
      </c>
      <c r="T1345" s="2">
        <v>122</v>
      </c>
      <c r="U1345" s="2">
        <v>0.88052600000000003</v>
      </c>
      <c r="V1345" s="2">
        <v>19</v>
      </c>
      <c r="W1345" s="2">
        <v>2010</v>
      </c>
    </row>
    <row r="1346" spans="1:23" ht="12.3" x14ac:dyDescent="0.4">
      <c r="A1346" s="2" t="s">
        <v>50</v>
      </c>
      <c r="B1346" s="2">
        <v>6</v>
      </c>
      <c r="C1346" s="4" t="s">
        <v>33</v>
      </c>
      <c r="D1346" s="4" t="s">
        <v>33</v>
      </c>
      <c r="E1346" s="2"/>
      <c r="F1346" s="2"/>
      <c r="G1346" s="2"/>
      <c r="H1346" s="2"/>
      <c r="I1346" s="2">
        <v>70.519599999999997</v>
      </c>
      <c r="J1346" s="2">
        <v>46</v>
      </c>
      <c r="K1346" s="2">
        <v>70.736599999999996</v>
      </c>
      <c r="L1346" s="2">
        <v>38</v>
      </c>
      <c r="M1346" s="2">
        <v>110.8022</v>
      </c>
      <c r="N1346" s="2">
        <v>26</v>
      </c>
      <c r="O1346" s="2">
        <v>114.0637</v>
      </c>
      <c r="P1346" s="2">
        <v>15</v>
      </c>
      <c r="Q1346" s="2">
        <v>95.688000000000002</v>
      </c>
      <c r="R1346" s="2">
        <v>52</v>
      </c>
      <c r="S1346" s="2">
        <v>95.887900000000002</v>
      </c>
      <c r="T1346" s="2">
        <v>64</v>
      </c>
      <c r="U1346" s="2">
        <v>0.88039000000000001</v>
      </c>
      <c r="V1346" s="2">
        <v>20</v>
      </c>
      <c r="W1346" s="2">
        <v>2010</v>
      </c>
    </row>
    <row r="1347" spans="1:23" ht="12.3" hidden="1" x14ac:dyDescent="0.4">
      <c r="A1347" s="2" t="s">
        <v>17</v>
      </c>
      <c r="B1347" s="2"/>
      <c r="C1347" s="2"/>
      <c r="D1347" s="2"/>
      <c r="E1347" s="2"/>
      <c r="F1347" s="2"/>
      <c r="G1347" s="2"/>
      <c r="H1347" s="2"/>
      <c r="I1347" s="2">
        <v>61.106000000000002</v>
      </c>
      <c r="J1347" s="2">
        <v>320</v>
      </c>
      <c r="K1347" s="2">
        <v>60.447299999999998</v>
      </c>
      <c r="L1347" s="2">
        <v>324</v>
      </c>
      <c r="M1347" s="2">
        <v>108.6341</v>
      </c>
      <c r="N1347" s="2">
        <v>44</v>
      </c>
      <c r="O1347" s="2">
        <v>110.68389999999999</v>
      </c>
      <c r="P1347" s="2">
        <v>30</v>
      </c>
      <c r="Q1347" s="2">
        <v>101.1268</v>
      </c>
      <c r="R1347" s="2">
        <v>152</v>
      </c>
      <c r="S1347" s="2">
        <v>96.667100000000005</v>
      </c>
      <c r="T1347" s="2">
        <v>73</v>
      </c>
      <c r="U1347" s="2">
        <v>0.82594599999999996</v>
      </c>
      <c r="V1347" s="2">
        <v>36</v>
      </c>
      <c r="W1347" s="2">
        <v>2006</v>
      </c>
    </row>
    <row r="1348" spans="1:23" ht="12.3" x14ac:dyDescent="0.4">
      <c r="A1348" s="2" t="s">
        <v>216</v>
      </c>
      <c r="B1348" s="2">
        <v>9</v>
      </c>
      <c r="C1348" s="3" t="s">
        <v>33</v>
      </c>
      <c r="D1348" s="3" t="s">
        <v>33</v>
      </c>
      <c r="E1348" s="2"/>
      <c r="F1348" s="2"/>
      <c r="G1348" s="2"/>
      <c r="H1348" s="2"/>
      <c r="I1348" s="2">
        <v>59.076599999999999</v>
      </c>
      <c r="J1348" s="2">
        <v>345</v>
      </c>
      <c r="K1348" s="2">
        <v>59.9</v>
      </c>
      <c r="L1348" s="2">
        <v>342</v>
      </c>
      <c r="M1348" s="2">
        <v>107.26860000000001</v>
      </c>
      <c r="N1348" s="2">
        <v>60</v>
      </c>
      <c r="O1348" s="2">
        <v>106.1109</v>
      </c>
      <c r="P1348" s="2">
        <v>86</v>
      </c>
      <c r="Q1348" s="2">
        <v>91.691500000000005</v>
      </c>
      <c r="R1348" s="2">
        <v>15</v>
      </c>
      <c r="S1348" s="2">
        <v>89.247500000000002</v>
      </c>
      <c r="T1348" s="2">
        <v>7</v>
      </c>
      <c r="U1348" s="2">
        <v>0.87977700000000003</v>
      </c>
      <c r="V1348" s="2">
        <v>21</v>
      </c>
      <c r="W1348" s="2">
        <v>2010</v>
      </c>
    </row>
    <row r="1349" spans="1:23" ht="12.3" x14ac:dyDescent="0.4">
      <c r="A1349" s="2" t="s">
        <v>58</v>
      </c>
      <c r="B1349" s="2">
        <v>5</v>
      </c>
      <c r="C1349" s="3" t="s">
        <v>33</v>
      </c>
      <c r="D1349" s="4" t="s">
        <v>33</v>
      </c>
      <c r="E1349" s="4" t="s">
        <v>33</v>
      </c>
      <c r="F1349" s="4" t="s">
        <v>33</v>
      </c>
      <c r="G1349" s="2"/>
      <c r="H1349" s="2"/>
      <c r="I1349" s="2">
        <v>66.673000000000002</v>
      </c>
      <c r="J1349" s="2">
        <v>209</v>
      </c>
      <c r="K1349" s="2">
        <v>67.115899999999996</v>
      </c>
      <c r="L1349" s="2">
        <v>182</v>
      </c>
      <c r="M1349" s="2">
        <v>108.39230000000001</v>
      </c>
      <c r="N1349" s="2">
        <v>49</v>
      </c>
      <c r="O1349" s="2">
        <v>109.21469999999999</v>
      </c>
      <c r="P1349" s="2">
        <v>47</v>
      </c>
      <c r="Q1349" s="2">
        <v>95.432599999999994</v>
      </c>
      <c r="R1349" s="2">
        <v>45</v>
      </c>
      <c r="S1349" s="2">
        <v>91.951999999999998</v>
      </c>
      <c r="T1349" s="2">
        <v>23</v>
      </c>
      <c r="U1349" s="2">
        <v>0.87852699999999995</v>
      </c>
      <c r="V1349" s="2">
        <v>22</v>
      </c>
      <c r="W1349" s="2">
        <v>2010</v>
      </c>
    </row>
    <row r="1350" spans="1:23" ht="12.3" x14ac:dyDescent="0.4">
      <c r="A1350" s="2" t="s">
        <v>39</v>
      </c>
      <c r="B1350" s="2">
        <v>6</v>
      </c>
      <c r="C1350" s="25"/>
      <c r="D1350" s="2"/>
      <c r="E1350" s="2"/>
      <c r="F1350" s="2"/>
      <c r="G1350" s="2"/>
      <c r="H1350" s="2"/>
      <c r="I1350" s="2">
        <v>64.580200000000005</v>
      </c>
      <c r="J1350" s="2">
        <v>286</v>
      </c>
      <c r="K1350" s="2">
        <v>63.774900000000002</v>
      </c>
      <c r="L1350" s="2">
        <v>303</v>
      </c>
      <c r="M1350" s="2">
        <v>111.18040000000001</v>
      </c>
      <c r="N1350" s="2">
        <v>24</v>
      </c>
      <c r="O1350" s="2">
        <v>111.824</v>
      </c>
      <c r="P1350" s="2">
        <v>24</v>
      </c>
      <c r="Q1350" s="2">
        <v>98.190899999999999</v>
      </c>
      <c r="R1350" s="2">
        <v>108</v>
      </c>
      <c r="S1350" s="2">
        <v>94.228700000000003</v>
      </c>
      <c r="T1350" s="2">
        <v>47</v>
      </c>
      <c r="U1350" s="2">
        <v>0.87748400000000004</v>
      </c>
      <c r="V1350" s="2">
        <v>23</v>
      </c>
      <c r="W1350" s="2">
        <v>2010</v>
      </c>
    </row>
    <row r="1351" spans="1:23" ht="12.3" x14ac:dyDescent="0.4">
      <c r="A1351" s="2" t="s">
        <v>46</v>
      </c>
      <c r="B1351" s="2">
        <v>3</v>
      </c>
      <c r="C1351" s="3" t="s">
        <v>33</v>
      </c>
      <c r="D1351" s="2"/>
      <c r="E1351" s="2"/>
      <c r="F1351" s="2"/>
      <c r="G1351" s="2"/>
      <c r="H1351" s="2"/>
      <c r="I1351" s="2">
        <v>62.341999999999999</v>
      </c>
      <c r="J1351" s="2">
        <v>327</v>
      </c>
      <c r="K1351" s="2">
        <v>61.861400000000003</v>
      </c>
      <c r="L1351" s="2">
        <v>331</v>
      </c>
      <c r="M1351" s="2">
        <v>106.77079999999999</v>
      </c>
      <c r="N1351" s="2">
        <v>74</v>
      </c>
      <c r="O1351" s="2">
        <v>109.9858</v>
      </c>
      <c r="P1351" s="2">
        <v>42</v>
      </c>
      <c r="Q1351" s="2">
        <v>96.484099999999998</v>
      </c>
      <c r="R1351" s="2">
        <v>73</v>
      </c>
      <c r="S1351" s="2">
        <v>92.914500000000004</v>
      </c>
      <c r="T1351" s="2">
        <v>32</v>
      </c>
      <c r="U1351" s="2">
        <v>0.87432200000000004</v>
      </c>
      <c r="V1351" s="2">
        <v>24</v>
      </c>
      <c r="W1351" s="2">
        <v>2010</v>
      </c>
    </row>
    <row r="1352" spans="1:23" ht="12.3" hidden="1" x14ac:dyDescent="0.4">
      <c r="A1352" s="2" t="s">
        <v>154</v>
      </c>
      <c r="B1352" s="2"/>
      <c r="C1352" s="2"/>
      <c r="D1352" s="2"/>
      <c r="E1352" s="2"/>
      <c r="F1352" s="2"/>
      <c r="G1352" s="2"/>
      <c r="H1352" s="2"/>
      <c r="I1352" s="2">
        <v>66.1768</v>
      </c>
      <c r="J1352" s="2">
        <v>203</v>
      </c>
      <c r="K1352" s="2">
        <v>68.497500000000002</v>
      </c>
      <c r="L1352" s="2">
        <v>105</v>
      </c>
      <c r="M1352" s="2">
        <v>108.2411</v>
      </c>
      <c r="N1352" s="2">
        <v>49</v>
      </c>
      <c r="O1352" s="2">
        <v>111.2745</v>
      </c>
      <c r="P1352" s="2">
        <v>26</v>
      </c>
      <c r="Q1352" s="2">
        <v>100.3734</v>
      </c>
      <c r="R1352" s="2">
        <v>136</v>
      </c>
      <c r="S1352" s="2">
        <v>97.537000000000006</v>
      </c>
      <c r="T1352" s="2">
        <v>86</v>
      </c>
      <c r="U1352" s="2">
        <v>0.819851</v>
      </c>
      <c r="V1352" s="2">
        <v>41</v>
      </c>
      <c r="W1352" s="2">
        <v>2006</v>
      </c>
    </row>
    <row r="1353" spans="1:23" ht="12.3" hidden="1" x14ac:dyDescent="0.4">
      <c r="A1353" s="2" t="s">
        <v>20</v>
      </c>
      <c r="B1353" s="2"/>
      <c r="C1353" s="2"/>
      <c r="D1353" s="2"/>
      <c r="E1353" s="2"/>
      <c r="F1353" s="2"/>
      <c r="G1353" s="2"/>
      <c r="H1353" s="2"/>
      <c r="I1353" s="2">
        <v>71.143199999999993</v>
      </c>
      <c r="J1353" s="2">
        <v>43</v>
      </c>
      <c r="K1353" s="2">
        <v>69.670199999999994</v>
      </c>
      <c r="L1353" s="2">
        <v>69</v>
      </c>
      <c r="M1353" s="2">
        <v>107.3866</v>
      </c>
      <c r="N1353" s="2">
        <v>62</v>
      </c>
      <c r="O1353" s="2">
        <v>109.12090000000001</v>
      </c>
      <c r="P1353" s="2">
        <v>47</v>
      </c>
      <c r="Q1353" s="2">
        <v>96.655000000000001</v>
      </c>
      <c r="R1353" s="2">
        <v>61</v>
      </c>
      <c r="S1353" s="2">
        <v>95.702500000000001</v>
      </c>
      <c r="T1353" s="2">
        <v>49</v>
      </c>
      <c r="U1353" s="2">
        <v>0.81890399999999997</v>
      </c>
      <c r="V1353" s="2">
        <v>42</v>
      </c>
      <c r="W1353" s="2">
        <v>2006</v>
      </c>
    </row>
    <row r="1354" spans="1:23" ht="12.3" x14ac:dyDescent="0.4">
      <c r="A1354" s="2" t="s">
        <v>56</v>
      </c>
      <c r="B1354" s="2">
        <v>6</v>
      </c>
      <c r="C1354" s="2"/>
      <c r="D1354" s="2"/>
      <c r="E1354" s="2"/>
      <c r="F1354" s="2"/>
      <c r="G1354" s="2"/>
      <c r="H1354" s="2"/>
      <c r="I1354" s="2">
        <v>64.347200000000001</v>
      </c>
      <c r="J1354" s="2">
        <v>290</v>
      </c>
      <c r="K1354" s="2">
        <v>63.727899999999998</v>
      </c>
      <c r="L1354" s="2">
        <v>304</v>
      </c>
      <c r="M1354" s="2">
        <v>116.6644</v>
      </c>
      <c r="N1354" s="2">
        <v>2</v>
      </c>
      <c r="O1354" s="2">
        <v>118.1491</v>
      </c>
      <c r="P1354" s="2">
        <v>2</v>
      </c>
      <c r="Q1354" s="2">
        <v>105.7914</v>
      </c>
      <c r="R1354" s="2">
        <v>280</v>
      </c>
      <c r="S1354" s="2">
        <v>99.857500000000002</v>
      </c>
      <c r="T1354" s="2">
        <v>138</v>
      </c>
      <c r="U1354" s="2">
        <v>0.87372899999999998</v>
      </c>
      <c r="V1354" s="2">
        <v>25</v>
      </c>
      <c r="W1354" s="2">
        <v>2010</v>
      </c>
    </row>
    <row r="1355" spans="1:23" ht="12.3" hidden="1" x14ac:dyDescent="0.4">
      <c r="A1355" s="2" t="s">
        <v>86</v>
      </c>
      <c r="B1355" s="2"/>
      <c r="C1355" s="2"/>
      <c r="D1355" s="2"/>
      <c r="E1355" s="2"/>
      <c r="F1355" s="2"/>
      <c r="G1355" s="2"/>
      <c r="H1355" s="2"/>
      <c r="I1355" s="2">
        <v>66.236900000000006</v>
      </c>
      <c r="J1355" s="2">
        <v>201</v>
      </c>
      <c r="K1355" s="2">
        <v>65.999700000000004</v>
      </c>
      <c r="L1355" s="2">
        <v>217</v>
      </c>
      <c r="M1355" s="2">
        <v>104.38079999999999</v>
      </c>
      <c r="N1355" s="2">
        <v>124</v>
      </c>
      <c r="O1355" s="2">
        <v>105.3784</v>
      </c>
      <c r="P1355" s="2">
        <v>99</v>
      </c>
      <c r="Q1355" s="2">
        <v>96.802800000000005</v>
      </c>
      <c r="R1355" s="2">
        <v>62</v>
      </c>
      <c r="S1355" s="2">
        <v>93.016599999999997</v>
      </c>
      <c r="T1355" s="2">
        <v>27</v>
      </c>
      <c r="U1355" s="2">
        <v>0.80767299999999997</v>
      </c>
      <c r="V1355" s="2">
        <v>44</v>
      </c>
      <c r="W1355" s="2">
        <v>2006</v>
      </c>
    </row>
    <row r="1356" spans="1:23" ht="12.3" x14ac:dyDescent="0.4">
      <c r="A1356" s="2" t="s">
        <v>24</v>
      </c>
      <c r="B1356" s="2">
        <v>7</v>
      </c>
      <c r="C1356" s="25"/>
      <c r="D1356" s="2"/>
      <c r="E1356" s="2"/>
      <c r="F1356" s="2"/>
      <c r="G1356" s="2"/>
      <c r="H1356" s="2"/>
      <c r="I1356" s="2">
        <v>70.025400000000005</v>
      </c>
      <c r="J1356" s="2">
        <v>63</v>
      </c>
      <c r="K1356" s="2">
        <v>69.057199999999995</v>
      </c>
      <c r="L1356" s="2">
        <v>84</v>
      </c>
      <c r="M1356" s="2">
        <v>104.51430000000001</v>
      </c>
      <c r="N1356" s="2">
        <v>102</v>
      </c>
      <c r="O1356" s="2">
        <v>107.7848</v>
      </c>
      <c r="P1356" s="2">
        <v>62</v>
      </c>
      <c r="Q1356" s="2">
        <v>91.679000000000002</v>
      </c>
      <c r="R1356" s="2">
        <v>13</v>
      </c>
      <c r="S1356" s="2">
        <v>91.136499999999998</v>
      </c>
      <c r="T1356" s="2">
        <v>15</v>
      </c>
      <c r="U1356" s="2">
        <v>0.87318899999999999</v>
      </c>
      <c r="V1356" s="2">
        <v>26</v>
      </c>
      <c r="W1356" s="2">
        <v>2010</v>
      </c>
    </row>
    <row r="1357" spans="1:23" ht="12.3" x14ac:dyDescent="0.4">
      <c r="A1357" s="2" t="s">
        <v>67</v>
      </c>
      <c r="B1357" s="2">
        <v>8</v>
      </c>
      <c r="C1357" s="2"/>
      <c r="D1357" s="2"/>
      <c r="E1357" s="2"/>
      <c r="F1357" s="2"/>
      <c r="G1357" s="2"/>
      <c r="H1357" s="2"/>
      <c r="I1357" s="2">
        <v>74.099800000000002</v>
      </c>
      <c r="J1357" s="2">
        <v>9</v>
      </c>
      <c r="K1357" s="2">
        <v>72.723299999999995</v>
      </c>
      <c r="L1357" s="2">
        <v>14</v>
      </c>
      <c r="M1357" s="2">
        <v>108.86790000000001</v>
      </c>
      <c r="N1357" s="2">
        <v>43</v>
      </c>
      <c r="O1357" s="2">
        <v>111.595</v>
      </c>
      <c r="P1357" s="2">
        <v>27</v>
      </c>
      <c r="Q1357" s="2">
        <v>93.678600000000003</v>
      </c>
      <c r="R1357" s="2">
        <v>31</v>
      </c>
      <c r="S1357" s="2">
        <v>94.526700000000005</v>
      </c>
      <c r="T1357" s="2">
        <v>48</v>
      </c>
      <c r="U1357" s="2">
        <v>0.87089899999999998</v>
      </c>
      <c r="V1357" s="2">
        <v>27</v>
      </c>
      <c r="W1357" s="2">
        <v>2010</v>
      </c>
    </row>
    <row r="1358" spans="1:23" ht="12.3" x14ac:dyDescent="0.4">
      <c r="A1358" s="2" t="s">
        <v>20</v>
      </c>
      <c r="B1358" s="2">
        <v>9</v>
      </c>
      <c r="C1358" s="25"/>
      <c r="D1358" s="25"/>
      <c r="E1358" s="2"/>
      <c r="F1358" s="2"/>
      <c r="G1358" s="2"/>
      <c r="H1358" s="2"/>
      <c r="I1358" s="2">
        <v>67.833200000000005</v>
      </c>
      <c r="J1358" s="2">
        <v>144</v>
      </c>
      <c r="K1358" s="2">
        <v>66.853999999999999</v>
      </c>
      <c r="L1358" s="2">
        <v>191</v>
      </c>
      <c r="M1358" s="2">
        <v>100.35509999999999</v>
      </c>
      <c r="N1358" s="2">
        <v>188</v>
      </c>
      <c r="O1358" s="2">
        <v>102.4203</v>
      </c>
      <c r="P1358" s="2">
        <v>153</v>
      </c>
      <c r="Q1358" s="2">
        <v>88.543999999999997</v>
      </c>
      <c r="R1358" s="2">
        <v>1</v>
      </c>
      <c r="S1358" s="2">
        <v>86.992599999999996</v>
      </c>
      <c r="T1358" s="2">
        <v>3</v>
      </c>
      <c r="U1358" s="2">
        <v>0.86732500000000001</v>
      </c>
      <c r="V1358" s="2">
        <v>28</v>
      </c>
      <c r="W1358" s="2">
        <v>2010</v>
      </c>
    </row>
    <row r="1359" spans="1:23" ht="12.3" hidden="1" x14ac:dyDescent="0.4">
      <c r="A1359" s="2" t="s">
        <v>34</v>
      </c>
      <c r="B1359" s="2"/>
      <c r="C1359" s="2"/>
      <c r="D1359" s="2"/>
      <c r="E1359" s="2"/>
      <c r="F1359" s="2"/>
      <c r="G1359" s="2"/>
      <c r="H1359" s="2"/>
      <c r="I1359" s="2">
        <v>70.034700000000001</v>
      </c>
      <c r="J1359" s="2">
        <v>59</v>
      </c>
      <c r="K1359" s="2">
        <v>70.186499999999995</v>
      </c>
      <c r="L1359" s="2">
        <v>54</v>
      </c>
      <c r="M1359" s="2">
        <v>104.94459999999999</v>
      </c>
      <c r="N1359" s="2">
        <v>108</v>
      </c>
      <c r="O1359" s="2">
        <v>108.1605</v>
      </c>
      <c r="P1359" s="2">
        <v>61</v>
      </c>
      <c r="Q1359" s="2">
        <v>99.308999999999997</v>
      </c>
      <c r="R1359" s="2">
        <v>110</v>
      </c>
      <c r="S1359" s="2">
        <v>96.0535</v>
      </c>
      <c r="T1359" s="2">
        <v>56</v>
      </c>
      <c r="U1359" s="2">
        <v>0.79659899999999995</v>
      </c>
      <c r="V1359" s="2">
        <v>48</v>
      </c>
      <c r="W1359" s="2">
        <v>2006</v>
      </c>
    </row>
    <row r="1360" spans="1:23" ht="12.3" x14ac:dyDescent="0.4">
      <c r="A1360" s="2" t="s">
        <v>262</v>
      </c>
      <c r="B1360" s="2">
        <v>10</v>
      </c>
      <c r="C1360" s="4" t="s">
        <v>33</v>
      </c>
      <c r="D1360" s="4" t="s">
        <v>33</v>
      </c>
      <c r="E1360" s="2"/>
      <c r="F1360" s="2"/>
      <c r="G1360" s="2"/>
      <c r="H1360" s="2"/>
      <c r="I1360" s="2">
        <v>67.443399999999997</v>
      </c>
      <c r="J1360" s="2">
        <v>170</v>
      </c>
      <c r="K1360" s="2">
        <v>67.988299999999995</v>
      </c>
      <c r="L1360" s="2">
        <v>135</v>
      </c>
      <c r="M1360" s="2">
        <v>116.3831</v>
      </c>
      <c r="N1360" s="2">
        <v>3</v>
      </c>
      <c r="O1360" s="2">
        <v>114.38039999999999</v>
      </c>
      <c r="P1360" s="2">
        <v>14</v>
      </c>
      <c r="Q1360" s="2">
        <v>97.803600000000003</v>
      </c>
      <c r="R1360" s="2">
        <v>101</v>
      </c>
      <c r="S1360" s="2">
        <v>97.408799999999999</v>
      </c>
      <c r="T1360" s="2">
        <v>85</v>
      </c>
      <c r="U1360" s="2">
        <v>0.86377999999999999</v>
      </c>
      <c r="V1360" s="2">
        <v>29</v>
      </c>
      <c r="W1360" s="2">
        <v>2010</v>
      </c>
    </row>
    <row r="1361" spans="1:23" ht="12.3" hidden="1" x14ac:dyDescent="0.4">
      <c r="A1361" s="2" t="s">
        <v>243</v>
      </c>
      <c r="B1361" s="2"/>
      <c r="C1361" s="2"/>
      <c r="D1361" s="2"/>
      <c r="E1361" s="2"/>
      <c r="F1361" s="2"/>
      <c r="G1361" s="2"/>
      <c r="H1361" s="2"/>
      <c r="I1361" s="2">
        <v>66.850499999999997</v>
      </c>
      <c r="J1361" s="2">
        <v>173</v>
      </c>
      <c r="K1361" s="2">
        <v>67.314499999999995</v>
      </c>
      <c r="L1361" s="2">
        <v>144</v>
      </c>
      <c r="M1361" s="2">
        <v>108.37179999999999</v>
      </c>
      <c r="N1361" s="2">
        <v>48</v>
      </c>
      <c r="O1361" s="2">
        <v>112.7047</v>
      </c>
      <c r="P1361" s="2">
        <v>20</v>
      </c>
      <c r="Q1361" s="2">
        <v>98.904799999999994</v>
      </c>
      <c r="R1361" s="2">
        <v>100</v>
      </c>
      <c r="S1361" s="2">
        <v>100.38939999999999</v>
      </c>
      <c r="T1361" s="2">
        <v>137</v>
      </c>
      <c r="U1361" s="2">
        <v>0.79095899999999997</v>
      </c>
      <c r="V1361" s="2">
        <v>50</v>
      </c>
      <c r="W1361" s="2">
        <v>2006</v>
      </c>
    </row>
    <row r="1362" spans="1:23" ht="12.3" hidden="1" x14ac:dyDescent="0.4">
      <c r="A1362" s="2" t="s">
        <v>90</v>
      </c>
      <c r="B1362" s="2"/>
      <c r="C1362" s="2"/>
      <c r="D1362" s="2"/>
      <c r="E1362" s="2"/>
      <c r="F1362" s="2"/>
      <c r="G1362" s="2"/>
      <c r="H1362" s="2"/>
      <c r="I1362" s="2">
        <v>64.133200000000002</v>
      </c>
      <c r="J1362" s="2">
        <v>272</v>
      </c>
      <c r="K1362" s="2">
        <v>64.191900000000004</v>
      </c>
      <c r="L1362" s="2">
        <v>269</v>
      </c>
      <c r="M1362" s="2">
        <v>101.7349</v>
      </c>
      <c r="N1362" s="2">
        <v>167</v>
      </c>
      <c r="O1362" s="2">
        <v>105.5273</v>
      </c>
      <c r="P1362" s="2">
        <v>96</v>
      </c>
      <c r="Q1362" s="2">
        <v>93.912999999999997</v>
      </c>
      <c r="R1362" s="2">
        <v>31</v>
      </c>
      <c r="S1362" s="2">
        <v>94.013499999999993</v>
      </c>
      <c r="T1362" s="2">
        <v>34</v>
      </c>
      <c r="U1362" s="2">
        <v>0.79061000000000003</v>
      </c>
      <c r="V1362" s="2">
        <v>51</v>
      </c>
      <c r="W1362" s="2">
        <v>2006</v>
      </c>
    </row>
    <row r="1363" spans="1:23" ht="12.3" x14ac:dyDescent="0.4">
      <c r="A1363" s="2" t="s">
        <v>219</v>
      </c>
      <c r="B1363" s="2">
        <v>12</v>
      </c>
      <c r="C1363" s="2"/>
      <c r="D1363" s="2"/>
      <c r="E1363" s="2"/>
      <c r="F1363" s="2"/>
      <c r="G1363" s="2"/>
      <c r="H1363" s="2"/>
      <c r="I1363" s="2">
        <v>70.000500000000002</v>
      </c>
      <c r="J1363" s="2">
        <v>65</v>
      </c>
      <c r="K1363" s="2">
        <v>69.447999999999993</v>
      </c>
      <c r="L1363" s="2">
        <v>69</v>
      </c>
      <c r="M1363" s="2">
        <v>106.76430000000001</v>
      </c>
      <c r="N1363" s="2">
        <v>75</v>
      </c>
      <c r="O1363" s="2">
        <v>105.4755</v>
      </c>
      <c r="P1363" s="2">
        <v>100</v>
      </c>
      <c r="Q1363" s="2">
        <v>90.513599999999997</v>
      </c>
      <c r="R1363" s="2">
        <v>8</v>
      </c>
      <c r="S1363" s="2">
        <v>89.837900000000005</v>
      </c>
      <c r="T1363" s="2">
        <v>10</v>
      </c>
      <c r="U1363" s="2">
        <v>0.86358900000000005</v>
      </c>
      <c r="V1363" s="2">
        <v>30</v>
      </c>
      <c r="W1363" s="2">
        <v>2010</v>
      </c>
    </row>
    <row r="1364" spans="1:23" ht="12.3" x14ac:dyDescent="0.4">
      <c r="A1364" s="2" t="s">
        <v>92</v>
      </c>
      <c r="B1364" s="2">
        <v>10</v>
      </c>
      <c r="C1364" s="4" t="s">
        <v>33</v>
      </c>
      <c r="D1364" s="2"/>
      <c r="E1364" s="2"/>
      <c r="F1364" s="2"/>
      <c r="G1364" s="2"/>
      <c r="H1364" s="2"/>
      <c r="I1364" s="2">
        <v>70.816100000000006</v>
      </c>
      <c r="J1364" s="2">
        <v>38</v>
      </c>
      <c r="K1364" s="2">
        <v>69.691400000000002</v>
      </c>
      <c r="L1364" s="2">
        <v>63</v>
      </c>
      <c r="M1364" s="2">
        <v>102.02079999999999</v>
      </c>
      <c r="N1364" s="2">
        <v>152</v>
      </c>
      <c r="O1364" s="2">
        <v>107.223</v>
      </c>
      <c r="P1364" s="2">
        <v>72</v>
      </c>
      <c r="Q1364" s="2">
        <v>93.515900000000002</v>
      </c>
      <c r="R1364" s="2">
        <v>30</v>
      </c>
      <c r="S1364" s="2">
        <v>91.441900000000004</v>
      </c>
      <c r="T1364" s="2">
        <v>17</v>
      </c>
      <c r="U1364" s="2">
        <v>0.86186600000000002</v>
      </c>
      <c r="V1364" s="2">
        <v>31</v>
      </c>
      <c r="W1364" s="2">
        <v>2010</v>
      </c>
    </row>
    <row r="1365" spans="1:23" ht="12.3" hidden="1" x14ac:dyDescent="0.4">
      <c r="A1365" s="2" t="s">
        <v>72</v>
      </c>
      <c r="B1365" s="2"/>
      <c r="C1365" s="2"/>
      <c r="D1365" s="2"/>
      <c r="E1365" s="2"/>
      <c r="F1365" s="2"/>
      <c r="G1365" s="2"/>
      <c r="H1365" s="2"/>
      <c r="I1365" s="2">
        <v>67.029600000000002</v>
      </c>
      <c r="J1365" s="2">
        <v>165</v>
      </c>
      <c r="K1365" s="2">
        <v>66.584100000000007</v>
      </c>
      <c r="L1365" s="2">
        <v>181</v>
      </c>
      <c r="M1365" s="2">
        <v>104.61199999999999</v>
      </c>
      <c r="N1365" s="2">
        <v>117</v>
      </c>
      <c r="O1365" s="2">
        <v>105.2431</v>
      </c>
      <c r="P1365" s="2">
        <v>101</v>
      </c>
      <c r="Q1365" s="2">
        <v>97.624799999999993</v>
      </c>
      <c r="R1365" s="2">
        <v>77</v>
      </c>
      <c r="S1365" s="2">
        <v>94.218299999999999</v>
      </c>
      <c r="T1365" s="2">
        <v>37</v>
      </c>
      <c r="U1365" s="2">
        <v>0.78118200000000004</v>
      </c>
      <c r="V1365" s="2">
        <v>54</v>
      </c>
      <c r="W1365" s="2">
        <v>2006</v>
      </c>
    </row>
    <row r="1366" spans="1:23" ht="12.3" hidden="1" x14ac:dyDescent="0.4">
      <c r="A1366" s="2" t="s">
        <v>60</v>
      </c>
      <c r="B1366" s="2"/>
      <c r="C1366" s="2"/>
      <c r="D1366" s="2"/>
      <c r="E1366" s="2"/>
      <c r="F1366" s="2"/>
      <c r="G1366" s="2"/>
      <c r="H1366" s="2"/>
      <c r="I1366" s="2">
        <v>63.4574</v>
      </c>
      <c r="J1366" s="2">
        <v>292</v>
      </c>
      <c r="K1366" s="2">
        <v>62.700800000000001</v>
      </c>
      <c r="L1366" s="2">
        <v>306</v>
      </c>
      <c r="M1366" s="2">
        <v>106.8749</v>
      </c>
      <c r="N1366" s="2">
        <v>71</v>
      </c>
      <c r="O1366" s="2">
        <v>110.13500000000001</v>
      </c>
      <c r="P1366" s="2">
        <v>39</v>
      </c>
      <c r="Q1366" s="2">
        <v>102.20650000000001</v>
      </c>
      <c r="R1366" s="2">
        <v>175</v>
      </c>
      <c r="S1366" s="2">
        <v>98.613600000000005</v>
      </c>
      <c r="T1366" s="2">
        <v>103</v>
      </c>
      <c r="U1366" s="2">
        <v>0.78086699999999998</v>
      </c>
      <c r="V1366" s="2">
        <v>55</v>
      </c>
      <c r="W1366" s="2">
        <v>2006</v>
      </c>
    </row>
    <row r="1367" spans="1:23" ht="12.3" hidden="1" x14ac:dyDescent="0.4">
      <c r="A1367" s="2" t="s">
        <v>36</v>
      </c>
      <c r="B1367" s="2"/>
      <c r="C1367" s="2"/>
      <c r="D1367" s="2"/>
      <c r="E1367" s="2"/>
      <c r="F1367" s="2"/>
      <c r="G1367" s="2"/>
      <c r="H1367" s="2"/>
      <c r="I1367" s="2">
        <v>74.306399999999996</v>
      </c>
      <c r="J1367" s="2">
        <v>8</v>
      </c>
      <c r="K1367" s="2">
        <v>73.579599999999999</v>
      </c>
      <c r="L1367" s="2">
        <v>7</v>
      </c>
      <c r="M1367" s="2">
        <v>103.9242</v>
      </c>
      <c r="N1367" s="2">
        <v>134</v>
      </c>
      <c r="O1367" s="2">
        <v>104.8557</v>
      </c>
      <c r="P1367" s="2">
        <v>107</v>
      </c>
      <c r="Q1367" s="2">
        <v>97.915000000000006</v>
      </c>
      <c r="R1367" s="2">
        <v>83</v>
      </c>
      <c r="S1367" s="2">
        <v>94.057299999999998</v>
      </c>
      <c r="T1367" s="2">
        <v>35</v>
      </c>
      <c r="U1367" s="2">
        <v>0.77727100000000005</v>
      </c>
      <c r="V1367" s="2">
        <v>56</v>
      </c>
      <c r="W1367" s="2">
        <v>2006</v>
      </c>
    </row>
    <row r="1368" spans="1:23" ht="12.3" x14ac:dyDescent="0.4">
      <c r="A1368" s="2" t="s">
        <v>73</v>
      </c>
      <c r="B1368" s="2">
        <v>10</v>
      </c>
      <c r="C1368" s="4" t="s">
        <v>33</v>
      </c>
      <c r="D1368" s="2"/>
      <c r="E1368" s="2"/>
      <c r="F1368" s="2"/>
      <c r="G1368" s="2"/>
      <c r="H1368" s="2"/>
      <c r="I1368" s="2">
        <v>71.678600000000003</v>
      </c>
      <c r="J1368" s="2">
        <v>26</v>
      </c>
      <c r="K1368" s="2">
        <v>70.517499999999998</v>
      </c>
      <c r="L1368" s="2">
        <v>40</v>
      </c>
      <c r="M1368" s="2">
        <v>107.1079</v>
      </c>
      <c r="N1368" s="2">
        <v>65</v>
      </c>
      <c r="O1368" s="2">
        <v>107.35299999999999</v>
      </c>
      <c r="P1368" s="2">
        <v>67</v>
      </c>
      <c r="Q1368" s="2">
        <v>91.682900000000004</v>
      </c>
      <c r="R1368" s="2">
        <v>14</v>
      </c>
      <c r="S1368" s="2">
        <v>91.590400000000002</v>
      </c>
      <c r="T1368" s="2">
        <v>20</v>
      </c>
      <c r="U1368" s="2">
        <v>0.86130300000000004</v>
      </c>
      <c r="V1368" s="2">
        <v>32</v>
      </c>
      <c r="W1368" s="2">
        <v>2010</v>
      </c>
    </row>
    <row r="1369" spans="1:23" ht="12.3" hidden="1" x14ac:dyDescent="0.4">
      <c r="A1369" s="2" t="s">
        <v>24</v>
      </c>
      <c r="B1369" s="2"/>
      <c r="C1369" s="2"/>
      <c r="D1369" s="2"/>
      <c r="E1369" s="2"/>
      <c r="F1369" s="2"/>
      <c r="G1369" s="2"/>
      <c r="H1369" s="2"/>
      <c r="I1369" s="2">
        <v>70.670400000000001</v>
      </c>
      <c r="J1369" s="2">
        <v>51</v>
      </c>
      <c r="K1369" s="2">
        <v>70.175600000000003</v>
      </c>
      <c r="L1369" s="2">
        <v>56</v>
      </c>
      <c r="M1369" s="2">
        <v>101.9949</v>
      </c>
      <c r="N1369" s="2">
        <v>165</v>
      </c>
      <c r="O1369" s="2">
        <v>104.4564</v>
      </c>
      <c r="P1369" s="2">
        <v>116</v>
      </c>
      <c r="Q1369" s="2">
        <v>95.184700000000007</v>
      </c>
      <c r="R1369" s="2">
        <v>43</v>
      </c>
      <c r="S1369" s="2">
        <v>94.072999999999993</v>
      </c>
      <c r="T1369" s="2">
        <v>36</v>
      </c>
      <c r="U1369" s="2">
        <v>0.76924000000000003</v>
      </c>
      <c r="V1369" s="2">
        <v>58</v>
      </c>
      <c r="W1369" s="2">
        <v>2006</v>
      </c>
    </row>
    <row r="1370" spans="1:23" ht="12.3" hidden="1" x14ac:dyDescent="0.4">
      <c r="A1370" s="2" t="s">
        <v>111</v>
      </c>
      <c r="B1370" s="2"/>
      <c r="C1370" s="2"/>
      <c r="D1370" s="2"/>
      <c r="E1370" s="2"/>
      <c r="F1370" s="2"/>
      <c r="G1370" s="2"/>
      <c r="H1370" s="2"/>
      <c r="I1370" s="2">
        <v>63.560499999999998</v>
      </c>
      <c r="J1370" s="2">
        <v>288</v>
      </c>
      <c r="K1370" s="2">
        <v>63.433199999999999</v>
      </c>
      <c r="L1370" s="2">
        <v>290</v>
      </c>
      <c r="M1370" s="2">
        <v>109.7304</v>
      </c>
      <c r="N1370" s="2">
        <v>34</v>
      </c>
      <c r="O1370" s="2">
        <v>112.5175</v>
      </c>
      <c r="P1370" s="2">
        <v>21</v>
      </c>
      <c r="Q1370" s="2">
        <v>103.82089999999999</v>
      </c>
      <c r="R1370" s="2">
        <v>218</v>
      </c>
      <c r="S1370" s="2">
        <v>101.5009</v>
      </c>
      <c r="T1370" s="2">
        <v>153</v>
      </c>
      <c r="U1370" s="2">
        <v>0.76583999999999997</v>
      </c>
      <c r="V1370" s="2">
        <v>59</v>
      </c>
      <c r="W1370" s="2">
        <v>2006</v>
      </c>
    </row>
    <row r="1371" spans="1:23" ht="12.3" x14ac:dyDescent="0.4">
      <c r="A1371" s="2" t="s">
        <v>75</v>
      </c>
      <c r="B1371" s="2">
        <v>11</v>
      </c>
      <c r="C1371" s="25"/>
      <c r="D1371" s="2"/>
      <c r="E1371" s="2"/>
      <c r="F1371" s="2"/>
      <c r="G1371" s="2"/>
      <c r="H1371" s="2"/>
      <c r="I1371" s="2">
        <v>66.236999999999995</v>
      </c>
      <c r="J1371" s="2">
        <v>230</v>
      </c>
      <c r="K1371" s="2">
        <v>66.609099999999998</v>
      </c>
      <c r="L1371" s="2">
        <v>204</v>
      </c>
      <c r="M1371" s="2">
        <v>108.9568</v>
      </c>
      <c r="N1371" s="2">
        <v>41</v>
      </c>
      <c r="O1371" s="2">
        <v>111.35590000000001</v>
      </c>
      <c r="P1371" s="2">
        <v>29</v>
      </c>
      <c r="Q1371" s="2">
        <v>96.409599999999998</v>
      </c>
      <c r="R1371" s="2">
        <v>70</v>
      </c>
      <c r="S1371" s="2">
        <v>95.127300000000005</v>
      </c>
      <c r="T1371" s="2">
        <v>54</v>
      </c>
      <c r="U1371" s="2">
        <v>0.85953500000000005</v>
      </c>
      <c r="V1371" s="2">
        <v>33</v>
      </c>
      <c r="W1371" s="2">
        <v>2010</v>
      </c>
    </row>
    <row r="1372" spans="1:23" ht="12.3" hidden="1" x14ac:dyDescent="0.4">
      <c r="A1372" s="2" t="s">
        <v>18</v>
      </c>
      <c r="B1372" s="2"/>
      <c r="C1372" s="2"/>
      <c r="D1372" s="2"/>
      <c r="E1372" s="2"/>
      <c r="F1372" s="2"/>
      <c r="G1372" s="2"/>
      <c r="H1372" s="2"/>
      <c r="I1372" s="2">
        <v>59.288400000000003</v>
      </c>
      <c r="J1372" s="2">
        <v>327</v>
      </c>
      <c r="K1372" s="2">
        <v>59.636899999999997</v>
      </c>
      <c r="L1372" s="2">
        <v>328</v>
      </c>
      <c r="M1372" s="2">
        <v>114.06</v>
      </c>
      <c r="N1372" s="2">
        <v>4</v>
      </c>
      <c r="O1372" s="2">
        <v>114.09529999999999</v>
      </c>
      <c r="P1372" s="2">
        <v>12</v>
      </c>
      <c r="Q1372" s="2">
        <v>101.23560000000001</v>
      </c>
      <c r="R1372" s="2">
        <v>156</v>
      </c>
      <c r="S1372" s="2">
        <v>103.1186</v>
      </c>
      <c r="T1372" s="2">
        <v>188</v>
      </c>
      <c r="U1372" s="2">
        <v>0.76192700000000002</v>
      </c>
      <c r="V1372" s="2">
        <v>61</v>
      </c>
      <c r="W1372" s="2">
        <v>2006</v>
      </c>
    </row>
    <row r="1373" spans="1:23" ht="12.3" x14ac:dyDescent="0.4">
      <c r="A1373" s="2" t="s">
        <v>190</v>
      </c>
      <c r="B1373" s="2">
        <v>11</v>
      </c>
      <c r="C1373" s="4" t="s">
        <v>33</v>
      </c>
      <c r="D1373" s="2"/>
      <c r="E1373" s="2"/>
      <c r="F1373" s="2"/>
      <c r="G1373" s="2"/>
      <c r="H1373" s="2"/>
      <c r="I1373" s="2">
        <v>63.3504</v>
      </c>
      <c r="J1373" s="2">
        <v>312</v>
      </c>
      <c r="K1373" s="2">
        <v>64.061700000000002</v>
      </c>
      <c r="L1373" s="2">
        <v>299</v>
      </c>
      <c r="M1373" s="2">
        <v>106.26260000000001</v>
      </c>
      <c r="N1373" s="2">
        <v>83</v>
      </c>
      <c r="O1373" s="2">
        <v>106.9823</v>
      </c>
      <c r="P1373" s="2">
        <v>76</v>
      </c>
      <c r="Q1373" s="2">
        <v>90.105699999999999</v>
      </c>
      <c r="R1373" s="2">
        <v>7</v>
      </c>
      <c r="S1373" s="2">
        <v>91.481300000000005</v>
      </c>
      <c r="T1373" s="2">
        <v>18</v>
      </c>
      <c r="U1373" s="2">
        <v>0.85816000000000003</v>
      </c>
      <c r="V1373" s="2">
        <v>34</v>
      </c>
      <c r="W1373" s="2">
        <v>2010</v>
      </c>
    </row>
    <row r="1374" spans="1:23" ht="12.3" hidden="1" x14ac:dyDescent="0.4">
      <c r="A1374" s="2" t="s">
        <v>123</v>
      </c>
      <c r="B1374" s="2"/>
      <c r="C1374" s="2"/>
      <c r="D1374" s="2"/>
      <c r="E1374" s="2"/>
      <c r="F1374" s="2"/>
      <c r="G1374" s="2"/>
      <c r="H1374" s="2"/>
      <c r="I1374" s="2">
        <v>63.92</v>
      </c>
      <c r="J1374" s="2">
        <v>279</v>
      </c>
      <c r="K1374" s="2">
        <v>65.155000000000001</v>
      </c>
      <c r="L1374" s="2">
        <v>244</v>
      </c>
      <c r="M1374" s="2">
        <v>104.6237</v>
      </c>
      <c r="N1374" s="2">
        <v>116</v>
      </c>
      <c r="O1374" s="2">
        <v>109.2183</v>
      </c>
      <c r="P1374" s="2">
        <v>45</v>
      </c>
      <c r="Q1374" s="2">
        <v>100.1324</v>
      </c>
      <c r="R1374" s="2">
        <v>129</v>
      </c>
      <c r="S1374" s="2">
        <v>98.877399999999994</v>
      </c>
      <c r="T1374" s="2">
        <v>109</v>
      </c>
      <c r="U1374" s="2">
        <v>0.75839199999999996</v>
      </c>
      <c r="V1374" s="2">
        <v>63</v>
      </c>
      <c r="W1374" s="2">
        <v>2006</v>
      </c>
    </row>
    <row r="1375" spans="1:23" ht="12.3" x14ac:dyDescent="0.4">
      <c r="A1375" s="2" t="s">
        <v>97</v>
      </c>
      <c r="B1375" s="2">
        <v>11</v>
      </c>
      <c r="C1375" s="2"/>
      <c r="D1375" s="2"/>
      <c r="E1375" s="2"/>
      <c r="F1375" s="2"/>
      <c r="G1375" s="2"/>
      <c r="H1375" s="2"/>
      <c r="I1375" s="2">
        <v>64.120999999999995</v>
      </c>
      <c r="J1375" s="2">
        <v>296</v>
      </c>
      <c r="K1375" s="2">
        <v>64.625399999999999</v>
      </c>
      <c r="L1375" s="2">
        <v>280</v>
      </c>
      <c r="M1375" s="2">
        <v>107.8931</v>
      </c>
      <c r="N1375" s="2">
        <v>54</v>
      </c>
      <c r="O1375" s="2">
        <v>109.40989999999999</v>
      </c>
      <c r="P1375" s="2">
        <v>46</v>
      </c>
      <c r="Q1375" s="2">
        <v>95.999200000000002</v>
      </c>
      <c r="R1375" s="2">
        <v>60</v>
      </c>
      <c r="S1375" s="2">
        <v>93.9251</v>
      </c>
      <c r="T1375" s="2">
        <v>46</v>
      </c>
      <c r="U1375" s="2">
        <v>0.85257499999999997</v>
      </c>
      <c r="V1375" s="2">
        <v>35</v>
      </c>
      <c r="W1375" s="2">
        <v>2010</v>
      </c>
    </row>
    <row r="1376" spans="1:23" ht="12.3" hidden="1" x14ac:dyDescent="0.4">
      <c r="A1376" s="2" t="s">
        <v>41</v>
      </c>
      <c r="B1376" s="2"/>
      <c r="C1376" s="2"/>
      <c r="D1376" s="2"/>
      <c r="E1376" s="2"/>
      <c r="F1376" s="2"/>
      <c r="G1376" s="2"/>
      <c r="H1376" s="2"/>
      <c r="I1376" s="2">
        <v>64.563299999999998</v>
      </c>
      <c r="J1376" s="2">
        <v>259</v>
      </c>
      <c r="K1376" s="2">
        <v>65.003100000000003</v>
      </c>
      <c r="L1376" s="2">
        <v>247</v>
      </c>
      <c r="M1376" s="2">
        <v>106.3219</v>
      </c>
      <c r="N1376" s="2">
        <v>82</v>
      </c>
      <c r="O1376" s="2">
        <v>110.7852</v>
      </c>
      <c r="P1376" s="2">
        <v>28</v>
      </c>
      <c r="Q1376" s="2">
        <v>100.96939999999999</v>
      </c>
      <c r="R1376" s="2">
        <v>148</v>
      </c>
      <c r="S1376" s="2">
        <v>100.59650000000001</v>
      </c>
      <c r="T1376" s="2">
        <v>140</v>
      </c>
      <c r="U1376" s="2">
        <v>0.75202899999999995</v>
      </c>
      <c r="V1376" s="2">
        <v>65</v>
      </c>
      <c r="W1376" s="2">
        <v>2006</v>
      </c>
    </row>
    <row r="1377" spans="1:23" ht="12.3" hidden="1" x14ac:dyDescent="0.4">
      <c r="A1377" s="2" t="s">
        <v>88</v>
      </c>
      <c r="B1377" s="2"/>
      <c r="C1377" s="2"/>
      <c r="D1377" s="2"/>
      <c r="E1377" s="2"/>
      <c r="F1377" s="2"/>
      <c r="G1377" s="2"/>
      <c r="H1377" s="2"/>
      <c r="I1377" s="2">
        <v>59.625399999999999</v>
      </c>
      <c r="J1377" s="2">
        <v>326</v>
      </c>
      <c r="K1377" s="2">
        <v>61.269300000000001</v>
      </c>
      <c r="L1377" s="2">
        <v>321</v>
      </c>
      <c r="M1377" s="2">
        <v>105.1623</v>
      </c>
      <c r="N1377" s="2">
        <v>104</v>
      </c>
      <c r="O1377" s="2">
        <v>106.3506</v>
      </c>
      <c r="P1377" s="2">
        <v>81</v>
      </c>
      <c r="Q1377" s="2">
        <v>98.474100000000007</v>
      </c>
      <c r="R1377" s="2">
        <v>91</v>
      </c>
      <c r="S1377" s="2">
        <v>96.686800000000005</v>
      </c>
      <c r="T1377" s="2">
        <v>74</v>
      </c>
      <c r="U1377" s="2">
        <v>0.74942299999999995</v>
      </c>
      <c r="V1377" s="2">
        <v>66</v>
      </c>
      <c r="W1377" s="2">
        <v>2006</v>
      </c>
    </row>
    <row r="1378" spans="1:23" ht="12.3" x14ac:dyDescent="0.4">
      <c r="A1378" s="2" t="s">
        <v>81</v>
      </c>
      <c r="B1378" s="2">
        <v>6</v>
      </c>
      <c r="C1378" s="4" t="s">
        <v>33</v>
      </c>
      <c r="D1378" s="4" t="s">
        <v>33</v>
      </c>
      <c r="E1378" s="4" t="s">
        <v>33</v>
      </c>
      <c r="F1378" s="2"/>
      <c r="G1378" s="2"/>
      <c r="H1378" s="2"/>
      <c r="I1378" s="2">
        <v>70.697000000000003</v>
      </c>
      <c r="J1378" s="2">
        <v>41</v>
      </c>
      <c r="K1378" s="2">
        <v>69.488299999999995</v>
      </c>
      <c r="L1378" s="2">
        <v>68</v>
      </c>
      <c r="M1378" s="2">
        <v>103.3137</v>
      </c>
      <c r="N1378" s="2">
        <v>128</v>
      </c>
      <c r="O1378" s="2">
        <v>104.1957</v>
      </c>
      <c r="P1378" s="2">
        <v>124</v>
      </c>
      <c r="Q1378" s="2">
        <v>91.957899999999995</v>
      </c>
      <c r="R1378" s="2">
        <v>19</v>
      </c>
      <c r="S1378" s="2">
        <v>89.878900000000002</v>
      </c>
      <c r="T1378" s="2">
        <v>11</v>
      </c>
      <c r="U1378" s="2">
        <v>0.84550700000000001</v>
      </c>
      <c r="V1378" s="2">
        <v>38</v>
      </c>
      <c r="W1378" s="2">
        <v>2010</v>
      </c>
    </row>
    <row r="1379" spans="1:23" ht="12.3" x14ac:dyDescent="0.4">
      <c r="A1379" s="2" t="s">
        <v>72</v>
      </c>
      <c r="B1379" s="2">
        <v>7</v>
      </c>
      <c r="C1379" s="2"/>
      <c r="D1379" s="2"/>
      <c r="E1379" s="2"/>
      <c r="F1379" s="2"/>
      <c r="G1379" s="2"/>
      <c r="H1379" s="2"/>
      <c r="I1379" s="2">
        <v>69.018600000000006</v>
      </c>
      <c r="J1379" s="2">
        <v>90</v>
      </c>
      <c r="K1379" s="2">
        <v>68.006399999999999</v>
      </c>
      <c r="L1379" s="2">
        <v>131</v>
      </c>
      <c r="M1379" s="2">
        <v>107.54640000000001</v>
      </c>
      <c r="N1379" s="2">
        <v>58</v>
      </c>
      <c r="O1379" s="2">
        <v>110.3771</v>
      </c>
      <c r="P1379" s="2">
        <v>41</v>
      </c>
      <c r="Q1379" s="2">
        <v>98.647900000000007</v>
      </c>
      <c r="R1379" s="2">
        <v>119</v>
      </c>
      <c r="S1379" s="2">
        <v>95.427099999999996</v>
      </c>
      <c r="T1379" s="2">
        <v>59</v>
      </c>
      <c r="U1379" s="2">
        <v>0.84206999999999999</v>
      </c>
      <c r="V1379" s="2">
        <v>39</v>
      </c>
      <c r="W1379" s="2">
        <v>2010</v>
      </c>
    </row>
    <row r="1380" spans="1:23" ht="12.3" x14ac:dyDescent="0.4">
      <c r="A1380" s="2" t="s">
        <v>100</v>
      </c>
      <c r="B1380" s="2">
        <v>7</v>
      </c>
      <c r="C1380" s="25"/>
      <c r="D1380" s="2"/>
      <c r="E1380" s="2"/>
      <c r="F1380" s="2"/>
      <c r="G1380" s="2"/>
      <c r="H1380" s="2"/>
      <c r="I1380" s="2">
        <v>65.1905</v>
      </c>
      <c r="J1380" s="2">
        <v>262</v>
      </c>
      <c r="K1380" s="2">
        <v>64.104299999999995</v>
      </c>
      <c r="L1380" s="2">
        <v>295</v>
      </c>
      <c r="M1380" s="2">
        <v>103.7747</v>
      </c>
      <c r="N1380" s="2">
        <v>121</v>
      </c>
      <c r="O1380" s="2">
        <v>107.92610000000001</v>
      </c>
      <c r="P1380" s="2">
        <v>56</v>
      </c>
      <c r="Q1380" s="2">
        <v>93.724500000000006</v>
      </c>
      <c r="R1380" s="2">
        <v>33</v>
      </c>
      <c r="S1380" s="2">
        <v>93.335999999999999</v>
      </c>
      <c r="T1380" s="2">
        <v>35</v>
      </c>
      <c r="U1380" s="2">
        <v>0.841611</v>
      </c>
      <c r="V1380" s="2">
        <v>40</v>
      </c>
      <c r="W1380" s="2">
        <v>2010</v>
      </c>
    </row>
    <row r="1381" spans="1:23" ht="12.3" x14ac:dyDescent="0.4">
      <c r="A1381" s="2" t="s">
        <v>115</v>
      </c>
      <c r="B1381" s="2">
        <v>3</v>
      </c>
      <c r="C1381" s="4" t="s">
        <v>33</v>
      </c>
      <c r="D1381" s="2"/>
      <c r="E1381" s="2"/>
      <c r="F1381" s="2"/>
      <c r="G1381" s="2"/>
      <c r="H1381" s="2"/>
      <c r="I1381" s="2">
        <v>68.032499999999999</v>
      </c>
      <c r="J1381" s="2">
        <v>134</v>
      </c>
      <c r="K1381" s="2">
        <v>68.637699999999995</v>
      </c>
      <c r="L1381" s="2">
        <v>106</v>
      </c>
      <c r="M1381" s="2">
        <v>112.148</v>
      </c>
      <c r="N1381" s="2">
        <v>14</v>
      </c>
      <c r="O1381" s="2">
        <v>113.06100000000001</v>
      </c>
      <c r="P1381" s="2">
        <v>21</v>
      </c>
      <c r="Q1381" s="2">
        <v>98.022999999999996</v>
      </c>
      <c r="R1381" s="2">
        <v>104</v>
      </c>
      <c r="S1381" s="2">
        <v>97.906300000000002</v>
      </c>
      <c r="T1381" s="2">
        <v>94</v>
      </c>
      <c r="U1381" s="2">
        <v>0.83957199999999998</v>
      </c>
      <c r="V1381" s="2">
        <v>41</v>
      </c>
      <c r="W1381" s="2">
        <v>2010</v>
      </c>
    </row>
    <row r="1382" spans="1:23" ht="12.3" x14ac:dyDescent="0.4">
      <c r="A1382" s="2" t="s">
        <v>109</v>
      </c>
      <c r="B1382" s="2">
        <v>8</v>
      </c>
      <c r="C1382" s="2"/>
      <c r="D1382" s="2"/>
      <c r="E1382" s="2"/>
      <c r="F1382" s="2"/>
      <c r="G1382" s="2"/>
      <c r="H1382" s="2"/>
      <c r="I1382" s="2">
        <v>67.489400000000003</v>
      </c>
      <c r="J1382" s="2">
        <v>167</v>
      </c>
      <c r="K1382" s="2">
        <v>67.345200000000006</v>
      </c>
      <c r="L1382" s="2">
        <v>167</v>
      </c>
      <c r="M1382" s="2">
        <v>107.2269</v>
      </c>
      <c r="N1382" s="2">
        <v>61</v>
      </c>
      <c r="O1382" s="2">
        <v>107.4345</v>
      </c>
      <c r="P1382" s="2">
        <v>63</v>
      </c>
      <c r="Q1382" s="2">
        <v>94.015799999999999</v>
      </c>
      <c r="R1382" s="2">
        <v>35</v>
      </c>
      <c r="S1382" s="2">
        <v>93.085400000000007</v>
      </c>
      <c r="T1382" s="2">
        <v>33</v>
      </c>
      <c r="U1382" s="2">
        <v>0.83871399999999996</v>
      </c>
      <c r="V1382" s="2">
        <v>42</v>
      </c>
      <c r="W1382" s="2">
        <v>2010</v>
      </c>
    </row>
    <row r="1383" spans="1:23" ht="12.3" hidden="1" x14ac:dyDescent="0.4">
      <c r="A1383" s="2" t="s">
        <v>61</v>
      </c>
      <c r="B1383" s="2"/>
      <c r="C1383" s="2"/>
      <c r="D1383" s="2"/>
      <c r="E1383" s="2"/>
      <c r="F1383" s="2"/>
      <c r="G1383" s="2"/>
      <c r="H1383" s="2"/>
      <c r="I1383" s="2">
        <v>68.304199999999994</v>
      </c>
      <c r="J1383" s="2">
        <v>121</v>
      </c>
      <c r="K1383" s="2">
        <v>68.100099999999998</v>
      </c>
      <c r="L1383" s="2">
        <v>112</v>
      </c>
      <c r="M1383" s="2">
        <v>105.7099</v>
      </c>
      <c r="N1383" s="2">
        <v>91</v>
      </c>
      <c r="O1383" s="2">
        <v>108.61199999999999</v>
      </c>
      <c r="P1383" s="2">
        <v>57</v>
      </c>
      <c r="Q1383" s="2">
        <v>103.2556</v>
      </c>
      <c r="R1383" s="2">
        <v>202</v>
      </c>
      <c r="S1383" s="2">
        <v>99.211399999999998</v>
      </c>
      <c r="T1383" s="2">
        <v>114</v>
      </c>
      <c r="U1383" s="2">
        <v>0.73906000000000005</v>
      </c>
      <c r="V1383" s="2">
        <v>72</v>
      </c>
      <c r="W1383" s="2">
        <v>2006</v>
      </c>
    </row>
    <row r="1384" spans="1:23" ht="12.3" hidden="1" x14ac:dyDescent="0.4">
      <c r="A1384" s="2" t="s">
        <v>129</v>
      </c>
      <c r="B1384" s="2"/>
      <c r="C1384" s="2"/>
      <c r="D1384" s="2"/>
      <c r="E1384" s="2"/>
      <c r="F1384" s="2"/>
      <c r="G1384" s="2"/>
      <c r="H1384" s="2"/>
      <c r="I1384" s="2">
        <v>71.617999999999995</v>
      </c>
      <c r="J1384" s="2">
        <v>32</v>
      </c>
      <c r="K1384" s="2">
        <v>71.742000000000004</v>
      </c>
      <c r="L1384" s="2">
        <v>27</v>
      </c>
      <c r="M1384" s="2">
        <v>107.4049</v>
      </c>
      <c r="N1384" s="2">
        <v>61</v>
      </c>
      <c r="O1384" s="2">
        <v>107.2086</v>
      </c>
      <c r="P1384" s="2">
        <v>71</v>
      </c>
      <c r="Q1384" s="2">
        <v>97.591899999999995</v>
      </c>
      <c r="R1384" s="2">
        <v>75</v>
      </c>
      <c r="S1384" s="2">
        <v>97.962199999999996</v>
      </c>
      <c r="T1384" s="2">
        <v>93</v>
      </c>
      <c r="U1384" s="2">
        <v>0.738317</v>
      </c>
      <c r="V1384" s="2">
        <v>73</v>
      </c>
      <c r="W1384" s="2">
        <v>2006</v>
      </c>
    </row>
    <row r="1385" spans="1:23" ht="12.3" hidden="1" x14ac:dyDescent="0.4">
      <c r="A1385" s="2" t="s">
        <v>190</v>
      </c>
      <c r="B1385" s="2"/>
      <c r="C1385" s="2"/>
      <c r="D1385" s="2"/>
      <c r="E1385" s="2"/>
      <c r="F1385" s="2"/>
      <c r="G1385" s="2"/>
      <c r="H1385" s="2"/>
      <c r="I1385" s="2">
        <v>66.597099999999998</v>
      </c>
      <c r="J1385" s="2">
        <v>185</v>
      </c>
      <c r="K1385" s="2">
        <v>67.134</v>
      </c>
      <c r="L1385" s="2">
        <v>151</v>
      </c>
      <c r="M1385" s="2">
        <v>105.8485</v>
      </c>
      <c r="N1385" s="2">
        <v>89</v>
      </c>
      <c r="O1385" s="2">
        <v>105.7539</v>
      </c>
      <c r="P1385" s="2">
        <v>89</v>
      </c>
      <c r="Q1385" s="2">
        <v>96.177400000000006</v>
      </c>
      <c r="R1385" s="2">
        <v>55</v>
      </c>
      <c r="S1385" s="2">
        <v>96.650499999999994</v>
      </c>
      <c r="T1385" s="2">
        <v>72</v>
      </c>
      <c r="U1385" s="2">
        <v>0.73791399999999996</v>
      </c>
      <c r="V1385" s="2">
        <v>74</v>
      </c>
      <c r="W1385" s="2">
        <v>2006</v>
      </c>
    </row>
    <row r="1386" spans="1:23" ht="12.3" hidden="1" x14ac:dyDescent="0.4">
      <c r="A1386" s="2" t="s">
        <v>75</v>
      </c>
      <c r="B1386" s="2"/>
      <c r="C1386" s="2"/>
      <c r="D1386" s="2"/>
      <c r="E1386" s="2"/>
      <c r="F1386" s="2"/>
      <c r="G1386" s="2"/>
      <c r="H1386" s="2"/>
      <c r="I1386" s="2">
        <v>65.719499999999996</v>
      </c>
      <c r="J1386" s="2">
        <v>221</v>
      </c>
      <c r="K1386" s="2">
        <v>65.434700000000007</v>
      </c>
      <c r="L1386" s="2">
        <v>234</v>
      </c>
      <c r="M1386" s="2">
        <v>98.928700000000006</v>
      </c>
      <c r="N1386" s="2">
        <v>214</v>
      </c>
      <c r="O1386" s="2">
        <v>103.7167</v>
      </c>
      <c r="P1386" s="2">
        <v>130</v>
      </c>
      <c r="Q1386" s="2">
        <v>97.161799999999999</v>
      </c>
      <c r="R1386" s="2">
        <v>68</v>
      </c>
      <c r="S1386" s="2">
        <v>94.803899999999999</v>
      </c>
      <c r="T1386" s="2">
        <v>44</v>
      </c>
      <c r="U1386" s="2">
        <v>0.73755700000000002</v>
      </c>
      <c r="V1386" s="2">
        <v>75</v>
      </c>
      <c r="W1386" s="2">
        <v>2006</v>
      </c>
    </row>
    <row r="1387" spans="1:23" ht="12.3" hidden="1" x14ac:dyDescent="0.4">
      <c r="A1387" s="2" t="s">
        <v>130</v>
      </c>
      <c r="B1387" s="2"/>
      <c r="C1387" s="2"/>
      <c r="D1387" s="2"/>
      <c r="E1387" s="2"/>
      <c r="F1387" s="2"/>
      <c r="G1387" s="2"/>
      <c r="H1387" s="2"/>
      <c r="I1387" s="2">
        <v>69.144199999999998</v>
      </c>
      <c r="J1387" s="2">
        <v>91</v>
      </c>
      <c r="K1387" s="2">
        <v>68.739999999999995</v>
      </c>
      <c r="L1387" s="2">
        <v>96</v>
      </c>
      <c r="M1387" s="2">
        <v>100.90049999999999</v>
      </c>
      <c r="N1387" s="2">
        <v>180</v>
      </c>
      <c r="O1387" s="2">
        <v>103.0224</v>
      </c>
      <c r="P1387" s="2">
        <v>140</v>
      </c>
      <c r="Q1387" s="2">
        <v>92.925200000000004</v>
      </c>
      <c r="R1387" s="2">
        <v>22</v>
      </c>
      <c r="S1387" s="2">
        <v>94.266499999999994</v>
      </c>
      <c r="T1387" s="2">
        <v>38</v>
      </c>
      <c r="U1387" s="2">
        <v>0.73525200000000002</v>
      </c>
      <c r="V1387" s="2">
        <v>76</v>
      </c>
      <c r="W1387" s="2">
        <v>2006</v>
      </c>
    </row>
    <row r="1388" spans="1:23" ht="12.3" x14ac:dyDescent="0.4">
      <c r="A1388" s="2" t="s">
        <v>86</v>
      </c>
      <c r="B1388" s="2">
        <v>9</v>
      </c>
      <c r="C1388" s="2"/>
      <c r="D1388" s="2"/>
      <c r="E1388" s="2"/>
      <c r="F1388" s="2"/>
      <c r="G1388" s="2"/>
      <c r="H1388" s="2"/>
      <c r="I1388" s="2">
        <v>68.376400000000004</v>
      </c>
      <c r="J1388" s="2">
        <v>124</v>
      </c>
      <c r="K1388" s="2">
        <v>67.290199999999999</v>
      </c>
      <c r="L1388" s="2">
        <v>172</v>
      </c>
      <c r="M1388" s="2">
        <v>110.3721</v>
      </c>
      <c r="N1388" s="2">
        <v>28</v>
      </c>
      <c r="O1388" s="2">
        <v>113.1934</v>
      </c>
      <c r="P1388" s="2">
        <v>20</v>
      </c>
      <c r="Q1388" s="2">
        <v>100.76600000000001</v>
      </c>
      <c r="R1388" s="2">
        <v>158</v>
      </c>
      <c r="S1388" s="2">
        <v>98.139700000000005</v>
      </c>
      <c r="T1388" s="2">
        <v>102</v>
      </c>
      <c r="U1388" s="2">
        <v>0.83768699999999996</v>
      </c>
      <c r="V1388" s="2">
        <v>43</v>
      </c>
      <c r="W1388" s="2">
        <v>2010</v>
      </c>
    </row>
    <row r="1389" spans="1:23" ht="12.3" hidden="1" x14ac:dyDescent="0.4">
      <c r="A1389" s="2" t="s">
        <v>87</v>
      </c>
      <c r="B1389" s="2"/>
      <c r="C1389" s="2"/>
      <c r="D1389" s="2"/>
      <c r="E1389" s="2"/>
      <c r="F1389" s="2"/>
      <c r="G1389" s="2"/>
      <c r="H1389" s="2"/>
      <c r="I1389" s="2">
        <v>66.673599999999993</v>
      </c>
      <c r="J1389" s="2">
        <v>181</v>
      </c>
      <c r="K1389" s="2">
        <v>65.612399999999994</v>
      </c>
      <c r="L1389" s="2">
        <v>229</v>
      </c>
      <c r="M1389" s="2">
        <v>102.4027</v>
      </c>
      <c r="N1389" s="2">
        <v>155</v>
      </c>
      <c r="O1389" s="2">
        <v>105.1157</v>
      </c>
      <c r="P1389" s="2">
        <v>102</v>
      </c>
      <c r="Q1389" s="2">
        <v>100.61279999999999</v>
      </c>
      <c r="R1389" s="2">
        <v>139</v>
      </c>
      <c r="S1389" s="2">
        <v>96.501599999999996</v>
      </c>
      <c r="T1389" s="2">
        <v>65</v>
      </c>
      <c r="U1389" s="2">
        <v>0.72775599999999996</v>
      </c>
      <c r="V1389" s="2">
        <v>78</v>
      </c>
      <c r="W1389" s="2">
        <v>2006</v>
      </c>
    </row>
    <row r="1390" spans="1:23" ht="12.3" hidden="1" x14ac:dyDescent="0.4">
      <c r="A1390" s="2" t="s">
        <v>159</v>
      </c>
      <c r="B1390" s="2"/>
      <c r="C1390" s="2"/>
      <c r="D1390" s="2"/>
      <c r="E1390" s="2"/>
      <c r="F1390" s="2"/>
      <c r="G1390" s="2"/>
      <c r="H1390" s="2"/>
      <c r="I1390" s="2">
        <v>65.607799999999997</v>
      </c>
      <c r="J1390" s="2">
        <v>228</v>
      </c>
      <c r="K1390" s="2">
        <v>64.896500000000003</v>
      </c>
      <c r="L1390" s="2">
        <v>255</v>
      </c>
      <c r="M1390" s="2">
        <v>103.71559999999999</v>
      </c>
      <c r="N1390" s="2">
        <v>135</v>
      </c>
      <c r="O1390" s="2">
        <v>105.9438</v>
      </c>
      <c r="P1390" s="2">
        <v>86</v>
      </c>
      <c r="Q1390" s="2">
        <v>98.466499999999996</v>
      </c>
      <c r="R1390" s="2">
        <v>90</v>
      </c>
      <c r="S1390" s="2">
        <v>97.304500000000004</v>
      </c>
      <c r="T1390" s="2">
        <v>82</v>
      </c>
      <c r="U1390" s="2">
        <v>0.72675699999999999</v>
      </c>
      <c r="V1390" s="2">
        <v>79</v>
      </c>
      <c r="W1390" s="2">
        <v>2006</v>
      </c>
    </row>
    <row r="1391" spans="1:23" ht="12.3" hidden="1" x14ac:dyDescent="0.4">
      <c r="A1391" s="2" t="s">
        <v>146</v>
      </c>
      <c r="B1391" s="2"/>
      <c r="C1391" s="2"/>
      <c r="D1391" s="2"/>
      <c r="E1391" s="2"/>
      <c r="F1391" s="2"/>
      <c r="G1391" s="2"/>
      <c r="H1391" s="2"/>
      <c r="I1391" s="2">
        <v>71.566400000000002</v>
      </c>
      <c r="J1391" s="2">
        <v>33</v>
      </c>
      <c r="K1391" s="2">
        <v>71.773399999999995</v>
      </c>
      <c r="L1391" s="2">
        <v>24</v>
      </c>
      <c r="M1391" s="2">
        <v>105.75190000000001</v>
      </c>
      <c r="N1391" s="2">
        <v>90</v>
      </c>
      <c r="O1391" s="2">
        <v>109.5686</v>
      </c>
      <c r="P1391" s="2">
        <v>42</v>
      </c>
      <c r="Q1391" s="2">
        <v>102.6861</v>
      </c>
      <c r="R1391" s="2">
        <v>187</v>
      </c>
      <c r="S1391" s="2">
        <v>100.6596</v>
      </c>
      <c r="T1391" s="2">
        <v>142</v>
      </c>
      <c r="U1391" s="2">
        <v>0.72616999999999998</v>
      </c>
      <c r="V1391" s="2">
        <v>80</v>
      </c>
      <c r="W1391" s="2">
        <v>2006</v>
      </c>
    </row>
    <row r="1392" spans="1:23" ht="12.3" hidden="1" x14ac:dyDescent="0.4">
      <c r="A1392" s="2" t="s">
        <v>219</v>
      </c>
      <c r="B1392" s="2"/>
      <c r="C1392" s="2"/>
      <c r="D1392" s="2"/>
      <c r="E1392" s="2"/>
      <c r="F1392" s="2"/>
      <c r="G1392" s="2"/>
      <c r="H1392" s="2"/>
      <c r="I1392" s="2">
        <v>63.462699999999998</v>
      </c>
      <c r="J1392" s="2">
        <v>291</v>
      </c>
      <c r="K1392" s="2">
        <v>63.0901</v>
      </c>
      <c r="L1392" s="2">
        <v>299</v>
      </c>
      <c r="M1392" s="2">
        <v>100.26309999999999</v>
      </c>
      <c r="N1392" s="2">
        <v>189</v>
      </c>
      <c r="O1392" s="2">
        <v>100.62269999999999</v>
      </c>
      <c r="P1392" s="2">
        <v>182</v>
      </c>
      <c r="Q1392" s="2">
        <v>90.905500000000004</v>
      </c>
      <c r="R1392" s="2">
        <v>12</v>
      </c>
      <c r="S1392" s="2">
        <v>92.460599999999999</v>
      </c>
      <c r="T1392" s="2">
        <v>23</v>
      </c>
      <c r="U1392" s="2">
        <v>0.72568600000000005</v>
      </c>
      <c r="V1392" s="2">
        <v>81</v>
      </c>
      <c r="W1392" s="2">
        <v>2006</v>
      </c>
    </row>
    <row r="1393" spans="1:23" ht="12.3" hidden="1" x14ac:dyDescent="0.4">
      <c r="A1393" s="2" t="s">
        <v>120</v>
      </c>
      <c r="B1393" s="2"/>
      <c r="C1393" s="2"/>
      <c r="D1393" s="2"/>
      <c r="E1393" s="2"/>
      <c r="F1393" s="2"/>
      <c r="G1393" s="2"/>
      <c r="H1393" s="2"/>
      <c r="I1393" s="2">
        <v>70.009699999999995</v>
      </c>
      <c r="J1393" s="2">
        <v>61</v>
      </c>
      <c r="K1393" s="2">
        <v>70.447900000000004</v>
      </c>
      <c r="L1393" s="2">
        <v>47</v>
      </c>
      <c r="M1393" s="2">
        <v>106.9152</v>
      </c>
      <c r="N1393" s="2">
        <v>68</v>
      </c>
      <c r="O1393" s="2">
        <v>110.6568</v>
      </c>
      <c r="P1393" s="2">
        <v>31</v>
      </c>
      <c r="Q1393" s="2">
        <v>106.8171</v>
      </c>
      <c r="R1393" s="2">
        <v>275</v>
      </c>
      <c r="S1393" s="2">
        <v>102.0822</v>
      </c>
      <c r="T1393" s="2">
        <v>165</v>
      </c>
      <c r="U1393" s="2">
        <v>0.71657400000000004</v>
      </c>
      <c r="V1393" s="2">
        <v>82</v>
      </c>
      <c r="W1393" s="2">
        <v>2006</v>
      </c>
    </row>
    <row r="1394" spans="1:23" ht="12.3" hidden="1" x14ac:dyDescent="0.4">
      <c r="A1394" s="2" t="s">
        <v>207</v>
      </c>
      <c r="B1394" s="2"/>
      <c r="C1394" s="2"/>
      <c r="D1394" s="2"/>
      <c r="E1394" s="2"/>
      <c r="F1394" s="2"/>
      <c r="G1394" s="2"/>
      <c r="H1394" s="2"/>
      <c r="I1394" s="2">
        <v>62.718699999999998</v>
      </c>
      <c r="J1394" s="2">
        <v>304</v>
      </c>
      <c r="K1394" s="2">
        <v>62.873800000000003</v>
      </c>
      <c r="L1394" s="2">
        <v>302</v>
      </c>
      <c r="M1394" s="2">
        <v>102.89230000000001</v>
      </c>
      <c r="N1394" s="2">
        <v>147</v>
      </c>
      <c r="O1394" s="2">
        <v>109.0102</v>
      </c>
      <c r="P1394" s="2">
        <v>50</v>
      </c>
      <c r="Q1394" s="2">
        <v>106.4755</v>
      </c>
      <c r="R1394" s="2">
        <v>267</v>
      </c>
      <c r="S1394" s="2">
        <v>100.61360000000001</v>
      </c>
      <c r="T1394" s="2">
        <v>141</v>
      </c>
      <c r="U1394" s="2">
        <v>0.71540300000000001</v>
      </c>
      <c r="V1394" s="2">
        <v>83</v>
      </c>
      <c r="W1394" s="2">
        <v>2006</v>
      </c>
    </row>
    <row r="1395" spans="1:23" ht="12.3" hidden="1" x14ac:dyDescent="0.4">
      <c r="A1395" s="2" t="s">
        <v>94</v>
      </c>
      <c r="B1395" s="2"/>
      <c r="C1395" s="2"/>
      <c r="D1395" s="2"/>
      <c r="E1395" s="2"/>
      <c r="F1395" s="2"/>
      <c r="G1395" s="2"/>
      <c r="H1395" s="2"/>
      <c r="I1395" s="2">
        <v>67.179599999999994</v>
      </c>
      <c r="J1395" s="2">
        <v>156</v>
      </c>
      <c r="K1395" s="2">
        <v>66.7958</v>
      </c>
      <c r="L1395" s="2">
        <v>169</v>
      </c>
      <c r="M1395" s="2">
        <v>97.499399999999994</v>
      </c>
      <c r="N1395" s="2">
        <v>239</v>
      </c>
      <c r="O1395" s="2">
        <v>99.193700000000007</v>
      </c>
      <c r="P1395" s="2">
        <v>211</v>
      </c>
      <c r="Q1395" s="2">
        <v>93.833500000000001</v>
      </c>
      <c r="R1395" s="2">
        <v>30</v>
      </c>
      <c r="S1395" s="2">
        <v>91.672300000000007</v>
      </c>
      <c r="T1395" s="2">
        <v>15</v>
      </c>
      <c r="U1395" s="2">
        <v>0.71235099999999996</v>
      </c>
      <c r="V1395" s="2">
        <v>84</v>
      </c>
      <c r="W1395" s="2">
        <v>2006</v>
      </c>
    </row>
    <row r="1396" spans="1:23" ht="12.3" hidden="1" x14ac:dyDescent="0.4">
      <c r="A1396" s="2" t="s">
        <v>148</v>
      </c>
      <c r="B1396" s="2"/>
      <c r="C1396" s="2"/>
      <c r="D1396" s="2"/>
      <c r="E1396" s="2"/>
      <c r="F1396" s="2"/>
      <c r="G1396" s="2"/>
      <c r="H1396" s="2"/>
      <c r="I1396" s="2">
        <v>65.910499999999999</v>
      </c>
      <c r="J1396" s="2">
        <v>215</v>
      </c>
      <c r="K1396" s="2">
        <v>64.857500000000002</v>
      </c>
      <c r="L1396" s="2">
        <v>256</v>
      </c>
      <c r="M1396" s="2">
        <v>102.78570000000001</v>
      </c>
      <c r="N1396" s="2">
        <v>149</v>
      </c>
      <c r="O1396" s="2">
        <v>103.989</v>
      </c>
      <c r="P1396" s="2">
        <v>124</v>
      </c>
      <c r="Q1396" s="2">
        <v>96.850300000000004</v>
      </c>
      <c r="R1396" s="2">
        <v>63</v>
      </c>
      <c r="S1396" s="2">
        <v>96.179900000000004</v>
      </c>
      <c r="T1396" s="2">
        <v>58</v>
      </c>
      <c r="U1396" s="2">
        <v>0.71048599999999995</v>
      </c>
      <c r="V1396" s="2">
        <v>85</v>
      </c>
      <c r="W1396" s="2">
        <v>2006</v>
      </c>
    </row>
    <row r="1397" spans="1:23" ht="12.3" hidden="1" x14ac:dyDescent="0.4">
      <c r="A1397" s="2" t="s">
        <v>256</v>
      </c>
      <c r="B1397" s="2"/>
      <c r="C1397" s="2"/>
      <c r="D1397" s="2"/>
      <c r="E1397" s="2"/>
      <c r="F1397" s="2"/>
      <c r="G1397" s="2"/>
      <c r="H1397" s="2"/>
      <c r="I1397" s="2">
        <v>65.046800000000005</v>
      </c>
      <c r="J1397" s="2">
        <v>246</v>
      </c>
      <c r="K1397" s="2">
        <v>65.427199999999999</v>
      </c>
      <c r="L1397" s="2">
        <v>235</v>
      </c>
      <c r="M1397" s="2">
        <v>109.0697</v>
      </c>
      <c r="N1397" s="2">
        <v>39</v>
      </c>
      <c r="O1397" s="2">
        <v>109.28700000000001</v>
      </c>
      <c r="P1397" s="2">
        <v>44</v>
      </c>
      <c r="Q1397" s="2">
        <v>100.5963</v>
      </c>
      <c r="R1397" s="2">
        <v>138</v>
      </c>
      <c r="S1397" s="2">
        <v>101.1951</v>
      </c>
      <c r="T1397" s="2">
        <v>150</v>
      </c>
      <c r="U1397" s="2">
        <v>0.70778600000000003</v>
      </c>
      <c r="V1397" s="2">
        <v>86</v>
      </c>
      <c r="W1397" s="2">
        <v>2006</v>
      </c>
    </row>
    <row r="1398" spans="1:23" ht="12.3" x14ac:dyDescent="0.4">
      <c r="A1398" s="2" t="s">
        <v>131</v>
      </c>
      <c r="B1398" s="2">
        <v>11</v>
      </c>
      <c r="C1398" s="4" t="s">
        <v>33</v>
      </c>
      <c r="D1398" s="4" t="s">
        <v>33</v>
      </c>
      <c r="E1398" s="2"/>
      <c r="F1398" s="2"/>
      <c r="G1398" s="2"/>
      <c r="H1398" s="2"/>
      <c r="I1398" s="2">
        <v>73.210499999999996</v>
      </c>
      <c r="J1398" s="2">
        <v>13</v>
      </c>
      <c r="K1398" s="2">
        <v>73.210300000000004</v>
      </c>
      <c r="L1398" s="2">
        <v>10</v>
      </c>
      <c r="M1398" s="2">
        <v>108.3075</v>
      </c>
      <c r="N1398" s="2">
        <v>51</v>
      </c>
      <c r="O1398" s="2">
        <v>109.5266</v>
      </c>
      <c r="P1398" s="2">
        <v>45</v>
      </c>
      <c r="Q1398" s="2">
        <v>95.611800000000002</v>
      </c>
      <c r="R1398" s="2">
        <v>49</v>
      </c>
      <c r="S1398" s="2">
        <v>95.1524</v>
      </c>
      <c r="T1398" s="2">
        <v>55</v>
      </c>
      <c r="U1398" s="2">
        <v>0.83450599999999997</v>
      </c>
      <c r="V1398" s="2">
        <v>44</v>
      </c>
      <c r="W1398" s="2">
        <v>2010</v>
      </c>
    </row>
    <row r="1399" spans="1:23" ht="12.3" hidden="1" x14ac:dyDescent="0.4">
      <c r="A1399" s="2" t="s">
        <v>169</v>
      </c>
      <c r="B1399" s="2"/>
      <c r="C1399" s="2"/>
      <c r="D1399" s="2"/>
      <c r="E1399" s="2"/>
      <c r="F1399" s="2"/>
      <c r="G1399" s="2"/>
      <c r="H1399" s="2"/>
      <c r="I1399" s="2">
        <v>64.802800000000005</v>
      </c>
      <c r="J1399" s="2">
        <v>254</v>
      </c>
      <c r="K1399" s="2">
        <v>65.938299999999998</v>
      </c>
      <c r="L1399" s="2">
        <v>219</v>
      </c>
      <c r="M1399" s="2">
        <v>104.8533</v>
      </c>
      <c r="N1399" s="2">
        <v>109</v>
      </c>
      <c r="O1399" s="2">
        <v>107.21429999999999</v>
      </c>
      <c r="P1399" s="2">
        <v>70</v>
      </c>
      <c r="Q1399" s="2">
        <v>98.988799999999998</v>
      </c>
      <c r="R1399" s="2">
        <v>106</v>
      </c>
      <c r="S1399" s="2">
        <v>99.595600000000005</v>
      </c>
      <c r="T1399" s="2">
        <v>119</v>
      </c>
      <c r="U1399" s="2">
        <v>0.70008199999999998</v>
      </c>
      <c r="V1399" s="2">
        <v>88</v>
      </c>
      <c r="W1399" s="2">
        <v>2006</v>
      </c>
    </row>
    <row r="1400" spans="1:23" ht="12.3" x14ac:dyDescent="0.4">
      <c r="A1400" s="2" t="s">
        <v>111</v>
      </c>
      <c r="B1400" s="2">
        <v>4</v>
      </c>
      <c r="C1400" s="2"/>
      <c r="D1400" s="2"/>
      <c r="E1400" s="2"/>
      <c r="F1400" s="2"/>
      <c r="G1400" s="2"/>
      <c r="H1400" s="2"/>
      <c r="I1400" s="2">
        <v>70.473399999999998</v>
      </c>
      <c r="J1400" s="2">
        <v>47</v>
      </c>
      <c r="K1400" s="2">
        <v>69.749700000000004</v>
      </c>
      <c r="L1400" s="2">
        <v>61</v>
      </c>
      <c r="M1400" s="2">
        <v>109.4408</v>
      </c>
      <c r="N1400" s="2">
        <v>37</v>
      </c>
      <c r="O1400" s="2">
        <v>111.5836</v>
      </c>
      <c r="P1400" s="2">
        <v>28</v>
      </c>
      <c r="Q1400" s="2">
        <v>98.942700000000002</v>
      </c>
      <c r="R1400" s="2">
        <v>126</v>
      </c>
      <c r="S1400" s="2">
        <v>96.970500000000001</v>
      </c>
      <c r="T1400" s="2">
        <v>75</v>
      </c>
      <c r="U1400" s="2">
        <v>0.83399699999999999</v>
      </c>
      <c r="V1400" s="2">
        <v>45</v>
      </c>
      <c r="W1400" s="2">
        <v>2010</v>
      </c>
    </row>
    <row r="1401" spans="1:23" ht="12.3" x14ac:dyDescent="0.4">
      <c r="A1401" s="2" t="s">
        <v>47</v>
      </c>
      <c r="B1401" s="2">
        <v>8</v>
      </c>
      <c r="C1401" s="3" t="s">
        <v>33</v>
      </c>
      <c r="D1401" s="2"/>
      <c r="E1401" s="2"/>
      <c r="F1401" s="2"/>
      <c r="G1401" s="2"/>
      <c r="H1401" s="2"/>
      <c r="I1401" s="2">
        <v>69.167199999999994</v>
      </c>
      <c r="J1401" s="2">
        <v>85</v>
      </c>
      <c r="K1401" s="2">
        <v>68.817800000000005</v>
      </c>
      <c r="L1401" s="2">
        <v>95</v>
      </c>
      <c r="M1401" s="2">
        <v>110.9178</v>
      </c>
      <c r="N1401" s="2">
        <v>25</v>
      </c>
      <c r="O1401" s="2">
        <v>110.4838</v>
      </c>
      <c r="P1401" s="2">
        <v>39</v>
      </c>
      <c r="Q1401" s="2">
        <v>97.109899999999996</v>
      </c>
      <c r="R1401" s="2">
        <v>85</v>
      </c>
      <c r="S1401" s="2">
        <v>96.209400000000002</v>
      </c>
      <c r="T1401" s="2">
        <v>66</v>
      </c>
      <c r="U1401" s="2">
        <v>0.83074599999999998</v>
      </c>
      <c r="V1401" s="2">
        <v>46</v>
      </c>
      <c r="W1401" s="2">
        <v>2010</v>
      </c>
    </row>
    <row r="1402" spans="1:23" ht="12.3" hidden="1" x14ac:dyDescent="0.4">
      <c r="A1402" s="2" t="s">
        <v>52</v>
      </c>
      <c r="B1402" s="2"/>
      <c r="C1402" s="2"/>
      <c r="D1402" s="2"/>
      <c r="E1402" s="2"/>
      <c r="F1402" s="2"/>
      <c r="G1402" s="2"/>
      <c r="H1402" s="2"/>
      <c r="I1402" s="2">
        <v>64.873500000000007</v>
      </c>
      <c r="J1402" s="2">
        <v>251</v>
      </c>
      <c r="K1402" s="2">
        <v>65.570700000000002</v>
      </c>
      <c r="L1402" s="2">
        <v>230</v>
      </c>
      <c r="M1402" s="2">
        <v>101.29770000000001</v>
      </c>
      <c r="N1402" s="2">
        <v>175</v>
      </c>
      <c r="O1402" s="2">
        <v>103.94710000000001</v>
      </c>
      <c r="P1402" s="2">
        <v>126</v>
      </c>
      <c r="Q1402" s="2">
        <v>100.2029</v>
      </c>
      <c r="R1402" s="2">
        <v>132</v>
      </c>
      <c r="S1402" s="2">
        <v>96.9649</v>
      </c>
      <c r="T1402" s="2">
        <v>78</v>
      </c>
      <c r="U1402" s="2">
        <v>0.68989699999999998</v>
      </c>
      <c r="V1402" s="2">
        <v>91</v>
      </c>
      <c r="W1402" s="2">
        <v>2006</v>
      </c>
    </row>
    <row r="1403" spans="1:23" ht="12.3" hidden="1" x14ac:dyDescent="0.4">
      <c r="A1403" s="2" t="s">
        <v>109</v>
      </c>
      <c r="B1403" s="2"/>
      <c r="C1403" s="2"/>
      <c r="D1403" s="2"/>
      <c r="E1403" s="2"/>
      <c r="F1403" s="2"/>
      <c r="G1403" s="2"/>
      <c r="H1403" s="2"/>
      <c r="I1403" s="2">
        <v>67.984200000000001</v>
      </c>
      <c r="J1403" s="2">
        <v>129</v>
      </c>
      <c r="K1403" s="2">
        <v>67.863299999999995</v>
      </c>
      <c r="L1403" s="2">
        <v>120</v>
      </c>
      <c r="M1403" s="2">
        <v>102.0959</v>
      </c>
      <c r="N1403" s="2">
        <v>163</v>
      </c>
      <c r="O1403" s="2">
        <v>102.8223</v>
      </c>
      <c r="P1403" s="2">
        <v>146</v>
      </c>
      <c r="Q1403" s="2">
        <v>97.871300000000005</v>
      </c>
      <c r="R1403" s="2">
        <v>82</v>
      </c>
      <c r="S1403" s="2">
        <v>96.326499999999996</v>
      </c>
      <c r="T1403" s="2">
        <v>62</v>
      </c>
      <c r="U1403" s="2">
        <v>0.67928299999999997</v>
      </c>
      <c r="V1403" s="2">
        <v>92</v>
      </c>
      <c r="W1403" s="2">
        <v>2006</v>
      </c>
    </row>
    <row r="1404" spans="1:23" ht="12.3" x14ac:dyDescent="0.4">
      <c r="A1404" s="2" t="s">
        <v>196</v>
      </c>
      <c r="B1404" s="2">
        <v>13</v>
      </c>
      <c r="C1404" s="25"/>
      <c r="D1404" s="2"/>
      <c r="E1404" s="2"/>
      <c r="F1404" s="2"/>
      <c r="G1404" s="2"/>
      <c r="H1404" s="2"/>
      <c r="I1404" s="2">
        <v>70.015799999999999</v>
      </c>
      <c r="J1404" s="2">
        <v>64</v>
      </c>
      <c r="K1404" s="2">
        <v>70.125399999999999</v>
      </c>
      <c r="L1404" s="2">
        <v>52</v>
      </c>
      <c r="M1404" s="2">
        <v>106.9294</v>
      </c>
      <c r="N1404" s="2">
        <v>66</v>
      </c>
      <c r="O1404" s="2">
        <v>108.4629</v>
      </c>
      <c r="P1404" s="2">
        <v>53</v>
      </c>
      <c r="Q1404" s="2">
        <v>92.646600000000007</v>
      </c>
      <c r="R1404" s="2">
        <v>25</v>
      </c>
      <c r="S1404" s="2">
        <v>94.585999999999999</v>
      </c>
      <c r="T1404" s="2">
        <v>49</v>
      </c>
      <c r="U1404" s="2">
        <v>0.82840100000000005</v>
      </c>
      <c r="V1404" s="2">
        <v>47</v>
      </c>
      <c r="W1404" s="2">
        <v>2010</v>
      </c>
    </row>
    <row r="1405" spans="1:23" ht="12.3" hidden="1" x14ac:dyDescent="0.4">
      <c r="A1405" s="2" t="s">
        <v>230</v>
      </c>
      <c r="B1405" s="2"/>
      <c r="C1405" s="2"/>
      <c r="D1405" s="2"/>
      <c r="E1405" s="2"/>
      <c r="F1405" s="2"/>
      <c r="G1405" s="2"/>
      <c r="H1405" s="2"/>
      <c r="I1405" s="2">
        <v>64.491399999999999</v>
      </c>
      <c r="J1405" s="2">
        <v>264</v>
      </c>
      <c r="K1405" s="2">
        <v>65.008899999999997</v>
      </c>
      <c r="L1405" s="2">
        <v>246</v>
      </c>
      <c r="M1405" s="2">
        <v>104.1127</v>
      </c>
      <c r="N1405" s="2">
        <v>128</v>
      </c>
      <c r="O1405" s="2">
        <v>109.56359999999999</v>
      </c>
      <c r="P1405" s="2">
        <v>43</v>
      </c>
      <c r="Q1405" s="2">
        <v>104.94970000000001</v>
      </c>
      <c r="R1405" s="2">
        <v>237</v>
      </c>
      <c r="S1405" s="2">
        <v>102.8128</v>
      </c>
      <c r="T1405" s="2">
        <v>180</v>
      </c>
      <c r="U1405" s="2">
        <v>0.67510099999999995</v>
      </c>
      <c r="V1405" s="2">
        <v>94</v>
      </c>
      <c r="W1405" s="2">
        <v>2006</v>
      </c>
    </row>
    <row r="1406" spans="1:23" ht="12.3" hidden="1" x14ac:dyDescent="0.4">
      <c r="A1406" s="2" t="s">
        <v>63</v>
      </c>
      <c r="B1406" s="2"/>
      <c r="C1406" s="2"/>
      <c r="D1406" s="2"/>
      <c r="E1406" s="2"/>
      <c r="F1406" s="2"/>
      <c r="G1406" s="2"/>
      <c r="H1406" s="2"/>
      <c r="I1406" s="2">
        <v>65.647000000000006</v>
      </c>
      <c r="J1406" s="2">
        <v>225</v>
      </c>
      <c r="K1406" s="2">
        <v>66.374099999999999</v>
      </c>
      <c r="L1406" s="2">
        <v>192</v>
      </c>
      <c r="M1406" s="2">
        <v>104.4862</v>
      </c>
      <c r="N1406" s="2">
        <v>120</v>
      </c>
      <c r="O1406" s="2">
        <v>106.444</v>
      </c>
      <c r="P1406" s="2">
        <v>77</v>
      </c>
      <c r="Q1406" s="2">
        <v>100.19670000000001</v>
      </c>
      <c r="R1406" s="2">
        <v>131</v>
      </c>
      <c r="S1406" s="2">
        <v>99.9495</v>
      </c>
      <c r="T1406" s="2">
        <v>127</v>
      </c>
      <c r="U1406" s="2">
        <v>0.67348300000000005</v>
      </c>
      <c r="V1406" s="2">
        <v>95</v>
      </c>
      <c r="W1406" s="2">
        <v>2006</v>
      </c>
    </row>
    <row r="1407" spans="1:23" ht="12.3" hidden="1" x14ac:dyDescent="0.4">
      <c r="A1407" s="2" t="s">
        <v>68</v>
      </c>
      <c r="B1407" s="2"/>
      <c r="C1407" s="2"/>
      <c r="D1407" s="2"/>
      <c r="E1407" s="2"/>
      <c r="F1407" s="2"/>
      <c r="G1407" s="2"/>
      <c r="H1407" s="2"/>
      <c r="I1407" s="2">
        <v>70.151499999999999</v>
      </c>
      <c r="J1407" s="2">
        <v>57</v>
      </c>
      <c r="K1407" s="2">
        <v>69.604699999999994</v>
      </c>
      <c r="L1407" s="2">
        <v>72</v>
      </c>
      <c r="M1407" s="2">
        <v>111.0964</v>
      </c>
      <c r="N1407" s="2">
        <v>23</v>
      </c>
      <c r="O1407" s="2">
        <v>110.29649999999999</v>
      </c>
      <c r="P1407" s="2">
        <v>36</v>
      </c>
      <c r="Q1407" s="2">
        <v>101.36620000000001</v>
      </c>
      <c r="R1407" s="2">
        <v>157</v>
      </c>
      <c r="S1407" s="2">
        <v>103.5822</v>
      </c>
      <c r="T1407" s="2">
        <v>197</v>
      </c>
      <c r="U1407" s="2">
        <v>0.67310899999999996</v>
      </c>
      <c r="V1407" s="2">
        <v>96</v>
      </c>
      <c r="W1407" s="2">
        <v>2006</v>
      </c>
    </row>
    <row r="1408" spans="1:23" ht="12.3" hidden="1" x14ac:dyDescent="0.4">
      <c r="A1408" s="2" t="s">
        <v>210</v>
      </c>
      <c r="B1408" s="2"/>
      <c r="C1408" s="2"/>
      <c r="D1408" s="2"/>
      <c r="E1408" s="2"/>
      <c r="F1408" s="2"/>
      <c r="G1408" s="2"/>
      <c r="H1408" s="2"/>
      <c r="I1408" s="2">
        <v>64.095500000000001</v>
      </c>
      <c r="J1408" s="2">
        <v>275</v>
      </c>
      <c r="K1408" s="2">
        <v>64.670400000000001</v>
      </c>
      <c r="L1408" s="2">
        <v>261</v>
      </c>
      <c r="M1408" s="2">
        <v>96.790899999999993</v>
      </c>
      <c r="N1408" s="2">
        <v>249</v>
      </c>
      <c r="O1408" s="2">
        <v>97.313000000000002</v>
      </c>
      <c r="P1408" s="2">
        <v>240</v>
      </c>
      <c r="Q1408" s="2">
        <v>92.456699999999998</v>
      </c>
      <c r="R1408" s="2">
        <v>21</v>
      </c>
      <c r="S1408" s="2">
        <v>91.504199999999997</v>
      </c>
      <c r="T1408" s="2">
        <v>11</v>
      </c>
      <c r="U1408" s="2">
        <v>0.66991599999999996</v>
      </c>
      <c r="V1408" s="2">
        <v>97</v>
      </c>
      <c r="W1408" s="2">
        <v>2006</v>
      </c>
    </row>
    <row r="1409" spans="1:23" ht="12.3" hidden="1" x14ac:dyDescent="0.4">
      <c r="A1409" s="2" t="s">
        <v>96</v>
      </c>
      <c r="B1409" s="2"/>
      <c r="C1409" s="2"/>
      <c r="D1409" s="2"/>
      <c r="E1409" s="2"/>
      <c r="F1409" s="2"/>
      <c r="G1409" s="2"/>
      <c r="H1409" s="2"/>
      <c r="I1409" s="2">
        <v>71.1785</v>
      </c>
      <c r="J1409" s="2">
        <v>42</v>
      </c>
      <c r="K1409" s="2">
        <v>72.163200000000003</v>
      </c>
      <c r="L1409" s="2">
        <v>22</v>
      </c>
      <c r="M1409" s="2">
        <v>107.482</v>
      </c>
      <c r="N1409" s="2">
        <v>60</v>
      </c>
      <c r="O1409" s="2">
        <v>109.1512</v>
      </c>
      <c r="P1409" s="2">
        <v>46</v>
      </c>
      <c r="Q1409" s="2">
        <v>101.51909999999999</v>
      </c>
      <c r="R1409" s="2">
        <v>159</v>
      </c>
      <c r="S1409" s="2">
        <v>102.67140000000001</v>
      </c>
      <c r="T1409" s="2">
        <v>178</v>
      </c>
      <c r="U1409" s="2">
        <v>0.66902899999999998</v>
      </c>
      <c r="V1409" s="2">
        <v>98</v>
      </c>
      <c r="W1409" s="2">
        <v>2006</v>
      </c>
    </row>
    <row r="1410" spans="1:23" ht="12.3" hidden="1" x14ac:dyDescent="0.4">
      <c r="A1410" s="2" t="s">
        <v>136</v>
      </c>
      <c r="B1410" s="2"/>
      <c r="C1410" s="2"/>
      <c r="D1410" s="2"/>
      <c r="E1410" s="2"/>
      <c r="F1410" s="2"/>
      <c r="G1410" s="2"/>
      <c r="H1410" s="2"/>
      <c r="I1410" s="2">
        <v>67.543400000000005</v>
      </c>
      <c r="J1410" s="2">
        <v>145</v>
      </c>
      <c r="K1410" s="2">
        <v>66.055400000000006</v>
      </c>
      <c r="L1410" s="2">
        <v>214</v>
      </c>
      <c r="M1410" s="2">
        <v>99.148399999999995</v>
      </c>
      <c r="N1410" s="2">
        <v>210</v>
      </c>
      <c r="O1410" s="2">
        <v>102.1878</v>
      </c>
      <c r="P1410" s="2">
        <v>158</v>
      </c>
      <c r="Q1410" s="2">
        <v>97.444999999999993</v>
      </c>
      <c r="R1410" s="2">
        <v>71</v>
      </c>
      <c r="S1410" s="2">
        <v>96.144000000000005</v>
      </c>
      <c r="T1410" s="2">
        <v>57</v>
      </c>
      <c r="U1410" s="2">
        <v>0.668431</v>
      </c>
      <c r="V1410" s="2">
        <v>99</v>
      </c>
      <c r="W1410" s="2">
        <v>2006</v>
      </c>
    </row>
    <row r="1411" spans="1:23" ht="12.3" hidden="1" x14ac:dyDescent="0.4">
      <c r="A1411" s="2" t="s">
        <v>66</v>
      </c>
      <c r="B1411" s="2"/>
      <c r="C1411" s="2"/>
      <c r="D1411" s="2"/>
      <c r="E1411" s="2"/>
      <c r="F1411" s="2"/>
      <c r="G1411" s="2"/>
      <c r="H1411" s="2"/>
      <c r="I1411" s="2">
        <v>65.149299999999997</v>
      </c>
      <c r="J1411" s="2">
        <v>244</v>
      </c>
      <c r="K1411" s="2">
        <v>63.669600000000003</v>
      </c>
      <c r="L1411" s="2">
        <v>285</v>
      </c>
      <c r="M1411" s="2">
        <v>103.5902</v>
      </c>
      <c r="N1411" s="2">
        <v>138</v>
      </c>
      <c r="O1411" s="2">
        <v>104.97620000000001</v>
      </c>
      <c r="P1411" s="2">
        <v>104</v>
      </c>
      <c r="Q1411" s="2">
        <v>98.625799999999998</v>
      </c>
      <c r="R1411" s="2">
        <v>95</v>
      </c>
      <c r="S1411" s="2">
        <v>98.936400000000006</v>
      </c>
      <c r="T1411" s="2">
        <v>110</v>
      </c>
      <c r="U1411" s="2">
        <v>0.66405999999999998</v>
      </c>
      <c r="V1411" s="2">
        <v>100</v>
      </c>
      <c r="W1411" s="2">
        <v>2006</v>
      </c>
    </row>
    <row r="1412" spans="1:23" ht="12.3" x14ac:dyDescent="0.4">
      <c r="A1412" s="2" t="s">
        <v>181</v>
      </c>
      <c r="B1412" s="2">
        <v>13</v>
      </c>
      <c r="C1412" s="4" t="s">
        <v>33</v>
      </c>
      <c r="D1412" s="2"/>
      <c r="E1412" s="2"/>
      <c r="F1412" s="2"/>
      <c r="G1412" s="2"/>
      <c r="H1412" s="2"/>
      <c r="I1412" s="2">
        <v>67.939499999999995</v>
      </c>
      <c r="J1412" s="2">
        <v>139</v>
      </c>
      <c r="K1412" s="2">
        <v>67.248400000000004</v>
      </c>
      <c r="L1412" s="2">
        <v>175</v>
      </c>
      <c r="M1412" s="2">
        <v>111.96510000000001</v>
      </c>
      <c r="N1412" s="2">
        <v>15</v>
      </c>
      <c r="O1412" s="2">
        <v>107.28619999999999</v>
      </c>
      <c r="P1412" s="2">
        <v>69</v>
      </c>
      <c r="Q1412" s="2">
        <v>90.040400000000005</v>
      </c>
      <c r="R1412" s="2">
        <v>6</v>
      </c>
      <c r="S1412" s="2">
        <v>93.901300000000006</v>
      </c>
      <c r="T1412" s="2">
        <v>42</v>
      </c>
      <c r="U1412" s="2">
        <v>0.82236299999999996</v>
      </c>
      <c r="V1412" s="2">
        <v>49</v>
      </c>
      <c r="W1412" s="2">
        <v>2010</v>
      </c>
    </row>
    <row r="1413" spans="1:23" ht="12.3" hidden="1" x14ac:dyDescent="0.4">
      <c r="A1413" s="2" t="s">
        <v>137</v>
      </c>
      <c r="B1413" s="2"/>
      <c r="C1413" s="2"/>
      <c r="D1413" s="2"/>
      <c r="E1413" s="2"/>
      <c r="F1413" s="2"/>
      <c r="G1413" s="2"/>
      <c r="H1413" s="2"/>
      <c r="I1413" s="2">
        <v>63.822200000000002</v>
      </c>
      <c r="J1413" s="2">
        <v>281</v>
      </c>
      <c r="K1413" s="2">
        <v>63.427700000000002</v>
      </c>
      <c r="L1413" s="2">
        <v>291</v>
      </c>
      <c r="M1413" s="2">
        <v>105.27930000000001</v>
      </c>
      <c r="N1413" s="2">
        <v>100</v>
      </c>
      <c r="O1413" s="2">
        <v>106.32899999999999</v>
      </c>
      <c r="P1413" s="2">
        <v>83</v>
      </c>
      <c r="Q1413" s="2">
        <v>97.600800000000007</v>
      </c>
      <c r="R1413" s="2">
        <v>76</v>
      </c>
      <c r="S1413" s="2">
        <v>100.6716</v>
      </c>
      <c r="T1413" s="2">
        <v>143</v>
      </c>
      <c r="U1413" s="2">
        <v>0.65220699999999998</v>
      </c>
      <c r="V1413" s="2">
        <v>102</v>
      </c>
      <c r="W1413" s="2">
        <v>2006</v>
      </c>
    </row>
    <row r="1414" spans="1:23" ht="12.3" hidden="1" x14ac:dyDescent="0.4">
      <c r="A1414" s="2" t="s">
        <v>308</v>
      </c>
      <c r="B1414" s="2"/>
      <c r="C1414" s="2"/>
      <c r="D1414" s="2"/>
      <c r="E1414" s="2"/>
      <c r="F1414" s="2"/>
      <c r="G1414" s="2"/>
      <c r="H1414" s="2"/>
      <c r="I1414" s="2">
        <v>70.492199999999997</v>
      </c>
      <c r="J1414" s="2">
        <v>53</v>
      </c>
      <c r="K1414" s="2">
        <v>70.61</v>
      </c>
      <c r="L1414" s="2">
        <v>45</v>
      </c>
      <c r="M1414" s="2">
        <v>104.5932</v>
      </c>
      <c r="N1414" s="2">
        <v>118</v>
      </c>
      <c r="O1414" s="2">
        <v>104.8877</v>
      </c>
      <c r="P1414" s="2">
        <v>106</v>
      </c>
      <c r="Q1414" s="2">
        <v>100.19580000000001</v>
      </c>
      <c r="R1414" s="2">
        <v>130</v>
      </c>
      <c r="S1414" s="2">
        <v>99.662899999999993</v>
      </c>
      <c r="T1414" s="2">
        <v>121</v>
      </c>
      <c r="U1414" s="2">
        <v>0.642818</v>
      </c>
      <c r="V1414" s="2">
        <v>103</v>
      </c>
      <c r="W1414" s="2">
        <v>2006</v>
      </c>
    </row>
    <row r="1415" spans="1:23" ht="12.3" hidden="1" x14ac:dyDescent="0.4">
      <c r="A1415" s="2" t="s">
        <v>143</v>
      </c>
      <c r="B1415" s="2"/>
      <c r="C1415" s="2"/>
      <c r="D1415" s="2"/>
      <c r="E1415" s="2"/>
      <c r="F1415" s="2"/>
      <c r="G1415" s="2"/>
      <c r="H1415" s="2"/>
      <c r="I1415" s="2">
        <v>67.733599999999996</v>
      </c>
      <c r="J1415" s="2">
        <v>138</v>
      </c>
      <c r="K1415" s="2">
        <v>66.747900000000001</v>
      </c>
      <c r="L1415" s="2">
        <v>172</v>
      </c>
      <c r="M1415" s="2">
        <v>113.6357</v>
      </c>
      <c r="N1415" s="2">
        <v>7</v>
      </c>
      <c r="O1415" s="2">
        <v>111.61920000000001</v>
      </c>
      <c r="P1415" s="2">
        <v>25</v>
      </c>
      <c r="Q1415" s="2">
        <v>107.0498</v>
      </c>
      <c r="R1415" s="2">
        <v>279</v>
      </c>
      <c r="S1415" s="2">
        <v>106.07389999999999</v>
      </c>
      <c r="T1415" s="2">
        <v>247</v>
      </c>
      <c r="U1415" s="2">
        <v>0.64244900000000005</v>
      </c>
      <c r="V1415" s="2">
        <v>104</v>
      </c>
      <c r="W1415" s="2">
        <v>2006</v>
      </c>
    </row>
    <row r="1416" spans="1:23" ht="12.3" hidden="1" x14ac:dyDescent="0.4">
      <c r="A1416" s="2" t="s">
        <v>167</v>
      </c>
      <c r="B1416" s="2"/>
      <c r="C1416" s="2"/>
      <c r="D1416" s="2"/>
      <c r="E1416" s="2"/>
      <c r="F1416" s="2"/>
      <c r="G1416" s="2"/>
      <c r="H1416" s="2"/>
      <c r="I1416" s="2">
        <v>61.098300000000002</v>
      </c>
      <c r="J1416" s="2">
        <v>321</v>
      </c>
      <c r="K1416" s="2">
        <v>61.433599999999998</v>
      </c>
      <c r="L1416" s="2">
        <v>319</v>
      </c>
      <c r="M1416" s="2">
        <v>102.1643</v>
      </c>
      <c r="N1416" s="2">
        <v>159</v>
      </c>
      <c r="O1416" s="2">
        <v>103.0575</v>
      </c>
      <c r="P1416" s="2">
        <v>139</v>
      </c>
      <c r="Q1416" s="2">
        <v>97.926400000000001</v>
      </c>
      <c r="R1416" s="2">
        <v>85</v>
      </c>
      <c r="S1416" s="2">
        <v>97.957700000000003</v>
      </c>
      <c r="T1416" s="2">
        <v>92</v>
      </c>
      <c r="U1416" s="2">
        <v>0.64190499999999995</v>
      </c>
      <c r="V1416" s="2">
        <v>105</v>
      </c>
      <c r="W1416" s="2">
        <v>2006</v>
      </c>
    </row>
    <row r="1417" spans="1:23" ht="12.3" hidden="1" x14ac:dyDescent="0.4">
      <c r="A1417" s="2" t="s">
        <v>262</v>
      </c>
      <c r="B1417" s="2"/>
      <c r="C1417" s="2"/>
      <c r="D1417" s="2"/>
      <c r="E1417" s="2"/>
      <c r="F1417" s="2"/>
      <c r="G1417" s="2"/>
      <c r="H1417" s="2"/>
      <c r="I1417" s="2">
        <v>66.328999999999994</v>
      </c>
      <c r="J1417" s="2">
        <v>196</v>
      </c>
      <c r="K1417" s="2">
        <v>65.680499999999995</v>
      </c>
      <c r="L1417" s="2">
        <v>226</v>
      </c>
      <c r="M1417" s="2">
        <v>103.6798</v>
      </c>
      <c r="N1417" s="2">
        <v>137</v>
      </c>
      <c r="O1417" s="2">
        <v>104.672</v>
      </c>
      <c r="P1417" s="2">
        <v>110</v>
      </c>
      <c r="Q1417" s="2">
        <v>99.312100000000001</v>
      </c>
      <c r="R1417" s="2">
        <v>111</v>
      </c>
      <c r="S1417" s="2">
        <v>99.518100000000004</v>
      </c>
      <c r="T1417" s="2">
        <v>118</v>
      </c>
      <c r="U1417" s="2">
        <v>0.64122100000000004</v>
      </c>
      <c r="V1417" s="2">
        <v>106</v>
      </c>
      <c r="W1417" s="2">
        <v>2006</v>
      </c>
    </row>
    <row r="1418" spans="1:23" ht="12.3" hidden="1" x14ac:dyDescent="0.4">
      <c r="A1418" s="2" t="s">
        <v>92</v>
      </c>
      <c r="B1418" s="2"/>
      <c r="C1418" s="2"/>
      <c r="D1418" s="2"/>
      <c r="E1418" s="2"/>
      <c r="F1418" s="2"/>
      <c r="G1418" s="2"/>
      <c r="H1418" s="2"/>
      <c r="I1418" s="2">
        <v>70.857699999999994</v>
      </c>
      <c r="J1418" s="2">
        <v>48</v>
      </c>
      <c r="K1418" s="2">
        <v>69.733800000000002</v>
      </c>
      <c r="L1418" s="2">
        <v>66</v>
      </c>
      <c r="M1418" s="2">
        <v>100.8754</v>
      </c>
      <c r="N1418" s="2">
        <v>181</v>
      </c>
      <c r="O1418" s="2">
        <v>102.86620000000001</v>
      </c>
      <c r="P1418" s="2">
        <v>145</v>
      </c>
      <c r="Q1418" s="2">
        <v>101.3771</v>
      </c>
      <c r="R1418" s="2">
        <v>158</v>
      </c>
      <c r="S1418" s="2">
        <v>97.921000000000006</v>
      </c>
      <c r="T1418" s="2">
        <v>90</v>
      </c>
      <c r="U1418" s="2">
        <v>0.63797300000000001</v>
      </c>
      <c r="V1418" s="2">
        <v>107</v>
      </c>
      <c r="W1418" s="2">
        <v>2006</v>
      </c>
    </row>
    <row r="1419" spans="1:23" ht="12.3" hidden="1" x14ac:dyDescent="0.4">
      <c r="A1419" s="2" t="s">
        <v>186</v>
      </c>
      <c r="B1419" s="2"/>
      <c r="C1419" s="2"/>
      <c r="D1419" s="2"/>
      <c r="E1419" s="2"/>
      <c r="F1419" s="2"/>
      <c r="G1419" s="2"/>
      <c r="H1419" s="2"/>
      <c r="I1419" s="2">
        <v>67.809600000000003</v>
      </c>
      <c r="J1419" s="2">
        <v>136</v>
      </c>
      <c r="K1419" s="2">
        <v>68.684200000000004</v>
      </c>
      <c r="L1419" s="2">
        <v>98</v>
      </c>
      <c r="M1419" s="2">
        <v>102.52030000000001</v>
      </c>
      <c r="N1419" s="2">
        <v>153</v>
      </c>
      <c r="O1419" s="2">
        <v>100.6494</v>
      </c>
      <c r="P1419" s="2">
        <v>181</v>
      </c>
      <c r="Q1419" s="2">
        <v>95.087400000000002</v>
      </c>
      <c r="R1419" s="2">
        <v>41</v>
      </c>
      <c r="S1419" s="2">
        <v>95.844099999999997</v>
      </c>
      <c r="T1419" s="2">
        <v>51</v>
      </c>
      <c r="U1419" s="2">
        <v>0.63705000000000001</v>
      </c>
      <c r="V1419" s="2">
        <v>108</v>
      </c>
      <c r="W1419" s="2">
        <v>2006</v>
      </c>
    </row>
    <row r="1420" spans="1:23" ht="12.3" hidden="1" x14ac:dyDescent="0.4">
      <c r="A1420" s="2" t="s">
        <v>155</v>
      </c>
      <c r="B1420" s="2"/>
      <c r="C1420" s="2"/>
      <c r="D1420" s="2"/>
      <c r="E1420" s="2"/>
      <c r="F1420" s="2"/>
      <c r="G1420" s="2"/>
      <c r="H1420" s="2"/>
      <c r="I1420" s="2">
        <v>66.138400000000004</v>
      </c>
      <c r="J1420" s="2">
        <v>206</v>
      </c>
      <c r="K1420" s="2">
        <v>67.132000000000005</v>
      </c>
      <c r="L1420" s="2">
        <v>152</v>
      </c>
      <c r="M1420" s="2">
        <v>98.167900000000003</v>
      </c>
      <c r="N1420" s="2">
        <v>227</v>
      </c>
      <c r="O1420" s="2">
        <v>99.0976</v>
      </c>
      <c r="P1420" s="2">
        <v>216</v>
      </c>
      <c r="Q1420" s="2">
        <v>96.116100000000003</v>
      </c>
      <c r="R1420" s="2">
        <v>53</v>
      </c>
      <c r="S1420" s="2">
        <v>94.550299999999993</v>
      </c>
      <c r="T1420" s="2">
        <v>42</v>
      </c>
      <c r="U1420" s="2">
        <v>0.63185500000000006</v>
      </c>
      <c r="V1420" s="2">
        <v>109</v>
      </c>
      <c r="W1420" s="2">
        <v>2006</v>
      </c>
    </row>
    <row r="1421" spans="1:23" ht="12.3" hidden="1" x14ac:dyDescent="0.4">
      <c r="A1421" s="2" t="s">
        <v>118</v>
      </c>
      <c r="B1421" s="2"/>
      <c r="C1421" s="2"/>
      <c r="D1421" s="2"/>
      <c r="E1421" s="2"/>
      <c r="F1421" s="2"/>
      <c r="G1421" s="2"/>
      <c r="H1421" s="2"/>
      <c r="I1421" s="2">
        <v>68.090900000000005</v>
      </c>
      <c r="J1421" s="2">
        <v>126</v>
      </c>
      <c r="K1421" s="2">
        <v>68.460999999999999</v>
      </c>
      <c r="L1421" s="2">
        <v>107</v>
      </c>
      <c r="M1421" s="2">
        <v>101.0628</v>
      </c>
      <c r="N1421" s="2">
        <v>177</v>
      </c>
      <c r="O1421" s="2">
        <v>104.45610000000001</v>
      </c>
      <c r="P1421" s="2">
        <v>117</v>
      </c>
      <c r="Q1421" s="2">
        <v>101.97709999999999</v>
      </c>
      <c r="R1421" s="2">
        <v>168</v>
      </c>
      <c r="S1421" s="2">
        <v>99.744200000000006</v>
      </c>
      <c r="T1421" s="2">
        <v>125</v>
      </c>
      <c r="U1421" s="2">
        <v>0.62967200000000001</v>
      </c>
      <c r="V1421" s="2">
        <v>110</v>
      </c>
      <c r="W1421" s="2">
        <v>2006</v>
      </c>
    </row>
    <row r="1422" spans="1:23" ht="12.3" hidden="1" x14ac:dyDescent="0.4">
      <c r="A1422" s="2" t="s">
        <v>42</v>
      </c>
      <c r="B1422" s="2"/>
      <c r="C1422" s="2"/>
      <c r="D1422" s="2"/>
      <c r="E1422" s="2"/>
      <c r="F1422" s="2"/>
      <c r="G1422" s="2"/>
      <c r="H1422" s="2"/>
      <c r="I1422" s="2">
        <v>68.861800000000002</v>
      </c>
      <c r="J1422" s="2">
        <v>101</v>
      </c>
      <c r="K1422" s="2">
        <v>68.428299999999993</v>
      </c>
      <c r="L1422" s="2">
        <v>108</v>
      </c>
      <c r="M1422" s="2">
        <v>99.286600000000007</v>
      </c>
      <c r="N1422" s="2">
        <v>202</v>
      </c>
      <c r="O1422" s="2">
        <v>103.4119</v>
      </c>
      <c r="P1422" s="2">
        <v>133</v>
      </c>
      <c r="Q1422" s="2">
        <v>97.716200000000001</v>
      </c>
      <c r="R1422" s="2">
        <v>80</v>
      </c>
      <c r="S1422" s="2">
        <v>98.830699999999993</v>
      </c>
      <c r="T1422" s="2">
        <v>108</v>
      </c>
      <c r="U1422" s="2">
        <v>0.62740099999999999</v>
      </c>
      <c r="V1422" s="2">
        <v>111</v>
      </c>
      <c r="W1422" s="2">
        <v>2006</v>
      </c>
    </row>
    <row r="1423" spans="1:23" ht="12.3" hidden="1" x14ac:dyDescent="0.4">
      <c r="A1423" s="2" t="s">
        <v>102</v>
      </c>
      <c r="B1423" s="2"/>
      <c r="C1423" s="2"/>
      <c r="D1423" s="2"/>
      <c r="E1423" s="2"/>
      <c r="F1423" s="2"/>
      <c r="G1423" s="2"/>
      <c r="H1423" s="2"/>
      <c r="I1423" s="2">
        <v>63.815199999999997</v>
      </c>
      <c r="J1423" s="2">
        <v>282</v>
      </c>
      <c r="K1423" s="2">
        <v>64.314099999999996</v>
      </c>
      <c r="L1423" s="2">
        <v>267</v>
      </c>
      <c r="M1423" s="2">
        <v>93.542000000000002</v>
      </c>
      <c r="N1423" s="2">
        <v>293</v>
      </c>
      <c r="O1423" s="2">
        <v>95.803100000000001</v>
      </c>
      <c r="P1423" s="2">
        <v>262</v>
      </c>
      <c r="Q1423" s="2">
        <v>94.4559</v>
      </c>
      <c r="R1423" s="2">
        <v>37</v>
      </c>
      <c r="S1423" s="2">
        <v>91.594800000000006</v>
      </c>
      <c r="T1423" s="2">
        <v>13</v>
      </c>
      <c r="U1423" s="2">
        <v>0.62634800000000002</v>
      </c>
      <c r="V1423" s="2">
        <v>112</v>
      </c>
      <c r="W1423" s="2">
        <v>2006</v>
      </c>
    </row>
    <row r="1424" spans="1:23" ht="12.3" hidden="1" x14ac:dyDescent="0.4">
      <c r="A1424" s="2" t="s">
        <v>124</v>
      </c>
      <c r="B1424" s="2"/>
      <c r="C1424" s="2"/>
      <c r="D1424" s="2"/>
      <c r="E1424" s="2"/>
      <c r="F1424" s="2"/>
      <c r="G1424" s="2"/>
      <c r="H1424" s="2"/>
      <c r="I1424" s="2">
        <v>58.767499999999998</v>
      </c>
      <c r="J1424" s="2">
        <v>329</v>
      </c>
      <c r="K1424" s="2">
        <v>59.747500000000002</v>
      </c>
      <c r="L1424" s="2">
        <v>327</v>
      </c>
      <c r="M1424" s="2">
        <v>98.062100000000001</v>
      </c>
      <c r="N1424" s="2">
        <v>230</v>
      </c>
      <c r="O1424" s="2">
        <v>100.88760000000001</v>
      </c>
      <c r="P1424" s="2">
        <v>177</v>
      </c>
      <c r="Q1424" s="2">
        <v>100.2565</v>
      </c>
      <c r="R1424" s="2">
        <v>134</v>
      </c>
      <c r="S1424" s="2">
        <v>96.487799999999993</v>
      </c>
      <c r="T1424" s="2">
        <v>64</v>
      </c>
      <c r="U1424" s="2">
        <v>0.62545899999999999</v>
      </c>
      <c r="V1424" s="2">
        <v>113</v>
      </c>
      <c r="W1424" s="2">
        <v>2006</v>
      </c>
    </row>
    <row r="1425" spans="1:23" ht="12.3" hidden="1" x14ac:dyDescent="0.4">
      <c r="A1425" s="2" t="s">
        <v>59</v>
      </c>
      <c r="B1425" s="2"/>
      <c r="C1425" s="2"/>
      <c r="D1425" s="2"/>
      <c r="E1425" s="2"/>
      <c r="F1425" s="2"/>
      <c r="G1425" s="2"/>
      <c r="H1425" s="2"/>
      <c r="I1425" s="2">
        <v>68.010400000000004</v>
      </c>
      <c r="J1425" s="2">
        <v>128</v>
      </c>
      <c r="K1425" s="2">
        <v>67.918800000000005</v>
      </c>
      <c r="L1425" s="2">
        <v>117</v>
      </c>
      <c r="M1425" s="2">
        <v>99.212100000000007</v>
      </c>
      <c r="N1425" s="2">
        <v>206</v>
      </c>
      <c r="O1425" s="2">
        <v>104.20820000000001</v>
      </c>
      <c r="P1425" s="2">
        <v>119</v>
      </c>
      <c r="Q1425" s="2">
        <v>100.625</v>
      </c>
      <c r="R1425" s="2">
        <v>140</v>
      </c>
      <c r="S1425" s="2">
        <v>99.664400000000001</v>
      </c>
      <c r="T1425" s="2">
        <v>122</v>
      </c>
      <c r="U1425" s="2">
        <v>0.62543700000000002</v>
      </c>
      <c r="V1425" s="2">
        <v>114</v>
      </c>
      <c r="W1425" s="2">
        <v>2006</v>
      </c>
    </row>
    <row r="1426" spans="1:23" ht="12.3" hidden="1" x14ac:dyDescent="0.4">
      <c r="A1426" s="2" t="s">
        <v>209</v>
      </c>
      <c r="B1426" s="2"/>
      <c r="C1426" s="2"/>
      <c r="D1426" s="2"/>
      <c r="E1426" s="2"/>
      <c r="F1426" s="2"/>
      <c r="G1426" s="2"/>
      <c r="H1426" s="2"/>
      <c r="I1426" s="2">
        <v>63.0122</v>
      </c>
      <c r="J1426" s="2">
        <v>300</v>
      </c>
      <c r="K1426" s="2">
        <v>63.878999999999998</v>
      </c>
      <c r="L1426" s="2">
        <v>278</v>
      </c>
      <c r="M1426" s="2">
        <v>109.9688</v>
      </c>
      <c r="N1426" s="2">
        <v>31</v>
      </c>
      <c r="O1426" s="2">
        <v>112.20310000000001</v>
      </c>
      <c r="P1426" s="2">
        <v>24</v>
      </c>
      <c r="Q1426" s="2">
        <v>105.81310000000001</v>
      </c>
      <c r="R1426" s="2">
        <v>252</v>
      </c>
      <c r="S1426" s="2">
        <v>107.3141</v>
      </c>
      <c r="T1426" s="2">
        <v>268</v>
      </c>
      <c r="U1426" s="2">
        <v>0.62535300000000005</v>
      </c>
      <c r="V1426" s="2">
        <v>115</v>
      </c>
      <c r="W1426" s="2">
        <v>2006</v>
      </c>
    </row>
    <row r="1427" spans="1:23" ht="12.3" hidden="1" x14ac:dyDescent="0.4">
      <c r="A1427" s="2" t="s">
        <v>239</v>
      </c>
      <c r="B1427" s="2"/>
      <c r="C1427" s="2"/>
      <c r="D1427" s="2"/>
      <c r="E1427" s="2"/>
      <c r="F1427" s="2"/>
      <c r="G1427" s="2"/>
      <c r="H1427" s="2"/>
      <c r="I1427" s="2">
        <v>62.200400000000002</v>
      </c>
      <c r="J1427" s="2">
        <v>311</v>
      </c>
      <c r="K1427" s="2">
        <v>61.912799999999997</v>
      </c>
      <c r="L1427" s="2">
        <v>315</v>
      </c>
      <c r="M1427" s="2">
        <v>93.096199999999996</v>
      </c>
      <c r="N1427" s="2">
        <v>299</v>
      </c>
      <c r="O1427" s="2">
        <v>94.229299999999995</v>
      </c>
      <c r="P1427" s="2">
        <v>284</v>
      </c>
      <c r="Q1427" s="2">
        <v>92.978099999999998</v>
      </c>
      <c r="R1427" s="2">
        <v>23</v>
      </c>
      <c r="S1427" s="2">
        <v>90.145600000000002</v>
      </c>
      <c r="T1427" s="2">
        <v>6</v>
      </c>
      <c r="U1427" s="2">
        <v>0.624691</v>
      </c>
      <c r="V1427" s="2">
        <v>116</v>
      </c>
      <c r="W1427" s="2">
        <v>2006</v>
      </c>
    </row>
    <row r="1428" spans="1:23" ht="12.3" hidden="1" x14ac:dyDescent="0.4">
      <c r="A1428" s="2" t="s">
        <v>249</v>
      </c>
      <c r="B1428" s="2"/>
      <c r="C1428" s="2"/>
      <c r="D1428" s="2"/>
      <c r="E1428" s="2"/>
      <c r="F1428" s="2"/>
      <c r="G1428" s="2"/>
      <c r="H1428" s="2"/>
      <c r="I1428" s="2">
        <v>63.618899999999996</v>
      </c>
      <c r="J1428" s="2">
        <v>285</v>
      </c>
      <c r="K1428" s="2">
        <v>64.170699999999997</v>
      </c>
      <c r="L1428" s="2">
        <v>270</v>
      </c>
      <c r="M1428" s="2">
        <v>104.20950000000001</v>
      </c>
      <c r="N1428" s="2">
        <v>126</v>
      </c>
      <c r="O1428" s="2">
        <v>106.35080000000001</v>
      </c>
      <c r="P1428" s="2">
        <v>80</v>
      </c>
      <c r="Q1428" s="2">
        <v>103.44240000000001</v>
      </c>
      <c r="R1428" s="2">
        <v>206</v>
      </c>
      <c r="S1428" s="2">
        <v>101.8325</v>
      </c>
      <c r="T1428" s="2">
        <v>160</v>
      </c>
      <c r="U1428" s="2">
        <v>0.62228399999999995</v>
      </c>
      <c r="V1428" s="2">
        <v>117</v>
      </c>
      <c r="W1428" s="2">
        <v>2006</v>
      </c>
    </row>
    <row r="1429" spans="1:23" ht="12.3" x14ac:dyDescent="0.4">
      <c r="A1429" s="2" t="s">
        <v>37</v>
      </c>
      <c r="B1429" s="2">
        <v>10</v>
      </c>
      <c r="C1429" s="2"/>
      <c r="D1429" s="2"/>
      <c r="E1429" s="2"/>
      <c r="F1429" s="2"/>
      <c r="G1429" s="2"/>
      <c r="H1429" s="2"/>
      <c r="I1429" s="2">
        <v>66.589600000000004</v>
      </c>
      <c r="J1429" s="2">
        <v>215</v>
      </c>
      <c r="K1429" s="2">
        <v>65.409499999999994</v>
      </c>
      <c r="L1429" s="2">
        <v>258</v>
      </c>
      <c r="M1429" s="2">
        <v>107.18380000000001</v>
      </c>
      <c r="N1429" s="2">
        <v>63</v>
      </c>
      <c r="O1429" s="2">
        <v>111.3105</v>
      </c>
      <c r="P1429" s="2">
        <v>30</v>
      </c>
      <c r="Q1429" s="2">
        <v>98.138400000000004</v>
      </c>
      <c r="R1429" s="2">
        <v>107</v>
      </c>
      <c r="S1429" s="2">
        <v>98.039500000000004</v>
      </c>
      <c r="T1429" s="2">
        <v>98</v>
      </c>
      <c r="U1429" s="2">
        <v>0.81152800000000003</v>
      </c>
      <c r="V1429" s="2">
        <v>52</v>
      </c>
      <c r="W1429" s="2">
        <v>2010</v>
      </c>
    </row>
    <row r="1430" spans="1:23" ht="12.3" hidden="1" x14ac:dyDescent="0.4">
      <c r="A1430" s="2" t="s">
        <v>116</v>
      </c>
      <c r="B1430" s="2"/>
      <c r="C1430" s="2"/>
      <c r="D1430" s="2"/>
      <c r="E1430" s="2"/>
      <c r="F1430" s="2"/>
      <c r="G1430" s="2"/>
      <c r="H1430" s="2"/>
      <c r="I1430" s="2">
        <v>61.867400000000004</v>
      </c>
      <c r="J1430" s="2">
        <v>315</v>
      </c>
      <c r="K1430" s="2">
        <v>62.7288</v>
      </c>
      <c r="L1430" s="2">
        <v>304</v>
      </c>
      <c r="M1430" s="2">
        <v>96.508799999999994</v>
      </c>
      <c r="N1430" s="2">
        <v>252</v>
      </c>
      <c r="O1430" s="2">
        <v>97.3904</v>
      </c>
      <c r="P1430" s="2">
        <v>237</v>
      </c>
      <c r="Q1430" s="2">
        <v>95.430400000000006</v>
      </c>
      <c r="R1430" s="2">
        <v>45</v>
      </c>
      <c r="S1430" s="2">
        <v>93.458600000000004</v>
      </c>
      <c r="T1430" s="2">
        <v>28</v>
      </c>
      <c r="U1430" s="2">
        <v>0.61630700000000005</v>
      </c>
      <c r="V1430" s="2">
        <v>119</v>
      </c>
      <c r="W1430" s="2">
        <v>2006</v>
      </c>
    </row>
    <row r="1431" spans="1:23" ht="12.3" hidden="1" x14ac:dyDescent="0.4">
      <c r="A1431" s="2" t="s">
        <v>151</v>
      </c>
      <c r="B1431" s="2"/>
      <c r="C1431" s="2"/>
      <c r="D1431" s="2"/>
      <c r="E1431" s="2"/>
      <c r="F1431" s="2"/>
      <c r="G1431" s="2"/>
      <c r="H1431" s="2"/>
      <c r="I1431" s="2">
        <v>64.079099999999997</v>
      </c>
      <c r="J1431" s="2">
        <v>276</v>
      </c>
      <c r="K1431" s="2">
        <v>65.335499999999996</v>
      </c>
      <c r="L1431" s="2">
        <v>237</v>
      </c>
      <c r="M1431" s="2">
        <v>107.0728</v>
      </c>
      <c r="N1431" s="2">
        <v>64</v>
      </c>
      <c r="O1431" s="2">
        <v>105.0081</v>
      </c>
      <c r="P1431" s="2">
        <v>103</v>
      </c>
      <c r="Q1431" s="2">
        <v>100.27760000000001</v>
      </c>
      <c r="R1431" s="2">
        <v>135</v>
      </c>
      <c r="S1431" s="2">
        <v>100.776</v>
      </c>
      <c r="T1431" s="2">
        <v>145</v>
      </c>
      <c r="U1431" s="2">
        <v>0.61611099999999996</v>
      </c>
      <c r="V1431" s="2">
        <v>120</v>
      </c>
      <c r="W1431" s="2">
        <v>2006</v>
      </c>
    </row>
    <row r="1432" spans="1:23" ht="12.3" hidden="1" x14ac:dyDescent="0.4">
      <c r="A1432" s="2" t="s">
        <v>48</v>
      </c>
      <c r="B1432" s="2"/>
      <c r="C1432" s="2"/>
      <c r="D1432" s="2"/>
      <c r="E1432" s="2"/>
      <c r="F1432" s="2"/>
      <c r="G1432" s="2"/>
      <c r="H1432" s="2"/>
      <c r="I1432" s="2">
        <v>68.332599999999999</v>
      </c>
      <c r="J1432" s="2">
        <v>120</v>
      </c>
      <c r="K1432" s="2">
        <v>68.597099999999998</v>
      </c>
      <c r="L1432" s="2">
        <v>102</v>
      </c>
      <c r="M1432" s="2">
        <v>98.169499999999999</v>
      </c>
      <c r="N1432" s="2">
        <v>226</v>
      </c>
      <c r="O1432" s="2">
        <v>100.85169999999999</v>
      </c>
      <c r="P1432" s="2">
        <v>180</v>
      </c>
      <c r="Q1432" s="2">
        <v>99.601100000000002</v>
      </c>
      <c r="R1432" s="2">
        <v>117</v>
      </c>
      <c r="S1432" s="2">
        <v>96.886399999999995</v>
      </c>
      <c r="T1432" s="2">
        <v>77</v>
      </c>
      <c r="U1432" s="2">
        <v>0.61331800000000003</v>
      </c>
      <c r="V1432" s="2">
        <v>121</v>
      </c>
      <c r="W1432" s="2">
        <v>2006</v>
      </c>
    </row>
    <row r="1433" spans="1:23" ht="12.3" hidden="1" x14ac:dyDescent="0.4">
      <c r="A1433" s="2" t="s">
        <v>113</v>
      </c>
      <c r="B1433" s="2"/>
      <c r="C1433" s="2"/>
      <c r="D1433" s="2"/>
      <c r="E1433" s="2"/>
      <c r="F1433" s="2"/>
      <c r="G1433" s="2"/>
      <c r="H1433" s="2"/>
      <c r="I1433" s="2">
        <v>66.261600000000001</v>
      </c>
      <c r="J1433" s="2">
        <v>199</v>
      </c>
      <c r="K1433" s="2">
        <v>66.436300000000003</v>
      </c>
      <c r="L1433" s="2">
        <v>188</v>
      </c>
      <c r="M1433" s="2">
        <v>99.098500000000001</v>
      </c>
      <c r="N1433" s="2">
        <v>211</v>
      </c>
      <c r="O1433" s="2">
        <v>102.19280000000001</v>
      </c>
      <c r="P1433" s="2">
        <v>157</v>
      </c>
      <c r="Q1433" s="2">
        <v>102.4393</v>
      </c>
      <c r="R1433" s="2">
        <v>180</v>
      </c>
      <c r="S1433" s="2">
        <v>98.183800000000005</v>
      </c>
      <c r="T1433" s="2">
        <v>97</v>
      </c>
      <c r="U1433" s="2">
        <v>0.61307</v>
      </c>
      <c r="V1433" s="2">
        <v>122</v>
      </c>
      <c r="W1433" s="2">
        <v>2006</v>
      </c>
    </row>
    <row r="1434" spans="1:23" ht="12.3" hidden="1" x14ac:dyDescent="0.4">
      <c r="A1434" s="2" t="s">
        <v>19</v>
      </c>
      <c r="B1434" s="2"/>
      <c r="C1434" s="2"/>
      <c r="D1434" s="2"/>
      <c r="E1434" s="2"/>
      <c r="F1434" s="2"/>
      <c r="G1434" s="2"/>
      <c r="H1434" s="2"/>
      <c r="I1434" s="2">
        <v>70.468699999999998</v>
      </c>
      <c r="J1434" s="2">
        <v>54</v>
      </c>
      <c r="K1434" s="2">
        <v>70.259900000000002</v>
      </c>
      <c r="L1434" s="2">
        <v>49</v>
      </c>
      <c r="M1434" s="2">
        <v>99.320099999999996</v>
      </c>
      <c r="N1434" s="2">
        <v>199</v>
      </c>
      <c r="O1434" s="2">
        <v>100.24379999999999</v>
      </c>
      <c r="P1434" s="2">
        <v>194</v>
      </c>
      <c r="Q1434" s="2">
        <v>100.53740000000001</v>
      </c>
      <c r="R1434" s="2">
        <v>137</v>
      </c>
      <c r="S1434" s="2">
        <v>96.580399999999997</v>
      </c>
      <c r="T1434" s="2">
        <v>70</v>
      </c>
      <c r="U1434" s="2">
        <v>0.60542899999999999</v>
      </c>
      <c r="V1434" s="2">
        <v>123</v>
      </c>
      <c r="W1434" s="2">
        <v>2006</v>
      </c>
    </row>
    <row r="1435" spans="1:23" ht="12.3" hidden="1" x14ac:dyDescent="0.4">
      <c r="A1435" s="2" t="s">
        <v>276</v>
      </c>
      <c r="B1435" s="2"/>
      <c r="C1435" s="2"/>
      <c r="D1435" s="2"/>
      <c r="E1435" s="2"/>
      <c r="F1435" s="2"/>
      <c r="G1435" s="2"/>
      <c r="H1435" s="2"/>
      <c r="I1435" s="2">
        <v>72.404399999999995</v>
      </c>
      <c r="J1435" s="2">
        <v>22</v>
      </c>
      <c r="K1435" s="2">
        <v>72.227199999999996</v>
      </c>
      <c r="L1435" s="2">
        <v>21</v>
      </c>
      <c r="M1435" s="2">
        <v>106.4307</v>
      </c>
      <c r="N1435" s="2">
        <v>80</v>
      </c>
      <c r="O1435" s="2">
        <v>101.8053</v>
      </c>
      <c r="P1435" s="2">
        <v>166</v>
      </c>
      <c r="Q1435" s="2">
        <v>92.363200000000006</v>
      </c>
      <c r="R1435" s="2">
        <v>20</v>
      </c>
      <c r="S1435" s="2">
        <v>98.116399999999999</v>
      </c>
      <c r="T1435" s="2">
        <v>96</v>
      </c>
      <c r="U1435" s="2">
        <v>0.60454600000000003</v>
      </c>
      <c r="V1435" s="2">
        <v>124</v>
      </c>
      <c r="W1435" s="2">
        <v>2006</v>
      </c>
    </row>
    <row r="1436" spans="1:23" ht="12.3" hidden="1" x14ac:dyDescent="0.4">
      <c r="A1436" s="2" t="s">
        <v>115</v>
      </c>
      <c r="B1436" s="2"/>
      <c r="C1436" s="2"/>
      <c r="D1436" s="2"/>
      <c r="E1436" s="2"/>
      <c r="F1436" s="2"/>
      <c r="G1436" s="2"/>
      <c r="H1436" s="2"/>
      <c r="I1436" s="2">
        <v>62.222299999999997</v>
      </c>
      <c r="J1436" s="2">
        <v>310</v>
      </c>
      <c r="K1436" s="2">
        <v>62.249299999999998</v>
      </c>
      <c r="L1436" s="2">
        <v>313</v>
      </c>
      <c r="M1436" s="2">
        <v>103.1615</v>
      </c>
      <c r="N1436" s="2">
        <v>145</v>
      </c>
      <c r="O1436" s="2">
        <v>102.24760000000001</v>
      </c>
      <c r="P1436" s="2">
        <v>156</v>
      </c>
      <c r="Q1436" s="2">
        <v>99.606899999999996</v>
      </c>
      <c r="R1436" s="2">
        <v>118</v>
      </c>
      <c r="S1436" s="2">
        <v>98.560599999999994</v>
      </c>
      <c r="T1436" s="2">
        <v>102</v>
      </c>
      <c r="U1436" s="2">
        <v>0.604043</v>
      </c>
      <c r="V1436" s="2">
        <v>125</v>
      </c>
      <c r="W1436" s="2">
        <v>2006</v>
      </c>
    </row>
    <row r="1437" spans="1:23" ht="12.3" x14ac:dyDescent="0.4">
      <c r="A1437" s="2" t="s">
        <v>61</v>
      </c>
      <c r="B1437" s="2">
        <v>9</v>
      </c>
      <c r="C1437" s="4" t="s">
        <v>33</v>
      </c>
      <c r="D1437" s="2"/>
      <c r="E1437" s="2"/>
      <c r="F1437" s="2"/>
      <c r="G1437" s="2"/>
      <c r="H1437" s="2"/>
      <c r="I1437" s="2">
        <v>70.786500000000004</v>
      </c>
      <c r="J1437" s="2">
        <v>39</v>
      </c>
      <c r="K1437" s="2">
        <v>70.281099999999995</v>
      </c>
      <c r="L1437" s="2">
        <v>46</v>
      </c>
      <c r="M1437" s="2">
        <v>100.7884</v>
      </c>
      <c r="N1437" s="2">
        <v>180</v>
      </c>
      <c r="O1437" s="2">
        <v>104.611</v>
      </c>
      <c r="P1437" s="2">
        <v>112</v>
      </c>
      <c r="Q1437" s="2">
        <v>94.693200000000004</v>
      </c>
      <c r="R1437" s="2">
        <v>43</v>
      </c>
      <c r="S1437" s="2">
        <v>92.692599999999999</v>
      </c>
      <c r="T1437" s="2">
        <v>30</v>
      </c>
      <c r="U1437" s="2">
        <v>0.800759</v>
      </c>
      <c r="V1437" s="2">
        <v>57</v>
      </c>
      <c r="W1437" s="2">
        <v>2010</v>
      </c>
    </row>
    <row r="1438" spans="1:23" ht="12.3" hidden="1" x14ac:dyDescent="0.4">
      <c r="A1438" s="2" t="s">
        <v>178</v>
      </c>
      <c r="B1438" s="2"/>
      <c r="C1438" s="2"/>
      <c r="D1438" s="2"/>
      <c r="E1438" s="2"/>
      <c r="F1438" s="2"/>
      <c r="G1438" s="2"/>
      <c r="H1438" s="2"/>
      <c r="I1438" s="2">
        <v>66.263599999999997</v>
      </c>
      <c r="J1438" s="2">
        <v>198</v>
      </c>
      <c r="K1438" s="2">
        <v>66.558599999999998</v>
      </c>
      <c r="L1438" s="2">
        <v>182</v>
      </c>
      <c r="M1438" s="2">
        <v>99.3142</v>
      </c>
      <c r="N1438" s="2">
        <v>200</v>
      </c>
      <c r="O1438" s="2">
        <v>98.463099999999997</v>
      </c>
      <c r="P1438" s="2">
        <v>226</v>
      </c>
      <c r="Q1438" s="2">
        <v>90.719899999999996</v>
      </c>
      <c r="R1438" s="2">
        <v>10</v>
      </c>
      <c r="S1438" s="2">
        <v>95.118300000000005</v>
      </c>
      <c r="T1438" s="2">
        <v>46</v>
      </c>
      <c r="U1438" s="2">
        <v>0.59807399999999999</v>
      </c>
      <c r="V1438" s="2">
        <v>127</v>
      </c>
      <c r="W1438" s="2">
        <v>2006</v>
      </c>
    </row>
    <row r="1439" spans="1:23" ht="12.3" hidden="1" x14ac:dyDescent="0.4">
      <c r="A1439" s="2" t="s">
        <v>133</v>
      </c>
      <c r="B1439" s="2"/>
      <c r="C1439" s="2"/>
      <c r="D1439" s="2"/>
      <c r="E1439" s="2"/>
      <c r="F1439" s="2"/>
      <c r="G1439" s="2"/>
      <c r="H1439" s="2"/>
      <c r="I1439" s="2">
        <v>72.347800000000007</v>
      </c>
      <c r="J1439" s="2">
        <v>24</v>
      </c>
      <c r="K1439" s="2">
        <v>70.897000000000006</v>
      </c>
      <c r="L1439" s="2">
        <v>40</v>
      </c>
      <c r="M1439" s="2">
        <v>105.85209999999999</v>
      </c>
      <c r="N1439" s="2">
        <v>88</v>
      </c>
      <c r="O1439" s="2">
        <v>105.32769999999999</v>
      </c>
      <c r="P1439" s="2">
        <v>100</v>
      </c>
      <c r="Q1439" s="2">
        <v>100.64400000000001</v>
      </c>
      <c r="R1439" s="2">
        <v>142</v>
      </c>
      <c r="S1439" s="2">
        <v>101.8623</v>
      </c>
      <c r="T1439" s="2">
        <v>161</v>
      </c>
      <c r="U1439" s="2">
        <v>0.59501199999999999</v>
      </c>
      <c r="V1439" s="2">
        <v>128</v>
      </c>
      <c r="W1439" s="2">
        <v>2006</v>
      </c>
    </row>
    <row r="1440" spans="1:23" ht="12.3" hidden="1" x14ac:dyDescent="0.4">
      <c r="A1440" s="2" t="s">
        <v>196</v>
      </c>
      <c r="B1440" s="2"/>
      <c r="C1440" s="2"/>
      <c r="D1440" s="2"/>
      <c r="E1440" s="2"/>
      <c r="F1440" s="2"/>
      <c r="G1440" s="2"/>
      <c r="H1440" s="2"/>
      <c r="I1440" s="2">
        <v>69.629400000000004</v>
      </c>
      <c r="J1440" s="2">
        <v>70</v>
      </c>
      <c r="K1440" s="2">
        <v>68.635000000000005</v>
      </c>
      <c r="L1440" s="2">
        <v>101</v>
      </c>
      <c r="M1440" s="2">
        <v>105.2908</v>
      </c>
      <c r="N1440" s="2">
        <v>99</v>
      </c>
      <c r="O1440" s="2">
        <v>103.36450000000001</v>
      </c>
      <c r="P1440" s="2">
        <v>134</v>
      </c>
      <c r="Q1440" s="2">
        <v>103.43300000000001</v>
      </c>
      <c r="R1440" s="2">
        <v>204</v>
      </c>
      <c r="S1440" s="2">
        <v>100.37090000000001</v>
      </c>
      <c r="T1440" s="2">
        <v>135</v>
      </c>
      <c r="U1440" s="2">
        <v>0.58369599999999999</v>
      </c>
      <c r="V1440" s="2">
        <v>129</v>
      </c>
      <c r="W1440" s="2">
        <v>2006</v>
      </c>
    </row>
    <row r="1441" spans="1:23" ht="12.3" hidden="1" x14ac:dyDescent="0.4">
      <c r="A1441" s="2" t="s">
        <v>112</v>
      </c>
      <c r="B1441" s="2"/>
      <c r="C1441" s="2"/>
      <c r="D1441" s="2"/>
      <c r="E1441" s="2"/>
      <c r="F1441" s="2"/>
      <c r="G1441" s="2"/>
      <c r="H1441" s="2"/>
      <c r="I1441" s="2">
        <v>71.137299999999996</v>
      </c>
      <c r="J1441" s="2">
        <v>44</v>
      </c>
      <c r="K1441" s="2">
        <v>70.746200000000002</v>
      </c>
      <c r="L1441" s="2">
        <v>43</v>
      </c>
      <c r="M1441" s="2">
        <v>102.6353</v>
      </c>
      <c r="N1441" s="2">
        <v>152</v>
      </c>
      <c r="O1441" s="2">
        <v>104.4731</v>
      </c>
      <c r="P1441" s="2">
        <v>115</v>
      </c>
      <c r="Q1441" s="2">
        <v>102.7796</v>
      </c>
      <c r="R1441" s="2">
        <v>190</v>
      </c>
      <c r="S1441" s="2">
        <v>101.9303</v>
      </c>
      <c r="T1441" s="2">
        <v>163</v>
      </c>
      <c r="U1441" s="2">
        <v>0.57037099999999996</v>
      </c>
      <c r="V1441" s="2">
        <v>130</v>
      </c>
      <c r="W1441" s="2">
        <v>2006</v>
      </c>
    </row>
    <row r="1442" spans="1:23" ht="12.3" hidden="1" x14ac:dyDescent="0.4">
      <c r="A1442" s="2" t="s">
        <v>291</v>
      </c>
      <c r="B1442" s="2"/>
      <c r="C1442" s="2"/>
      <c r="D1442" s="2"/>
      <c r="E1442" s="2"/>
      <c r="F1442" s="2"/>
      <c r="G1442" s="2"/>
      <c r="H1442" s="2"/>
      <c r="I1442" s="2">
        <v>73.294200000000004</v>
      </c>
      <c r="J1442" s="2">
        <v>14</v>
      </c>
      <c r="K1442" s="2">
        <v>72.438800000000001</v>
      </c>
      <c r="L1442" s="2">
        <v>17</v>
      </c>
      <c r="M1442" s="2">
        <v>97.466899999999995</v>
      </c>
      <c r="N1442" s="2">
        <v>240</v>
      </c>
      <c r="O1442" s="2">
        <v>98.412400000000005</v>
      </c>
      <c r="P1442" s="2">
        <v>227</v>
      </c>
      <c r="Q1442" s="2">
        <v>99.983599999999996</v>
      </c>
      <c r="R1442" s="2">
        <v>126</v>
      </c>
      <c r="S1442" s="2">
        <v>96.321399999999997</v>
      </c>
      <c r="T1442" s="2">
        <v>61</v>
      </c>
      <c r="U1442" s="2">
        <v>0.56143200000000004</v>
      </c>
      <c r="V1442" s="2">
        <v>131</v>
      </c>
      <c r="W1442" s="2">
        <v>2006</v>
      </c>
    </row>
    <row r="1443" spans="1:23" ht="12.3" x14ac:dyDescent="0.4">
      <c r="A1443" s="2" t="s">
        <v>333</v>
      </c>
      <c r="B1443" s="2">
        <v>12</v>
      </c>
      <c r="C1443" s="4" t="s">
        <v>33</v>
      </c>
      <c r="D1443" s="4" t="s">
        <v>33</v>
      </c>
      <c r="E1443" s="2"/>
      <c r="F1443" s="2"/>
      <c r="G1443" s="2"/>
      <c r="H1443" s="2"/>
      <c r="I1443" s="2">
        <v>65.532600000000002</v>
      </c>
      <c r="J1443" s="2">
        <v>254</v>
      </c>
      <c r="K1443" s="2">
        <v>65.781700000000001</v>
      </c>
      <c r="L1443" s="2">
        <v>240</v>
      </c>
      <c r="M1443" s="2">
        <v>113.4091</v>
      </c>
      <c r="N1443" s="2">
        <v>11</v>
      </c>
      <c r="O1443" s="2">
        <v>114.0527</v>
      </c>
      <c r="P1443" s="2">
        <v>16</v>
      </c>
      <c r="Q1443" s="2">
        <v>97.426500000000004</v>
      </c>
      <c r="R1443" s="2">
        <v>91</v>
      </c>
      <c r="S1443" s="2">
        <v>102.03489999999999</v>
      </c>
      <c r="T1443" s="2">
        <v>178</v>
      </c>
      <c r="U1443" s="2">
        <v>0.78253099999999998</v>
      </c>
      <c r="V1443" s="2">
        <v>60</v>
      </c>
      <c r="W1443" s="2">
        <v>2010</v>
      </c>
    </row>
    <row r="1444" spans="1:23" ht="12.3" hidden="1" x14ac:dyDescent="0.4">
      <c r="A1444" s="2" t="s">
        <v>110</v>
      </c>
      <c r="B1444" s="2"/>
      <c r="C1444" s="2"/>
      <c r="D1444" s="2"/>
      <c r="E1444" s="2"/>
      <c r="F1444" s="2"/>
      <c r="G1444" s="2"/>
      <c r="H1444" s="2"/>
      <c r="I1444" s="2">
        <v>64.3245</v>
      </c>
      <c r="J1444" s="2">
        <v>267</v>
      </c>
      <c r="K1444" s="2">
        <v>63.217100000000002</v>
      </c>
      <c r="L1444" s="2">
        <v>296</v>
      </c>
      <c r="M1444" s="2">
        <v>110.9636</v>
      </c>
      <c r="N1444" s="2">
        <v>26</v>
      </c>
      <c r="O1444" s="2">
        <v>107.8289</v>
      </c>
      <c r="P1444" s="2">
        <v>65</v>
      </c>
      <c r="Q1444" s="2">
        <v>103.72920000000001</v>
      </c>
      <c r="R1444" s="2">
        <v>216</v>
      </c>
      <c r="S1444" s="2">
        <v>105.8342</v>
      </c>
      <c r="T1444" s="2">
        <v>242</v>
      </c>
      <c r="U1444" s="2">
        <v>0.55347599999999997</v>
      </c>
      <c r="V1444" s="2">
        <v>133</v>
      </c>
      <c r="W1444" s="2">
        <v>2006</v>
      </c>
    </row>
    <row r="1445" spans="1:23" ht="12.3" hidden="1" x14ac:dyDescent="0.4">
      <c r="A1445" s="2" t="s">
        <v>188</v>
      </c>
      <c r="B1445" s="2"/>
      <c r="C1445" s="2"/>
      <c r="D1445" s="2"/>
      <c r="E1445" s="2"/>
      <c r="F1445" s="2"/>
      <c r="G1445" s="2"/>
      <c r="H1445" s="2"/>
      <c r="I1445" s="2">
        <v>75.432699999999997</v>
      </c>
      <c r="J1445" s="2">
        <v>5</v>
      </c>
      <c r="K1445" s="2">
        <v>75.238799999999998</v>
      </c>
      <c r="L1445" s="2">
        <v>2</v>
      </c>
      <c r="M1445" s="2">
        <v>107.91079999999999</v>
      </c>
      <c r="N1445" s="2">
        <v>56</v>
      </c>
      <c r="O1445" s="2">
        <v>106.9562</v>
      </c>
      <c r="P1445" s="2">
        <v>75</v>
      </c>
      <c r="Q1445" s="2">
        <v>105.3005</v>
      </c>
      <c r="R1445" s="2">
        <v>243</v>
      </c>
      <c r="S1445" s="2">
        <v>105.00279999999999</v>
      </c>
      <c r="T1445" s="2">
        <v>222</v>
      </c>
      <c r="U1445" s="2">
        <v>0.55279500000000004</v>
      </c>
      <c r="V1445" s="2">
        <v>134</v>
      </c>
      <c r="W1445" s="2">
        <v>2006</v>
      </c>
    </row>
    <row r="1446" spans="1:23" ht="12.3" hidden="1" x14ac:dyDescent="0.4">
      <c r="A1446" s="2" t="s">
        <v>64</v>
      </c>
      <c r="B1446" s="2"/>
      <c r="C1446" s="2"/>
      <c r="D1446" s="2"/>
      <c r="E1446" s="2"/>
      <c r="F1446" s="2"/>
      <c r="G1446" s="2"/>
      <c r="H1446" s="2"/>
      <c r="I1446" s="2">
        <v>62.890700000000002</v>
      </c>
      <c r="J1446" s="2">
        <v>302</v>
      </c>
      <c r="K1446" s="2">
        <v>63.759399999999999</v>
      </c>
      <c r="L1446" s="2">
        <v>280</v>
      </c>
      <c r="M1446" s="2">
        <v>99.296199999999999</v>
      </c>
      <c r="N1446" s="2">
        <v>201</v>
      </c>
      <c r="O1446" s="2">
        <v>101.5493</v>
      </c>
      <c r="P1446" s="2">
        <v>167</v>
      </c>
      <c r="Q1446" s="2">
        <v>97.918199999999999</v>
      </c>
      <c r="R1446" s="2">
        <v>84</v>
      </c>
      <c r="S1446" s="2">
        <v>99.735699999999994</v>
      </c>
      <c r="T1446" s="2">
        <v>124</v>
      </c>
      <c r="U1446" s="2">
        <v>0.551624</v>
      </c>
      <c r="V1446" s="2">
        <v>135</v>
      </c>
      <c r="W1446" s="2">
        <v>2006</v>
      </c>
    </row>
    <row r="1447" spans="1:23" ht="12.3" hidden="1" x14ac:dyDescent="0.4">
      <c r="A1447" s="2" t="s">
        <v>205</v>
      </c>
      <c r="B1447" s="2"/>
      <c r="C1447" s="2"/>
      <c r="D1447" s="2"/>
      <c r="E1447" s="2"/>
      <c r="F1447" s="2"/>
      <c r="G1447" s="2"/>
      <c r="H1447" s="2"/>
      <c r="I1447" s="2">
        <v>65.227699999999999</v>
      </c>
      <c r="J1447" s="2">
        <v>240</v>
      </c>
      <c r="K1447" s="2">
        <v>66.233699999999999</v>
      </c>
      <c r="L1447" s="2">
        <v>206</v>
      </c>
      <c r="M1447" s="2">
        <v>101.5955</v>
      </c>
      <c r="N1447" s="2">
        <v>170</v>
      </c>
      <c r="O1447" s="2">
        <v>104.15089999999999</v>
      </c>
      <c r="P1447" s="2">
        <v>120</v>
      </c>
      <c r="Q1447" s="2">
        <v>105.6144</v>
      </c>
      <c r="R1447" s="2">
        <v>247</v>
      </c>
      <c r="S1447" s="2">
        <v>102.3129</v>
      </c>
      <c r="T1447" s="2">
        <v>170</v>
      </c>
      <c r="U1447" s="2">
        <v>0.55101100000000003</v>
      </c>
      <c r="V1447" s="2">
        <v>136</v>
      </c>
      <c r="W1447" s="2">
        <v>2006</v>
      </c>
    </row>
    <row r="1448" spans="1:23" ht="12.3" hidden="1" x14ac:dyDescent="0.4">
      <c r="A1448" s="2" t="s">
        <v>157</v>
      </c>
      <c r="B1448" s="2"/>
      <c r="C1448" s="2"/>
      <c r="D1448" s="2"/>
      <c r="E1448" s="2"/>
      <c r="F1448" s="2"/>
      <c r="G1448" s="2"/>
      <c r="H1448" s="2"/>
      <c r="I1448" s="2">
        <v>69.307199999999995</v>
      </c>
      <c r="J1448" s="2">
        <v>84</v>
      </c>
      <c r="K1448" s="2">
        <v>69.613799999999998</v>
      </c>
      <c r="L1448" s="2">
        <v>71</v>
      </c>
      <c r="M1448" s="2">
        <v>104.4109</v>
      </c>
      <c r="N1448" s="2">
        <v>123</v>
      </c>
      <c r="O1448" s="2">
        <v>105.499</v>
      </c>
      <c r="P1448" s="2">
        <v>97</v>
      </c>
      <c r="Q1448" s="2">
        <v>103.5146</v>
      </c>
      <c r="R1448" s="2">
        <v>207</v>
      </c>
      <c r="S1448" s="2">
        <v>103.7026</v>
      </c>
      <c r="T1448" s="2">
        <v>198</v>
      </c>
      <c r="U1448" s="2">
        <v>0.54921699999999996</v>
      </c>
      <c r="V1448" s="2">
        <v>137</v>
      </c>
      <c r="W1448" s="2">
        <v>2006</v>
      </c>
    </row>
    <row r="1449" spans="1:23" ht="12.3" hidden="1" x14ac:dyDescent="0.4">
      <c r="A1449" s="2" t="s">
        <v>213</v>
      </c>
      <c r="B1449" s="2"/>
      <c r="C1449" s="2"/>
      <c r="D1449" s="2"/>
      <c r="E1449" s="2"/>
      <c r="F1449" s="2"/>
      <c r="G1449" s="2"/>
      <c r="H1449" s="2"/>
      <c r="I1449" s="2">
        <v>68.023899999999998</v>
      </c>
      <c r="J1449" s="2">
        <v>127</v>
      </c>
      <c r="K1449" s="2">
        <v>69.581199999999995</v>
      </c>
      <c r="L1449" s="2">
        <v>74</v>
      </c>
      <c r="M1449" s="2">
        <v>104.1422</v>
      </c>
      <c r="N1449" s="2">
        <v>127</v>
      </c>
      <c r="O1449" s="2">
        <v>104.1007</v>
      </c>
      <c r="P1449" s="2">
        <v>121</v>
      </c>
      <c r="Q1449" s="2">
        <v>101.8869</v>
      </c>
      <c r="R1449" s="2">
        <v>166</v>
      </c>
      <c r="S1449" s="2">
        <v>102.8583</v>
      </c>
      <c r="T1449" s="2">
        <v>181</v>
      </c>
      <c r="U1449" s="2">
        <v>0.53446199999999999</v>
      </c>
      <c r="V1449" s="2">
        <v>138</v>
      </c>
      <c r="W1449" s="2">
        <v>2006</v>
      </c>
    </row>
    <row r="1450" spans="1:23" ht="12.3" hidden="1" x14ac:dyDescent="0.4">
      <c r="A1450" s="2" t="s">
        <v>150</v>
      </c>
      <c r="B1450" s="2"/>
      <c r="C1450" s="2"/>
      <c r="D1450" s="2"/>
      <c r="E1450" s="2"/>
      <c r="F1450" s="2"/>
      <c r="G1450" s="2"/>
      <c r="H1450" s="2"/>
      <c r="I1450" s="2">
        <v>66.286000000000001</v>
      </c>
      <c r="J1450" s="2">
        <v>197</v>
      </c>
      <c r="K1450" s="2">
        <v>67.3827</v>
      </c>
      <c r="L1450" s="2">
        <v>142</v>
      </c>
      <c r="M1450" s="2">
        <v>107.0377</v>
      </c>
      <c r="N1450" s="2">
        <v>66</v>
      </c>
      <c r="O1450" s="2">
        <v>106.0539</v>
      </c>
      <c r="P1450" s="2">
        <v>85</v>
      </c>
      <c r="Q1450" s="2">
        <v>105.7599</v>
      </c>
      <c r="R1450" s="2">
        <v>251</v>
      </c>
      <c r="S1450" s="2">
        <v>104.818</v>
      </c>
      <c r="T1450" s="2">
        <v>218</v>
      </c>
      <c r="U1450" s="2">
        <v>0.53365200000000002</v>
      </c>
      <c r="V1450" s="2">
        <v>139</v>
      </c>
      <c r="W1450" s="2">
        <v>2006</v>
      </c>
    </row>
    <row r="1451" spans="1:23" ht="12.3" hidden="1" x14ac:dyDescent="0.4">
      <c r="A1451" s="2" t="s">
        <v>158</v>
      </c>
      <c r="B1451" s="2"/>
      <c r="C1451" s="2"/>
      <c r="D1451" s="2"/>
      <c r="E1451" s="2"/>
      <c r="F1451" s="2"/>
      <c r="G1451" s="2"/>
      <c r="H1451" s="2"/>
      <c r="I1451" s="2">
        <v>65.9178</v>
      </c>
      <c r="J1451" s="2">
        <v>214</v>
      </c>
      <c r="K1451" s="2">
        <v>66.313500000000005</v>
      </c>
      <c r="L1451" s="2">
        <v>195</v>
      </c>
      <c r="M1451" s="2">
        <v>95.268100000000004</v>
      </c>
      <c r="N1451" s="2">
        <v>279</v>
      </c>
      <c r="O1451" s="2">
        <v>103.2454</v>
      </c>
      <c r="P1451" s="2">
        <v>138</v>
      </c>
      <c r="Q1451" s="2">
        <v>109.95269999999999</v>
      </c>
      <c r="R1451" s="2">
        <v>310</v>
      </c>
      <c r="S1451" s="2">
        <v>102.0976</v>
      </c>
      <c r="T1451" s="2">
        <v>166</v>
      </c>
      <c r="U1451" s="2">
        <v>0.53209600000000001</v>
      </c>
      <c r="V1451" s="2">
        <v>140</v>
      </c>
      <c r="W1451" s="2">
        <v>2006</v>
      </c>
    </row>
    <row r="1452" spans="1:23" ht="12.3" hidden="1" x14ac:dyDescent="0.4">
      <c r="A1452" s="2" t="s">
        <v>139</v>
      </c>
      <c r="B1452" s="2"/>
      <c r="C1452" s="2"/>
      <c r="D1452" s="2"/>
      <c r="E1452" s="2"/>
      <c r="F1452" s="2"/>
      <c r="G1452" s="2"/>
      <c r="H1452" s="2"/>
      <c r="I1452" s="2">
        <v>70.226500000000001</v>
      </c>
      <c r="J1452" s="2">
        <v>56</v>
      </c>
      <c r="K1452" s="2">
        <v>69.097700000000003</v>
      </c>
      <c r="L1452" s="2">
        <v>86</v>
      </c>
      <c r="M1452" s="2">
        <v>107.71559999999999</v>
      </c>
      <c r="N1452" s="2">
        <v>58</v>
      </c>
      <c r="O1452" s="2">
        <v>105.58629999999999</v>
      </c>
      <c r="P1452" s="2">
        <v>92</v>
      </c>
      <c r="Q1452" s="2">
        <v>106.10590000000001</v>
      </c>
      <c r="R1452" s="2">
        <v>257</v>
      </c>
      <c r="S1452" s="2">
        <v>104.4384</v>
      </c>
      <c r="T1452" s="2">
        <v>210</v>
      </c>
      <c r="U1452" s="2">
        <v>0.53138799999999997</v>
      </c>
      <c r="V1452" s="2">
        <v>141</v>
      </c>
      <c r="W1452" s="2">
        <v>2006</v>
      </c>
    </row>
    <row r="1453" spans="1:23" ht="12.3" hidden="1" x14ac:dyDescent="0.4">
      <c r="A1453" s="2" t="s">
        <v>208</v>
      </c>
      <c r="B1453" s="2"/>
      <c r="C1453" s="2"/>
      <c r="D1453" s="2"/>
      <c r="E1453" s="2"/>
      <c r="F1453" s="2"/>
      <c r="G1453" s="2"/>
      <c r="H1453" s="2"/>
      <c r="I1453" s="2">
        <v>56.831200000000003</v>
      </c>
      <c r="J1453" s="2">
        <v>333</v>
      </c>
      <c r="K1453" s="2">
        <v>57.247300000000003</v>
      </c>
      <c r="L1453" s="2">
        <v>331</v>
      </c>
      <c r="M1453" s="2">
        <v>111.1272</v>
      </c>
      <c r="N1453" s="2">
        <v>22</v>
      </c>
      <c r="O1453" s="2">
        <v>108.52079999999999</v>
      </c>
      <c r="P1453" s="2">
        <v>58</v>
      </c>
      <c r="Q1453" s="2">
        <v>105.4931</v>
      </c>
      <c r="R1453" s="2">
        <v>245</v>
      </c>
      <c r="S1453" s="2">
        <v>107.3586</v>
      </c>
      <c r="T1453" s="2">
        <v>270</v>
      </c>
      <c r="U1453" s="2">
        <v>0.530918</v>
      </c>
      <c r="V1453" s="2">
        <v>142</v>
      </c>
      <c r="W1453" s="2">
        <v>2006</v>
      </c>
    </row>
    <row r="1454" spans="1:23" ht="12.3" hidden="1" x14ac:dyDescent="0.4">
      <c r="A1454" s="2" t="s">
        <v>70</v>
      </c>
      <c r="B1454" s="2"/>
      <c r="C1454" s="2"/>
      <c r="D1454" s="2"/>
      <c r="E1454" s="2"/>
      <c r="F1454" s="2"/>
      <c r="G1454" s="2"/>
      <c r="H1454" s="2"/>
      <c r="I1454" s="2">
        <v>62.124299999999998</v>
      </c>
      <c r="J1454" s="2">
        <v>312</v>
      </c>
      <c r="K1454" s="2">
        <v>61.927199999999999</v>
      </c>
      <c r="L1454" s="2">
        <v>314</v>
      </c>
      <c r="M1454" s="2">
        <v>101.6146</v>
      </c>
      <c r="N1454" s="2">
        <v>169</v>
      </c>
      <c r="O1454" s="2">
        <v>103.2787</v>
      </c>
      <c r="P1454" s="2">
        <v>137</v>
      </c>
      <c r="Q1454" s="2">
        <v>102.2741</v>
      </c>
      <c r="R1454" s="2">
        <v>178</v>
      </c>
      <c r="S1454" s="2">
        <v>102.3087</v>
      </c>
      <c r="T1454" s="2">
        <v>169</v>
      </c>
      <c r="U1454" s="2">
        <v>0.52710199999999996</v>
      </c>
      <c r="V1454" s="2">
        <v>143</v>
      </c>
      <c r="W1454" s="2">
        <v>2006</v>
      </c>
    </row>
    <row r="1455" spans="1:23" ht="12.3" hidden="1" x14ac:dyDescent="0.4">
      <c r="A1455" s="2" t="s">
        <v>212</v>
      </c>
      <c r="B1455" s="2"/>
      <c r="C1455" s="2"/>
      <c r="D1455" s="2"/>
      <c r="E1455" s="2"/>
      <c r="F1455" s="2"/>
      <c r="G1455" s="2"/>
      <c r="H1455" s="2"/>
      <c r="I1455" s="2">
        <v>71.383600000000001</v>
      </c>
      <c r="J1455" s="2">
        <v>37</v>
      </c>
      <c r="K1455" s="2">
        <v>71.2881</v>
      </c>
      <c r="L1455" s="2">
        <v>33</v>
      </c>
      <c r="M1455" s="2">
        <v>100.1099</v>
      </c>
      <c r="N1455" s="2">
        <v>192</v>
      </c>
      <c r="O1455" s="2">
        <v>100.5354</v>
      </c>
      <c r="P1455" s="2">
        <v>189</v>
      </c>
      <c r="Q1455" s="2">
        <v>99.624200000000002</v>
      </c>
      <c r="R1455" s="2">
        <v>120</v>
      </c>
      <c r="S1455" s="2">
        <v>99.665300000000002</v>
      </c>
      <c r="T1455" s="2">
        <v>123</v>
      </c>
      <c r="U1455" s="2">
        <v>0.52497000000000005</v>
      </c>
      <c r="V1455" s="2">
        <v>144</v>
      </c>
      <c r="W1455" s="2">
        <v>2006</v>
      </c>
    </row>
    <row r="1456" spans="1:23" ht="12.3" hidden="1" x14ac:dyDescent="0.4">
      <c r="A1456" s="2" t="s">
        <v>335</v>
      </c>
      <c r="B1456" s="2"/>
      <c r="C1456" s="2"/>
      <c r="D1456" s="2"/>
      <c r="E1456" s="2"/>
      <c r="F1456" s="2"/>
      <c r="G1456" s="2"/>
      <c r="H1456" s="2"/>
      <c r="I1456" s="2">
        <v>69.467399999999998</v>
      </c>
      <c r="J1456" s="2">
        <v>76</v>
      </c>
      <c r="K1456" s="2">
        <v>67.590599999999995</v>
      </c>
      <c r="L1456" s="2">
        <v>132</v>
      </c>
      <c r="M1456" s="2">
        <v>105.9307</v>
      </c>
      <c r="N1456" s="2">
        <v>86</v>
      </c>
      <c r="O1456" s="2">
        <v>105.5611</v>
      </c>
      <c r="P1456" s="2">
        <v>94</v>
      </c>
      <c r="Q1456" s="2">
        <v>106.3621</v>
      </c>
      <c r="R1456" s="2">
        <v>265</v>
      </c>
      <c r="S1456" s="2">
        <v>104.70099999999999</v>
      </c>
      <c r="T1456" s="2">
        <v>213</v>
      </c>
      <c r="U1456" s="2">
        <v>0.52350600000000003</v>
      </c>
      <c r="V1456" s="2">
        <v>145</v>
      </c>
      <c r="W1456" s="2">
        <v>2006</v>
      </c>
    </row>
    <row r="1457" spans="1:23" ht="12.3" hidden="1" x14ac:dyDescent="0.4">
      <c r="A1457" s="2" t="s">
        <v>121</v>
      </c>
      <c r="B1457" s="2"/>
      <c r="C1457" s="2"/>
      <c r="D1457" s="2"/>
      <c r="E1457" s="2"/>
      <c r="F1457" s="2"/>
      <c r="G1457" s="2"/>
      <c r="H1457" s="2"/>
      <c r="I1457" s="2">
        <v>67.312299999999993</v>
      </c>
      <c r="J1457" s="2">
        <v>151</v>
      </c>
      <c r="K1457" s="2">
        <v>67.399500000000003</v>
      </c>
      <c r="L1457" s="2">
        <v>139</v>
      </c>
      <c r="M1457" s="2">
        <v>95.656899999999993</v>
      </c>
      <c r="N1457" s="2">
        <v>270</v>
      </c>
      <c r="O1457" s="2">
        <v>100.8591</v>
      </c>
      <c r="P1457" s="2">
        <v>179</v>
      </c>
      <c r="Q1457" s="2">
        <v>105.0415</v>
      </c>
      <c r="R1457" s="2">
        <v>240</v>
      </c>
      <c r="S1457" s="2">
        <v>100.126</v>
      </c>
      <c r="T1457" s="2">
        <v>130</v>
      </c>
      <c r="U1457" s="2">
        <v>0.52096100000000001</v>
      </c>
      <c r="V1457" s="2">
        <v>146</v>
      </c>
      <c r="W1457" s="2">
        <v>2006</v>
      </c>
    </row>
    <row r="1458" spans="1:23" ht="12.3" hidden="1" x14ac:dyDescent="0.4">
      <c r="A1458" s="2" t="s">
        <v>99</v>
      </c>
      <c r="B1458" s="2"/>
      <c r="C1458" s="2"/>
      <c r="D1458" s="2"/>
      <c r="E1458" s="2"/>
      <c r="F1458" s="2"/>
      <c r="G1458" s="2"/>
      <c r="H1458" s="2"/>
      <c r="I1458" s="2">
        <v>66.390600000000006</v>
      </c>
      <c r="J1458" s="2">
        <v>195</v>
      </c>
      <c r="K1458" s="2">
        <v>66.548299999999998</v>
      </c>
      <c r="L1458" s="2">
        <v>183</v>
      </c>
      <c r="M1458" s="2">
        <v>99.352099999999993</v>
      </c>
      <c r="N1458" s="2">
        <v>198</v>
      </c>
      <c r="O1458" s="2">
        <v>102.7052</v>
      </c>
      <c r="P1458" s="2">
        <v>150</v>
      </c>
      <c r="Q1458" s="2">
        <v>103.6983</v>
      </c>
      <c r="R1458" s="2">
        <v>213</v>
      </c>
      <c r="S1458" s="2">
        <v>101.9624</v>
      </c>
      <c r="T1458" s="2">
        <v>164</v>
      </c>
      <c r="U1458" s="2">
        <v>0.52085800000000004</v>
      </c>
      <c r="V1458" s="2">
        <v>147</v>
      </c>
      <c r="W1458" s="2">
        <v>2006</v>
      </c>
    </row>
    <row r="1459" spans="1:23" ht="12.3" hidden="1" x14ac:dyDescent="0.4">
      <c r="A1459" s="2" t="s">
        <v>153</v>
      </c>
      <c r="B1459" s="2"/>
      <c r="C1459" s="2"/>
      <c r="D1459" s="2"/>
      <c r="E1459" s="2"/>
      <c r="F1459" s="2"/>
      <c r="G1459" s="2"/>
      <c r="H1459" s="2"/>
      <c r="I1459" s="2">
        <v>73.934200000000004</v>
      </c>
      <c r="J1459" s="2">
        <v>10</v>
      </c>
      <c r="K1459" s="2">
        <v>73.703699999999998</v>
      </c>
      <c r="L1459" s="2">
        <v>6</v>
      </c>
      <c r="M1459" s="2">
        <v>103.22799999999999</v>
      </c>
      <c r="N1459" s="2">
        <v>143</v>
      </c>
      <c r="O1459" s="2">
        <v>100.4678</v>
      </c>
      <c r="P1459" s="2">
        <v>192</v>
      </c>
      <c r="Q1459" s="2">
        <v>98.438199999999995</v>
      </c>
      <c r="R1459" s="2">
        <v>89</v>
      </c>
      <c r="S1459" s="2">
        <v>99.746399999999994</v>
      </c>
      <c r="T1459" s="2">
        <v>126</v>
      </c>
      <c r="U1459" s="2">
        <v>0.52070499999999997</v>
      </c>
      <c r="V1459" s="2">
        <v>148</v>
      </c>
      <c r="W1459" s="2">
        <v>2006</v>
      </c>
    </row>
    <row r="1460" spans="1:23" ht="12.3" hidden="1" x14ac:dyDescent="0.4">
      <c r="A1460" s="2" t="s">
        <v>93</v>
      </c>
      <c r="B1460" s="2"/>
      <c r="C1460" s="2"/>
      <c r="D1460" s="2"/>
      <c r="E1460" s="2"/>
      <c r="F1460" s="2"/>
      <c r="G1460" s="2"/>
      <c r="H1460" s="2"/>
      <c r="I1460" s="2">
        <v>68.247299999999996</v>
      </c>
      <c r="J1460" s="2">
        <v>124</v>
      </c>
      <c r="K1460" s="2">
        <v>70.081800000000001</v>
      </c>
      <c r="L1460" s="2">
        <v>57</v>
      </c>
      <c r="M1460" s="2">
        <v>95.640199999999993</v>
      </c>
      <c r="N1460" s="2">
        <v>271</v>
      </c>
      <c r="O1460" s="2">
        <v>96.860299999999995</v>
      </c>
      <c r="P1460" s="2">
        <v>249</v>
      </c>
      <c r="Q1460" s="2">
        <v>97.341800000000006</v>
      </c>
      <c r="R1460" s="2">
        <v>69</v>
      </c>
      <c r="S1460" s="2">
        <v>96.186999999999998</v>
      </c>
      <c r="T1460" s="2">
        <v>59</v>
      </c>
      <c r="U1460" s="2">
        <v>0.52004399999999995</v>
      </c>
      <c r="V1460" s="2">
        <v>149</v>
      </c>
      <c r="W1460" s="2">
        <v>2006</v>
      </c>
    </row>
    <row r="1461" spans="1:23" ht="12.3" hidden="1" x14ac:dyDescent="0.4">
      <c r="A1461" s="2" t="s">
        <v>334</v>
      </c>
      <c r="B1461" s="2"/>
      <c r="C1461" s="2"/>
      <c r="D1461" s="2"/>
      <c r="E1461" s="2"/>
      <c r="F1461" s="2"/>
      <c r="G1461" s="2"/>
      <c r="H1461" s="2"/>
      <c r="I1461" s="2">
        <v>63.921700000000001</v>
      </c>
      <c r="J1461" s="2">
        <v>278</v>
      </c>
      <c r="K1461" s="2">
        <v>62.625999999999998</v>
      </c>
      <c r="L1461" s="2">
        <v>308</v>
      </c>
      <c r="M1461" s="2">
        <v>108.4387</v>
      </c>
      <c r="N1461" s="2">
        <v>47</v>
      </c>
      <c r="O1461" s="2">
        <v>107.0517</v>
      </c>
      <c r="P1461" s="2">
        <v>74</v>
      </c>
      <c r="Q1461" s="2">
        <v>105.72069999999999</v>
      </c>
      <c r="R1461" s="2">
        <v>250</v>
      </c>
      <c r="S1461" s="2">
        <v>106.3267</v>
      </c>
      <c r="T1461" s="2">
        <v>253</v>
      </c>
      <c r="U1461" s="2">
        <v>0.51952699999999996</v>
      </c>
      <c r="V1461" s="2">
        <v>150</v>
      </c>
      <c r="W1461" s="2">
        <v>2006</v>
      </c>
    </row>
    <row r="1462" spans="1:23" ht="12.3" hidden="1" x14ac:dyDescent="0.4">
      <c r="A1462" s="2" t="s">
        <v>254</v>
      </c>
      <c r="B1462" s="2"/>
      <c r="C1462" s="2"/>
      <c r="D1462" s="2"/>
      <c r="E1462" s="2"/>
      <c r="F1462" s="2"/>
      <c r="G1462" s="2"/>
      <c r="H1462" s="2"/>
      <c r="I1462" s="2">
        <v>71.315600000000003</v>
      </c>
      <c r="J1462" s="2">
        <v>38</v>
      </c>
      <c r="K1462" s="2">
        <v>70.878399999999999</v>
      </c>
      <c r="L1462" s="2">
        <v>41</v>
      </c>
      <c r="M1462" s="2">
        <v>104.7808</v>
      </c>
      <c r="N1462" s="2">
        <v>111</v>
      </c>
      <c r="O1462" s="2">
        <v>103.45529999999999</v>
      </c>
      <c r="P1462" s="2">
        <v>132</v>
      </c>
      <c r="Q1462" s="2">
        <v>102.5731</v>
      </c>
      <c r="R1462" s="2">
        <v>184</v>
      </c>
      <c r="S1462" s="2">
        <v>102.9598</v>
      </c>
      <c r="T1462" s="2">
        <v>183</v>
      </c>
      <c r="U1462" s="2">
        <v>0.51380099999999995</v>
      </c>
      <c r="V1462" s="2">
        <v>151</v>
      </c>
      <c r="W1462" s="2">
        <v>2006</v>
      </c>
    </row>
    <row r="1463" spans="1:23" ht="12.3" hidden="1" x14ac:dyDescent="0.4">
      <c r="A1463" s="2" t="s">
        <v>258</v>
      </c>
      <c r="B1463" s="2"/>
      <c r="C1463" s="2"/>
      <c r="D1463" s="2"/>
      <c r="E1463" s="2"/>
      <c r="F1463" s="2"/>
      <c r="G1463" s="2"/>
      <c r="H1463" s="2"/>
      <c r="I1463" s="2">
        <v>62.576500000000003</v>
      </c>
      <c r="J1463" s="2">
        <v>306</v>
      </c>
      <c r="K1463" s="2">
        <v>64.169300000000007</v>
      </c>
      <c r="L1463" s="2">
        <v>271</v>
      </c>
      <c r="M1463" s="2">
        <v>100.575</v>
      </c>
      <c r="N1463" s="2">
        <v>184</v>
      </c>
      <c r="O1463" s="2">
        <v>102.78870000000001</v>
      </c>
      <c r="P1463" s="2">
        <v>147</v>
      </c>
      <c r="Q1463" s="2">
        <v>102.7591</v>
      </c>
      <c r="R1463" s="2">
        <v>189</v>
      </c>
      <c r="S1463" s="2">
        <v>102.42449999999999</v>
      </c>
      <c r="T1463" s="2">
        <v>172</v>
      </c>
      <c r="U1463" s="2">
        <v>0.51020200000000004</v>
      </c>
      <c r="V1463" s="2">
        <v>152</v>
      </c>
      <c r="W1463" s="2">
        <v>2006</v>
      </c>
    </row>
    <row r="1464" spans="1:23" ht="12.3" x14ac:dyDescent="0.4">
      <c r="A1464" s="2" t="s">
        <v>279</v>
      </c>
      <c r="B1464" s="2">
        <v>13</v>
      </c>
      <c r="C1464" s="2"/>
      <c r="D1464" s="2"/>
      <c r="E1464" s="2"/>
      <c r="F1464" s="2"/>
      <c r="G1464" s="2"/>
      <c r="H1464" s="2"/>
      <c r="I1464" s="2">
        <v>65.826599999999999</v>
      </c>
      <c r="J1464" s="2">
        <v>245</v>
      </c>
      <c r="K1464" s="2">
        <v>65.066800000000001</v>
      </c>
      <c r="L1464" s="2">
        <v>272</v>
      </c>
      <c r="M1464" s="2">
        <v>104.43170000000001</v>
      </c>
      <c r="N1464" s="2">
        <v>103</v>
      </c>
      <c r="O1464" s="2">
        <v>102.7302</v>
      </c>
      <c r="P1464" s="2">
        <v>151</v>
      </c>
      <c r="Q1464" s="2">
        <v>93.686300000000003</v>
      </c>
      <c r="R1464" s="2">
        <v>32</v>
      </c>
      <c r="S1464" s="2">
        <v>93.259399999999999</v>
      </c>
      <c r="T1464" s="2">
        <v>34</v>
      </c>
      <c r="U1464" s="2">
        <v>0.75255700000000003</v>
      </c>
      <c r="V1464" s="2">
        <v>71</v>
      </c>
      <c r="W1464" s="2">
        <v>2010</v>
      </c>
    </row>
    <row r="1465" spans="1:23" ht="12.3" hidden="1" x14ac:dyDescent="0.4">
      <c r="A1465" s="2" t="s">
        <v>187</v>
      </c>
      <c r="B1465" s="2"/>
      <c r="C1465" s="2"/>
      <c r="D1465" s="2"/>
      <c r="E1465" s="2"/>
      <c r="F1465" s="2"/>
      <c r="G1465" s="2"/>
      <c r="H1465" s="2"/>
      <c r="I1465" s="2">
        <v>69.395600000000002</v>
      </c>
      <c r="J1465" s="2">
        <v>80</v>
      </c>
      <c r="K1465" s="2">
        <v>66.869399999999999</v>
      </c>
      <c r="L1465" s="2">
        <v>165</v>
      </c>
      <c r="M1465" s="2">
        <v>105.6738</v>
      </c>
      <c r="N1465" s="2">
        <v>93</v>
      </c>
      <c r="O1465" s="2">
        <v>105.9294</v>
      </c>
      <c r="P1465" s="2">
        <v>87</v>
      </c>
      <c r="Q1465" s="2">
        <v>106.33369999999999</v>
      </c>
      <c r="R1465" s="2">
        <v>264</v>
      </c>
      <c r="S1465" s="2">
        <v>105.6965</v>
      </c>
      <c r="T1465" s="2">
        <v>238</v>
      </c>
      <c r="U1465" s="2">
        <v>0.50632699999999997</v>
      </c>
      <c r="V1465" s="2">
        <v>154</v>
      </c>
      <c r="W1465" s="2">
        <v>2006</v>
      </c>
    </row>
    <row r="1466" spans="1:23" ht="12.3" hidden="1" x14ac:dyDescent="0.4">
      <c r="A1466" s="2" t="s">
        <v>149</v>
      </c>
      <c r="B1466" s="2"/>
      <c r="C1466" s="2"/>
      <c r="D1466" s="2"/>
      <c r="E1466" s="2"/>
      <c r="F1466" s="2"/>
      <c r="G1466" s="2"/>
      <c r="H1466" s="2"/>
      <c r="I1466" s="2">
        <v>66.505899999999997</v>
      </c>
      <c r="J1466" s="2">
        <v>189</v>
      </c>
      <c r="K1466" s="2">
        <v>66.448300000000003</v>
      </c>
      <c r="L1466" s="2">
        <v>186</v>
      </c>
      <c r="M1466" s="2">
        <v>98.456199999999995</v>
      </c>
      <c r="N1466" s="2">
        <v>221</v>
      </c>
      <c r="O1466" s="2">
        <v>102.5727</v>
      </c>
      <c r="P1466" s="2">
        <v>153</v>
      </c>
      <c r="Q1466" s="2">
        <v>104.6283</v>
      </c>
      <c r="R1466" s="2">
        <v>232</v>
      </c>
      <c r="S1466" s="2">
        <v>102.5558</v>
      </c>
      <c r="T1466" s="2">
        <v>175</v>
      </c>
      <c r="U1466" s="2">
        <v>0.500475</v>
      </c>
      <c r="V1466" s="2">
        <v>155</v>
      </c>
      <c r="W1466" s="2">
        <v>2006</v>
      </c>
    </row>
    <row r="1467" spans="1:23" ht="12.3" hidden="1" x14ac:dyDescent="0.4">
      <c r="A1467" s="2" t="s">
        <v>117</v>
      </c>
      <c r="B1467" s="2"/>
      <c r="C1467" s="2"/>
      <c r="D1467" s="2"/>
      <c r="E1467" s="2"/>
      <c r="F1467" s="2"/>
      <c r="G1467" s="2"/>
      <c r="H1467" s="2"/>
      <c r="I1467" s="2">
        <v>68.376400000000004</v>
      </c>
      <c r="J1467" s="2">
        <v>116</v>
      </c>
      <c r="K1467" s="2">
        <v>67.646799999999999</v>
      </c>
      <c r="L1467" s="2">
        <v>128</v>
      </c>
      <c r="M1467" s="2">
        <v>95.909800000000004</v>
      </c>
      <c r="N1467" s="2">
        <v>267</v>
      </c>
      <c r="O1467" s="2">
        <v>96.450100000000006</v>
      </c>
      <c r="P1467" s="2">
        <v>255</v>
      </c>
      <c r="Q1467" s="2">
        <v>98.965000000000003</v>
      </c>
      <c r="R1467" s="2">
        <v>101</v>
      </c>
      <c r="S1467" s="2">
        <v>96.530900000000003</v>
      </c>
      <c r="T1467" s="2">
        <v>67</v>
      </c>
      <c r="U1467" s="2">
        <v>0.49759399999999998</v>
      </c>
      <c r="V1467" s="2">
        <v>156</v>
      </c>
      <c r="W1467" s="2">
        <v>2006</v>
      </c>
    </row>
    <row r="1468" spans="1:23" ht="12.3" hidden="1" x14ac:dyDescent="0.4">
      <c r="A1468" s="2" t="s">
        <v>73</v>
      </c>
      <c r="B1468" s="2"/>
      <c r="C1468" s="2"/>
      <c r="D1468" s="2"/>
      <c r="E1468" s="2"/>
      <c r="F1468" s="2"/>
      <c r="G1468" s="2"/>
      <c r="H1468" s="2"/>
      <c r="I1468" s="2">
        <v>66.716899999999995</v>
      </c>
      <c r="J1468" s="2">
        <v>180</v>
      </c>
      <c r="K1468" s="2">
        <v>66.1828</v>
      </c>
      <c r="L1468" s="2">
        <v>211</v>
      </c>
      <c r="M1468" s="2">
        <v>99.047399999999996</v>
      </c>
      <c r="N1468" s="2">
        <v>212</v>
      </c>
      <c r="O1468" s="2">
        <v>102.9432</v>
      </c>
      <c r="P1468" s="2">
        <v>144</v>
      </c>
      <c r="Q1468" s="2">
        <v>104.98869999999999</v>
      </c>
      <c r="R1468" s="2">
        <v>239</v>
      </c>
      <c r="S1468" s="2">
        <v>103.15949999999999</v>
      </c>
      <c r="T1468" s="2">
        <v>189</v>
      </c>
      <c r="U1468" s="2">
        <v>0.49396699999999999</v>
      </c>
      <c r="V1468" s="2">
        <v>157</v>
      </c>
      <c r="W1468" s="2">
        <v>2006</v>
      </c>
    </row>
    <row r="1469" spans="1:23" ht="12.3" hidden="1" x14ac:dyDescent="0.4">
      <c r="A1469" s="2" t="s">
        <v>51</v>
      </c>
      <c r="B1469" s="2"/>
      <c r="C1469" s="2"/>
      <c r="D1469" s="2"/>
      <c r="E1469" s="2"/>
      <c r="F1469" s="2"/>
      <c r="G1469" s="2"/>
      <c r="H1469" s="2"/>
      <c r="I1469" s="2">
        <v>66.019099999999995</v>
      </c>
      <c r="J1469" s="2">
        <v>210</v>
      </c>
      <c r="K1469" s="2">
        <v>65.496399999999994</v>
      </c>
      <c r="L1469" s="2">
        <v>233</v>
      </c>
      <c r="M1469" s="2">
        <v>97.8035</v>
      </c>
      <c r="N1469" s="2">
        <v>235</v>
      </c>
      <c r="O1469" s="2">
        <v>99.855900000000005</v>
      </c>
      <c r="P1469" s="2">
        <v>204</v>
      </c>
      <c r="Q1469" s="2">
        <v>102.3642</v>
      </c>
      <c r="R1469" s="2">
        <v>179</v>
      </c>
      <c r="S1469" s="2">
        <v>100.1075</v>
      </c>
      <c r="T1469" s="2">
        <v>129</v>
      </c>
      <c r="U1469" s="2">
        <v>0.49276599999999998</v>
      </c>
      <c r="V1469" s="2">
        <v>158</v>
      </c>
      <c r="W1469" s="2">
        <v>2006</v>
      </c>
    </row>
    <row r="1470" spans="1:23" ht="12.3" hidden="1" x14ac:dyDescent="0.4">
      <c r="A1470" s="2" t="s">
        <v>228</v>
      </c>
      <c r="B1470" s="2"/>
      <c r="C1470" s="2"/>
      <c r="D1470" s="2"/>
      <c r="E1470" s="2"/>
      <c r="F1470" s="2"/>
      <c r="G1470" s="2"/>
      <c r="H1470" s="2"/>
      <c r="I1470" s="2">
        <v>66.630899999999997</v>
      </c>
      <c r="J1470" s="2">
        <v>182</v>
      </c>
      <c r="K1470" s="2">
        <v>65.807900000000004</v>
      </c>
      <c r="L1470" s="2">
        <v>224</v>
      </c>
      <c r="M1470" s="2">
        <v>103.94540000000001</v>
      </c>
      <c r="N1470" s="2">
        <v>133</v>
      </c>
      <c r="O1470" s="2">
        <v>104.02200000000001</v>
      </c>
      <c r="P1470" s="2">
        <v>123</v>
      </c>
      <c r="Q1470" s="2">
        <v>104.44029999999999</v>
      </c>
      <c r="R1470" s="2">
        <v>229</v>
      </c>
      <c r="S1470" s="2">
        <v>104.3972</v>
      </c>
      <c r="T1470" s="2">
        <v>207</v>
      </c>
      <c r="U1470" s="2">
        <v>0.48964800000000003</v>
      </c>
      <c r="V1470" s="2">
        <v>159</v>
      </c>
      <c r="W1470" s="2">
        <v>2006</v>
      </c>
    </row>
    <row r="1471" spans="1:23" ht="12.3" hidden="1" x14ac:dyDescent="0.4">
      <c r="A1471" s="2" t="s">
        <v>337</v>
      </c>
      <c r="B1471" s="2"/>
      <c r="C1471" s="2"/>
      <c r="D1471" s="2"/>
      <c r="E1471" s="2"/>
      <c r="F1471" s="2"/>
      <c r="G1471" s="2"/>
      <c r="H1471" s="2"/>
      <c r="I1471" s="2">
        <v>68.374899999999997</v>
      </c>
      <c r="J1471" s="2">
        <v>117</v>
      </c>
      <c r="K1471" s="2">
        <v>66.421099999999996</v>
      </c>
      <c r="L1471" s="2">
        <v>189</v>
      </c>
      <c r="M1471" s="2">
        <v>105.4693</v>
      </c>
      <c r="N1471" s="2">
        <v>96</v>
      </c>
      <c r="O1471" s="2">
        <v>98.649199999999993</v>
      </c>
      <c r="P1471" s="2">
        <v>221</v>
      </c>
      <c r="Q1471" s="2">
        <v>96.889600000000002</v>
      </c>
      <c r="R1471" s="2">
        <v>64</v>
      </c>
      <c r="S1471" s="2">
        <v>99.104299999999995</v>
      </c>
      <c r="T1471" s="2">
        <v>113</v>
      </c>
      <c r="U1471" s="2">
        <v>0.48677100000000001</v>
      </c>
      <c r="V1471" s="2">
        <v>160</v>
      </c>
      <c r="W1471" s="2">
        <v>2006</v>
      </c>
    </row>
    <row r="1472" spans="1:23" ht="12.3" hidden="1" x14ac:dyDescent="0.4">
      <c r="A1472" s="2" t="s">
        <v>173</v>
      </c>
      <c r="B1472" s="2"/>
      <c r="C1472" s="2"/>
      <c r="D1472" s="2"/>
      <c r="E1472" s="2"/>
      <c r="F1472" s="2"/>
      <c r="G1472" s="2"/>
      <c r="H1472" s="2"/>
      <c r="I1472" s="2">
        <v>67.180800000000005</v>
      </c>
      <c r="J1472" s="2">
        <v>155</v>
      </c>
      <c r="K1472" s="2">
        <v>65.921899999999994</v>
      </c>
      <c r="L1472" s="2">
        <v>220</v>
      </c>
      <c r="M1472" s="2">
        <v>100.72539999999999</v>
      </c>
      <c r="N1472" s="2">
        <v>183</v>
      </c>
      <c r="O1472" s="2">
        <v>101.3275</v>
      </c>
      <c r="P1472" s="2">
        <v>171</v>
      </c>
      <c r="Q1472" s="2">
        <v>104.0788</v>
      </c>
      <c r="R1472" s="2">
        <v>224</v>
      </c>
      <c r="S1472" s="2">
        <v>101.8627</v>
      </c>
      <c r="T1472" s="2">
        <v>162</v>
      </c>
      <c r="U1472" s="2">
        <v>0.48486000000000001</v>
      </c>
      <c r="V1472" s="2">
        <v>161</v>
      </c>
      <c r="W1472" s="2">
        <v>2006</v>
      </c>
    </row>
    <row r="1473" spans="1:23" ht="12.3" hidden="1" x14ac:dyDescent="0.4">
      <c r="A1473" s="2" t="s">
        <v>144</v>
      </c>
      <c r="B1473" s="2"/>
      <c r="C1473" s="2"/>
      <c r="D1473" s="2"/>
      <c r="E1473" s="2"/>
      <c r="F1473" s="2"/>
      <c r="G1473" s="2"/>
      <c r="H1473" s="2"/>
      <c r="I1473" s="2">
        <v>64.375600000000006</v>
      </c>
      <c r="J1473" s="2">
        <v>266</v>
      </c>
      <c r="K1473" s="2">
        <v>65.278300000000002</v>
      </c>
      <c r="L1473" s="2">
        <v>240</v>
      </c>
      <c r="M1473" s="2">
        <v>103.5573</v>
      </c>
      <c r="N1473" s="2">
        <v>139</v>
      </c>
      <c r="O1473" s="2">
        <v>104.7603</v>
      </c>
      <c r="P1473" s="2">
        <v>108</v>
      </c>
      <c r="Q1473" s="2">
        <v>106.1956</v>
      </c>
      <c r="R1473" s="2">
        <v>259</v>
      </c>
      <c r="S1473" s="2">
        <v>105.43680000000001</v>
      </c>
      <c r="T1473" s="2">
        <v>232</v>
      </c>
      <c r="U1473" s="2">
        <v>0.48150199999999999</v>
      </c>
      <c r="V1473" s="2">
        <v>162</v>
      </c>
      <c r="W1473" s="2">
        <v>2006</v>
      </c>
    </row>
    <row r="1474" spans="1:23" ht="12.3" hidden="1" x14ac:dyDescent="0.4">
      <c r="A1474" s="2" t="s">
        <v>344</v>
      </c>
      <c r="B1474" s="2"/>
      <c r="C1474" s="2"/>
      <c r="D1474" s="2"/>
      <c r="E1474" s="2"/>
      <c r="F1474" s="2"/>
      <c r="G1474" s="2"/>
      <c r="H1474" s="2"/>
      <c r="I1474" s="2">
        <v>70.821700000000007</v>
      </c>
      <c r="J1474" s="2">
        <v>49</v>
      </c>
      <c r="K1474" s="2">
        <v>70.582400000000007</v>
      </c>
      <c r="L1474" s="2">
        <v>46</v>
      </c>
      <c r="M1474" s="2">
        <v>102.14190000000001</v>
      </c>
      <c r="N1474" s="2">
        <v>160</v>
      </c>
      <c r="O1474" s="2">
        <v>99.967500000000001</v>
      </c>
      <c r="P1474" s="2">
        <v>198</v>
      </c>
      <c r="Q1474" s="2">
        <v>98.566400000000002</v>
      </c>
      <c r="R1474" s="2">
        <v>93</v>
      </c>
      <c r="S1474" s="2">
        <v>100.8503</v>
      </c>
      <c r="T1474" s="2">
        <v>146</v>
      </c>
      <c r="U1474" s="2">
        <v>0.474742</v>
      </c>
      <c r="V1474" s="2">
        <v>163</v>
      </c>
      <c r="W1474" s="2">
        <v>2006</v>
      </c>
    </row>
    <row r="1475" spans="1:23" ht="12.3" hidden="1" x14ac:dyDescent="0.4">
      <c r="A1475" s="2" t="s">
        <v>217</v>
      </c>
      <c r="B1475" s="2"/>
      <c r="C1475" s="2"/>
      <c r="D1475" s="2"/>
      <c r="E1475" s="2"/>
      <c r="F1475" s="2"/>
      <c r="G1475" s="2"/>
      <c r="H1475" s="2"/>
      <c r="I1475" s="2">
        <v>66.936300000000003</v>
      </c>
      <c r="J1475" s="2">
        <v>170</v>
      </c>
      <c r="K1475" s="2">
        <v>66.339500000000001</v>
      </c>
      <c r="L1475" s="2">
        <v>194</v>
      </c>
      <c r="M1475" s="2">
        <v>98.244799999999998</v>
      </c>
      <c r="N1475" s="2">
        <v>224</v>
      </c>
      <c r="O1475" s="2">
        <v>99.898600000000002</v>
      </c>
      <c r="P1475" s="2">
        <v>202</v>
      </c>
      <c r="Q1475" s="2">
        <v>102.60809999999999</v>
      </c>
      <c r="R1475" s="2">
        <v>185</v>
      </c>
      <c r="S1475" s="2">
        <v>100.8591</v>
      </c>
      <c r="T1475" s="2">
        <v>147</v>
      </c>
      <c r="U1475" s="2">
        <v>0.47251799999999999</v>
      </c>
      <c r="V1475" s="2">
        <v>164</v>
      </c>
      <c r="W1475" s="2">
        <v>2006</v>
      </c>
    </row>
    <row r="1476" spans="1:23" ht="12.3" hidden="1" x14ac:dyDescent="0.4">
      <c r="A1476" s="2" t="s">
        <v>356</v>
      </c>
      <c r="B1476" s="2"/>
      <c r="C1476" s="2"/>
      <c r="D1476" s="2"/>
      <c r="E1476" s="2"/>
      <c r="F1476" s="2"/>
      <c r="G1476" s="2"/>
      <c r="H1476" s="2"/>
      <c r="I1476" s="2">
        <v>67.121600000000001</v>
      </c>
      <c r="J1476" s="2">
        <v>161</v>
      </c>
      <c r="K1476" s="2">
        <v>66.293999999999997</v>
      </c>
      <c r="L1476" s="2">
        <v>196</v>
      </c>
      <c r="M1476" s="2">
        <v>105.0949</v>
      </c>
      <c r="N1476" s="2">
        <v>106</v>
      </c>
      <c r="O1476" s="2">
        <v>103.8963</v>
      </c>
      <c r="P1476" s="2">
        <v>127</v>
      </c>
      <c r="Q1476" s="2">
        <v>103.5403</v>
      </c>
      <c r="R1476" s="2">
        <v>208</v>
      </c>
      <c r="S1476" s="2">
        <v>104.9802</v>
      </c>
      <c r="T1476" s="2">
        <v>221</v>
      </c>
      <c r="U1476" s="2">
        <v>0.47019499999999997</v>
      </c>
      <c r="V1476" s="2">
        <v>165</v>
      </c>
      <c r="W1476" s="2">
        <v>2006</v>
      </c>
    </row>
    <row r="1477" spans="1:23" ht="12.3" hidden="1" x14ac:dyDescent="0.4">
      <c r="A1477" s="2" t="s">
        <v>132</v>
      </c>
      <c r="B1477" s="2"/>
      <c r="C1477" s="2"/>
      <c r="D1477" s="2"/>
      <c r="E1477" s="2"/>
      <c r="F1477" s="2"/>
      <c r="G1477" s="2"/>
      <c r="H1477" s="2"/>
      <c r="I1477" s="2">
        <v>61.231699999999996</v>
      </c>
      <c r="J1477" s="2">
        <v>319</v>
      </c>
      <c r="K1477" s="2">
        <v>61.781700000000001</v>
      </c>
      <c r="L1477" s="2">
        <v>316</v>
      </c>
      <c r="M1477" s="2">
        <v>102.134</v>
      </c>
      <c r="N1477" s="2">
        <v>161</v>
      </c>
      <c r="O1477" s="2">
        <v>102.9924</v>
      </c>
      <c r="P1477" s="2">
        <v>142</v>
      </c>
      <c r="Q1477" s="2">
        <v>106.2723</v>
      </c>
      <c r="R1477" s="2">
        <v>261</v>
      </c>
      <c r="S1477" s="2">
        <v>104.1251</v>
      </c>
      <c r="T1477" s="2">
        <v>206</v>
      </c>
      <c r="U1477" s="2">
        <v>0.46859699999999999</v>
      </c>
      <c r="V1477" s="2">
        <v>166</v>
      </c>
      <c r="W1477" s="2">
        <v>2006</v>
      </c>
    </row>
    <row r="1478" spans="1:23" ht="12.3" hidden="1" x14ac:dyDescent="0.4">
      <c r="A1478" s="2" t="s">
        <v>105</v>
      </c>
      <c r="B1478" s="2"/>
      <c r="C1478" s="2"/>
      <c r="D1478" s="2"/>
      <c r="E1478" s="2"/>
      <c r="F1478" s="2"/>
      <c r="G1478" s="2"/>
      <c r="H1478" s="2"/>
      <c r="I1478" s="2">
        <v>70.003399999999999</v>
      </c>
      <c r="J1478" s="2">
        <v>63</v>
      </c>
      <c r="K1478" s="2">
        <v>69.298900000000003</v>
      </c>
      <c r="L1478" s="2">
        <v>79</v>
      </c>
      <c r="M1478" s="2">
        <v>102.4089</v>
      </c>
      <c r="N1478" s="2">
        <v>154</v>
      </c>
      <c r="O1478" s="2">
        <v>99.245599999999996</v>
      </c>
      <c r="P1478" s="2">
        <v>209</v>
      </c>
      <c r="Q1478" s="2">
        <v>97.642600000000002</v>
      </c>
      <c r="R1478" s="2">
        <v>78</v>
      </c>
      <c r="S1478" s="2">
        <v>100.3536</v>
      </c>
      <c r="T1478" s="2">
        <v>134</v>
      </c>
      <c r="U1478" s="2">
        <v>0.46812500000000001</v>
      </c>
      <c r="V1478" s="2">
        <v>167</v>
      </c>
      <c r="W1478" s="2">
        <v>2006</v>
      </c>
    </row>
    <row r="1479" spans="1:23" ht="12.3" hidden="1" x14ac:dyDescent="0.4">
      <c r="A1479" s="2" t="s">
        <v>156</v>
      </c>
      <c r="B1479" s="2"/>
      <c r="C1479" s="2"/>
      <c r="D1479" s="2"/>
      <c r="E1479" s="2"/>
      <c r="F1479" s="2"/>
      <c r="G1479" s="2"/>
      <c r="H1479" s="2"/>
      <c r="I1479" s="2">
        <v>63.866199999999999</v>
      </c>
      <c r="J1479" s="2">
        <v>280</v>
      </c>
      <c r="K1479" s="2">
        <v>63.253799999999998</v>
      </c>
      <c r="L1479" s="2">
        <v>295</v>
      </c>
      <c r="M1479" s="2">
        <v>110.71850000000001</v>
      </c>
      <c r="N1479" s="2">
        <v>28</v>
      </c>
      <c r="O1479" s="2">
        <v>107.11409999999999</v>
      </c>
      <c r="P1479" s="2">
        <v>72</v>
      </c>
      <c r="Q1479" s="2">
        <v>103.2778</v>
      </c>
      <c r="R1479" s="2">
        <v>203</v>
      </c>
      <c r="S1479" s="2">
        <v>108.3377</v>
      </c>
      <c r="T1479" s="2">
        <v>283</v>
      </c>
      <c r="U1479" s="2">
        <v>0.467391</v>
      </c>
      <c r="V1479" s="2">
        <v>168</v>
      </c>
      <c r="W1479" s="2">
        <v>2006</v>
      </c>
    </row>
    <row r="1480" spans="1:23" ht="12.3" hidden="1" x14ac:dyDescent="0.4">
      <c r="A1480" s="2" t="s">
        <v>269</v>
      </c>
      <c r="B1480" s="2"/>
      <c r="C1480" s="2"/>
      <c r="D1480" s="2"/>
      <c r="E1480" s="2"/>
      <c r="F1480" s="2"/>
      <c r="G1480" s="2"/>
      <c r="H1480" s="2"/>
      <c r="I1480" s="2">
        <v>68.785399999999996</v>
      </c>
      <c r="J1480" s="2">
        <v>103</v>
      </c>
      <c r="K1480" s="2">
        <v>67.392899999999997</v>
      </c>
      <c r="L1480" s="2">
        <v>140</v>
      </c>
      <c r="M1480" s="2">
        <v>102.6716</v>
      </c>
      <c r="N1480" s="2">
        <v>150</v>
      </c>
      <c r="O1480" s="2">
        <v>100.4542</v>
      </c>
      <c r="P1480" s="2">
        <v>193</v>
      </c>
      <c r="Q1480" s="2">
        <v>103.8939</v>
      </c>
      <c r="R1480" s="2">
        <v>219</v>
      </c>
      <c r="S1480" s="2">
        <v>101.6041</v>
      </c>
      <c r="T1480" s="2">
        <v>155</v>
      </c>
      <c r="U1480" s="2">
        <v>0.46732400000000002</v>
      </c>
      <c r="V1480" s="2">
        <v>169</v>
      </c>
      <c r="W1480" s="2">
        <v>2006</v>
      </c>
    </row>
    <row r="1481" spans="1:23" ht="12.3" hidden="1" x14ac:dyDescent="0.4">
      <c r="A1481" s="2" t="s">
        <v>311</v>
      </c>
      <c r="B1481" s="2"/>
      <c r="C1481" s="2"/>
      <c r="D1481" s="2"/>
      <c r="E1481" s="2"/>
      <c r="F1481" s="2"/>
      <c r="G1481" s="2"/>
      <c r="H1481" s="2"/>
      <c r="I1481" s="2">
        <v>70.794300000000007</v>
      </c>
      <c r="J1481" s="2">
        <v>50</v>
      </c>
      <c r="K1481" s="2">
        <v>69.886399999999995</v>
      </c>
      <c r="L1481" s="2">
        <v>62</v>
      </c>
      <c r="M1481" s="2">
        <v>108.0142</v>
      </c>
      <c r="N1481" s="2">
        <v>53</v>
      </c>
      <c r="O1481" s="2">
        <v>105.6922</v>
      </c>
      <c r="P1481" s="2">
        <v>90</v>
      </c>
      <c r="Q1481" s="2">
        <v>104.8317</v>
      </c>
      <c r="R1481" s="2">
        <v>235</v>
      </c>
      <c r="S1481" s="2">
        <v>106.9434</v>
      </c>
      <c r="T1481" s="2">
        <v>262</v>
      </c>
      <c r="U1481" s="2">
        <v>0.46621699999999999</v>
      </c>
      <c r="V1481" s="2">
        <v>170</v>
      </c>
      <c r="W1481" s="2">
        <v>2006</v>
      </c>
    </row>
    <row r="1482" spans="1:23" ht="12.3" hidden="1" x14ac:dyDescent="0.4">
      <c r="A1482" s="2" t="s">
        <v>302</v>
      </c>
      <c r="B1482" s="2"/>
      <c r="C1482" s="2"/>
      <c r="D1482" s="2"/>
      <c r="E1482" s="2"/>
      <c r="F1482" s="2"/>
      <c r="G1482" s="2"/>
      <c r="H1482" s="2"/>
      <c r="I1482" s="2">
        <v>70.018799999999999</v>
      </c>
      <c r="J1482" s="2">
        <v>60</v>
      </c>
      <c r="K1482" s="2">
        <v>69.698400000000007</v>
      </c>
      <c r="L1482" s="2">
        <v>68</v>
      </c>
      <c r="M1482" s="2">
        <v>106.22150000000001</v>
      </c>
      <c r="N1482" s="2">
        <v>84</v>
      </c>
      <c r="O1482" s="2">
        <v>104.4746</v>
      </c>
      <c r="P1482" s="2">
        <v>114</v>
      </c>
      <c r="Q1482" s="2">
        <v>106.4196</v>
      </c>
      <c r="R1482" s="2">
        <v>266</v>
      </c>
      <c r="S1482" s="2">
        <v>105.7611</v>
      </c>
      <c r="T1482" s="2">
        <v>239</v>
      </c>
      <c r="U1482" s="2">
        <v>0.46487099999999998</v>
      </c>
      <c r="V1482" s="2">
        <v>171</v>
      </c>
      <c r="W1482" s="2">
        <v>2006</v>
      </c>
    </row>
    <row r="1483" spans="1:23" ht="12.3" hidden="1" x14ac:dyDescent="0.4">
      <c r="A1483" s="2" t="s">
        <v>286</v>
      </c>
      <c r="B1483" s="2"/>
      <c r="C1483" s="2"/>
      <c r="D1483" s="2"/>
      <c r="E1483" s="2"/>
      <c r="F1483" s="2"/>
      <c r="G1483" s="2"/>
      <c r="H1483" s="2"/>
      <c r="I1483" s="2">
        <v>66.470100000000002</v>
      </c>
      <c r="J1483" s="2">
        <v>190</v>
      </c>
      <c r="K1483" s="2">
        <v>66.086200000000005</v>
      </c>
      <c r="L1483" s="2">
        <v>213</v>
      </c>
      <c r="M1483" s="2">
        <v>98.875900000000001</v>
      </c>
      <c r="N1483" s="2">
        <v>216</v>
      </c>
      <c r="O1483" s="2">
        <v>97.02</v>
      </c>
      <c r="P1483" s="2">
        <v>247</v>
      </c>
      <c r="Q1483" s="2">
        <v>97.794799999999995</v>
      </c>
      <c r="R1483" s="2">
        <v>81</v>
      </c>
      <c r="S1483" s="2">
        <v>98.362799999999993</v>
      </c>
      <c r="T1483" s="2">
        <v>100</v>
      </c>
      <c r="U1483" s="2">
        <v>0.460563</v>
      </c>
      <c r="V1483" s="2">
        <v>172</v>
      </c>
      <c r="W1483" s="2">
        <v>2006</v>
      </c>
    </row>
    <row r="1484" spans="1:23" ht="12.3" x14ac:dyDescent="0.4">
      <c r="A1484" s="2" t="s">
        <v>130</v>
      </c>
      <c r="B1484" s="2">
        <v>13</v>
      </c>
      <c r="C1484" s="2"/>
      <c r="D1484" s="2"/>
      <c r="E1484" s="2"/>
      <c r="F1484" s="2"/>
      <c r="G1484" s="2"/>
      <c r="H1484" s="2"/>
      <c r="I1484" s="2">
        <v>71.610799999999998</v>
      </c>
      <c r="J1484" s="2">
        <v>27</v>
      </c>
      <c r="K1484" s="2">
        <v>72.084199999999996</v>
      </c>
      <c r="L1484" s="2">
        <v>20</v>
      </c>
      <c r="M1484" s="2">
        <v>109.2381</v>
      </c>
      <c r="N1484" s="2">
        <v>38</v>
      </c>
      <c r="O1484" s="2">
        <v>110.7958</v>
      </c>
      <c r="P1484" s="2">
        <v>35</v>
      </c>
      <c r="Q1484" s="2">
        <v>104.0244</v>
      </c>
      <c r="R1484" s="2">
        <v>244</v>
      </c>
      <c r="S1484" s="2">
        <v>102.6934</v>
      </c>
      <c r="T1484" s="2">
        <v>194</v>
      </c>
      <c r="U1484" s="2">
        <v>0.70543599999999995</v>
      </c>
      <c r="V1484" s="2">
        <v>87</v>
      </c>
      <c r="W1484" s="2">
        <v>2010</v>
      </c>
    </row>
    <row r="1485" spans="1:23" ht="12.3" hidden="1" x14ac:dyDescent="0.4">
      <c r="A1485" s="2" t="s">
        <v>267</v>
      </c>
      <c r="B1485" s="2"/>
      <c r="C1485" s="2"/>
      <c r="D1485" s="2"/>
      <c r="E1485" s="2"/>
      <c r="F1485" s="2"/>
      <c r="G1485" s="2"/>
      <c r="H1485" s="2"/>
      <c r="I1485" s="2">
        <v>65.020600000000002</v>
      </c>
      <c r="J1485" s="2">
        <v>247</v>
      </c>
      <c r="K1485" s="2">
        <v>66.413799999999995</v>
      </c>
      <c r="L1485" s="2">
        <v>190</v>
      </c>
      <c r="M1485" s="2">
        <v>96.140900000000002</v>
      </c>
      <c r="N1485" s="2">
        <v>261</v>
      </c>
      <c r="O1485" s="2">
        <v>100.6189</v>
      </c>
      <c r="P1485" s="2">
        <v>183</v>
      </c>
      <c r="Q1485" s="2">
        <v>104.5896</v>
      </c>
      <c r="R1485" s="2">
        <v>231</v>
      </c>
      <c r="S1485" s="2">
        <v>102.28279999999999</v>
      </c>
      <c r="T1485" s="2">
        <v>168</v>
      </c>
      <c r="U1485" s="2">
        <v>0.452986</v>
      </c>
      <c r="V1485" s="2">
        <v>174</v>
      </c>
      <c r="W1485" s="2">
        <v>2006</v>
      </c>
    </row>
    <row r="1486" spans="1:23" ht="12.3" hidden="1" x14ac:dyDescent="0.4">
      <c r="A1486" s="2" t="s">
        <v>194</v>
      </c>
      <c r="B1486" s="2"/>
      <c r="C1486" s="2"/>
      <c r="D1486" s="2"/>
      <c r="E1486" s="2"/>
      <c r="F1486" s="2"/>
      <c r="G1486" s="2"/>
      <c r="H1486" s="2"/>
      <c r="I1486" s="2">
        <v>67.890199999999993</v>
      </c>
      <c r="J1486" s="2">
        <v>133</v>
      </c>
      <c r="K1486" s="2">
        <v>66.615399999999994</v>
      </c>
      <c r="L1486" s="2">
        <v>179</v>
      </c>
      <c r="M1486" s="2">
        <v>106.43429999999999</v>
      </c>
      <c r="N1486" s="2">
        <v>79</v>
      </c>
      <c r="O1486" s="2">
        <v>105.57259999999999</v>
      </c>
      <c r="P1486" s="2">
        <v>93</v>
      </c>
      <c r="Q1486" s="2">
        <v>110.09139999999999</v>
      </c>
      <c r="R1486" s="2">
        <v>312</v>
      </c>
      <c r="S1486" s="2">
        <v>107.4392</v>
      </c>
      <c r="T1486" s="2">
        <v>272</v>
      </c>
      <c r="U1486" s="2">
        <v>0.44978400000000002</v>
      </c>
      <c r="V1486" s="2">
        <v>175</v>
      </c>
      <c r="W1486" s="2">
        <v>2006</v>
      </c>
    </row>
    <row r="1487" spans="1:23" ht="12.3" hidden="1" x14ac:dyDescent="0.4">
      <c r="A1487" s="2" t="s">
        <v>225</v>
      </c>
      <c r="B1487" s="2"/>
      <c r="C1487" s="2"/>
      <c r="D1487" s="2"/>
      <c r="E1487" s="2"/>
      <c r="F1487" s="2"/>
      <c r="G1487" s="2"/>
      <c r="H1487" s="2"/>
      <c r="I1487" s="2">
        <v>70.007999999999996</v>
      </c>
      <c r="J1487" s="2">
        <v>62</v>
      </c>
      <c r="K1487" s="2">
        <v>69.427899999999994</v>
      </c>
      <c r="L1487" s="2">
        <v>77</v>
      </c>
      <c r="M1487" s="2">
        <v>100.9199</v>
      </c>
      <c r="N1487" s="2">
        <v>179</v>
      </c>
      <c r="O1487" s="2">
        <v>101.1502</v>
      </c>
      <c r="P1487" s="2">
        <v>175</v>
      </c>
      <c r="Q1487" s="2">
        <v>100.6254</v>
      </c>
      <c r="R1487" s="2">
        <v>141</v>
      </c>
      <c r="S1487" s="2">
        <v>102.9402</v>
      </c>
      <c r="T1487" s="2">
        <v>182</v>
      </c>
      <c r="U1487" s="2">
        <v>0.44973800000000003</v>
      </c>
      <c r="V1487" s="2">
        <v>176</v>
      </c>
      <c r="W1487" s="2">
        <v>2006</v>
      </c>
    </row>
    <row r="1488" spans="1:23" ht="12.3" hidden="1" x14ac:dyDescent="0.4">
      <c r="A1488" s="2" t="s">
        <v>360</v>
      </c>
      <c r="B1488" s="2"/>
      <c r="C1488" s="2"/>
      <c r="D1488" s="2"/>
      <c r="E1488" s="2"/>
      <c r="F1488" s="2"/>
      <c r="G1488" s="2"/>
      <c r="H1488" s="2"/>
      <c r="I1488" s="2">
        <v>66.425899999999999</v>
      </c>
      <c r="J1488" s="2">
        <v>194</v>
      </c>
      <c r="K1488" s="2">
        <v>66.838899999999995</v>
      </c>
      <c r="L1488" s="2">
        <v>166</v>
      </c>
      <c r="M1488" s="2">
        <v>105.2013</v>
      </c>
      <c r="N1488" s="2">
        <v>102</v>
      </c>
      <c r="O1488" s="2">
        <v>101.5316</v>
      </c>
      <c r="P1488" s="2">
        <v>168</v>
      </c>
      <c r="Q1488" s="2">
        <v>101.73220000000001</v>
      </c>
      <c r="R1488" s="2">
        <v>164</v>
      </c>
      <c r="S1488" s="2">
        <v>103.3857</v>
      </c>
      <c r="T1488" s="2">
        <v>192</v>
      </c>
      <c r="U1488" s="2">
        <v>0.448158</v>
      </c>
      <c r="V1488" s="2">
        <v>177</v>
      </c>
      <c r="W1488" s="2">
        <v>2006</v>
      </c>
    </row>
    <row r="1489" spans="1:23" ht="12.3" hidden="1" x14ac:dyDescent="0.4">
      <c r="A1489" s="2" t="s">
        <v>104</v>
      </c>
      <c r="B1489" s="2"/>
      <c r="C1489" s="2"/>
      <c r="D1489" s="2"/>
      <c r="E1489" s="2"/>
      <c r="F1489" s="2"/>
      <c r="G1489" s="2"/>
      <c r="H1489" s="2"/>
      <c r="I1489" s="2">
        <v>64.914699999999996</v>
      </c>
      <c r="J1489" s="2">
        <v>250</v>
      </c>
      <c r="K1489" s="2">
        <v>63.587200000000003</v>
      </c>
      <c r="L1489" s="2">
        <v>287</v>
      </c>
      <c r="M1489" s="2">
        <v>102.6604</v>
      </c>
      <c r="N1489" s="2">
        <v>151</v>
      </c>
      <c r="O1489" s="2">
        <v>100.54770000000001</v>
      </c>
      <c r="P1489" s="2">
        <v>188</v>
      </c>
      <c r="Q1489" s="2">
        <v>101.68340000000001</v>
      </c>
      <c r="R1489" s="2">
        <v>162</v>
      </c>
      <c r="S1489" s="2">
        <v>102.5106</v>
      </c>
      <c r="T1489" s="2">
        <v>173</v>
      </c>
      <c r="U1489" s="2">
        <v>0.44464399999999998</v>
      </c>
      <c r="V1489" s="2">
        <v>178</v>
      </c>
      <c r="W1489" s="2">
        <v>2006</v>
      </c>
    </row>
    <row r="1490" spans="1:23" ht="12.3" hidden="1" x14ac:dyDescent="0.4">
      <c r="A1490" s="2" t="s">
        <v>340</v>
      </c>
      <c r="B1490" s="2"/>
      <c r="C1490" s="2"/>
      <c r="D1490" s="2"/>
      <c r="E1490" s="2"/>
      <c r="F1490" s="2"/>
      <c r="G1490" s="2"/>
      <c r="H1490" s="2"/>
      <c r="I1490" s="2">
        <v>71.787800000000004</v>
      </c>
      <c r="J1490" s="2">
        <v>30</v>
      </c>
      <c r="K1490" s="2">
        <v>70.317400000000006</v>
      </c>
      <c r="L1490" s="2">
        <v>48</v>
      </c>
      <c r="M1490" s="2">
        <v>106.7226</v>
      </c>
      <c r="N1490" s="2">
        <v>74</v>
      </c>
      <c r="O1490" s="2">
        <v>104.08029999999999</v>
      </c>
      <c r="P1490" s="2">
        <v>122</v>
      </c>
      <c r="Q1490" s="2">
        <v>108.4853</v>
      </c>
      <c r="R1490" s="2">
        <v>301</v>
      </c>
      <c r="S1490" s="2">
        <v>106.1225</v>
      </c>
      <c r="T1490" s="2">
        <v>250</v>
      </c>
      <c r="U1490" s="2">
        <v>0.44436599999999998</v>
      </c>
      <c r="V1490" s="2">
        <v>179</v>
      </c>
      <c r="W1490" s="2">
        <v>2006</v>
      </c>
    </row>
    <row r="1491" spans="1:23" ht="12.3" hidden="1" x14ac:dyDescent="0.4">
      <c r="A1491" s="2" t="s">
        <v>103</v>
      </c>
      <c r="B1491" s="2"/>
      <c r="C1491" s="2"/>
      <c r="D1491" s="2"/>
      <c r="E1491" s="2"/>
      <c r="F1491" s="2"/>
      <c r="G1491" s="2"/>
      <c r="H1491" s="2"/>
      <c r="I1491" s="2">
        <v>64.221599999999995</v>
      </c>
      <c r="J1491" s="2">
        <v>269</v>
      </c>
      <c r="K1491" s="2">
        <v>63.479700000000001</v>
      </c>
      <c r="L1491" s="2">
        <v>289</v>
      </c>
      <c r="M1491" s="2">
        <v>91.409300000000002</v>
      </c>
      <c r="N1491" s="2">
        <v>314</v>
      </c>
      <c r="O1491" s="2">
        <v>94.0535</v>
      </c>
      <c r="P1491" s="2">
        <v>286</v>
      </c>
      <c r="Q1491" s="2">
        <v>98.488399999999999</v>
      </c>
      <c r="R1491" s="2">
        <v>92</v>
      </c>
      <c r="S1491" s="2">
        <v>95.967299999999994</v>
      </c>
      <c r="T1491" s="2">
        <v>52</v>
      </c>
      <c r="U1491" s="2">
        <v>0.44234600000000002</v>
      </c>
      <c r="V1491" s="2">
        <v>180</v>
      </c>
      <c r="W1491" s="2">
        <v>2006</v>
      </c>
    </row>
    <row r="1492" spans="1:23" ht="12.3" hidden="1" x14ac:dyDescent="0.4">
      <c r="A1492" s="2" t="s">
        <v>177</v>
      </c>
      <c r="B1492" s="2"/>
      <c r="C1492" s="2"/>
      <c r="D1492" s="2"/>
      <c r="E1492" s="2"/>
      <c r="F1492" s="2"/>
      <c r="G1492" s="2"/>
      <c r="H1492" s="2"/>
      <c r="I1492" s="2">
        <v>63.617100000000001</v>
      </c>
      <c r="J1492" s="2">
        <v>286</v>
      </c>
      <c r="K1492" s="2">
        <v>63.697600000000001</v>
      </c>
      <c r="L1492" s="2">
        <v>284</v>
      </c>
      <c r="M1492" s="2">
        <v>98.064700000000002</v>
      </c>
      <c r="N1492" s="2">
        <v>229</v>
      </c>
      <c r="O1492" s="2">
        <v>99.598100000000002</v>
      </c>
      <c r="P1492" s="2">
        <v>207</v>
      </c>
      <c r="Q1492" s="2">
        <v>99.625500000000002</v>
      </c>
      <c r="R1492" s="2">
        <v>121</v>
      </c>
      <c r="S1492" s="2">
        <v>101.6502</v>
      </c>
      <c r="T1492" s="2">
        <v>156</v>
      </c>
      <c r="U1492" s="2">
        <v>0.441633</v>
      </c>
      <c r="V1492" s="2">
        <v>181</v>
      </c>
      <c r="W1492" s="2">
        <v>2006</v>
      </c>
    </row>
    <row r="1493" spans="1:23" ht="12.3" hidden="1" x14ac:dyDescent="0.4">
      <c r="A1493" s="2" t="s">
        <v>171</v>
      </c>
      <c r="B1493" s="2"/>
      <c r="C1493" s="2"/>
      <c r="D1493" s="2"/>
      <c r="E1493" s="2"/>
      <c r="F1493" s="2"/>
      <c r="G1493" s="2"/>
      <c r="H1493" s="2"/>
      <c r="I1493" s="2">
        <v>61.787199999999999</v>
      </c>
      <c r="J1493" s="2">
        <v>316</v>
      </c>
      <c r="K1493" s="2">
        <v>62.689700000000002</v>
      </c>
      <c r="L1493" s="2">
        <v>307</v>
      </c>
      <c r="M1493" s="2">
        <v>100.1742</v>
      </c>
      <c r="N1493" s="2">
        <v>191</v>
      </c>
      <c r="O1493" s="2">
        <v>99.415999999999997</v>
      </c>
      <c r="P1493" s="2">
        <v>208</v>
      </c>
      <c r="Q1493" s="2">
        <v>103.65949999999999</v>
      </c>
      <c r="R1493" s="2">
        <v>211</v>
      </c>
      <c r="S1493" s="2">
        <v>101.4815</v>
      </c>
      <c r="T1493" s="2">
        <v>152</v>
      </c>
      <c r="U1493" s="2">
        <v>0.44115399999999999</v>
      </c>
      <c r="V1493" s="2">
        <v>182</v>
      </c>
      <c r="W1493" s="2">
        <v>2006</v>
      </c>
    </row>
    <row r="1494" spans="1:23" ht="12.3" hidden="1" x14ac:dyDescent="0.4">
      <c r="A1494" s="2" t="s">
        <v>164</v>
      </c>
      <c r="B1494" s="2"/>
      <c r="C1494" s="2"/>
      <c r="D1494" s="2"/>
      <c r="E1494" s="2"/>
      <c r="F1494" s="2"/>
      <c r="G1494" s="2"/>
      <c r="H1494" s="2"/>
      <c r="I1494" s="2">
        <v>62.911799999999999</v>
      </c>
      <c r="J1494" s="2">
        <v>301</v>
      </c>
      <c r="K1494" s="2">
        <v>62.878399999999999</v>
      </c>
      <c r="L1494" s="2">
        <v>301</v>
      </c>
      <c r="M1494" s="2">
        <v>87.677899999999994</v>
      </c>
      <c r="N1494" s="2">
        <v>328</v>
      </c>
      <c r="O1494" s="2">
        <v>90.715699999999998</v>
      </c>
      <c r="P1494" s="2">
        <v>322</v>
      </c>
      <c r="Q1494" s="2">
        <v>93.563400000000001</v>
      </c>
      <c r="R1494" s="2">
        <v>27</v>
      </c>
      <c r="S1494" s="2">
        <v>92.734999999999999</v>
      </c>
      <c r="T1494" s="2">
        <v>24</v>
      </c>
      <c r="U1494" s="2">
        <v>0.43704100000000001</v>
      </c>
      <c r="V1494" s="2">
        <v>183</v>
      </c>
      <c r="W1494" s="2">
        <v>2006</v>
      </c>
    </row>
    <row r="1495" spans="1:23" ht="12.3" hidden="1" x14ac:dyDescent="0.4">
      <c r="A1495" s="2" t="s">
        <v>292</v>
      </c>
      <c r="B1495" s="2"/>
      <c r="C1495" s="2"/>
      <c r="D1495" s="2"/>
      <c r="E1495" s="2"/>
      <c r="F1495" s="2"/>
      <c r="G1495" s="2"/>
      <c r="H1495" s="2"/>
      <c r="I1495" s="2">
        <v>68.597399999999993</v>
      </c>
      <c r="J1495" s="2">
        <v>109</v>
      </c>
      <c r="K1495" s="2">
        <v>68.991600000000005</v>
      </c>
      <c r="L1495" s="2">
        <v>90</v>
      </c>
      <c r="M1495" s="2">
        <v>94.579700000000003</v>
      </c>
      <c r="N1495" s="2">
        <v>287</v>
      </c>
      <c r="O1495" s="2">
        <v>98.568700000000007</v>
      </c>
      <c r="P1495" s="2">
        <v>222</v>
      </c>
      <c r="Q1495" s="2">
        <v>103.0247</v>
      </c>
      <c r="R1495" s="2">
        <v>196</v>
      </c>
      <c r="S1495" s="2">
        <v>100.7747</v>
      </c>
      <c r="T1495" s="2">
        <v>144</v>
      </c>
      <c r="U1495" s="2">
        <v>0.43670500000000001</v>
      </c>
      <c r="V1495" s="2">
        <v>184</v>
      </c>
      <c r="W1495" s="2">
        <v>2006</v>
      </c>
    </row>
    <row r="1496" spans="1:23" ht="12.3" hidden="1" x14ac:dyDescent="0.4">
      <c r="A1496" s="2" t="s">
        <v>326</v>
      </c>
      <c r="B1496" s="2"/>
      <c r="C1496" s="2"/>
      <c r="D1496" s="2"/>
      <c r="E1496" s="2"/>
      <c r="F1496" s="2"/>
      <c r="G1496" s="2"/>
      <c r="H1496" s="2"/>
      <c r="I1496" s="2">
        <v>64.096599999999995</v>
      </c>
      <c r="J1496" s="2">
        <v>274</v>
      </c>
      <c r="K1496" s="2">
        <v>65.285200000000003</v>
      </c>
      <c r="L1496" s="2">
        <v>239</v>
      </c>
      <c r="M1496" s="2">
        <v>95.821200000000005</v>
      </c>
      <c r="N1496" s="2">
        <v>268</v>
      </c>
      <c r="O1496" s="2">
        <v>95.555300000000003</v>
      </c>
      <c r="P1496" s="2">
        <v>268</v>
      </c>
      <c r="Q1496" s="2">
        <v>94.578900000000004</v>
      </c>
      <c r="R1496" s="2">
        <v>38</v>
      </c>
      <c r="S1496" s="2">
        <v>97.713200000000001</v>
      </c>
      <c r="T1496" s="2">
        <v>88</v>
      </c>
      <c r="U1496" s="2">
        <v>0.43614700000000001</v>
      </c>
      <c r="V1496" s="2">
        <v>185</v>
      </c>
      <c r="W1496" s="2">
        <v>2006</v>
      </c>
    </row>
    <row r="1497" spans="1:23" ht="12.3" hidden="1" x14ac:dyDescent="0.4">
      <c r="A1497" s="2" t="s">
        <v>328</v>
      </c>
      <c r="B1497" s="2"/>
      <c r="C1497" s="2"/>
      <c r="D1497" s="2"/>
      <c r="E1497" s="2"/>
      <c r="F1497" s="2"/>
      <c r="G1497" s="2"/>
      <c r="H1497" s="2"/>
      <c r="I1497" s="2">
        <v>64.496799999999993</v>
      </c>
      <c r="J1497" s="2">
        <v>263</v>
      </c>
      <c r="K1497" s="2">
        <v>63.267699999999998</v>
      </c>
      <c r="L1497" s="2">
        <v>294</v>
      </c>
      <c r="M1497" s="2">
        <v>102.3258</v>
      </c>
      <c r="N1497" s="2">
        <v>157</v>
      </c>
      <c r="O1497" s="2">
        <v>99.930199999999999</v>
      </c>
      <c r="P1497" s="2">
        <v>200</v>
      </c>
      <c r="Q1497" s="2">
        <v>100.8884</v>
      </c>
      <c r="R1497" s="2">
        <v>146</v>
      </c>
      <c r="S1497" s="2">
        <v>102.2307</v>
      </c>
      <c r="T1497" s="2">
        <v>167</v>
      </c>
      <c r="U1497" s="2">
        <v>0.43493700000000002</v>
      </c>
      <c r="V1497" s="2">
        <v>186</v>
      </c>
      <c r="W1497" s="2">
        <v>2006</v>
      </c>
    </row>
    <row r="1498" spans="1:23" ht="12.3" x14ac:dyDescent="0.4">
      <c r="A1498" s="2" t="s">
        <v>151</v>
      </c>
      <c r="B1498" s="2">
        <v>14</v>
      </c>
      <c r="C1498" s="4" t="s">
        <v>33</v>
      </c>
      <c r="D1498" s="2"/>
      <c r="E1498" s="2"/>
      <c r="F1498" s="2"/>
      <c r="G1498" s="2"/>
      <c r="H1498" s="2"/>
      <c r="I1498" s="2">
        <v>68.769300000000001</v>
      </c>
      <c r="J1498" s="2">
        <v>102</v>
      </c>
      <c r="K1498" s="2">
        <v>69.5351</v>
      </c>
      <c r="L1498" s="2">
        <v>65</v>
      </c>
      <c r="M1498" s="2">
        <v>104.4282</v>
      </c>
      <c r="N1498" s="2">
        <v>104</v>
      </c>
      <c r="O1498" s="2">
        <v>105.86450000000001</v>
      </c>
      <c r="P1498" s="2">
        <v>90</v>
      </c>
      <c r="Q1498" s="2">
        <v>97.691000000000003</v>
      </c>
      <c r="R1498" s="2">
        <v>96</v>
      </c>
      <c r="S1498" s="2">
        <v>98.398799999999994</v>
      </c>
      <c r="T1498" s="2">
        <v>107</v>
      </c>
      <c r="U1498" s="2">
        <v>0.69867900000000005</v>
      </c>
      <c r="V1498" s="2">
        <v>93</v>
      </c>
      <c r="W1498" s="2">
        <v>2010</v>
      </c>
    </row>
    <row r="1499" spans="1:23" ht="12.3" hidden="1" x14ac:dyDescent="0.4">
      <c r="A1499" s="2" t="s">
        <v>74</v>
      </c>
      <c r="B1499" s="2"/>
      <c r="C1499" s="2"/>
      <c r="D1499" s="2"/>
      <c r="E1499" s="2"/>
      <c r="F1499" s="2"/>
      <c r="G1499" s="2"/>
      <c r="H1499" s="2"/>
      <c r="I1499" s="2">
        <v>71.453900000000004</v>
      </c>
      <c r="J1499" s="2">
        <v>36</v>
      </c>
      <c r="K1499" s="2">
        <v>70.671499999999995</v>
      </c>
      <c r="L1499" s="2">
        <v>44</v>
      </c>
      <c r="M1499" s="2">
        <v>108.1006</v>
      </c>
      <c r="N1499" s="2">
        <v>52</v>
      </c>
      <c r="O1499" s="2">
        <v>102.9593</v>
      </c>
      <c r="P1499" s="2">
        <v>143</v>
      </c>
      <c r="Q1499" s="2">
        <v>104.4794</v>
      </c>
      <c r="R1499" s="2">
        <v>230</v>
      </c>
      <c r="S1499" s="2">
        <v>105.44540000000001</v>
      </c>
      <c r="T1499" s="2">
        <v>233</v>
      </c>
      <c r="U1499" s="2">
        <v>0.43183100000000002</v>
      </c>
      <c r="V1499" s="2">
        <v>188</v>
      </c>
      <c r="W1499" s="2">
        <v>2006</v>
      </c>
    </row>
    <row r="1500" spans="1:23" ht="12.3" hidden="1" x14ac:dyDescent="0.4">
      <c r="A1500" s="2" t="s">
        <v>199</v>
      </c>
      <c r="B1500" s="2"/>
      <c r="C1500" s="2"/>
      <c r="D1500" s="2"/>
      <c r="E1500" s="2"/>
      <c r="F1500" s="2"/>
      <c r="G1500" s="2"/>
      <c r="H1500" s="2"/>
      <c r="I1500" s="2">
        <v>63.104399999999998</v>
      </c>
      <c r="J1500" s="2">
        <v>298</v>
      </c>
      <c r="K1500" s="2">
        <v>62.31</v>
      </c>
      <c r="L1500" s="2">
        <v>311</v>
      </c>
      <c r="M1500" s="2">
        <v>108.1972</v>
      </c>
      <c r="N1500" s="2">
        <v>51</v>
      </c>
      <c r="O1500" s="2">
        <v>103.5164</v>
      </c>
      <c r="P1500" s="2">
        <v>131</v>
      </c>
      <c r="Q1500" s="2">
        <v>104.9841</v>
      </c>
      <c r="R1500" s="2">
        <v>238</v>
      </c>
      <c r="S1500" s="2">
        <v>106.0825</v>
      </c>
      <c r="T1500" s="2">
        <v>248</v>
      </c>
      <c r="U1500" s="2">
        <v>0.43006</v>
      </c>
      <c r="V1500" s="2">
        <v>189</v>
      </c>
      <c r="W1500" s="2">
        <v>2006</v>
      </c>
    </row>
    <row r="1501" spans="1:23" ht="12.3" hidden="1" x14ac:dyDescent="0.4">
      <c r="A1501" s="2" t="s">
        <v>282</v>
      </c>
      <c r="B1501" s="2"/>
      <c r="C1501" s="2"/>
      <c r="D1501" s="2"/>
      <c r="E1501" s="2"/>
      <c r="F1501" s="2"/>
      <c r="G1501" s="2"/>
      <c r="H1501" s="2"/>
      <c r="I1501" s="2">
        <v>67.182199999999995</v>
      </c>
      <c r="J1501" s="2">
        <v>154</v>
      </c>
      <c r="K1501" s="2">
        <v>64.673199999999994</v>
      </c>
      <c r="L1501" s="2">
        <v>260</v>
      </c>
      <c r="M1501" s="2">
        <v>105.1497</v>
      </c>
      <c r="N1501" s="2">
        <v>105</v>
      </c>
      <c r="O1501" s="2">
        <v>101.9242</v>
      </c>
      <c r="P1501" s="2">
        <v>163</v>
      </c>
      <c r="Q1501" s="2">
        <v>99.432699999999997</v>
      </c>
      <c r="R1501" s="2">
        <v>114</v>
      </c>
      <c r="S1501" s="2">
        <v>104.49630000000001</v>
      </c>
      <c r="T1501" s="2">
        <v>211</v>
      </c>
      <c r="U1501" s="2">
        <v>0.42883500000000002</v>
      </c>
      <c r="V1501" s="2">
        <v>190</v>
      </c>
      <c r="W1501" s="2">
        <v>2006</v>
      </c>
    </row>
    <row r="1502" spans="1:23" ht="12.3" hidden="1" x14ac:dyDescent="0.4">
      <c r="A1502" s="2" t="s">
        <v>236</v>
      </c>
      <c r="B1502" s="2"/>
      <c r="C1502" s="2"/>
      <c r="D1502" s="2"/>
      <c r="E1502" s="2"/>
      <c r="F1502" s="2"/>
      <c r="G1502" s="2"/>
      <c r="H1502" s="2"/>
      <c r="I1502" s="2">
        <v>63.630600000000001</v>
      </c>
      <c r="J1502" s="2">
        <v>284</v>
      </c>
      <c r="K1502" s="2">
        <v>64.824100000000001</v>
      </c>
      <c r="L1502" s="2">
        <v>258</v>
      </c>
      <c r="M1502" s="2">
        <v>101.5886</v>
      </c>
      <c r="N1502" s="2">
        <v>171</v>
      </c>
      <c r="O1502" s="2">
        <v>101.37609999999999</v>
      </c>
      <c r="P1502" s="2">
        <v>170</v>
      </c>
      <c r="Q1502" s="2">
        <v>106.7291</v>
      </c>
      <c r="R1502" s="2">
        <v>272</v>
      </c>
      <c r="S1502" s="2">
        <v>103.9418</v>
      </c>
      <c r="T1502" s="2">
        <v>203</v>
      </c>
      <c r="U1502" s="2">
        <v>0.42863200000000001</v>
      </c>
      <c r="V1502" s="2">
        <v>191</v>
      </c>
      <c r="W1502" s="2">
        <v>2006</v>
      </c>
    </row>
    <row r="1503" spans="1:23" ht="12.3" hidden="1" x14ac:dyDescent="0.4">
      <c r="A1503" s="2" t="s">
        <v>227</v>
      </c>
      <c r="B1503" s="2"/>
      <c r="C1503" s="2"/>
      <c r="D1503" s="2"/>
      <c r="E1503" s="2"/>
      <c r="F1503" s="2"/>
      <c r="G1503" s="2"/>
      <c r="H1503" s="2"/>
      <c r="I1503" s="2">
        <v>67.817700000000002</v>
      </c>
      <c r="J1503" s="2">
        <v>135</v>
      </c>
      <c r="K1503" s="2">
        <v>68.327500000000001</v>
      </c>
      <c r="L1503" s="2">
        <v>109</v>
      </c>
      <c r="M1503" s="2">
        <v>104.76600000000001</v>
      </c>
      <c r="N1503" s="2">
        <v>112</v>
      </c>
      <c r="O1503" s="2">
        <v>101.8223</v>
      </c>
      <c r="P1503" s="2">
        <v>165</v>
      </c>
      <c r="Q1503" s="2">
        <v>103.94580000000001</v>
      </c>
      <c r="R1503" s="2">
        <v>222</v>
      </c>
      <c r="S1503" s="2">
        <v>104.419</v>
      </c>
      <c r="T1503" s="2">
        <v>208</v>
      </c>
      <c r="U1503" s="2">
        <v>0.42810100000000001</v>
      </c>
      <c r="V1503" s="2">
        <v>192</v>
      </c>
      <c r="W1503" s="2">
        <v>2006</v>
      </c>
    </row>
    <row r="1504" spans="1:23" ht="12.3" hidden="1" x14ac:dyDescent="0.4">
      <c r="A1504" s="2" t="s">
        <v>323</v>
      </c>
      <c r="B1504" s="2"/>
      <c r="C1504" s="2"/>
      <c r="D1504" s="2"/>
      <c r="E1504" s="2"/>
      <c r="F1504" s="2"/>
      <c r="G1504" s="2"/>
      <c r="H1504" s="2"/>
      <c r="I1504" s="2">
        <v>60.3538</v>
      </c>
      <c r="J1504" s="2">
        <v>324</v>
      </c>
      <c r="K1504" s="2">
        <v>59.8626</v>
      </c>
      <c r="L1504" s="2">
        <v>326</v>
      </c>
      <c r="M1504" s="2">
        <v>111.1574</v>
      </c>
      <c r="N1504" s="2">
        <v>21</v>
      </c>
      <c r="O1504" s="2">
        <v>107.3767</v>
      </c>
      <c r="P1504" s="2">
        <v>69</v>
      </c>
      <c r="Q1504" s="2">
        <v>107.1096</v>
      </c>
      <c r="R1504" s="2">
        <v>281</v>
      </c>
      <c r="S1504" s="2">
        <v>110.337</v>
      </c>
      <c r="T1504" s="2">
        <v>303</v>
      </c>
      <c r="U1504" s="2">
        <v>0.42244300000000001</v>
      </c>
      <c r="V1504" s="2">
        <v>193</v>
      </c>
      <c r="W1504" s="2">
        <v>2006</v>
      </c>
    </row>
    <row r="1505" spans="1:23" ht="12.3" hidden="1" x14ac:dyDescent="0.4">
      <c r="A1505" s="2" t="s">
        <v>315</v>
      </c>
      <c r="B1505" s="2"/>
      <c r="C1505" s="2"/>
      <c r="D1505" s="2"/>
      <c r="E1505" s="2"/>
      <c r="F1505" s="2"/>
      <c r="G1505" s="2"/>
      <c r="H1505" s="2"/>
      <c r="I1505" s="2">
        <v>63.7395</v>
      </c>
      <c r="J1505" s="2">
        <v>283</v>
      </c>
      <c r="K1505" s="2">
        <v>65.124600000000001</v>
      </c>
      <c r="L1505" s="2">
        <v>245</v>
      </c>
      <c r="M1505" s="2">
        <v>97.633200000000002</v>
      </c>
      <c r="N1505" s="2">
        <v>236</v>
      </c>
      <c r="O1505" s="2">
        <v>94.001199999999997</v>
      </c>
      <c r="P1505" s="2">
        <v>287</v>
      </c>
      <c r="Q1505" s="2">
        <v>95.718400000000003</v>
      </c>
      <c r="R1505" s="2">
        <v>48</v>
      </c>
      <c r="S1505" s="2">
        <v>96.640199999999993</v>
      </c>
      <c r="T1505" s="2">
        <v>71</v>
      </c>
      <c r="U1505" s="2">
        <v>0.42106500000000002</v>
      </c>
      <c r="V1505" s="2">
        <v>194</v>
      </c>
      <c r="W1505" s="2">
        <v>2006</v>
      </c>
    </row>
    <row r="1506" spans="1:23" ht="12.3" hidden="1" x14ac:dyDescent="0.4">
      <c r="A1506" s="2" t="s">
        <v>270</v>
      </c>
      <c r="B1506" s="2"/>
      <c r="C1506" s="2"/>
      <c r="D1506" s="2"/>
      <c r="E1506" s="2"/>
      <c r="F1506" s="2"/>
      <c r="G1506" s="2"/>
      <c r="H1506" s="2"/>
      <c r="I1506" s="2">
        <v>69.430599999999998</v>
      </c>
      <c r="J1506" s="2">
        <v>78</v>
      </c>
      <c r="K1506" s="2">
        <v>67.598100000000002</v>
      </c>
      <c r="L1506" s="2">
        <v>131</v>
      </c>
      <c r="M1506" s="2">
        <v>101.3201</v>
      </c>
      <c r="N1506" s="2">
        <v>174</v>
      </c>
      <c r="O1506" s="2">
        <v>101.2102</v>
      </c>
      <c r="P1506" s="2">
        <v>174</v>
      </c>
      <c r="Q1506" s="2">
        <v>103.4345</v>
      </c>
      <c r="R1506" s="2">
        <v>205</v>
      </c>
      <c r="S1506" s="2">
        <v>104.7505</v>
      </c>
      <c r="T1506" s="2">
        <v>216</v>
      </c>
      <c r="U1506" s="2">
        <v>0.40242</v>
      </c>
      <c r="V1506" s="2">
        <v>195</v>
      </c>
      <c r="W1506" s="2">
        <v>2006</v>
      </c>
    </row>
    <row r="1507" spans="1:23" ht="12.3" hidden="1" x14ac:dyDescent="0.4">
      <c r="A1507" s="2" t="s">
        <v>140</v>
      </c>
      <c r="B1507" s="2"/>
      <c r="C1507" s="2"/>
      <c r="D1507" s="2"/>
      <c r="E1507" s="2"/>
      <c r="F1507" s="2"/>
      <c r="G1507" s="2"/>
      <c r="H1507" s="2"/>
      <c r="I1507" s="2">
        <v>66.2547</v>
      </c>
      <c r="J1507" s="2">
        <v>200</v>
      </c>
      <c r="K1507" s="2">
        <v>66.351100000000002</v>
      </c>
      <c r="L1507" s="2">
        <v>193</v>
      </c>
      <c r="M1507" s="2">
        <v>97.869299999999996</v>
      </c>
      <c r="N1507" s="2">
        <v>233</v>
      </c>
      <c r="O1507" s="2">
        <v>95.350300000000004</v>
      </c>
      <c r="P1507" s="2">
        <v>270</v>
      </c>
      <c r="Q1507" s="2">
        <v>95.479399999999998</v>
      </c>
      <c r="R1507" s="2">
        <v>46</v>
      </c>
      <c r="S1507" s="2">
        <v>98.686800000000005</v>
      </c>
      <c r="T1507" s="2">
        <v>104</v>
      </c>
      <c r="U1507" s="2">
        <v>0.40238699999999999</v>
      </c>
      <c r="V1507" s="2">
        <v>196</v>
      </c>
      <c r="W1507" s="2">
        <v>2006</v>
      </c>
    </row>
    <row r="1508" spans="1:23" ht="12.3" hidden="1" x14ac:dyDescent="0.4">
      <c r="A1508" s="2" t="s">
        <v>265</v>
      </c>
      <c r="B1508" s="2"/>
      <c r="C1508" s="2"/>
      <c r="D1508" s="2"/>
      <c r="E1508" s="2"/>
      <c r="F1508" s="2"/>
      <c r="G1508" s="2"/>
      <c r="H1508" s="2"/>
      <c r="I1508" s="2">
        <v>57.145699999999998</v>
      </c>
      <c r="J1508" s="2">
        <v>330</v>
      </c>
      <c r="K1508" s="2">
        <v>56.482700000000001</v>
      </c>
      <c r="L1508" s="2">
        <v>332</v>
      </c>
      <c r="M1508" s="2">
        <v>100.3888</v>
      </c>
      <c r="N1508" s="2">
        <v>187</v>
      </c>
      <c r="O1508" s="2">
        <v>100.88200000000001</v>
      </c>
      <c r="P1508" s="2">
        <v>178</v>
      </c>
      <c r="Q1508" s="2">
        <v>99.9953</v>
      </c>
      <c r="R1508" s="2">
        <v>127</v>
      </c>
      <c r="S1508" s="2">
        <v>104.8202</v>
      </c>
      <c r="T1508" s="2">
        <v>219</v>
      </c>
      <c r="U1508" s="2">
        <v>0.39164599999999999</v>
      </c>
      <c r="V1508" s="2">
        <v>197</v>
      </c>
      <c r="W1508" s="2">
        <v>2006</v>
      </c>
    </row>
    <row r="1509" spans="1:23" ht="12.3" hidden="1" x14ac:dyDescent="0.4">
      <c r="A1509" s="2" t="s">
        <v>114</v>
      </c>
      <c r="B1509" s="2"/>
      <c r="C1509" s="2"/>
      <c r="D1509" s="2"/>
      <c r="E1509" s="2"/>
      <c r="F1509" s="2"/>
      <c r="G1509" s="2"/>
      <c r="H1509" s="2"/>
      <c r="I1509" s="2">
        <v>69.190200000000004</v>
      </c>
      <c r="J1509" s="2">
        <v>89</v>
      </c>
      <c r="K1509" s="2">
        <v>70.195499999999996</v>
      </c>
      <c r="L1509" s="2">
        <v>53</v>
      </c>
      <c r="M1509" s="2">
        <v>102.2072</v>
      </c>
      <c r="N1509" s="2">
        <v>158</v>
      </c>
      <c r="O1509" s="2">
        <v>99.0989</v>
      </c>
      <c r="P1509" s="2">
        <v>215</v>
      </c>
      <c r="Q1509" s="2">
        <v>103.16889999999999</v>
      </c>
      <c r="R1509" s="2">
        <v>199</v>
      </c>
      <c r="S1509" s="2">
        <v>102.9914</v>
      </c>
      <c r="T1509" s="2">
        <v>184</v>
      </c>
      <c r="U1509" s="2">
        <v>0.39101200000000003</v>
      </c>
      <c r="V1509" s="2">
        <v>198</v>
      </c>
      <c r="W1509" s="2">
        <v>2006</v>
      </c>
    </row>
    <row r="1510" spans="1:23" ht="12.3" hidden="1" x14ac:dyDescent="0.4">
      <c r="A1510" s="2" t="s">
        <v>161</v>
      </c>
      <c r="B1510" s="2"/>
      <c r="C1510" s="2"/>
      <c r="D1510" s="2"/>
      <c r="E1510" s="2"/>
      <c r="F1510" s="2"/>
      <c r="G1510" s="2"/>
      <c r="H1510" s="2"/>
      <c r="I1510" s="2">
        <v>66.847700000000003</v>
      </c>
      <c r="J1510" s="2">
        <v>174</v>
      </c>
      <c r="K1510" s="2">
        <v>67.297700000000006</v>
      </c>
      <c r="L1510" s="2">
        <v>146</v>
      </c>
      <c r="M1510" s="2">
        <v>92.440799999999996</v>
      </c>
      <c r="N1510" s="2">
        <v>305</v>
      </c>
      <c r="O1510" s="2">
        <v>93.302199999999999</v>
      </c>
      <c r="P1510" s="2">
        <v>296</v>
      </c>
      <c r="Q1510" s="2">
        <v>98.835599999999999</v>
      </c>
      <c r="R1510" s="2">
        <v>97</v>
      </c>
      <c r="S1510" s="2">
        <v>96.980599999999995</v>
      </c>
      <c r="T1510" s="2">
        <v>79</v>
      </c>
      <c r="U1510" s="2">
        <v>0.390629</v>
      </c>
      <c r="V1510" s="2">
        <v>199</v>
      </c>
      <c r="W1510" s="2">
        <v>2006</v>
      </c>
    </row>
    <row r="1511" spans="1:23" ht="12.3" hidden="1" x14ac:dyDescent="0.4">
      <c r="A1511" s="2" t="s">
        <v>278</v>
      </c>
      <c r="B1511" s="2"/>
      <c r="C1511" s="2"/>
      <c r="D1511" s="2"/>
      <c r="E1511" s="2"/>
      <c r="F1511" s="2"/>
      <c r="G1511" s="2"/>
      <c r="H1511" s="2"/>
      <c r="I1511" s="2">
        <v>69.312799999999996</v>
      </c>
      <c r="J1511" s="2">
        <v>83</v>
      </c>
      <c r="K1511" s="2">
        <v>70.225999999999999</v>
      </c>
      <c r="L1511" s="2">
        <v>52</v>
      </c>
      <c r="M1511" s="2">
        <v>93.3733</v>
      </c>
      <c r="N1511" s="2">
        <v>297</v>
      </c>
      <c r="O1511" s="2">
        <v>93.8964</v>
      </c>
      <c r="P1511" s="2">
        <v>288</v>
      </c>
      <c r="Q1511" s="2">
        <v>101.12479999999999</v>
      </c>
      <c r="R1511" s="2">
        <v>151</v>
      </c>
      <c r="S1511" s="2">
        <v>97.685100000000006</v>
      </c>
      <c r="T1511" s="2">
        <v>87</v>
      </c>
      <c r="U1511" s="2">
        <v>0.38819500000000001</v>
      </c>
      <c r="V1511" s="2">
        <v>200</v>
      </c>
      <c r="W1511" s="2">
        <v>2006</v>
      </c>
    </row>
    <row r="1512" spans="1:23" ht="12.3" hidden="1" x14ac:dyDescent="0.4">
      <c r="A1512" s="2" t="s">
        <v>294</v>
      </c>
      <c r="B1512" s="2"/>
      <c r="C1512" s="2"/>
      <c r="D1512" s="2"/>
      <c r="E1512" s="2"/>
      <c r="F1512" s="2"/>
      <c r="G1512" s="2"/>
      <c r="H1512" s="2"/>
      <c r="I1512" s="2">
        <v>72.593299999999999</v>
      </c>
      <c r="J1512" s="2">
        <v>21</v>
      </c>
      <c r="K1512" s="2">
        <v>72.401499999999999</v>
      </c>
      <c r="L1512" s="2">
        <v>18</v>
      </c>
      <c r="M1512" s="2">
        <v>105.16249999999999</v>
      </c>
      <c r="N1512" s="2">
        <v>103</v>
      </c>
      <c r="O1512" s="2">
        <v>103.9584</v>
      </c>
      <c r="P1512" s="2">
        <v>125</v>
      </c>
      <c r="Q1512" s="2">
        <v>106.9456</v>
      </c>
      <c r="R1512" s="2">
        <v>277</v>
      </c>
      <c r="S1512" s="2">
        <v>108.17789999999999</v>
      </c>
      <c r="T1512" s="2">
        <v>281</v>
      </c>
      <c r="U1512" s="2">
        <v>0.38757000000000003</v>
      </c>
      <c r="V1512" s="2">
        <v>201</v>
      </c>
      <c r="W1512" s="2">
        <v>2006</v>
      </c>
    </row>
    <row r="1513" spans="1:23" ht="12.3" hidden="1" x14ac:dyDescent="0.4">
      <c r="A1513" s="2" t="s">
        <v>275</v>
      </c>
      <c r="B1513" s="2"/>
      <c r="C1513" s="2"/>
      <c r="D1513" s="2"/>
      <c r="E1513" s="2"/>
      <c r="F1513" s="2"/>
      <c r="G1513" s="2"/>
      <c r="H1513" s="2"/>
      <c r="I1513" s="2">
        <v>69.6875</v>
      </c>
      <c r="J1513" s="2">
        <v>68</v>
      </c>
      <c r="K1513" s="2">
        <v>71.304400000000001</v>
      </c>
      <c r="L1513" s="2">
        <v>32</v>
      </c>
      <c r="M1513" s="2">
        <v>108.9654</v>
      </c>
      <c r="N1513" s="2">
        <v>40</v>
      </c>
      <c r="O1513" s="2">
        <v>105.4585</v>
      </c>
      <c r="P1513" s="2">
        <v>98</v>
      </c>
      <c r="Q1513" s="2">
        <v>108.8626</v>
      </c>
      <c r="R1513" s="2">
        <v>302</v>
      </c>
      <c r="S1513" s="2">
        <v>109.7856</v>
      </c>
      <c r="T1513" s="2">
        <v>297</v>
      </c>
      <c r="U1513" s="2">
        <v>0.38640600000000003</v>
      </c>
      <c r="V1513" s="2">
        <v>202</v>
      </c>
      <c r="W1513" s="2">
        <v>2006</v>
      </c>
    </row>
    <row r="1514" spans="1:23" ht="12.3" hidden="1" x14ac:dyDescent="0.4">
      <c r="A1514" s="2" t="s">
        <v>220</v>
      </c>
      <c r="B1514" s="2"/>
      <c r="C1514" s="2"/>
      <c r="D1514" s="2"/>
      <c r="E1514" s="2"/>
      <c r="F1514" s="2"/>
      <c r="G1514" s="2"/>
      <c r="H1514" s="2"/>
      <c r="I1514" s="2">
        <v>64.985100000000003</v>
      </c>
      <c r="J1514" s="2">
        <v>248</v>
      </c>
      <c r="K1514" s="2">
        <v>66.245999999999995</v>
      </c>
      <c r="L1514" s="2">
        <v>203</v>
      </c>
      <c r="M1514" s="2">
        <v>98.015000000000001</v>
      </c>
      <c r="N1514" s="2">
        <v>231</v>
      </c>
      <c r="O1514" s="2">
        <v>97.388900000000007</v>
      </c>
      <c r="P1514" s="2">
        <v>238</v>
      </c>
      <c r="Q1514" s="2">
        <v>98.016499999999994</v>
      </c>
      <c r="R1514" s="2">
        <v>86</v>
      </c>
      <c r="S1514" s="2">
        <v>101.5484</v>
      </c>
      <c r="T1514" s="2">
        <v>154</v>
      </c>
      <c r="U1514" s="2">
        <v>0.38202399999999997</v>
      </c>
      <c r="V1514" s="2">
        <v>203</v>
      </c>
      <c r="W1514" s="2">
        <v>2006</v>
      </c>
    </row>
    <row r="1515" spans="1:23" ht="12.3" hidden="1" x14ac:dyDescent="0.4">
      <c r="A1515" s="2" t="s">
        <v>203</v>
      </c>
      <c r="B1515" s="2"/>
      <c r="C1515" s="2"/>
      <c r="D1515" s="2"/>
      <c r="E1515" s="2"/>
      <c r="F1515" s="2"/>
      <c r="G1515" s="2"/>
      <c r="H1515" s="2"/>
      <c r="I1515" s="2">
        <v>60.768700000000003</v>
      </c>
      <c r="J1515" s="2">
        <v>323</v>
      </c>
      <c r="K1515" s="2">
        <v>61.362099999999998</v>
      </c>
      <c r="L1515" s="2">
        <v>320</v>
      </c>
      <c r="M1515" s="2">
        <v>95.798699999999997</v>
      </c>
      <c r="N1515" s="2">
        <v>269</v>
      </c>
      <c r="O1515" s="2">
        <v>95.522999999999996</v>
      </c>
      <c r="P1515" s="2">
        <v>269</v>
      </c>
      <c r="Q1515" s="2">
        <v>97.069299999999998</v>
      </c>
      <c r="R1515" s="2">
        <v>67</v>
      </c>
      <c r="S1515" s="2">
        <v>99.608800000000002</v>
      </c>
      <c r="T1515" s="2">
        <v>120</v>
      </c>
      <c r="U1515" s="2">
        <v>0.38186199999999998</v>
      </c>
      <c r="V1515" s="2">
        <v>204</v>
      </c>
      <c r="W1515" s="2">
        <v>2006</v>
      </c>
    </row>
    <row r="1516" spans="1:23" ht="12.3" hidden="1" x14ac:dyDescent="0.4">
      <c r="A1516" s="2" t="s">
        <v>101</v>
      </c>
      <c r="B1516" s="2"/>
      <c r="C1516" s="2"/>
      <c r="D1516" s="2"/>
      <c r="E1516" s="2"/>
      <c r="F1516" s="2"/>
      <c r="G1516" s="2"/>
      <c r="H1516" s="2"/>
      <c r="I1516" s="2">
        <v>63.531700000000001</v>
      </c>
      <c r="J1516" s="2">
        <v>289</v>
      </c>
      <c r="K1516" s="2">
        <v>64.466800000000006</v>
      </c>
      <c r="L1516" s="2">
        <v>263</v>
      </c>
      <c r="M1516" s="2">
        <v>97.070099999999996</v>
      </c>
      <c r="N1516" s="2">
        <v>245</v>
      </c>
      <c r="O1516" s="2">
        <v>97.456999999999994</v>
      </c>
      <c r="P1516" s="2">
        <v>235</v>
      </c>
      <c r="Q1516" s="2">
        <v>101.73399999999999</v>
      </c>
      <c r="R1516" s="2">
        <v>165</v>
      </c>
      <c r="S1516" s="2">
        <v>101.6742</v>
      </c>
      <c r="T1516" s="2">
        <v>158</v>
      </c>
      <c r="U1516" s="2">
        <v>0.38056200000000001</v>
      </c>
      <c r="V1516" s="2">
        <v>205</v>
      </c>
      <c r="W1516" s="2">
        <v>2006</v>
      </c>
    </row>
    <row r="1517" spans="1:23" ht="12.3" hidden="1" x14ac:dyDescent="0.4">
      <c r="A1517" s="2" t="s">
        <v>330</v>
      </c>
      <c r="B1517" s="2"/>
      <c r="C1517" s="2"/>
      <c r="D1517" s="2"/>
      <c r="E1517" s="2"/>
      <c r="F1517" s="2"/>
      <c r="G1517" s="2"/>
      <c r="H1517" s="2"/>
      <c r="I1517" s="2">
        <v>71.932400000000001</v>
      </c>
      <c r="J1517" s="2">
        <v>28</v>
      </c>
      <c r="K1517" s="2">
        <v>72.346100000000007</v>
      </c>
      <c r="L1517" s="2">
        <v>19</v>
      </c>
      <c r="M1517" s="2">
        <v>101.76909999999999</v>
      </c>
      <c r="N1517" s="2">
        <v>166</v>
      </c>
      <c r="O1517" s="2">
        <v>99.648899999999998</v>
      </c>
      <c r="P1517" s="2">
        <v>205</v>
      </c>
      <c r="Q1517" s="2">
        <v>103.0239</v>
      </c>
      <c r="R1517" s="2">
        <v>195</v>
      </c>
      <c r="S1517" s="2">
        <v>104.10899999999999</v>
      </c>
      <c r="T1517" s="2">
        <v>204</v>
      </c>
      <c r="U1517" s="2">
        <v>0.37671199999999999</v>
      </c>
      <c r="V1517" s="2">
        <v>206</v>
      </c>
      <c r="W1517" s="2">
        <v>2006</v>
      </c>
    </row>
    <row r="1518" spans="1:23" ht="12.3" hidden="1" x14ac:dyDescent="0.4">
      <c r="A1518" s="2" t="s">
        <v>184</v>
      </c>
      <c r="B1518" s="2"/>
      <c r="C1518" s="2"/>
      <c r="D1518" s="2"/>
      <c r="E1518" s="2"/>
      <c r="F1518" s="2"/>
      <c r="G1518" s="2"/>
      <c r="H1518" s="2"/>
      <c r="I1518" s="2">
        <v>73.413499999999999</v>
      </c>
      <c r="J1518" s="2">
        <v>13</v>
      </c>
      <c r="K1518" s="2">
        <v>73.178399999999996</v>
      </c>
      <c r="L1518" s="2">
        <v>10</v>
      </c>
      <c r="M1518" s="2">
        <v>100.5746</v>
      </c>
      <c r="N1518" s="2">
        <v>185</v>
      </c>
      <c r="O1518" s="2">
        <v>101.02070000000001</v>
      </c>
      <c r="P1518" s="2">
        <v>176</v>
      </c>
      <c r="Q1518" s="2">
        <v>103.7291</v>
      </c>
      <c r="R1518" s="2">
        <v>215</v>
      </c>
      <c r="S1518" s="2">
        <v>105.6172</v>
      </c>
      <c r="T1518" s="2">
        <v>237</v>
      </c>
      <c r="U1518" s="2">
        <v>0.37479499999999999</v>
      </c>
      <c r="V1518" s="2">
        <v>207</v>
      </c>
      <c r="W1518" s="2">
        <v>2006</v>
      </c>
    </row>
    <row r="1519" spans="1:23" ht="12.3" hidden="1" x14ac:dyDescent="0.4">
      <c r="A1519" s="2" t="s">
        <v>268</v>
      </c>
      <c r="B1519" s="2"/>
      <c r="C1519" s="2"/>
      <c r="D1519" s="2"/>
      <c r="E1519" s="2"/>
      <c r="F1519" s="2"/>
      <c r="G1519" s="2"/>
      <c r="H1519" s="2"/>
      <c r="I1519" s="2">
        <v>65.256</v>
      </c>
      <c r="J1519" s="2">
        <v>236</v>
      </c>
      <c r="K1519" s="2">
        <v>66.197900000000004</v>
      </c>
      <c r="L1519" s="2">
        <v>209</v>
      </c>
      <c r="M1519" s="2">
        <v>106.37730000000001</v>
      </c>
      <c r="N1519" s="2">
        <v>81</v>
      </c>
      <c r="O1519" s="2">
        <v>103.3231</v>
      </c>
      <c r="P1519" s="2">
        <v>136</v>
      </c>
      <c r="Q1519" s="2">
        <v>107.5723</v>
      </c>
      <c r="R1519" s="2">
        <v>290</v>
      </c>
      <c r="S1519" s="2">
        <v>108.09229999999999</v>
      </c>
      <c r="T1519" s="2">
        <v>280</v>
      </c>
      <c r="U1519" s="2">
        <v>0.37310199999999999</v>
      </c>
      <c r="V1519" s="2">
        <v>208</v>
      </c>
      <c r="W1519" s="2">
        <v>2006</v>
      </c>
    </row>
    <row r="1520" spans="1:23" ht="12.3" hidden="1" x14ac:dyDescent="0.4">
      <c r="A1520" s="2" t="s">
        <v>283</v>
      </c>
      <c r="B1520" s="2"/>
      <c r="C1520" s="2"/>
      <c r="D1520" s="2"/>
      <c r="E1520" s="2"/>
      <c r="F1520" s="2"/>
      <c r="G1520" s="2"/>
      <c r="H1520" s="2"/>
      <c r="I1520" s="2">
        <v>67.068299999999994</v>
      </c>
      <c r="J1520" s="2">
        <v>162</v>
      </c>
      <c r="K1520" s="2">
        <v>66.276799999999994</v>
      </c>
      <c r="L1520" s="2">
        <v>197</v>
      </c>
      <c r="M1520" s="2">
        <v>104.63639999999999</v>
      </c>
      <c r="N1520" s="2">
        <v>115</v>
      </c>
      <c r="O1520" s="2">
        <v>102.506</v>
      </c>
      <c r="P1520" s="2">
        <v>154</v>
      </c>
      <c r="Q1520" s="2">
        <v>110.3627</v>
      </c>
      <c r="R1520" s="2">
        <v>315</v>
      </c>
      <c r="S1520" s="2">
        <v>107.34350000000001</v>
      </c>
      <c r="T1520" s="2">
        <v>269</v>
      </c>
      <c r="U1520" s="2">
        <v>0.37044700000000003</v>
      </c>
      <c r="V1520" s="2">
        <v>209</v>
      </c>
      <c r="W1520" s="2">
        <v>2006</v>
      </c>
    </row>
    <row r="1521" spans="1:23" ht="12.3" hidden="1" x14ac:dyDescent="0.4">
      <c r="A1521" s="2" t="s">
        <v>306</v>
      </c>
      <c r="B1521" s="2"/>
      <c r="C1521" s="2"/>
      <c r="D1521" s="2"/>
      <c r="E1521" s="2"/>
      <c r="F1521" s="2"/>
      <c r="G1521" s="2"/>
      <c r="H1521" s="2"/>
      <c r="I1521" s="2">
        <v>65.879099999999994</v>
      </c>
      <c r="J1521" s="2">
        <v>216</v>
      </c>
      <c r="K1521" s="2">
        <v>65.634799999999998</v>
      </c>
      <c r="L1521" s="2">
        <v>228</v>
      </c>
      <c r="M1521" s="2">
        <v>97.040899999999993</v>
      </c>
      <c r="N1521" s="2">
        <v>246</v>
      </c>
      <c r="O1521" s="2">
        <v>97.772400000000005</v>
      </c>
      <c r="P1521" s="2">
        <v>233</v>
      </c>
      <c r="Q1521" s="2">
        <v>103.01</v>
      </c>
      <c r="R1521" s="2">
        <v>194</v>
      </c>
      <c r="S1521" s="2">
        <v>102.4066</v>
      </c>
      <c r="T1521" s="2">
        <v>171</v>
      </c>
      <c r="U1521" s="2">
        <v>0.369923</v>
      </c>
      <c r="V1521" s="2">
        <v>210</v>
      </c>
      <c r="W1521" s="2">
        <v>2006</v>
      </c>
    </row>
    <row r="1522" spans="1:23" ht="12.3" hidden="1" x14ac:dyDescent="0.4">
      <c r="A1522" s="2" t="s">
        <v>290</v>
      </c>
      <c r="B1522" s="2"/>
      <c r="C1522" s="2"/>
      <c r="D1522" s="2"/>
      <c r="E1522" s="2"/>
      <c r="F1522" s="2"/>
      <c r="G1522" s="2"/>
      <c r="H1522" s="2"/>
      <c r="I1522" s="2">
        <v>68.424999999999997</v>
      </c>
      <c r="J1522" s="2">
        <v>114</v>
      </c>
      <c r="K1522" s="2">
        <v>67.401700000000005</v>
      </c>
      <c r="L1522" s="2">
        <v>138</v>
      </c>
      <c r="M1522" s="2">
        <v>98.7744</v>
      </c>
      <c r="N1522" s="2">
        <v>217</v>
      </c>
      <c r="O1522" s="2">
        <v>101.2841</v>
      </c>
      <c r="P1522" s="2">
        <v>172</v>
      </c>
      <c r="Q1522" s="2">
        <v>107.0763</v>
      </c>
      <c r="R1522" s="2">
        <v>280</v>
      </c>
      <c r="S1522" s="2">
        <v>106.1794</v>
      </c>
      <c r="T1522" s="2">
        <v>251</v>
      </c>
      <c r="U1522" s="2">
        <v>0.36753400000000003</v>
      </c>
      <c r="V1522" s="2">
        <v>211</v>
      </c>
      <c r="W1522" s="2">
        <v>2006</v>
      </c>
    </row>
    <row r="1523" spans="1:23" ht="12.3" hidden="1" x14ac:dyDescent="0.4">
      <c r="A1523" s="2" t="s">
        <v>79</v>
      </c>
      <c r="B1523" s="2"/>
      <c r="C1523" s="2"/>
      <c r="D1523" s="2"/>
      <c r="E1523" s="2"/>
      <c r="F1523" s="2"/>
      <c r="G1523" s="2"/>
      <c r="H1523" s="2"/>
      <c r="I1523" s="2">
        <v>69.729799999999997</v>
      </c>
      <c r="J1523" s="2">
        <v>67</v>
      </c>
      <c r="K1523" s="2">
        <v>68.574100000000001</v>
      </c>
      <c r="L1523" s="2">
        <v>103</v>
      </c>
      <c r="M1523" s="2">
        <v>93.258700000000005</v>
      </c>
      <c r="N1523" s="2">
        <v>298</v>
      </c>
      <c r="O1523" s="2">
        <v>95.660399999999996</v>
      </c>
      <c r="P1523" s="2">
        <v>266</v>
      </c>
      <c r="Q1523" s="2">
        <v>103.6335</v>
      </c>
      <c r="R1523" s="2">
        <v>210</v>
      </c>
      <c r="S1523" s="2">
        <v>100.3781</v>
      </c>
      <c r="T1523" s="2">
        <v>136</v>
      </c>
      <c r="U1523" s="2">
        <v>0.36502800000000002</v>
      </c>
      <c r="V1523" s="2">
        <v>212</v>
      </c>
      <c r="W1523" s="2">
        <v>2006</v>
      </c>
    </row>
    <row r="1524" spans="1:23" ht="12.3" hidden="1" x14ac:dyDescent="0.4">
      <c r="A1524" s="2" t="s">
        <v>266</v>
      </c>
      <c r="B1524" s="2"/>
      <c r="C1524" s="2"/>
      <c r="D1524" s="2"/>
      <c r="E1524" s="2"/>
      <c r="F1524" s="2"/>
      <c r="G1524" s="2"/>
      <c r="H1524" s="2"/>
      <c r="I1524" s="2">
        <v>74.759699999999995</v>
      </c>
      <c r="J1524" s="2">
        <v>7</v>
      </c>
      <c r="K1524" s="2">
        <v>73.846400000000003</v>
      </c>
      <c r="L1524" s="2">
        <v>4</v>
      </c>
      <c r="M1524" s="2">
        <v>104.7021</v>
      </c>
      <c r="N1524" s="2">
        <v>113</v>
      </c>
      <c r="O1524" s="2">
        <v>102.00069999999999</v>
      </c>
      <c r="P1524" s="2">
        <v>161</v>
      </c>
      <c r="Q1524" s="2">
        <v>103.9425</v>
      </c>
      <c r="R1524" s="2">
        <v>221</v>
      </c>
      <c r="S1524" s="2">
        <v>107.227</v>
      </c>
      <c r="T1524" s="2">
        <v>266</v>
      </c>
      <c r="U1524" s="2">
        <v>0.36016900000000002</v>
      </c>
      <c r="V1524" s="2">
        <v>213</v>
      </c>
      <c r="W1524" s="2">
        <v>2006</v>
      </c>
    </row>
    <row r="1525" spans="1:23" ht="12.3" hidden="1" x14ac:dyDescent="0.4">
      <c r="A1525" s="2" t="s">
        <v>125</v>
      </c>
      <c r="B1525" s="2"/>
      <c r="C1525" s="2"/>
      <c r="D1525" s="2"/>
      <c r="E1525" s="2"/>
      <c r="F1525" s="2"/>
      <c r="G1525" s="2"/>
      <c r="H1525" s="2"/>
      <c r="I1525" s="2">
        <v>66.629499999999993</v>
      </c>
      <c r="J1525" s="2">
        <v>183</v>
      </c>
      <c r="K1525" s="2">
        <v>65.95</v>
      </c>
      <c r="L1525" s="2">
        <v>218</v>
      </c>
      <c r="M1525" s="2">
        <v>96.202799999999996</v>
      </c>
      <c r="N1525" s="2">
        <v>260</v>
      </c>
      <c r="O1525" s="2">
        <v>94.256100000000004</v>
      </c>
      <c r="P1525" s="2">
        <v>282</v>
      </c>
      <c r="Q1525" s="2">
        <v>98.979100000000003</v>
      </c>
      <c r="R1525" s="2">
        <v>104</v>
      </c>
      <c r="S1525" s="2">
        <v>99.102999999999994</v>
      </c>
      <c r="T1525" s="2">
        <v>112</v>
      </c>
      <c r="U1525" s="2">
        <v>0.35970299999999999</v>
      </c>
      <c r="V1525" s="2">
        <v>214</v>
      </c>
      <c r="W1525" s="2">
        <v>2006</v>
      </c>
    </row>
    <row r="1526" spans="1:23" ht="12.3" hidden="1" x14ac:dyDescent="0.4">
      <c r="A1526" s="2" t="s">
        <v>172</v>
      </c>
      <c r="B1526" s="2"/>
      <c r="C1526" s="2"/>
      <c r="D1526" s="2"/>
      <c r="E1526" s="2"/>
      <c r="F1526" s="2"/>
      <c r="G1526" s="2"/>
      <c r="H1526" s="2"/>
      <c r="I1526" s="2">
        <v>69.768299999999996</v>
      </c>
      <c r="J1526" s="2">
        <v>66</v>
      </c>
      <c r="K1526" s="2">
        <v>69.165199999999999</v>
      </c>
      <c r="L1526" s="2">
        <v>82</v>
      </c>
      <c r="M1526" s="2">
        <v>102.04040000000001</v>
      </c>
      <c r="N1526" s="2">
        <v>164</v>
      </c>
      <c r="O1526" s="2">
        <v>103.7265</v>
      </c>
      <c r="P1526" s="2">
        <v>129</v>
      </c>
      <c r="Q1526" s="2">
        <v>107.6952</v>
      </c>
      <c r="R1526" s="2">
        <v>291</v>
      </c>
      <c r="S1526" s="2">
        <v>109.2189</v>
      </c>
      <c r="T1526" s="2">
        <v>293</v>
      </c>
      <c r="U1526" s="2">
        <v>0.35586400000000001</v>
      </c>
      <c r="V1526" s="2">
        <v>215</v>
      </c>
      <c r="W1526" s="2">
        <v>2006</v>
      </c>
    </row>
    <row r="1527" spans="1:23" ht="12.3" hidden="1" x14ac:dyDescent="0.4">
      <c r="A1527" s="2" t="s">
        <v>221</v>
      </c>
      <c r="B1527" s="2"/>
      <c r="C1527" s="2"/>
      <c r="D1527" s="2"/>
      <c r="E1527" s="2"/>
      <c r="F1527" s="2"/>
      <c r="G1527" s="2"/>
      <c r="H1527" s="2"/>
      <c r="I1527" s="2">
        <v>67.4589</v>
      </c>
      <c r="J1527" s="2">
        <v>148</v>
      </c>
      <c r="K1527" s="2">
        <v>66.835099999999997</v>
      </c>
      <c r="L1527" s="2">
        <v>167</v>
      </c>
      <c r="M1527" s="2">
        <v>105.7032</v>
      </c>
      <c r="N1527" s="2">
        <v>92</v>
      </c>
      <c r="O1527" s="2">
        <v>105.6892</v>
      </c>
      <c r="P1527" s="2">
        <v>91</v>
      </c>
      <c r="Q1527" s="2">
        <v>115.2727</v>
      </c>
      <c r="R1527" s="2">
        <v>332</v>
      </c>
      <c r="S1527" s="2">
        <v>111.3244</v>
      </c>
      <c r="T1527" s="2">
        <v>312</v>
      </c>
      <c r="U1527" s="2">
        <v>0.35494399999999998</v>
      </c>
      <c r="V1527" s="2">
        <v>216</v>
      </c>
      <c r="W1527" s="2">
        <v>2006</v>
      </c>
    </row>
    <row r="1528" spans="1:23" ht="12.3" hidden="1" x14ac:dyDescent="0.4">
      <c r="A1528" s="2" t="s">
        <v>280</v>
      </c>
      <c r="B1528" s="2"/>
      <c r="C1528" s="2"/>
      <c r="D1528" s="2"/>
      <c r="E1528" s="2"/>
      <c r="F1528" s="2"/>
      <c r="G1528" s="2"/>
      <c r="H1528" s="2"/>
      <c r="I1528" s="2">
        <v>68.366500000000002</v>
      </c>
      <c r="J1528" s="2">
        <v>119</v>
      </c>
      <c r="K1528" s="2">
        <v>69.458100000000002</v>
      </c>
      <c r="L1528" s="2">
        <v>76</v>
      </c>
      <c r="M1528" s="2">
        <v>104.0459</v>
      </c>
      <c r="N1528" s="2">
        <v>130</v>
      </c>
      <c r="O1528" s="2">
        <v>101.92570000000001</v>
      </c>
      <c r="P1528" s="2">
        <v>162</v>
      </c>
      <c r="Q1528" s="2">
        <v>107.54859999999999</v>
      </c>
      <c r="R1528" s="2">
        <v>288</v>
      </c>
      <c r="S1528" s="2">
        <v>107.3742</v>
      </c>
      <c r="T1528" s="2">
        <v>271</v>
      </c>
      <c r="U1528" s="2">
        <v>0.35460000000000003</v>
      </c>
      <c r="V1528" s="2">
        <v>217</v>
      </c>
      <c r="W1528" s="2">
        <v>2006</v>
      </c>
    </row>
    <row r="1529" spans="1:23" ht="12.3" hidden="1" x14ac:dyDescent="0.4">
      <c r="A1529" s="2" t="s">
        <v>69</v>
      </c>
      <c r="B1529" s="2"/>
      <c r="C1529" s="2"/>
      <c r="D1529" s="2"/>
      <c r="E1529" s="2"/>
      <c r="F1529" s="2"/>
      <c r="G1529" s="2"/>
      <c r="H1529" s="2"/>
      <c r="I1529" s="2">
        <v>66.965999999999994</v>
      </c>
      <c r="J1529" s="2">
        <v>168</v>
      </c>
      <c r="K1529" s="2">
        <v>65.900099999999995</v>
      </c>
      <c r="L1529" s="2">
        <v>222</v>
      </c>
      <c r="M1529" s="2">
        <v>91.198800000000006</v>
      </c>
      <c r="N1529" s="2">
        <v>316</v>
      </c>
      <c r="O1529" s="2">
        <v>93.484399999999994</v>
      </c>
      <c r="P1529" s="2">
        <v>292</v>
      </c>
      <c r="Q1529" s="2">
        <v>97.506</v>
      </c>
      <c r="R1529" s="2">
        <v>73</v>
      </c>
      <c r="S1529" s="2">
        <v>98.543400000000005</v>
      </c>
      <c r="T1529" s="2">
        <v>101</v>
      </c>
      <c r="U1529" s="2">
        <v>0.35295399999999999</v>
      </c>
      <c r="V1529" s="2">
        <v>218</v>
      </c>
      <c r="W1529" s="2">
        <v>2006</v>
      </c>
    </row>
    <row r="1530" spans="1:23" ht="12.3" hidden="1" x14ac:dyDescent="0.4">
      <c r="A1530" s="2" t="s">
        <v>108</v>
      </c>
      <c r="B1530" s="2"/>
      <c r="C1530" s="2"/>
      <c r="D1530" s="2"/>
      <c r="E1530" s="2"/>
      <c r="F1530" s="2"/>
      <c r="G1530" s="2"/>
      <c r="H1530" s="2"/>
      <c r="I1530" s="2">
        <v>76.168099999999995</v>
      </c>
      <c r="J1530" s="2">
        <v>2</v>
      </c>
      <c r="K1530" s="2">
        <v>74.460499999999996</v>
      </c>
      <c r="L1530" s="2">
        <v>3</v>
      </c>
      <c r="M1530" s="2">
        <v>105.9061</v>
      </c>
      <c r="N1530" s="2">
        <v>87</v>
      </c>
      <c r="O1530" s="2">
        <v>98.505700000000004</v>
      </c>
      <c r="P1530" s="2">
        <v>224</v>
      </c>
      <c r="Q1530" s="2">
        <v>100.9374</v>
      </c>
      <c r="R1530" s="2">
        <v>147</v>
      </c>
      <c r="S1530" s="2">
        <v>103.852</v>
      </c>
      <c r="T1530" s="2">
        <v>201</v>
      </c>
      <c r="U1530" s="2">
        <v>0.35255999999999998</v>
      </c>
      <c r="V1530" s="2">
        <v>219</v>
      </c>
      <c r="W1530" s="2">
        <v>2006</v>
      </c>
    </row>
    <row r="1531" spans="1:23" ht="12.3" hidden="1" x14ac:dyDescent="0.4">
      <c r="A1531" s="2" t="s">
        <v>195</v>
      </c>
      <c r="B1531" s="2"/>
      <c r="C1531" s="2"/>
      <c r="D1531" s="2"/>
      <c r="E1531" s="2"/>
      <c r="F1531" s="2"/>
      <c r="G1531" s="2"/>
      <c r="H1531" s="2"/>
      <c r="I1531" s="2">
        <v>65.233599999999996</v>
      </c>
      <c r="J1531" s="2">
        <v>239</v>
      </c>
      <c r="K1531" s="2">
        <v>64.214699999999993</v>
      </c>
      <c r="L1531" s="2">
        <v>268</v>
      </c>
      <c r="M1531" s="2">
        <v>105.3503</v>
      </c>
      <c r="N1531" s="2">
        <v>97</v>
      </c>
      <c r="O1531" s="2">
        <v>101.4276</v>
      </c>
      <c r="P1531" s="2">
        <v>169</v>
      </c>
      <c r="Q1531" s="2">
        <v>105.59310000000001</v>
      </c>
      <c r="R1531" s="2">
        <v>246</v>
      </c>
      <c r="S1531" s="2">
        <v>107.06529999999999</v>
      </c>
      <c r="T1531" s="2">
        <v>265</v>
      </c>
      <c r="U1531" s="2">
        <v>0.34930800000000001</v>
      </c>
      <c r="V1531" s="2">
        <v>220</v>
      </c>
      <c r="W1531" s="2">
        <v>2006</v>
      </c>
    </row>
    <row r="1532" spans="1:23" ht="12.3" hidden="1" x14ac:dyDescent="0.4">
      <c r="A1532" s="2" t="s">
        <v>231</v>
      </c>
      <c r="B1532" s="2"/>
      <c r="C1532" s="2"/>
      <c r="D1532" s="2"/>
      <c r="E1532" s="2"/>
      <c r="F1532" s="2"/>
      <c r="G1532" s="2"/>
      <c r="H1532" s="2"/>
      <c r="I1532" s="2">
        <v>66.581599999999995</v>
      </c>
      <c r="J1532" s="2">
        <v>186</v>
      </c>
      <c r="K1532" s="2">
        <v>67.072599999999994</v>
      </c>
      <c r="L1532" s="2">
        <v>154</v>
      </c>
      <c r="M1532" s="2">
        <v>96.552099999999996</v>
      </c>
      <c r="N1532" s="2">
        <v>250</v>
      </c>
      <c r="O1532" s="2">
        <v>99.164500000000004</v>
      </c>
      <c r="P1532" s="2">
        <v>212</v>
      </c>
      <c r="Q1532" s="2">
        <v>102.8373</v>
      </c>
      <c r="R1532" s="2">
        <v>191</v>
      </c>
      <c r="S1532" s="2">
        <v>104.70740000000001</v>
      </c>
      <c r="T1532" s="2">
        <v>214</v>
      </c>
      <c r="U1532" s="2">
        <v>0.34853600000000001</v>
      </c>
      <c r="V1532" s="2">
        <v>221</v>
      </c>
      <c r="W1532" s="2">
        <v>2006</v>
      </c>
    </row>
    <row r="1533" spans="1:23" ht="12.3" hidden="1" x14ac:dyDescent="0.4">
      <c r="A1533" s="2" t="s">
        <v>163</v>
      </c>
      <c r="B1533" s="2"/>
      <c r="C1533" s="2"/>
      <c r="D1533" s="2"/>
      <c r="E1533" s="2"/>
      <c r="F1533" s="2"/>
      <c r="G1533" s="2"/>
      <c r="H1533" s="2"/>
      <c r="I1533" s="2">
        <v>69.127899999999997</v>
      </c>
      <c r="J1533" s="2">
        <v>92</v>
      </c>
      <c r="K1533" s="2">
        <v>67.775199999999998</v>
      </c>
      <c r="L1533" s="2">
        <v>125</v>
      </c>
      <c r="M1533" s="2">
        <v>105.0399</v>
      </c>
      <c r="N1533" s="2">
        <v>107</v>
      </c>
      <c r="O1533" s="2">
        <v>101.8998</v>
      </c>
      <c r="P1533" s="2">
        <v>164</v>
      </c>
      <c r="Q1533" s="2">
        <v>107.3985</v>
      </c>
      <c r="R1533" s="2">
        <v>287</v>
      </c>
      <c r="S1533" s="2">
        <v>107.6576</v>
      </c>
      <c r="T1533" s="2">
        <v>276</v>
      </c>
      <c r="U1533" s="2">
        <v>0.34703200000000001</v>
      </c>
      <c r="V1533" s="2">
        <v>222</v>
      </c>
      <c r="W1533" s="2">
        <v>2006</v>
      </c>
    </row>
    <row r="1534" spans="1:23" ht="12.3" hidden="1" x14ac:dyDescent="0.4">
      <c r="A1534" s="2" t="s">
        <v>107</v>
      </c>
      <c r="B1534" s="2"/>
      <c r="C1534" s="2"/>
      <c r="D1534" s="2"/>
      <c r="E1534" s="2"/>
      <c r="F1534" s="2"/>
      <c r="G1534" s="2"/>
      <c r="H1534" s="2"/>
      <c r="I1534" s="2">
        <v>72.334999999999994</v>
      </c>
      <c r="J1534" s="2">
        <v>25</v>
      </c>
      <c r="K1534" s="2">
        <v>71.416399999999996</v>
      </c>
      <c r="L1534" s="2">
        <v>31</v>
      </c>
      <c r="M1534" s="2">
        <v>97.589500000000001</v>
      </c>
      <c r="N1534" s="2">
        <v>237</v>
      </c>
      <c r="O1534" s="2">
        <v>97.008600000000001</v>
      </c>
      <c r="P1534" s="2">
        <v>248</v>
      </c>
      <c r="Q1534" s="2">
        <v>101.15989999999999</v>
      </c>
      <c r="R1534" s="2">
        <v>154</v>
      </c>
      <c r="S1534" s="2">
        <v>102.52589999999999</v>
      </c>
      <c r="T1534" s="2">
        <v>174</v>
      </c>
      <c r="U1534" s="2">
        <v>0.34612199999999999</v>
      </c>
      <c r="V1534" s="2">
        <v>223</v>
      </c>
      <c r="W1534" s="2">
        <v>2006</v>
      </c>
    </row>
    <row r="1535" spans="1:23" ht="12.3" hidden="1" x14ac:dyDescent="0.4">
      <c r="A1535" s="2" t="s">
        <v>197</v>
      </c>
      <c r="B1535" s="2"/>
      <c r="C1535" s="2"/>
      <c r="D1535" s="2"/>
      <c r="E1535" s="2"/>
      <c r="F1535" s="2"/>
      <c r="G1535" s="2"/>
      <c r="H1535" s="2"/>
      <c r="I1535" s="2">
        <v>67.179400000000001</v>
      </c>
      <c r="J1535" s="2">
        <v>157</v>
      </c>
      <c r="K1535" s="2">
        <v>66.691400000000002</v>
      </c>
      <c r="L1535" s="2">
        <v>175</v>
      </c>
      <c r="M1535" s="2">
        <v>96.310500000000005</v>
      </c>
      <c r="N1535" s="2">
        <v>254</v>
      </c>
      <c r="O1535" s="2">
        <v>97.189499999999995</v>
      </c>
      <c r="P1535" s="2">
        <v>244</v>
      </c>
      <c r="Q1535" s="2">
        <v>101.0365</v>
      </c>
      <c r="R1535" s="2">
        <v>149</v>
      </c>
      <c r="S1535" s="2">
        <v>102.7702</v>
      </c>
      <c r="T1535" s="2">
        <v>179</v>
      </c>
      <c r="U1535" s="2">
        <v>0.34477600000000003</v>
      </c>
      <c r="V1535" s="2">
        <v>224</v>
      </c>
      <c r="W1535" s="2">
        <v>2006</v>
      </c>
    </row>
    <row r="1536" spans="1:23" ht="12.3" hidden="1" x14ac:dyDescent="0.4">
      <c r="A1536" s="2" t="s">
        <v>152</v>
      </c>
      <c r="B1536" s="2"/>
      <c r="C1536" s="2"/>
      <c r="D1536" s="2"/>
      <c r="E1536" s="2"/>
      <c r="F1536" s="2"/>
      <c r="G1536" s="2"/>
      <c r="H1536" s="2"/>
      <c r="I1536" s="2">
        <v>65.679699999999997</v>
      </c>
      <c r="J1536" s="2">
        <v>224</v>
      </c>
      <c r="K1536" s="2">
        <v>65.423699999999997</v>
      </c>
      <c r="L1536" s="2">
        <v>236</v>
      </c>
      <c r="M1536" s="2">
        <v>98.558999999999997</v>
      </c>
      <c r="N1536" s="2">
        <v>220</v>
      </c>
      <c r="O1536" s="2">
        <v>100.61409999999999</v>
      </c>
      <c r="P1536" s="2">
        <v>184</v>
      </c>
      <c r="Q1536" s="2">
        <v>107.9631</v>
      </c>
      <c r="R1536" s="2">
        <v>296</v>
      </c>
      <c r="S1536" s="2">
        <v>106.4645</v>
      </c>
      <c r="T1536" s="2">
        <v>255</v>
      </c>
      <c r="U1536" s="2">
        <v>0.34299600000000002</v>
      </c>
      <c r="V1536" s="2">
        <v>225</v>
      </c>
      <c r="W1536" s="2">
        <v>2006</v>
      </c>
    </row>
    <row r="1537" spans="1:23" ht="12.3" hidden="1" x14ac:dyDescent="0.4">
      <c r="A1537" s="2" t="s">
        <v>253</v>
      </c>
      <c r="B1537" s="2"/>
      <c r="C1537" s="2"/>
      <c r="D1537" s="2"/>
      <c r="E1537" s="2"/>
      <c r="F1537" s="2"/>
      <c r="G1537" s="2"/>
      <c r="H1537" s="2"/>
      <c r="I1537" s="2">
        <v>66.438100000000006</v>
      </c>
      <c r="J1537" s="2">
        <v>193</v>
      </c>
      <c r="K1537" s="2">
        <v>65.527600000000007</v>
      </c>
      <c r="L1537" s="2">
        <v>232</v>
      </c>
      <c r="M1537" s="2">
        <v>101.4948</v>
      </c>
      <c r="N1537" s="2">
        <v>172</v>
      </c>
      <c r="O1537" s="2">
        <v>100.0106</v>
      </c>
      <c r="P1537" s="2">
        <v>197</v>
      </c>
      <c r="Q1537" s="2">
        <v>105.4605</v>
      </c>
      <c r="R1537" s="2">
        <v>244</v>
      </c>
      <c r="S1537" s="2">
        <v>106.0308</v>
      </c>
      <c r="T1537" s="2">
        <v>245</v>
      </c>
      <c r="U1537" s="2">
        <v>0.33800200000000002</v>
      </c>
      <c r="V1537" s="2">
        <v>226</v>
      </c>
      <c r="W1537" s="2">
        <v>2006</v>
      </c>
    </row>
    <row r="1538" spans="1:23" ht="12.3" hidden="1" x14ac:dyDescent="0.4">
      <c r="A1538" s="2" t="s">
        <v>183</v>
      </c>
      <c r="B1538" s="2"/>
      <c r="C1538" s="2"/>
      <c r="D1538" s="2"/>
      <c r="E1538" s="2"/>
      <c r="F1538" s="2"/>
      <c r="G1538" s="2"/>
      <c r="H1538" s="2"/>
      <c r="I1538" s="2">
        <v>65.8523</v>
      </c>
      <c r="J1538" s="2">
        <v>218</v>
      </c>
      <c r="K1538" s="2">
        <v>64.729900000000001</v>
      </c>
      <c r="L1538" s="2">
        <v>259</v>
      </c>
      <c r="M1538" s="2">
        <v>95.323899999999995</v>
      </c>
      <c r="N1538" s="2">
        <v>278</v>
      </c>
      <c r="O1538" s="2">
        <v>98.549899999999994</v>
      </c>
      <c r="P1538" s="2">
        <v>223</v>
      </c>
      <c r="Q1538" s="2">
        <v>104.8976</v>
      </c>
      <c r="R1538" s="2">
        <v>236</v>
      </c>
      <c r="S1538" s="2">
        <v>104.6716</v>
      </c>
      <c r="T1538" s="2">
        <v>212</v>
      </c>
      <c r="U1538" s="2">
        <v>0.33335599999999999</v>
      </c>
      <c r="V1538" s="2">
        <v>227</v>
      </c>
      <c r="W1538" s="2">
        <v>2006</v>
      </c>
    </row>
    <row r="1539" spans="1:23" ht="12.3" hidden="1" x14ac:dyDescent="0.4">
      <c r="A1539" s="2" t="s">
        <v>166</v>
      </c>
      <c r="B1539" s="2"/>
      <c r="C1539" s="2"/>
      <c r="D1539" s="2"/>
      <c r="E1539" s="2"/>
      <c r="F1539" s="2"/>
      <c r="G1539" s="2"/>
      <c r="H1539" s="2"/>
      <c r="I1539" s="2">
        <v>68.974800000000002</v>
      </c>
      <c r="J1539" s="2">
        <v>97</v>
      </c>
      <c r="K1539" s="2">
        <v>68.794700000000006</v>
      </c>
      <c r="L1539" s="2">
        <v>94</v>
      </c>
      <c r="M1539" s="2">
        <v>99.675200000000004</v>
      </c>
      <c r="N1539" s="2">
        <v>195</v>
      </c>
      <c r="O1539" s="2">
        <v>97.977199999999996</v>
      </c>
      <c r="P1539" s="2">
        <v>230</v>
      </c>
      <c r="Q1539" s="2">
        <v>103.0515</v>
      </c>
      <c r="R1539" s="2">
        <v>197</v>
      </c>
      <c r="S1539" s="2">
        <v>104.1153</v>
      </c>
      <c r="T1539" s="2">
        <v>205</v>
      </c>
      <c r="U1539" s="2">
        <v>0.33208100000000002</v>
      </c>
      <c r="V1539" s="2">
        <v>228</v>
      </c>
      <c r="W1539" s="2">
        <v>2006</v>
      </c>
    </row>
    <row r="1540" spans="1:23" ht="12.3" hidden="1" x14ac:dyDescent="0.4">
      <c r="A1540" s="2" t="s">
        <v>223</v>
      </c>
      <c r="B1540" s="2"/>
      <c r="C1540" s="2"/>
      <c r="D1540" s="2"/>
      <c r="E1540" s="2"/>
      <c r="F1540" s="2"/>
      <c r="G1540" s="2"/>
      <c r="H1540" s="2"/>
      <c r="I1540" s="2">
        <v>69.287599999999998</v>
      </c>
      <c r="J1540" s="2">
        <v>86</v>
      </c>
      <c r="K1540" s="2">
        <v>68.531400000000005</v>
      </c>
      <c r="L1540" s="2">
        <v>104</v>
      </c>
      <c r="M1540" s="2">
        <v>104.50660000000001</v>
      </c>
      <c r="N1540" s="2">
        <v>119</v>
      </c>
      <c r="O1540" s="2">
        <v>102.6632</v>
      </c>
      <c r="P1540" s="2">
        <v>151</v>
      </c>
      <c r="Q1540" s="2">
        <v>105.9757</v>
      </c>
      <c r="R1540" s="2">
        <v>253</v>
      </c>
      <c r="S1540" s="2">
        <v>109.1506</v>
      </c>
      <c r="T1540" s="2">
        <v>292</v>
      </c>
      <c r="U1540" s="2">
        <v>0.33077899999999999</v>
      </c>
      <c r="V1540" s="2">
        <v>229</v>
      </c>
      <c r="W1540" s="2">
        <v>2006</v>
      </c>
    </row>
    <row r="1541" spans="1:23" ht="12.3" hidden="1" x14ac:dyDescent="0.4">
      <c r="A1541" s="2" t="s">
        <v>182</v>
      </c>
      <c r="B1541" s="2"/>
      <c r="C1541" s="2"/>
      <c r="D1541" s="2"/>
      <c r="E1541" s="2"/>
      <c r="F1541" s="2"/>
      <c r="G1541" s="2"/>
      <c r="H1541" s="2"/>
      <c r="I1541" s="2">
        <v>69.816400000000002</v>
      </c>
      <c r="J1541" s="2">
        <v>65</v>
      </c>
      <c r="K1541" s="2">
        <v>68.984099999999998</v>
      </c>
      <c r="L1541" s="2">
        <v>91</v>
      </c>
      <c r="M1541" s="2">
        <v>100.4676</v>
      </c>
      <c r="N1541" s="2">
        <v>186</v>
      </c>
      <c r="O1541" s="2">
        <v>99.642300000000006</v>
      </c>
      <c r="P1541" s="2">
        <v>206</v>
      </c>
      <c r="Q1541" s="2">
        <v>109.0462</v>
      </c>
      <c r="R1541" s="2">
        <v>303</v>
      </c>
      <c r="S1541" s="2">
        <v>106.0939</v>
      </c>
      <c r="T1541" s="2">
        <v>249</v>
      </c>
      <c r="U1541" s="2">
        <v>0.32706600000000002</v>
      </c>
      <c r="V1541" s="2">
        <v>230</v>
      </c>
      <c r="W1541" s="2">
        <v>2006</v>
      </c>
    </row>
    <row r="1542" spans="1:23" ht="12.3" hidden="1" x14ac:dyDescent="0.4">
      <c r="A1542" s="2" t="s">
        <v>162</v>
      </c>
      <c r="B1542" s="2"/>
      <c r="C1542" s="2"/>
      <c r="D1542" s="2"/>
      <c r="E1542" s="2"/>
      <c r="F1542" s="2"/>
      <c r="G1542" s="2"/>
      <c r="H1542" s="2"/>
      <c r="I1542" s="2">
        <v>65.711200000000005</v>
      </c>
      <c r="J1542" s="2">
        <v>222</v>
      </c>
      <c r="K1542" s="2">
        <v>66.229600000000005</v>
      </c>
      <c r="L1542" s="2">
        <v>207</v>
      </c>
      <c r="M1542" s="2">
        <v>94.799899999999994</v>
      </c>
      <c r="N1542" s="2">
        <v>284</v>
      </c>
      <c r="O1542" s="2">
        <v>94.795299999999997</v>
      </c>
      <c r="P1542" s="2">
        <v>277</v>
      </c>
      <c r="Q1542" s="2">
        <v>103.5729</v>
      </c>
      <c r="R1542" s="2">
        <v>209</v>
      </c>
      <c r="S1542" s="2">
        <v>101.0014</v>
      </c>
      <c r="T1542" s="2">
        <v>148</v>
      </c>
      <c r="U1542" s="2">
        <v>0.32535700000000001</v>
      </c>
      <c r="V1542" s="2">
        <v>231</v>
      </c>
      <c r="W1542" s="2">
        <v>2006</v>
      </c>
    </row>
    <row r="1543" spans="1:23" ht="12.3" hidden="1" x14ac:dyDescent="0.4">
      <c r="A1543" s="2" t="s">
        <v>174</v>
      </c>
      <c r="B1543" s="2"/>
      <c r="C1543" s="2"/>
      <c r="D1543" s="2"/>
      <c r="E1543" s="2"/>
      <c r="F1543" s="2"/>
      <c r="G1543" s="2"/>
      <c r="H1543" s="2"/>
      <c r="I1543" s="2">
        <v>69.209900000000005</v>
      </c>
      <c r="J1543" s="2">
        <v>88</v>
      </c>
      <c r="K1543" s="2">
        <v>69.094399999999993</v>
      </c>
      <c r="L1543" s="2">
        <v>87</v>
      </c>
      <c r="M1543" s="2">
        <v>94.689899999999994</v>
      </c>
      <c r="N1543" s="2">
        <v>286</v>
      </c>
      <c r="O1543" s="2">
        <v>94.143699999999995</v>
      </c>
      <c r="P1543" s="2">
        <v>285</v>
      </c>
      <c r="Q1543" s="2">
        <v>102.10380000000001</v>
      </c>
      <c r="R1543" s="2">
        <v>172</v>
      </c>
      <c r="S1543" s="2">
        <v>100.3467</v>
      </c>
      <c r="T1543" s="2">
        <v>133</v>
      </c>
      <c r="U1543" s="2">
        <v>0.32436300000000001</v>
      </c>
      <c r="V1543" s="2">
        <v>232</v>
      </c>
      <c r="W1543" s="2">
        <v>2006</v>
      </c>
    </row>
    <row r="1544" spans="1:23" ht="12.3" hidden="1" x14ac:dyDescent="0.4">
      <c r="A1544" s="2" t="s">
        <v>355</v>
      </c>
      <c r="B1544" s="2"/>
      <c r="C1544" s="2"/>
      <c r="D1544" s="2"/>
      <c r="E1544" s="2"/>
      <c r="F1544" s="2"/>
      <c r="G1544" s="2"/>
      <c r="H1544" s="2"/>
      <c r="I1544" s="2">
        <v>62.7926</v>
      </c>
      <c r="J1544" s="2">
        <v>303</v>
      </c>
      <c r="K1544" s="2">
        <v>60.887900000000002</v>
      </c>
      <c r="L1544" s="2">
        <v>323</v>
      </c>
      <c r="M1544" s="2">
        <v>103.6913</v>
      </c>
      <c r="N1544" s="2">
        <v>136</v>
      </c>
      <c r="O1544" s="2">
        <v>99.936899999999994</v>
      </c>
      <c r="P1544" s="2">
        <v>199</v>
      </c>
      <c r="Q1544" s="2">
        <v>102.247</v>
      </c>
      <c r="R1544" s="2">
        <v>177</v>
      </c>
      <c r="S1544" s="2">
        <v>106.53279999999999</v>
      </c>
      <c r="T1544" s="2">
        <v>257</v>
      </c>
      <c r="U1544" s="2">
        <v>0.324098</v>
      </c>
      <c r="V1544" s="2">
        <v>233</v>
      </c>
      <c r="W1544" s="2">
        <v>2006</v>
      </c>
    </row>
    <row r="1545" spans="1:23" ht="12.3" hidden="1" x14ac:dyDescent="0.4">
      <c r="A1545" s="2" t="s">
        <v>305</v>
      </c>
      <c r="B1545" s="2"/>
      <c r="C1545" s="2"/>
      <c r="D1545" s="2"/>
      <c r="E1545" s="2"/>
      <c r="F1545" s="2"/>
      <c r="G1545" s="2"/>
      <c r="H1545" s="2"/>
      <c r="I1545" s="2">
        <v>67.320499999999996</v>
      </c>
      <c r="J1545" s="2">
        <v>150</v>
      </c>
      <c r="K1545" s="2">
        <v>67.083699999999993</v>
      </c>
      <c r="L1545" s="2">
        <v>153</v>
      </c>
      <c r="M1545" s="2">
        <v>100.22539999999999</v>
      </c>
      <c r="N1545" s="2">
        <v>190</v>
      </c>
      <c r="O1545" s="2">
        <v>100.0883</v>
      </c>
      <c r="P1545" s="2">
        <v>196</v>
      </c>
      <c r="Q1545" s="2">
        <v>106.2555</v>
      </c>
      <c r="R1545" s="2">
        <v>260</v>
      </c>
      <c r="S1545" s="2">
        <v>106.7075</v>
      </c>
      <c r="T1545" s="2">
        <v>258</v>
      </c>
      <c r="U1545" s="2">
        <v>0.32378299999999999</v>
      </c>
      <c r="V1545" s="2">
        <v>234</v>
      </c>
      <c r="W1545" s="2">
        <v>2006</v>
      </c>
    </row>
    <row r="1546" spans="1:23" ht="12.3" hidden="1" x14ac:dyDescent="0.4">
      <c r="A1546" s="2" t="s">
        <v>348</v>
      </c>
      <c r="B1546" s="2"/>
      <c r="C1546" s="2"/>
      <c r="D1546" s="2"/>
      <c r="E1546" s="2"/>
      <c r="F1546" s="2"/>
      <c r="G1546" s="2"/>
      <c r="H1546" s="2"/>
      <c r="I1546" s="2">
        <v>66.893500000000003</v>
      </c>
      <c r="J1546" s="2">
        <v>172</v>
      </c>
      <c r="K1546" s="2">
        <v>66.753799999999998</v>
      </c>
      <c r="L1546" s="2">
        <v>171</v>
      </c>
      <c r="M1546" s="2">
        <v>101.4388</v>
      </c>
      <c r="N1546" s="2">
        <v>173</v>
      </c>
      <c r="O1546" s="2">
        <v>100.1373</v>
      </c>
      <c r="P1546" s="2">
        <v>195</v>
      </c>
      <c r="Q1546" s="2">
        <v>109.11450000000001</v>
      </c>
      <c r="R1546" s="2">
        <v>304</v>
      </c>
      <c r="S1546" s="2">
        <v>106.7829</v>
      </c>
      <c r="T1546" s="2">
        <v>259</v>
      </c>
      <c r="U1546" s="2">
        <v>0.32323800000000003</v>
      </c>
      <c r="V1546" s="2">
        <v>235</v>
      </c>
      <c r="W1546" s="2">
        <v>2006</v>
      </c>
    </row>
    <row r="1547" spans="1:23" ht="12.3" hidden="1" x14ac:dyDescent="0.4">
      <c r="A1547" s="2" t="s">
        <v>218</v>
      </c>
      <c r="B1547" s="2"/>
      <c r="C1547" s="2"/>
      <c r="D1547" s="2"/>
      <c r="E1547" s="2"/>
      <c r="F1547" s="2"/>
      <c r="G1547" s="2"/>
      <c r="H1547" s="2"/>
      <c r="I1547" s="2">
        <v>67.895399999999995</v>
      </c>
      <c r="J1547" s="2">
        <v>132</v>
      </c>
      <c r="K1547" s="2">
        <v>66.686700000000002</v>
      </c>
      <c r="L1547" s="2">
        <v>177</v>
      </c>
      <c r="M1547" s="2">
        <v>106.74809999999999</v>
      </c>
      <c r="N1547" s="2">
        <v>73</v>
      </c>
      <c r="O1547" s="2">
        <v>100.5802</v>
      </c>
      <c r="P1547" s="2">
        <v>185</v>
      </c>
      <c r="Q1547" s="2">
        <v>105.63809999999999</v>
      </c>
      <c r="R1547" s="2">
        <v>248</v>
      </c>
      <c r="S1547" s="2">
        <v>107.3064</v>
      </c>
      <c r="T1547" s="2">
        <v>267</v>
      </c>
      <c r="U1547" s="2">
        <v>0.32203700000000002</v>
      </c>
      <c r="V1547" s="2">
        <v>236</v>
      </c>
      <c r="W1547" s="2">
        <v>2006</v>
      </c>
    </row>
    <row r="1548" spans="1:23" ht="12.3" hidden="1" x14ac:dyDescent="0.4">
      <c r="A1548" s="2" t="s">
        <v>333</v>
      </c>
      <c r="B1548" s="2"/>
      <c r="C1548" s="2"/>
      <c r="D1548" s="2"/>
      <c r="E1548" s="2"/>
      <c r="F1548" s="2"/>
      <c r="G1548" s="2"/>
      <c r="H1548" s="2"/>
      <c r="I1548" s="2">
        <v>63.191699999999997</v>
      </c>
      <c r="J1548" s="2">
        <v>295</v>
      </c>
      <c r="K1548" s="2">
        <v>64.041899999999998</v>
      </c>
      <c r="L1548" s="2">
        <v>275</v>
      </c>
      <c r="M1548" s="2">
        <v>98.19</v>
      </c>
      <c r="N1548" s="2">
        <v>225</v>
      </c>
      <c r="O1548" s="2">
        <v>97.210499999999996</v>
      </c>
      <c r="P1548" s="2">
        <v>243</v>
      </c>
      <c r="Q1548" s="2">
        <v>99.971500000000006</v>
      </c>
      <c r="R1548" s="2">
        <v>125</v>
      </c>
      <c r="S1548" s="2">
        <v>103.733</v>
      </c>
      <c r="T1548" s="2">
        <v>199</v>
      </c>
      <c r="U1548" s="2">
        <v>0.32151400000000002</v>
      </c>
      <c r="V1548" s="2">
        <v>237</v>
      </c>
      <c r="W1548" s="2">
        <v>2006</v>
      </c>
    </row>
    <row r="1549" spans="1:23" ht="12.3" hidden="1" x14ac:dyDescent="0.4">
      <c r="A1549" s="2" t="s">
        <v>307</v>
      </c>
      <c r="B1549" s="2"/>
      <c r="C1549" s="2"/>
      <c r="D1549" s="2"/>
      <c r="E1549" s="2"/>
      <c r="F1549" s="2"/>
      <c r="G1549" s="2"/>
      <c r="H1549" s="2"/>
      <c r="I1549" s="2">
        <v>68.369799999999998</v>
      </c>
      <c r="J1549" s="2">
        <v>118</v>
      </c>
      <c r="K1549" s="2">
        <v>67.878399999999999</v>
      </c>
      <c r="L1549" s="2">
        <v>118</v>
      </c>
      <c r="M1549" s="2">
        <v>104.22069999999999</v>
      </c>
      <c r="N1549" s="2">
        <v>125</v>
      </c>
      <c r="O1549" s="2">
        <v>103.3404</v>
      </c>
      <c r="P1549" s="2">
        <v>135</v>
      </c>
      <c r="Q1549" s="2">
        <v>106.5441</v>
      </c>
      <c r="R1549" s="2">
        <v>268</v>
      </c>
      <c r="S1549" s="2">
        <v>110.4843</v>
      </c>
      <c r="T1549" s="2">
        <v>304</v>
      </c>
      <c r="U1549" s="2">
        <v>0.31675599999999998</v>
      </c>
      <c r="V1549" s="2">
        <v>238</v>
      </c>
      <c r="W1549" s="2">
        <v>2006</v>
      </c>
    </row>
    <row r="1550" spans="1:23" ht="12.3" hidden="1" x14ac:dyDescent="0.4">
      <c r="A1550" s="2" t="s">
        <v>185</v>
      </c>
      <c r="B1550" s="2"/>
      <c r="C1550" s="2"/>
      <c r="D1550" s="2"/>
      <c r="E1550" s="2"/>
      <c r="F1550" s="2"/>
      <c r="G1550" s="2"/>
      <c r="H1550" s="2"/>
      <c r="I1550" s="2">
        <v>72.915899999999993</v>
      </c>
      <c r="J1550" s="2">
        <v>16</v>
      </c>
      <c r="K1550" s="2">
        <v>71.152199999999993</v>
      </c>
      <c r="L1550" s="2">
        <v>35</v>
      </c>
      <c r="M1550" s="2">
        <v>99.194000000000003</v>
      </c>
      <c r="N1550" s="2">
        <v>207</v>
      </c>
      <c r="O1550" s="2">
        <v>98.941299999999998</v>
      </c>
      <c r="P1550" s="2">
        <v>219</v>
      </c>
      <c r="Q1550" s="2">
        <v>102.8646</v>
      </c>
      <c r="R1550" s="2">
        <v>192</v>
      </c>
      <c r="S1550" s="2">
        <v>105.9773</v>
      </c>
      <c r="T1550" s="2">
        <v>244</v>
      </c>
      <c r="U1550" s="2">
        <v>0.312162</v>
      </c>
      <c r="V1550" s="2">
        <v>239</v>
      </c>
      <c r="W1550" s="2">
        <v>2006</v>
      </c>
    </row>
    <row r="1551" spans="1:23" ht="12.3" hidden="1" x14ac:dyDescent="0.4">
      <c r="A1551" s="2" t="s">
        <v>246</v>
      </c>
      <c r="B1551" s="2"/>
      <c r="C1551" s="2"/>
      <c r="D1551" s="2"/>
      <c r="E1551" s="2"/>
      <c r="F1551" s="2"/>
      <c r="G1551" s="2"/>
      <c r="H1551" s="2"/>
      <c r="I1551" s="2">
        <v>65.251999999999995</v>
      </c>
      <c r="J1551" s="2">
        <v>238</v>
      </c>
      <c r="K1551" s="2">
        <v>65.635000000000005</v>
      </c>
      <c r="L1551" s="2">
        <v>227</v>
      </c>
      <c r="M1551" s="2">
        <v>99.425899999999999</v>
      </c>
      <c r="N1551" s="2">
        <v>197</v>
      </c>
      <c r="O1551" s="2">
        <v>98.083699999999993</v>
      </c>
      <c r="P1551" s="2">
        <v>228</v>
      </c>
      <c r="Q1551" s="2">
        <v>104.7859</v>
      </c>
      <c r="R1551" s="2">
        <v>234</v>
      </c>
      <c r="S1551" s="2">
        <v>105.1469</v>
      </c>
      <c r="T1551" s="2">
        <v>224</v>
      </c>
      <c r="U1551" s="2">
        <v>0.31009500000000001</v>
      </c>
      <c r="V1551" s="2">
        <v>240</v>
      </c>
      <c r="W1551" s="2">
        <v>2006</v>
      </c>
    </row>
    <row r="1552" spans="1:23" ht="12.3" hidden="1" x14ac:dyDescent="0.4">
      <c r="A1552" s="2" t="s">
        <v>189</v>
      </c>
      <c r="B1552" s="2"/>
      <c r="C1552" s="2"/>
      <c r="D1552" s="2"/>
      <c r="E1552" s="2"/>
      <c r="F1552" s="2"/>
      <c r="G1552" s="2"/>
      <c r="H1552" s="2"/>
      <c r="I1552" s="2">
        <v>65.168400000000005</v>
      </c>
      <c r="J1552" s="2">
        <v>242</v>
      </c>
      <c r="K1552" s="2">
        <v>64.071899999999999</v>
      </c>
      <c r="L1552" s="2">
        <v>274</v>
      </c>
      <c r="M1552" s="2">
        <v>99.247200000000007</v>
      </c>
      <c r="N1552" s="2">
        <v>205</v>
      </c>
      <c r="O1552" s="2">
        <v>99.150899999999993</v>
      </c>
      <c r="P1552" s="2">
        <v>213</v>
      </c>
      <c r="Q1552" s="2">
        <v>108.07129999999999</v>
      </c>
      <c r="R1552" s="2">
        <v>298</v>
      </c>
      <c r="S1552" s="2">
        <v>106.4084</v>
      </c>
      <c r="T1552" s="2">
        <v>254</v>
      </c>
      <c r="U1552" s="2">
        <v>0.30738500000000002</v>
      </c>
      <c r="V1552" s="2">
        <v>241</v>
      </c>
      <c r="W1552" s="2">
        <v>2006</v>
      </c>
    </row>
    <row r="1553" spans="1:23" ht="12.3" hidden="1" x14ac:dyDescent="0.4">
      <c r="A1553" s="2" t="s">
        <v>222</v>
      </c>
      <c r="B1553" s="2"/>
      <c r="C1553" s="2"/>
      <c r="D1553" s="2"/>
      <c r="E1553" s="2"/>
      <c r="F1553" s="2"/>
      <c r="G1553" s="2"/>
      <c r="H1553" s="2"/>
      <c r="I1553" s="2">
        <v>68.416300000000007</v>
      </c>
      <c r="J1553" s="2">
        <v>115</v>
      </c>
      <c r="K1553" s="2">
        <v>69.927499999999995</v>
      </c>
      <c r="L1553" s="2">
        <v>59</v>
      </c>
      <c r="M1553" s="2">
        <v>91.429000000000002</v>
      </c>
      <c r="N1553" s="2">
        <v>313</v>
      </c>
      <c r="O1553" s="2">
        <v>91.158100000000005</v>
      </c>
      <c r="P1553" s="2">
        <v>317</v>
      </c>
      <c r="Q1553" s="2">
        <v>101.8995</v>
      </c>
      <c r="R1553" s="2">
        <v>167</v>
      </c>
      <c r="S1553" s="2">
        <v>97.965100000000007</v>
      </c>
      <c r="T1553" s="2">
        <v>94</v>
      </c>
      <c r="U1553" s="2">
        <v>0.30403000000000002</v>
      </c>
      <c r="V1553" s="2">
        <v>242</v>
      </c>
      <c r="W1553" s="2">
        <v>2006</v>
      </c>
    </row>
    <row r="1554" spans="1:23" ht="12.3" hidden="1" x14ac:dyDescent="0.4">
      <c r="A1554" s="2" t="s">
        <v>295</v>
      </c>
      <c r="B1554" s="2"/>
      <c r="C1554" s="2"/>
      <c r="D1554" s="2"/>
      <c r="E1554" s="2"/>
      <c r="F1554" s="2"/>
      <c r="G1554" s="2"/>
      <c r="H1554" s="2"/>
      <c r="I1554" s="2">
        <v>65.610900000000001</v>
      </c>
      <c r="J1554" s="2">
        <v>227</v>
      </c>
      <c r="K1554" s="2">
        <v>66.770200000000003</v>
      </c>
      <c r="L1554" s="2">
        <v>170</v>
      </c>
      <c r="M1554" s="2">
        <v>101.67829999999999</v>
      </c>
      <c r="N1554" s="2">
        <v>168</v>
      </c>
      <c r="O1554" s="2">
        <v>99.874799999999993</v>
      </c>
      <c r="P1554" s="2">
        <v>203</v>
      </c>
      <c r="Q1554" s="2">
        <v>102.62520000000001</v>
      </c>
      <c r="R1554" s="2">
        <v>186</v>
      </c>
      <c r="S1554" s="2">
        <v>107.4884</v>
      </c>
      <c r="T1554" s="2">
        <v>273</v>
      </c>
      <c r="U1554" s="2">
        <v>0.30051499999999998</v>
      </c>
      <c r="V1554" s="2">
        <v>243</v>
      </c>
      <c r="W1554" s="2">
        <v>2006</v>
      </c>
    </row>
    <row r="1555" spans="1:23" ht="12.3" hidden="1" x14ac:dyDescent="0.4">
      <c r="A1555" s="2" t="s">
        <v>279</v>
      </c>
      <c r="B1555" s="2"/>
      <c r="C1555" s="2"/>
      <c r="D1555" s="2"/>
      <c r="E1555" s="2"/>
      <c r="F1555" s="2"/>
      <c r="G1555" s="2"/>
      <c r="H1555" s="2"/>
      <c r="I1555" s="2">
        <v>64.964600000000004</v>
      </c>
      <c r="J1555" s="2">
        <v>249</v>
      </c>
      <c r="K1555" s="2">
        <v>64.960400000000007</v>
      </c>
      <c r="L1555" s="2">
        <v>251</v>
      </c>
      <c r="M1555" s="2">
        <v>98.150199999999998</v>
      </c>
      <c r="N1555" s="2">
        <v>228</v>
      </c>
      <c r="O1555" s="2">
        <v>98.9649</v>
      </c>
      <c r="P1555" s="2">
        <v>218</v>
      </c>
      <c r="Q1555" s="2">
        <v>106.28360000000001</v>
      </c>
      <c r="R1555" s="2">
        <v>262</v>
      </c>
      <c r="S1555" s="2">
        <v>106.51049999999999</v>
      </c>
      <c r="T1555" s="2">
        <v>256</v>
      </c>
      <c r="U1555" s="2">
        <v>0.300483</v>
      </c>
      <c r="V1555" s="2">
        <v>244</v>
      </c>
      <c r="W1555" s="2">
        <v>2006</v>
      </c>
    </row>
    <row r="1556" spans="1:23" ht="12.3" hidden="1" x14ac:dyDescent="0.4">
      <c r="A1556" s="2" t="s">
        <v>100</v>
      </c>
      <c r="B1556" s="2"/>
      <c r="C1556" s="2"/>
      <c r="D1556" s="2"/>
      <c r="E1556" s="2"/>
      <c r="F1556" s="2"/>
      <c r="G1556" s="2"/>
      <c r="H1556" s="2"/>
      <c r="I1556" s="2">
        <v>57.106200000000001</v>
      </c>
      <c r="J1556" s="2">
        <v>331</v>
      </c>
      <c r="K1556" s="2">
        <v>57.340800000000002</v>
      </c>
      <c r="L1556" s="2">
        <v>330</v>
      </c>
      <c r="M1556" s="2">
        <v>90.601200000000006</v>
      </c>
      <c r="N1556" s="2">
        <v>317</v>
      </c>
      <c r="O1556" s="2">
        <v>93.385599999999997</v>
      </c>
      <c r="P1556" s="2">
        <v>294</v>
      </c>
      <c r="Q1556" s="2">
        <v>100.8749</v>
      </c>
      <c r="R1556" s="2">
        <v>144</v>
      </c>
      <c r="S1556" s="2">
        <v>100.5204</v>
      </c>
      <c r="T1556" s="2">
        <v>139</v>
      </c>
      <c r="U1556" s="2">
        <v>0.30013099999999998</v>
      </c>
      <c r="V1556" s="2">
        <v>245</v>
      </c>
      <c r="W1556" s="2">
        <v>2006</v>
      </c>
    </row>
    <row r="1557" spans="1:23" ht="12.3" hidden="1" x14ac:dyDescent="0.4">
      <c r="A1557" s="2" t="s">
        <v>106</v>
      </c>
      <c r="B1557" s="2"/>
      <c r="C1557" s="2"/>
      <c r="D1557" s="2"/>
      <c r="E1557" s="2"/>
      <c r="F1557" s="2"/>
      <c r="G1557" s="2"/>
      <c r="H1557" s="2"/>
      <c r="I1557" s="2">
        <v>67.544300000000007</v>
      </c>
      <c r="J1557" s="2">
        <v>144</v>
      </c>
      <c r="K1557" s="2">
        <v>69.528400000000005</v>
      </c>
      <c r="L1557" s="2">
        <v>75</v>
      </c>
      <c r="M1557" s="2">
        <v>99.533500000000004</v>
      </c>
      <c r="N1557" s="2">
        <v>196</v>
      </c>
      <c r="O1557" s="2">
        <v>98.498699999999999</v>
      </c>
      <c r="P1557" s="2">
        <v>225</v>
      </c>
      <c r="Q1557" s="2">
        <v>107.3074</v>
      </c>
      <c r="R1557" s="2">
        <v>286</v>
      </c>
      <c r="S1557" s="2">
        <v>106.05889999999999</v>
      </c>
      <c r="T1557" s="2">
        <v>246</v>
      </c>
      <c r="U1557" s="2">
        <v>0.29934100000000002</v>
      </c>
      <c r="V1557" s="2">
        <v>246</v>
      </c>
      <c r="W1557" s="2">
        <v>2006</v>
      </c>
    </row>
    <row r="1558" spans="1:23" ht="12.3" hidden="1" x14ac:dyDescent="0.4">
      <c r="A1558" s="2" t="s">
        <v>349</v>
      </c>
      <c r="B1558" s="2"/>
      <c r="C1558" s="2"/>
      <c r="D1558" s="2"/>
      <c r="E1558" s="2"/>
      <c r="F1558" s="2"/>
      <c r="G1558" s="2"/>
      <c r="H1558" s="2"/>
      <c r="I1558" s="2">
        <v>65.347200000000001</v>
      </c>
      <c r="J1558" s="2">
        <v>233</v>
      </c>
      <c r="K1558" s="2">
        <v>64.992800000000003</v>
      </c>
      <c r="L1558" s="2">
        <v>249</v>
      </c>
      <c r="M1558" s="2">
        <v>98.368399999999994</v>
      </c>
      <c r="N1558" s="2">
        <v>222</v>
      </c>
      <c r="O1558" s="2">
        <v>95.990600000000001</v>
      </c>
      <c r="P1558" s="2">
        <v>259</v>
      </c>
      <c r="Q1558" s="2">
        <v>101.1399</v>
      </c>
      <c r="R1558" s="2">
        <v>153</v>
      </c>
      <c r="S1558" s="2">
        <v>103.414</v>
      </c>
      <c r="T1558" s="2">
        <v>193</v>
      </c>
      <c r="U1558" s="2">
        <v>0.298043</v>
      </c>
      <c r="V1558" s="2">
        <v>247</v>
      </c>
      <c r="W1558" s="2">
        <v>2006</v>
      </c>
    </row>
    <row r="1559" spans="1:23" ht="12.3" hidden="1" x14ac:dyDescent="0.4">
      <c r="A1559" s="2" t="s">
        <v>257</v>
      </c>
      <c r="B1559" s="2"/>
      <c r="C1559" s="2"/>
      <c r="D1559" s="2"/>
      <c r="E1559" s="2"/>
      <c r="F1559" s="2"/>
      <c r="G1559" s="2"/>
      <c r="H1559" s="2"/>
      <c r="I1559" s="2">
        <v>66.605699999999999</v>
      </c>
      <c r="J1559" s="2">
        <v>184</v>
      </c>
      <c r="K1559" s="2">
        <v>66.690399999999997</v>
      </c>
      <c r="L1559" s="2">
        <v>176</v>
      </c>
      <c r="M1559" s="2">
        <v>96.518900000000002</v>
      </c>
      <c r="N1559" s="2">
        <v>251</v>
      </c>
      <c r="O1559" s="2">
        <v>96.393600000000006</v>
      </c>
      <c r="P1559" s="2">
        <v>257</v>
      </c>
      <c r="Q1559" s="2">
        <v>104.4241</v>
      </c>
      <c r="R1559" s="2">
        <v>228</v>
      </c>
      <c r="S1559" s="2">
        <v>103.8552</v>
      </c>
      <c r="T1559" s="2">
        <v>202</v>
      </c>
      <c r="U1559" s="2">
        <v>0.29787999999999998</v>
      </c>
      <c r="V1559" s="2">
        <v>248</v>
      </c>
      <c r="W1559" s="2">
        <v>2006</v>
      </c>
    </row>
    <row r="1560" spans="1:23" ht="12.3" hidden="1" x14ac:dyDescent="0.4">
      <c r="A1560" s="2" t="s">
        <v>237</v>
      </c>
      <c r="B1560" s="2"/>
      <c r="C1560" s="2"/>
      <c r="D1560" s="2"/>
      <c r="E1560" s="2"/>
      <c r="F1560" s="2"/>
      <c r="G1560" s="2"/>
      <c r="H1560" s="2"/>
      <c r="I1560" s="2">
        <v>66.177599999999998</v>
      </c>
      <c r="J1560" s="2">
        <v>202</v>
      </c>
      <c r="K1560" s="2">
        <v>66.262299999999996</v>
      </c>
      <c r="L1560" s="2">
        <v>199</v>
      </c>
      <c r="M1560" s="2">
        <v>102.87690000000001</v>
      </c>
      <c r="N1560" s="2">
        <v>148</v>
      </c>
      <c r="O1560" s="2">
        <v>100.5252</v>
      </c>
      <c r="P1560" s="2">
        <v>190</v>
      </c>
      <c r="Q1560" s="2">
        <v>108.0737</v>
      </c>
      <c r="R1560" s="2">
        <v>299</v>
      </c>
      <c r="S1560" s="2">
        <v>108.4843</v>
      </c>
      <c r="T1560" s="2">
        <v>284</v>
      </c>
      <c r="U1560" s="2">
        <v>0.29395199999999999</v>
      </c>
      <c r="V1560" s="2">
        <v>249</v>
      </c>
      <c r="W1560" s="2">
        <v>2006</v>
      </c>
    </row>
    <row r="1561" spans="1:23" ht="12.3" hidden="1" x14ac:dyDescent="0.4">
      <c r="A1561" s="2" t="s">
        <v>317</v>
      </c>
      <c r="B1561" s="2"/>
      <c r="C1561" s="2"/>
      <c r="D1561" s="2"/>
      <c r="E1561" s="2"/>
      <c r="F1561" s="2"/>
      <c r="G1561" s="2"/>
      <c r="H1561" s="2"/>
      <c r="I1561" s="2">
        <v>64.563299999999998</v>
      </c>
      <c r="J1561" s="2">
        <v>258</v>
      </c>
      <c r="K1561" s="2">
        <v>65.303100000000001</v>
      </c>
      <c r="L1561" s="2">
        <v>238</v>
      </c>
      <c r="M1561" s="2">
        <v>103.2915</v>
      </c>
      <c r="N1561" s="2">
        <v>142</v>
      </c>
      <c r="O1561" s="2">
        <v>102.4315</v>
      </c>
      <c r="P1561" s="2">
        <v>155</v>
      </c>
      <c r="Q1561" s="2">
        <v>111.4945</v>
      </c>
      <c r="R1561" s="2">
        <v>321</v>
      </c>
      <c r="S1561" s="2">
        <v>110.5771</v>
      </c>
      <c r="T1561" s="2">
        <v>307</v>
      </c>
      <c r="U1561" s="2">
        <v>0.293186</v>
      </c>
      <c r="V1561" s="2">
        <v>250</v>
      </c>
      <c r="W1561" s="2">
        <v>2006</v>
      </c>
    </row>
    <row r="1562" spans="1:23" ht="12.3" hidden="1" x14ac:dyDescent="0.4">
      <c r="A1562" s="2" t="s">
        <v>293</v>
      </c>
      <c r="B1562" s="2"/>
      <c r="C1562" s="2"/>
      <c r="D1562" s="2"/>
      <c r="E1562" s="2"/>
      <c r="F1562" s="2"/>
      <c r="G1562" s="2"/>
      <c r="H1562" s="2"/>
      <c r="I1562" s="2">
        <v>69.538799999999995</v>
      </c>
      <c r="J1562" s="2">
        <v>72</v>
      </c>
      <c r="K1562" s="2">
        <v>69.092299999999994</v>
      </c>
      <c r="L1562" s="2">
        <v>88</v>
      </c>
      <c r="M1562" s="2">
        <v>100.3659</v>
      </c>
      <c r="N1562" s="2">
        <v>188</v>
      </c>
      <c r="O1562" s="2">
        <v>102.7574</v>
      </c>
      <c r="P1562" s="2">
        <v>148</v>
      </c>
      <c r="Q1562" s="2">
        <v>107.7534</v>
      </c>
      <c r="R1562" s="2">
        <v>292</v>
      </c>
      <c r="S1562" s="2">
        <v>110.95610000000001</v>
      </c>
      <c r="T1562" s="2">
        <v>309</v>
      </c>
      <c r="U1562" s="2">
        <v>0.292603</v>
      </c>
      <c r="V1562" s="2">
        <v>251</v>
      </c>
      <c r="W1562" s="2">
        <v>2006</v>
      </c>
    </row>
    <row r="1563" spans="1:23" ht="12.3" hidden="1" x14ac:dyDescent="0.4">
      <c r="A1563" s="2" t="s">
        <v>170</v>
      </c>
      <c r="B1563" s="2"/>
      <c r="C1563" s="2"/>
      <c r="D1563" s="2"/>
      <c r="E1563" s="2"/>
      <c r="F1563" s="2"/>
      <c r="G1563" s="2"/>
      <c r="H1563" s="2"/>
      <c r="I1563" s="2">
        <v>65.328800000000001</v>
      </c>
      <c r="J1563" s="2">
        <v>234</v>
      </c>
      <c r="K1563" s="2">
        <v>64.452100000000002</v>
      </c>
      <c r="L1563" s="2">
        <v>264</v>
      </c>
      <c r="M1563" s="2">
        <v>98.9251</v>
      </c>
      <c r="N1563" s="2">
        <v>215</v>
      </c>
      <c r="O1563" s="2">
        <v>97.942300000000003</v>
      </c>
      <c r="P1563" s="2">
        <v>231</v>
      </c>
      <c r="Q1563" s="2">
        <v>107.1885</v>
      </c>
      <c r="R1563" s="2">
        <v>283</v>
      </c>
      <c r="S1563" s="2">
        <v>105.8844</v>
      </c>
      <c r="T1563" s="2">
        <v>243</v>
      </c>
      <c r="U1563" s="2">
        <v>0.28974100000000003</v>
      </c>
      <c r="V1563" s="2">
        <v>252</v>
      </c>
      <c r="W1563" s="2">
        <v>2006</v>
      </c>
    </row>
    <row r="1564" spans="1:23" ht="12.3" hidden="1" x14ac:dyDescent="0.4">
      <c r="A1564" s="2" t="s">
        <v>226</v>
      </c>
      <c r="B1564" s="2"/>
      <c r="C1564" s="2"/>
      <c r="D1564" s="2"/>
      <c r="E1564" s="2"/>
      <c r="F1564" s="2"/>
      <c r="G1564" s="2"/>
      <c r="H1564" s="2"/>
      <c r="I1564" s="2">
        <v>65.490300000000005</v>
      </c>
      <c r="J1564" s="2">
        <v>231</v>
      </c>
      <c r="K1564" s="2">
        <v>65.224100000000007</v>
      </c>
      <c r="L1564" s="2">
        <v>242</v>
      </c>
      <c r="M1564" s="2">
        <v>96.852000000000004</v>
      </c>
      <c r="N1564" s="2">
        <v>248</v>
      </c>
      <c r="O1564" s="2">
        <v>97.326800000000006</v>
      </c>
      <c r="P1564" s="2">
        <v>239</v>
      </c>
      <c r="Q1564" s="2">
        <v>103.1863</v>
      </c>
      <c r="R1564" s="2">
        <v>201</v>
      </c>
      <c r="S1564" s="2">
        <v>105.2209</v>
      </c>
      <c r="T1564" s="2">
        <v>226</v>
      </c>
      <c r="U1564" s="2">
        <v>0.28969600000000001</v>
      </c>
      <c r="V1564" s="2">
        <v>253</v>
      </c>
      <c r="W1564" s="2">
        <v>2006</v>
      </c>
    </row>
    <row r="1565" spans="1:23" ht="12.3" hidden="1" x14ac:dyDescent="0.4">
      <c r="A1565" s="2" t="s">
        <v>274</v>
      </c>
      <c r="B1565" s="2"/>
      <c r="C1565" s="2"/>
      <c r="D1565" s="2"/>
      <c r="E1565" s="2"/>
      <c r="F1565" s="2"/>
      <c r="G1565" s="2"/>
      <c r="H1565" s="2"/>
      <c r="I1565" s="2">
        <v>71.116699999999994</v>
      </c>
      <c r="J1565" s="2">
        <v>45</v>
      </c>
      <c r="K1565" s="2">
        <v>71.5124</v>
      </c>
      <c r="L1565" s="2">
        <v>29</v>
      </c>
      <c r="M1565" s="2">
        <v>99.956100000000006</v>
      </c>
      <c r="N1565" s="2">
        <v>193</v>
      </c>
      <c r="O1565" s="2">
        <v>97.470500000000001</v>
      </c>
      <c r="P1565" s="2">
        <v>234</v>
      </c>
      <c r="Q1565" s="2">
        <v>102.7045</v>
      </c>
      <c r="R1565" s="2">
        <v>188</v>
      </c>
      <c r="S1565" s="2">
        <v>105.4787</v>
      </c>
      <c r="T1565" s="2">
        <v>235</v>
      </c>
      <c r="U1565" s="2">
        <v>0.28740399999999999</v>
      </c>
      <c r="V1565" s="2">
        <v>254</v>
      </c>
      <c r="W1565" s="2">
        <v>2006</v>
      </c>
    </row>
    <row r="1566" spans="1:23" ht="12.3" hidden="1" x14ac:dyDescent="0.4">
      <c r="A1566" s="2" t="s">
        <v>211</v>
      </c>
      <c r="B1566" s="2"/>
      <c r="C1566" s="2"/>
      <c r="D1566" s="2"/>
      <c r="E1566" s="2"/>
      <c r="F1566" s="2"/>
      <c r="G1566" s="2"/>
      <c r="H1566" s="2"/>
      <c r="I1566" s="2">
        <v>66.526600000000002</v>
      </c>
      <c r="J1566" s="2">
        <v>187</v>
      </c>
      <c r="K1566" s="2">
        <v>64.073700000000002</v>
      </c>
      <c r="L1566" s="2">
        <v>273</v>
      </c>
      <c r="M1566" s="2">
        <v>103.1994</v>
      </c>
      <c r="N1566" s="2">
        <v>144</v>
      </c>
      <c r="O1566" s="2">
        <v>100.57859999999999</v>
      </c>
      <c r="P1566" s="2">
        <v>186</v>
      </c>
      <c r="Q1566" s="2">
        <v>106.76600000000001</v>
      </c>
      <c r="R1566" s="2">
        <v>274</v>
      </c>
      <c r="S1566" s="2">
        <v>108.96939999999999</v>
      </c>
      <c r="T1566" s="2">
        <v>291</v>
      </c>
      <c r="U1566" s="2">
        <v>0.28466000000000002</v>
      </c>
      <c r="V1566" s="2">
        <v>255</v>
      </c>
      <c r="W1566" s="2">
        <v>2006</v>
      </c>
    </row>
    <row r="1567" spans="1:23" ht="12.3" hidden="1" x14ac:dyDescent="0.4">
      <c r="A1567" s="2" t="s">
        <v>142</v>
      </c>
      <c r="B1567" s="2"/>
      <c r="C1567" s="2"/>
      <c r="D1567" s="2"/>
      <c r="E1567" s="2"/>
      <c r="F1567" s="2"/>
      <c r="G1567" s="2"/>
      <c r="H1567" s="2"/>
      <c r="I1567" s="2">
        <v>68.531899999999993</v>
      </c>
      <c r="J1567" s="2">
        <v>111</v>
      </c>
      <c r="K1567" s="2">
        <v>68.1815</v>
      </c>
      <c r="L1567" s="2">
        <v>110</v>
      </c>
      <c r="M1567" s="2">
        <v>90.5167</v>
      </c>
      <c r="N1567" s="2">
        <v>319</v>
      </c>
      <c r="O1567" s="2">
        <v>92.254300000000001</v>
      </c>
      <c r="P1567" s="2">
        <v>305</v>
      </c>
      <c r="Q1567" s="2">
        <v>102.1412</v>
      </c>
      <c r="R1567" s="2">
        <v>174</v>
      </c>
      <c r="S1567" s="2">
        <v>100.0502</v>
      </c>
      <c r="T1567" s="2">
        <v>128</v>
      </c>
      <c r="U1567" s="2">
        <v>0.282335</v>
      </c>
      <c r="V1567" s="2">
        <v>256</v>
      </c>
      <c r="W1567" s="2">
        <v>2006</v>
      </c>
    </row>
    <row r="1568" spans="1:23" ht="12.3" hidden="1" x14ac:dyDescent="0.4">
      <c r="A1568" s="2" t="s">
        <v>198</v>
      </c>
      <c r="B1568" s="2"/>
      <c r="C1568" s="2"/>
      <c r="D1568" s="2"/>
      <c r="E1568" s="2"/>
      <c r="F1568" s="2"/>
      <c r="G1568" s="2"/>
      <c r="H1568" s="2"/>
      <c r="I1568" s="2">
        <v>71.541499999999999</v>
      </c>
      <c r="J1568" s="2">
        <v>34</v>
      </c>
      <c r="K1568" s="2">
        <v>70.254199999999997</v>
      </c>
      <c r="L1568" s="2">
        <v>50</v>
      </c>
      <c r="M1568" s="2">
        <v>95.9833</v>
      </c>
      <c r="N1568" s="2">
        <v>263</v>
      </c>
      <c r="O1568" s="2">
        <v>95.288700000000006</v>
      </c>
      <c r="P1568" s="2">
        <v>272</v>
      </c>
      <c r="Q1568" s="2">
        <v>103.91070000000001</v>
      </c>
      <c r="R1568" s="2">
        <v>220</v>
      </c>
      <c r="S1568" s="2">
        <v>103.5553</v>
      </c>
      <c r="T1568" s="2">
        <v>195</v>
      </c>
      <c r="U1568" s="2">
        <v>0.27753299999999997</v>
      </c>
      <c r="V1568" s="2">
        <v>257</v>
      </c>
      <c r="W1568" s="2">
        <v>2006</v>
      </c>
    </row>
    <row r="1569" spans="1:23" ht="12.3" hidden="1" x14ac:dyDescent="0.4">
      <c r="A1569" s="2" t="s">
        <v>160</v>
      </c>
      <c r="B1569" s="2"/>
      <c r="C1569" s="2"/>
      <c r="D1569" s="2"/>
      <c r="E1569" s="2"/>
      <c r="F1569" s="2"/>
      <c r="G1569" s="2"/>
      <c r="H1569" s="2"/>
      <c r="I1569" s="2">
        <v>69.503</v>
      </c>
      <c r="J1569" s="2">
        <v>74</v>
      </c>
      <c r="K1569" s="2">
        <v>69.709199999999996</v>
      </c>
      <c r="L1569" s="2">
        <v>67</v>
      </c>
      <c r="M1569" s="2">
        <v>96.229100000000003</v>
      </c>
      <c r="N1569" s="2">
        <v>258</v>
      </c>
      <c r="O1569" s="2">
        <v>94.6374</v>
      </c>
      <c r="P1569" s="2">
        <v>279</v>
      </c>
      <c r="Q1569" s="2">
        <v>98.972800000000007</v>
      </c>
      <c r="R1569" s="2">
        <v>103</v>
      </c>
      <c r="S1569" s="2">
        <v>103.04559999999999</v>
      </c>
      <c r="T1569" s="2">
        <v>185</v>
      </c>
      <c r="U1569" s="2">
        <v>0.27311800000000003</v>
      </c>
      <c r="V1569" s="2">
        <v>258</v>
      </c>
      <c r="W1569" s="2">
        <v>2006</v>
      </c>
    </row>
    <row r="1570" spans="1:23" ht="12.3" hidden="1" x14ac:dyDescent="0.4">
      <c r="A1570" s="2" t="s">
        <v>176</v>
      </c>
      <c r="B1570" s="2"/>
      <c r="C1570" s="2"/>
      <c r="D1570" s="2"/>
      <c r="E1570" s="2"/>
      <c r="F1570" s="2"/>
      <c r="G1570" s="2"/>
      <c r="H1570" s="2"/>
      <c r="I1570" s="2">
        <v>53.677599999999998</v>
      </c>
      <c r="J1570" s="2">
        <v>334</v>
      </c>
      <c r="K1570" s="2">
        <v>54.260800000000003</v>
      </c>
      <c r="L1570" s="2">
        <v>334</v>
      </c>
      <c r="M1570" s="2">
        <v>95.366</v>
      </c>
      <c r="N1570" s="2">
        <v>276</v>
      </c>
      <c r="O1570" s="2">
        <v>96.840100000000007</v>
      </c>
      <c r="P1570" s="2">
        <v>250</v>
      </c>
      <c r="Q1570" s="2">
        <v>102.083</v>
      </c>
      <c r="R1570" s="2">
        <v>171</v>
      </c>
      <c r="S1570" s="2">
        <v>105.4481</v>
      </c>
      <c r="T1570" s="2">
        <v>234</v>
      </c>
      <c r="U1570" s="2">
        <v>0.27302700000000002</v>
      </c>
      <c r="V1570" s="2">
        <v>259</v>
      </c>
      <c r="W1570" s="2">
        <v>2006</v>
      </c>
    </row>
    <row r="1571" spans="1:23" ht="12.3" hidden="1" x14ac:dyDescent="0.4">
      <c r="A1571" s="2" t="s">
        <v>324</v>
      </c>
      <c r="B1571" s="2"/>
      <c r="C1571" s="2"/>
      <c r="D1571" s="2"/>
      <c r="E1571" s="2"/>
      <c r="F1571" s="2"/>
      <c r="G1571" s="2"/>
      <c r="H1571" s="2"/>
      <c r="I1571" s="2">
        <v>64.8489</v>
      </c>
      <c r="J1571" s="2">
        <v>253</v>
      </c>
      <c r="K1571" s="2">
        <v>64.598299999999995</v>
      </c>
      <c r="L1571" s="2">
        <v>262</v>
      </c>
      <c r="M1571" s="2">
        <v>106.4755</v>
      </c>
      <c r="N1571" s="2">
        <v>77</v>
      </c>
      <c r="O1571" s="2">
        <v>103.8338</v>
      </c>
      <c r="P1571" s="2">
        <v>128</v>
      </c>
      <c r="Q1571" s="2">
        <v>112.2317</v>
      </c>
      <c r="R1571" s="2">
        <v>326</v>
      </c>
      <c r="S1571" s="2">
        <v>113.2732</v>
      </c>
      <c r="T1571" s="2">
        <v>325</v>
      </c>
      <c r="U1571" s="2">
        <v>0.268818</v>
      </c>
      <c r="V1571" s="2">
        <v>260</v>
      </c>
      <c r="W1571" s="2">
        <v>2006</v>
      </c>
    </row>
    <row r="1572" spans="1:23" ht="12.3" hidden="1" x14ac:dyDescent="0.4">
      <c r="A1572" s="2" t="s">
        <v>331</v>
      </c>
      <c r="B1572" s="2"/>
      <c r="C1572" s="2"/>
      <c r="D1572" s="2"/>
      <c r="E1572" s="2"/>
      <c r="F1572" s="2"/>
      <c r="G1572" s="2"/>
      <c r="H1572" s="2"/>
      <c r="I1572" s="2">
        <v>66.078199999999995</v>
      </c>
      <c r="J1572" s="2">
        <v>208</v>
      </c>
      <c r="K1572" s="2">
        <v>67.212000000000003</v>
      </c>
      <c r="L1572" s="2">
        <v>147</v>
      </c>
      <c r="M1572" s="2">
        <v>98.559799999999996</v>
      </c>
      <c r="N1572" s="2">
        <v>219</v>
      </c>
      <c r="O1572" s="2">
        <v>98.726699999999994</v>
      </c>
      <c r="P1572" s="2">
        <v>220</v>
      </c>
      <c r="Q1572" s="2">
        <v>107.842</v>
      </c>
      <c r="R1572" s="2">
        <v>294</v>
      </c>
      <c r="S1572" s="2">
        <v>107.7821</v>
      </c>
      <c r="T1572" s="2">
        <v>278</v>
      </c>
      <c r="U1572" s="2">
        <v>0.26713799999999999</v>
      </c>
      <c r="V1572" s="2">
        <v>261</v>
      </c>
      <c r="W1572" s="2">
        <v>2006</v>
      </c>
    </row>
    <row r="1573" spans="1:23" ht="12.3" hidden="1" x14ac:dyDescent="0.4">
      <c r="A1573" s="2" t="s">
        <v>89</v>
      </c>
      <c r="B1573" s="2"/>
      <c r="C1573" s="2"/>
      <c r="D1573" s="2"/>
      <c r="E1573" s="2"/>
      <c r="F1573" s="2"/>
      <c r="G1573" s="2"/>
      <c r="H1573" s="2"/>
      <c r="I1573" s="2">
        <v>67.415300000000002</v>
      </c>
      <c r="J1573" s="2">
        <v>149</v>
      </c>
      <c r="K1573" s="2">
        <v>67.778000000000006</v>
      </c>
      <c r="L1573" s="2">
        <v>124</v>
      </c>
      <c r="M1573" s="2">
        <v>94.893000000000001</v>
      </c>
      <c r="N1573" s="2">
        <v>283</v>
      </c>
      <c r="O1573" s="2">
        <v>96.490499999999997</v>
      </c>
      <c r="P1573" s="2">
        <v>253</v>
      </c>
      <c r="Q1573" s="2">
        <v>107.0125</v>
      </c>
      <c r="R1573" s="2">
        <v>278</v>
      </c>
      <c r="S1573" s="2">
        <v>105.34399999999999</v>
      </c>
      <c r="T1573" s="2">
        <v>230</v>
      </c>
      <c r="U1573" s="2">
        <v>0.267067</v>
      </c>
      <c r="V1573" s="2">
        <v>262</v>
      </c>
      <c r="W1573" s="2">
        <v>2006</v>
      </c>
    </row>
    <row r="1574" spans="1:23" ht="12.3" x14ac:dyDescent="0.4">
      <c r="A1574" s="2" t="s">
        <v>234</v>
      </c>
      <c r="B1574" s="2">
        <v>14</v>
      </c>
      <c r="C1574" s="2"/>
      <c r="D1574" s="2"/>
      <c r="E1574" s="2"/>
      <c r="F1574" s="2"/>
      <c r="G1574" s="2"/>
      <c r="H1574" s="2"/>
      <c r="I1574" s="2">
        <v>63.6599</v>
      </c>
      <c r="J1574" s="2">
        <v>305</v>
      </c>
      <c r="K1574" s="2">
        <v>63.714300000000001</v>
      </c>
      <c r="L1574" s="2">
        <v>306</v>
      </c>
      <c r="M1574" s="2">
        <v>108.8523</v>
      </c>
      <c r="N1574" s="2">
        <v>45</v>
      </c>
      <c r="O1574" s="2">
        <v>105.1683</v>
      </c>
      <c r="P1574" s="2">
        <v>103</v>
      </c>
      <c r="Q1574" s="2">
        <v>97.771900000000002</v>
      </c>
      <c r="R1574" s="2">
        <v>99</v>
      </c>
      <c r="S1574" s="2">
        <v>98.558300000000003</v>
      </c>
      <c r="T1574" s="2">
        <v>111</v>
      </c>
      <c r="U1574" s="2">
        <v>0.67841700000000005</v>
      </c>
      <c r="V1574" s="2">
        <v>98</v>
      </c>
      <c r="W1574" s="2">
        <v>2010</v>
      </c>
    </row>
    <row r="1575" spans="1:23" ht="12.3" hidden="1" x14ac:dyDescent="0.4">
      <c r="A1575" s="2" t="s">
        <v>215</v>
      </c>
      <c r="B1575" s="2"/>
      <c r="C1575" s="2"/>
      <c r="D1575" s="2"/>
      <c r="E1575" s="2"/>
      <c r="F1575" s="2"/>
      <c r="G1575" s="2"/>
      <c r="H1575" s="2"/>
      <c r="I1575" s="2">
        <v>66.821200000000005</v>
      </c>
      <c r="J1575" s="2">
        <v>176</v>
      </c>
      <c r="K1575" s="2">
        <v>66.828699999999998</v>
      </c>
      <c r="L1575" s="2">
        <v>168</v>
      </c>
      <c r="M1575" s="2">
        <v>99.169499999999999</v>
      </c>
      <c r="N1575" s="2">
        <v>209</v>
      </c>
      <c r="O1575" s="2">
        <v>96.0107</v>
      </c>
      <c r="P1575" s="2">
        <v>258</v>
      </c>
      <c r="Q1575" s="2">
        <v>101.1854</v>
      </c>
      <c r="R1575" s="2">
        <v>155</v>
      </c>
      <c r="S1575" s="2">
        <v>105.2663</v>
      </c>
      <c r="T1575" s="2">
        <v>229</v>
      </c>
      <c r="U1575" s="2">
        <v>0.25761699999999998</v>
      </c>
      <c r="V1575" s="2">
        <v>264</v>
      </c>
      <c r="W1575" s="2">
        <v>2006</v>
      </c>
    </row>
    <row r="1576" spans="1:23" ht="12.3" hidden="1" x14ac:dyDescent="0.4">
      <c r="A1576" s="2" t="s">
        <v>316</v>
      </c>
      <c r="B1576" s="2"/>
      <c r="C1576" s="2"/>
      <c r="D1576" s="2"/>
      <c r="E1576" s="2"/>
      <c r="F1576" s="2"/>
      <c r="G1576" s="2"/>
      <c r="H1576" s="2"/>
      <c r="I1576" s="2">
        <v>66.841499999999996</v>
      </c>
      <c r="J1576" s="2">
        <v>175</v>
      </c>
      <c r="K1576" s="2">
        <v>67.467299999999994</v>
      </c>
      <c r="L1576" s="2">
        <v>135</v>
      </c>
      <c r="M1576" s="2">
        <v>99.2697</v>
      </c>
      <c r="N1576" s="2">
        <v>204</v>
      </c>
      <c r="O1576" s="2">
        <v>95.783500000000004</v>
      </c>
      <c r="P1576" s="2">
        <v>263</v>
      </c>
      <c r="Q1576" s="2">
        <v>101.7051</v>
      </c>
      <c r="R1576" s="2">
        <v>163</v>
      </c>
      <c r="S1576" s="2">
        <v>105.254</v>
      </c>
      <c r="T1576" s="2">
        <v>228</v>
      </c>
      <c r="U1576" s="2">
        <v>0.25269599999999998</v>
      </c>
      <c r="V1576" s="2">
        <v>265</v>
      </c>
      <c r="W1576" s="2">
        <v>2006</v>
      </c>
    </row>
    <row r="1577" spans="1:23" ht="12.3" hidden="1" x14ac:dyDescent="0.4">
      <c r="A1577" s="2" t="s">
        <v>277</v>
      </c>
      <c r="B1577" s="2"/>
      <c r="C1577" s="2"/>
      <c r="D1577" s="2"/>
      <c r="E1577" s="2"/>
      <c r="F1577" s="2"/>
      <c r="G1577" s="2"/>
      <c r="H1577" s="2"/>
      <c r="I1577" s="2">
        <v>66.508799999999994</v>
      </c>
      <c r="J1577" s="2">
        <v>188</v>
      </c>
      <c r="K1577" s="2">
        <v>66.3917</v>
      </c>
      <c r="L1577" s="2">
        <v>191</v>
      </c>
      <c r="M1577" s="2">
        <v>94.562399999999997</v>
      </c>
      <c r="N1577" s="2">
        <v>288</v>
      </c>
      <c r="O1577" s="2">
        <v>92.318899999999999</v>
      </c>
      <c r="P1577" s="2">
        <v>304</v>
      </c>
      <c r="Q1577" s="2">
        <v>99.381600000000006</v>
      </c>
      <c r="R1577" s="2">
        <v>113</v>
      </c>
      <c r="S1577" s="2">
        <v>101.4654</v>
      </c>
      <c r="T1577" s="2">
        <v>151</v>
      </c>
      <c r="U1577" s="2">
        <v>0.25229699999999999</v>
      </c>
      <c r="V1577" s="2">
        <v>266</v>
      </c>
      <c r="W1577" s="2">
        <v>2006</v>
      </c>
    </row>
    <row r="1578" spans="1:23" ht="12.3" hidden="1" x14ac:dyDescent="0.4">
      <c r="A1578" s="2" t="s">
        <v>127</v>
      </c>
      <c r="B1578" s="2"/>
      <c r="C1578" s="2"/>
      <c r="D1578" s="2"/>
      <c r="E1578" s="2"/>
      <c r="F1578" s="2"/>
      <c r="G1578" s="2"/>
      <c r="H1578" s="2"/>
      <c r="I1578" s="2">
        <v>67.308599999999998</v>
      </c>
      <c r="J1578" s="2">
        <v>152</v>
      </c>
      <c r="K1578" s="2">
        <v>67.047700000000006</v>
      </c>
      <c r="L1578" s="2">
        <v>157</v>
      </c>
      <c r="M1578" s="2">
        <v>98.702699999999993</v>
      </c>
      <c r="N1578" s="2">
        <v>218</v>
      </c>
      <c r="O1578" s="2">
        <v>98.968599999999995</v>
      </c>
      <c r="P1578" s="2">
        <v>217</v>
      </c>
      <c r="Q1578" s="2">
        <v>107.2641</v>
      </c>
      <c r="R1578" s="2">
        <v>285</v>
      </c>
      <c r="S1578" s="2">
        <v>108.7957</v>
      </c>
      <c r="T1578" s="2">
        <v>287</v>
      </c>
      <c r="U1578" s="2">
        <v>0.25186500000000001</v>
      </c>
      <c r="V1578" s="2">
        <v>267</v>
      </c>
      <c r="W1578" s="2">
        <v>2006</v>
      </c>
    </row>
    <row r="1579" spans="1:23" ht="12.3" hidden="1" x14ac:dyDescent="0.4">
      <c r="A1579" s="2" t="s">
        <v>255</v>
      </c>
      <c r="B1579" s="2"/>
      <c r="C1579" s="2"/>
      <c r="D1579" s="2"/>
      <c r="E1579" s="2"/>
      <c r="F1579" s="2"/>
      <c r="G1579" s="2"/>
      <c r="H1579" s="2"/>
      <c r="I1579" s="2">
        <v>68.705299999999994</v>
      </c>
      <c r="J1579" s="2">
        <v>106</v>
      </c>
      <c r="K1579" s="2">
        <v>71.140100000000004</v>
      </c>
      <c r="L1579" s="2">
        <v>37</v>
      </c>
      <c r="M1579" s="2">
        <v>97.126000000000005</v>
      </c>
      <c r="N1579" s="2">
        <v>243</v>
      </c>
      <c r="O1579" s="2">
        <v>95.252899999999997</v>
      </c>
      <c r="P1579" s="2">
        <v>273</v>
      </c>
      <c r="Q1579" s="2">
        <v>99.0501</v>
      </c>
      <c r="R1579" s="2">
        <v>107</v>
      </c>
      <c r="S1579" s="2">
        <v>104.7594</v>
      </c>
      <c r="T1579" s="2">
        <v>217</v>
      </c>
      <c r="U1579" s="2">
        <v>0.25086399999999998</v>
      </c>
      <c r="V1579" s="2">
        <v>268</v>
      </c>
      <c r="W1579" s="2">
        <v>2006</v>
      </c>
    </row>
    <row r="1580" spans="1:23" ht="12.3" hidden="1" x14ac:dyDescent="0.4">
      <c r="A1580" s="2" t="s">
        <v>175</v>
      </c>
      <c r="B1580" s="2"/>
      <c r="C1580" s="2"/>
      <c r="D1580" s="2"/>
      <c r="E1580" s="2"/>
      <c r="F1580" s="2"/>
      <c r="G1580" s="2"/>
      <c r="H1580" s="2"/>
      <c r="I1580" s="2">
        <v>61.900599999999997</v>
      </c>
      <c r="J1580" s="2">
        <v>313</v>
      </c>
      <c r="K1580" s="2">
        <v>61.729199999999999</v>
      </c>
      <c r="L1580" s="2">
        <v>317</v>
      </c>
      <c r="M1580" s="2">
        <v>91.614500000000007</v>
      </c>
      <c r="N1580" s="2">
        <v>311</v>
      </c>
      <c r="O1580" s="2">
        <v>97.140500000000003</v>
      </c>
      <c r="P1580" s="2">
        <v>245</v>
      </c>
      <c r="Q1580" s="2">
        <v>108.0615</v>
      </c>
      <c r="R1580" s="2">
        <v>297</v>
      </c>
      <c r="S1580" s="2">
        <v>106.8496</v>
      </c>
      <c r="T1580" s="2">
        <v>261</v>
      </c>
      <c r="U1580" s="2">
        <v>0.25057800000000002</v>
      </c>
      <c r="V1580" s="2">
        <v>269</v>
      </c>
      <c r="W1580" s="2">
        <v>2006</v>
      </c>
    </row>
    <row r="1581" spans="1:23" ht="12.3" hidden="1" x14ac:dyDescent="0.4">
      <c r="A1581" s="2" t="s">
        <v>298</v>
      </c>
      <c r="B1581" s="2"/>
      <c r="C1581" s="2"/>
      <c r="D1581" s="2"/>
      <c r="E1581" s="2"/>
      <c r="F1581" s="2"/>
      <c r="G1581" s="2"/>
      <c r="H1581" s="2"/>
      <c r="I1581" s="2">
        <v>65.832400000000007</v>
      </c>
      <c r="J1581" s="2">
        <v>219</v>
      </c>
      <c r="K1581" s="2">
        <v>64.164599999999993</v>
      </c>
      <c r="L1581" s="2">
        <v>272</v>
      </c>
      <c r="M1581" s="2">
        <v>99.722800000000007</v>
      </c>
      <c r="N1581" s="2">
        <v>194</v>
      </c>
      <c r="O1581" s="2">
        <v>95.674199999999999</v>
      </c>
      <c r="P1581" s="2">
        <v>264</v>
      </c>
      <c r="Q1581" s="2">
        <v>104.0523</v>
      </c>
      <c r="R1581" s="2">
        <v>223</v>
      </c>
      <c r="S1581" s="2">
        <v>105.42019999999999</v>
      </c>
      <c r="T1581" s="2">
        <v>231</v>
      </c>
      <c r="U1581" s="2">
        <v>0.246834</v>
      </c>
      <c r="V1581" s="2">
        <v>270</v>
      </c>
      <c r="W1581" s="2">
        <v>2006</v>
      </c>
    </row>
    <row r="1582" spans="1:23" ht="12.3" hidden="1" x14ac:dyDescent="0.4">
      <c r="A1582" s="2" t="s">
        <v>288</v>
      </c>
      <c r="B1582" s="2"/>
      <c r="C1582" s="2"/>
      <c r="D1582" s="2"/>
      <c r="E1582" s="2"/>
      <c r="F1582" s="2"/>
      <c r="G1582" s="2"/>
      <c r="H1582" s="2"/>
      <c r="I1582" s="2">
        <v>65.117999999999995</v>
      </c>
      <c r="J1582" s="2">
        <v>245</v>
      </c>
      <c r="K1582" s="2">
        <v>66.0274</v>
      </c>
      <c r="L1582" s="2">
        <v>215</v>
      </c>
      <c r="M1582" s="2">
        <v>92.382400000000004</v>
      </c>
      <c r="N1582" s="2">
        <v>306</v>
      </c>
      <c r="O1582" s="2">
        <v>91.685100000000006</v>
      </c>
      <c r="P1582" s="2">
        <v>313</v>
      </c>
      <c r="Q1582" s="2">
        <v>97.490600000000001</v>
      </c>
      <c r="R1582" s="2">
        <v>72</v>
      </c>
      <c r="S1582" s="2">
        <v>101.1529</v>
      </c>
      <c r="T1582" s="2">
        <v>149</v>
      </c>
      <c r="U1582" s="2">
        <v>0.24413299999999999</v>
      </c>
      <c r="V1582" s="2">
        <v>271</v>
      </c>
      <c r="W1582" s="2">
        <v>2006</v>
      </c>
    </row>
    <row r="1583" spans="1:23" ht="12.3" hidden="1" x14ac:dyDescent="0.4">
      <c r="A1583" s="2" t="s">
        <v>191</v>
      </c>
      <c r="B1583" s="2"/>
      <c r="C1583" s="2"/>
      <c r="D1583" s="2"/>
      <c r="E1583" s="2"/>
      <c r="F1583" s="2"/>
      <c r="G1583" s="2"/>
      <c r="H1583" s="2"/>
      <c r="I1583" s="2">
        <v>67.158600000000007</v>
      </c>
      <c r="J1583" s="2">
        <v>159</v>
      </c>
      <c r="K1583" s="2">
        <v>67.747399999999999</v>
      </c>
      <c r="L1583" s="2">
        <v>126</v>
      </c>
      <c r="M1583" s="2">
        <v>104.0408</v>
      </c>
      <c r="N1583" s="2">
        <v>131</v>
      </c>
      <c r="O1583" s="2">
        <v>101.24769999999999</v>
      </c>
      <c r="P1583" s="2">
        <v>173</v>
      </c>
      <c r="Q1583" s="2">
        <v>111.2855</v>
      </c>
      <c r="R1583" s="2">
        <v>320</v>
      </c>
      <c r="S1583" s="2">
        <v>111.7499</v>
      </c>
      <c r="T1583" s="2">
        <v>315</v>
      </c>
      <c r="U1583" s="2">
        <v>0.24324399999999999</v>
      </c>
      <c r="V1583" s="2">
        <v>272</v>
      </c>
      <c r="W1583" s="2">
        <v>2006</v>
      </c>
    </row>
    <row r="1584" spans="1:23" ht="12.3" hidden="1" x14ac:dyDescent="0.4">
      <c r="A1584" s="2" t="s">
        <v>252</v>
      </c>
      <c r="B1584" s="2"/>
      <c r="C1584" s="2"/>
      <c r="D1584" s="2"/>
      <c r="E1584" s="2"/>
      <c r="F1584" s="2"/>
      <c r="G1584" s="2"/>
      <c r="H1584" s="2"/>
      <c r="I1584" s="2">
        <v>65.933599999999998</v>
      </c>
      <c r="J1584" s="2">
        <v>213</v>
      </c>
      <c r="K1584" s="2">
        <v>66.5441</v>
      </c>
      <c r="L1584" s="2">
        <v>184</v>
      </c>
      <c r="M1584" s="2">
        <v>100.9693</v>
      </c>
      <c r="N1584" s="2">
        <v>178</v>
      </c>
      <c r="O1584" s="2">
        <v>100.54819999999999</v>
      </c>
      <c r="P1584" s="2">
        <v>187</v>
      </c>
      <c r="Q1584" s="2">
        <v>106.1845</v>
      </c>
      <c r="R1584" s="2">
        <v>258</v>
      </c>
      <c r="S1584" s="2">
        <v>110.9868</v>
      </c>
      <c r="T1584" s="2">
        <v>310</v>
      </c>
      <c r="U1584" s="2">
        <v>0.24307200000000001</v>
      </c>
      <c r="V1584" s="2">
        <v>273</v>
      </c>
      <c r="W1584" s="2">
        <v>2006</v>
      </c>
    </row>
    <row r="1585" spans="1:23" ht="12.3" hidden="1" x14ac:dyDescent="0.4">
      <c r="A1585" s="2" t="s">
        <v>312</v>
      </c>
      <c r="B1585" s="2"/>
      <c r="C1585" s="2"/>
      <c r="D1585" s="2"/>
      <c r="E1585" s="2"/>
      <c r="F1585" s="2"/>
      <c r="G1585" s="2"/>
      <c r="H1585" s="2"/>
      <c r="I1585" s="2">
        <v>73.600200000000001</v>
      </c>
      <c r="J1585" s="2">
        <v>12</v>
      </c>
      <c r="K1585" s="2">
        <v>71.771699999999996</v>
      </c>
      <c r="L1585" s="2">
        <v>25</v>
      </c>
      <c r="M1585" s="2">
        <v>96.124200000000002</v>
      </c>
      <c r="N1585" s="2">
        <v>262</v>
      </c>
      <c r="O1585" s="2">
        <v>94.930899999999994</v>
      </c>
      <c r="P1585" s="2">
        <v>276</v>
      </c>
      <c r="Q1585" s="2">
        <v>98.986999999999995</v>
      </c>
      <c r="R1585" s="2">
        <v>105</v>
      </c>
      <c r="S1585" s="2">
        <v>104.82640000000001</v>
      </c>
      <c r="T1585" s="2">
        <v>220</v>
      </c>
      <c r="U1585" s="2">
        <v>0.24226600000000001</v>
      </c>
      <c r="V1585" s="2">
        <v>274</v>
      </c>
      <c r="W1585" s="2">
        <v>2006</v>
      </c>
    </row>
    <row r="1586" spans="1:23" ht="12.3" hidden="1" x14ac:dyDescent="0.4">
      <c r="A1586" s="2" t="s">
        <v>272</v>
      </c>
      <c r="B1586" s="2"/>
      <c r="C1586" s="2"/>
      <c r="D1586" s="2"/>
      <c r="E1586" s="2"/>
      <c r="F1586" s="2"/>
      <c r="G1586" s="2"/>
      <c r="H1586" s="2"/>
      <c r="I1586" s="2">
        <v>75.668999999999997</v>
      </c>
      <c r="J1586" s="2">
        <v>3</v>
      </c>
      <c r="K1586" s="2">
        <v>73.7667</v>
      </c>
      <c r="L1586" s="2">
        <v>5</v>
      </c>
      <c r="M1586" s="2">
        <v>97.263499999999993</v>
      </c>
      <c r="N1586" s="2">
        <v>241</v>
      </c>
      <c r="O1586" s="2">
        <v>93.676000000000002</v>
      </c>
      <c r="P1586" s="2">
        <v>290</v>
      </c>
      <c r="Q1586" s="2">
        <v>96.349000000000004</v>
      </c>
      <c r="R1586" s="2">
        <v>59</v>
      </c>
      <c r="S1586" s="2">
        <v>103.5628</v>
      </c>
      <c r="T1586" s="2">
        <v>196</v>
      </c>
      <c r="U1586" s="2">
        <v>0.239785</v>
      </c>
      <c r="V1586" s="2">
        <v>275</v>
      </c>
      <c r="W1586" s="2">
        <v>2006</v>
      </c>
    </row>
    <row r="1587" spans="1:23" ht="12.3" hidden="1" x14ac:dyDescent="0.4">
      <c r="A1587" s="2" t="s">
        <v>165</v>
      </c>
      <c r="B1587" s="2"/>
      <c r="C1587" s="2"/>
      <c r="D1587" s="2"/>
      <c r="E1587" s="2"/>
      <c r="F1587" s="2"/>
      <c r="G1587" s="2"/>
      <c r="H1587" s="2"/>
      <c r="I1587" s="2">
        <v>69.440299999999993</v>
      </c>
      <c r="J1587" s="2">
        <v>77</v>
      </c>
      <c r="K1587" s="2">
        <v>69.285799999999995</v>
      </c>
      <c r="L1587" s="2">
        <v>80</v>
      </c>
      <c r="M1587" s="2">
        <v>104.10169999999999</v>
      </c>
      <c r="N1587" s="2">
        <v>129</v>
      </c>
      <c r="O1587" s="2">
        <v>102.5962</v>
      </c>
      <c r="P1587" s="2">
        <v>152</v>
      </c>
      <c r="Q1587" s="2">
        <v>111.8449</v>
      </c>
      <c r="R1587" s="2">
        <v>324</v>
      </c>
      <c r="S1587" s="2">
        <v>113.4806</v>
      </c>
      <c r="T1587" s="2">
        <v>327</v>
      </c>
      <c r="U1587" s="2">
        <v>0.23874699999999999</v>
      </c>
      <c r="V1587" s="2">
        <v>276</v>
      </c>
      <c r="W1587" s="2">
        <v>2006</v>
      </c>
    </row>
    <row r="1588" spans="1:23" ht="12.3" hidden="1" x14ac:dyDescent="0.4">
      <c r="A1588" s="2" t="s">
        <v>310</v>
      </c>
      <c r="B1588" s="2"/>
      <c r="C1588" s="2"/>
      <c r="D1588" s="2"/>
      <c r="E1588" s="2"/>
      <c r="F1588" s="2"/>
      <c r="G1588" s="2"/>
      <c r="H1588" s="2"/>
      <c r="I1588" s="2">
        <v>59.834099999999999</v>
      </c>
      <c r="J1588" s="2">
        <v>325</v>
      </c>
      <c r="K1588" s="2">
        <v>60.0306</v>
      </c>
      <c r="L1588" s="2">
        <v>325</v>
      </c>
      <c r="M1588" s="2">
        <v>98.280799999999999</v>
      </c>
      <c r="N1588" s="2">
        <v>223</v>
      </c>
      <c r="O1588" s="2">
        <v>97.814499999999995</v>
      </c>
      <c r="P1588" s="2">
        <v>232</v>
      </c>
      <c r="Q1588" s="2">
        <v>106.71080000000001</v>
      </c>
      <c r="R1588" s="2">
        <v>270</v>
      </c>
      <c r="S1588" s="2">
        <v>108.2105</v>
      </c>
      <c r="T1588" s="2">
        <v>282</v>
      </c>
      <c r="U1588" s="2">
        <v>0.23838300000000001</v>
      </c>
      <c r="V1588" s="2">
        <v>277</v>
      </c>
      <c r="W1588" s="2">
        <v>2006</v>
      </c>
    </row>
    <row r="1589" spans="1:23" ht="12.3" hidden="1" x14ac:dyDescent="0.4">
      <c r="A1589" s="2" t="s">
        <v>322</v>
      </c>
      <c r="B1589" s="2"/>
      <c r="C1589" s="2"/>
      <c r="D1589" s="2"/>
      <c r="E1589" s="2"/>
      <c r="F1589" s="2"/>
      <c r="G1589" s="2"/>
      <c r="H1589" s="2"/>
      <c r="I1589" s="2">
        <v>65.408100000000005</v>
      </c>
      <c r="J1589" s="2">
        <v>232</v>
      </c>
      <c r="K1589" s="2">
        <v>64.359899999999996</v>
      </c>
      <c r="L1589" s="2">
        <v>266</v>
      </c>
      <c r="M1589" s="2">
        <v>95.494100000000003</v>
      </c>
      <c r="N1589" s="2">
        <v>273</v>
      </c>
      <c r="O1589" s="2">
        <v>95.577399999999997</v>
      </c>
      <c r="P1589" s="2">
        <v>267</v>
      </c>
      <c r="Q1589" s="2">
        <v>106.9183</v>
      </c>
      <c r="R1589" s="2">
        <v>276</v>
      </c>
      <c r="S1589" s="2">
        <v>105.7967</v>
      </c>
      <c r="T1589" s="2">
        <v>240</v>
      </c>
      <c r="U1589" s="2">
        <v>0.23718</v>
      </c>
      <c r="V1589" s="2">
        <v>278</v>
      </c>
      <c r="W1589" s="2">
        <v>2006</v>
      </c>
    </row>
    <row r="1590" spans="1:23" ht="12.3" hidden="1" x14ac:dyDescent="0.4">
      <c r="A1590" s="2" t="s">
        <v>206</v>
      </c>
      <c r="B1590" s="2"/>
      <c r="C1590" s="2"/>
      <c r="D1590" s="2"/>
      <c r="E1590" s="2"/>
      <c r="F1590" s="2"/>
      <c r="G1590" s="2"/>
      <c r="H1590" s="2"/>
      <c r="I1590" s="2">
        <v>64.611800000000002</v>
      </c>
      <c r="J1590" s="2">
        <v>257</v>
      </c>
      <c r="K1590" s="2">
        <v>64.901300000000006</v>
      </c>
      <c r="L1590" s="2">
        <v>253</v>
      </c>
      <c r="M1590" s="2">
        <v>92.657200000000003</v>
      </c>
      <c r="N1590" s="2">
        <v>301</v>
      </c>
      <c r="O1590" s="2">
        <v>94.542500000000004</v>
      </c>
      <c r="P1590" s="2">
        <v>280</v>
      </c>
      <c r="Q1590" s="2">
        <v>102.5603</v>
      </c>
      <c r="R1590" s="2">
        <v>182</v>
      </c>
      <c r="S1590" s="2">
        <v>105.20099999999999</v>
      </c>
      <c r="T1590" s="2">
        <v>225</v>
      </c>
      <c r="U1590" s="2">
        <v>0.22644900000000001</v>
      </c>
      <c r="V1590" s="2">
        <v>279</v>
      </c>
      <c r="W1590" s="2">
        <v>2006</v>
      </c>
    </row>
    <row r="1591" spans="1:23" ht="12.3" hidden="1" x14ac:dyDescent="0.4">
      <c r="A1591" s="2" t="s">
        <v>343</v>
      </c>
      <c r="B1591" s="2"/>
      <c r="C1591" s="2"/>
      <c r="D1591" s="2"/>
      <c r="E1591" s="2"/>
      <c r="F1591" s="2"/>
      <c r="G1591" s="2"/>
      <c r="H1591" s="2"/>
      <c r="I1591" s="2">
        <v>68.875600000000006</v>
      </c>
      <c r="J1591" s="2">
        <v>100</v>
      </c>
      <c r="K1591" s="2">
        <v>69.149299999999997</v>
      </c>
      <c r="L1591" s="2">
        <v>84</v>
      </c>
      <c r="M1591" s="2">
        <v>99.273099999999999</v>
      </c>
      <c r="N1591" s="2">
        <v>203</v>
      </c>
      <c r="O1591" s="2">
        <v>96.637200000000007</v>
      </c>
      <c r="P1591" s="2">
        <v>252</v>
      </c>
      <c r="Q1591" s="2">
        <v>105.1442</v>
      </c>
      <c r="R1591" s="2">
        <v>242</v>
      </c>
      <c r="S1591" s="2">
        <v>107.5324</v>
      </c>
      <c r="T1591" s="2">
        <v>275</v>
      </c>
      <c r="U1591" s="2">
        <v>0.22644</v>
      </c>
      <c r="V1591" s="2">
        <v>280</v>
      </c>
      <c r="W1591" s="2">
        <v>2006</v>
      </c>
    </row>
    <row r="1592" spans="1:23" ht="12.3" hidden="1" x14ac:dyDescent="0.4">
      <c r="A1592" s="2" t="s">
        <v>260</v>
      </c>
      <c r="B1592" s="2"/>
      <c r="C1592" s="2"/>
      <c r="D1592" s="2"/>
      <c r="E1592" s="2"/>
      <c r="F1592" s="2"/>
      <c r="G1592" s="2"/>
      <c r="H1592" s="2"/>
      <c r="I1592" s="2">
        <v>67.917199999999994</v>
      </c>
      <c r="J1592" s="2">
        <v>131</v>
      </c>
      <c r="K1592" s="2">
        <v>67.487399999999994</v>
      </c>
      <c r="L1592" s="2">
        <v>134</v>
      </c>
      <c r="M1592" s="2">
        <v>88.425799999999995</v>
      </c>
      <c r="N1592" s="2">
        <v>325</v>
      </c>
      <c r="O1592" s="2">
        <v>89.013599999999997</v>
      </c>
      <c r="P1592" s="2">
        <v>326</v>
      </c>
      <c r="Q1592" s="2">
        <v>100.8565</v>
      </c>
      <c r="R1592" s="2">
        <v>143</v>
      </c>
      <c r="S1592" s="2">
        <v>99.250100000000003</v>
      </c>
      <c r="T1592" s="2">
        <v>115</v>
      </c>
      <c r="U1592" s="2">
        <v>0.222385</v>
      </c>
      <c r="V1592" s="2">
        <v>281</v>
      </c>
      <c r="W1592" s="2">
        <v>2006</v>
      </c>
    </row>
    <row r="1593" spans="1:23" ht="12.3" hidden="1" x14ac:dyDescent="0.4">
      <c r="A1593" s="2" t="s">
        <v>319</v>
      </c>
      <c r="B1593" s="2"/>
      <c r="C1593" s="2"/>
      <c r="D1593" s="2"/>
      <c r="E1593" s="2"/>
      <c r="F1593" s="2"/>
      <c r="G1593" s="2"/>
      <c r="H1593" s="2"/>
      <c r="I1593" s="2">
        <v>78.275199999999998</v>
      </c>
      <c r="J1593" s="2">
        <v>1</v>
      </c>
      <c r="K1593" s="2">
        <v>76.400599999999997</v>
      </c>
      <c r="L1593" s="2">
        <v>1</v>
      </c>
      <c r="M1593" s="2">
        <v>105.2915</v>
      </c>
      <c r="N1593" s="2">
        <v>98</v>
      </c>
      <c r="O1593" s="2">
        <v>100.4738</v>
      </c>
      <c r="P1593" s="2">
        <v>191</v>
      </c>
      <c r="Q1593" s="2">
        <v>109.2531</v>
      </c>
      <c r="R1593" s="2">
        <v>306</v>
      </c>
      <c r="S1593" s="2">
        <v>112.17959999999999</v>
      </c>
      <c r="T1593" s="2">
        <v>321</v>
      </c>
      <c r="U1593" s="2">
        <v>0.21971099999999999</v>
      </c>
      <c r="V1593" s="2">
        <v>282</v>
      </c>
      <c r="W1593" s="2">
        <v>2006</v>
      </c>
    </row>
    <row r="1594" spans="1:23" ht="12.3" hidden="1" x14ac:dyDescent="0.4">
      <c r="A1594" s="2" t="s">
        <v>357</v>
      </c>
      <c r="B1594" s="2"/>
      <c r="C1594" s="2"/>
      <c r="D1594" s="2"/>
      <c r="E1594" s="2"/>
      <c r="F1594" s="2"/>
      <c r="G1594" s="2"/>
      <c r="H1594" s="2"/>
      <c r="I1594" s="2">
        <v>65.152500000000003</v>
      </c>
      <c r="J1594" s="2">
        <v>243</v>
      </c>
      <c r="K1594" s="2">
        <v>64.900700000000001</v>
      </c>
      <c r="L1594" s="2">
        <v>254</v>
      </c>
      <c r="M1594" s="2">
        <v>97.551500000000004</v>
      </c>
      <c r="N1594" s="2">
        <v>238</v>
      </c>
      <c r="O1594" s="2">
        <v>98.024299999999997</v>
      </c>
      <c r="P1594" s="2">
        <v>229</v>
      </c>
      <c r="Q1594" s="2">
        <v>110.1956</v>
      </c>
      <c r="R1594" s="2">
        <v>314</v>
      </c>
      <c r="S1594" s="2">
        <v>109.93680000000001</v>
      </c>
      <c r="T1594" s="2">
        <v>300</v>
      </c>
      <c r="U1594" s="2">
        <v>0.21099399999999999</v>
      </c>
      <c r="V1594" s="2">
        <v>283</v>
      </c>
      <c r="W1594" s="2">
        <v>2006</v>
      </c>
    </row>
    <row r="1595" spans="1:23" ht="12.3" hidden="1" x14ac:dyDescent="0.4">
      <c r="A1595" s="2" t="s">
        <v>351</v>
      </c>
      <c r="B1595" s="2"/>
      <c r="C1595" s="2"/>
      <c r="D1595" s="2"/>
      <c r="E1595" s="2"/>
      <c r="F1595" s="2"/>
      <c r="G1595" s="2"/>
      <c r="H1595" s="2"/>
      <c r="I1595" s="2">
        <v>69.630600000000001</v>
      </c>
      <c r="J1595" s="2">
        <v>69</v>
      </c>
      <c r="K1595" s="2">
        <v>67.795100000000005</v>
      </c>
      <c r="L1595" s="2">
        <v>123</v>
      </c>
      <c r="M1595" s="2">
        <v>88.033500000000004</v>
      </c>
      <c r="N1595" s="2">
        <v>327</v>
      </c>
      <c r="O1595" s="2">
        <v>85.325299999999999</v>
      </c>
      <c r="P1595" s="2">
        <v>332</v>
      </c>
      <c r="Q1595" s="2">
        <v>90.611199999999997</v>
      </c>
      <c r="R1595" s="2">
        <v>9</v>
      </c>
      <c r="S1595" s="2">
        <v>95.9846</v>
      </c>
      <c r="T1595" s="2">
        <v>53</v>
      </c>
      <c r="U1595" s="2">
        <v>0.20526</v>
      </c>
      <c r="V1595" s="2">
        <v>284</v>
      </c>
      <c r="W1595" s="2">
        <v>2006</v>
      </c>
    </row>
    <row r="1596" spans="1:23" ht="12.3" hidden="1" x14ac:dyDescent="0.4">
      <c r="A1596" s="2" t="s">
        <v>304</v>
      </c>
      <c r="B1596" s="2"/>
      <c r="C1596" s="2"/>
      <c r="D1596" s="2"/>
      <c r="E1596" s="2"/>
      <c r="F1596" s="2"/>
      <c r="G1596" s="2"/>
      <c r="H1596" s="2"/>
      <c r="I1596" s="2">
        <v>64.208600000000004</v>
      </c>
      <c r="J1596" s="2">
        <v>270</v>
      </c>
      <c r="K1596" s="2">
        <v>63.307499999999997</v>
      </c>
      <c r="L1596" s="2">
        <v>293</v>
      </c>
      <c r="M1596" s="2">
        <v>92.600099999999998</v>
      </c>
      <c r="N1596" s="2">
        <v>302</v>
      </c>
      <c r="O1596" s="2">
        <v>97.276200000000003</v>
      </c>
      <c r="P1596" s="2">
        <v>242</v>
      </c>
      <c r="Q1596" s="2">
        <v>112.4109</v>
      </c>
      <c r="R1596" s="2">
        <v>328</v>
      </c>
      <c r="S1596" s="2">
        <v>109.5005</v>
      </c>
      <c r="T1596" s="2">
        <v>295</v>
      </c>
      <c r="U1596" s="2">
        <v>0.20402799999999999</v>
      </c>
      <c r="V1596" s="2">
        <v>285</v>
      </c>
      <c r="W1596" s="2">
        <v>2006</v>
      </c>
    </row>
    <row r="1597" spans="1:23" ht="12.3" hidden="1" x14ac:dyDescent="0.4">
      <c r="A1597" s="2" t="s">
        <v>341</v>
      </c>
      <c r="B1597" s="2"/>
      <c r="C1597" s="2"/>
      <c r="D1597" s="2"/>
      <c r="E1597" s="2"/>
      <c r="F1597" s="2"/>
      <c r="G1597" s="2"/>
      <c r="H1597" s="2"/>
      <c r="I1597" s="2">
        <v>67.041300000000007</v>
      </c>
      <c r="J1597" s="2">
        <v>163</v>
      </c>
      <c r="K1597" s="2">
        <v>66.974500000000006</v>
      </c>
      <c r="L1597" s="2">
        <v>160</v>
      </c>
      <c r="M1597" s="2">
        <v>94.424099999999996</v>
      </c>
      <c r="N1597" s="2">
        <v>289</v>
      </c>
      <c r="O1597" s="2">
        <v>93.869600000000005</v>
      </c>
      <c r="P1597" s="2">
        <v>289</v>
      </c>
      <c r="Q1597" s="2">
        <v>102.21429999999999</v>
      </c>
      <c r="R1597" s="2">
        <v>176</v>
      </c>
      <c r="S1597" s="2">
        <v>105.8319</v>
      </c>
      <c r="T1597" s="2">
        <v>241</v>
      </c>
      <c r="U1597" s="2">
        <v>0.20111000000000001</v>
      </c>
      <c r="V1597" s="2">
        <v>286</v>
      </c>
      <c r="W1597" s="2">
        <v>2006</v>
      </c>
    </row>
    <row r="1598" spans="1:23" ht="12.3" hidden="1" x14ac:dyDescent="0.4">
      <c r="A1598" s="2" t="s">
        <v>193</v>
      </c>
      <c r="B1598" s="2"/>
      <c r="C1598" s="2"/>
      <c r="D1598" s="2"/>
      <c r="E1598" s="2"/>
      <c r="F1598" s="2"/>
      <c r="G1598" s="2"/>
      <c r="H1598" s="2"/>
      <c r="I1598" s="2">
        <v>68.512500000000003</v>
      </c>
      <c r="J1598" s="2">
        <v>113</v>
      </c>
      <c r="K1598" s="2">
        <v>66.678899999999999</v>
      </c>
      <c r="L1598" s="2">
        <v>178</v>
      </c>
      <c r="M1598" s="2">
        <v>91.538700000000006</v>
      </c>
      <c r="N1598" s="2">
        <v>312</v>
      </c>
      <c r="O1598" s="2">
        <v>91.776799999999994</v>
      </c>
      <c r="P1598" s="2">
        <v>310</v>
      </c>
      <c r="Q1598" s="2">
        <v>105.0912</v>
      </c>
      <c r="R1598" s="2">
        <v>241</v>
      </c>
      <c r="S1598" s="2">
        <v>103.5348</v>
      </c>
      <c r="T1598" s="2">
        <v>194</v>
      </c>
      <c r="U1598" s="2">
        <v>0.19999900000000001</v>
      </c>
      <c r="V1598" s="2">
        <v>287</v>
      </c>
      <c r="W1598" s="2">
        <v>2006</v>
      </c>
    </row>
    <row r="1599" spans="1:23" ht="12.3" hidden="1" x14ac:dyDescent="0.4">
      <c r="A1599" s="2" t="s">
        <v>281</v>
      </c>
      <c r="B1599" s="2"/>
      <c r="C1599" s="2"/>
      <c r="D1599" s="2"/>
      <c r="E1599" s="2"/>
      <c r="F1599" s="2"/>
      <c r="G1599" s="2"/>
      <c r="H1599" s="2"/>
      <c r="I1599" s="2">
        <v>68.914599999999993</v>
      </c>
      <c r="J1599" s="2">
        <v>98</v>
      </c>
      <c r="K1599" s="2">
        <v>69.133300000000006</v>
      </c>
      <c r="L1599" s="2">
        <v>85</v>
      </c>
      <c r="M1599" s="2">
        <v>96.221800000000002</v>
      </c>
      <c r="N1599" s="2">
        <v>259</v>
      </c>
      <c r="O1599" s="2">
        <v>97.401499999999999</v>
      </c>
      <c r="P1599" s="2">
        <v>236</v>
      </c>
      <c r="Q1599" s="2">
        <v>111.2608</v>
      </c>
      <c r="R1599" s="2">
        <v>319</v>
      </c>
      <c r="S1599" s="2">
        <v>109.9183</v>
      </c>
      <c r="T1599" s="2">
        <v>299</v>
      </c>
      <c r="U1599" s="2">
        <v>0.19936000000000001</v>
      </c>
      <c r="V1599" s="2">
        <v>288</v>
      </c>
      <c r="W1599" s="2">
        <v>2006</v>
      </c>
    </row>
    <row r="1600" spans="1:23" ht="12.3" hidden="1" x14ac:dyDescent="0.4">
      <c r="A1600" s="2" t="s">
        <v>247</v>
      </c>
      <c r="B1600" s="2"/>
      <c r="C1600" s="2"/>
      <c r="D1600" s="2"/>
      <c r="E1600" s="2"/>
      <c r="F1600" s="2"/>
      <c r="G1600" s="2"/>
      <c r="H1600" s="2"/>
      <c r="I1600" s="2">
        <v>62.336100000000002</v>
      </c>
      <c r="J1600" s="2">
        <v>309</v>
      </c>
      <c r="K1600" s="2">
        <v>63.846800000000002</v>
      </c>
      <c r="L1600" s="2">
        <v>279</v>
      </c>
      <c r="M1600" s="2">
        <v>92.022199999999998</v>
      </c>
      <c r="N1600" s="2">
        <v>309</v>
      </c>
      <c r="O1600" s="2">
        <v>90.950100000000006</v>
      </c>
      <c r="P1600" s="2">
        <v>320</v>
      </c>
      <c r="Q1600" s="2">
        <v>98.965999999999994</v>
      </c>
      <c r="R1600" s="2">
        <v>102</v>
      </c>
      <c r="S1600" s="2">
        <v>103.276</v>
      </c>
      <c r="T1600" s="2">
        <v>190</v>
      </c>
      <c r="U1600" s="2">
        <v>0.188225</v>
      </c>
      <c r="V1600" s="2">
        <v>289</v>
      </c>
      <c r="W1600" s="2">
        <v>2006</v>
      </c>
    </row>
    <row r="1601" spans="1:23" ht="12.3" hidden="1" x14ac:dyDescent="0.4">
      <c r="A1601" s="2" t="s">
        <v>297</v>
      </c>
      <c r="B1601" s="2"/>
      <c r="C1601" s="2"/>
      <c r="D1601" s="2"/>
      <c r="E1601" s="2"/>
      <c r="F1601" s="2"/>
      <c r="G1601" s="2"/>
      <c r="H1601" s="2"/>
      <c r="I1601" s="2">
        <v>69.388800000000003</v>
      </c>
      <c r="J1601" s="2">
        <v>81</v>
      </c>
      <c r="K1601" s="2">
        <v>68.034400000000005</v>
      </c>
      <c r="L1601" s="2">
        <v>113</v>
      </c>
      <c r="M1601" s="2">
        <v>94.939099999999996</v>
      </c>
      <c r="N1601" s="2">
        <v>282</v>
      </c>
      <c r="O1601" s="2">
        <v>92.943700000000007</v>
      </c>
      <c r="P1601" s="2">
        <v>298</v>
      </c>
      <c r="Q1601" s="2">
        <v>101.6144</v>
      </c>
      <c r="R1601" s="2">
        <v>160</v>
      </c>
      <c r="S1601" s="2">
        <v>105.5532</v>
      </c>
      <c r="T1601" s="2">
        <v>236</v>
      </c>
      <c r="U1601" s="2">
        <v>0.188001</v>
      </c>
      <c r="V1601" s="2">
        <v>290</v>
      </c>
      <c r="W1601" s="2">
        <v>2006</v>
      </c>
    </row>
    <row r="1602" spans="1:23" ht="12.3" hidden="1" x14ac:dyDescent="0.4">
      <c r="A1602" s="2" t="s">
        <v>309</v>
      </c>
      <c r="B1602" s="2"/>
      <c r="C1602" s="2"/>
      <c r="D1602" s="2"/>
      <c r="E1602" s="2"/>
      <c r="F1602" s="2"/>
      <c r="G1602" s="2"/>
      <c r="H1602" s="2"/>
      <c r="I1602" s="2">
        <v>66.114699999999999</v>
      </c>
      <c r="J1602" s="2">
        <v>207</v>
      </c>
      <c r="K1602" s="2">
        <v>67.564899999999994</v>
      </c>
      <c r="L1602" s="2">
        <v>133</v>
      </c>
      <c r="M1602" s="2">
        <v>95.1053</v>
      </c>
      <c r="N1602" s="2">
        <v>281</v>
      </c>
      <c r="O1602" s="2">
        <v>94.465699999999998</v>
      </c>
      <c r="P1602" s="2">
        <v>281</v>
      </c>
      <c r="Q1602" s="2">
        <v>104.1395</v>
      </c>
      <c r="R1602" s="2">
        <v>227</v>
      </c>
      <c r="S1602" s="2">
        <v>107.5271</v>
      </c>
      <c r="T1602" s="2">
        <v>274</v>
      </c>
      <c r="U1602" s="2">
        <v>0.18402399999999999</v>
      </c>
      <c r="V1602" s="2">
        <v>291</v>
      </c>
      <c r="W1602" s="2">
        <v>2006</v>
      </c>
    </row>
    <row r="1603" spans="1:23" ht="12.3" hidden="1" x14ac:dyDescent="0.4">
      <c r="A1603" s="2" t="s">
        <v>301</v>
      </c>
      <c r="B1603" s="2"/>
      <c r="C1603" s="2"/>
      <c r="D1603" s="2"/>
      <c r="E1603" s="2"/>
      <c r="F1603" s="2"/>
      <c r="G1603" s="2"/>
      <c r="H1603" s="2"/>
      <c r="I1603" s="2">
        <v>68.692899999999995</v>
      </c>
      <c r="J1603" s="2">
        <v>107</v>
      </c>
      <c r="K1603" s="2">
        <v>68.640199999999993</v>
      </c>
      <c r="L1603" s="2">
        <v>100</v>
      </c>
      <c r="M1603" s="2">
        <v>96.292699999999996</v>
      </c>
      <c r="N1603" s="2">
        <v>256</v>
      </c>
      <c r="O1603" s="2">
        <v>97.0946</v>
      </c>
      <c r="P1603" s="2">
        <v>246</v>
      </c>
      <c r="Q1603" s="2">
        <v>104.09010000000001</v>
      </c>
      <c r="R1603" s="2">
        <v>225</v>
      </c>
      <c r="S1603" s="2">
        <v>110.5523</v>
      </c>
      <c r="T1603" s="2">
        <v>306</v>
      </c>
      <c r="U1603" s="2">
        <v>0.18351200000000001</v>
      </c>
      <c r="V1603" s="2">
        <v>292</v>
      </c>
      <c r="W1603" s="2">
        <v>2006</v>
      </c>
    </row>
    <row r="1604" spans="1:23" ht="12.3" hidden="1" x14ac:dyDescent="0.4">
      <c r="A1604" s="2" t="s">
        <v>320</v>
      </c>
      <c r="B1604" s="2"/>
      <c r="C1604" s="2"/>
      <c r="D1604" s="2"/>
      <c r="E1604" s="2"/>
      <c r="F1604" s="2"/>
      <c r="G1604" s="2"/>
      <c r="H1604" s="2"/>
      <c r="I1604" s="2">
        <v>66.908500000000004</v>
      </c>
      <c r="J1604" s="2">
        <v>171</v>
      </c>
      <c r="K1604" s="2">
        <v>66.597999999999999</v>
      </c>
      <c r="L1604" s="2">
        <v>180</v>
      </c>
      <c r="M1604" s="2">
        <v>92.111999999999995</v>
      </c>
      <c r="N1604" s="2">
        <v>308</v>
      </c>
      <c r="O1604" s="2">
        <v>90.401700000000005</v>
      </c>
      <c r="P1604" s="2">
        <v>324</v>
      </c>
      <c r="Q1604" s="2">
        <v>97.703400000000002</v>
      </c>
      <c r="R1604" s="2">
        <v>79</v>
      </c>
      <c r="S1604" s="2">
        <v>103.0907</v>
      </c>
      <c r="T1604" s="2">
        <v>187</v>
      </c>
      <c r="U1604" s="2">
        <v>0.180867</v>
      </c>
      <c r="V1604" s="2">
        <v>293</v>
      </c>
      <c r="W1604" s="2">
        <v>2006</v>
      </c>
    </row>
    <row r="1605" spans="1:23" ht="12.3" hidden="1" x14ac:dyDescent="0.4">
      <c r="A1605" s="2" t="s">
        <v>313</v>
      </c>
      <c r="B1605" s="2"/>
      <c r="C1605" s="2"/>
      <c r="D1605" s="2"/>
      <c r="E1605" s="2"/>
      <c r="F1605" s="2"/>
      <c r="G1605" s="2"/>
      <c r="H1605" s="2"/>
      <c r="I1605" s="2">
        <v>68.153000000000006</v>
      </c>
      <c r="J1605" s="2">
        <v>125</v>
      </c>
      <c r="K1605" s="2">
        <v>67.932000000000002</v>
      </c>
      <c r="L1605" s="2">
        <v>116</v>
      </c>
      <c r="M1605" s="2">
        <v>94.776799999999994</v>
      </c>
      <c r="N1605" s="2">
        <v>285</v>
      </c>
      <c r="O1605" s="2">
        <v>95.173199999999994</v>
      </c>
      <c r="P1605" s="2">
        <v>274</v>
      </c>
      <c r="Q1605" s="2">
        <v>99.285700000000006</v>
      </c>
      <c r="R1605" s="2">
        <v>109</v>
      </c>
      <c r="S1605" s="2">
        <v>108.58499999999999</v>
      </c>
      <c r="T1605" s="2">
        <v>285</v>
      </c>
      <c r="U1605" s="2">
        <v>0.180036</v>
      </c>
      <c r="V1605" s="2">
        <v>294</v>
      </c>
      <c r="W1605" s="2">
        <v>2006</v>
      </c>
    </row>
    <row r="1606" spans="1:23" ht="12.3" hidden="1" x14ac:dyDescent="0.4">
      <c r="A1606" s="2" t="s">
        <v>233</v>
      </c>
      <c r="B1606" s="2"/>
      <c r="C1606" s="2"/>
      <c r="D1606" s="2"/>
      <c r="E1606" s="2"/>
      <c r="F1606" s="2"/>
      <c r="G1606" s="2"/>
      <c r="H1606" s="2"/>
      <c r="I1606" s="2">
        <v>64.2988</v>
      </c>
      <c r="J1606" s="2">
        <v>268</v>
      </c>
      <c r="K1606" s="2">
        <v>65.178799999999995</v>
      </c>
      <c r="L1606" s="2">
        <v>243</v>
      </c>
      <c r="M1606" s="2">
        <v>91.841999999999999</v>
      </c>
      <c r="N1606" s="2">
        <v>310</v>
      </c>
      <c r="O1606" s="2">
        <v>91.461399999999998</v>
      </c>
      <c r="P1606" s="2">
        <v>315</v>
      </c>
      <c r="Q1606" s="2">
        <v>99.502899999999997</v>
      </c>
      <c r="R1606" s="2">
        <v>116</v>
      </c>
      <c r="S1606" s="2">
        <v>104.4371</v>
      </c>
      <c r="T1606" s="2">
        <v>209</v>
      </c>
      <c r="U1606" s="2">
        <v>0.17862600000000001</v>
      </c>
      <c r="V1606" s="2">
        <v>295</v>
      </c>
      <c r="W1606" s="2">
        <v>2006</v>
      </c>
    </row>
    <row r="1607" spans="1:23" ht="12.3" hidden="1" x14ac:dyDescent="0.4">
      <c r="A1607" s="2" t="s">
        <v>273</v>
      </c>
      <c r="B1607" s="2"/>
      <c r="C1607" s="2"/>
      <c r="D1607" s="2"/>
      <c r="E1607" s="2"/>
      <c r="F1607" s="2"/>
      <c r="G1607" s="2"/>
      <c r="H1607" s="2"/>
      <c r="I1607" s="2">
        <v>67.782399999999996</v>
      </c>
      <c r="J1607" s="2">
        <v>137</v>
      </c>
      <c r="K1607" s="2">
        <v>69.901300000000006</v>
      </c>
      <c r="L1607" s="2">
        <v>60</v>
      </c>
      <c r="M1607" s="2">
        <v>95.920500000000004</v>
      </c>
      <c r="N1607" s="2">
        <v>266</v>
      </c>
      <c r="O1607" s="2">
        <v>96.4863</v>
      </c>
      <c r="P1607" s="2">
        <v>254</v>
      </c>
      <c r="Q1607" s="2">
        <v>106.7115</v>
      </c>
      <c r="R1607" s="2">
        <v>271</v>
      </c>
      <c r="S1607" s="2">
        <v>110.5406</v>
      </c>
      <c r="T1607" s="2">
        <v>305</v>
      </c>
      <c r="U1607" s="2">
        <v>0.17310300000000001</v>
      </c>
      <c r="V1607" s="2">
        <v>296</v>
      </c>
      <c r="W1607" s="2">
        <v>2006</v>
      </c>
    </row>
    <row r="1608" spans="1:23" ht="12.3" hidden="1" x14ac:dyDescent="0.4">
      <c r="A1608" s="2" t="s">
        <v>250</v>
      </c>
      <c r="B1608" s="2"/>
      <c r="C1608" s="2"/>
      <c r="D1608" s="2"/>
      <c r="E1608" s="2"/>
      <c r="F1608" s="2"/>
      <c r="G1608" s="2"/>
      <c r="H1608" s="2"/>
      <c r="I1608" s="2">
        <v>67.506500000000003</v>
      </c>
      <c r="J1608" s="2">
        <v>147</v>
      </c>
      <c r="K1608" s="2">
        <v>68.6614</v>
      </c>
      <c r="L1608" s="2">
        <v>99</v>
      </c>
      <c r="M1608" s="2">
        <v>97.856300000000005</v>
      </c>
      <c r="N1608" s="2">
        <v>234</v>
      </c>
      <c r="O1608" s="2">
        <v>99.203199999999995</v>
      </c>
      <c r="P1608" s="2">
        <v>210</v>
      </c>
      <c r="Q1608" s="2">
        <v>115.3848</v>
      </c>
      <c r="R1608" s="2">
        <v>333</v>
      </c>
      <c r="S1608" s="2">
        <v>113.9658</v>
      </c>
      <c r="T1608" s="2">
        <v>328</v>
      </c>
      <c r="U1608" s="2">
        <v>0.16863</v>
      </c>
      <c r="V1608" s="2">
        <v>297</v>
      </c>
      <c r="W1608" s="2">
        <v>2006</v>
      </c>
    </row>
    <row r="1609" spans="1:23" ht="12.3" hidden="1" x14ac:dyDescent="0.4">
      <c r="A1609" s="2" t="s">
        <v>284</v>
      </c>
      <c r="B1609" s="2"/>
      <c r="C1609" s="2"/>
      <c r="D1609" s="2"/>
      <c r="E1609" s="2"/>
      <c r="F1609" s="2"/>
      <c r="G1609" s="2"/>
      <c r="H1609" s="2"/>
      <c r="I1609" s="2">
        <v>72.134100000000004</v>
      </c>
      <c r="J1609" s="2">
        <v>26</v>
      </c>
      <c r="K1609" s="2">
        <v>71.749200000000002</v>
      </c>
      <c r="L1609" s="2">
        <v>26</v>
      </c>
      <c r="M1609" s="2">
        <v>89.770700000000005</v>
      </c>
      <c r="N1609" s="2">
        <v>324</v>
      </c>
      <c r="O1609" s="2">
        <v>91.006299999999996</v>
      </c>
      <c r="P1609" s="2">
        <v>318</v>
      </c>
      <c r="Q1609" s="2">
        <v>106.3327</v>
      </c>
      <c r="R1609" s="2">
        <v>263</v>
      </c>
      <c r="S1609" s="2">
        <v>104.735</v>
      </c>
      <c r="T1609" s="2">
        <v>215</v>
      </c>
      <c r="U1609" s="2">
        <v>0.16578599999999999</v>
      </c>
      <c r="V1609" s="2">
        <v>298</v>
      </c>
      <c r="W1609" s="2">
        <v>2006</v>
      </c>
    </row>
    <row r="1610" spans="1:23" ht="12.3" hidden="1" x14ac:dyDescent="0.4">
      <c r="A1610" s="2" t="s">
        <v>361</v>
      </c>
      <c r="B1610" s="2"/>
      <c r="C1610" s="2"/>
      <c r="D1610" s="2"/>
      <c r="E1610" s="2"/>
      <c r="F1610" s="2"/>
      <c r="G1610" s="2"/>
      <c r="H1610" s="2"/>
      <c r="I1610" s="2">
        <v>69.1464</v>
      </c>
      <c r="J1610" s="2">
        <v>90</v>
      </c>
      <c r="K1610" s="2">
        <v>67.063999999999993</v>
      </c>
      <c r="L1610" s="2">
        <v>155</v>
      </c>
      <c r="M1610" s="2">
        <v>100.7936</v>
      </c>
      <c r="N1610" s="2">
        <v>182</v>
      </c>
      <c r="O1610" s="2">
        <v>96.662499999999994</v>
      </c>
      <c r="P1610" s="2">
        <v>251</v>
      </c>
      <c r="Q1610" s="2">
        <v>109.8192</v>
      </c>
      <c r="R1610" s="2">
        <v>309</v>
      </c>
      <c r="S1610" s="2">
        <v>111.4183</v>
      </c>
      <c r="T1610" s="2">
        <v>313</v>
      </c>
      <c r="U1610" s="2">
        <v>0.16331599999999999</v>
      </c>
      <c r="V1610" s="2">
        <v>299</v>
      </c>
      <c r="W1610" s="2">
        <v>2006</v>
      </c>
    </row>
    <row r="1611" spans="1:23" ht="12.3" hidden="1" x14ac:dyDescent="0.4">
      <c r="A1611" s="2" t="s">
        <v>358</v>
      </c>
      <c r="B1611" s="2"/>
      <c r="C1611" s="2"/>
      <c r="D1611" s="2"/>
      <c r="E1611" s="2"/>
      <c r="F1611" s="2"/>
      <c r="G1611" s="2"/>
      <c r="H1611" s="2"/>
      <c r="I1611" s="2">
        <v>67.256900000000002</v>
      </c>
      <c r="J1611" s="2">
        <v>153</v>
      </c>
      <c r="K1611" s="2">
        <v>66.947599999999994</v>
      </c>
      <c r="L1611" s="2">
        <v>162</v>
      </c>
      <c r="M1611" s="2">
        <v>96.454599999999999</v>
      </c>
      <c r="N1611" s="2">
        <v>253</v>
      </c>
      <c r="O1611" s="2">
        <v>99.930199999999999</v>
      </c>
      <c r="P1611" s="2">
        <v>201</v>
      </c>
      <c r="Q1611" s="2">
        <v>112.3018</v>
      </c>
      <c r="R1611" s="2">
        <v>327</v>
      </c>
      <c r="S1611" s="2">
        <v>115.3814</v>
      </c>
      <c r="T1611" s="2">
        <v>332</v>
      </c>
      <c r="U1611" s="2">
        <v>0.16065399999999999</v>
      </c>
      <c r="V1611" s="2">
        <v>300</v>
      </c>
      <c r="W1611" s="2">
        <v>2006</v>
      </c>
    </row>
    <row r="1612" spans="1:23" ht="12.3" hidden="1" x14ac:dyDescent="0.4">
      <c r="A1612" s="2" t="s">
        <v>362</v>
      </c>
      <c r="B1612" s="2"/>
      <c r="C1612" s="2"/>
      <c r="D1612" s="2"/>
      <c r="E1612" s="2"/>
      <c r="F1612" s="2"/>
      <c r="G1612" s="2"/>
      <c r="H1612" s="2"/>
      <c r="I1612" s="2">
        <v>68.805899999999994</v>
      </c>
      <c r="J1612" s="2">
        <v>102</v>
      </c>
      <c r="K1612" s="2">
        <v>68.947599999999994</v>
      </c>
      <c r="L1612" s="2">
        <v>92</v>
      </c>
      <c r="M1612" s="2">
        <v>90.366</v>
      </c>
      <c r="N1612" s="2">
        <v>321</v>
      </c>
      <c r="O1612" s="2">
        <v>90.953599999999994</v>
      </c>
      <c r="P1612" s="2">
        <v>319</v>
      </c>
      <c r="Q1612" s="2">
        <v>106.7458</v>
      </c>
      <c r="R1612" s="2">
        <v>273</v>
      </c>
      <c r="S1612" s="2">
        <v>105.0329</v>
      </c>
      <c r="T1612" s="2">
        <v>223</v>
      </c>
      <c r="U1612" s="2">
        <v>0.16041800000000001</v>
      </c>
      <c r="V1612" s="2">
        <v>301</v>
      </c>
      <c r="W1612" s="2">
        <v>2006</v>
      </c>
    </row>
    <row r="1613" spans="1:23" ht="12.3" hidden="1" x14ac:dyDescent="0.4">
      <c r="A1613" s="2" t="s">
        <v>285</v>
      </c>
      <c r="B1613" s="2"/>
      <c r="C1613" s="2"/>
      <c r="D1613" s="2"/>
      <c r="E1613" s="2"/>
      <c r="F1613" s="2"/>
      <c r="G1613" s="2"/>
      <c r="H1613" s="2"/>
      <c r="I1613" s="2">
        <v>67.160600000000002</v>
      </c>
      <c r="J1613" s="2">
        <v>158</v>
      </c>
      <c r="K1613" s="2">
        <v>66.948800000000006</v>
      </c>
      <c r="L1613" s="2">
        <v>161</v>
      </c>
      <c r="M1613" s="2">
        <v>97.097099999999998</v>
      </c>
      <c r="N1613" s="2">
        <v>244</v>
      </c>
      <c r="O1613" s="2">
        <v>94.247</v>
      </c>
      <c r="P1613" s="2">
        <v>283</v>
      </c>
      <c r="Q1613" s="2">
        <v>109.3222</v>
      </c>
      <c r="R1613" s="2">
        <v>307</v>
      </c>
      <c r="S1613" s="2">
        <v>108.8419</v>
      </c>
      <c r="T1613" s="2">
        <v>288</v>
      </c>
      <c r="U1613" s="2">
        <v>0.160334</v>
      </c>
      <c r="V1613" s="2">
        <v>302</v>
      </c>
      <c r="W1613" s="2">
        <v>2006</v>
      </c>
    </row>
    <row r="1614" spans="1:23" ht="12.3" hidden="1" x14ac:dyDescent="0.4">
      <c r="A1614" s="2" t="s">
        <v>271</v>
      </c>
      <c r="B1614" s="2"/>
      <c r="C1614" s="2"/>
      <c r="D1614" s="2"/>
      <c r="E1614" s="2"/>
      <c r="F1614" s="2"/>
      <c r="G1614" s="2"/>
      <c r="H1614" s="2"/>
      <c r="I1614" s="2">
        <v>64.517499999999998</v>
      </c>
      <c r="J1614" s="2">
        <v>262</v>
      </c>
      <c r="K1614" s="2">
        <v>66.436400000000006</v>
      </c>
      <c r="L1614" s="2">
        <v>187</v>
      </c>
      <c r="M1614" s="2">
        <v>97.922300000000007</v>
      </c>
      <c r="N1614" s="2">
        <v>232</v>
      </c>
      <c r="O1614" s="2">
        <v>95.670100000000005</v>
      </c>
      <c r="P1614" s="2">
        <v>265</v>
      </c>
      <c r="Q1614" s="2">
        <v>105.6405</v>
      </c>
      <c r="R1614" s="2">
        <v>249</v>
      </c>
      <c r="S1614" s="2">
        <v>110.8349</v>
      </c>
      <c r="T1614" s="2">
        <v>308</v>
      </c>
      <c r="U1614" s="2">
        <v>0.155504</v>
      </c>
      <c r="V1614" s="2">
        <v>303</v>
      </c>
      <c r="W1614" s="2">
        <v>2006</v>
      </c>
    </row>
    <row r="1615" spans="1:23" ht="12.3" hidden="1" x14ac:dyDescent="0.4">
      <c r="A1615" s="2" t="s">
        <v>235</v>
      </c>
      <c r="B1615" s="2"/>
      <c r="C1615" s="2"/>
      <c r="D1615" s="2"/>
      <c r="E1615" s="2"/>
      <c r="F1615" s="2"/>
      <c r="G1615" s="2"/>
      <c r="H1615" s="2"/>
      <c r="I1615" s="2">
        <v>66.979799999999997</v>
      </c>
      <c r="J1615" s="2">
        <v>167</v>
      </c>
      <c r="K1615" s="2">
        <v>67.972499999999997</v>
      </c>
      <c r="L1615" s="2">
        <v>115</v>
      </c>
      <c r="M1615" s="2">
        <v>86.691000000000003</v>
      </c>
      <c r="N1615" s="2">
        <v>331</v>
      </c>
      <c r="O1615" s="2">
        <v>88.984999999999999</v>
      </c>
      <c r="P1615" s="2">
        <v>327</v>
      </c>
      <c r="Q1615" s="2">
        <v>103.6613</v>
      </c>
      <c r="R1615" s="2">
        <v>212</v>
      </c>
      <c r="S1615" s="2">
        <v>103.3586</v>
      </c>
      <c r="T1615" s="2">
        <v>191</v>
      </c>
      <c r="U1615" s="2">
        <v>0.151618</v>
      </c>
      <c r="V1615" s="2">
        <v>304</v>
      </c>
      <c r="W1615" s="2">
        <v>2006</v>
      </c>
    </row>
    <row r="1616" spans="1:23" ht="12.3" hidden="1" x14ac:dyDescent="0.4">
      <c r="A1616" s="2" t="s">
        <v>347</v>
      </c>
      <c r="B1616" s="2"/>
      <c r="C1616" s="2"/>
      <c r="D1616" s="2"/>
      <c r="E1616" s="2"/>
      <c r="F1616" s="2"/>
      <c r="G1616" s="2"/>
      <c r="H1616" s="2"/>
      <c r="I1616" s="2">
        <v>72.670199999999994</v>
      </c>
      <c r="J1616" s="2">
        <v>20</v>
      </c>
      <c r="K1616" s="2">
        <v>70.798400000000001</v>
      </c>
      <c r="L1616" s="2">
        <v>42</v>
      </c>
      <c r="M1616" s="2">
        <v>95.350499999999997</v>
      </c>
      <c r="N1616" s="2">
        <v>277</v>
      </c>
      <c r="O1616" s="2">
        <v>96.422300000000007</v>
      </c>
      <c r="P1616" s="2">
        <v>256</v>
      </c>
      <c r="Q1616" s="2">
        <v>110.3871</v>
      </c>
      <c r="R1616" s="2">
        <v>316</v>
      </c>
      <c r="S1616" s="2">
        <v>112.0352</v>
      </c>
      <c r="T1616" s="2">
        <v>317</v>
      </c>
      <c r="U1616" s="2">
        <v>0.151117</v>
      </c>
      <c r="V1616" s="2">
        <v>305</v>
      </c>
      <c r="W1616" s="2">
        <v>2006</v>
      </c>
    </row>
    <row r="1617" spans="1:23" ht="12.3" hidden="1" x14ac:dyDescent="0.4">
      <c r="A1617" s="2" t="s">
        <v>327</v>
      </c>
      <c r="B1617" s="2"/>
      <c r="C1617" s="2"/>
      <c r="D1617" s="2"/>
      <c r="E1617" s="2"/>
      <c r="F1617" s="2"/>
      <c r="G1617" s="2"/>
      <c r="H1617" s="2"/>
      <c r="I1617" s="2">
        <v>62.496400000000001</v>
      </c>
      <c r="J1617" s="2">
        <v>307</v>
      </c>
      <c r="K1617" s="2">
        <v>63.981699999999996</v>
      </c>
      <c r="L1617" s="2">
        <v>277</v>
      </c>
      <c r="M1617" s="2">
        <v>95.490700000000004</v>
      </c>
      <c r="N1617" s="2">
        <v>274</v>
      </c>
      <c r="O1617" s="2">
        <v>93.605000000000004</v>
      </c>
      <c r="P1617" s="2">
        <v>291</v>
      </c>
      <c r="Q1617" s="2">
        <v>106.04130000000001</v>
      </c>
      <c r="R1617" s="2">
        <v>254</v>
      </c>
      <c r="S1617" s="2">
        <v>108.8869</v>
      </c>
      <c r="T1617" s="2">
        <v>290</v>
      </c>
      <c r="U1617" s="2">
        <v>0.149427</v>
      </c>
      <c r="V1617" s="2">
        <v>306</v>
      </c>
      <c r="W1617" s="2">
        <v>2006</v>
      </c>
    </row>
    <row r="1618" spans="1:23" ht="12.3" hidden="1" x14ac:dyDescent="0.4">
      <c r="A1618" s="2" t="s">
        <v>303</v>
      </c>
      <c r="B1618" s="2"/>
      <c r="C1618" s="2"/>
      <c r="D1618" s="2"/>
      <c r="E1618" s="2"/>
      <c r="F1618" s="2"/>
      <c r="G1618" s="2"/>
      <c r="H1618" s="2"/>
      <c r="I1618" s="2">
        <v>65.869</v>
      </c>
      <c r="J1618" s="2">
        <v>217</v>
      </c>
      <c r="K1618" s="2">
        <v>66.236599999999996</v>
      </c>
      <c r="L1618" s="2">
        <v>204</v>
      </c>
      <c r="M1618" s="2">
        <v>95.638999999999996</v>
      </c>
      <c r="N1618" s="2">
        <v>272</v>
      </c>
      <c r="O1618" s="2">
        <v>91.590500000000006</v>
      </c>
      <c r="P1618" s="2">
        <v>314</v>
      </c>
      <c r="Q1618" s="2">
        <v>107.1992</v>
      </c>
      <c r="R1618" s="2">
        <v>284</v>
      </c>
      <c r="S1618" s="2">
        <v>107.0558</v>
      </c>
      <c r="T1618" s="2">
        <v>263</v>
      </c>
      <c r="U1618" s="2">
        <v>0.14255100000000001</v>
      </c>
      <c r="V1618" s="2">
        <v>307</v>
      </c>
      <c r="W1618" s="2">
        <v>2006</v>
      </c>
    </row>
    <row r="1619" spans="1:23" ht="12.3" hidden="1" x14ac:dyDescent="0.4">
      <c r="A1619" s="2" t="s">
        <v>200</v>
      </c>
      <c r="B1619" s="2"/>
      <c r="C1619" s="2"/>
      <c r="D1619" s="2"/>
      <c r="E1619" s="2"/>
      <c r="F1619" s="2"/>
      <c r="G1619" s="2"/>
      <c r="H1619" s="2"/>
      <c r="I1619" s="2">
        <v>68.285399999999996</v>
      </c>
      <c r="J1619" s="2">
        <v>123</v>
      </c>
      <c r="K1619" s="2">
        <v>67.839399999999998</v>
      </c>
      <c r="L1619" s="2">
        <v>121</v>
      </c>
      <c r="M1619" s="2">
        <v>93.477999999999994</v>
      </c>
      <c r="N1619" s="2">
        <v>294</v>
      </c>
      <c r="O1619" s="2">
        <v>95.814300000000003</v>
      </c>
      <c r="P1619" s="2">
        <v>261</v>
      </c>
      <c r="Q1619" s="2">
        <v>113.2979</v>
      </c>
      <c r="R1619" s="2">
        <v>331</v>
      </c>
      <c r="S1619" s="2">
        <v>112.11369999999999</v>
      </c>
      <c r="T1619" s="2">
        <v>319</v>
      </c>
      <c r="U1619" s="2">
        <v>0.141041</v>
      </c>
      <c r="V1619" s="2">
        <v>308</v>
      </c>
      <c r="W1619" s="2">
        <v>2006</v>
      </c>
    </row>
    <row r="1620" spans="1:23" ht="12.3" hidden="1" x14ac:dyDescent="0.4">
      <c r="A1620" s="2" t="s">
        <v>359</v>
      </c>
      <c r="B1620" s="2"/>
      <c r="C1620" s="2"/>
      <c r="D1620" s="2"/>
      <c r="E1620" s="2"/>
      <c r="F1620" s="2"/>
      <c r="G1620" s="2"/>
      <c r="H1620" s="2"/>
      <c r="I1620" s="2">
        <v>73.912300000000002</v>
      </c>
      <c r="J1620" s="2">
        <v>11</v>
      </c>
      <c r="K1620" s="2">
        <v>72.916799999999995</v>
      </c>
      <c r="L1620" s="2">
        <v>15</v>
      </c>
      <c r="M1620" s="2">
        <v>96.879300000000001</v>
      </c>
      <c r="N1620" s="2">
        <v>247</v>
      </c>
      <c r="O1620" s="2">
        <v>95.831100000000006</v>
      </c>
      <c r="P1620" s="2">
        <v>260</v>
      </c>
      <c r="Q1620" s="2">
        <v>107.56740000000001</v>
      </c>
      <c r="R1620" s="2">
        <v>289</v>
      </c>
      <c r="S1620" s="2">
        <v>112.1828</v>
      </c>
      <c r="T1620" s="2">
        <v>322</v>
      </c>
      <c r="U1620" s="2">
        <v>0.140429</v>
      </c>
      <c r="V1620" s="2">
        <v>309</v>
      </c>
      <c r="W1620" s="2">
        <v>2006</v>
      </c>
    </row>
    <row r="1621" spans="1:23" ht="12.3" hidden="1" x14ac:dyDescent="0.4">
      <c r="A1621" s="2" t="s">
        <v>329</v>
      </c>
      <c r="B1621" s="2"/>
      <c r="C1621" s="2"/>
      <c r="D1621" s="2"/>
      <c r="E1621" s="2"/>
      <c r="F1621" s="2"/>
      <c r="G1621" s="2"/>
      <c r="H1621" s="2"/>
      <c r="I1621" s="2">
        <v>70.604900000000001</v>
      </c>
      <c r="J1621" s="2">
        <v>52</v>
      </c>
      <c r="K1621" s="2">
        <v>68.919700000000006</v>
      </c>
      <c r="L1621" s="2">
        <v>93</v>
      </c>
      <c r="M1621" s="2">
        <v>93.045900000000003</v>
      </c>
      <c r="N1621" s="2">
        <v>300</v>
      </c>
      <c r="O1621" s="2">
        <v>90.699299999999994</v>
      </c>
      <c r="P1621" s="2">
        <v>323</v>
      </c>
      <c r="Q1621" s="2">
        <v>98.770499999999998</v>
      </c>
      <c r="R1621" s="2">
        <v>96</v>
      </c>
      <c r="S1621" s="2">
        <v>106.24169999999999</v>
      </c>
      <c r="T1621" s="2">
        <v>252</v>
      </c>
      <c r="U1621" s="2">
        <v>0.13956399999999999</v>
      </c>
      <c r="V1621" s="2">
        <v>310</v>
      </c>
      <c r="W1621" s="2">
        <v>2006</v>
      </c>
    </row>
    <row r="1622" spans="1:23" ht="12.3" hidden="1" x14ac:dyDescent="0.4">
      <c r="A1622" s="2" t="s">
        <v>264</v>
      </c>
      <c r="B1622" s="2"/>
      <c r="C1622" s="2"/>
      <c r="D1622" s="2"/>
      <c r="E1622" s="2"/>
      <c r="F1622" s="2"/>
      <c r="G1622" s="2"/>
      <c r="H1622" s="2"/>
      <c r="I1622" s="2">
        <v>62.415100000000002</v>
      </c>
      <c r="J1622" s="2">
        <v>308</v>
      </c>
      <c r="K1622" s="2">
        <v>62.469900000000003</v>
      </c>
      <c r="L1622" s="2">
        <v>310</v>
      </c>
      <c r="M1622" s="2">
        <v>93.908900000000003</v>
      </c>
      <c r="N1622" s="2">
        <v>292</v>
      </c>
      <c r="O1622" s="2">
        <v>91.816699999999997</v>
      </c>
      <c r="P1622" s="2">
        <v>309</v>
      </c>
      <c r="Q1622" s="2">
        <v>107.8176</v>
      </c>
      <c r="R1622" s="2">
        <v>293</v>
      </c>
      <c r="S1622" s="2">
        <v>107.70959999999999</v>
      </c>
      <c r="T1622" s="2">
        <v>277</v>
      </c>
      <c r="U1622" s="2">
        <v>0.13753499999999999</v>
      </c>
      <c r="V1622" s="2">
        <v>311</v>
      </c>
      <c r="W1622" s="2">
        <v>2006</v>
      </c>
    </row>
    <row r="1623" spans="1:23" ht="12.3" hidden="1" x14ac:dyDescent="0.4">
      <c r="A1623" s="2" t="s">
        <v>300</v>
      </c>
      <c r="B1623" s="2"/>
      <c r="C1623" s="2"/>
      <c r="D1623" s="2"/>
      <c r="E1623" s="2"/>
      <c r="F1623" s="2"/>
      <c r="G1623" s="2"/>
      <c r="H1623" s="2"/>
      <c r="I1623" s="2">
        <v>69.862099999999998</v>
      </c>
      <c r="J1623" s="2">
        <v>64</v>
      </c>
      <c r="K1623" s="2">
        <v>71.148799999999994</v>
      </c>
      <c r="L1623" s="2">
        <v>36</v>
      </c>
      <c r="M1623" s="2">
        <v>93.373400000000004</v>
      </c>
      <c r="N1623" s="2">
        <v>296</v>
      </c>
      <c r="O1623" s="2">
        <v>92.78</v>
      </c>
      <c r="P1623" s="2">
        <v>301</v>
      </c>
      <c r="Q1623" s="2">
        <v>102.56870000000001</v>
      </c>
      <c r="R1623" s="2">
        <v>183</v>
      </c>
      <c r="S1623" s="2">
        <v>108.8515</v>
      </c>
      <c r="T1623" s="2">
        <v>289</v>
      </c>
      <c r="U1623" s="2">
        <v>0.13738600000000001</v>
      </c>
      <c r="V1623" s="2">
        <v>312</v>
      </c>
      <c r="W1623" s="2">
        <v>2006</v>
      </c>
    </row>
    <row r="1624" spans="1:23" ht="12.3" hidden="1" x14ac:dyDescent="0.4">
      <c r="A1624" s="2" t="s">
        <v>318</v>
      </c>
      <c r="B1624" s="2"/>
      <c r="C1624" s="2"/>
      <c r="D1624" s="2"/>
      <c r="E1624" s="2"/>
      <c r="F1624" s="2"/>
      <c r="G1624" s="2"/>
      <c r="H1624" s="2"/>
      <c r="I1624" s="2">
        <v>71.226699999999994</v>
      </c>
      <c r="J1624" s="2">
        <v>41</v>
      </c>
      <c r="K1624" s="2">
        <v>68.775400000000005</v>
      </c>
      <c r="L1624" s="2">
        <v>95</v>
      </c>
      <c r="M1624" s="2">
        <v>102.11620000000001</v>
      </c>
      <c r="N1624" s="2">
        <v>162</v>
      </c>
      <c r="O1624" s="2">
        <v>97.283500000000004</v>
      </c>
      <c r="P1624" s="2">
        <v>241</v>
      </c>
      <c r="Q1624" s="2">
        <v>111.7696</v>
      </c>
      <c r="R1624" s="2">
        <v>322</v>
      </c>
      <c r="S1624" s="2">
        <v>114.2684</v>
      </c>
      <c r="T1624" s="2">
        <v>329</v>
      </c>
      <c r="U1624" s="2">
        <v>0.13580400000000001</v>
      </c>
      <c r="V1624" s="2">
        <v>313</v>
      </c>
      <c r="W1624" s="2">
        <v>2006</v>
      </c>
    </row>
    <row r="1625" spans="1:23" ht="12.3" hidden="1" x14ac:dyDescent="0.4">
      <c r="A1625" s="2" t="s">
        <v>242</v>
      </c>
      <c r="B1625" s="2"/>
      <c r="C1625" s="2"/>
      <c r="D1625" s="2"/>
      <c r="E1625" s="2"/>
      <c r="F1625" s="2"/>
      <c r="G1625" s="2"/>
      <c r="H1625" s="2"/>
      <c r="I1625" s="2">
        <v>67.863799999999998</v>
      </c>
      <c r="J1625" s="2">
        <v>134</v>
      </c>
      <c r="K1625" s="2">
        <v>67.298400000000001</v>
      </c>
      <c r="L1625" s="2">
        <v>145</v>
      </c>
      <c r="M1625" s="2">
        <v>95.468999999999994</v>
      </c>
      <c r="N1625" s="2">
        <v>275</v>
      </c>
      <c r="O1625" s="2">
        <v>93.318299999999994</v>
      </c>
      <c r="P1625" s="2">
        <v>295</v>
      </c>
      <c r="Q1625" s="2">
        <v>104.1297</v>
      </c>
      <c r="R1625" s="2">
        <v>226</v>
      </c>
      <c r="S1625" s="2">
        <v>109.7032</v>
      </c>
      <c r="T1625" s="2">
        <v>296</v>
      </c>
      <c r="U1625" s="2">
        <v>0.13467199999999999</v>
      </c>
      <c r="V1625" s="2">
        <v>314</v>
      </c>
      <c r="W1625" s="2">
        <v>2006</v>
      </c>
    </row>
    <row r="1626" spans="1:23" ht="12.3" hidden="1" x14ac:dyDescent="0.4">
      <c r="A1626" s="2" t="s">
        <v>263</v>
      </c>
      <c r="B1626" s="2"/>
      <c r="C1626" s="2"/>
      <c r="D1626" s="2"/>
      <c r="E1626" s="2"/>
      <c r="F1626" s="2"/>
      <c r="G1626" s="2"/>
      <c r="H1626" s="2"/>
      <c r="I1626" s="2">
        <v>72.763000000000005</v>
      </c>
      <c r="J1626" s="2">
        <v>17</v>
      </c>
      <c r="K1626" s="2">
        <v>72.737099999999998</v>
      </c>
      <c r="L1626" s="2">
        <v>16</v>
      </c>
      <c r="M1626" s="2">
        <v>94.112799999999993</v>
      </c>
      <c r="N1626" s="2">
        <v>290</v>
      </c>
      <c r="O1626" s="2">
        <v>90.916600000000003</v>
      </c>
      <c r="P1626" s="2">
        <v>321</v>
      </c>
      <c r="Q1626" s="2">
        <v>107.14100000000001</v>
      </c>
      <c r="R1626" s="2">
        <v>282</v>
      </c>
      <c r="S1626" s="2">
        <v>107.0622</v>
      </c>
      <c r="T1626" s="2">
        <v>264</v>
      </c>
      <c r="U1626" s="2">
        <v>0.13240299999999999</v>
      </c>
      <c r="V1626" s="2">
        <v>315</v>
      </c>
      <c r="W1626" s="2">
        <v>2006</v>
      </c>
    </row>
    <row r="1627" spans="1:23" ht="12.3" hidden="1" x14ac:dyDescent="0.4">
      <c r="A1627" s="2" t="s">
        <v>261</v>
      </c>
      <c r="B1627" s="2"/>
      <c r="C1627" s="2"/>
      <c r="D1627" s="2"/>
      <c r="E1627" s="2"/>
      <c r="F1627" s="2"/>
      <c r="G1627" s="2"/>
      <c r="H1627" s="2"/>
      <c r="I1627" s="2">
        <v>71.664699999999996</v>
      </c>
      <c r="J1627" s="2">
        <v>31</v>
      </c>
      <c r="K1627" s="2">
        <v>69.819900000000004</v>
      </c>
      <c r="L1627" s="2">
        <v>64</v>
      </c>
      <c r="M1627" s="2">
        <v>92.273300000000006</v>
      </c>
      <c r="N1627" s="2">
        <v>307</v>
      </c>
      <c r="O1627" s="2">
        <v>92.397400000000005</v>
      </c>
      <c r="P1627" s="2">
        <v>303</v>
      </c>
      <c r="Q1627" s="2">
        <v>102.0253</v>
      </c>
      <c r="R1627" s="2">
        <v>170</v>
      </c>
      <c r="S1627" s="2">
        <v>109.28789999999999</v>
      </c>
      <c r="T1627" s="2">
        <v>294</v>
      </c>
      <c r="U1627" s="2">
        <v>0.12667300000000001</v>
      </c>
      <c r="V1627" s="2">
        <v>316</v>
      </c>
      <c r="W1627" s="2">
        <v>2006</v>
      </c>
    </row>
    <row r="1628" spans="1:23" ht="12.3" hidden="1" x14ac:dyDescent="0.4">
      <c r="A1628" s="2" t="s">
        <v>336</v>
      </c>
      <c r="B1628" s="2"/>
      <c r="C1628" s="2"/>
      <c r="D1628" s="2"/>
      <c r="E1628" s="2"/>
      <c r="F1628" s="2"/>
      <c r="G1628" s="2"/>
      <c r="H1628" s="2"/>
      <c r="I1628" s="2">
        <v>64.854900000000001</v>
      </c>
      <c r="J1628" s="2">
        <v>252</v>
      </c>
      <c r="K1628" s="2">
        <v>66.222099999999998</v>
      </c>
      <c r="L1628" s="2">
        <v>208</v>
      </c>
      <c r="M1628" s="2">
        <v>90.008300000000006</v>
      </c>
      <c r="N1628" s="2">
        <v>323</v>
      </c>
      <c r="O1628" s="2">
        <v>92.01</v>
      </c>
      <c r="P1628" s="2">
        <v>306</v>
      </c>
      <c r="Q1628" s="2">
        <v>106.09139999999999</v>
      </c>
      <c r="R1628" s="2">
        <v>256</v>
      </c>
      <c r="S1628" s="2">
        <v>109.7959</v>
      </c>
      <c r="T1628" s="2">
        <v>298</v>
      </c>
      <c r="U1628" s="2">
        <v>0.11584800000000001</v>
      </c>
      <c r="V1628" s="2">
        <v>317</v>
      </c>
      <c r="W1628" s="2">
        <v>2006</v>
      </c>
    </row>
    <row r="1629" spans="1:23" ht="12.3" hidden="1" x14ac:dyDescent="0.4">
      <c r="A1629" s="2" t="s">
        <v>224</v>
      </c>
      <c r="B1629" s="2"/>
      <c r="C1629" s="2"/>
      <c r="D1629" s="2"/>
      <c r="E1629" s="2"/>
      <c r="F1629" s="2"/>
      <c r="G1629" s="2"/>
      <c r="H1629" s="2"/>
      <c r="I1629" s="2">
        <v>68.746600000000001</v>
      </c>
      <c r="J1629" s="2">
        <v>105</v>
      </c>
      <c r="K1629" s="2">
        <v>68.029300000000006</v>
      </c>
      <c r="L1629" s="2">
        <v>114</v>
      </c>
      <c r="M1629" s="2">
        <v>95.962400000000002</v>
      </c>
      <c r="N1629" s="2">
        <v>265</v>
      </c>
      <c r="O1629" s="2">
        <v>92.857100000000003</v>
      </c>
      <c r="P1629" s="2">
        <v>300</v>
      </c>
      <c r="Q1629" s="2">
        <v>112.6789</v>
      </c>
      <c r="R1629" s="2">
        <v>329</v>
      </c>
      <c r="S1629" s="2">
        <v>111.1426</v>
      </c>
      <c r="T1629" s="2">
        <v>311</v>
      </c>
      <c r="U1629" s="2">
        <v>0.112332</v>
      </c>
      <c r="V1629" s="2">
        <v>318</v>
      </c>
      <c r="W1629" s="2">
        <v>2006</v>
      </c>
    </row>
    <row r="1630" spans="1:23" ht="12.3" hidden="1" x14ac:dyDescent="0.4">
      <c r="A1630" s="2" t="s">
        <v>346</v>
      </c>
      <c r="B1630" s="2"/>
      <c r="C1630" s="2"/>
      <c r="D1630" s="2"/>
      <c r="E1630" s="2"/>
      <c r="F1630" s="2"/>
      <c r="G1630" s="2"/>
      <c r="H1630" s="2"/>
      <c r="I1630" s="2">
        <v>67.638599999999997</v>
      </c>
      <c r="J1630" s="2">
        <v>143</v>
      </c>
      <c r="K1630" s="2">
        <v>66.458500000000001</v>
      </c>
      <c r="L1630" s="2">
        <v>185</v>
      </c>
      <c r="M1630" s="2">
        <v>91.270499999999998</v>
      </c>
      <c r="N1630" s="2">
        <v>315</v>
      </c>
      <c r="O1630" s="2">
        <v>91.945400000000006</v>
      </c>
      <c r="P1630" s="2">
        <v>308</v>
      </c>
      <c r="Q1630" s="2">
        <v>109.9735</v>
      </c>
      <c r="R1630" s="2">
        <v>311</v>
      </c>
      <c r="S1630" s="2">
        <v>110.1734</v>
      </c>
      <c r="T1630" s="2">
        <v>301</v>
      </c>
      <c r="U1630" s="2">
        <v>0.111067</v>
      </c>
      <c r="V1630" s="2">
        <v>319</v>
      </c>
      <c r="W1630" s="2">
        <v>2006</v>
      </c>
    </row>
    <row r="1631" spans="1:23" ht="12.3" hidden="1" x14ac:dyDescent="0.4">
      <c r="A1631" s="2" t="s">
        <v>299</v>
      </c>
      <c r="B1631" s="2"/>
      <c r="C1631" s="2"/>
      <c r="D1631" s="2"/>
      <c r="E1631" s="2"/>
      <c r="F1631" s="2"/>
      <c r="G1631" s="2"/>
      <c r="H1631" s="2"/>
      <c r="I1631" s="2">
        <v>64.539400000000001</v>
      </c>
      <c r="J1631" s="2">
        <v>260</v>
      </c>
      <c r="K1631" s="2">
        <v>62.7333</v>
      </c>
      <c r="L1631" s="2">
        <v>303</v>
      </c>
      <c r="M1631" s="2">
        <v>94.020399999999995</v>
      </c>
      <c r="N1631" s="2">
        <v>291</v>
      </c>
      <c r="O1631" s="2">
        <v>93.172300000000007</v>
      </c>
      <c r="P1631" s="2">
        <v>297</v>
      </c>
      <c r="Q1631" s="2">
        <v>108.2479</v>
      </c>
      <c r="R1631" s="2">
        <v>300</v>
      </c>
      <c r="S1631" s="2">
        <v>111.9213</v>
      </c>
      <c r="T1631" s="2">
        <v>316</v>
      </c>
      <c r="U1631" s="2">
        <v>0.108276</v>
      </c>
      <c r="V1631" s="2">
        <v>320</v>
      </c>
      <c r="W1631" s="2">
        <v>2006</v>
      </c>
    </row>
    <row r="1632" spans="1:23" ht="12.3" hidden="1" x14ac:dyDescent="0.4">
      <c r="A1632" s="2" t="s">
        <v>325</v>
      </c>
      <c r="B1632" s="2"/>
      <c r="C1632" s="2"/>
      <c r="D1632" s="2"/>
      <c r="E1632" s="2"/>
      <c r="F1632" s="2"/>
      <c r="G1632" s="2"/>
      <c r="H1632" s="2"/>
      <c r="I1632" s="2">
        <v>72.721800000000002</v>
      </c>
      <c r="J1632" s="2">
        <v>18</v>
      </c>
      <c r="K1632" s="2">
        <v>71.463800000000006</v>
      </c>
      <c r="L1632" s="2">
        <v>30</v>
      </c>
      <c r="M1632" s="2">
        <v>90.129900000000006</v>
      </c>
      <c r="N1632" s="2">
        <v>322</v>
      </c>
      <c r="O1632" s="2">
        <v>91.755799999999994</v>
      </c>
      <c r="P1632" s="2">
        <v>311</v>
      </c>
      <c r="Q1632" s="2">
        <v>106.0448</v>
      </c>
      <c r="R1632" s="2">
        <v>255</v>
      </c>
      <c r="S1632" s="2">
        <v>110.2898</v>
      </c>
      <c r="T1632" s="2">
        <v>302</v>
      </c>
      <c r="U1632" s="2">
        <v>0.107572</v>
      </c>
      <c r="V1632" s="2">
        <v>321</v>
      </c>
      <c r="W1632" s="2">
        <v>2006</v>
      </c>
    </row>
    <row r="1633" spans="1:23" ht="12.3" hidden="1" x14ac:dyDescent="0.4">
      <c r="A1633" s="2" t="s">
        <v>354</v>
      </c>
      <c r="B1633" s="2"/>
      <c r="C1633" s="2"/>
      <c r="D1633" s="2"/>
      <c r="E1633" s="2"/>
      <c r="F1633" s="2"/>
      <c r="G1633" s="2"/>
      <c r="H1633" s="2"/>
      <c r="I1633" s="2">
        <v>67.662499999999994</v>
      </c>
      <c r="J1633" s="2">
        <v>142</v>
      </c>
      <c r="K1633" s="2">
        <v>67.210800000000006</v>
      </c>
      <c r="L1633" s="2">
        <v>148</v>
      </c>
      <c r="M1633" s="2">
        <v>92.500100000000003</v>
      </c>
      <c r="N1633" s="2">
        <v>304</v>
      </c>
      <c r="O1633" s="2">
        <v>92.937899999999999</v>
      </c>
      <c r="P1633" s="2">
        <v>299</v>
      </c>
      <c r="Q1633" s="2">
        <v>110.8828</v>
      </c>
      <c r="R1633" s="2">
        <v>317</v>
      </c>
      <c r="S1633" s="2">
        <v>112.4224</v>
      </c>
      <c r="T1633" s="2">
        <v>323</v>
      </c>
      <c r="U1633" s="2">
        <v>0.100759</v>
      </c>
      <c r="V1633" s="2">
        <v>322</v>
      </c>
      <c r="W1633" s="2">
        <v>2006</v>
      </c>
    </row>
    <row r="1634" spans="1:23" ht="12.3" hidden="1" x14ac:dyDescent="0.4">
      <c r="A1634" s="2" t="s">
        <v>296</v>
      </c>
      <c r="B1634" s="2"/>
      <c r="C1634" s="2"/>
      <c r="D1634" s="2"/>
      <c r="E1634" s="2"/>
      <c r="F1634" s="2"/>
      <c r="G1634" s="2"/>
      <c r="H1634" s="2"/>
      <c r="I1634" s="2">
        <v>69.112499999999997</v>
      </c>
      <c r="J1634" s="2">
        <v>93</v>
      </c>
      <c r="K1634" s="2">
        <v>68.167699999999996</v>
      </c>
      <c r="L1634" s="2">
        <v>111</v>
      </c>
      <c r="M1634" s="2">
        <v>88.119</v>
      </c>
      <c r="N1634" s="2">
        <v>326</v>
      </c>
      <c r="O1634" s="2">
        <v>85.668199999999999</v>
      </c>
      <c r="P1634" s="2">
        <v>331</v>
      </c>
      <c r="Q1634" s="2">
        <v>101.1065</v>
      </c>
      <c r="R1634" s="2">
        <v>150</v>
      </c>
      <c r="S1634" s="2">
        <v>103.7625</v>
      </c>
      <c r="T1634" s="2">
        <v>200</v>
      </c>
      <c r="U1634" s="2">
        <v>9.9420999999999995E-2</v>
      </c>
      <c r="V1634" s="2">
        <v>323</v>
      </c>
      <c r="W1634" s="2">
        <v>2006</v>
      </c>
    </row>
    <row r="1635" spans="1:23" ht="12.3" hidden="1" x14ac:dyDescent="0.4">
      <c r="A1635" s="2" t="s">
        <v>201</v>
      </c>
      <c r="B1635" s="2"/>
      <c r="C1635" s="2"/>
      <c r="D1635" s="2"/>
      <c r="E1635" s="2"/>
      <c r="F1635" s="2"/>
      <c r="G1635" s="2"/>
      <c r="H1635" s="2"/>
      <c r="I1635" s="2">
        <v>66.453199999999995</v>
      </c>
      <c r="J1635" s="2">
        <v>191</v>
      </c>
      <c r="K1635" s="2">
        <v>66.259</v>
      </c>
      <c r="L1635" s="2">
        <v>200</v>
      </c>
      <c r="M1635" s="2">
        <v>90.598299999999995</v>
      </c>
      <c r="N1635" s="2">
        <v>318</v>
      </c>
      <c r="O1635" s="2">
        <v>92.537599999999998</v>
      </c>
      <c r="P1635" s="2">
        <v>302</v>
      </c>
      <c r="Q1635" s="2">
        <v>111.84439999999999</v>
      </c>
      <c r="R1635" s="2">
        <v>323</v>
      </c>
      <c r="S1635" s="2">
        <v>112.1146</v>
      </c>
      <c r="T1635" s="2">
        <v>320</v>
      </c>
      <c r="U1635" s="2">
        <v>9.9128999999999995E-2</v>
      </c>
      <c r="V1635" s="2">
        <v>324</v>
      </c>
      <c r="W1635" s="2">
        <v>2006</v>
      </c>
    </row>
    <row r="1636" spans="1:23" ht="12.3" hidden="1" x14ac:dyDescent="0.4">
      <c r="A1636" s="2" t="s">
        <v>363</v>
      </c>
      <c r="B1636" s="2" t="e">
        <v>#N/A</v>
      </c>
      <c r="C1636" s="2"/>
      <c r="D1636" s="2"/>
      <c r="E1636" s="2"/>
      <c r="F1636" s="2"/>
      <c r="G1636" s="2"/>
      <c r="H1636" s="2"/>
      <c r="I1636" s="2">
        <v>69.027699999999996</v>
      </c>
      <c r="J1636" s="2">
        <v>96</v>
      </c>
      <c r="K1636" s="2">
        <v>67.062299999999993</v>
      </c>
      <c r="L1636" s="2">
        <v>156</v>
      </c>
      <c r="M1636" s="2">
        <v>98.931600000000003</v>
      </c>
      <c r="N1636" s="2">
        <v>213</v>
      </c>
      <c r="O1636" s="2">
        <v>94.785600000000002</v>
      </c>
      <c r="P1636" s="2">
        <v>278</v>
      </c>
      <c r="Q1636" s="2">
        <v>110.1071</v>
      </c>
      <c r="R1636" s="2">
        <v>313</v>
      </c>
      <c r="S1636" s="2">
        <v>115.20869999999999</v>
      </c>
      <c r="T1636" s="2">
        <v>331</v>
      </c>
      <c r="U1636" s="2">
        <v>9.5869999999999997E-2</v>
      </c>
      <c r="V1636" s="2">
        <v>325</v>
      </c>
      <c r="W1636" s="2">
        <v>2006</v>
      </c>
    </row>
    <row r="1637" spans="1:23" ht="12.3" hidden="1" x14ac:dyDescent="0.4">
      <c r="A1637" s="2" t="s">
        <v>179</v>
      </c>
      <c r="B1637" s="2"/>
      <c r="C1637" s="2"/>
      <c r="D1637" s="2"/>
      <c r="E1637" s="2"/>
      <c r="F1637" s="2"/>
      <c r="G1637" s="2"/>
      <c r="H1637" s="2"/>
      <c r="I1637" s="2">
        <v>66.936499999999995</v>
      </c>
      <c r="J1637" s="2">
        <v>169</v>
      </c>
      <c r="K1637" s="2">
        <v>66.255099999999999</v>
      </c>
      <c r="L1637" s="2">
        <v>202</v>
      </c>
      <c r="M1637" s="2">
        <v>92.521199999999993</v>
      </c>
      <c r="N1637" s="2">
        <v>303</v>
      </c>
      <c r="O1637" s="2">
        <v>91.430199999999999</v>
      </c>
      <c r="P1637" s="2">
        <v>316</v>
      </c>
      <c r="Q1637" s="2">
        <v>112.1571</v>
      </c>
      <c r="R1637" s="2">
        <v>325</v>
      </c>
      <c r="S1637" s="2">
        <v>112.0384</v>
      </c>
      <c r="T1637" s="2">
        <v>318</v>
      </c>
      <c r="U1637" s="2">
        <v>8.8059999999999999E-2</v>
      </c>
      <c r="V1637" s="2">
        <v>326</v>
      </c>
      <c r="W1637" s="2">
        <v>2006</v>
      </c>
    </row>
    <row r="1638" spans="1:23" ht="12.3" hidden="1" x14ac:dyDescent="0.4">
      <c r="A1638" s="2" t="s">
        <v>202</v>
      </c>
      <c r="B1638" s="2"/>
      <c r="C1638" s="2"/>
      <c r="D1638" s="2"/>
      <c r="E1638" s="2"/>
      <c r="F1638" s="2"/>
      <c r="G1638" s="2"/>
      <c r="H1638" s="2"/>
      <c r="I1638" s="2">
        <v>67.698999999999998</v>
      </c>
      <c r="J1638" s="2">
        <v>140</v>
      </c>
      <c r="K1638" s="2">
        <v>67.607699999999994</v>
      </c>
      <c r="L1638" s="2">
        <v>129</v>
      </c>
      <c r="M1638" s="2">
        <v>87.208200000000005</v>
      </c>
      <c r="N1638" s="2">
        <v>330</v>
      </c>
      <c r="O1638" s="2">
        <v>87.954400000000007</v>
      </c>
      <c r="P1638" s="2">
        <v>328</v>
      </c>
      <c r="Q1638" s="2">
        <v>109.1153</v>
      </c>
      <c r="R1638" s="2">
        <v>305</v>
      </c>
      <c r="S1638" s="2">
        <v>108.0594</v>
      </c>
      <c r="T1638" s="2">
        <v>279</v>
      </c>
      <c r="U1638" s="2">
        <v>8.5691000000000003E-2</v>
      </c>
      <c r="V1638" s="2">
        <v>327</v>
      </c>
      <c r="W1638" s="2">
        <v>2006</v>
      </c>
    </row>
    <row r="1639" spans="1:23" ht="12.3" hidden="1" x14ac:dyDescent="0.4">
      <c r="A1639" s="2" t="s">
        <v>332</v>
      </c>
      <c r="B1639" s="2"/>
      <c r="C1639" s="2"/>
      <c r="D1639" s="2"/>
      <c r="E1639" s="2"/>
      <c r="F1639" s="2"/>
      <c r="G1639" s="2"/>
      <c r="H1639" s="2"/>
      <c r="I1639" s="2">
        <v>63.259</v>
      </c>
      <c r="J1639" s="2">
        <v>293</v>
      </c>
      <c r="K1639" s="2">
        <v>62.709800000000001</v>
      </c>
      <c r="L1639" s="2">
        <v>305</v>
      </c>
      <c r="M1639" s="2">
        <v>93.392099999999999</v>
      </c>
      <c r="N1639" s="2">
        <v>295</v>
      </c>
      <c r="O1639" s="2">
        <v>92.005799999999994</v>
      </c>
      <c r="P1639" s="2">
        <v>307</v>
      </c>
      <c r="Q1639" s="2">
        <v>111.1773</v>
      </c>
      <c r="R1639" s="2">
        <v>318</v>
      </c>
      <c r="S1639" s="2">
        <v>113.3306</v>
      </c>
      <c r="T1639" s="2">
        <v>326</v>
      </c>
      <c r="U1639" s="2">
        <v>8.3381999999999998E-2</v>
      </c>
      <c r="V1639" s="2">
        <v>328</v>
      </c>
      <c r="W1639" s="2">
        <v>2006</v>
      </c>
    </row>
    <row r="1640" spans="1:23" ht="12.3" hidden="1" x14ac:dyDescent="0.4">
      <c r="A1640" s="2" t="s">
        <v>321</v>
      </c>
      <c r="B1640" s="2" t="e">
        <v>#N/A</v>
      </c>
      <c r="C1640" s="2"/>
      <c r="D1640" s="2"/>
      <c r="E1640" s="2"/>
      <c r="F1640" s="2"/>
      <c r="G1640" s="2"/>
      <c r="H1640" s="2"/>
      <c r="I1640" s="2">
        <v>71.052899999999994</v>
      </c>
      <c r="J1640" s="2">
        <v>46</v>
      </c>
      <c r="K1640" s="2">
        <v>71.6721</v>
      </c>
      <c r="L1640" s="2">
        <v>28</v>
      </c>
      <c r="M1640" s="2">
        <v>90.464600000000004</v>
      </c>
      <c r="N1640" s="2">
        <v>320</v>
      </c>
      <c r="O1640" s="2">
        <v>90.397499999999994</v>
      </c>
      <c r="P1640" s="2">
        <v>325</v>
      </c>
      <c r="Q1640" s="2">
        <v>103.7135</v>
      </c>
      <c r="R1640" s="2">
        <v>214</v>
      </c>
      <c r="S1640" s="2">
        <v>111.59010000000001</v>
      </c>
      <c r="T1640" s="2">
        <v>314</v>
      </c>
      <c r="U1640" s="2">
        <v>8.1503999999999993E-2</v>
      </c>
      <c r="V1640" s="2">
        <v>329</v>
      </c>
      <c r="W1640" s="2">
        <v>2006</v>
      </c>
    </row>
    <row r="1641" spans="1:23" ht="12.3" hidden="1" x14ac:dyDescent="0.4">
      <c r="A1641" s="2" t="s">
        <v>214</v>
      </c>
      <c r="B1641" s="2" t="e">
        <v>#N/A</v>
      </c>
      <c r="C1641" s="2"/>
      <c r="D1641" s="2"/>
      <c r="E1641" s="2"/>
      <c r="F1641" s="2"/>
      <c r="G1641" s="2"/>
      <c r="H1641" s="2"/>
      <c r="I1641" s="2">
        <v>75.534499999999994</v>
      </c>
      <c r="J1641" s="2">
        <v>4</v>
      </c>
      <c r="K1641" s="2">
        <v>73.441000000000003</v>
      </c>
      <c r="L1641" s="2">
        <v>8</v>
      </c>
      <c r="M1641" s="2">
        <v>95.969099999999997</v>
      </c>
      <c r="N1641" s="2">
        <v>264</v>
      </c>
      <c r="O1641" s="2">
        <v>93.395200000000003</v>
      </c>
      <c r="P1641" s="2">
        <v>293</v>
      </c>
      <c r="Q1641" s="2">
        <v>112.7976</v>
      </c>
      <c r="R1641" s="2">
        <v>330</v>
      </c>
      <c r="S1641" s="2">
        <v>115.6681</v>
      </c>
      <c r="T1641" s="2">
        <v>333</v>
      </c>
      <c r="U1641" s="2">
        <v>7.8733999999999998E-2</v>
      </c>
      <c r="V1641" s="2">
        <v>330</v>
      </c>
      <c r="W1641" s="2">
        <v>2006</v>
      </c>
    </row>
    <row r="1642" spans="1:23" ht="12.3" hidden="1" x14ac:dyDescent="0.4">
      <c r="A1642" s="2" t="s">
        <v>314</v>
      </c>
      <c r="B1642" s="2" t="e">
        <v>#N/A</v>
      </c>
      <c r="C1642" s="2"/>
      <c r="D1642" s="2"/>
      <c r="E1642" s="2"/>
      <c r="F1642" s="2"/>
      <c r="G1642" s="2"/>
      <c r="H1642" s="2"/>
      <c r="I1642" s="2">
        <v>61.744999999999997</v>
      </c>
      <c r="J1642" s="2">
        <v>317</v>
      </c>
      <c r="K1642" s="2">
        <v>62.262900000000002</v>
      </c>
      <c r="L1642" s="2">
        <v>312</v>
      </c>
      <c r="M1642" s="2">
        <v>86.474199999999996</v>
      </c>
      <c r="N1642" s="2">
        <v>332</v>
      </c>
      <c r="O1642" s="2">
        <v>87.752099999999999</v>
      </c>
      <c r="P1642" s="2">
        <v>329</v>
      </c>
      <c r="Q1642" s="2">
        <v>109.6969</v>
      </c>
      <c r="R1642" s="2">
        <v>308</v>
      </c>
      <c r="S1642" s="2">
        <v>113.2025</v>
      </c>
      <c r="T1642" s="2">
        <v>324</v>
      </c>
      <c r="U1642" s="2">
        <v>5.0756999999999997E-2</v>
      </c>
      <c r="V1642" s="2">
        <v>331</v>
      </c>
      <c r="W1642" s="2">
        <v>2006</v>
      </c>
    </row>
    <row r="1643" spans="1:23" ht="12.3" hidden="1" x14ac:dyDescent="0.4">
      <c r="A1643" s="2" t="s">
        <v>342</v>
      </c>
      <c r="B1643" s="2" t="e">
        <v>#N/A</v>
      </c>
      <c r="C1643" s="2"/>
      <c r="D1643" s="2"/>
      <c r="E1643" s="2"/>
      <c r="F1643" s="2"/>
      <c r="G1643" s="2"/>
      <c r="H1643" s="2"/>
      <c r="I1643" s="2">
        <v>74.848600000000005</v>
      </c>
      <c r="J1643" s="2">
        <v>6</v>
      </c>
      <c r="K1643" s="2">
        <v>72.961799999999997</v>
      </c>
      <c r="L1643" s="2">
        <v>14</v>
      </c>
      <c r="M1643" s="2">
        <v>87.332800000000006</v>
      </c>
      <c r="N1643" s="2">
        <v>329</v>
      </c>
      <c r="O1643" s="2">
        <v>87.095200000000006</v>
      </c>
      <c r="P1643" s="2">
        <v>330</v>
      </c>
      <c r="Q1643" s="2">
        <v>107.8753</v>
      </c>
      <c r="R1643" s="2">
        <v>295</v>
      </c>
      <c r="S1643" s="2">
        <v>114.3194</v>
      </c>
      <c r="T1643" s="2">
        <v>330</v>
      </c>
      <c r="U1643" s="2">
        <v>4.1968999999999999E-2</v>
      </c>
      <c r="V1643" s="2">
        <v>332</v>
      </c>
      <c r="W1643" s="2">
        <v>2006</v>
      </c>
    </row>
    <row r="1644" spans="1:23" ht="12.3" hidden="1" x14ac:dyDescent="0.4">
      <c r="A1644" s="2" t="s">
        <v>345</v>
      </c>
      <c r="B1644" s="2" t="e">
        <v>#N/A</v>
      </c>
      <c r="C1644" s="2"/>
      <c r="D1644" s="2"/>
      <c r="E1644" s="2"/>
      <c r="F1644" s="2"/>
      <c r="G1644" s="2"/>
      <c r="H1644" s="2"/>
      <c r="I1644" s="2">
        <v>68.516099999999994</v>
      </c>
      <c r="J1644" s="2">
        <v>112</v>
      </c>
      <c r="K1644" s="2">
        <v>66.871200000000002</v>
      </c>
      <c r="L1644" s="2">
        <v>164</v>
      </c>
      <c r="M1644" s="2">
        <v>78.884399999999999</v>
      </c>
      <c r="N1644" s="2">
        <v>333</v>
      </c>
      <c r="O1644" s="2">
        <v>81.232100000000003</v>
      </c>
      <c r="P1644" s="2">
        <v>334</v>
      </c>
      <c r="Q1644" s="2">
        <v>106.6652</v>
      </c>
      <c r="R1644" s="2">
        <v>269</v>
      </c>
      <c r="S1644" s="2">
        <v>108.68170000000001</v>
      </c>
      <c r="T1644" s="2">
        <v>286</v>
      </c>
      <c r="U1644" s="2">
        <v>3.3966999999999997E-2</v>
      </c>
      <c r="V1644" s="2">
        <v>333</v>
      </c>
      <c r="W1644" s="2">
        <v>2006</v>
      </c>
    </row>
    <row r="1645" spans="1:23" ht="12.3" hidden="1" x14ac:dyDescent="0.4">
      <c r="A1645" s="2" t="s">
        <v>352</v>
      </c>
      <c r="B1645" s="2" t="e">
        <v>#N/A</v>
      </c>
      <c r="C1645" s="2"/>
      <c r="D1645" s="2"/>
      <c r="E1645" s="2"/>
      <c r="F1645" s="2"/>
      <c r="G1645" s="2"/>
      <c r="H1645" s="2"/>
      <c r="I1645" s="2">
        <v>71.019400000000005</v>
      </c>
      <c r="J1645" s="2">
        <v>47</v>
      </c>
      <c r="K1645" s="2">
        <v>69.875900000000001</v>
      </c>
      <c r="L1645" s="2">
        <v>63</v>
      </c>
      <c r="M1645" s="2">
        <v>77.701999999999998</v>
      </c>
      <c r="N1645" s="2">
        <v>334</v>
      </c>
      <c r="O1645" s="2">
        <v>82.358900000000006</v>
      </c>
      <c r="P1645" s="2">
        <v>333</v>
      </c>
      <c r="Q1645" s="2">
        <v>116.6968</v>
      </c>
      <c r="R1645" s="2">
        <v>334</v>
      </c>
      <c r="S1645" s="2">
        <v>116.752</v>
      </c>
      <c r="T1645" s="2">
        <v>334</v>
      </c>
      <c r="U1645" s="2">
        <v>1.7756000000000001E-2</v>
      </c>
      <c r="V1645" s="2">
        <v>334</v>
      </c>
      <c r="W1645" s="2">
        <v>2006</v>
      </c>
    </row>
    <row r="1646" spans="1:23" ht="12.3" x14ac:dyDescent="0.4">
      <c r="A1646" s="2" t="s">
        <v>225</v>
      </c>
      <c r="B1646" s="2">
        <v>14</v>
      </c>
      <c r="C1646" s="25"/>
      <c r="D1646" s="25"/>
      <c r="E1646" s="25"/>
      <c r="F1646" s="2"/>
      <c r="G1646" s="2"/>
      <c r="H1646" s="2"/>
      <c r="I1646" s="2">
        <v>70.464699999999993</v>
      </c>
      <c r="J1646" s="2">
        <v>49</v>
      </c>
      <c r="K1646" s="2">
        <v>70.054400000000001</v>
      </c>
      <c r="L1646" s="2">
        <v>56</v>
      </c>
      <c r="M1646" s="2">
        <v>111.9319</v>
      </c>
      <c r="N1646" s="2">
        <v>16</v>
      </c>
      <c r="O1646" s="2">
        <v>109.6887</v>
      </c>
      <c r="P1646" s="2">
        <v>44</v>
      </c>
      <c r="Q1646" s="2">
        <v>101.43219999999999</v>
      </c>
      <c r="R1646" s="2">
        <v>175</v>
      </c>
      <c r="S1646" s="2">
        <v>103.0312</v>
      </c>
      <c r="T1646" s="2">
        <v>207</v>
      </c>
      <c r="U1646" s="2">
        <v>0.67262</v>
      </c>
      <c r="V1646" s="2">
        <v>101</v>
      </c>
      <c r="W1646" s="2">
        <v>2010</v>
      </c>
    </row>
    <row r="1647" spans="1:23" ht="12.3" x14ac:dyDescent="0.4">
      <c r="A1647" s="2" t="s">
        <v>118</v>
      </c>
      <c r="B1647" s="2">
        <v>12</v>
      </c>
      <c r="C1647" s="25"/>
      <c r="D1647" s="25"/>
      <c r="E1647" s="25"/>
      <c r="F1647" s="25"/>
      <c r="G1647" s="25"/>
      <c r="H1647" s="2"/>
      <c r="I1647" s="2">
        <v>72.0852</v>
      </c>
      <c r="J1647" s="2">
        <v>23</v>
      </c>
      <c r="K1647" s="2">
        <v>71.847300000000004</v>
      </c>
      <c r="L1647" s="2">
        <v>23</v>
      </c>
      <c r="M1647" s="2">
        <v>109.0478</v>
      </c>
      <c r="N1647" s="2">
        <v>40</v>
      </c>
      <c r="O1647" s="2">
        <v>111.0211</v>
      </c>
      <c r="P1647" s="2">
        <v>34</v>
      </c>
      <c r="Q1647" s="2">
        <v>108.1713</v>
      </c>
      <c r="R1647" s="2">
        <v>315</v>
      </c>
      <c r="S1647" s="2">
        <v>104.5017</v>
      </c>
      <c r="T1647" s="2">
        <v>234</v>
      </c>
      <c r="U1647" s="2">
        <v>0.66728900000000002</v>
      </c>
      <c r="V1647" s="2">
        <v>105</v>
      </c>
      <c r="W1647" s="2">
        <v>2010</v>
      </c>
    </row>
    <row r="1648" spans="1:23" ht="12.3" x14ac:dyDescent="0.4">
      <c r="A1648" s="2" t="s">
        <v>220</v>
      </c>
      <c r="B1648" s="2">
        <v>16</v>
      </c>
      <c r="C1648" s="25"/>
      <c r="D1648" s="25"/>
      <c r="E1648" s="25"/>
      <c r="F1648" s="2"/>
      <c r="G1648" s="2"/>
      <c r="H1648" s="2"/>
      <c r="I1648" s="2">
        <v>67.572500000000005</v>
      </c>
      <c r="J1648" s="2">
        <v>162</v>
      </c>
      <c r="K1648" s="2">
        <v>67.555400000000006</v>
      </c>
      <c r="L1648" s="2">
        <v>157</v>
      </c>
      <c r="M1648" s="2">
        <v>104.6583</v>
      </c>
      <c r="N1648" s="2">
        <v>99</v>
      </c>
      <c r="O1648" s="2">
        <v>103.4121</v>
      </c>
      <c r="P1648" s="2">
        <v>139</v>
      </c>
      <c r="Q1648" s="2">
        <v>94.596299999999999</v>
      </c>
      <c r="R1648" s="2">
        <v>41</v>
      </c>
      <c r="S1648" s="2">
        <v>99.943100000000001</v>
      </c>
      <c r="T1648" s="2">
        <v>140</v>
      </c>
      <c r="U1648" s="2">
        <v>0.59685900000000003</v>
      </c>
      <c r="V1648" s="2">
        <v>126</v>
      </c>
      <c r="W1648" s="2">
        <v>2010</v>
      </c>
    </row>
    <row r="1649" spans="1:23" ht="12.3" x14ac:dyDescent="0.4">
      <c r="A1649" s="2" t="s">
        <v>165</v>
      </c>
      <c r="B1649" s="2">
        <v>14</v>
      </c>
      <c r="C1649" s="25"/>
      <c r="D1649" s="25"/>
      <c r="E1649" s="25"/>
      <c r="F1649" s="25"/>
      <c r="G1649" s="2"/>
      <c r="H1649" s="2"/>
      <c r="I1649" s="2">
        <v>70.273399999999995</v>
      </c>
      <c r="J1649" s="2">
        <v>55</v>
      </c>
      <c r="K1649" s="2">
        <v>70.301299999999998</v>
      </c>
      <c r="L1649" s="2">
        <v>44</v>
      </c>
      <c r="M1649" s="2">
        <v>106.8378</v>
      </c>
      <c r="N1649" s="2">
        <v>71</v>
      </c>
      <c r="O1649" s="2">
        <v>107.399</v>
      </c>
      <c r="P1649" s="2">
        <v>65</v>
      </c>
      <c r="Q1649" s="2">
        <v>102.1336</v>
      </c>
      <c r="R1649" s="2">
        <v>185</v>
      </c>
      <c r="S1649" s="2">
        <v>103.8548</v>
      </c>
      <c r="T1649" s="2">
        <v>223</v>
      </c>
      <c r="U1649" s="2">
        <v>0.59529699999999997</v>
      </c>
      <c r="V1649" s="2">
        <v>129</v>
      </c>
      <c r="W1649" s="2">
        <v>2010</v>
      </c>
    </row>
    <row r="1650" spans="1:23" ht="12.3" x14ac:dyDescent="0.4">
      <c r="A1650" s="2" t="s">
        <v>108</v>
      </c>
      <c r="B1650" s="2">
        <v>16</v>
      </c>
      <c r="C1650" s="25"/>
      <c r="D1650" s="25"/>
      <c r="E1650" s="25"/>
      <c r="F1650" s="25"/>
      <c r="G1650" s="25"/>
      <c r="H1650" s="25"/>
      <c r="I1650" s="2">
        <v>68.687899999999999</v>
      </c>
      <c r="J1650" s="2">
        <v>108</v>
      </c>
      <c r="K1650" s="2">
        <v>67.997100000000003</v>
      </c>
      <c r="L1650" s="2">
        <v>133</v>
      </c>
      <c r="M1650" s="2">
        <v>100.09139999999999</v>
      </c>
      <c r="N1650" s="2">
        <v>192</v>
      </c>
      <c r="O1650" s="2">
        <v>98.995699999999999</v>
      </c>
      <c r="P1650" s="2">
        <v>201</v>
      </c>
      <c r="Q1650" s="2">
        <v>95.938000000000002</v>
      </c>
      <c r="R1650" s="2">
        <v>57</v>
      </c>
      <c r="S1650" s="2">
        <v>96.663600000000002</v>
      </c>
      <c r="T1650" s="2">
        <v>73</v>
      </c>
      <c r="U1650" s="2">
        <v>0.56811500000000004</v>
      </c>
      <c r="V1650" s="2">
        <v>142</v>
      </c>
      <c r="W1650" s="2">
        <v>2010</v>
      </c>
    </row>
    <row r="1651" spans="1:23" ht="12.3" x14ac:dyDescent="0.4">
      <c r="A1651" s="2" t="s">
        <v>104</v>
      </c>
      <c r="B1651" s="2">
        <v>15</v>
      </c>
      <c r="C1651" s="25"/>
      <c r="D1651" s="25"/>
      <c r="E1651" s="2"/>
      <c r="F1651" s="2"/>
      <c r="G1651" s="2"/>
      <c r="H1651" s="2"/>
      <c r="I1651" s="2">
        <v>67.402100000000004</v>
      </c>
      <c r="J1651" s="2">
        <v>174</v>
      </c>
      <c r="K1651" s="2">
        <v>67.565600000000003</v>
      </c>
      <c r="L1651" s="2">
        <v>154</v>
      </c>
      <c r="M1651" s="2">
        <v>99.888000000000005</v>
      </c>
      <c r="N1651" s="2">
        <v>194</v>
      </c>
      <c r="O1651" s="2">
        <v>98.7179</v>
      </c>
      <c r="P1651" s="2">
        <v>209</v>
      </c>
      <c r="Q1651" s="2">
        <v>97.496300000000005</v>
      </c>
      <c r="R1651" s="2">
        <v>93</v>
      </c>
      <c r="S1651" s="2">
        <v>96.862399999999994</v>
      </c>
      <c r="T1651" s="2">
        <v>74</v>
      </c>
      <c r="U1651" s="2">
        <v>0.554338</v>
      </c>
      <c r="V1651" s="2">
        <v>147</v>
      </c>
      <c r="W1651" s="2">
        <v>2010</v>
      </c>
    </row>
    <row r="1652" spans="1:23" ht="12.3" x14ac:dyDescent="0.4">
      <c r="A1652" s="2" t="s">
        <v>345</v>
      </c>
      <c r="B1652" s="2">
        <v>15</v>
      </c>
      <c r="C1652" s="2"/>
      <c r="D1652" s="2"/>
      <c r="E1652" s="2"/>
      <c r="F1652" s="2"/>
      <c r="G1652" s="2"/>
      <c r="H1652" s="2"/>
      <c r="I1652" s="2">
        <v>70.104399999999998</v>
      </c>
      <c r="J1652" s="2">
        <v>61</v>
      </c>
      <c r="K1652" s="2">
        <v>69.816299999999998</v>
      </c>
      <c r="L1652" s="2">
        <v>60</v>
      </c>
      <c r="M1652" s="2">
        <v>107.9646</v>
      </c>
      <c r="N1652" s="2">
        <v>53</v>
      </c>
      <c r="O1652" s="2">
        <v>103.8837</v>
      </c>
      <c r="P1652" s="2">
        <v>133</v>
      </c>
      <c r="Q1652" s="2">
        <v>98.597399999999993</v>
      </c>
      <c r="R1652" s="2">
        <v>118</v>
      </c>
      <c r="S1652" s="2">
        <v>102.4671</v>
      </c>
      <c r="T1652" s="2">
        <v>191</v>
      </c>
      <c r="U1652" s="2">
        <v>0.53939499999999996</v>
      </c>
      <c r="V1652" s="2">
        <v>153</v>
      </c>
      <c r="W1652" s="2">
        <v>2010</v>
      </c>
    </row>
    <row r="1653" spans="1:23" ht="12.3" x14ac:dyDescent="0.4">
      <c r="A1653" s="2" t="s">
        <v>184</v>
      </c>
      <c r="B1653" s="2">
        <v>15</v>
      </c>
      <c r="C1653" s="25"/>
      <c r="D1653" s="25"/>
      <c r="E1653" s="25"/>
      <c r="F1653" s="2"/>
      <c r="G1653" s="2"/>
      <c r="H1653" s="2"/>
      <c r="I1653" s="2">
        <v>68.546800000000005</v>
      </c>
      <c r="J1653" s="2">
        <v>118</v>
      </c>
      <c r="K1653" s="2">
        <v>68.728399999999993</v>
      </c>
      <c r="L1653" s="2">
        <v>98</v>
      </c>
      <c r="M1653" s="2">
        <v>105.2366</v>
      </c>
      <c r="N1653" s="2">
        <v>94</v>
      </c>
      <c r="O1653" s="2">
        <v>101.98350000000001</v>
      </c>
      <c r="P1653" s="2">
        <v>160</v>
      </c>
      <c r="Q1653" s="2">
        <v>100.31959999999999</v>
      </c>
      <c r="R1653" s="2">
        <v>150</v>
      </c>
      <c r="S1653" s="2">
        <v>102.4178</v>
      </c>
      <c r="T1653" s="2">
        <v>188</v>
      </c>
      <c r="U1653" s="2">
        <v>0.48778500000000002</v>
      </c>
      <c r="V1653" s="2">
        <v>175</v>
      </c>
      <c r="W1653" s="2">
        <v>2010</v>
      </c>
    </row>
    <row r="1654" spans="1:23" ht="12.3" x14ac:dyDescent="0.4">
      <c r="A1654" s="2" t="s">
        <v>307</v>
      </c>
      <c r="B1654" s="2">
        <v>15</v>
      </c>
      <c r="C1654" s="25"/>
      <c r="D1654" s="25"/>
      <c r="E1654" s="25"/>
      <c r="F1654" s="25"/>
      <c r="G1654" s="2"/>
      <c r="H1654" s="2"/>
      <c r="I1654" s="2">
        <v>67.664000000000001</v>
      </c>
      <c r="J1654" s="2">
        <v>157</v>
      </c>
      <c r="K1654" s="2">
        <v>67.064400000000006</v>
      </c>
      <c r="L1654" s="2">
        <v>185</v>
      </c>
      <c r="M1654" s="2">
        <v>101.3257</v>
      </c>
      <c r="N1654" s="2">
        <v>165</v>
      </c>
      <c r="O1654" s="2">
        <v>99.373599999999996</v>
      </c>
      <c r="P1654" s="2">
        <v>198</v>
      </c>
      <c r="Q1654" s="2">
        <v>96.817300000000003</v>
      </c>
      <c r="R1654" s="2">
        <v>77</v>
      </c>
      <c r="S1654" s="2">
        <v>100.2647</v>
      </c>
      <c r="T1654" s="2">
        <v>146</v>
      </c>
      <c r="U1654" s="2">
        <v>0.474358</v>
      </c>
      <c r="V1654" s="2">
        <v>181</v>
      </c>
      <c r="W1654" s="2">
        <v>2010</v>
      </c>
    </row>
    <row r="1655" spans="1:23" ht="12.3" x14ac:dyDescent="0.4">
      <c r="A1655" s="2" t="s">
        <v>326</v>
      </c>
      <c r="B1655" s="2">
        <v>16</v>
      </c>
      <c r="C1655" s="25"/>
      <c r="D1655" s="2"/>
      <c r="E1655" s="2"/>
      <c r="F1655" s="2"/>
      <c r="G1655" s="2"/>
      <c r="H1655" s="2"/>
      <c r="I1655" s="2">
        <v>69.827500000000001</v>
      </c>
      <c r="J1655" s="2">
        <v>71</v>
      </c>
      <c r="K1655" s="2">
        <v>70.063999999999993</v>
      </c>
      <c r="L1655" s="2">
        <v>55</v>
      </c>
      <c r="M1655" s="2">
        <v>107.2011</v>
      </c>
      <c r="N1655" s="2">
        <v>62</v>
      </c>
      <c r="O1655" s="2">
        <v>104.4722</v>
      </c>
      <c r="P1655" s="2">
        <v>117</v>
      </c>
      <c r="Q1655" s="2">
        <v>99.227500000000006</v>
      </c>
      <c r="R1655" s="2">
        <v>130</v>
      </c>
      <c r="S1655" s="2">
        <v>105.5154</v>
      </c>
      <c r="T1655" s="2">
        <v>256</v>
      </c>
      <c r="U1655" s="2">
        <v>0.47146700000000002</v>
      </c>
      <c r="V1655" s="2">
        <v>183</v>
      </c>
      <c r="W1655" s="2">
        <v>2010</v>
      </c>
    </row>
    <row r="1656" spans="1:23" ht="12.3" x14ac:dyDescent="0.4">
      <c r="A1656" s="2" t="s">
        <v>240</v>
      </c>
      <c r="B1656" s="2">
        <v>16</v>
      </c>
      <c r="C1656" s="2"/>
      <c r="D1656" s="2"/>
      <c r="E1656" s="2"/>
      <c r="F1656" s="2"/>
      <c r="G1656" s="2"/>
      <c r="H1656" s="2"/>
      <c r="I1656" s="2">
        <v>66.888099999999994</v>
      </c>
      <c r="J1656" s="2">
        <v>194</v>
      </c>
      <c r="K1656" s="2">
        <v>65.785799999999995</v>
      </c>
      <c r="L1656" s="2">
        <v>238</v>
      </c>
      <c r="M1656" s="2">
        <v>92.6387</v>
      </c>
      <c r="N1656" s="2">
        <v>307</v>
      </c>
      <c r="O1656" s="2">
        <v>91.037800000000004</v>
      </c>
      <c r="P1656" s="2">
        <v>313</v>
      </c>
      <c r="Q1656" s="2">
        <v>91.733599999999996</v>
      </c>
      <c r="R1656" s="2">
        <v>16</v>
      </c>
      <c r="S1656" s="2">
        <v>93.448099999999997</v>
      </c>
      <c r="T1656" s="2">
        <v>36</v>
      </c>
      <c r="U1656" s="2">
        <v>0.42543199999999998</v>
      </c>
      <c r="V1656" s="2">
        <v>198</v>
      </c>
      <c r="W1656" s="2">
        <v>2010</v>
      </c>
    </row>
    <row r="1657" spans="1:23" ht="12.3" x14ac:dyDescent="0.4">
      <c r="A1657" s="2" t="s">
        <v>351</v>
      </c>
      <c r="B1657" s="2">
        <v>16</v>
      </c>
      <c r="C1657" s="25"/>
      <c r="D1657" s="25"/>
      <c r="E1657" s="2"/>
      <c r="F1657" s="2"/>
      <c r="G1657" s="2"/>
      <c r="H1657" s="2"/>
      <c r="I1657" s="2">
        <v>67.863200000000006</v>
      </c>
      <c r="J1657" s="2">
        <v>140</v>
      </c>
      <c r="K1657" s="2">
        <v>66.626499999999993</v>
      </c>
      <c r="L1657" s="2">
        <v>202</v>
      </c>
      <c r="M1657" s="2">
        <v>93.218999999999994</v>
      </c>
      <c r="N1657" s="2">
        <v>302</v>
      </c>
      <c r="O1657" s="2">
        <v>90.1584</v>
      </c>
      <c r="P1657" s="2">
        <v>319</v>
      </c>
      <c r="Q1657" s="2">
        <v>94.045199999999994</v>
      </c>
      <c r="R1657" s="2">
        <v>36</v>
      </c>
      <c r="S1657" s="2">
        <v>96.648600000000002</v>
      </c>
      <c r="T1657" s="2">
        <v>72</v>
      </c>
      <c r="U1657" s="2">
        <v>0.31015199999999998</v>
      </c>
      <c r="V1657" s="2">
        <v>237</v>
      </c>
      <c r="W1657" s="2">
        <v>2010</v>
      </c>
    </row>
    <row r="1658" spans="1:23" ht="12.3" x14ac:dyDescent="0.4">
      <c r="A1658" s="2" t="s">
        <v>71</v>
      </c>
      <c r="B1658" s="2">
        <v>2</v>
      </c>
      <c r="C1658" s="3" t="s">
        <v>33</v>
      </c>
      <c r="D1658" s="4" t="s">
        <v>33</v>
      </c>
      <c r="E1658" s="2"/>
      <c r="F1658" s="2"/>
      <c r="G1658" s="2"/>
      <c r="H1658" s="2"/>
      <c r="I1658" s="2">
        <v>67.7774</v>
      </c>
      <c r="J1658" s="2">
        <v>118</v>
      </c>
      <c r="K1658" s="2">
        <v>66.456299999999999</v>
      </c>
      <c r="L1658" s="2">
        <v>163</v>
      </c>
      <c r="M1658" s="2">
        <v>108.9131</v>
      </c>
      <c r="N1658" s="2">
        <v>47</v>
      </c>
      <c r="O1658" s="2">
        <v>108.4135</v>
      </c>
      <c r="P1658" s="2">
        <v>62</v>
      </c>
      <c r="Q1658" s="2">
        <v>83.445999999999998</v>
      </c>
      <c r="R1658" s="2">
        <v>1</v>
      </c>
      <c r="S1658" s="2">
        <v>81.127700000000004</v>
      </c>
      <c r="T1658" s="2">
        <v>1</v>
      </c>
      <c r="U1658" s="2">
        <v>0.96558299999999997</v>
      </c>
      <c r="V1658" s="2">
        <v>1</v>
      </c>
      <c r="W1658" s="2">
        <v>2009</v>
      </c>
    </row>
    <row r="1659" spans="1:23" ht="12.3" x14ac:dyDescent="0.4">
      <c r="A1659" s="2" t="s">
        <v>46</v>
      </c>
      <c r="B1659" s="2">
        <v>1</v>
      </c>
      <c r="C1659" s="3" t="s">
        <v>33</v>
      </c>
      <c r="D1659" s="4" t="s">
        <v>33</v>
      </c>
      <c r="E1659" s="4" t="s">
        <v>33</v>
      </c>
      <c r="F1659" s="2"/>
      <c r="G1659" s="2"/>
      <c r="H1659" s="2"/>
      <c r="I1659" s="2">
        <v>66.883899999999997</v>
      </c>
      <c r="J1659" s="2">
        <v>146</v>
      </c>
      <c r="K1659" s="2">
        <v>66.419600000000003</v>
      </c>
      <c r="L1659" s="2">
        <v>165</v>
      </c>
      <c r="M1659" s="2">
        <v>116.78279999999999</v>
      </c>
      <c r="N1659" s="2">
        <v>3</v>
      </c>
      <c r="O1659" s="2">
        <v>119.85120000000001</v>
      </c>
      <c r="P1659" s="2">
        <v>2</v>
      </c>
      <c r="Q1659" s="2">
        <v>96.328900000000004</v>
      </c>
      <c r="R1659" s="2">
        <v>61</v>
      </c>
      <c r="S1659" s="2">
        <v>93.053200000000004</v>
      </c>
      <c r="T1659" s="2">
        <v>24</v>
      </c>
      <c r="U1659" s="2">
        <v>0.94835899999999995</v>
      </c>
      <c r="V1659" s="2">
        <v>2</v>
      </c>
      <c r="W1659" s="2">
        <v>2009</v>
      </c>
    </row>
    <row r="1660" spans="1:23" ht="12.3" x14ac:dyDescent="0.4">
      <c r="A1660" s="2" t="s">
        <v>54</v>
      </c>
      <c r="B1660" s="2">
        <v>1</v>
      </c>
      <c r="C1660" s="3" t="s">
        <v>33</v>
      </c>
      <c r="D1660" s="4" t="s">
        <v>33</v>
      </c>
      <c r="E1660" s="4" t="s">
        <v>33</v>
      </c>
      <c r="F1660" s="4" t="s">
        <v>33</v>
      </c>
      <c r="G1660" s="2"/>
      <c r="H1660" s="2"/>
      <c r="I1660" s="2">
        <v>67.471500000000006</v>
      </c>
      <c r="J1660" s="2">
        <v>133</v>
      </c>
      <c r="K1660" s="2">
        <v>67.359300000000005</v>
      </c>
      <c r="L1660" s="2">
        <v>127</v>
      </c>
      <c r="M1660" s="2">
        <v>111.6104</v>
      </c>
      <c r="N1660" s="2">
        <v>19</v>
      </c>
      <c r="O1660" s="2">
        <v>112.2406</v>
      </c>
      <c r="P1660" s="2">
        <v>28</v>
      </c>
      <c r="Q1660" s="2">
        <v>91.688199999999995</v>
      </c>
      <c r="R1660" s="2">
        <v>8</v>
      </c>
      <c r="S1660" s="2">
        <v>87.540099999999995</v>
      </c>
      <c r="T1660" s="2">
        <v>3</v>
      </c>
      <c r="U1660" s="2">
        <v>0.94574599999999998</v>
      </c>
      <c r="V1660" s="2">
        <v>3</v>
      </c>
      <c r="W1660" s="2">
        <v>2009</v>
      </c>
    </row>
    <row r="1661" spans="1:23" ht="12.3" x14ac:dyDescent="0.4">
      <c r="A1661" s="2" t="s">
        <v>168</v>
      </c>
      <c r="B1661" s="2">
        <v>1</v>
      </c>
      <c r="C1661" s="3" t="s">
        <v>33</v>
      </c>
      <c r="D1661" s="3" t="s">
        <v>33</v>
      </c>
      <c r="E1661" s="4" t="s">
        <v>33</v>
      </c>
      <c r="F1661" s="4" t="s">
        <v>33</v>
      </c>
      <c r="G1661" s="4" t="s">
        <v>33</v>
      </c>
      <c r="H1661" s="4" t="s">
        <v>33</v>
      </c>
      <c r="I1661" s="2">
        <v>75.774500000000003</v>
      </c>
      <c r="J1661" s="2">
        <v>4</v>
      </c>
      <c r="K1661" s="2">
        <v>74.071200000000005</v>
      </c>
      <c r="L1661" s="2">
        <v>7</v>
      </c>
      <c r="M1661" s="2">
        <v>117.4778</v>
      </c>
      <c r="N1661" s="2">
        <v>2</v>
      </c>
      <c r="O1661" s="2">
        <v>121.90819999999999</v>
      </c>
      <c r="P1661" s="2">
        <v>1</v>
      </c>
      <c r="Q1661" s="2">
        <v>96.254199999999997</v>
      </c>
      <c r="R1661" s="2">
        <v>59</v>
      </c>
      <c r="S1661" s="2">
        <v>95.354900000000001</v>
      </c>
      <c r="T1661" s="2">
        <v>49</v>
      </c>
      <c r="U1661" s="2">
        <v>0.94401800000000002</v>
      </c>
      <c r="V1661" s="2">
        <v>4</v>
      </c>
      <c r="W1661" s="2">
        <v>2009</v>
      </c>
    </row>
    <row r="1662" spans="1:23" ht="12.3" x14ac:dyDescent="0.4">
      <c r="A1662" s="2" t="s">
        <v>86</v>
      </c>
      <c r="B1662" s="2">
        <v>1</v>
      </c>
      <c r="C1662" s="4" t="s">
        <v>33</v>
      </c>
      <c r="D1662" s="4" t="s">
        <v>33</v>
      </c>
      <c r="E1662" s="4" t="s">
        <v>33</v>
      </c>
      <c r="F1662" s="2"/>
      <c r="G1662" s="2"/>
      <c r="H1662" s="2"/>
      <c r="I1662" s="2">
        <v>69.310400000000001</v>
      </c>
      <c r="J1662" s="2">
        <v>74</v>
      </c>
      <c r="K1662" s="2">
        <v>68.395300000000006</v>
      </c>
      <c r="L1662" s="2">
        <v>90</v>
      </c>
      <c r="M1662" s="2">
        <v>106.15770000000001</v>
      </c>
      <c r="N1662" s="2">
        <v>85</v>
      </c>
      <c r="O1662" s="2">
        <v>107.706</v>
      </c>
      <c r="P1662" s="2">
        <v>72</v>
      </c>
      <c r="Q1662" s="2">
        <v>88.7333</v>
      </c>
      <c r="R1662" s="2">
        <v>3</v>
      </c>
      <c r="S1662" s="2">
        <v>85.781899999999993</v>
      </c>
      <c r="T1662" s="2">
        <v>2</v>
      </c>
      <c r="U1662" s="2">
        <v>0.93197099999999999</v>
      </c>
      <c r="V1662" s="2">
        <v>5</v>
      </c>
      <c r="W1662" s="2">
        <v>2009</v>
      </c>
    </row>
    <row r="1663" spans="1:23" ht="12.3" x14ac:dyDescent="0.4">
      <c r="A1663" s="2" t="s">
        <v>47</v>
      </c>
      <c r="B1663" s="2">
        <v>4</v>
      </c>
      <c r="C1663" s="4" t="s">
        <v>33</v>
      </c>
      <c r="D1663" s="4" t="s">
        <v>33</v>
      </c>
      <c r="E1663" s="2"/>
      <c r="F1663" s="2"/>
      <c r="G1663" s="2"/>
      <c r="H1663" s="2"/>
      <c r="I1663" s="2">
        <v>67.983000000000004</v>
      </c>
      <c r="J1663" s="2">
        <v>110</v>
      </c>
      <c r="K1663" s="2">
        <v>68.432299999999998</v>
      </c>
      <c r="L1663" s="2">
        <v>88</v>
      </c>
      <c r="M1663" s="2">
        <v>114.87309999999999</v>
      </c>
      <c r="N1663" s="2">
        <v>5</v>
      </c>
      <c r="O1663" s="2">
        <v>115.4522</v>
      </c>
      <c r="P1663" s="2">
        <v>12</v>
      </c>
      <c r="Q1663" s="2">
        <v>89.832099999999997</v>
      </c>
      <c r="R1663" s="2">
        <v>4</v>
      </c>
      <c r="S1663" s="2">
        <v>92.789699999999996</v>
      </c>
      <c r="T1663" s="2">
        <v>21</v>
      </c>
      <c r="U1663" s="2">
        <v>0.92504799999999998</v>
      </c>
      <c r="V1663" s="2">
        <v>6</v>
      </c>
      <c r="W1663" s="2">
        <v>2009</v>
      </c>
    </row>
    <row r="1664" spans="1:23" ht="12.3" x14ac:dyDescent="0.4">
      <c r="A1664" s="2" t="s">
        <v>229</v>
      </c>
      <c r="B1664" s="2">
        <v>6</v>
      </c>
      <c r="C1664" s="25"/>
      <c r="D1664" s="2"/>
      <c r="E1664" s="2"/>
      <c r="F1664" s="2"/>
      <c r="G1664" s="2"/>
      <c r="H1664" s="2"/>
      <c r="I1664" s="2">
        <v>65.844800000000006</v>
      </c>
      <c r="J1664" s="2">
        <v>189</v>
      </c>
      <c r="K1664" s="2">
        <v>65.092399999999998</v>
      </c>
      <c r="L1664" s="2">
        <v>232</v>
      </c>
      <c r="M1664" s="2">
        <v>109.66630000000001</v>
      </c>
      <c r="N1664" s="2">
        <v>34</v>
      </c>
      <c r="O1664" s="2">
        <v>112.8715</v>
      </c>
      <c r="P1664" s="2">
        <v>21</v>
      </c>
      <c r="Q1664" s="2">
        <v>93.691599999999994</v>
      </c>
      <c r="R1664" s="2">
        <v>23</v>
      </c>
      <c r="S1664" s="2">
        <v>90.716399999999993</v>
      </c>
      <c r="T1664" s="2">
        <v>10</v>
      </c>
      <c r="U1664" s="2">
        <v>0.92503999999999997</v>
      </c>
      <c r="V1664" s="2">
        <v>7</v>
      </c>
      <c r="W1664" s="2">
        <v>2009</v>
      </c>
    </row>
    <row r="1665" spans="1:23" ht="12.3" x14ac:dyDescent="0.4">
      <c r="A1665" s="2" t="s">
        <v>32</v>
      </c>
      <c r="B1665" s="2">
        <v>2</v>
      </c>
      <c r="C1665" s="3" t="s">
        <v>33</v>
      </c>
      <c r="D1665" s="3" t="s">
        <v>33</v>
      </c>
      <c r="E1665" s="25"/>
      <c r="F1665" s="2"/>
      <c r="G1665" s="2"/>
      <c r="H1665" s="2"/>
      <c r="I1665" s="2">
        <v>69.350499999999997</v>
      </c>
      <c r="J1665" s="2">
        <v>72</v>
      </c>
      <c r="K1665" s="2">
        <v>67.492999999999995</v>
      </c>
      <c r="L1665" s="2">
        <v>121</v>
      </c>
      <c r="M1665" s="2">
        <v>112.0145</v>
      </c>
      <c r="N1665" s="2">
        <v>15</v>
      </c>
      <c r="O1665" s="2">
        <v>117.2739</v>
      </c>
      <c r="P1665" s="2">
        <v>4</v>
      </c>
      <c r="Q1665" s="2">
        <v>94.6374</v>
      </c>
      <c r="R1665" s="2">
        <v>34</v>
      </c>
      <c r="S1665" s="2">
        <v>94.336799999999997</v>
      </c>
      <c r="T1665" s="2">
        <v>38</v>
      </c>
      <c r="U1665" s="2">
        <v>0.92434300000000003</v>
      </c>
      <c r="V1665" s="2">
        <v>8</v>
      </c>
      <c r="W1665" s="2">
        <v>2009</v>
      </c>
    </row>
    <row r="1666" spans="1:23" ht="12.3" x14ac:dyDescent="0.4">
      <c r="A1666" s="2" t="s">
        <v>65</v>
      </c>
      <c r="B1666" s="2">
        <v>6</v>
      </c>
      <c r="C1666" s="3" t="s">
        <v>33</v>
      </c>
      <c r="D1666" s="2"/>
      <c r="E1666" s="2"/>
      <c r="F1666" s="2"/>
      <c r="G1666" s="2"/>
      <c r="H1666" s="2"/>
      <c r="I1666" s="2">
        <v>65.398200000000003</v>
      </c>
      <c r="J1666" s="2">
        <v>207</v>
      </c>
      <c r="K1666" s="2">
        <v>66.642499999999998</v>
      </c>
      <c r="L1666" s="2">
        <v>158</v>
      </c>
      <c r="M1666" s="2">
        <v>116.1125</v>
      </c>
      <c r="N1666" s="2">
        <v>4</v>
      </c>
      <c r="O1666" s="2">
        <v>118.1729</v>
      </c>
      <c r="P1666" s="2">
        <v>3</v>
      </c>
      <c r="Q1666" s="2">
        <v>97.200400000000002</v>
      </c>
      <c r="R1666" s="2">
        <v>82</v>
      </c>
      <c r="S1666" s="2">
        <v>95.705399999999997</v>
      </c>
      <c r="T1666" s="2">
        <v>55</v>
      </c>
      <c r="U1666" s="2">
        <v>0.91871700000000001</v>
      </c>
      <c r="V1666" s="2">
        <v>9</v>
      </c>
      <c r="W1666" s="2">
        <v>2009</v>
      </c>
    </row>
    <row r="1667" spans="1:23" ht="12.3" x14ac:dyDescent="0.4">
      <c r="A1667" s="2" t="s">
        <v>58</v>
      </c>
      <c r="B1667" s="2">
        <v>2</v>
      </c>
      <c r="C1667" s="3" t="s">
        <v>33</v>
      </c>
      <c r="D1667" s="3" t="s">
        <v>33</v>
      </c>
      <c r="E1667" s="4" t="s">
        <v>33</v>
      </c>
      <c r="F1667" s="4" t="s">
        <v>33</v>
      </c>
      <c r="G1667" s="4" t="s">
        <v>33</v>
      </c>
      <c r="H1667" s="2"/>
      <c r="I1667" s="2">
        <v>66.289500000000004</v>
      </c>
      <c r="J1667" s="2">
        <v>169</v>
      </c>
      <c r="K1667" s="2">
        <v>67.654899999999998</v>
      </c>
      <c r="L1667" s="2">
        <v>114</v>
      </c>
      <c r="M1667" s="2">
        <v>108.55119999999999</v>
      </c>
      <c r="N1667" s="2">
        <v>53</v>
      </c>
      <c r="O1667" s="2">
        <v>110.8623</v>
      </c>
      <c r="P1667" s="2">
        <v>35</v>
      </c>
      <c r="Q1667" s="2">
        <v>94.863</v>
      </c>
      <c r="R1667" s="2">
        <v>40</v>
      </c>
      <c r="S1667" s="2">
        <v>90.599400000000003</v>
      </c>
      <c r="T1667" s="2">
        <v>9</v>
      </c>
      <c r="U1667" s="2">
        <v>0.91061599999999998</v>
      </c>
      <c r="V1667" s="2">
        <v>10</v>
      </c>
      <c r="W1667" s="2">
        <v>2009</v>
      </c>
    </row>
    <row r="1668" spans="1:23" ht="12.3" x14ac:dyDescent="0.4">
      <c r="A1668" s="2" t="s">
        <v>73</v>
      </c>
      <c r="B1668" s="2">
        <v>3</v>
      </c>
      <c r="C1668" s="4" t="s">
        <v>33</v>
      </c>
      <c r="D1668" s="4" t="s">
        <v>33</v>
      </c>
      <c r="E1668" s="4" t="s">
        <v>33</v>
      </c>
      <c r="F1668" s="2"/>
      <c r="G1668" s="2"/>
      <c r="H1668" s="2"/>
      <c r="I1668" s="2">
        <v>72.447400000000002</v>
      </c>
      <c r="J1668" s="2">
        <v>15</v>
      </c>
      <c r="K1668" s="2">
        <v>71.201400000000007</v>
      </c>
      <c r="L1668" s="2">
        <v>21</v>
      </c>
      <c r="M1668" s="2">
        <v>111.6704</v>
      </c>
      <c r="N1668" s="2">
        <v>18</v>
      </c>
      <c r="O1668" s="2">
        <v>112.273</v>
      </c>
      <c r="P1668" s="2">
        <v>27</v>
      </c>
      <c r="Q1668" s="2">
        <v>91.7102</v>
      </c>
      <c r="R1668" s="2">
        <v>9</v>
      </c>
      <c r="S1668" s="2">
        <v>91.798900000000003</v>
      </c>
      <c r="T1668" s="2">
        <v>14</v>
      </c>
      <c r="U1668" s="2">
        <v>0.91013900000000003</v>
      </c>
      <c r="V1668" s="2">
        <v>11</v>
      </c>
      <c r="W1668" s="2">
        <v>2009</v>
      </c>
    </row>
    <row r="1669" spans="1:23" ht="12.3" x14ac:dyDescent="0.4">
      <c r="A1669" s="2" t="s">
        <v>38</v>
      </c>
      <c r="B1669" s="2">
        <v>2</v>
      </c>
      <c r="C1669" s="3" t="s">
        <v>33</v>
      </c>
      <c r="D1669" s="4" t="s">
        <v>33</v>
      </c>
      <c r="E1669" s="4" t="s">
        <v>33</v>
      </c>
      <c r="F1669" s="2"/>
      <c r="G1669" s="2"/>
      <c r="H1669" s="2"/>
      <c r="I1669" s="2">
        <v>69.104500000000002</v>
      </c>
      <c r="J1669" s="2">
        <v>80</v>
      </c>
      <c r="K1669" s="2">
        <v>68.252099999999999</v>
      </c>
      <c r="L1669" s="2">
        <v>94</v>
      </c>
      <c r="M1669" s="2">
        <v>114.15560000000001</v>
      </c>
      <c r="N1669" s="2">
        <v>8</v>
      </c>
      <c r="O1669" s="2">
        <v>116.5286</v>
      </c>
      <c r="P1669" s="2">
        <v>6</v>
      </c>
      <c r="Q1669" s="2">
        <v>97.648600000000002</v>
      </c>
      <c r="R1669" s="2">
        <v>89</v>
      </c>
      <c r="S1669" s="2">
        <v>95.585099999999997</v>
      </c>
      <c r="T1669" s="2">
        <v>53</v>
      </c>
      <c r="U1669" s="2">
        <v>0.90707000000000004</v>
      </c>
      <c r="V1669" s="2">
        <v>12</v>
      </c>
      <c r="W1669" s="2">
        <v>2009</v>
      </c>
    </row>
    <row r="1670" spans="1:23" ht="12.3" x14ac:dyDescent="0.4">
      <c r="A1670" s="2" t="s">
        <v>121</v>
      </c>
      <c r="B1670" s="2">
        <v>5</v>
      </c>
      <c r="C1670" s="4" t="s">
        <v>33</v>
      </c>
      <c r="D1670" s="2"/>
      <c r="E1670" s="2"/>
      <c r="F1670" s="2"/>
      <c r="G1670" s="2"/>
      <c r="H1670" s="2"/>
      <c r="I1670" s="2">
        <v>65.200199999999995</v>
      </c>
      <c r="J1670" s="2">
        <v>218</v>
      </c>
      <c r="K1670" s="2">
        <v>66.936999999999998</v>
      </c>
      <c r="L1670" s="2">
        <v>146</v>
      </c>
      <c r="M1670" s="2">
        <v>105.44670000000001</v>
      </c>
      <c r="N1670" s="2">
        <v>94</v>
      </c>
      <c r="O1670" s="2">
        <v>109.4021</v>
      </c>
      <c r="P1670" s="2">
        <v>48</v>
      </c>
      <c r="Q1670" s="2">
        <v>90.095200000000006</v>
      </c>
      <c r="R1670" s="2">
        <v>7</v>
      </c>
      <c r="S1670" s="2">
        <v>89.762799999999999</v>
      </c>
      <c r="T1670" s="2">
        <v>5</v>
      </c>
      <c r="U1670" s="2">
        <v>0.90681699999999998</v>
      </c>
      <c r="V1670" s="2">
        <v>13</v>
      </c>
      <c r="W1670" s="2">
        <v>2009</v>
      </c>
    </row>
    <row r="1671" spans="1:23" ht="12.3" x14ac:dyDescent="0.4">
      <c r="A1671" s="2" t="s">
        <v>35</v>
      </c>
      <c r="B1671" s="2">
        <v>3</v>
      </c>
      <c r="C1671" s="3" t="s">
        <v>33</v>
      </c>
      <c r="D1671" s="4" t="s">
        <v>33</v>
      </c>
      <c r="E1671" s="2"/>
      <c r="F1671" s="2"/>
      <c r="G1671" s="2"/>
      <c r="H1671" s="2"/>
      <c r="I1671" s="2">
        <v>69.563500000000005</v>
      </c>
      <c r="J1671" s="2">
        <v>66</v>
      </c>
      <c r="K1671" s="2">
        <v>68.489400000000003</v>
      </c>
      <c r="L1671" s="2">
        <v>85</v>
      </c>
      <c r="M1671" s="2">
        <v>110.48350000000001</v>
      </c>
      <c r="N1671" s="2">
        <v>25</v>
      </c>
      <c r="O1671" s="2">
        <v>112.60169999999999</v>
      </c>
      <c r="P1671" s="2">
        <v>25</v>
      </c>
      <c r="Q1671" s="2">
        <v>94.204499999999996</v>
      </c>
      <c r="R1671" s="2">
        <v>25</v>
      </c>
      <c r="S1671" s="2">
        <v>92.404399999999995</v>
      </c>
      <c r="T1671" s="2">
        <v>19</v>
      </c>
      <c r="U1671" s="2">
        <v>0.90664400000000001</v>
      </c>
      <c r="V1671" s="2">
        <v>14</v>
      </c>
      <c r="W1671" s="2">
        <v>2009</v>
      </c>
    </row>
    <row r="1672" spans="1:23" ht="12.3" x14ac:dyDescent="0.4">
      <c r="A1672" s="2" t="s">
        <v>131</v>
      </c>
      <c r="B1672" s="2">
        <v>4</v>
      </c>
      <c r="C1672" s="4" t="s">
        <v>33</v>
      </c>
      <c r="D1672" s="2"/>
      <c r="E1672" s="2"/>
      <c r="F1672" s="2"/>
      <c r="G1672" s="2"/>
      <c r="H1672" s="2"/>
      <c r="I1672" s="2">
        <v>71.997799999999998</v>
      </c>
      <c r="J1672" s="2">
        <v>19</v>
      </c>
      <c r="K1672" s="2">
        <v>74.174000000000007</v>
      </c>
      <c r="L1672" s="2">
        <v>6</v>
      </c>
      <c r="M1672" s="2">
        <v>108.0774</v>
      </c>
      <c r="N1672" s="2">
        <v>57</v>
      </c>
      <c r="O1672" s="2">
        <v>110.76560000000001</v>
      </c>
      <c r="P1672" s="2">
        <v>37</v>
      </c>
      <c r="Q1672" s="2">
        <v>95.606999999999999</v>
      </c>
      <c r="R1672" s="2">
        <v>48</v>
      </c>
      <c r="S1672" s="2">
        <v>90.979699999999994</v>
      </c>
      <c r="T1672" s="2">
        <v>11</v>
      </c>
      <c r="U1672" s="2">
        <v>0.90576400000000001</v>
      </c>
      <c r="V1672" s="2">
        <v>15</v>
      </c>
      <c r="W1672" s="2">
        <v>2009</v>
      </c>
    </row>
    <row r="1673" spans="1:23" ht="12.3" x14ac:dyDescent="0.4">
      <c r="A1673" s="2" t="s">
        <v>23</v>
      </c>
      <c r="B1673" s="2">
        <v>3</v>
      </c>
      <c r="C1673" s="4" t="s">
        <v>33</v>
      </c>
      <c r="D1673" s="4" t="s">
        <v>33</v>
      </c>
      <c r="E1673" s="2"/>
      <c r="F1673" s="2"/>
      <c r="G1673" s="2"/>
      <c r="H1673" s="2"/>
      <c r="I1673" s="2">
        <v>71.285399999999996</v>
      </c>
      <c r="J1673" s="2">
        <v>30</v>
      </c>
      <c r="K1673" s="2">
        <v>70.527900000000002</v>
      </c>
      <c r="L1673" s="2">
        <v>32</v>
      </c>
      <c r="M1673" s="2">
        <v>109.6083</v>
      </c>
      <c r="N1673" s="2">
        <v>35</v>
      </c>
      <c r="O1673" s="2">
        <v>117.0626</v>
      </c>
      <c r="P1673" s="2">
        <v>5</v>
      </c>
      <c r="Q1673" s="2">
        <v>98.838200000000001</v>
      </c>
      <c r="R1673" s="2">
        <v>109</v>
      </c>
      <c r="S1673" s="2">
        <v>96.264200000000002</v>
      </c>
      <c r="T1673" s="2">
        <v>62</v>
      </c>
      <c r="U1673" s="2">
        <v>0.90461100000000005</v>
      </c>
      <c r="V1673" s="2">
        <v>16</v>
      </c>
      <c r="W1673" s="2">
        <v>2009</v>
      </c>
    </row>
    <row r="1674" spans="1:23" ht="12.3" hidden="1" x14ac:dyDescent="0.4">
      <c r="A1674" s="2" t="s">
        <v>23</v>
      </c>
      <c r="B1674" s="2"/>
      <c r="C1674" s="2"/>
      <c r="D1674" s="2"/>
      <c r="E1674" s="2"/>
      <c r="F1674" s="2"/>
      <c r="G1674" s="2"/>
      <c r="H1674" s="2"/>
      <c r="I1674" s="2">
        <v>71.2637</v>
      </c>
      <c r="J1674" s="2">
        <v>42</v>
      </c>
      <c r="K1674" s="2">
        <v>71.552800000000005</v>
      </c>
      <c r="L1674" s="2">
        <v>29</v>
      </c>
      <c r="M1674" s="2">
        <v>106.20189999999999</v>
      </c>
      <c r="N1674" s="2">
        <v>96</v>
      </c>
      <c r="O1674" s="2">
        <v>109.1212</v>
      </c>
      <c r="P1674" s="2">
        <v>64</v>
      </c>
      <c r="Q1674" s="2">
        <v>95.166600000000003</v>
      </c>
      <c r="R1674" s="2">
        <v>35</v>
      </c>
      <c r="S1674" s="2">
        <v>93.924000000000007</v>
      </c>
      <c r="T1674" s="2">
        <v>28</v>
      </c>
      <c r="U1674" s="2">
        <v>0.84873200000000004</v>
      </c>
      <c r="V1674" s="2">
        <v>29</v>
      </c>
      <c r="W1674" s="2">
        <v>2007</v>
      </c>
    </row>
    <row r="1675" spans="1:23" ht="12.3" hidden="1" x14ac:dyDescent="0.4">
      <c r="A1675" s="2" t="s">
        <v>24</v>
      </c>
      <c r="B1675" s="2"/>
      <c r="C1675" s="2"/>
      <c r="D1675" s="2"/>
      <c r="E1675" s="2"/>
      <c r="F1675" s="2"/>
      <c r="G1675" s="2"/>
      <c r="H1675" s="2"/>
      <c r="I1675" s="2">
        <v>67.899100000000004</v>
      </c>
      <c r="J1675" s="2">
        <v>117</v>
      </c>
      <c r="K1675" s="2">
        <v>66.934899999999999</v>
      </c>
      <c r="L1675" s="2">
        <v>157</v>
      </c>
      <c r="M1675" s="2">
        <v>107.5578</v>
      </c>
      <c r="N1675" s="2">
        <v>70</v>
      </c>
      <c r="O1675" s="2">
        <v>108.9881</v>
      </c>
      <c r="P1675" s="2">
        <v>66</v>
      </c>
      <c r="Q1675" s="2">
        <v>96.014099999999999</v>
      </c>
      <c r="R1675" s="2">
        <v>44</v>
      </c>
      <c r="S1675" s="2">
        <v>93.913600000000002</v>
      </c>
      <c r="T1675" s="2">
        <v>27</v>
      </c>
      <c r="U1675" s="2">
        <v>0.84708700000000003</v>
      </c>
      <c r="V1675" s="2">
        <v>30</v>
      </c>
      <c r="W1675" s="2">
        <v>2007</v>
      </c>
    </row>
    <row r="1676" spans="1:23" ht="12.3" x14ac:dyDescent="0.4">
      <c r="A1676" s="2" t="s">
        <v>99</v>
      </c>
      <c r="B1676" s="2">
        <v>6</v>
      </c>
      <c r="C1676" s="3" t="s">
        <v>33</v>
      </c>
      <c r="D1676" s="2"/>
      <c r="E1676" s="2"/>
      <c r="F1676" s="2"/>
      <c r="G1676" s="2"/>
      <c r="H1676" s="2"/>
      <c r="I1676" s="2">
        <v>60.4955</v>
      </c>
      <c r="J1676" s="2">
        <v>330</v>
      </c>
      <c r="K1676" s="2">
        <v>60.131999999999998</v>
      </c>
      <c r="L1676" s="2">
        <v>333</v>
      </c>
      <c r="M1676" s="2">
        <v>113.4389</v>
      </c>
      <c r="N1676" s="2">
        <v>9</v>
      </c>
      <c r="O1676" s="2">
        <v>115.7012</v>
      </c>
      <c r="P1676" s="2">
        <v>11</v>
      </c>
      <c r="Q1676" s="2">
        <v>97.994900000000001</v>
      </c>
      <c r="R1676" s="2">
        <v>94</v>
      </c>
      <c r="S1676" s="2">
        <v>95.302099999999996</v>
      </c>
      <c r="T1676" s="2">
        <v>47</v>
      </c>
      <c r="U1676" s="2">
        <v>0.90295800000000004</v>
      </c>
      <c r="V1676" s="2">
        <v>17</v>
      </c>
      <c r="W1676" s="2">
        <v>2009</v>
      </c>
    </row>
    <row r="1677" spans="1:23" ht="12.3" hidden="1" x14ac:dyDescent="0.4">
      <c r="A1677" s="2" t="s">
        <v>48</v>
      </c>
      <c r="B1677" s="2"/>
      <c r="C1677" s="2"/>
      <c r="D1677" s="2"/>
      <c r="E1677" s="2"/>
      <c r="F1677" s="2"/>
      <c r="G1677" s="2"/>
      <c r="H1677" s="2"/>
      <c r="I1677" s="2">
        <v>69.942599999999999</v>
      </c>
      <c r="J1677" s="2">
        <v>68</v>
      </c>
      <c r="K1677" s="2">
        <v>69.580100000000002</v>
      </c>
      <c r="L1677" s="2">
        <v>66</v>
      </c>
      <c r="M1677" s="2">
        <v>108.3004</v>
      </c>
      <c r="N1677" s="2">
        <v>57</v>
      </c>
      <c r="O1677" s="2">
        <v>111.4723</v>
      </c>
      <c r="P1677" s="2">
        <v>37</v>
      </c>
      <c r="Q1677" s="2">
        <v>97.769900000000007</v>
      </c>
      <c r="R1677" s="2">
        <v>70</v>
      </c>
      <c r="S1677" s="2">
        <v>96.097899999999996</v>
      </c>
      <c r="T1677" s="2">
        <v>48</v>
      </c>
      <c r="U1677" s="2">
        <v>0.84640700000000002</v>
      </c>
      <c r="V1677" s="2">
        <v>32</v>
      </c>
      <c r="W1677" s="2">
        <v>2007</v>
      </c>
    </row>
    <row r="1678" spans="1:23" ht="12.3" x14ac:dyDescent="0.4">
      <c r="A1678" s="2" t="s">
        <v>78</v>
      </c>
      <c r="B1678" s="2">
        <v>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2"/>
      <c r="H1678" s="2"/>
      <c r="I1678" s="2">
        <v>69.127899999999997</v>
      </c>
      <c r="J1678" s="2">
        <v>79</v>
      </c>
      <c r="K1678" s="2">
        <v>68.4696</v>
      </c>
      <c r="L1678" s="2">
        <v>86</v>
      </c>
      <c r="M1678" s="2">
        <v>109.9945</v>
      </c>
      <c r="N1678" s="2">
        <v>29</v>
      </c>
      <c r="O1678" s="2">
        <v>111.9937</v>
      </c>
      <c r="P1678" s="2">
        <v>30</v>
      </c>
      <c r="Q1678" s="2">
        <v>95.776799999999994</v>
      </c>
      <c r="R1678" s="2">
        <v>51</v>
      </c>
      <c r="S1678" s="2">
        <v>92.271699999999996</v>
      </c>
      <c r="T1678" s="2">
        <v>17</v>
      </c>
      <c r="U1678" s="2">
        <v>0.902702</v>
      </c>
      <c r="V1678" s="2">
        <v>18</v>
      </c>
      <c r="W1678" s="2">
        <v>2009</v>
      </c>
    </row>
    <row r="1679" spans="1:23" ht="12.3" hidden="1" x14ac:dyDescent="0.4">
      <c r="A1679" s="2" t="s">
        <v>20</v>
      </c>
      <c r="B1679" s="2"/>
      <c r="C1679" s="2"/>
      <c r="D1679" s="2"/>
      <c r="E1679" s="2"/>
      <c r="F1679" s="2"/>
      <c r="G1679" s="2"/>
      <c r="H1679" s="2"/>
      <c r="I1679" s="2">
        <v>67.877499999999998</v>
      </c>
      <c r="J1679" s="2">
        <v>118</v>
      </c>
      <c r="K1679" s="2">
        <v>66.977900000000005</v>
      </c>
      <c r="L1679" s="2">
        <v>156</v>
      </c>
      <c r="M1679" s="2">
        <v>108.8438</v>
      </c>
      <c r="N1679" s="2">
        <v>50</v>
      </c>
      <c r="O1679" s="2">
        <v>113.3839</v>
      </c>
      <c r="P1679" s="2">
        <v>20</v>
      </c>
      <c r="Q1679" s="2">
        <v>101.41459999999999</v>
      </c>
      <c r="R1679" s="2">
        <v>150</v>
      </c>
      <c r="S1679" s="2">
        <v>97.953900000000004</v>
      </c>
      <c r="T1679" s="2">
        <v>70</v>
      </c>
      <c r="U1679" s="2">
        <v>0.84320200000000001</v>
      </c>
      <c r="V1679" s="2">
        <v>34</v>
      </c>
      <c r="W1679" s="2">
        <v>2007</v>
      </c>
    </row>
    <row r="1680" spans="1:23" ht="12.3" hidden="1" x14ac:dyDescent="0.4">
      <c r="A1680" s="2" t="s">
        <v>204</v>
      </c>
      <c r="B1680" s="2"/>
      <c r="C1680" s="2"/>
      <c r="D1680" s="2"/>
      <c r="E1680" s="2"/>
      <c r="F1680" s="2"/>
      <c r="G1680" s="2"/>
      <c r="H1680" s="2"/>
      <c r="I1680" s="2">
        <v>59.15</v>
      </c>
      <c r="J1680" s="2">
        <v>331</v>
      </c>
      <c r="K1680" s="2">
        <v>58.307000000000002</v>
      </c>
      <c r="L1680" s="2">
        <v>332</v>
      </c>
      <c r="M1680" s="2">
        <v>115.8648</v>
      </c>
      <c r="N1680" s="2">
        <v>3</v>
      </c>
      <c r="O1680" s="2">
        <v>111.81489999999999</v>
      </c>
      <c r="P1680" s="2">
        <v>34</v>
      </c>
      <c r="Q1680" s="2">
        <v>96.340800000000002</v>
      </c>
      <c r="R1680" s="2">
        <v>48</v>
      </c>
      <c r="S1680" s="2">
        <v>96.627499999999998</v>
      </c>
      <c r="T1680" s="2">
        <v>56</v>
      </c>
      <c r="U1680" s="2">
        <v>0.84274499999999997</v>
      </c>
      <c r="V1680" s="2">
        <v>35</v>
      </c>
      <c r="W1680" s="2">
        <v>2007</v>
      </c>
    </row>
    <row r="1681" spans="1:23" ht="12.3" hidden="1" x14ac:dyDescent="0.4">
      <c r="A1681" s="2" t="s">
        <v>22</v>
      </c>
      <c r="B1681" s="2"/>
      <c r="C1681" s="2"/>
      <c r="D1681" s="2"/>
      <c r="E1681" s="2"/>
      <c r="F1681" s="2"/>
      <c r="G1681" s="2"/>
      <c r="H1681" s="2"/>
      <c r="I1681" s="2">
        <v>66.683199999999999</v>
      </c>
      <c r="J1681" s="2">
        <v>175</v>
      </c>
      <c r="K1681" s="2">
        <v>68.596199999999996</v>
      </c>
      <c r="L1681" s="2">
        <v>98</v>
      </c>
      <c r="M1681" s="2">
        <v>109.2308</v>
      </c>
      <c r="N1681" s="2">
        <v>45</v>
      </c>
      <c r="O1681" s="2">
        <v>109.92449999999999</v>
      </c>
      <c r="P1681" s="2">
        <v>55</v>
      </c>
      <c r="Q1681" s="2">
        <v>97.279700000000005</v>
      </c>
      <c r="R1681" s="2">
        <v>66</v>
      </c>
      <c r="S1681" s="2">
        <v>95.239900000000006</v>
      </c>
      <c r="T1681" s="2">
        <v>41</v>
      </c>
      <c r="U1681" s="2">
        <v>0.83875999999999995</v>
      </c>
      <c r="V1681" s="2">
        <v>36</v>
      </c>
      <c r="W1681" s="2">
        <v>2007</v>
      </c>
    </row>
    <row r="1682" spans="1:23" ht="12.3" x14ac:dyDescent="0.4">
      <c r="A1682" s="2" t="s">
        <v>96</v>
      </c>
      <c r="B1682" s="2">
        <v>8</v>
      </c>
      <c r="C1682" s="2"/>
      <c r="D1682" s="2"/>
      <c r="E1682" s="2"/>
      <c r="F1682" s="2"/>
      <c r="G1682" s="2"/>
      <c r="H1682" s="2"/>
      <c r="I1682" s="2">
        <v>68.725399999999993</v>
      </c>
      <c r="J1682" s="2">
        <v>94</v>
      </c>
      <c r="K1682" s="2">
        <v>69.983900000000006</v>
      </c>
      <c r="L1682" s="2">
        <v>44</v>
      </c>
      <c r="M1682" s="2">
        <v>111.8682</v>
      </c>
      <c r="N1682" s="2">
        <v>17</v>
      </c>
      <c r="O1682" s="2">
        <v>113.0282</v>
      </c>
      <c r="P1682" s="2">
        <v>19</v>
      </c>
      <c r="Q1682" s="2">
        <v>93.682299999999998</v>
      </c>
      <c r="R1682" s="2">
        <v>22</v>
      </c>
      <c r="S1682" s="2">
        <v>93.548599999999993</v>
      </c>
      <c r="T1682" s="2">
        <v>30</v>
      </c>
      <c r="U1682" s="2">
        <v>0.89800899999999995</v>
      </c>
      <c r="V1682" s="2">
        <v>19</v>
      </c>
      <c r="W1682" s="2">
        <v>2009</v>
      </c>
    </row>
    <row r="1683" spans="1:23" ht="12.3" x14ac:dyDescent="0.4">
      <c r="A1683" s="2" t="s">
        <v>39</v>
      </c>
      <c r="B1683" s="2">
        <v>6</v>
      </c>
      <c r="C1683" s="3" t="s">
        <v>33</v>
      </c>
      <c r="D1683" s="2"/>
      <c r="E1683" s="2"/>
      <c r="F1683" s="2"/>
      <c r="G1683" s="2"/>
      <c r="H1683" s="2"/>
      <c r="I1683" s="2">
        <v>69.515600000000006</v>
      </c>
      <c r="J1683" s="2">
        <v>67</v>
      </c>
      <c r="K1683" s="2">
        <v>68.781099999999995</v>
      </c>
      <c r="L1683" s="2">
        <v>75</v>
      </c>
      <c r="M1683" s="2">
        <v>113.11150000000001</v>
      </c>
      <c r="N1683" s="2">
        <v>11</v>
      </c>
      <c r="O1683" s="2">
        <v>116.1857</v>
      </c>
      <c r="P1683" s="2">
        <v>9</v>
      </c>
      <c r="Q1683" s="2">
        <v>98.9559</v>
      </c>
      <c r="R1683" s="2">
        <v>113</v>
      </c>
      <c r="S1683" s="2">
        <v>96.541799999999995</v>
      </c>
      <c r="T1683" s="2">
        <v>63</v>
      </c>
      <c r="U1683" s="2">
        <v>0.89378100000000005</v>
      </c>
      <c r="V1683" s="2">
        <v>20</v>
      </c>
      <c r="W1683" s="2">
        <v>2009</v>
      </c>
    </row>
    <row r="1684" spans="1:23" ht="12.3" x14ac:dyDescent="0.4">
      <c r="A1684" s="2" t="s">
        <v>61</v>
      </c>
      <c r="B1684" s="2">
        <v>4</v>
      </c>
      <c r="C1684" s="25"/>
      <c r="D1684" s="25"/>
      <c r="E1684" s="2"/>
      <c r="F1684" s="2"/>
      <c r="G1684" s="2"/>
      <c r="H1684" s="2"/>
      <c r="I1684" s="2">
        <v>75.325800000000001</v>
      </c>
      <c r="J1684" s="2">
        <v>6</v>
      </c>
      <c r="K1684" s="2">
        <v>73.388800000000003</v>
      </c>
      <c r="L1684" s="2">
        <v>10</v>
      </c>
      <c r="M1684" s="2">
        <v>107.883</v>
      </c>
      <c r="N1684" s="2">
        <v>62</v>
      </c>
      <c r="O1684" s="2">
        <v>109.7782</v>
      </c>
      <c r="P1684" s="2">
        <v>45</v>
      </c>
      <c r="Q1684" s="2">
        <v>93.201999999999998</v>
      </c>
      <c r="R1684" s="2">
        <v>18</v>
      </c>
      <c r="S1684" s="2">
        <v>92.031700000000001</v>
      </c>
      <c r="T1684" s="2">
        <v>16</v>
      </c>
      <c r="U1684" s="2">
        <v>0.883683</v>
      </c>
      <c r="V1684" s="2">
        <v>21</v>
      </c>
      <c r="W1684" s="2">
        <v>2009</v>
      </c>
    </row>
    <row r="1685" spans="1:23" ht="12.3" x14ac:dyDescent="0.4">
      <c r="A1685" s="2" t="s">
        <v>24</v>
      </c>
      <c r="B1685" s="2">
        <v>7</v>
      </c>
      <c r="C1685" s="25"/>
      <c r="D1685" s="2"/>
      <c r="E1685" s="2"/>
      <c r="F1685" s="2"/>
      <c r="G1685" s="2"/>
      <c r="H1685" s="2"/>
      <c r="I1685" s="2">
        <v>70.428600000000003</v>
      </c>
      <c r="J1685" s="2">
        <v>43</v>
      </c>
      <c r="K1685" s="2">
        <v>69.061000000000007</v>
      </c>
      <c r="L1685" s="2">
        <v>65</v>
      </c>
      <c r="M1685" s="2">
        <v>111.9457</v>
      </c>
      <c r="N1685" s="2">
        <v>16</v>
      </c>
      <c r="O1685" s="2">
        <v>116.2067</v>
      </c>
      <c r="P1685" s="2">
        <v>8</v>
      </c>
      <c r="Q1685" s="2">
        <v>96.069199999999995</v>
      </c>
      <c r="R1685" s="2">
        <v>56</v>
      </c>
      <c r="S1685" s="2">
        <v>97.548699999999997</v>
      </c>
      <c r="T1685" s="2">
        <v>78</v>
      </c>
      <c r="U1685" s="2">
        <v>0.88212599999999997</v>
      </c>
      <c r="V1685" s="2">
        <v>22</v>
      </c>
      <c r="W1685" s="2">
        <v>2009</v>
      </c>
    </row>
    <row r="1686" spans="1:23" ht="12.3" x14ac:dyDescent="0.4">
      <c r="A1686" s="2" t="s">
        <v>44</v>
      </c>
      <c r="B1686" s="2">
        <v>5</v>
      </c>
      <c r="C1686" s="2"/>
      <c r="D1686" s="2"/>
      <c r="E1686" s="2"/>
      <c r="F1686" s="2"/>
      <c r="G1686" s="2"/>
      <c r="H1686" s="2"/>
      <c r="I1686" s="2">
        <v>62.714399999999998</v>
      </c>
      <c r="J1686" s="2">
        <v>296</v>
      </c>
      <c r="K1686" s="2">
        <v>63.569699999999997</v>
      </c>
      <c r="L1686" s="2">
        <v>283</v>
      </c>
      <c r="M1686" s="2">
        <v>102.06229999999999</v>
      </c>
      <c r="N1686" s="2">
        <v>163</v>
      </c>
      <c r="O1686" s="2">
        <v>103.9402</v>
      </c>
      <c r="P1686" s="2">
        <v>127</v>
      </c>
      <c r="Q1686" s="2">
        <v>89.974400000000003</v>
      </c>
      <c r="R1686" s="2">
        <v>6</v>
      </c>
      <c r="S1686" s="2">
        <v>87.626099999999994</v>
      </c>
      <c r="T1686" s="2">
        <v>4</v>
      </c>
      <c r="U1686" s="2">
        <v>0.87690800000000002</v>
      </c>
      <c r="V1686" s="2">
        <v>23</v>
      </c>
      <c r="W1686" s="2">
        <v>2009</v>
      </c>
    </row>
    <row r="1687" spans="1:23" ht="12.3" hidden="1" x14ac:dyDescent="0.4">
      <c r="A1687" s="2" t="s">
        <v>256</v>
      </c>
      <c r="B1687" s="2"/>
      <c r="C1687" s="2"/>
      <c r="D1687" s="2"/>
      <c r="E1687" s="2"/>
      <c r="F1687" s="2"/>
      <c r="G1687" s="2"/>
      <c r="H1687" s="2"/>
      <c r="I1687" s="2">
        <v>65.040400000000005</v>
      </c>
      <c r="J1687" s="2">
        <v>239</v>
      </c>
      <c r="K1687" s="2">
        <v>64.620999999999995</v>
      </c>
      <c r="L1687" s="2">
        <v>249</v>
      </c>
      <c r="M1687" s="2">
        <v>113.73480000000001</v>
      </c>
      <c r="N1687" s="2">
        <v>13</v>
      </c>
      <c r="O1687" s="2">
        <v>113.0235</v>
      </c>
      <c r="P1687" s="2">
        <v>26</v>
      </c>
      <c r="Q1687" s="2">
        <v>94.738200000000006</v>
      </c>
      <c r="R1687" s="2">
        <v>26</v>
      </c>
      <c r="S1687" s="2">
        <v>98.462999999999994</v>
      </c>
      <c r="T1687" s="2">
        <v>85</v>
      </c>
      <c r="U1687" s="2">
        <v>0.83005600000000002</v>
      </c>
      <c r="V1687" s="2">
        <v>42</v>
      </c>
      <c r="W1687" s="2">
        <v>2007</v>
      </c>
    </row>
    <row r="1688" spans="1:23" ht="12.3" hidden="1" x14ac:dyDescent="0.4">
      <c r="A1688" s="2" t="s">
        <v>229</v>
      </c>
      <c r="B1688" s="2"/>
      <c r="C1688" s="2"/>
      <c r="D1688" s="2"/>
      <c r="E1688" s="2"/>
      <c r="F1688" s="2"/>
      <c r="G1688" s="2"/>
      <c r="H1688" s="2"/>
      <c r="I1688" s="2">
        <v>63.329599999999999</v>
      </c>
      <c r="J1688" s="2">
        <v>288</v>
      </c>
      <c r="K1688" s="2">
        <v>63.594999999999999</v>
      </c>
      <c r="L1688" s="2">
        <v>291</v>
      </c>
      <c r="M1688" s="2">
        <v>111.74760000000001</v>
      </c>
      <c r="N1688" s="2">
        <v>24</v>
      </c>
      <c r="O1688" s="2">
        <v>114.16719999999999</v>
      </c>
      <c r="P1688" s="2">
        <v>16</v>
      </c>
      <c r="Q1688" s="2">
        <v>97.7804</v>
      </c>
      <c r="R1688" s="2">
        <v>71</v>
      </c>
      <c r="S1688" s="2">
        <v>99.608900000000006</v>
      </c>
      <c r="T1688" s="2">
        <v>102</v>
      </c>
      <c r="U1688" s="2">
        <v>0.82760500000000004</v>
      </c>
      <c r="V1688" s="2">
        <v>43</v>
      </c>
      <c r="W1688" s="2">
        <v>2007</v>
      </c>
    </row>
    <row r="1689" spans="1:23" ht="12.3" x14ac:dyDescent="0.4">
      <c r="A1689" s="2" t="s">
        <v>50</v>
      </c>
      <c r="B1689" s="2">
        <v>4</v>
      </c>
      <c r="C1689" s="3" t="s">
        <v>33</v>
      </c>
      <c r="D1689" s="3" t="s">
        <v>33</v>
      </c>
      <c r="E1689" s="2"/>
      <c r="F1689" s="2"/>
      <c r="G1689" s="2"/>
      <c r="H1689" s="2"/>
      <c r="I1689" s="2">
        <v>67.121499999999997</v>
      </c>
      <c r="J1689" s="2">
        <v>137</v>
      </c>
      <c r="K1689" s="2">
        <v>66.871899999999997</v>
      </c>
      <c r="L1689" s="2">
        <v>148</v>
      </c>
      <c r="M1689" s="2">
        <v>107.5317</v>
      </c>
      <c r="N1689" s="2">
        <v>73</v>
      </c>
      <c r="O1689" s="2">
        <v>109.4507</v>
      </c>
      <c r="P1689" s="2">
        <v>47</v>
      </c>
      <c r="Q1689" s="2">
        <v>92.569500000000005</v>
      </c>
      <c r="R1689" s="2">
        <v>13</v>
      </c>
      <c r="S1689" s="2">
        <v>92.388999999999996</v>
      </c>
      <c r="T1689" s="2">
        <v>18</v>
      </c>
      <c r="U1689" s="2">
        <v>0.87532200000000004</v>
      </c>
      <c r="V1689" s="2">
        <v>24</v>
      </c>
      <c r="W1689" s="2">
        <v>2009</v>
      </c>
    </row>
    <row r="1690" spans="1:23" ht="12.3" x14ac:dyDescent="0.4">
      <c r="A1690" s="2" t="s">
        <v>70</v>
      </c>
      <c r="B1690" s="2">
        <v>5</v>
      </c>
      <c r="C1690" s="25"/>
      <c r="D1690" s="2"/>
      <c r="E1690" s="2"/>
      <c r="F1690" s="2"/>
      <c r="G1690" s="2"/>
      <c r="H1690" s="2"/>
      <c r="I1690" s="2">
        <v>65.098699999999994</v>
      </c>
      <c r="J1690" s="2">
        <v>222</v>
      </c>
      <c r="K1690" s="2">
        <v>65.399699999999996</v>
      </c>
      <c r="L1690" s="2">
        <v>217</v>
      </c>
      <c r="M1690" s="2">
        <v>107.8438</v>
      </c>
      <c r="N1690" s="2">
        <v>63</v>
      </c>
      <c r="O1690" s="2">
        <v>108.66759999999999</v>
      </c>
      <c r="P1690" s="2">
        <v>58</v>
      </c>
      <c r="Q1690" s="2">
        <v>96.354299999999995</v>
      </c>
      <c r="R1690" s="2">
        <v>63</v>
      </c>
      <c r="S1690" s="2">
        <v>91.935199999999995</v>
      </c>
      <c r="T1690" s="2">
        <v>15</v>
      </c>
      <c r="U1690" s="2">
        <v>0.87246299999999999</v>
      </c>
      <c r="V1690" s="2">
        <v>25</v>
      </c>
      <c r="W1690" s="2">
        <v>2009</v>
      </c>
    </row>
    <row r="1691" spans="1:23" ht="12.3" hidden="1" x14ac:dyDescent="0.4">
      <c r="A1691" s="2" t="s">
        <v>148</v>
      </c>
      <c r="B1691" s="2"/>
      <c r="C1691" s="2"/>
      <c r="D1691" s="2"/>
      <c r="E1691" s="2"/>
      <c r="F1691" s="2"/>
      <c r="G1691" s="2"/>
      <c r="H1691" s="2"/>
      <c r="I1691" s="2">
        <v>67.782200000000003</v>
      </c>
      <c r="J1691" s="2">
        <v>125</v>
      </c>
      <c r="K1691" s="2">
        <v>66.637299999999996</v>
      </c>
      <c r="L1691" s="2">
        <v>171</v>
      </c>
      <c r="M1691" s="2">
        <v>104.896</v>
      </c>
      <c r="N1691" s="2">
        <v>118</v>
      </c>
      <c r="O1691" s="2">
        <v>108.0851</v>
      </c>
      <c r="P1691" s="2">
        <v>74</v>
      </c>
      <c r="Q1691" s="2">
        <v>96.141300000000001</v>
      </c>
      <c r="R1691" s="2">
        <v>45</v>
      </c>
      <c r="S1691" s="2">
        <v>94.567099999999996</v>
      </c>
      <c r="T1691" s="2">
        <v>33</v>
      </c>
      <c r="U1691" s="2">
        <v>0.82295600000000002</v>
      </c>
      <c r="V1691" s="2">
        <v>46</v>
      </c>
      <c r="W1691" s="2">
        <v>2007</v>
      </c>
    </row>
    <row r="1692" spans="1:23" ht="12.3" x14ac:dyDescent="0.4">
      <c r="A1692" s="2" t="s">
        <v>76</v>
      </c>
      <c r="B1692" s="2">
        <v>12</v>
      </c>
      <c r="C1692" s="4" t="s">
        <v>33</v>
      </c>
      <c r="D1692" s="2"/>
      <c r="E1692" s="2"/>
      <c r="F1692" s="2"/>
      <c r="G1692" s="2"/>
      <c r="H1692" s="2"/>
      <c r="I1692" s="2">
        <v>58.725900000000003</v>
      </c>
      <c r="J1692" s="2">
        <v>341</v>
      </c>
      <c r="K1692" s="2">
        <v>59.915399999999998</v>
      </c>
      <c r="L1692" s="2">
        <v>334</v>
      </c>
      <c r="M1692" s="2">
        <v>108.59650000000001</v>
      </c>
      <c r="N1692" s="2">
        <v>51</v>
      </c>
      <c r="O1692" s="2">
        <v>112.1296</v>
      </c>
      <c r="P1692" s="2">
        <v>29</v>
      </c>
      <c r="Q1692" s="2">
        <v>99.506699999999995</v>
      </c>
      <c r="R1692" s="2">
        <v>121</v>
      </c>
      <c r="S1692" s="2">
        <v>95.770300000000006</v>
      </c>
      <c r="T1692" s="2">
        <v>56</v>
      </c>
      <c r="U1692" s="2">
        <v>0.85979399999999995</v>
      </c>
      <c r="V1692" s="2">
        <v>26</v>
      </c>
      <c r="W1692" s="2">
        <v>2009</v>
      </c>
    </row>
    <row r="1693" spans="1:23" ht="12.3" x14ac:dyDescent="0.4">
      <c r="A1693" s="2" t="s">
        <v>42</v>
      </c>
      <c r="B1693" s="2">
        <v>10</v>
      </c>
      <c r="C1693" s="4" t="s">
        <v>33</v>
      </c>
      <c r="D1693" s="2"/>
      <c r="E1693" s="2"/>
      <c r="F1693" s="2"/>
      <c r="G1693" s="2"/>
      <c r="H1693" s="2"/>
      <c r="I1693" s="2">
        <v>65.0779</v>
      </c>
      <c r="J1693" s="2">
        <v>224</v>
      </c>
      <c r="K1693" s="2">
        <v>64.627700000000004</v>
      </c>
      <c r="L1693" s="2">
        <v>247</v>
      </c>
      <c r="M1693" s="2">
        <v>104.59229999999999</v>
      </c>
      <c r="N1693" s="2">
        <v>115</v>
      </c>
      <c r="O1693" s="2">
        <v>108.0282</v>
      </c>
      <c r="P1693" s="2">
        <v>66</v>
      </c>
      <c r="Q1693" s="2">
        <v>97.586299999999994</v>
      </c>
      <c r="R1693" s="2">
        <v>88</v>
      </c>
      <c r="S1693" s="2">
        <v>92.493499999999997</v>
      </c>
      <c r="T1693" s="2">
        <v>20</v>
      </c>
      <c r="U1693" s="2">
        <v>0.85636500000000004</v>
      </c>
      <c r="V1693" s="2">
        <v>27</v>
      </c>
      <c r="W1693" s="2">
        <v>2009</v>
      </c>
    </row>
    <row r="1694" spans="1:23" ht="12.3" x14ac:dyDescent="0.4">
      <c r="A1694" s="2" t="s">
        <v>67</v>
      </c>
      <c r="B1694" s="2">
        <v>7</v>
      </c>
      <c r="C1694" s="3" t="s">
        <v>33</v>
      </c>
      <c r="D1694" s="2"/>
      <c r="E1694" s="2"/>
      <c r="F1694" s="2"/>
      <c r="G1694" s="2"/>
      <c r="H1694" s="2"/>
      <c r="I1694" s="2">
        <v>67.539100000000005</v>
      </c>
      <c r="J1694" s="2">
        <v>131</v>
      </c>
      <c r="K1694" s="2">
        <v>66.141099999999994</v>
      </c>
      <c r="L1694" s="2">
        <v>174</v>
      </c>
      <c r="M1694" s="2">
        <v>106.66589999999999</v>
      </c>
      <c r="N1694" s="2">
        <v>79</v>
      </c>
      <c r="O1694" s="2">
        <v>109.2162</v>
      </c>
      <c r="P1694" s="2">
        <v>51</v>
      </c>
      <c r="Q1694" s="2">
        <v>96.383399999999995</v>
      </c>
      <c r="R1694" s="2">
        <v>65</v>
      </c>
      <c r="S1694" s="2">
        <v>93.570899999999995</v>
      </c>
      <c r="T1694" s="2">
        <v>31</v>
      </c>
      <c r="U1694" s="2">
        <v>0.85545199999999999</v>
      </c>
      <c r="V1694" s="2">
        <v>28</v>
      </c>
      <c r="W1694" s="2">
        <v>2009</v>
      </c>
    </row>
    <row r="1695" spans="1:23" ht="12.3" x14ac:dyDescent="0.4">
      <c r="A1695" s="2" t="s">
        <v>57</v>
      </c>
      <c r="B1695" s="2">
        <v>7</v>
      </c>
      <c r="C1695" s="25"/>
      <c r="D1695" s="25"/>
      <c r="E1695" s="2"/>
      <c r="F1695" s="2"/>
      <c r="G1695" s="2"/>
      <c r="H1695" s="2"/>
      <c r="I1695" s="2">
        <v>66.184200000000004</v>
      </c>
      <c r="J1695" s="2">
        <v>175</v>
      </c>
      <c r="K1695" s="2">
        <v>67.169799999999995</v>
      </c>
      <c r="L1695" s="2">
        <v>135</v>
      </c>
      <c r="M1695" s="2">
        <v>112.23350000000001</v>
      </c>
      <c r="N1695" s="2">
        <v>14</v>
      </c>
      <c r="O1695" s="2">
        <v>115.70489999999999</v>
      </c>
      <c r="P1695" s="2">
        <v>10</v>
      </c>
      <c r="Q1695" s="2">
        <v>101.88979999999999</v>
      </c>
      <c r="R1695" s="2">
        <v>188</v>
      </c>
      <c r="S1695" s="2">
        <v>99.332800000000006</v>
      </c>
      <c r="T1695" s="2">
        <v>124</v>
      </c>
      <c r="U1695" s="2">
        <v>0.852522</v>
      </c>
      <c r="V1695" s="2">
        <v>29</v>
      </c>
      <c r="W1695" s="2">
        <v>2009</v>
      </c>
    </row>
    <row r="1696" spans="1:23" ht="12.3" x14ac:dyDescent="0.4">
      <c r="A1696" s="2" t="s">
        <v>20</v>
      </c>
      <c r="B1696" s="2">
        <v>5</v>
      </c>
      <c r="C1696" s="25"/>
      <c r="D1696" s="2"/>
      <c r="E1696" s="2"/>
      <c r="F1696" s="2"/>
      <c r="G1696" s="2"/>
      <c r="H1696" s="2"/>
      <c r="I1696" s="2">
        <v>68.257999999999996</v>
      </c>
      <c r="J1696" s="2">
        <v>104</v>
      </c>
      <c r="K1696" s="2">
        <v>66.983699999999999</v>
      </c>
      <c r="L1696" s="2">
        <v>144</v>
      </c>
      <c r="M1696" s="2">
        <v>100.44880000000001</v>
      </c>
      <c r="N1696" s="2">
        <v>187</v>
      </c>
      <c r="O1696" s="2">
        <v>104.7221</v>
      </c>
      <c r="P1696" s="2">
        <v>110</v>
      </c>
      <c r="Q1696" s="2">
        <v>94.917400000000001</v>
      </c>
      <c r="R1696" s="2">
        <v>41</v>
      </c>
      <c r="S1696" s="2">
        <v>89.948899999999995</v>
      </c>
      <c r="T1696" s="2">
        <v>6</v>
      </c>
      <c r="U1696" s="2">
        <v>0.85179899999999997</v>
      </c>
      <c r="V1696" s="2">
        <v>30</v>
      </c>
      <c r="W1696" s="2">
        <v>2009</v>
      </c>
    </row>
    <row r="1697" spans="1:23" ht="12.3" hidden="1" x14ac:dyDescent="0.4">
      <c r="A1697" s="2" t="s">
        <v>207</v>
      </c>
      <c r="B1697" s="2"/>
      <c r="C1697" s="2"/>
      <c r="D1697" s="2"/>
      <c r="E1697" s="2"/>
      <c r="F1697" s="2"/>
      <c r="G1697" s="2"/>
      <c r="H1697" s="2"/>
      <c r="I1697" s="2">
        <v>63.567500000000003</v>
      </c>
      <c r="J1697" s="2">
        <v>281</v>
      </c>
      <c r="K1697" s="2">
        <v>63.666600000000003</v>
      </c>
      <c r="L1697" s="2">
        <v>286</v>
      </c>
      <c r="M1697" s="2">
        <v>104.10209999999999</v>
      </c>
      <c r="N1697" s="2">
        <v>137</v>
      </c>
      <c r="O1697" s="2">
        <v>107.2029</v>
      </c>
      <c r="P1697" s="2">
        <v>87</v>
      </c>
      <c r="Q1697" s="2">
        <v>98.922600000000003</v>
      </c>
      <c r="R1697" s="2">
        <v>92</v>
      </c>
      <c r="S1697" s="2">
        <v>94.775400000000005</v>
      </c>
      <c r="T1697" s="2">
        <v>38</v>
      </c>
      <c r="U1697" s="2">
        <v>0.80486199999999997</v>
      </c>
      <c r="V1697" s="2">
        <v>52</v>
      </c>
      <c r="W1697" s="2">
        <v>2007</v>
      </c>
    </row>
    <row r="1698" spans="1:23" ht="12.3" x14ac:dyDescent="0.4">
      <c r="A1698" s="2" t="s">
        <v>72</v>
      </c>
      <c r="B1698" s="2">
        <v>8</v>
      </c>
      <c r="C1698" s="4" t="s">
        <v>33</v>
      </c>
      <c r="D1698" s="2"/>
      <c r="E1698" s="2"/>
      <c r="F1698" s="2"/>
      <c r="G1698" s="2"/>
      <c r="H1698" s="2"/>
      <c r="I1698" s="2">
        <v>72.418700000000001</v>
      </c>
      <c r="J1698" s="2">
        <v>16</v>
      </c>
      <c r="K1698" s="2">
        <v>70.432900000000004</v>
      </c>
      <c r="L1698" s="2">
        <v>34</v>
      </c>
      <c r="M1698" s="2">
        <v>111.4555</v>
      </c>
      <c r="N1698" s="2">
        <v>20</v>
      </c>
      <c r="O1698" s="2">
        <v>112.8104</v>
      </c>
      <c r="P1698" s="2">
        <v>22</v>
      </c>
      <c r="Q1698" s="2">
        <v>101.5167</v>
      </c>
      <c r="R1698" s="2">
        <v>176</v>
      </c>
      <c r="S1698" s="2">
        <v>96.962199999999996</v>
      </c>
      <c r="T1698" s="2">
        <v>68</v>
      </c>
      <c r="U1698" s="2">
        <v>0.85080699999999998</v>
      </c>
      <c r="V1698" s="2">
        <v>31</v>
      </c>
      <c r="W1698" s="2">
        <v>2009</v>
      </c>
    </row>
    <row r="1699" spans="1:23" ht="12.3" hidden="1" x14ac:dyDescent="0.4">
      <c r="A1699" s="2" t="s">
        <v>245</v>
      </c>
      <c r="B1699" s="2"/>
      <c r="C1699" s="2"/>
      <c r="D1699" s="2"/>
      <c r="E1699" s="2"/>
      <c r="F1699" s="2"/>
      <c r="G1699" s="2"/>
      <c r="H1699" s="2"/>
      <c r="I1699" s="2">
        <v>66.777699999999996</v>
      </c>
      <c r="J1699" s="2">
        <v>169</v>
      </c>
      <c r="K1699" s="2">
        <v>68.036299999999997</v>
      </c>
      <c r="L1699" s="2">
        <v>110</v>
      </c>
      <c r="M1699" s="2">
        <v>110.8404</v>
      </c>
      <c r="N1699" s="2">
        <v>33</v>
      </c>
      <c r="O1699" s="2">
        <v>113.0842</v>
      </c>
      <c r="P1699" s="2">
        <v>24</v>
      </c>
      <c r="Q1699" s="2">
        <v>104.49079999999999</v>
      </c>
      <c r="R1699" s="2">
        <v>213</v>
      </c>
      <c r="S1699" s="2">
        <v>100.361</v>
      </c>
      <c r="T1699" s="2">
        <v>117</v>
      </c>
      <c r="U1699" s="2">
        <v>0.79780499999999999</v>
      </c>
      <c r="V1699" s="2">
        <v>54</v>
      </c>
      <c r="W1699" s="2">
        <v>2007</v>
      </c>
    </row>
    <row r="1700" spans="1:23" ht="12.3" hidden="1" x14ac:dyDescent="0.4">
      <c r="A1700" s="2" t="s">
        <v>154</v>
      </c>
      <c r="B1700" s="2"/>
      <c r="C1700" s="2"/>
      <c r="D1700" s="2"/>
      <c r="E1700" s="2"/>
      <c r="F1700" s="2"/>
      <c r="G1700" s="2"/>
      <c r="H1700" s="2"/>
      <c r="I1700" s="2">
        <v>62.492800000000003</v>
      </c>
      <c r="J1700" s="2">
        <v>299</v>
      </c>
      <c r="K1700" s="2">
        <v>63.936300000000003</v>
      </c>
      <c r="L1700" s="2">
        <v>277</v>
      </c>
      <c r="M1700" s="2">
        <v>102.50530000000001</v>
      </c>
      <c r="N1700" s="2">
        <v>163</v>
      </c>
      <c r="O1700" s="2">
        <v>106.2491</v>
      </c>
      <c r="P1700" s="2">
        <v>100</v>
      </c>
      <c r="Q1700" s="2">
        <v>95.773600000000002</v>
      </c>
      <c r="R1700" s="2">
        <v>41</v>
      </c>
      <c r="S1700" s="2">
        <v>94.361099999999993</v>
      </c>
      <c r="T1700" s="2">
        <v>32</v>
      </c>
      <c r="U1700" s="2">
        <v>0.79649899999999996</v>
      </c>
      <c r="V1700" s="2">
        <v>55</v>
      </c>
      <c r="W1700" s="2">
        <v>2007</v>
      </c>
    </row>
    <row r="1701" spans="1:23" ht="12.3" hidden="1" x14ac:dyDescent="0.4">
      <c r="A1701" s="2" t="s">
        <v>19</v>
      </c>
      <c r="B1701" s="2"/>
      <c r="C1701" s="2"/>
      <c r="D1701" s="2"/>
      <c r="E1701" s="2"/>
      <c r="F1701" s="2"/>
      <c r="G1701" s="2"/>
      <c r="H1701" s="2"/>
      <c r="I1701" s="2">
        <v>69.314300000000003</v>
      </c>
      <c r="J1701" s="2">
        <v>84</v>
      </c>
      <c r="K1701" s="2">
        <v>67.755499999999998</v>
      </c>
      <c r="L1701" s="2">
        <v>122</v>
      </c>
      <c r="M1701" s="2">
        <v>106.70780000000001</v>
      </c>
      <c r="N1701" s="2">
        <v>86</v>
      </c>
      <c r="O1701" s="2">
        <v>107.69329999999999</v>
      </c>
      <c r="P1701" s="2">
        <v>81</v>
      </c>
      <c r="Q1701" s="2">
        <v>98.320700000000002</v>
      </c>
      <c r="R1701" s="2">
        <v>78</v>
      </c>
      <c r="S1701" s="2">
        <v>95.656300000000002</v>
      </c>
      <c r="T1701" s="2">
        <v>45</v>
      </c>
      <c r="U1701" s="2">
        <v>0.79625500000000005</v>
      </c>
      <c r="V1701" s="2">
        <v>56</v>
      </c>
      <c r="W1701" s="2">
        <v>2007</v>
      </c>
    </row>
    <row r="1702" spans="1:23" ht="12.3" hidden="1" x14ac:dyDescent="0.4">
      <c r="A1702" s="2" t="s">
        <v>155</v>
      </c>
      <c r="B1702" s="2"/>
      <c r="C1702" s="2"/>
      <c r="D1702" s="2"/>
      <c r="E1702" s="2"/>
      <c r="F1702" s="2"/>
      <c r="G1702" s="2"/>
      <c r="H1702" s="2"/>
      <c r="I1702" s="2">
        <v>71.363</v>
      </c>
      <c r="J1702" s="2">
        <v>39</v>
      </c>
      <c r="K1702" s="2">
        <v>71.828400000000002</v>
      </c>
      <c r="L1702" s="2">
        <v>26</v>
      </c>
      <c r="M1702" s="2">
        <v>107.315</v>
      </c>
      <c r="N1702" s="2">
        <v>78</v>
      </c>
      <c r="O1702" s="2">
        <v>106.0556</v>
      </c>
      <c r="P1702" s="2">
        <v>102</v>
      </c>
      <c r="Q1702" s="2">
        <v>94.426500000000004</v>
      </c>
      <c r="R1702" s="2">
        <v>22</v>
      </c>
      <c r="S1702" s="2">
        <v>94.238900000000001</v>
      </c>
      <c r="T1702" s="2">
        <v>30</v>
      </c>
      <c r="U1702" s="2">
        <v>0.79551499999999997</v>
      </c>
      <c r="V1702" s="2">
        <v>57</v>
      </c>
      <c r="W1702" s="2">
        <v>2007</v>
      </c>
    </row>
    <row r="1703" spans="1:23" ht="12.3" x14ac:dyDescent="0.4">
      <c r="A1703" s="2" t="s">
        <v>21</v>
      </c>
      <c r="B1703" s="2">
        <v>8</v>
      </c>
      <c r="C1703" s="25"/>
      <c r="D1703" s="25"/>
      <c r="E1703" s="2"/>
      <c r="F1703" s="2"/>
      <c r="G1703" s="2"/>
      <c r="H1703" s="2"/>
      <c r="I1703" s="2">
        <v>61.712299999999999</v>
      </c>
      <c r="J1703" s="2">
        <v>318</v>
      </c>
      <c r="K1703" s="2">
        <v>63.355899999999998</v>
      </c>
      <c r="L1703" s="2">
        <v>288</v>
      </c>
      <c r="M1703" s="2">
        <v>107.6511</v>
      </c>
      <c r="N1703" s="2">
        <v>69</v>
      </c>
      <c r="O1703" s="2">
        <v>113.0316</v>
      </c>
      <c r="P1703" s="2">
        <v>18</v>
      </c>
      <c r="Q1703" s="2">
        <v>99.724599999999995</v>
      </c>
      <c r="R1703" s="2">
        <v>131</v>
      </c>
      <c r="S1703" s="2">
        <v>97.763599999999997</v>
      </c>
      <c r="T1703" s="2">
        <v>84</v>
      </c>
      <c r="U1703" s="2">
        <v>0.84141999999999995</v>
      </c>
      <c r="V1703" s="2">
        <v>33</v>
      </c>
      <c r="W1703" s="2">
        <v>2009</v>
      </c>
    </row>
    <row r="1704" spans="1:23" ht="12.3" hidden="1" x14ac:dyDescent="0.4">
      <c r="A1704" s="2" t="s">
        <v>51</v>
      </c>
      <c r="B1704" s="2"/>
      <c r="C1704" s="2"/>
      <c r="D1704" s="2"/>
      <c r="E1704" s="2"/>
      <c r="F1704" s="2"/>
      <c r="G1704" s="2"/>
      <c r="H1704" s="2"/>
      <c r="I1704" s="2">
        <v>68.260199999999998</v>
      </c>
      <c r="J1704" s="2">
        <v>106</v>
      </c>
      <c r="K1704" s="2">
        <v>67.992500000000007</v>
      </c>
      <c r="L1704" s="2">
        <v>112</v>
      </c>
      <c r="M1704" s="2">
        <v>107.38290000000001</v>
      </c>
      <c r="N1704" s="2">
        <v>75</v>
      </c>
      <c r="O1704" s="2">
        <v>110.1097</v>
      </c>
      <c r="P1704" s="2">
        <v>51</v>
      </c>
      <c r="Q1704" s="2">
        <v>101.32899999999999</v>
      </c>
      <c r="R1704" s="2">
        <v>145</v>
      </c>
      <c r="S1704" s="2">
        <v>98.095399999999998</v>
      </c>
      <c r="T1704" s="2">
        <v>74</v>
      </c>
      <c r="U1704" s="2">
        <v>0.79062200000000005</v>
      </c>
      <c r="V1704" s="2">
        <v>59</v>
      </c>
      <c r="W1704" s="2">
        <v>2007</v>
      </c>
    </row>
    <row r="1705" spans="1:23" ht="12.3" x14ac:dyDescent="0.4">
      <c r="A1705" s="2" t="s">
        <v>18</v>
      </c>
      <c r="B1705" s="2">
        <v>9</v>
      </c>
      <c r="C1705" s="25"/>
      <c r="D1705" s="2"/>
      <c r="E1705" s="2"/>
      <c r="F1705" s="2"/>
      <c r="G1705" s="2"/>
      <c r="H1705" s="2"/>
      <c r="I1705" s="2">
        <v>62.612099999999998</v>
      </c>
      <c r="J1705" s="2">
        <v>298</v>
      </c>
      <c r="K1705" s="2">
        <v>63.422800000000002</v>
      </c>
      <c r="L1705" s="2">
        <v>286</v>
      </c>
      <c r="M1705" s="2">
        <v>106.91330000000001</v>
      </c>
      <c r="N1705" s="2">
        <v>78</v>
      </c>
      <c r="O1705" s="2">
        <v>108.4606</v>
      </c>
      <c r="P1705" s="2">
        <v>60</v>
      </c>
      <c r="Q1705" s="2">
        <v>92.915099999999995</v>
      </c>
      <c r="R1705" s="2">
        <v>15</v>
      </c>
      <c r="S1705" s="2">
        <v>94.121200000000002</v>
      </c>
      <c r="T1705" s="2">
        <v>36</v>
      </c>
      <c r="U1705" s="2">
        <v>0.83627200000000002</v>
      </c>
      <c r="V1705" s="2">
        <v>35</v>
      </c>
      <c r="W1705" s="2">
        <v>2009</v>
      </c>
    </row>
    <row r="1706" spans="1:23" ht="12.3" hidden="1" x14ac:dyDescent="0.4">
      <c r="A1706" s="2" t="s">
        <v>85</v>
      </c>
      <c r="B1706" s="2"/>
      <c r="C1706" s="2"/>
      <c r="D1706" s="2"/>
      <c r="E1706" s="2"/>
      <c r="F1706" s="2"/>
      <c r="G1706" s="2"/>
      <c r="H1706" s="2"/>
      <c r="I1706" s="2">
        <v>65.022999999999996</v>
      </c>
      <c r="J1706" s="2">
        <v>240</v>
      </c>
      <c r="K1706" s="2">
        <v>63.988999999999997</v>
      </c>
      <c r="L1706" s="2">
        <v>274</v>
      </c>
      <c r="M1706" s="2">
        <v>103.77970000000001</v>
      </c>
      <c r="N1706" s="2">
        <v>144</v>
      </c>
      <c r="O1706" s="2">
        <v>104.8035</v>
      </c>
      <c r="P1706" s="2">
        <v>132</v>
      </c>
      <c r="Q1706" s="2">
        <v>95.799700000000001</v>
      </c>
      <c r="R1706" s="2">
        <v>42</v>
      </c>
      <c r="S1706" s="2">
        <v>93.669200000000004</v>
      </c>
      <c r="T1706" s="2">
        <v>26</v>
      </c>
      <c r="U1706" s="2">
        <v>0.78442599999999996</v>
      </c>
      <c r="V1706" s="2">
        <v>61</v>
      </c>
      <c r="W1706" s="2">
        <v>2007</v>
      </c>
    </row>
    <row r="1707" spans="1:23" ht="12.3" hidden="1" x14ac:dyDescent="0.4">
      <c r="A1707" s="2" t="s">
        <v>210</v>
      </c>
      <c r="B1707" s="2"/>
      <c r="C1707" s="2"/>
      <c r="D1707" s="2"/>
      <c r="E1707" s="2"/>
      <c r="F1707" s="2"/>
      <c r="G1707" s="2"/>
      <c r="H1707" s="2"/>
      <c r="I1707" s="2">
        <v>64.703500000000005</v>
      </c>
      <c r="J1707" s="2">
        <v>253</v>
      </c>
      <c r="K1707" s="2">
        <v>65.249499999999998</v>
      </c>
      <c r="L1707" s="2">
        <v>224</v>
      </c>
      <c r="M1707" s="2">
        <v>101.72880000000001</v>
      </c>
      <c r="N1707" s="2">
        <v>174</v>
      </c>
      <c r="O1707" s="2">
        <v>102.0913</v>
      </c>
      <c r="P1707" s="2">
        <v>168</v>
      </c>
      <c r="Q1707" s="2">
        <v>93.368799999999993</v>
      </c>
      <c r="R1707" s="2">
        <v>17</v>
      </c>
      <c r="S1707" s="2">
        <v>91.276799999999994</v>
      </c>
      <c r="T1707" s="2">
        <v>11</v>
      </c>
      <c r="U1707" s="2">
        <v>0.78375099999999998</v>
      </c>
      <c r="V1707" s="2">
        <v>62</v>
      </c>
      <c r="W1707" s="2">
        <v>2007</v>
      </c>
    </row>
    <row r="1708" spans="1:23" ht="12.3" x14ac:dyDescent="0.4">
      <c r="A1708" s="2" t="s">
        <v>81</v>
      </c>
      <c r="B1708" s="2">
        <v>9</v>
      </c>
      <c r="C1708" s="2"/>
      <c r="D1708" s="2"/>
      <c r="E1708" s="2"/>
      <c r="F1708" s="2"/>
      <c r="G1708" s="2"/>
      <c r="H1708" s="2"/>
      <c r="I1708" s="2">
        <v>71.5625</v>
      </c>
      <c r="J1708" s="2">
        <v>27</v>
      </c>
      <c r="K1708" s="2">
        <v>68.968699999999998</v>
      </c>
      <c r="L1708" s="2">
        <v>67</v>
      </c>
      <c r="M1708" s="2">
        <v>109.1284</v>
      </c>
      <c r="N1708" s="2">
        <v>44</v>
      </c>
      <c r="O1708" s="2">
        <v>113.3582</v>
      </c>
      <c r="P1708" s="2">
        <v>17</v>
      </c>
      <c r="Q1708" s="2">
        <v>101.178</v>
      </c>
      <c r="R1708" s="2">
        <v>168</v>
      </c>
      <c r="S1708" s="2">
        <v>98.644999999999996</v>
      </c>
      <c r="T1708" s="2">
        <v>105</v>
      </c>
      <c r="U1708" s="2">
        <v>0.83184800000000003</v>
      </c>
      <c r="V1708" s="2">
        <v>36</v>
      </c>
      <c r="W1708" s="2">
        <v>2009</v>
      </c>
    </row>
    <row r="1709" spans="1:23" ht="12.3" hidden="1" x14ac:dyDescent="0.4">
      <c r="A1709" s="2" t="s">
        <v>73</v>
      </c>
      <c r="B1709" s="2"/>
      <c r="C1709" s="2"/>
      <c r="D1709" s="2"/>
      <c r="E1709" s="2"/>
      <c r="F1709" s="2"/>
      <c r="G1709" s="2"/>
      <c r="H1709" s="2"/>
      <c r="I1709" s="2">
        <v>73.013099999999994</v>
      </c>
      <c r="J1709" s="2">
        <v>17</v>
      </c>
      <c r="K1709" s="2">
        <v>72.782399999999996</v>
      </c>
      <c r="L1709" s="2">
        <v>12</v>
      </c>
      <c r="M1709" s="2">
        <v>105.9949</v>
      </c>
      <c r="N1709" s="2">
        <v>100</v>
      </c>
      <c r="O1709" s="2">
        <v>109.2624</v>
      </c>
      <c r="P1709" s="2">
        <v>62</v>
      </c>
      <c r="Q1709" s="2">
        <v>98.088399999999993</v>
      </c>
      <c r="R1709" s="2">
        <v>76</v>
      </c>
      <c r="S1709" s="2">
        <v>98.128799999999998</v>
      </c>
      <c r="T1709" s="2">
        <v>77</v>
      </c>
      <c r="U1709" s="2">
        <v>0.77485300000000001</v>
      </c>
      <c r="V1709" s="2">
        <v>64</v>
      </c>
      <c r="W1709" s="2">
        <v>2007</v>
      </c>
    </row>
    <row r="1710" spans="1:23" ht="12.3" hidden="1" x14ac:dyDescent="0.4">
      <c r="A1710" s="2" t="s">
        <v>38</v>
      </c>
      <c r="B1710" s="2"/>
      <c r="C1710" s="2"/>
      <c r="D1710" s="2"/>
      <c r="E1710" s="2"/>
      <c r="F1710" s="2"/>
      <c r="G1710" s="2"/>
      <c r="H1710" s="2"/>
      <c r="I1710" s="2">
        <v>64.410399999999996</v>
      </c>
      <c r="J1710" s="2">
        <v>259</v>
      </c>
      <c r="K1710" s="2">
        <v>63.370199999999997</v>
      </c>
      <c r="L1710" s="2">
        <v>294</v>
      </c>
      <c r="M1710" s="2">
        <v>103.54170000000001</v>
      </c>
      <c r="N1710" s="2">
        <v>149</v>
      </c>
      <c r="O1710" s="2">
        <v>104.8537</v>
      </c>
      <c r="P1710" s="2">
        <v>131</v>
      </c>
      <c r="Q1710" s="2">
        <v>93.123800000000003</v>
      </c>
      <c r="R1710" s="2">
        <v>15</v>
      </c>
      <c r="S1710" s="2">
        <v>94.194500000000005</v>
      </c>
      <c r="T1710" s="2">
        <v>29</v>
      </c>
      <c r="U1710" s="2">
        <v>0.77431700000000003</v>
      </c>
      <c r="V1710" s="2">
        <v>65</v>
      </c>
      <c r="W1710" s="2">
        <v>2007</v>
      </c>
    </row>
    <row r="1711" spans="1:23" ht="12.3" hidden="1" x14ac:dyDescent="0.4">
      <c r="A1711" s="2" t="s">
        <v>131</v>
      </c>
      <c r="B1711" s="2"/>
      <c r="C1711" s="2"/>
      <c r="D1711" s="2"/>
      <c r="E1711" s="2"/>
      <c r="F1711" s="2"/>
      <c r="G1711" s="2"/>
      <c r="H1711" s="2"/>
      <c r="I1711" s="2">
        <v>70.244100000000003</v>
      </c>
      <c r="J1711" s="2">
        <v>61</v>
      </c>
      <c r="K1711" s="2">
        <v>69.999799999999993</v>
      </c>
      <c r="L1711" s="2">
        <v>53</v>
      </c>
      <c r="M1711" s="2">
        <v>107.4345</v>
      </c>
      <c r="N1711" s="2">
        <v>73</v>
      </c>
      <c r="O1711" s="2">
        <v>110.44670000000001</v>
      </c>
      <c r="P1711" s="2">
        <v>46</v>
      </c>
      <c r="Q1711" s="2">
        <v>103.1698</v>
      </c>
      <c r="R1711" s="2">
        <v>191</v>
      </c>
      <c r="S1711" s="2">
        <v>99.620400000000004</v>
      </c>
      <c r="T1711" s="2">
        <v>103</v>
      </c>
      <c r="U1711" s="2">
        <v>0.76609899999999997</v>
      </c>
      <c r="V1711" s="2">
        <v>66</v>
      </c>
      <c r="W1711" s="2">
        <v>2007</v>
      </c>
    </row>
    <row r="1712" spans="1:23" ht="12.3" hidden="1" x14ac:dyDescent="0.4">
      <c r="A1712" s="2" t="s">
        <v>54</v>
      </c>
      <c r="B1712" s="2"/>
      <c r="C1712" s="2"/>
      <c r="D1712" s="2"/>
      <c r="E1712" s="2"/>
      <c r="F1712" s="2"/>
      <c r="G1712" s="2"/>
      <c r="H1712" s="2"/>
      <c r="I1712" s="2">
        <v>69.251900000000006</v>
      </c>
      <c r="J1712" s="2">
        <v>85</v>
      </c>
      <c r="K1712" s="2">
        <v>69.228300000000004</v>
      </c>
      <c r="L1712" s="2">
        <v>73</v>
      </c>
      <c r="M1712" s="2">
        <v>101.26739999999999</v>
      </c>
      <c r="N1712" s="2">
        <v>189</v>
      </c>
      <c r="O1712" s="2">
        <v>100.4577</v>
      </c>
      <c r="P1712" s="2">
        <v>198</v>
      </c>
      <c r="Q1712" s="2">
        <v>90.175299999999993</v>
      </c>
      <c r="R1712" s="2">
        <v>4</v>
      </c>
      <c r="S1712" s="2">
        <v>90.954999999999998</v>
      </c>
      <c r="T1712" s="2">
        <v>10</v>
      </c>
      <c r="U1712" s="2">
        <v>0.75818799999999997</v>
      </c>
      <c r="V1712" s="2">
        <v>67</v>
      </c>
      <c r="W1712" s="2">
        <v>2007</v>
      </c>
    </row>
    <row r="1713" spans="1:23" ht="12.3" hidden="1" x14ac:dyDescent="0.4">
      <c r="A1713" s="2" t="s">
        <v>253</v>
      </c>
      <c r="B1713" s="2"/>
      <c r="C1713" s="2"/>
      <c r="D1713" s="2"/>
      <c r="E1713" s="2"/>
      <c r="F1713" s="2"/>
      <c r="G1713" s="2"/>
      <c r="H1713" s="2"/>
      <c r="I1713" s="2">
        <v>67.329599999999999</v>
      </c>
      <c r="J1713" s="2">
        <v>142</v>
      </c>
      <c r="K1713" s="2">
        <v>67.404499999999999</v>
      </c>
      <c r="L1713" s="2">
        <v>131</v>
      </c>
      <c r="M1713" s="2">
        <v>109.8746</v>
      </c>
      <c r="N1713" s="2">
        <v>41</v>
      </c>
      <c r="O1713" s="2">
        <v>110.16330000000001</v>
      </c>
      <c r="P1713" s="2">
        <v>50</v>
      </c>
      <c r="Q1713" s="2">
        <v>99.959500000000006</v>
      </c>
      <c r="R1713" s="2">
        <v>116</v>
      </c>
      <c r="S1713" s="2">
        <v>99.799499999999995</v>
      </c>
      <c r="T1713" s="2">
        <v>109</v>
      </c>
      <c r="U1713" s="2">
        <v>0.75698100000000001</v>
      </c>
      <c r="V1713" s="2">
        <v>68</v>
      </c>
      <c r="W1713" s="2">
        <v>2007</v>
      </c>
    </row>
    <row r="1714" spans="1:23" ht="12.3" hidden="1" x14ac:dyDescent="0.4">
      <c r="A1714" s="2" t="s">
        <v>49</v>
      </c>
      <c r="B1714" s="2"/>
      <c r="C1714" s="2"/>
      <c r="D1714" s="2"/>
      <c r="E1714" s="2"/>
      <c r="F1714" s="2"/>
      <c r="G1714" s="2"/>
      <c r="H1714" s="2"/>
      <c r="I1714" s="2">
        <v>67.272599999999997</v>
      </c>
      <c r="J1714" s="2">
        <v>148</v>
      </c>
      <c r="K1714" s="2">
        <v>66.378699999999995</v>
      </c>
      <c r="L1714" s="2">
        <v>179</v>
      </c>
      <c r="M1714" s="2">
        <v>109.3852</v>
      </c>
      <c r="N1714" s="2">
        <v>44</v>
      </c>
      <c r="O1714" s="2">
        <v>111.3305</v>
      </c>
      <c r="P1714" s="2">
        <v>39</v>
      </c>
      <c r="Q1714" s="2">
        <v>102.27290000000001</v>
      </c>
      <c r="R1714" s="2">
        <v>167</v>
      </c>
      <c r="S1714" s="2">
        <v>100.86499999999999</v>
      </c>
      <c r="T1714" s="2">
        <v>133</v>
      </c>
      <c r="U1714" s="2">
        <v>0.75681399999999999</v>
      </c>
      <c r="V1714" s="2">
        <v>69</v>
      </c>
      <c r="W1714" s="2">
        <v>2007</v>
      </c>
    </row>
    <row r="1715" spans="1:23" ht="12.3" hidden="1" x14ac:dyDescent="0.4">
      <c r="A1715" s="2" t="s">
        <v>84</v>
      </c>
      <c r="B1715" s="2"/>
      <c r="C1715" s="2"/>
      <c r="D1715" s="2"/>
      <c r="E1715" s="2"/>
      <c r="F1715" s="2"/>
      <c r="G1715" s="2"/>
      <c r="H1715" s="2"/>
      <c r="I1715" s="2">
        <v>65.470200000000006</v>
      </c>
      <c r="J1715" s="2">
        <v>222</v>
      </c>
      <c r="K1715" s="2">
        <v>67.507099999999994</v>
      </c>
      <c r="L1715" s="2">
        <v>127</v>
      </c>
      <c r="M1715" s="2">
        <v>104.2299</v>
      </c>
      <c r="N1715" s="2">
        <v>136</v>
      </c>
      <c r="O1715" s="2">
        <v>108.357</v>
      </c>
      <c r="P1715" s="2">
        <v>73</v>
      </c>
      <c r="Q1715" s="2">
        <v>100.77030000000001</v>
      </c>
      <c r="R1715" s="2">
        <v>137</v>
      </c>
      <c r="S1715" s="2">
        <v>98.335599999999999</v>
      </c>
      <c r="T1715" s="2">
        <v>83</v>
      </c>
      <c r="U1715" s="2">
        <v>0.75324899999999995</v>
      </c>
      <c r="V1715" s="2">
        <v>70</v>
      </c>
      <c r="W1715" s="2">
        <v>2007</v>
      </c>
    </row>
    <row r="1716" spans="1:23" ht="12.3" x14ac:dyDescent="0.4">
      <c r="A1716" s="2" t="s">
        <v>75</v>
      </c>
      <c r="B1716" s="2">
        <v>10</v>
      </c>
      <c r="C1716" s="2"/>
      <c r="D1716" s="2"/>
      <c r="E1716" s="2"/>
      <c r="F1716" s="2"/>
      <c r="G1716" s="2"/>
      <c r="H1716" s="2"/>
      <c r="I1716" s="2">
        <v>63.649299999999997</v>
      </c>
      <c r="J1716" s="2">
        <v>277</v>
      </c>
      <c r="K1716" s="2">
        <v>65.376599999999996</v>
      </c>
      <c r="L1716" s="2">
        <v>218</v>
      </c>
      <c r="M1716" s="2">
        <v>103.44329999999999</v>
      </c>
      <c r="N1716" s="2">
        <v>136</v>
      </c>
      <c r="O1716" s="2">
        <v>105.0415</v>
      </c>
      <c r="P1716" s="2">
        <v>102</v>
      </c>
      <c r="Q1716" s="2">
        <v>95.924599999999998</v>
      </c>
      <c r="R1716" s="2">
        <v>53</v>
      </c>
      <c r="S1716" s="2">
        <v>91.428299999999993</v>
      </c>
      <c r="T1716" s="2">
        <v>13</v>
      </c>
      <c r="U1716" s="2">
        <v>0.831488</v>
      </c>
      <c r="V1716" s="2">
        <v>37</v>
      </c>
      <c r="W1716" s="2">
        <v>2009</v>
      </c>
    </row>
    <row r="1717" spans="1:23" ht="12.3" hidden="1" x14ac:dyDescent="0.4">
      <c r="A1717" s="2" t="s">
        <v>192</v>
      </c>
      <c r="B1717" s="2"/>
      <c r="C1717" s="2"/>
      <c r="D1717" s="2"/>
      <c r="E1717" s="2"/>
      <c r="F1717" s="2"/>
      <c r="G1717" s="2"/>
      <c r="H1717" s="2"/>
      <c r="I1717" s="2">
        <v>63.898699999999998</v>
      </c>
      <c r="J1717" s="2">
        <v>270</v>
      </c>
      <c r="K1717" s="2">
        <v>64.160499999999999</v>
      </c>
      <c r="L1717" s="2">
        <v>271</v>
      </c>
      <c r="M1717" s="2">
        <v>107.0399</v>
      </c>
      <c r="N1717" s="2">
        <v>81</v>
      </c>
      <c r="O1717" s="2">
        <v>107.65819999999999</v>
      </c>
      <c r="P1717" s="2">
        <v>82</v>
      </c>
      <c r="Q1717" s="2">
        <v>101.31870000000001</v>
      </c>
      <c r="R1717" s="2">
        <v>144</v>
      </c>
      <c r="S1717" s="2">
        <v>97.782200000000003</v>
      </c>
      <c r="T1717" s="2">
        <v>66</v>
      </c>
      <c r="U1717" s="2">
        <v>0.75147799999999998</v>
      </c>
      <c r="V1717" s="2">
        <v>72</v>
      </c>
      <c r="W1717" s="2">
        <v>2007</v>
      </c>
    </row>
    <row r="1718" spans="1:23" ht="12.3" hidden="1" x14ac:dyDescent="0.4">
      <c r="A1718" s="2" t="s">
        <v>66</v>
      </c>
      <c r="B1718" s="2"/>
      <c r="C1718" s="2"/>
      <c r="D1718" s="2"/>
      <c r="E1718" s="2"/>
      <c r="F1718" s="2"/>
      <c r="G1718" s="2"/>
      <c r="H1718" s="2"/>
      <c r="I1718" s="2">
        <v>71.023700000000005</v>
      </c>
      <c r="J1718" s="2">
        <v>44</v>
      </c>
      <c r="K1718" s="2">
        <v>70.408900000000003</v>
      </c>
      <c r="L1718" s="2">
        <v>47</v>
      </c>
      <c r="M1718" s="2">
        <v>101.62130000000001</v>
      </c>
      <c r="N1718" s="2">
        <v>180</v>
      </c>
      <c r="O1718" s="2">
        <v>101.6953</v>
      </c>
      <c r="P1718" s="2">
        <v>175</v>
      </c>
      <c r="Q1718" s="2">
        <v>93.544300000000007</v>
      </c>
      <c r="R1718" s="2">
        <v>18</v>
      </c>
      <c r="S1718" s="2">
        <v>92.731999999999999</v>
      </c>
      <c r="T1718" s="2">
        <v>20</v>
      </c>
      <c r="U1718" s="2">
        <v>0.74289700000000003</v>
      </c>
      <c r="V1718" s="2">
        <v>73</v>
      </c>
      <c r="W1718" s="2">
        <v>2007</v>
      </c>
    </row>
    <row r="1719" spans="1:23" ht="12.3" hidden="1" x14ac:dyDescent="0.4">
      <c r="A1719" s="2" t="s">
        <v>216</v>
      </c>
      <c r="B1719" s="2"/>
      <c r="C1719" s="2"/>
      <c r="D1719" s="2"/>
      <c r="E1719" s="2"/>
      <c r="F1719" s="2"/>
      <c r="G1719" s="2"/>
      <c r="H1719" s="2"/>
      <c r="I1719" s="2">
        <v>62.277099999999997</v>
      </c>
      <c r="J1719" s="2">
        <v>306</v>
      </c>
      <c r="K1719" s="2">
        <v>62.509799999999998</v>
      </c>
      <c r="L1719" s="2">
        <v>305</v>
      </c>
      <c r="M1719" s="2">
        <v>104.4383</v>
      </c>
      <c r="N1719" s="2">
        <v>129</v>
      </c>
      <c r="O1719" s="2">
        <v>105.9751</v>
      </c>
      <c r="P1719" s="2">
        <v>106</v>
      </c>
      <c r="Q1719" s="2">
        <v>100.72110000000001</v>
      </c>
      <c r="R1719" s="2">
        <v>135</v>
      </c>
      <c r="S1719" s="2">
        <v>96.717100000000002</v>
      </c>
      <c r="T1719" s="2">
        <v>57</v>
      </c>
      <c r="U1719" s="2">
        <v>0.74101799999999995</v>
      </c>
      <c r="V1719" s="2">
        <v>74</v>
      </c>
      <c r="W1719" s="2">
        <v>2007</v>
      </c>
    </row>
    <row r="1720" spans="1:23" ht="12.3" hidden="1" x14ac:dyDescent="0.4">
      <c r="A1720" s="2" t="s">
        <v>72</v>
      </c>
      <c r="B1720" s="2"/>
      <c r="C1720" s="2"/>
      <c r="D1720" s="2"/>
      <c r="E1720" s="2"/>
      <c r="F1720" s="2"/>
      <c r="G1720" s="2"/>
      <c r="H1720" s="2"/>
      <c r="I1720" s="2">
        <v>68.082400000000007</v>
      </c>
      <c r="J1720" s="2">
        <v>110</v>
      </c>
      <c r="K1720" s="2">
        <v>66.590400000000002</v>
      </c>
      <c r="L1720" s="2">
        <v>172</v>
      </c>
      <c r="M1720" s="2">
        <v>104.7244</v>
      </c>
      <c r="N1720" s="2">
        <v>122</v>
      </c>
      <c r="O1720" s="2">
        <v>106.364</v>
      </c>
      <c r="P1720" s="2">
        <v>97</v>
      </c>
      <c r="Q1720" s="2">
        <v>100.0536</v>
      </c>
      <c r="R1720" s="2">
        <v>118</v>
      </c>
      <c r="S1720" s="2">
        <v>97.091399999999993</v>
      </c>
      <c r="T1720" s="2">
        <v>59</v>
      </c>
      <c r="U1720" s="2">
        <v>0.74057799999999996</v>
      </c>
      <c r="V1720" s="2">
        <v>75</v>
      </c>
      <c r="W1720" s="2">
        <v>2007</v>
      </c>
    </row>
    <row r="1721" spans="1:23" ht="12.3" hidden="1" x14ac:dyDescent="0.4">
      <c r="A1721" s="2" t="s">
        <v>53</v>
      </c>
      <c r="B1721" s="2"/>
      <c r="C1721" s="2"/>
      <c r="D1721" s="2"/>
      <c r="E1721" s="2"/>
      <c r="F1721" s="2"/>
      <c r="G1721" s="2"/>
      <c r="H1721" s="2"/>
      <c r="I1721" s="2">
        <v>65.641000000000005</v>
      </c>
      <c r="J1721" s="2">
        <v>218</v>
      </c>
      <c r="K1721" s="2">
        <v>66.032700000000006</v>
      </c>
      <c r="L1721" s="2">
        <v>195</v>
      </c>
      <c r="M1721" s="2">
        <v>102.91849999999999</v>
      </c>
      <c r="N1721" s="2">
        <v>157</v>
      </c>
      <c r="O1721" s="2">
        <v>102.916</v>
      </c>
      <c r="P1721" s="2">
        <v>153</v>
      </c>
      <c r="Q1721" s="2">
        <v>94.594499999999996</v>
      </c>
      <c r="R1721" s="2">
        <v>25</v>
      </c>
      <c r="S1721" s="2">
        <v>94.2607</v>
      </c>
      <c r="T1721" s="2">
        <v>31</v>
      </c>
      <c r="U1721" s="2">
        <v>0.73307100000000003</v>
      </c>
      <c r="V1721" s="2">
        <v>76</v>
      </c>
      <c r="W1721" s="2">
        <v>2007</v>
      </c>
    </row>
    <row r="1722" spans="1:23" ht="12.3" hidden="1" x14ac:dyDescent="0.4">
      <c r="A1722" s="2" t="s">
        <v>55</v>
      </c>
      <c r="B1722" s="2"/>
      <c r="C1722" s="2"/>
      <c r="D1722" s="2"/>
      <c r="E1722" s="2"/>
      <c r="F1722" s="2"/>
      <c r="G1722" s="2"/>
      <c r="H1722" s="2"/>
      <c r="I1722" s="2">
        <v>67.638300000000001</v>
      </c>
      <c r="J1722" s="2">
        <v>130</v>
      </c>
      <c r="K1722" s="2">
        <v>66.890799999999999</v>
      </c>
      <c r="L1722" s="2">
        <v>158</v>
      </c>
      <c r="M1722" s="2">
        <v>105.9594</v>
      </c>
      <c r="N1722" s="2">
        <v>101</v>
      </c>
      <c r="O1722" s="2">
        <v>110.9764</v>
      </c>
      <c r="P1722" s="2">
        <v>44</v>
      </c>
      <c r="Q1722" s="2">
        <v>105.9524</v>
      </c>
      <c r="R1722" s="2">
        <v>253</v>
      </c>
      <c r="S1722" s="2">
        <v>101.6788</v>
      </c>
      <c r="T1722" s="2">
        <v>152</v>
      </c>
      <c r="U1722" s="2">
        <v>0.73228300000000002</v>
      </c>
      <c r="V1722" s="2">
        <v>77</v>
      </c>
      <c r="W1722" s="2">
        <v>2007</v>
      </c>
    </row>
    <row r="1723" spans="1:23" ht="12.3" hidden="1" x14ac:dyDescent="0.4">
      <c r="A1723" s="2" t="s">
        <v>120</v>
      </c>
      <c r="B1723" s="2"/>
      <c r="C1723" s="2"/>
      <c r="D1723" s="2"/>
      <c r="E1723" s="2"/>
      <c r="F1723" s="2"/>
      <c r="G1723" s="2"/>
      <c r="H1723" s="2"/>
      <c r="I1723" s="2">
        <v>69.960400000000007</v>
      </c>
      <c r="J1723" s="2">
        <v>67</v>
      </c>
      <c r="K1723" s="2">
        <v>69.854600000000005</v>
      </c>
      <c r="L1723" s="2">
        <v>57</v>
      </c>
      <c r="M1723" s="2">
        <v>108.253</v>
      </c>
      <c r="N1723" s="2">
        <v>58</v>
      </c>
      <c r="O1723" s="2">
        <v>109.39230000000001</v>
      </c>
      <c r="P1723" s="2">
        <v>61</v>
      </c>
      <c r="Q1723" s="2">
        <v>101.81100000000001</v>
      </c>
      <c r="R1723" s="2">
        <v>160</v>
      </c>
      <c r="S1723" s="2">
        <v>100.4335</v>
      </c>
      <c r="T1723" s="2">
        <v>118</v>
      </c>
      <c r="U1723" s="2">
        <v>0.72762700000000002</v>
      </c>
      <c r="V1723" s="2">
        <v>78</v>
      </c>
      <c r="W1723" s="2">
        <v>2007</v>
      </c>
    </row>
    <row r="1724" spans="1:23" ht="12.3" hidden="1" x14ac:dyDescent="0.4">
      <c r="A1724" s="2" t="s">
        <v>217</v>
      </c>
      <c r="B1724" s="2"/>
      <c r="C1724" s="2"/>
      <c r="D1724" s="2"/>
      <c r="E1724" s="2"/>
      <c r="F1724" s="2"/>
      <c r="G1724" s="2"/>
      <c r="H1724" s="2"/>
      <c r="I1724" s="2">
        <v>65.0642</v>
      </c>
      <c r="J1724" s="2">
        <v>235</v>
      </c>
      <c r="K1724" s="2">
        <v>64.323300000000003</v>
      </c>
      <c r="L1724" s="2">
        <v>263</v>
      </c>
      <c r="M1724" s="2">
        <v>104.3022</v>
      </c>
      <c r="N1724" s="2">
        <v>134</v>
      </c>
      <c r="O1724" s="2">
        <v>105.1403</v>
      </c>
      <c r="P1724" s="2">
        <v>125</v>
      </c>
      <c r="Q1724" s="2">
        <v>96.410799999999995</v>
      </c>
      <c r="R1724" s="2">
        <v>51</v>
      </c>
      <c r="S1724" s="2">
        <v>96.614699999999999</v>
      </c>
      <c r="T1724" s="2">
        <v>55</v>
      </c>
      <c r="U1724" s="2">
        <v>0.72561699999999996</v>
      </c>
      <c r="V1724" s="2">
        <v>79</v>
      </c>
      <c r="W1724" s="2">
        <v>2007</v>
      </c>
    </row>
    <row r="1725" spans="1:23" ht="12.3" x14ac:dyDescent="0.4">
      <c r="A1725" s="2" t="s">
        <v>43</v>
      </c>
      <c r="B1725" s="2">
        <v>12</v>
      </c>
      <c r="C1725" s="4" t="s">
        <v>33</v>
      </c>
      <c r="D1725" s="4" t="s">
        <v>33</v>
      </c>
      <c r="E1725" s="2"/>
      <c r="F1725" s="2"/>
      <c r="G1725" s="2"/>
      <c r="H1725" s="2"/>
      <c r="I1725" s="2">
        <v>64.403599999999997</v>
      </c>
      <c r="J1725" s="2">
        <v>262</v>
      </c>
      <c r="K1725" s="2">
        <v>65.537499999999994</v>
      </c>
      <c r="L1725" s="2">
        <v>208</v>
      </c>
      <c r="M1725" s="2">
        <v>111.43049999999999</v>
      </c>
      <c r="N1725" s="2">
        <v>21</v>
      </c>
      <c r="O1725" s="2">
        <v>116.26260000000001</v>
      </c>
      <c r="P1725" s="2">
        <v>7</v>
      </c>
      <c r="Q1725" s="2">
        <v>105.8351</v>
      </c>
      <c r="R1725" s="2">
        <v>267</v>
      </c>
      <c r="S1725" s="2">
        <v>101.3051</v>
      </c>
      <c r="T1725" s="2">
        <v>165</v>
      </c>
      <c r="U1725" s="2">
        <v>0.82972999999999997</v>
      </c>
      <c r="V1725" s="2">
        <v>38</v>
      </c>
      <c r="W1725" s="2">
        <v>2009</v>
      </c>
    </row>
    <row r="1726" spans="1:23" ht="12.3" hidden="1" x14ac:dyDescent="0.4">
      <c r="A1726" s="2" t="s">
        <v>97</v>
      </c>
      <c r="B1726" s="2"/>
      <c r="C1726" s="2"/>
      <c r="D1726" s="2"/>
      <c r="E1726" s="2"/>
      <c r="F1726" s="2"/>
      <c r="G1726" s="2"/>
      <c r="H1726" s="2"/>
      <c r="I1726" s="2">
        <v>70.210700000000003</v>
      </c>
      <c r="J1726" s="2">
        <v>63</v>
      </c>
      <c r="K1726" s="2">
        <v>69.913200000000003</v>
      </c>
      <c r="L1726" s="2">
        <v>56</v>
      </c>
      <c r="M1726" s="2">
        <v>101.84650000000001</v>
      </c>
      <c r="N1726" s="2">
        <v>171</v>
      </c>
      <c r="O1726" s="2">
        <v>101.26</v>
      </c>
      <c r="P1726" s="2">
        <v>180</v>
      </c>
      <c r="Q1726" s="2">
        <v>96.564400000000006</v>
      </c>
      <c r="R1726" s="2">
        <v>54</v>
      </c>
      <c r="S1726" s="2">
        <v>93.174300000000002</v>
      </c>
      <c r="T1726" s="2">
        <v>23</v>
      </c>
      <c r="U1726" s="2">
        <v>0.72252400000000006</v>
      </c>
      <c r="V1726" s="2">
        <v>81</v>
      </c>
      <c r="W1726" s="2">
        <v>2007</v>
      </c>
    </row>
    <row r="1727" spans="1:23" ht="12.3" x14ac:dyDescent="0.4">
      <c r="A1727" s="2" t="s">
        <v>248</v>
      </c>
      <c r="B1727" s="2">
        <v>9</v>
      </c>
      <c r="C1727" s="4" t="s">
        <v>33</v>
      </c>
      <c r="D1727" s="2"/>
      <c r="E1727" s="2"/>
      <c r="F1727" s="2"/>
      <c r="G1727" s="2"/>
      <c r="H1727" s="2"/>
      <c r="I1727" s="2">
        <v>65.992999999999995</v>
      </c>
      <c r="J1727" s="2">
        <v>181</v>
      </c>
      <c r="K1727" s="2">
        <v>65.094099999999997</v>
      </c>
      <c r="L1727" s="2">
        <v>231</v>
      </c>
      <c r="M1727" s="2">
        <v>107.8173</v>
      </c>
      <c r="N1727" s="2">
        <v>64</v>
      </c>
      <c r="O1727" s="2">
        <v>111.4631</v>
      </c>
      <c r="P1727" s="2">
        <v>33</v>
      </c>
      <c r="Q1727" s="2">
        <v>100.2696</v>
      </c>
      <c r="R1727" s="2">
        <v>145</v>
      </c>
      <c r="S1727" s="2">
        <v>97.822000000000003</v>
      </c>
      <c r="T1727" s="2">
        <v>86</v>
      </c>
      <c r="U1727" s="2">
        <v>0.81776199999999999</v>
      </c>
      <c r="V1727" s="2">
        <v>43</v>
      </c>
      <c r="W1727" s="2">
        <v>2009</v>
      </c>
    </row>
    <row r="1728" spans="1:23" ht="12.3" x14ac:dyDescent="0.4">
      <c r="A1728" s="2" t="s">
        <v>88</v>
      </c>
      <c r="B1728" s="2">
        <v>11</v>
      </c>
      <c r="C1728" s="2"/>
      <c r="D1728" s="2"/>
      <c r="E1728" s="2"/>
      <c r="F1728" s="2"/>
      <c r="G1728" s="2"/>
      <c r="H1728" s="2"/>
      <c r="I1728" s="2">
        <v>65.133700000000005</v>
      </c>
      <c r="J1728" s="2">
        <v>221</v>
      </c>
      <c r="K1728" s="2">
        <v>64.401899999999998</v>
      </c>
      <c r="L1728" s="2">
        <v>260</v>
      </c>
      <c r="M1728" s="2">
        <v>105.8472</v>
      </c>
      <c r="N1728" s="2">
        <v>88</v>
      </c>
      <c r="O1728" s="2">
        <v>107.9807</v>
      </c>
      <c r="P1728" s="2">
        <v>67</v>
      </c>
      <c r="Q1728" s="2">
        <v>97.412800000000004</v>
      </c>
      <c r="R1728" s="2">
        <v>87</v>
      </c>
      <c r="S1728" s="2">
        <v>95.004900000000006</v>
      </c>
      <c r="T1728" s="2">
        <v>43</v>
      </c>
      <c r="U1728" s="2">
        <v>0.81340299999999999</v>
      </c>
      <c r="V1728" s="2">
        <v>44</v>
      </c>
      <c r="W1728" s="2">
        <v>2009</v>
      </c>
    </row>
    <row r="1729" spans="1:23" ht="12.3" hidden="1" x14ac:dyDescent="0.4">
      <c r="A1729" s="2" t="s">
        <v>150</v>
      </c>
      <c r="B1729" s="2"/>
      <c r="C1729" s="2"/>
      <c r="D1729" s="2"/>
      <c r="E1729" s="2"/>
      <c r="F1729" s="2"/>
      <c r="G1729" s="2"/>
      <c r="H1729" s="2"/>
      <c r="I1729" s="2">
        <v>63.637500000000003</v>
      </c>
      <c r="J1729" s="2">
        <v>277</v>
      </c>
      <c r="K1729" s="2">
        <v>65.390900000000002</v>
      </c>
      <c r="L1729" s="2">
        <v>220</v>
      </c>
      <c r="M1729" s="2">
        <v>107.8976</v>
      </c>
      <c r="N1729" s="2">
        <v>63</v>
      </c>
      <c r="O1729" s="2">
        <v>107.6957</v>
      </c>
      <c r="P1729" s="2">
        <v>80</v>
      </c>
      <c r="Q1729" s="2">
        <v>101.8747</v>
      </c>
      <c r="R1729" s="2">
        <v>161</v>
      </c>
      <c r="S1729" s="2">
        <v>99.765900000000002</v>
      </c>
      <c r="T1729" s="2">
        <v>107</v>
      </c>
      <c r="U1729" s="2">
        <v>0.70673200000000003</v>
      </c>
      <c r="V1729" s="2">
        <v>84</v>
      </c>
      <c r="W1729" s="2">
        <v>2007</v>
      </c>
    </row>
    <row r="1730" spans="1:23" ht="12.3" x14ac:dyDescent="0.4">
      <c r="A1730" s="2" t="s">
        <v>154</v>
      </c>
      <c r="B1730" s="2">
        <v>10</v>
      </c>
      <c r="C1730" s="4" t="s">
        <v>33</v>
      </c>
      <c r="D1730" s="2"/>
      <c r="E1730" s="2"/>
      <c r="F1730" s="2"/>
      <c r="G1730" s="2"/>
      <c r="H1730" s="2"/>
      <c r="I1730" s="2">
        <v>62.2883</v>
      </c>
      <c r="J1730" s="2">
        <v>309</v>
      </c>
      <c r="K1730" s="2">
        <v>64.132000000000005</v>
      </c>
      <c r="L1730" s="2">
        <v>267</v>
      </c>
      <c r="M1730" s="2">
        <v>105.57380000000001</v>
      </c>
      <c r="N1730" s="2">
        <v>92</v>
      </c>
      <c r="O1730" s="2">
        <v>110.80840000000001</v>
      </c>
      <c r="P1730" s="2">
        <v>36</v>
      </c>
      <c r="Q1730" s="2">
        <v>100.68810000000001</v>
      </c>
      <c r="R1730" s="2">
        <v>157</v>
      </c>
      <c r="S1730" s="2">
        <v>97.522000000000006</v>
      </c>
      <c r="T1730" s="2">
        <v>77</v>
      </c>
      <c r="U1730" s="2">
        <v>0.81288000000000005</v>
      </c>
      <c r="V1730" s="2">
        <v>45</v>
      </c>
      <c r="W1730" s="2">
        <v>2009</v>
      </c>
    </row>
    <row r="1731" spans="1:23" ht="12.3" hidden="1" x14ac:dyDescent="0.4">
      <c r="A1731" s="2" t="s">
        <v>57</v>
      </c>
      <c r="B1731" s="2"/>
      <c r="C1731" s="2"/>
      <c r="D1731" s="2"/>
      <c r="E1731" s="2"/>
      <c r="F1731" s="2"/>
      <c r="G1731" s="2"/>
      <c r="H1731" s="2"/>
      <c r="I1731" s="2">
        <v>65.183099999999996</v>
      </c>
      <c r="J1731" s="2">
        <v>228</v>
      </c>
      <c r="K1731" s="2">
        <v>65.210300000000004</v>
      </c>
      <c r="L1731" s="2">
        <v>226</v>
      </c>
      <c r="M1731" s="2">
        <v>104.8125</v>
      </c>
      <c r="N1731" s="2">
        <v>121</v>
      </c>
      <c r="O1731" s="2">
        <v>108.4335</v>
      </c>
      <c r="P1731" s="2">
        <v>72</v>
      </c>
      <c r="Q1731" s="2">
        <v>104.5206</v>
      </c>
      <c r="R1731" s="2">
        <v>214</v>
      </c>
      <c r="S1731" s="2">
        <v>100.62690000000001</v>
      </c>
      <c r="T1731" s="2">
        <v>125</v>
      </c>
      <c r="U1731" s="2">
        <v>0.70250400000000002</v>
      </c>
      <c r="V1731" s="2">
        <v>86</v>
      </c>
      <c r="W1731" s="2">
        <v>2007</v>
      </c>
    </row>
    <row r="1732" spans="1:23" ht="12.3" hidden="1" x14ac:dyDescent="0.4">
      <c r="A1732" s="2" t="s">
        <v>289</v>
      </c>
      <c r="B1732" s="2"/>
      <c r="C1732" s="2"/>
      <c r="D1732" s="2"/>
      <c r="E1732" s="2"/>
      <c r="F1732" s="2"/>
      <c r="G1732" s="2"/>
      <c r="H1732" s="2"/>
      <c r="I1732" s="2">
        <v>60.533499999999997</v>
      </c>
      <c r="J1732" s="2">
        <v>323</v>
      </c>
      <c r="K1732" s="2">
        <v>62.317399999999999</v>
      </c>
      <c r="L1732" s="2">
        <v>307</v>
      </c>
      <c r="M1732" s="2">
        <v>103.8365</v>
      </c>
      <c r="N1732" s="2">
        <v>143</v>
      </c>
      <c r="O1732" s="2">
        <v>105.7105</v>
      </c>
      <c r="P1732" s="2">
        <v>113</v>
      </c>
      <c r="Q1732" s="2">
        <v>94.808300000000003</v>
      </c>
      <c r="R1732" s="2">
        <v>27</v>
      </c>
      <c r="S1732" s="2">
        <v>98.146500000000003</v>
      </c>
      <c r="T1732" s="2">
        <v>78</v>
      </c>
      <c r="U1732" s="2">
        <v>0.70136200000000004</v>
      </c>
      <c r="V1732" s="2">
        <v>87</v>
      </c>
      <c r="W1732" s="2">
        <v>2007</v>
      </c>
    </row>
    <row r="1733" spans="1:23" ht="12.3" x14ac:dyDescent="0.4">
      <c r="A1733" s="2" t="s">
        <v>85</v>
      </c>
      <c r="B1733" s="2">
        <v>8</v>
      </c>
      <c r="C1733" s="4" t="s">
        <v>33</v>
      </c>
      <c r="D1733" s="2"/>
      <c r="E1733" s="2"/>
      <c r="F1733" s="2"/>
      <c r="G1733" s="2"/>
      <c r="H1733" s="2"/>
      <c r="I1733" s="2">
        <v>68.184899999999999</v>
      </c>
      <c r="J1733" s="2">
        <v>106</v>
      </c>
      <c r="K1733" s="2">
        <v>66.868700000000004</v>
      </c>
      <c r="L1733" s="2">
        <v>149</v>
      </c>
      <c r="M1733" s="2">
        <v>109.1335</v>
      </c>
      <c r="N1733" s="2">
        <v>43</v>
      </c>
      <c r="O1733" s="2">
        <v>109.0287</v>
      </c>
      <c r="P1733" s="2">
        <v>55</v>
      </c>
      <c r="Q1733" s="2">
        <v>95.348500000000001</v>
      </c>
      <c r="R1733" s="2">
        <v>45</v>
      </c>
      <c r="S1733" s="2">
        <v>96.242199999999997</v>
      </c>
      <c r="T1733" s="2">
        <v>61</v>
      </c>
      <c r="U1733" s="2">
        <v>0.80760900000000002</v>
      </c>
      <c r="V1733" s="2">
        <v>47</v>
      </c>
      <c r="W1733" s="2">
        <v>2009</v>
      </c>
    </row>
    <row r="1734" spans="1:23" ht="12.3" hidden="1" x14ac:dyDescent="0.4">
      <c r="A1734" s="2" t="s">
        <v>113</v>
      </c>
      <c r="B1734" s="2"/>
      <c r="C1734" s="2"/>
      <c r="D1734" s="2"/>
      <c r="E1734" s="2"/>
      <c r="F1734" s="2"/>
      <c r="G1734" s="2"/>
      <c r="H1734" s="2"/>
      <c r="I1734" s="2">
        <v>71.486699999999999</v>
      </c>
      <c r="J1734" s="2">
        <v>37</v>
      </c>
      <c r="K1734" s="2">
        <v>71.186000000000007</v>
      </c>
      <c r="L1734" s="2">
        <v>33</v>
      </c>
      <c r="M1734" s="2">
        <v>101.7033</v>
      </c>
      <c r="N1734" s="2">
        <v>177</v>
      </c>
      <c r="O1734" s="2">
        <v>105.3947</v>
      </c>
      <c r="P1734" s="2">
        <v>117</v>
      </c>
      <c r="Q1734" s="2">
        <v>101.3045</v>
      </c>
      <c r="R1734" s="2">
        <v>143</v>
      </c>
      <c r="S1734" s="2">
        <v>98.101200000000006</v>
      </c>
      <c r="T1734" s="2">
        <v>75</v>
      </c>
      <c r="U1734" s="2">
        <v>0.69523299999999999</v>
      </c>
      <c r="V1734" s="2">
        <v>89</v>
      </c>
      <c r="W1734" s="2">
        <v>2007</v>
      </c>
    </row>
    <row r="1735" spans="1:23" ht="12.3" hidden="1" x14ac:dyDescent="0.4">
      <c r="A1735" s="2" t="s">
        <v>136</v>
      </c>
      <c r="B1735" s="2"/>
      <c r="C1735" s="2"/>
      <c r="D1735" s="2"/>
      <c r="E1735" s="2"/>
      <c r="F1735" s="2"/>
      <c r="G1735" s="2"/>
      <c r="H1735" s="2"/>
      <c r="I1735" s="2">
        <v>64.132999999999996</v>
      </c>
      <c r="J1735" s="2">
        <v>261</v>
      </c>
      <c r="K1735" s="2">
        <v>62.9801</v>
      </c>
      <c r="L1735" s="2">
        <v>299</v>
      </c>
      <c r="M1735" s="2">
        <v>103.3862</v>
      </c>
      <c r="N1735" s="2">
        <v>152</v>
      </c>
      <c r="O1735" s="2">
        <v>106.274</v>
      </c>
      <c r="P1735" s="2">
        <v>99</v>
      </c>
      <c r="Q1735" s="2">
        <v>101.35429999999999</v>
      </c>
      <c r="R1735" s="2">
        <v>147</v>
      </c>
      <c r="S1735" s="2">
        <v>99.004300000000001</v>
      </c>
      <c r="T1735" s="2">
        <v>91</v>
      </c>
      <c r="U1735" s="2">
        <v>0.69314200000000004</v>
      </c>
      <c r="V1735" s="2">
        <v>90</v>
      </c>
      <c r="W1735" s="2">
        <v>2007</v>
      </c>
    </row>
    <row r="1736" spans="1:23" ht="12.3" hidden="1" x14ac:dyDescent="0.4">
      <c r="A1736" s="2" t="s">
        <v>164</v>
      </c>
      <c r="B1736" s="2"/>
      <c r="C1736" s="2"/>
      <c r="D1736" s="2"/>
      <c r="E1736" s="2"/>
      <c r="F1736" s="2"/>
      <c r="G1736" s="2"/>
      <c r="H1736" s="2"/>
      <c r="I1736" s="2">
        <v>65.377099999999999</v>
      </c>
      <c r="J1736" s="2">
        <v>223</v>
      </c>
      <c r="K1736" s="2">
        <v>65.965100000000007</v>
      </c>
      <c r="L1736" s="2">
        <v>200</v>
      </c>
      <c r="M1736" s="2">
        <v>100.956</v>
      </c>
      <c r="N1736" s="2">
        <v>192</v>
      </c>
      <c r="O1736" s="2">
        <v>105.20350000000001</v>
      </c>
      <c r="P1736" s="2">
        <v>119</v>
      </c>
      <c r="Q1736" s="2">
        <v>99.493600000000001</v>
      </c>
      <c r="R1736" s="2">
        <v>104</v>
      </c>
      <c r="S1736" s="2">
        <v>98.089799999999997</v>
      </c>
      <c r="T1736" s="2">
        <v>72</v>
      </c>
      <c r="U1736" s="2">
        <v>0.69107700000000005</v>
      </c>
      <c r="V1736" s="2">
        <v>91</v>
      </c>
      <c r="W1736" s="2">
        <v>2007</v>
      </c>
    </row>
    <row r="1737" spans="1:23" ht="12.3" hidden="1" x14ac:dyDescent="0.4">
      <c r="A1737" s="2" t="s">
        <v>292</v>
      </c>
      <c r="B1737" s="2"/>
      <c r="C1737" s="2"/>
      <c r="D1737" s="2"/>
      <c r="E1737" s="2"/>
      <c r="F1737" s="2"/>
      <c r="G1737" s="2"/>
      <c r="H1737" s="2"/>
      <c r="I1737" s="2">
        <v>63.873199999999997</v>
      </c>
      <c r="J1737" s="2">
        <v>272</v>
      </c>
      <c r="K1737" s="2">
        <v>65.3917</v>
      </c>
      <c r="L1737" s="2">
        <v>219</v>
      </c>
      <c r="M1737" s="2">
        <v>107.4371</v>
      </c>
      <c r="N1737" s="2">
        <v>72</v>
      </c>
      <c r="O1737" s="2">
        <v>111.23439999999999</v>
      </c>
      <c r="P1737" s="2">
        <v>40</v>
      </c>
      <c r="Q1737" s="2">
        <v>106.0488</v>
      </c>
      <c r="R1737" s="2">
        <v>256</v>
      </c>
      <c r="S1737" s="2">
        <v>103.84050000000001</v>
      </c>
      <c r="T1737" s="2">
        <v>186</v>
      </c>
      <c r="U1737" s="2">
        <v>0.68804900000000002</v>
      </c>
      <c r="V1737" s="2">
        <v>92</v>
      </c>
      <c r="W1737" s="2">
        <v>2007</v>
      </c>
    </row>
    <row r="1738" spans="1:23" ht="12.3" hidden="1" x14ac:dyDescent="0.4">
      <c r="A1738" s="2" t="s">
        <v>147</v>
      </c>
      <c r="B1738" s="2"/>
      <c r="C1738" s="2"/>
      <c r="D1738" s="2"/>
      <c r="E1738" s="2"/>
      <c r="F1738" s="2"/>
      <c r="G1738" s="2"/>
      <c r="H1738" s="2"/>
      <c r="I1738" s="2">
        <v>60.4923</v>
      </c>
      <c r="J1738" s="2">
        <v>324</v>
      </c>
      <c r="K1738" s="2">
        <v>61.457099999999997</v>
      </c>
      <c r="L1738" s="2">
        <v>318</v>
      </c>
      <c r="M1738" s="2">
        <v>104.54810000000001</v>
      </c>
      <c r="N1738" s="2">
        <v>124</v>
      </c>
      <c r="O1738" s="2">
        <v>104.87309999999999</v>
      </c>
      <c r="P1738" s="2">
        <v>130</v>
      </c>
      <c r="Q1738" s="2">
        <v>97.585800000000006</v>
      </c>
      <c r="R1738" s="2">
        <v>68</v>
      </c>
      <c r="S1738" s="2">
        <v>97.903099999999995</v>
      </c>
      <c r="T1738" s="2">
        <v>69</v>
      </c>
      <c r="U1738" s="2">
        <v>0.68802099999999999</v>
      </c>
      <c r="V1738" s="2">
        <v>93</v>
      </c>
      <c r="W1738" s="2">
        <v>2007</v>
      </c>
    </row>
    <row r="1739" spans="1:23" ht="12.3" hidden="1" x14ac:dyDescent="0.4">
      <c r="A1739" s="2" t="s">
        <v>98</v>
      </c>
      <c r="B1739" s="2"/>
      <c r="C1739" s="2"/>
      <c r="D1739" s="2"/>
      <c r="E1739" s="2"/>
      <c r="F1739" s="2"/>
      <c r="G1739" s="2"/>
      <c r="H1739" s="2"/>
      <c r="I1739" s="2">
        <v>65.326300000000003</v>
      </c>
      <c r="J1739" s="2">
        <v>225</v>
      </c>
      <c r="K1739" s="2">
        <v>64.224599999999995</v>
      </c>
      <c r="L1739" s="2">
        <v>270</v>
      </c>
      <c r="M1739" s="2">
        <v>108.38330000000001</v>
      </c>
      <c r="N1739" s="2">
        <v>55</v>
      </c>
      <c r="O1739" s="2">
        <v>109.8963</v>
      </c>
      <c r="P1739" s="2">
        <v>56</v>
      </c>
      <c r="Q1739" s="2">
        <v>102.7116</v>
      </c>
      <c r="R1739" s="2">
        <v>178</v>
      </c>
      <c r="S1739" s="2">
        <v>102.6116</v>
      </c>
      <c r="T1739" s="2">
        <v>165</v>
      </c>
      <c r="U1739" s="2">
        <v>0.68756300000000004</v>
      </c>
      <c r="V1739" s="2">
        <v>94</v>
      </c>
      <c r="W1739" s="2">
        <v>2007</v>
      </c>
    </row>
    <row r="1740" spans="1:23" ht="12.3" x14ac:dyDescent="0.4">
      <c r="A1740" s="2" t="s">
        <v>36</v>
      </c>
      <c r="B1740" s="2">
        <v>10</v>
      </c>
      <c r="C1740" s="4" t="s">
        <v>33</v>
      </c>
      <c r="D1740" s="2"/>
      <c r="E1740" s="2"/>
      <c r="F1740" s="2"/>
      <c r="G1740" s="2"/>
      <c r="H1740" s="2"/>
      <c r="I1740" s="2">
        <v>68.746700000000004</v>
      </c>
      <c r="J1740" s="2">
        <v>92</v>
      </c>
      <c r="K1740" s="2">
        <v>67.2714</v>
      </c>
      <c r="L1740" s="2">
        <v>129</v>
      </c>
      <c r="M1740" s="2">
        <v>103.1284</v>
      </c>
      <c r="N1740" s="2">
        <v>141</v>
      </c>
      <c r="O1740" s="2">
        <v>107.6215</v>
      </c>
      <c r="P1740" s="2">
        <v>74</v>
      </c>
      <c r="Q1740" s="2">
        <v>98.89</v>
      </c>
      <c r="R1740" s="2">
        <v>111</v>
      </c>
      <c r="S1740" s="2">
        <v>95.117099999999994</v>
      </c>
      <c r="T1740" s="2">
        <v>45</v>
      </c>
      <c r="U1740" s="2">
        <v>0.80539899999999998</v>
      </c>
      <c r="V1740" s="2">
        <v>48</v>
      </c>
      <c r="W1740" s="2">
        <v>2009</v>
      </c>
    </row>
    <row r="1741" spans="1:23" ht="12.3" hidden="1" x14ac:dyDescent="0.4">
      <c r="A1741" s="2" t="s">
        <v>243</v>
      </c>
      <c r="B1741" s="2"/>
      <c r="C1741" s="2"/>
      <c r="D1741" s="2"/>
      <c r="E1741" s="2"/>
      <c r="F1741" s="2"/>
      <c r="G1741" s="2"/>
      <c r="H1741" s="2"/>
      <c r="I1741" s="2">
        <v>64.579400000000007</v>
      </c>
      <c r="J1741" s="2">
        <v>255</v>
      </c>
      <c r="K1741" s="2">
        <v>65.652699999999996</v>
      </c>
      <c r="L1741" s="2">
        <v>207</v>
      </c>
      <c r="M1741" s="2">
        <v>111.1857</v>
      </c>
      <c r="N1741" s="2">
        <v>28</v>
      </c>
      <c r="O1741" s="2">
        <v>113.19110000000001</v>
      </c>
      <c r="P1741" s="2">
        <v>22</v>
      </c>
      <c r="Q1741" s="2">
        <v>105.19840000000001</v>
      </c>
      <c r="R1741" s="2">
        <v>235</v>
      </c>
      <c r="S1741" s="2">
        <v>105.86109999999999</v>
      </c>
      <c r="T1741" s="2">
        <v>229</v>
      </c>
      <c r="U1741" s="2">
        <v>0.68350200000000005</v>
      </c>
      <c r="V1741" s="2">
        <v>96</v>
      </c>
      <c r="W1741" s="2">
        <v>2007</v>
      </c>
    </row>
    <row r="1742" spans="1:23" ht="12.3" x14ac:dyDescent="0.4">
      <c r="A1742" s="2" t="s">
        <v>137</v>
      </c>
      <c r="B1742" s="2">
        <v>11</v>
      </c>
      <c r="C1742" s="2"/>
      <c r="D1742" s="2"/>
      <c r="E1742" s="2"/>
      <c r="F1742" s="2"/>
      <c r="G1742" s="2"/>
      <c r="H1742" s="2"/>
      <c r="I1742" s="2">
        <v>66.120900000000006</v>
      </c>
      <c r="J1742" s="2">
        <v>178</v>
      </c>
      <c r="K1742" s="2">
        <v>67.092299999999994</v>
      </c>
      <c r="L1742" s="2">
        <v>138</v>
      </c>
      <c r="M1742" s="2">
        <v>108.2766</v>
      </c>
      <c r="N1742" s="2">
        <v>55</v>
      </c>
      <c r="O1742" s="2">
        <v>107.9363</v>
      </c>
      <c r="P1742" s="2">
        <v>68</v>
      </c>
      <c r="Q1742" s="2">
        <v>94.858500000000006</v>
      </c>
      <c r="R1742" s="2">
        <v>39</v>
      </c>
      <c r="S1742" s="2">
        <v>95.493700000000004</v>
      </c>
      <c r="T1742" s="2">
        <v>51</v>
      </c>
      <c r="U1742" s="2">
        <v>0.80353399999999997</v>
      </c>
      <c r="V1742" s="2">
        <v>49</v>
      </c>
      <c r="W1742" s="2">
        <v>2009</v>
      </c>
    </row>
    <row r="1743" spans="1:23" ht="12.3" x14ac:dyDescent="0.4">
      <c r="A1743" s="2" t="s">
        <v>98</v>
      </c>
      <c r="B1743" s="2">
        <v>11</v>
      </c>
      <c r="C1743" s="2"/>
      <c r="D1743" s="2"/>
      <c r="E1743" s="2"/>
      <c r="F1743" s="2"/>
      <c r="G1743" s="2"/>
      <c r="H1743" s="2"/>
      <c r="I1743" s="2">
        <v>61.518500000000003</v>
      </c>
      <c r="J1743" s="2">
        <v>322</v>
      </c>
      <c r="K1743" s="2">
        <v>61.238799999999998</v>
      </c>
      <c r="L1743" s="2">
        <v>324</v>
      </c>
      <c r="M1743" s="2">
        <v>117.6271</v>
      </c>
      <c r="N1743" s="2">
        <v>1</v>
      </c>
      <c r="O1743" s="2">
        <v>114.9799</v>
      </c>
      <c r="P1743" s="2">
        <v>13</v>
      </c>
      <c r="Q1743" s="2">
        <v>100.5955</v>
      </c>
      <c r="R1743" s="2">
        <v>152</v>
      </c>
      <c r="S1743" s="2">
        <v>102.078</v>
      </c>
      <c r="T1743" s="2">
        <v>175</v>
      </c>
      <c r="U1743" s="2">
        <v>0.79717499999999997</v>
      </c>
      <c r="V1743" s="2">
        <v>52</v>
      </c>
      <c r="W1743" s="2">
        <v>2009</v>
      </c>
    </row>
    <row r="1744" spans="1:23" ht="12.3" hidden="1" x14ac:dyDescent="0.4">
      <c r="A1744" s="2" t="s">
        <v>130</v>
      </c>
      <c r="B1744" s="2"/>
      <c r="C1744" s="2"/>
      <c r="D1744" s="2"/>
      <c r="E1744" s="2"/>
      <c r="F1744" s="2"/>
      <c r="G1744" s="2"/>
      <c r="H1744" s="2"/>
      <c r="I1744" s="2">
        <v>70.040199999999999</v>
      </c>
      <c r="J1744" s="2">
        <v>66</v>
      </c>
      <c r="K1744" s="2">
        <v>69.201899999999995</v>
      </c>
      <c r="L1744" s="2">
        <v>76</v>
      </c>
      <c r="M1744" s="2">
        <v>103.4537</v>
      </c>
      <c r="N1744" s="2">
        <v>150</v>
      </c>
      <c r="O1744" s="2">
        <v>104.5087</v>
      </c>
      <c r="P1744" s="2">
        <v>133</v>
      </c>
      <c r="Q1744" s="2">
        <v>99.805499999999995</v>
      </c>
      <c r="R1744" s="2">
        <v>111</v>
      </c>
      <c r="S1744" s="2">
        <v>98.401899999999998</v>
      </c>
      <c r="T1744" s="2">
        <v>84</v>
      </c>
      <c r="U1744" s="2">
        <v>0.66650500000000001</v>
      </c>
      <c r="V1744" s="2">
        <v>99</v>
      </c>
      <c r="W1744" s="2">
        <v>2007</v>
      </c>
    </row>
    <row r="1745" spans="1:23" ht="12.3" hidden="1" x14ac:dyDescent="0.4">
      <c r="A1745" s="2" t="s">
        <v>355</v>
      </c>
      <c r="B1745" s="2"/>
      <c r="C1745" s="2"/>
      <c r="D1745" s="2"/>
      <c r="E1745" s="2"/>
      <c r="F1745" s="2"/>
      <c r="G1745" s="2"/>
      <c r="H1745" s="2"/>
      <c r="I1745" s="2">
        <v>63.515700000000002</v>
      </c>
      <c r="J1745" s="2">
        <v>282</v>
      </c>
      <c r="K1745" s="2">
        <v>63.714799999999997</v>
      </c>
      <c r="L1745" s="2">
        <v>285</v>
      </c>
      <c r="M1745" s="2">
        <v>112.24209999999999</v>
      </c>
      <c r="N1745" s="2">
        <v>20</v>
      </c>
      <c r="O1745" s="2">
        <v>106.9122</v>
      </c>
      <c r="P1745" s="2">
        <v>91</v>
      </c>
      <c r="Q1745" s="2">
        <v>96.783299999999997</v>
      </c>
      <c r="R1745" s="2">
        <v>55</v>
      </c>
      <c r="S1745" s="2">
        <v>101.17059999999999</v>
      </c>
      <c r="T1745" s="2">
        <v>138</v>
      </c>
      <c r="U1745" s="2">
        <v>0.65357500000000002</v>
      </c>
      <c r="V1745" s="2">
        <v>100</v>
      </c>
      <c r="W1745" s="2">
        <v>2007</v>
      </c>
    </row>
    <row r="1746" spans="1:23" ht="12.3" hidden="1" x14ac:dyDescent="0.4">
      <c r="A1746" s="2" t="s">
        <v>91</v>
      </c>
      <c r="B1746" s="2"/>
      <c r="C1746" s="2"/>
      <c r="D1746" s="2"/>
      <c r="E1746" s="2"/>
      <c r="F1746" s="2"/>
      <c r="G1746" s="2"/>
      <c r="H1746" s="2"/>
      <c r="I1746" s="2">
        <v>62.869199999999999</v>
      </c>
      <c r="J1746" s="2">
        <v>294</v>
      </c>
      <c r="K1746" s="2">
        <v>63.200699999999998</v>
      </c>
      <c r="L1746" s="2">
        <v>296</v>
      </c>
      <c r="M1746" s="2">
        <v>107.0057</v>
      </c>
      <c r="N1746" s="2">
        <v>82</v>
      </c>
      <c r="O1746" s="2">
        <v>107.2216</v>
      </c>
      <c r="P1746" s="2">
        <v>86</v>
      </c>
      <c r="Q1746" s="2">
        <v>102.163</v>
      </c>
      <c r="R1746" s="2">
        <v>164</v>
      </c>
      <c r="S1746" s="2">
        <v>101.5806</v>
      </c>
      <c r="T1746" s="2">
        <v>149</v>
      </c>
      <c r="U1746" s="2">
        <v>0.65056599999999998</v>
      </c>
      <c r="V1746" s="2">
        <v>101</v>
      </c>
      <c r="W1746" s="2">
        <v>2007</v>
      </c>
    </row>
    <row r="1747" spans="1:23" ht="12.3" hidden="1" x14ac:dyDescent="0.4">
      <c r="A1747" s="2" t="s">
        <v>158</v>
      </c>
      <c r="B1747" s="2"/>
      <c r="C1747" s="2"/>
      <c r="D1747" s="2"/>
      <c r="E1747" s="2"/>
      <c r="F1747" s="2"/>
      <c r="G1747" s="2"/>
      <c r="H1747" s="2"/>
      <c r="I1747" s="2">
        <v>68.585700000000003</v>
      </c>
      <c r="J1747" s="2">
        <v>97</v>
      </c>
      <c r="K1747" s="2">
        <v>67.873400000000004</v>
      </c>
      <c r="L1747" s="2">
        <v>116</v>
      </c>
      <c r="M1747" s="2">
        <v>107.7242</v>
      </c>
      <c r="N1747" s="2">
        <v>68</v>
      </c>
      <c r="O1747" s="2">
        <v>109.2581</v>
      </c>
      <c r="P1747" s="2">
        <v>63</v>
      </c>
      <c r="Q1747" s="2">
        <v>106.20229999999999</v>
      </c>
      <c r="R1747" s="2">
        <v>262</v>
      </c>
      <c r="S1747" s="2">
        <v>103.637</v>
      </c>
      <c r="T1747" s="2">
        <v>181</v>
      </c>
      <c r="U1747" s="2">
        <v>0.64734899999999995</v>
      </c>
      <c r="V1747" s="2">
        <v>102</v>
      </c>
      <c r="W1747" s="2">
        <v>2007</v>
      </c>
    </row>
    <row r="1748" spans="1:23" ht="12.3" hidden="1" x14ac:dyDescent="0.4">
      <c r="A1748" s="2" t="s">
        <v>186</v>
      </c>
      <c r="B1748" s="2"/>
      <c r="C1748" s="2"/>
      <c r="D1748" s="2"/>
      <c r="E1748" s="2"/>
      <c r="F1748" s="2"/>
      <c r="G1748" s="2"/>
      <c r="H1748" s="2"/>
      <c r="I1748" s="2">
        <v>67.579300000000003</v>
      </c>
      <c r="J1748" s="2">
        <v>133</v>
      </c>
      <c r="K1748" s="2">
        <v>67.694599999999994</v>
      </c>
      <c r="L1748" s="2">
        <v>124</v>
      </c>
      <c r="M1748" s="2">
        <v>101.3708</v>
      </c>
      <c r="N1748" s="2">
        <v>187</v>
      </c>
      <c r="O1748" s="2">
        <v>103.8146</v>
      </c>
      <c r="P1748" s="2">
        <v>142</v>
      </c>
      <c r="Q1748" s="2">
        <v>99.117599999999996</v>
      </c>
      <c r="R1748" s="2">
        <v>95</v>
      </c>
      <c r="S1748" s="2">
        <v>98.492500000000007</v>
      </c>
      <c r="T1748" s="2">
        <v>86</v>
      </c>
      <c r="U1748" s="2">
        <v>0.646845</v>
      </c>
      <c r="V1748" s="2">
        <v>103</v>
      </c>
      <c r="W1748" s="2">
        <v>2007</v>
      </c>
    </row>
    <row r="1749" spans="1:23" ht="12.3" hidden="1" x14ac:dyDescent="0.4">
      <c r="A1749" s="2" t="s">
        <v>112</v>
      </c>
      <c r="B1749" s="2"/>
      <c r="C1749" s="2"/>
      <c r="D1749" s="2"/>
      <c r="E1749" s="2"/>
      <c r="F1749" s="2"/>
      <c r="G1749" s="2"/>
      <c r="H1749" s="2"/>
      <c r="I1749" s="2">
        <v>70.546999999999997</v>
      </c>
      <c r="J1749" s="2">
        <v>53</v>
      </c>
      <c r="K1749" s="2">
        <v>69.642600000000002</v>
      </c>
      <c r="L1749" s="2">
        <v>62</v>
      </c>
      <c r="M1749" s="2">
        <v>100.2975</v>
      </c>
      <c r="N1749" s="2">
        <v>204</v>
      </c>
      <c r="O1749" s="2">
        <v>98.576899999999995</v>
      </c>
      <c r="P1749" s="2">
        <v>227</v>
      </c>
      <c r="Q1749" s="2">
        <v>92.354699999999994</v>
      </c>
      <c r="R1749" s="2">
        <v>12</v>
      </c>
      <c r="S1749" s="2">
        <v>93.668400000000005</v>
      </c>
      <c r="T1749" s="2">
        <v>25</v>
      </c>
      <c r="U1749" s="2">
        <v>0.64276299999999997</v>
      </c>
      <c r="V1749" s="2">
        <v>104</v>
      </c>
      <c r="W1749" s="2">
        <v>2007</v>
      </c>
    </row>
    <row r="1750" spans="1:23" ht="12.3" hidden="1" x14ac:dyDescent="0.4">
      <c r="A1750" s="2" t="s">
        <v>360</v>
      </c>
      <c r="B1750" s="2"/>
      <c r="C1750" s="2"/>
      <c r="D1750" s="2"/>
      <c r="E1750" s="2"/>
      <c r="F1750" s="2"/>
      <c r="G1750" s="2"/>
      <c r="H1750" s="2"/>
      <c r="I1750" s="2">
        <v>67.8005</v>
      </c>
      <c r="J1750" s="2">
        <v>124</v>
      </c>
      <c r="K1750" s="2">
        <v>68.722700000000003</v>
      </c>
      <c r="L1750" s="2">
        <v>91</v>
      </c>
      <c r="M1750" s="2">
        <v>110.3312</v>
      </c>
      <c r="N1750" s="2">
        <v>37</v>
      </c>
      <c r="O1750" s="2">
        <v>106.65600000000001</v>
      </c>
      <c r="P1750" s="2">
        <v>95</v>
      </c>
      <c r="Q1750" s="2">
        <v>96.888099999999994</v>
      </c>
      <c r="R1750" s="2">
        <v>58</v>
      </c>
      <c r="S1750" s="2">
        <v>101.372</v>
      </c>
      <c r="T1750" s="2">
        <v>143</v>
      </c>
      <c r="U1750" s="2">
        <v>0.642065</v>
      </c>
      <c r="V1750" s="2">
        <v>105</v>
      </c>
      <c r="W1750" s="2">
        <v>2007</v>
      </c>
    </row>
    <row r="1751" spans="1:23" ht="12.3" hidden="1" x14ac:dyDescent="0.4">
      <c r="A1751" s="2" t="s">
        <v>205</v>
      </c>
      <c r="B1751" s="2"/>
      <c r="C1751" s="2"/>
      <c r="D1751" s="2"/>
      <c r="E1751" s="2"/>
      <c r="F1751" s="2"/>
      <c r="G1751" s="2"/>
      <c r="H1751" s="2"/>
      <c r="I1751" s="2">
        <v>67.313900000000004</v>
      </c>
      <c r="J1751" s="2">
        <v>143</v>
      </c>
      <c r="K1751" s="2">
        <v>68.632999999999996</v>
      </c>
      <c r="L1751" s="2">
        <v>96</v>
      </c>
      <c r="M1751" s="2">
        <v>108.7076</v>
      </c>
      <c r="N1751" s="2">
        <v>51</v>
      </c>
      <c r="O1751" s="2">
        <v>111.6079</v>
      </c>
      <c r="P1751" s="2">
        <v>36</v>
      </c>
      <c r="Q1751" s="2">
        <v>110.3621</v>
      </c>
      <c r="R1751" s="2">
        <v>320</v>
      </c>
      <c r="S1751" s="2">
        <v>106.31610000000001</v>
      </c>
      <c r="T1751" s="2">
        <v>238</v>
      </c>
      <c r="U1751" s="2">
        <v>0.63613200000000003</v>
      </c>
      <c r="V1751" s="2">
        <v>106</v>
      </c>
      <c r="W1751" s="2">
        <v>2007</v>
      </c>
    </row>
    <row r="1752" spans="1:23" ht="12.3" x14ac:dyDescent="0.4">
      <c r="A1752" s="2" t="s">
        <v>196</v>
      </c>
      <c r="B1752" s="2">
        <v>9</v>
      </c>
      <c r="C1752" s="4" t="s">
        <v>33</v>
      </c>
      <c r="D1752" s="2"/>
      <c r="E1752" s="2"/>
      <c r="F1752" s="2"/>
      <c r="G1752" s="2"/>
      <c r="H1752" s="2"/>
      <c r="I1752" s="2">
        <v>71.967399999999998</v>
      </c>
      <c r="J1752" s="2">
        <v>22</v>
      </c>
      <c r="K1752" s="2">
        <v>71.873199999999997</v>
      </c>
      <c r="L1752" s="2">
        <v>16</v>
      </c>
      <c r="M1752" s="2">
        <v>107.60250000000001</v>
      </c>
      <c r="N1752" s="2">
        <v>70</v>
      </c>
      <c r="O1752" s="2">
        <v>110.11920000000001</v>
      </c>
      <c r="P1752" s="2">
        <v>41</v>
      </c>
      <c r="Q1752" s="2">
        <v>96.841099999999997</v>
      </c>
      <c r="R1752" s="2">
        <v>75</v>
      </c>
      <c r="S1752" s="2">
        <v>98.467299999999994</v>
      </c>
      <c r="T1752" s="2">
        <v>95</v>
      </c>
      <c r="U1752" s="2">
        <v>0.78349299999999999</v>
      </c>
      <c r="V1752" s="2">
        <v>60</v>
      </c>
      <c r="W1752" s="2">
        <v>2009</v>
      </c>
    </row>
    <row r="1753" spans="1:23" ht="12.3" hidden="1" x14ac:dyDescent="0.4">
      <c r="A1753" s="2" t="s">
        <v>262</v>
      </c>
      <c r="B1753" s="2"/>
      <c r="C1753" s="2"/>
      <c r="D1753" s="2"/>
      <c r="E1753" s="2"/>
      <c r="F1753" s="2"/>
      <c r="G1753" s="2"/>
      <c r="H1753" s="2"/>
      <c r="I1753" s="2">
        <v>67.228399999999993</v>
      </c>
      <c r="J1753" s="2">
        <v>151</v>
      </c>
      <c r="K1753" s="2">
        <v>66.001400000000004</v>
      </c>
      <c r="L1753" s="2">
        <v>197</v>
      </c>
      <c r="M1753" s="2">
        <v>102.7123</v>
      </c>
      <c r="N1753" s="2">
        <v>160</v>
      </c>
      <c r="O1753" s="2">
        <v>102.8944</v>
      </c>
      <c r="P1753" s="2">
        <v>155</v>
      </c>
      <c r="Q1753" s="2">
        <v>98.071600000000004</v>
      </c>
      <c r="R1753" s="2">
        <v>75</v>
      </c>
      <c r="S1753" s="2">
        <v>98.179299999999998</v>
      </c>
      <c r="T1753" s="2">
        <v>79</v>
      </c>
      <c r="U1753" s="2">
        <v>0.63168000000000002</v>
      </c>
      <c r="V1753" s="2">
        <v>108</v>
      </c>
      <c r="W1753" s="2">
        <v>2007</v>
      </c>
    </row>
    <row r="1754" spans="1:23" ht="12.3" hidden="1" x14ac:dyDescent="0.4">
      <c r="A1754" s="2" t="s">
        <v>157</v>
      </c>
      <c r="B1754" s="2"/>
      <c r="C1754" s="2"/>
      <c r="D1754" s="2"/>
      <c r="E1754" s="2"/>
      <c r="F1754" s="2"/>
      <c r="G1754" s="2"/>
      <c r="H1754" s="2"/>
      <c r="I1754" s="2">
        <v>68.889600000000002</v>
      </c>
      <c r="J1754" s="2">
        <v>93</v>
      </c>
      <c r="K1754" s="2">
        <v>68.690700000000007</v>
      </c>
      <c r="L1754" s="2">
        <v>92</v>
      </c>
      <c r="M1754" s="2">
        <v>104.4706</v>
      </c>
      <c r="N1754" s="2">
        <v>128</v>
      </c>
      <c r="O1754" s="2">
        <v>106.03270000000001</v>
      </c>
      <c r="P1754" s="2">
        <v>103</v>
      </c>
      <c r="Q1754" s="2">
        <v>103.44410000000001</v>
      </c>
      <c r="R1754" s="2">
        <v>193</v>
      </c>
      <c r="S1754" s="2">
        <v>101.2878</v>
      </c>
      <c r="T1754" s="2">
        <v>141</v>
      </c>
      <c r="U1754" s="2">
        <v>0.628664</v>
      </c>
      <c r="V1754" s="2">
        <v>109</v>
      </c>
      <c r="W1754" s="2">
        <v>2007</v>
      </c>
    </row>
    <row r="1755" spans="1:23" ht="12.3" x14ac:dyDescent="0.4">
      <c r="A1755" s="2" t="s">
        <v>222</v>
      </c>
      <c r="B1755" s="2">
        <v>13</v>
      </c>
      <c r="C1755" s="4" t="s">
        <v>33</v>
      </c>
      <c r="D1755" s="2"/>
      <c r="E1755" s="2"/>
      <c r="F1755" s="2"/>
      <c r="G1755" s="2"/>
      <c r="H1755" s="2"/>
      <c r="I1755" s="2">
        <v>64.316400000000002</v>
      </c>
      <c r="J1755" s="2">
        <v>265</v>
      </c>
      <c r="K1755" s="2">
        <v>64.5792</v>
      </c>
      <c r="L1755" s="2">
        <v>251</v>
      </c>
      <c r="M1755" s="2">
        <v>101.0395</v>
      </c>
      <c r="N1755" s="2">
        <v>174</v>
      </c>
      <c r="O1755" s="2">
        <v>103.90430000000001</v>
      </c>
      <c r="P1755" s="2">
        <v>129</v>
      </c>
      <c r="Q1755" s="2">
        <v>92.860500000000002</v>
      </c>
      <c r="R1755" s="2">
        <v>14</v>
      </c>
      <c r="S1755" s="2">
        <v>93.221000000000004</v>
      </c>
      <c r="T1755" s="2">
        <v>26</v>
      </c>
      <c r="U1755" s="2">
        <v>0.77690599999999999</v>
      </c>
      <c r="V1755" s="2">
        <v>61</v>
      </c>
      <c r="W1755" s="2">
        <v>2009</v>
      </c>
    </row>
    <row r="1756" spans="1:23" ht="12.3" x14ac:dyDescent="0.4">
      <c r="A1756" s="2" t="s">
        <v>48</v>
      </c>
      <c r="B1756" s="2">
        <v>13</v>
      </c>
      <c r="C1756" s="2"/>
      <c r="D1756" s="2"/>
      <c r="E1756" s="2"/>
      <c r="F1756" s="2"/>
      <c r="G1756" s="2"/>
      <c r="H1756" s="2"/>
      <c r="I1756" s="2">
        <v>69.860399999999998</v>
      </c>
      <c r="J1756" s="2">
        <v>59</v>
      </c>
      <c r="K1756" s="2">
        <v>68.2547</v>
      </c>
      <c r="L1756" s="2">
        <v>93</v>
      </c>
      <c r="M1756" s="2">
        <v>104.2522</v>
      </c>
      <c r="N1756" s="2">
        <v>120</v>
      </c>
      <c r="O1756" s="2">
        <v>106.2569</v>
      </c>
      <c r="P1756" s="2">
        <v>88</v>
      </c>
      <c r="Q1756" s="2">
        <v>97.165899999999993</v>
      </c>
      <c r="R1756" s="2">
        <v>81</v>
      </c>
      <c r="S1756" s="2">
        <v>95.5351</v>
      </c>
      <c r="T1756" s="2">
        <v>52</v>
      </c>
      <c r="U1756" s="2">
        <v>0.77262900000000001</v>
      </c>
      <c r="V1756" s="2">
        <v>63</v>
      </c>
      <c r="W1756" s="2">
        <v>2009</v>
      </c>
    </row>
    <row r="1757" spans="1:23" ht="12.3" hidden="1" x14ac:dyDescent="0.4">
      <c r="A1757" s="2" t="s">
        <v>60</v>
      </c>
      <c r="B1757" s="2"/>
      <c r="C1757" s="2"/>
      <c r="D1757" s="2"/>
      <c r="E1757" s="2"/>
      <c r="F1757" s="2"/>
      <c r="G1757" s="2"/>
      <c r="H1757" s="2"/>
      <c r="I1757" s="2">
        <v>65.998000000000005</v>
      </c>
      <c r="J1757" s="2">
        <v>206</v>
      </c>
      <c r="K1757" s="2">
        <v>64.970799999999997</v>
      </c>
      <c r="L1757" s="2">
        <v>235</v>
      </c>
      <c r="M1757" s="2">
        <v>106.8511</v>
      </c>
      <c r="N1757" s="2">
        <v>84</v>
      </c>
      <c r="O1757" s="2">
        <v>110.2664</v>
      </c>
      <c r="P1757" s="2">
        <v>48</v>
      </c>
      <c r="Q1757" s="2">
        <v>109.7551</v>
      </c>
      <c r="R1757" s="2">
        <v>310</v>
      </c>
      <c r="S1757" s="2">
        <v>105.4706</v>
      </c>
      <c r="T1757" s="2">
        <v>222</v>
      </c>
      <c r="U1757" s="2">
        <v>0.62512699999999999</v>
      </c>
      <c r="V1757" s="2">
        <v>112</v>
      </c>
      <c r="W1757" s="2">
        <v>2007</v>
      </c>
    </row>
    <row r="1758" spans="1:23" ht="12.3" hidden="1" x14ac:dyDescent="0.4">
      <c r="A1758" s="2" t="s">
        <v>61</v>
      </c>
      <c r="B1758" s="2"/>
      <c r="C1758" s="2"/>
      <c r="D1758" s="2"/>
      <c r="E1758" s="2"/>
      <c r="F1758" s="2"/>
      <c r="G1758" s="2"/>
      <c r="H1758" s="2"/>
      <c r="I1758" s="2">
        <v>71.4375</v>
      </c>
      <c r="J1758" s="2">
        <v>38</v>
      </c>
      <c r="K1758" s="2">
        <v>71.473100000000002</v>
      </c>
      <c r="L1758" s="2">
        <v>30</v>
      </c>
      <c r="M1758" s="2">
        <v>101.7238</v>
      </c>
      <c r="N1758" s="2">
        <v>175</v>
      </c>
      <c r="O1758" s="2">
        <v>104.11620000000001</v>
      </c>
      <c r="P1758" s="2">
        <v>139</v>
      </c>
      <c r="Q1758" s="2">
        <v>105.5013</v>
      </c>
      <c r="R1758" s="2">
        <v>243</v>
      </c>
      <c r="S1758" s="2">
        <v>99.627099999999999</v>
      </c>
      <c r="T1758" s="2">
        <v>104</v>
      </c>
      <c r="U1758" s="2">
        <v>0.62406600000000001</v>
      </c>
      <c r="V1758" s="2">
        <v>113</v>
      </c>
      <c r="W1758" s="2">
        <v>2007</v>
      </c>
    </row>
    <row r="1759" spans="1:23" ht="12.3" hidden="1" x14ac:dyDescent="0.4">
      <c r="A1759" s="2" t="s">
        <v>212</v>
      </c>
      <c r="B1759" s="2"/>
      <c r="C1759" s="2"/>
      <c r="D1759" s="2"/>
      <c r="E1759" s="2"/>
      <c r="F1759" s="2"/>
      <c r="G1759" s="2"/>
      <c r="H1759" s="2"/>
      <c r="I1759" s="2">
        <v>72.138900000000007</v>
      </c>
      <c r="J1759" s="2">
        <v>25</v>
      </c>
      <c r="K1759" s="2">
        <v>71.365399999999994</v>
      </c>
      <c r="L1759" s="2">
        <v>31</v>
      </c>
      <c r="M1759" s="2">
        <v>103.6481</v>
      </c>
      <c r="N1759" s="2">
        <v>146</v>
      </c>
      <c r="O1759" s="2">
        <v>105.1622</v>
      </c>
      <c r="P1759" s="2">
        <v>122</v>
      </c>
      <c r="Q1759" s="2">
        <v>99.380300000000005</v>
      </c>
      <c r="R1759" s="2">
        <v>100</v>
      </c>
      <c r="S1759" s="2">
        <v>100.6785</v>
      </c>
      <c r="T1759" s="2">
        <v>128</v>
      </c>
      <c r="U1759" s="2">
        <v>0.62271100000000001</v>
      </c>
      <c r="V1759" s="2">
        <v>114</v>
      </c>
      <c r="W1759" s="2">
        <v>2007</v>
      </c>
    </row>
    <row r="1760" spans="1:23" ht="12.3" hidden="1" x14ac:dyDescent="0.4">
      <c r="A1760" s="2" t="s">
        <v>177</v>
      </c>
      <c r="B1760" s="2"/>
      <c r="C1760" s="2"/>
      <c r="D1760" s="2"/>
      <c r="E1760" s="2"/>
      <c r="F1760" s="2"/>
      <c r="G1760" s="2"/>
      <c r="H1760" s="2"/>
      <c r="I1760" s="2">
        <v>65.171899999999994</v>
      </c>
      <c r="J1760" s="2">
        <v>230</v>
      </c>
      <c r="K1760" s="2">
        <v>64.321299999999994</v>
      </c>
      <c r="L1760" s="2">
        <v>264</v>
      </c>
      <c r="M1760" s="2">
        <v>109.08580000000001</v>
      </c>
      <c r="N1760" s="2">
        <v>47</v>
      </c>
      <c r="O1760" s="2">
        <v>107.1568</v>
      </c>
      <c r="P1760" s="2">
        <v>89</v>
      </c>
      <c r="Q1760" s="2">
        <v>99.145600000000002</v>
      </c>
      <c r="R1760" s="2">
        <v>96</v>
      </c>
      <c r="S1760" s="2">
        <v>102.61499999999999</v>
      </c>
      <c r="T1760" s="2">
        <v>166</v>
      </c>
      <c r="U1760" s="2">
        <v>0.62200200000000005</v>
      </c>
      <c r="V1760" s="2">
        <v>115</v>
      </c>
      <c r="W1760" s="2">
        <v>2007</v>
      </c>
    </row>
    <row r="1761" spans="1:23" ht="12.3" hidden="1" x14ac:dyDescent="0.4">
      <c r="A1761" s="2" t="s">
        <v>220</v>
      </c>
      <c r="B1761" s="2"/>
      <c r="C1761" s="2"/>
      <c r="D1761" s="2"/>
      <c r="E1761" s="2"/>
      <c r="F1761" s="2"/>
      <c r="G1761" s="2"/>
      <c r="H1761" s="2"/>
      <c r="I1761" s="2">
        <v>66.198400000000007</v>
      </c>
      <c r="J1761" s="2">
        <v>198</v>
      </c>
      <c r="K1761" s="2">
        <v>67.578500000000005</v>
      </c>
      <c r="L1761" s="2">
        <v>125</v>
      </c>
      <c r="M1761" s="2">
        <v>105.49290000000001</v>
      </c>
      <c r="N1761" s="2">
        <v>110</v>
      </c>
      <c r="O1761" s="2">
        <v>104.95950000000001</v>
      </c>
      <c r="P1761" s="2">
        <v>127</v>
      </c>
      <c r="Q1761" s="2">
        <v>97.160799999999995</v>
      </c>
      <c r="R1761" s="2">
        <v>64</v>
      </c>
      <c r="S1761" s="2">
        <v>100.622</v>
      </c>
      <c r="T1761" s="2">
        <v>122</v>
      </c>
      <c r="U1761" s="2">
        <v>0.61900999999999995</v>
      </c>
      <c r="V1761" s="2">
        <v>116</v>
      </c>
      <c r="W1761" s="2">
        <v>2007</v>
      </c>
    </row>
    <row r="1762" spans="1:23" ht="12.3" hidden="1" x14ac:dyDescent="0.4">
      <c r="A1762" s="2" t="s">
        <v>119</v>
      </c>
      <c r="B1762" s="2"/>
      <c r="C1762" s="2"/>
      <c r="D1762" s="2"/>
      <c r="E1762" s="2"/>
      <c r="F1762" s="2"/>
      <c r="G1762" s="2"/>
      <c r="H1762" s="2"/>
      <c r="I1762" s="2">
        <v>70.296999999999997</v>
      </c>
      <c r="J1762" s="2">
        <v>60</v>
      </c>
      <c r="K1762" s="2">
        <v>71.2453</v>
      </c>
      <c r="L1762" s="2">
        <v>32</v>
      </c>
      <c r="M1762" s="2">
        <v>104.3344</v>
      </c>
      <c r="N1762" s="2">
        <v>132</v>
      </c>
      <c r="O1762" s="2">
        <v>104.996</v>
      </c>
      <c r="P1762" s="2">
        <v>126</v>
      </c>
      <c r="Q1762" s="2">
        <v>102.6994</v>
      </c>
      <c r="R1762" s="2">
        <v>177</v>
      </c>
      <c r="S1762" s="2">
        <v>100.7021</v>
      </c>
      <c r="T1762" s="2">
        <v>129</v>
      </c>
      <c r="U1762" s="2">
        <v>0.61779300000000004</v>
      </c>
      <c r="V1762" s="2">
        <v>117</v>
      </c>
      <c r="W1762" s="2">
        <v>2007</v>
      </c>
    </row>
    <row r="1763" spans="1:23" ht="12.3" hidden="1" x14ac:dyDescent="0.4">
      <c r="A1763" s="2" t="s">
        <v>64</v>
      </c>
      <c r="B1763" s="2"/>
      <c r="C1763" s="2"/>
      <c r="D1763" s="2"/>
      <c r="E1763" s="2"/>
      <c r="F1763" s="2"/>
      <c r="G1763" s="2"/>
      <c r="H1763" s="2"/>
      <c r="I1763" s="2">
        <v>65.250699999999995</v>
      </c>
      <c r="J1763" s="2">
        <v>226</v>
      </c>
      <c r="K1763" s="2">
        <v>65.073899999999995</v>
      </c>
      <c r="L1763" s="2">
        <v>230</v>
      </c>
      <c r="M1763" s="2">
        <v>101.9611</v>
      </c>
      <c r="N1763" s="2">
        <v>169</v>
      </c>
      <c r="O1763" s="2">
        <v>103.72410000000001</v>
      </c>
      <c r="P1763" s="2">
        <v>144</v>
      </c>
      <c r="Q1763" s="2">
        <v>100.6559</v>
      </c>
      <c r="R1763" s="2">
        <v>134</v>
      </c>
      <c r="S1763" s="2">
        <v>99.49</v>
      </c>
      <c r="T1763" s="2">
        <v>98</v>
      </c>
      <c r="U1763" s="2">
        <v>0.61758000000000002</v>
      </c>
      <c r="V1763" s="2">
        <v>118</v>
      </c>
      <c r="W1763" s="2">
        <v>2007</v>
      </c>
    </row>
    <row r="1764" spans="1:23" ht="12.3" hidden="1" x14ac:dyDescent="0.4">
      <c r="A1764" s="2" t="s">
        <v>105</v>
      </c>
      <c r="B1764" s="2"/>
      <c r="C1764" s="2"/>
      <c r="D1764" s="2"/>
      <c r="E1764" s="2"/>
      <c r="F1764" s="2"/>
      <c r="G1764" s="2"/>
      <c r="H1764" s="2"/>
      <c r="I1764" s="2">
        <v>66.775400000000005</v>
      </c>
      <c r="J1764" s="2">
        <v>170</v>
      </c>
      <c r="K1764" s="2">
        <v>66.331900000000005</v>
      </c>
      <c r="L1764" s="2">
        <v>183</v>
      </c>
      <c r="M1764" s="2">
        <v>102.55119999999999</v>
      </c>
      <c r="N1764" s="2">
        <v>162</v>
      </c>
      <c r="O1764" s="2">
        <v>102.0295</v>
      </c>
      <c r="P1764" s="2">
        <v>169</v>
      </c>
      <c r="Q1764" s="2">
        <v>96.523099999999999</v>
      </c>
      <c r="R1764" s="2">
        <v>53</v>
      </c>
      <c r="S1764" s="2">
        <v>98.091200000000001</v>
      </c>
      <c r="T1764" s="2">
        <v>73</v>
      </c>
      <c r="U1764" s="2">
        <v>0.61128000000000005</v>
      </c>
      <c r="V1764" s="2">
        <v>119</v>
      </c>
      <c r="W1764" s="2">
        <v>2007</v>
      </c>
    </row>
    <row r="1765" spans="1:23" ht="12.3" hidden="1" x14ac:dyDescent="0.4">
      <c r="A1765" s="2" t="s">
        <v>69</v>
      </c>
      <c r="B1765" s="2"/>
      <c r="C1765" s="2"/>
      <c r="D1765" s="2"/>
      <c r="E1765" s="2"/>
      <c r="F1765" s="2"/>
      <c r="G1765" s="2"/>
      <c r="H1765" s="2"/>
      <c r="I1765" s="2">
        <v>66.9435</v>
      </c>
      <c r="J1765" s="2">
        <v>161</v>
      </c>
      <c r="K1765" s="2">
        <v>65.984300000000005</v>
      </c>
      <c r="L1765" s="2">
        <v>198</v>
      </c>
      <c r="M1765" s="2">
        <v>99.485699999999994</v>
      </c>
      <c r="N1765" s="2">
        <v>214</v>
      </c>
      <c r="O1765" s="2">
        <v>98.700400000000002</v>
      </c>
      <c r="P1765" s="2">
        <v>224</v>
      </c>
      <c r="Q1765" s="2">
        <v>93.017200000000003</v>
      </c>
      <c r="R1765" s="2">
        <v>14</v>
      </c>
      <c r="S1765" s="2">
        <v>94.949600000000004</v>
      </c>
      <c r="T1765" s="2">
        <v>40</v>
      </c>
      <c r="U1765" s="2">
        <v>0.60958000000000001</v>
      </c>
      <c r="V1765" s="2">
        <v>120</v>
      </c>
      <c r="W1765" s="2">
        <v>2007</v>
      </c>
    </row>
    <row r="1766" spans="1:23" ht="12.3" hidden="1" x14ac:dyDescent="0.4">
      <c r="A1766" s="2" t="s">
        <v>116</v>
      </c>
      <c r="B1766" s="2"/>
      <c r="C1766" s="2"/>
      <c r="D1766" s="2"/>
      <c r="E1766" s="2"/>
      <c r="F1766" s="2"/>
      <c r="G1766" s="2"/>
      <c r="H1766" s="2"/>
      <c r="I1766" s="2">
        <v>64.061700000000002</v>
      </c>
      <c r="J1766" s="2">
        <v>264</v>
      </c>
      <c r="K1766" s="2">
        <v>62.530099999999997</v>
      </c>
      <c r="L1766" s="2">
        <v>304</v>
      </c>
      <c r="M1766" s="2">
        <v>101.45140000000001</v>
      </c>
      <c r="N1766" s="2">
        <v>186</v>
      </c>
      <c r="O1766" s="2">
        <v>103.0043</v>
      </c>
      <c r="P1766" s="2">
        <v>152</v>
      </c>
      <c r="Q1766" s="2">
        <v>101.5468</v>
      </c>
      <c r="R1766" s="2">
        <v>154</v>
      </c>
      <c r="S1766" s="2">
        <v>99.17</v>
      </c>
      <c r="T1766" s="2">
        <v>92</v>
      </c>
      <c r="U1766" s="2">
        <v>0.60736699999999999</v>
      </c>
      <c r="V1766" s="2">
        <v>121</v>
      </c>
      <c r="W1766" s="2">
        <v>2007</v>
      </c>
    </row>
    <row r="1767" spans="1:23" ht="12.3" hidden="1" x14ac:dyDescent="0.4">
      <c r="A1767" s="2" t="s">
        <v>162</v>
      </c>
      <c r="B1767" s="2"/>
      <c r="C1767" s="2"/>
      <c r="D1767" s="2"/>
      <c r="E1767" s="2"/>
      <c r="F1767" s="2"/>
      <c r="G1767" s="2"/>
      <c r="H1767" s="2"/>
      <c r="I1767" s="2">
        <v>68.003200000000007</v>
      </c>
      <c r="J1767" s="2">
        <v>113</v>
      </c>
      <c r="K1767" s="2">
        <v>68.398200000000003</v>
      </c>
      <c r="L1767" s="2">
        <v>102</v>
      </c>
      <c r="M1767" s="2">
        <v>103.1314</v>
      </c>
      <c r="N1767" s="2">
        <v>154</v>
      </c>
      <c r="O1767" s="2">
        <v>105.9359</v>
      </c>
      <c r="P1767" s="2">
        <v>107</v>
      </c>
      <c r="Q1767" s="2">
        <v>102.8078</v>
      </c>
      <c r="R1767" s="2">
        <v>180</v>
      </c>
      <c r="S1767" s="2">
        <v>102.04040000000001</v>
      </c>
      <c r="T1767" s="2">
        <v>160</v>
      </c>
      <c r="U1767" s="2">
        <v>0.60607699999999998</v>
      </c>
      <c r="V1767" s="2">
        <v>122</v>
      </c>
      <c r="W1767" s="2">
        <v>2007</v>
      </c>
    </row>
    <row r="1768" spans="1:23" ht="12.3" hidden="1" x14ac:dyDescent="0.4">
      <c r="A1768" s="2" t="s">
        <v>17</v>
      </c>
      <c r="B1768" s="2"/>
      <c r="C1768" s="2"/>
      <c r="D1768" s="2"/>
      <c r="E1768" s="2"/>
      <c r="F1768" s="2"/>
      <c r="G1768" s="2"/>
      <c r="H1768" s="2"/>
      <c r="I1768" s="2">
        <v>62.372399999999999</v>
      </c>
      <c r="J1768" s="2">
        <v>303</v>
      </c>
      <c r="K1768" s="2">
        <v>62.282800000000002</v>
      </c>
      <c r="L1768" s="2">
        <v>309</v>
      </c>
      <c r="M1768" s="2">
        <v>102.8039</v>
      </c>
      <c r="N1768" s="2">
        <v>158</v>
      </c>
      <c r="O1768" s="2">
        <v>108.0475</v>
      </c>
      <c r="P1768" s="2">
        <v>76</v>
      </c>
      <c r="Q1768" s="2">
        <v>109.212</v>
      </c>
      <c r="R1768" s="2">
        <v>302</v>
      </c>
      <c r="S1768" s="2">
        <v>104.60550000000001</v>
      </c>
      <c r="T1768" s="2">
        <v>204</v>
      </c>
      <c r="U1768" s="2">
        <v>0.59201700000000002</v>
      </c>
      <c r="V1768" s="2">
        <v>123</v>
      </c>
      <c r="W1768" s="2">
        <v>2007</v>
      </c>
    </row>
    <row r="1769" spans="1:23" ht="12.3" hidden="1" x14ac:dyDescent="0.4">
      <c r="A1769" s="2" t="s">
        <v>143</v>
      </c>
      <c r="B1769" s="2"/>
      <c r="C1769" s="2"/>
      <c r="D1769" s="2"/>
      <c r="E1769" s="2"/>
      <c r="F1769" s="2"/>
      <c r="G1769" s="2"/>
      <c r="H1769" s="2"/>
      <c r="I1769" s="2">
        <v>67.426699999999997</v>
      </c>
      <c r="J1769" s="2">
        <v>139</v>
      </c>
      <c r="K1769" s="2">
        <v>67.164699999999996</v>
      </c>
      <c r="L1769" s="2">
        <v>147</v>
      </c>
      <c r="M1769" s="2">
        <v>110.527</v>
      </c>
      <c r="N1769" s="2">
        <v>36</v>
      </c>
      <c r="O1769" s="2">
        <v>107.877</v>
      </c>
      <c r="P1769" s="2">
        <v>78</v>
      </c>
      <c r="Q1769" s="2">
        <v>100.3326</v>
      </c>
      <c r="R1769" s="2">
        <v>126</v>
      </c>
      <c r="S1769" s="2">
        <v>104.4973</v>
      </c>
      <c r="T1769" s="2">
        <v>203</v>
      </c>
      <c r="U1769" s="2">
        <v>0.59050400000000003</v>
      </c>
      <c r="V1769" s="2">
        <v>124</v>
      </c>
      <c r="W1769" s="2">
        <v>2007</v>
      </c>
    </row>
    <row r="1770" spans="1:23" ht="12.3" hidden="1" x14ac:dyDescent="0.4">
      <c r="A1770" s="2" t="s">
        <v>128</v>
      </c>
      <c r="B1770" s="2"/>
      <c r="C1770" s="2"/>
      <c r="D1770" s="2"/>
      <c r="E1770" s="2"/>
      <c r="F1770" s="2"/>
      <c r="G1770" s="2"/>
      <c r="H1770" s="2"/>
      <c r="I1770" s="2">
        <v>65.902000000000001</v>
      </c>
      <c r="J1770" s="2">
        <v>210</v>
      </c>
      <c r="K1770" s="2">
        <v>65.013999999999996</v>
      </c>
      <c r="L1770" s="2">
        <v>232</v>
      </c>
      <c r="M1770" s="2">
        <v>98.101900000000001</v>
      </c>
      <c r="N1770" s="2">
        <v>239</v>
      </c>
      <c r="O1770" s="2">
        <v>99.555300000000003</v>
      </c>
      <c r="P1770" s="2">
        <v>211</v>
      </c>
      <c r="Q1770" s="2">
        <v>96.842699999999994</v>
      </c>
      <c r="R1770" s="2">
        <v>57</v>
      </c>
      <c r="S1770" s="2">
        <v>96.519900000000007</v>
      </c>
      <c r="T1770" s="2">
        <v>53</v>
      </c>
      <c r="U1770" s="2">
        <v>0.58809500000000003</v>
      </c>
      <c r="V1770" s="2">
        <v>125</v>
      </c>
      <c r="W1770" s="2">
        <v>2007</v>
      </c>
    </row>
    <row r="1771" spans="1:23" ht="12.3" hidden="1" x14ac:dyDescent="0.4">
      <c r="A1771" s="2" t="s">
        <v>68</v>
      </c>
      <c r="B1771" s="2"/>
      <c r="C1771" s="2"/>
      <c r="D1771" s="2"/>
      <c r="E1771" s="2"/>
      <c r="F1771" s="2"/>
      <c r="G1771" s="2"/>
      <c r="H1771" s="2"/>
      <c r="I1771" s="2">
        <v>69.340199999999996</v>
      </c>
      <c r="J1771" s="2">
        <v>83</v>
      </c>
      <c r="K1771" s="2">
        <v>68.971299999999999</v>
      </c>
      <c r="L1771" s="2">
        <v>81</v>
      </c>
      <c r="M1771" s="2">
        <v>112.52070000000001</v>
      </c>
      <c r="N1771" s="2">
        <v>17</v>
      </c>
      <c r="O1771" s="2">
        <v>109.39749999999999</v>
      </c>
      <c r="P1771" s="2">
        <v>60</v>
      </c>
      <c r="Q1771" s="2">
        <v>103.8254</v>
      </c>
      <c r="R1771" s="2">
        <v>197</v>
      </c>
      <c r="S1771" s="2">
        <v>106.0825</v>
      </c>
      <c r="T1771" s="2">
        <v>232</v>
      </c>
      <c r="U1771" s="2">
        <v>0.58755400000000002</v>
      </c>
      <c r="V1771" s="2">
        <v>126</v>
      </c>
      <c r="W1771" s="2">
        <v>2007</v>
      </c>
    </row>
    <row r="1772" spans="1:23" ht="12.3" hidden="1" x14ac:dyDescent="0.4">
      <c r="A1772" s="2" t="s">
        <v>102</v>
      </c>
      <c r="B1772" s="2"/>
      <c r="C1772" s="2"/>
      <c r="D1772" s="2"/>
      <c r="E1772" s="2"/>
      <c r="F1772" s="2"/>
      <c r="G1772" s="2"/>
      <c r="H1772" s="2"/>
      <c r="I1772" s="2">
        <v>64.717299999999994</v>
      </c>
      <c r="J1772" s="2">
        <v>252</v>
      </c>
      <c r="K1772" s="2">
        <v>64.790099999999995</v>
      </c>
      <c r="L1772" s="2">
        <v>244</v>
      </c>
      <c r="M1772" s="2">
        <v>98.448300000000003</v>
      </c>
      <c r="N1772" s="2">
        <v>235</v>
      </c>
      <c r="O1772" s="2">
        <v>101.2479</v>
      </c>
      <c r="P1772" s="2">
        <v>182</v>
      </c>
      <c r="Q1772" s="2">
        <v>99.860799999999998</v>
      </c>
      <c r="R1772" s="2">
        <v>113</v>
      </c>
      <c r="S1772" s="2">
        <v>98.278599999999997</v>
      </c>
      <c r="T1772" s="2">
        <v>82</v>
      </c>
      <c r="U1772" s="2">
        <v>0.58475100000000002</v>
      </c>
      <c r="V1772" s="2">
        <v>127</v>
      </c>
      <c r="W1772" s="2">
        <v>2007</v>
      </c>
    </row>
    <row r="1773" spans="1:23" ht="12.3" hidden="1" x14ac:dyDescent="0.4">
      <c r="A1773" s="2" t="s">
        <v>258</v>
      </c>
      <c r="B1773" s="2"/>
      <c r="C1773" s="2"/>
      <c r="D1773" s="2"/>
      <c r="E1773" s="2"/>
      <c r="F1773" s="2"/>
      <c r="G1773" s="2"/>
      <c r="H1773" s="2"/>
      <c r="I1773" s="2">
        <v>68.122500000000002</v>
      </c>
      <c r="J1773" s="2">
        <v>109</v>
      </c>
      <c r="K1773" s="2">
        <v>68.281899999999993</v>
      </c>
      <c r="L1773" s="2">
        <v>106</v>
      </c>
      <c r="M1773" s="2">
        <v>110.30929999999999</v>
      </c>
      <c r="N1773" s="2">
        <v>38</v>
      </c>
      <c r="O1773" s="2">
        <v>111.3843</v>
      </c>
      <c r="P1773" s="2">
        <v>38</v>
      </c>
      <c r="Q1773" s="2">
        <v>111.185</v>
      </c>
      <c r="R1773" s="2">
        <v>322</v>
      </c>
      <c r="S1773" s="2">
        <v>108.18</v>
      </c>
      <c r="T1773" s="2">
        <v>278</v>
      </c>
      <c r="U1773" s="2">
        <v>0.58313999999999999</v>
      </c>
      <c r="V1773" s="2">
        <v>128</v>
      </c>
      <c r="W1773" s="2">
        <v>2007</v>
      </c>
    </row>
    <row r="1774" spans="1:23" ht="12.3" hidden="1" x14ac:dyDescent="0.4">
      <c r="A1774" s="2" t="s">
        <v>93</v>
      </c>
      <c r="B1774" s="2"/>
      <c r="C1774" s="2"/>
      <c r="D1774" s="2"/>
      <c r="E1774" s="2"/>
      <c r="F1774" s="2"/>
      <c r="G1774" s="2"/>
      <c r="H1774" s="2"/>
      <c r="I1774" s="2">
        <v>69.477400000000003</v>
      </c>
      <c r="J1774" s="2">
        <v>80</v>
      </c>
      <c r="K1774" s="2">
        <v>69.739599999999996</v>
      </c>
      <c r="L1774" s="2">
        <v>60</v>
      </c>
      <c r="M1774" s="2">
        <v>105.3313</v>
      </c>
      <c r="N1774" s="2">
        <v>113</v>
      </c>
      <c r="O1774" s="2">
        <v>106.6888</v>
      </c>
      <c r="P1774" s="2">
        <v>93</v>
      </c>
      <c r="Q1774" s="2">
        <v>107.32340000000001</v>
      </c>
      <c r="R1774" s="2">
        <v>282</v>
      </c>
      <c r="S1774" s="2">
        <v>104.0138</v>
      </c>
      <c r="T1774" s="2">
        <v>192</v>
      </c>
      <c r="U1774" s="2">
        <v>0.57249099999999997</v>
      </c>
      <c r="V1774" s="2">
        <v>129</v>
      </c>
      <c r="W1774" s="2">
        <v>2007</v>
      </c>
    </row>
    <row r="1775" spans="1:23" ht="12.3" hidden="1" x14ac:dyDescent="0.4">
      <c r="A1775" s="2" t="s">
        <v>165</v>
      </c>
      <c r="B1775" s="2"/>
      <c r="C1775" s="2"/>
      <c r="D1775" s="2"/>
      <c r="E1775" s="2"/>
      <c r="F1775" s="2"/>
      <c r="G1775" s="2"/>
      <c r="H1775" s="2"/>
      <c r="I1775" s="2">
        <v>64.530299999999997</v>
      </c>
      <c r="J1775" s="2">
        <v>256</v>
      </c>
      <c r="K1775" s="2">
        <v>64.945599999999999</v>
      </c>
      <c r="L1775" s="2">
        <v>237</v>
      </c>
      <c r="M1775" s="2">
        <v>106.4002</v>
      </c>
      <c r="N1775" s="2">
        <v>93</v>
      </c>
      <c r="O1775" s="2">
        <v>108.6259</v>
      </c>
      <c r="P1775" s="2">
        <v>70</v>
      </c>
      <c r="Q1775" s="2">
        <v>105.10680000000001</v>
      </c>
      <c r="R1775" s="2">
        <v>232</v>
      </c>
      <c r="S1775" s="2">
        <v>105.92100000000001</v>
      </c>
      <c r="T1775" s="2">
        <v>230</v>
      </c>
      <c r="U1775" s="2">
        <v>0.571994</v>
      </c>
      <c r="V1775" s="2">
        <v>130</v>
      </c>
      <c r="W1775" s="2">
        <v>2007</v>
      </c>
    </row>
    <row r="1776" spans="1:23" ht="12.3" hidden="1" x14ac:dyDescent="0.4">
      <c r="A1776" s="2" t="s">
        <v>151</v>
      </c>
      <c r="B1776" s="2"/>
      <c r="C1776" s="2"/>
      <c r="D1776" s="2"/>
      <c r="E1776" s="2"/>
      <c r="F1776" s="2"/>
      <c r="G1776" s="2"/>
      <c r="H1776" s="2"/>
      <c r="I1776" s="2">
        <v>66.739599999999996</v>
      </c>
      <c r="J1776" s="2">
        <v>173</v>
      </c>
      <c r="K1776" s="2">
        <v>66.875500000000002</v>
      </c>
      <c r="L1776" s="2">
        <v>159</v>
      </c>
      <c r="M1776" s="2">
        <v>106.5252</v>
      </c>
      <c r="N1776" s="2">
        <v>88</v>
      </c>
      <c r="O1776" s="2">
        <v>106.4704</v>
      </c>
      <c r="P1776" s="2">
        <v>96</v>
      </c>
      <c r="Q1776" s="2">
        <v>103.88460000000001</v>
      </c>
      <c r="R1776" s="2">
        <v>198</v>
      </c>
      <c r="S1776" s="2">
        <v>103.9581</v>
      </c>
      <c r="T1776" s="2">
        <v>190</v>
      </c>
      <c r="U1776" s="2">
        <v>0.56822399999999995</v>
      </c>
      <c r="V1776" s="2">
        <v>131</v>
      </c>
      <c r="W1776" s="2">
        <v>2007</v>
      </c>
    </row>
    <row r="1777" spans="1:23" ht="12.3" hidden="1" x14ac:dyDescent="0.4">
      <c r="A1777" s="2" t="s">
        <v>249</v>
      </c>
      <c r="B1777" s="2"/>
      <c r="C1777" s="2"/>
      <c r="D1777" s="2"/>
      <c r="E1777" s="2"/>
      <c r="F1777" s="2"/>
      <c r="G1777" s="2"/>
      <c r="H1777" s="2"/>
      <c r="I1777" s="2">
        <v>64.866500000000002</v>
      </c>
      <c r="J1777" s="2">
        <v>248</v>
      </c>
      <c r="K1777" s="2">
        <v>63.629100000000001</v>
      </c>
      <c r="L1777" s="2">
        <v>289</v>
      </c>
      <c r="M1777" s="2">
        <v>100.8704</v>
      </c>
      <c r="N1777" s="2">
        <v>194</v>
      </c>
      <c r="O1777" s="2">
        <v>99.609399999999994</v>
      </c>
      <c r="P1777" s="2">
        <v>210</v>
      </c>
      <c r="Q1777" s="2">
        <v>98.533799999999999</v>
      </c>
      <c r="R1777" s="2">
        <v>83</v>
      </c>
      <c r="S1777" s="2">
        <v>97.299499999999995</v>
      </c>
      <c r="T1777" s="2">
        <v>61</v>
      </c>
      <c r="U1777" s="2">
        <v>0.56705099999999997</v>
      </c>
      <c r="V1777" s="2">
        <v>132</v>
      </c>
      <c r="W1777" s="2">
        <v>2007</v>
      </c>
    </row>
    <row r="1778" spans="1:23" ht="12.3" hidden="1" x14ac:dyDescent="0.4">
      <c r="A1778" s="2" t="s">
        <v>175</v>
      </c>
      <c r="B1778" s="2"/>
      <c r="C1778" s="2"/>
      <c r="D1778" s="2"/>
      <c r="E1778" s="2"/>
      <c r="F1778" s="2"/>
      <c r="G1778" s="2"/>
      <c r="H1778" s="2"/>
      <c r="I1778" s="2">
        <v>66.841200000000001</v>
      </c>
      <c r="J1778" s="2">
        <v>163</v>
      </c>
      <c r="K1778" s="2">
        <v>65.935199999999995</v>
      </c>
      <c r="L1778" s="2">
        <v>202</v>
      </c>
      <c r="M1778" s="2">
        <v>100.6242</v>
      </c>
      <c r="N1778" s="2">
        <v>198</v>
      </c>
      <c r="O1778" s="2">
        <v>102.12869999999999</v>
      </c>
      <c r="P1778" s="2">
        <v>167</v>
      </c>
      <c r="Q1778" s="2">
        <v>95.887299999999996</v>
      </c>
      <c r="R1778" s="2">
        <v>43</v>
      </c>
      <c r="S1778" s="2">
        <v>99.967799999999997</v>
      </c>
      <c r="T1778" s="2">
        <v>112</v>
      </c>
      <c r="U1778" s="2">
        <v>0.56117600000000001</v>
      </c>
      <c r="V1778" s="2">
        <v>133</v>
      </c>
      <c r="W1778" s="2">
        <v>2007</v>
      </c>
    </row>
    <row r="1779" spans="1:23" ht="12.3" hidden="1" x14ac:dyDescent="0.4">
      <c r="A1779" s="2" t="s">
        <v>146</v>
      </c>
      <c r="B1779" s="2"/>
      <c r="C1779" s="2"/>
      <c r="D1779" s="2"/>
      <c r="E1779" s="2"/>
      <c r="F1779" s="2"/>
      <c r="G1779" s="2"/>
      <c r="H1779" s="2"/>
      <c r="I1779" s="2">
        <v>65.1327</v>
      </c>
      <c r="J1779" s="2">
        <v>234</v>
      </c>
      <c r="K1779" s="2">
        <v>64.503900000000002</v>
      </c>
      <c r="L1779" s="2">
        <v>255</v>
      </c>
      <c r="M1779" s="2">
        <v>96.351299999999995</v>
      </c>
      <c r="N1779" s="2">
        <v>268</v>
      </c>
      <c r="O1779" s="2">
        <v>98.817499999999995</v>
      </c>
      <c r="P1779" s="2">
        <v>222</v>
      </c>
      <c r="Q1779" s="2">
        <v>100.2591</v>
      </c>
      <c r="R1779" s="2">
        <v>121</v>
      </c>
      <c r="S1779" s="2">
        <v>96.764399999999995</v>
      </c>
      <c r="T1779" s="2">
        <v>58</v>
      </c>
      <c r="U1779" s="2">
        <v>0.56006900000000004</v>
      </c>
      <c r="V1779" s="2">
        <v>134</v>
      </c>
      <c r="W1779" s="2">
        <v>2007</v>
      </c>
    </row>
    <row r="1780" spans="1:23" ht="12.3" hidden="1" x14ac:dyDescent="0.4">
      <c r="A1780" s="2" t="s">
        <v>225</v>
      </c>
      <c r="B1780" s="2"/>
      <c r="C1780" s="2"/>
      <c r="D1780" s="2"/>
      <c r="E1780" s="2"/>
      <c r="F1780" s="2"/>
      <c r="G1780" s="2"/>
      <c r="H1780" s="2"/>
      <c r="I1780" s="2">
        <v>71.307000000000002</v>
      </c>
      <c r="J1780" s="2">
        <v>41</v>
      </c>
      <c r="K1780" s="2">
        <v>70.522599999999997</v>
      </c>
      <c r="L1780" s="2">
        <v>44</v>
      </c>
      <c r="M1780" s="2">
        <v>105.4648</v>
      </c>
      <c r="N1780" s="2">
        <v>111</v>
      </c>
      <c r="O1780" s="2">
        <v>103.7197</v>
      </c>
      <c r="P1780" s="2">
        <v>145</v>
      </c>
      <c r="Q1780" s="2">
        <v>98.6892</v>
      </c>
      <c r="R1780" s="2">
        <v>87</v>
      </c>
      <c r="S1780" s="2">
        <v>101.5748</v>
      </c>
      <c r="T1780" s="2">
        <v>148</v>
      </c>
      <c r="U1780" s="2">
        <v>0.55978899999999998</v>
      </c>
      <c r="V1780" s="2">
        <v>135</v>
      </c>
      <c r="W1780" s="2">
        <v>2007</v>
      </c>
    </row>
    <row r="1781" spans="1:23" ht="12.3" hidden="1" x14ac:dyDescent="0.4">
      <c r="A1781" s="2" t="s">
        <v>88</v>
      </c>
      <c r="B1781" s="2"/>
      <c r="C1781" s="2"/>
      <c r="D1781" s="2"/>
      <c r="E1781" s="2"/>
      <c r="F1781" s="2"/>
      <c r="G1781" s="2"/>
      <c r="H1781" s="2"/>
      <c r="I1781" s="2">
        <v>69.495800000000003</v>
      </c>
      <c r="J1781" s="2">
        <v>78</v>
      </c>
      <c r="K1781" s="2">
        <v>69.701800000000006</v>
      </c>
      <c r="L1781" s="2">
        <v>61</v>
      </c>
      <c r="M1781" s="2">
        <v>108.0539</v>
      </c>
      <c r="N1781" s="2">
        <v>62</v>
      </c>
      <c r="O1781" s="2">
        <v>108.0557</v>
      </c>
      <c r="P1781" s="2">
        <v>75</v>
      </c>
      <c r="Q1781" s="2">
        <v>106.8061</v>
      </c>
      <c r="R1781" s="2">
        <v>273</v>
      </c>
      <c r="S1781" s="2">
        <v>106.194</v>
      </c>
      <c r="T1781" s="2">
        <v>235</v>
      </c>
      <c r="U1781" s="2">
        <v>0.54980099999999998</v>
      </c>
      <c r="V1781" s="2">
        <v>136</v>
      </c>
      <c r="W1781" s="2">
        <v>2007</v>
      </c>
    </row>
    <row r="1782" spans="1:23" ht="12.3" hidden="1" x14ac:dyDescent="0.4">
      <c r="A1782" s="2" t="s">
        <v>161</v>
      </c>
      <c r="B1782" s="2"/>
      <c r="C1782" s="2"/>
      <c r="D1782" s="2"/>
      <c r="E1782" s="2"/>
      <c r="F1782" s="2"/>
      <c r="G1782" s="2"/>
      <c r="H1782" s="2"/>
      <c r="I1782" s="2">
        <v>69.693100000000001</v>
      </c>
      <c r="J1782" s="2">
        <v>72</v>
      </c>
      <c r="K1782" s="2">
        <v>70.864199999999997</v>
      </c>
      <c r="L1782" s="2">
        <v>38</v>
      </c>
      <c r="M1782" s="2">
        <v>98.258200000000002</v>
      </c>
      <c r="N1782" s="2">
        <v>237</v>
      </c>
      <c r="O1782" s="2">
        <v>101.0774</v>
      </c>
      <c r="P1782" s="2">
        <v>186</v>
      </c>
      <c r="Q1782" s="2">
        <v>98.7971</v>
      </c>
      <c r="R1782" s="2">
        <v>89</v>
      </c>
      <c r="S1782" s="2">
        <v>99.397000000000006</v>
      </c>
      <c r="T1782" s="2">
        <v>95</v>
      </c>
      <c r="U1782" s="2">
        <v>0.54804799999999998</v>
      </c>
      <c r="V1782" s="2">
        <v>137</v>
      </c>
      <c r="W1782" s="2">
        <v>2007</v>
      </c>
    </row>
    <row r="1783" spans="1:23" ht="12.3" hidden="1" x14ac:dyDescent="0.4">
      <c r="A1783" s="2" t="s">
        <v>293</v>
      </c>
      <c r="B1783" s="2"/>
      <c r="C1783" s="2"/>
      <c r="D1783" s="2"/>
      <c r="E1783" s="2"/>
      <c r="F1783" s="2"/>
      <c r="G1783" s="2"/>
      <c r="H1783" s="2"/>
      <c r="I1783" s="2">
        <v>64.263999999999996</v>
      </c>
      <c r="J1783" s="2">
        <v>260</v>
      </c>
      <c r="K1783" s="2">
        <v>65.467799999999997</v>
      </c>
      <c r="L1783" s="2">
        <v>217</v>
      </c>
      <c r="M1783" s="2">
        <v>104.0685</v>
      </c>
      <c r="N1783" s="2">
        <v>139</v>
      </c>
      <c r="O1783" s="2">
        <v>103.9143</v>
      </c>
      <c r="P1783" s="2">
        <v>141</v>
      </c>
      <c r="Q1783" s="2">
        <v>104.06610000000001</v>
      </c>
      <c r="R1783" s="2">
        <v>204</v>
      </c>
      <c r="S1783" s="2">
        <v>102.5609</v>
      </c>
      <c r="T1783" s="2">
        <v>164</v>
      </c>
      <c r="U1783" s="2">
        <v>0.53761800000000004</v>
      </c>
      <c r="V1783" s="2">
        <v>138</v>
      </c>
      <c r="W1783" s="2">
        <v>2007</v>
      </c>
    </row>
    <row r="1784" spans="1:23" ht="12.3" hidden="1" x14ac:dyDescent="0.4">
      <c r="A1784" s="2" t="s">
        <v>236</v>
      </c>
      <c r="B1784" s="2"/>
      <c r="C1784" s="2"/>
      <c r="D1784" s="2"/>
      <c r="E1784" s="2"/>
      <c r="F1784" s="2"/>
      <c r="G1784" s="2"/>
      <c r="H1784" s="2"/>
      <c r="I1784" s="2">
        <v>63.836300000000001</v>
      </c>
      <c r="J1784" s="2">
        <v>275</v>
      </c>
      <c r="K1784" s="2">
        <v>64.774000000000001</v>
      </c>
      <c r="L1784" s="2">
        <v>245</v>
      </c>
      <c r="M1784" s="2">
        <v>105.9166</v>
      </c>
      <c r="N1784" s="2">
        <v>102</v>
      </c>
      <c r="O1784" s="2">
        <v>104.9072</v>
      </c>
      <c r="P1784" s="2">
        <v>128</v>
      </c>
      <c r="Q1784" s="2">
        <v>104.7178</v>
      </c>
      <c r="R1784" s="2">
        <v>220</v>
      </c>
      <c r="S1784" s="2">
        <v>103.604</v>
      </c>
      <c r="T1784" s="2">
        <v>180</v>
      </c>
      <c r="U1784" s="2">
        <v>0.53587600000000002</v>
      </c>
      <c r="V1784" s="2">
        <v>139</v>
      </c>
      <c r="W1784" s="2">
        <v>2007</v>
      </c>
    </row>
    <row r="1785" spans="1:23" ht="12.3" hidden="1" x14ac:dyDescent="0.4">
      <c r="A1785" s="2" t="s">
        <v>287</v>
      </c>
      <c r="B1785" s="2"/>
      <c r="C1785" s="2"/>
      <c r="D1785" s="2"/>
      <c r="E1785" s="2"/>
      <c r="F1785" s="2"/>
      <c r="G1785" s="2"/>
      <c r="H1785" s="2"/>
      <c r="I1785" s="2">
        <v>65.694599999999994</v>
      </c>
      <c r="J1785" s="2">
        <v>217</v>
      </c>
      <c r="K1785" s="2">
        <v>65.290000000000006</v>
      </c>
      <c r="L1785" s="2">
        <v>222</v>
      </c>
      <c r="M1785" s="2">
        <v>104.8569</v>
      </c>
      <c r="N1785" s="2">
        <v>119</v>
      </c>
      <c r="O1785" s="2">
        <v>102.32680000000001</v>
      </c>
      <c r="P1785" s="2">
        <v>166</v>
      </c>
      <c r="Q1785" s="2">
        <v>100.02209999999999</v>
      </c>
      <c r="R1785" s="2">
        <v>117</v>
      </c>
      <c r="S1785" s="2">
        <v>101.1409</v>
      </c>
      <c r="T1785" s="2">
        <v>137</v>
      </c>
      <c r="U1785" s="2">
        <v>0.53346400000000005</v>
      </c>
      <c r="V1785" s="2">
        <v>140</v>
      </c>
      <c r="W1785" s="2">
        <v>2007</v>
      </c>
    </row>
    <row r="1786" spans="1:23" ht="12.3" hidden="1" x14ac:dyDescent="0.4">
      <c r="A1786" s="2" t="s">
        <v>196</v>
      </c>
      <c r="B1786" s="2"/>
      <c r="C1786" s="2"/>
      <c r="D1786" s="2"/>
      <c r="E1786" s="2"/>
      <c r="F1786" s="2"/>
      <c r="G1786" s="2"/>
      <c r="H1786" s="2"/>
      <c r="I1786" s="2">
        <v>69.457599999999999</v>
      </c>
      <c r="J1786" s="2">
        <v>81</v>
      </c>
      <c r="K1786" s="2">
        <v>69.602900000000005</v>
      </c>
      <c r="L1786" s="2">
        <v>64</v>
      </c>
      <c r="M1786" s="2">
        <v>107.89360000000001</v>
      </c>
      <c r="N1786" s="2">
        <v>64</v>
      </c>
      <c r="O1786" s="2">
        <v>105.1529</v>
      </c>
      <c r="P1786" s="2">
        <v>123</v>
      </c>
      <c r="Q1786" s="2">
        <v>100.2805</v>
      </c>
      <c r="R1786" s="2">
        <v>123</v>
      </c>
      <c r="S1786" s="2">
        <v>103.9359</v>
      </c>
      <c r="T1786" s="2">
        <v>189</v>
      </c>
      <c r="U1786" s="2">
        <v>0.533416</v>
      </c>
      <c r="V1786" s="2">
        <v>141</v>
      </c>
      <c r="W1786" s="2">
        <v>2007</v>
      </c>
    </row>
    <row r="1787" spans="1:23" ht="12.3" hidden="1" x14ac:dyDescent="0.4">
      <c r="A1787" s="2" t="s">
        <v>70</v>
      </c>
      <c r="B1787" s="2"/>
      <c r="C1787" s="2"/>
      <c r="D1787" s="2"/>
      <c r="E1787" s="2"/>
      <c r="F1787" s="2"/>
      <c r="G1787" s="2"/>
      <c r="H1787" s="2"/>
      <c r="I1787" s="2">
        <v>61.7331</v>
      </c>
      <c r="J1787" s="2">
        <v>313</v>
      </c>
      <c r="K1787" s="2">
        <v>62.692300000000003</v>
      </c>
      <c r="L1787" s="2">
        <v>302</v>
      </c>
      <c r="M1787" s="2">
        <v>109.0883</v>
      </c>
      <c r="N1787" s="2">
        <v>46</v>
      </c>
      <c r="O1787" s="2">
        <v>111.761</v>
      </c>
      <c r="P1787" s="2">
        <v>35</v>
      </c>
      <c r="Q1787" s="2">
        <v>114.211</v>
      </c>
      <c r="R1787" s="2">
        <v>334</v>
      </c>
      <c r="S1787" s="2">
        <v>110.4761</v>
      </c>
      <c r="T1787" s="2">
        <v>312</v>
      </c>
      <c r="U1787" s="2">
        <v>0.53319499999999997</v>
      </c>
      <c r="V1787" s="2">
        <v>142</v>
      </c>
      <c r="W1787" s="2">
        <v>2007</v>
      </c>
    </row>
    <row r="1788" spans="1:23" ht="12.3" hidden="1" x14ac:dyDescent="0.4">
      <c r="A1788" s="2" t="s">
        <v>74</v>
      </c>
      <c r="B1788" s="2"/>
      <c r="C1788" s="2"/>
      <c r="D1788" s="2"/>
      <c r="E1788" s="2"/>
      <c r="F1788" s="2"/>
      <c r="G1788" s="2"/>
      <c r="H1788" s="2"/>
      <c r="I1788" s="2">
        <v>64.870699999999999</v>
      </c>
      <c r="J1788" s="2">
        <v>247</v>
      </c>
      <c r="K1788" s="2">
        <v>65.469800000000006</v>
      </c>
      <c r="L1788" s="2">
        <v>216</v>
      </c>
      <c r="M1788" s="2">
        <v>100.0063</v>
      </c>
      <c r="N1788" s="2">
        <v>207</v>
      </c>
      <c r="O1788" s="2">
        <v>99.156099999999995</v>
      </c>
      <c r="P1788" s="2">
        <v>215</v>
      </c>
      <c r="Q1788" s="2">
        <v>99.915000000000006</v>
      </c>
      <c r="R1788" s="2">
        <v>114</v>
      </c>
      <c r="S1788" s="2">
        <v>98.123500000000007</v>
      </c>
      <c r="T1788" s="2">
        <v>76</v>
      </c>
      <c r="U1788" s="2">
        <v>0.53005999999999998</v>
      </c>
      <c r="V1788" s="2">
        <v>143</v>
      </c>
      <c r="W1788" s="2">
        <v>2007</v>
      </c>
    </row>
    <row r="1789" spans="1:23" ht="12.3" hidden="1" x14ac:dyDescent="0.4">
      <c r="A1789" s="2" t="s">
        <v>115</v>
      </c>
      <c r="B1789" s="2"/>
      <c r="C1789" s="2"/>
      <c r="D1789" s="2"/>
      <c r="E1789" s="2"/>
      <c r="F1789" s="2"/>
      <c r="G1789" s="2"/>
      <c r="H1789" s="2"/>
      <c r="I1789" s="2">
        <v>67.494100000000003</v>
      </c>
      <c r="J1789" s="2">
        <v>136</v>
      </c>
      <c r="K1789" s="2">
        <v>66.054500000000004</v>
      </c>
      <c r="L1789" s="2">
        <v>193</v>
      </c>
      <c r="M1789" s="2">
        <v>108.22539999999999</v>
      </c>
      <c r="N1789" s="2">
        <v>59</v>
      </c>
      <c r="O1789" s="2">
        <v>107.9529</v>
      </c>
      <c r="P1789" s="2">
        <v>77</v>
      </c>
      <c r="Q1789" s="2">
        <v>107.86839999999999</v>
      </c>
      <c r="R1789" s="2">
        <v>286</v>
      </c>
      <c r="S1789" s="2">
        <v>106.9306</v>
      </c>
      <c r="T1789" s="2">
        <v>251</v>
      </c>
      <c r="U1789" s="2">
        <v>0.52732699999999999</v>
      </c>
      <c r="V1789" s="2">
        <v>144</v>
      </c>
      <c r="W1789" s="2">
        <v>2007</v>
      </c>
    </row>
    <row r="1790" spans="1:23" ht="12.3" hidden="1" x14ac:dyDescent="0.4">
      <c r="A1790" s="2" t="s">
        <v>124</v>
      </c>
      <c r="B1790" s="2"/>
      <c r="C1790" s="2"/>
      <c r="D1790" s="2"/>
      <c r="E1790" s="2"/>
      <c r="F1790" s="2"/>
      <c r="G1790" s="2"/>
      <c r="H1790" s="2"/>
      <c r="I1790" s="2">
        <v>56.767000000000003</v>
      </c>
      <c r="J1790" s="2">
        <v>333</v>
      </c>
      <c r="K1790" s="2">
        <v>58.203899999999997</v>
      </c>
      <c r="L1790" s="2">
        <v>333</v>
      </c>
      <c r="M1790" s="2">
        <v>99.324200000000005</v>
      </c>
      <c r="N1790" s="2">
        <v>220</v>
      </c>
      <c r="O1790" s="2">
        <v>102.408</v>
      </c>
      <c r="P1790" s="2">
        <v>165</v>
      </c>
      <c r="Q1790" s="2">
        <v>104.0809</v>
      </c>
      <c r="R1790" s="2">
        <v>205</v>
      </c>
      <c r="S1790" s="2">
        <v>101.46129999999999</v>
      </c>
      <c r="T1790" s="2">
        <v>147</v>
      </c>
      <c r="U1790" s="2">
        <v>0.52667600000000003</v>
      </c>
      <c r="V1790" s="2">
        <v>145</v>
      </c>
      <c r="W1790" s="2">
        <v>2007</v>
      </c>
    </row>
    <row r="1791" spans="1:23" ht="12.3" hidden="1" x14ac:dyDescent="0.4">
      <c r="A1791" s="2" t="s">
        <v>219</v>
      </c>
      <c r="B1791" s="2"/>
      <c r="C1791" s="2"/>
      <c r="D1791" s="2"/>
      <c r="E1791" s="2"/>
      <c r="F1791" s="2"/>
      <c r="G1791" s="2"/>
      <c r="H1791" s="2"/>
      <c r="I1791" s="2">
        <v>74.205299999999994</v>
      </c>
      <c r="J1791" s="2">
        <v>9</v>
      </c>
      <c r="K1791" s="2">
        <v>73.128699999999995</v>
      </c>
      <c r="L1791" s="2">
        <v>8</v>
      </c>
      <c r="M1791" s="2">
        <v>101.517</v>
      </c>
      <c r="N1791" s="2">
        <v>184</v>
      </c>
      <c r="O1791" s="2">
        <v>100.97199999999999</v>
      </c>
      <c r="P1791" s="2">
        <v>188</v>
      </c>
      <c r="Q1791" s="2">
        <v>96.365899999999996</v>
      </c>
      <c r="R1791" s="2">
        <v>50</v>
      </c>
      <c r="S1791" s="2">
        <v>100.3276</v>
      </c>
      <c r="T1791" s="2">
        <v>116</v>
      </c>
      <c r="U1791" s="2">
        <v>0.518397</v>
      </c>
      <c r="V1791" s="2">
        <v>146</v>
      </c>
      <c r="W1791" s="2">
        <v>2007</v>
      </c>
    </row>
    <row r="1792" spans="1:23" ht="12.3" hidden="1" x14ac:dyDescent="0.4">
      <c r="A1792" s="2" t="s">
        <v>132</v>
      </c>
      <c r="B1792" s="2"/>
      <c r="C1792" s="2"/>
      <c r="D1792" s="2"/>
      <c r="E1792" s="2"/>
      <c r="F1792" s="2"/>
      <c r="G1792" s="2"/>
      <c r="H1792" s="2"/>
      <c r="I1792" s="2">
        <v>61.759700000000002</v>
      </c>
      <c r="J1792" s="2">
        <v>312</v>
      </c>
      <c r="K1792" s="2">
        <v>61.956000000000003</v>
      </c>
      <c r="L1792" s="2">
        <v>313</v>
      </c>
      <c r="M1792" s="2">
        <v>101.8355</v>
      </c>
      <c r="N1792" s="2">
        <v>172</v>
      </c>
      <c r="O1792" s="2">
        <v>106.3062</v>
      </c>
      <c r="P1792" s="2">
        <v>98</v>
      </c>
      <c r="Q1792" s="2">
        <v>106.38890000000001</v>
      </c>
      <c r="R1792" s="2">
        <v>264</v>
      </c>
      <c r="S1792" s="2">
        <v>105.7769</v>
      </c>
      <c r="T1792" s="2">
        <v>227</v>
      </c>
      <c r="U1792" s="2">
        <v>0.51434599999999997</v>
      </c>
      <c r="V1792" s="2">
        <v>147</v>
      </c>
      <c r="W1792" s="2">
        <v>2007</v>
      </c>
    </row>
    <row r="1793" spans="1:23" ht="12.3" hidden="1" x14ac:dyDescent="0.4">
      <c r="A1793" s="2" t="s">
        <v>34</v>
      </c>
      <c r="B1793" s="2"/>
      <c r="C1793" s="2"/>
      <c r="D1793" s="2"/>
      <c r="E1793" s="2"/>
      <c r="F1793" s="2"/>
      <c r="G1793" s="2"/>
      <c r="H1793" s="2"/>
      <c r="I1793" s="2">
        <v>64.980699999999999</v>
      </c>
      <c r="J1793" s="2">
        <v>244</v>
      </c>
      <c r="K1793" s="2">
        <v>65.719200000000001</v>
      </c>
      <c r="L1793" s="2">
        <v>205</v>
      </c>
      <c r="M1793" s="2">
        <v>98.379599999999996</v>
      </c>
      <c r="N1793" s="2">
        <v>236</v>
      </c>
      <c r="O1793" s="2">
        <v>101.1002</v>
      </c>
      <c r="P1793" s="2">
        <v>183</v>
      </c>
      <c r="Q1793" s="2">
        <v>103.9298</v>
      </c>
      <c r="R1793" s="2">
        <v>199</v>
      </c>
      <c r="S1793" s="2">
        <v>100.6236</v>
      </c>
      <c r="T1793" s="2">
        <v>123</v>
      </c>
      <c r="U1793" s="2">
        <v>0.51358000000000004</v>
      </c>
      <c r="V1793" s="2">
        <v>148</v>
      </c>
      <c r="W1793" s="2">
        <v>2007</v>
      </c>
    </row>
    <row r="1794" spans="1:23" ht="12.3" hidden="1" x14ac:dyDescent="0.4">
      <c r="A1794" s="2" t="s">
        <v>99</v>
      </c>
      <c r="B1794" s="2"/>
      <c r="C1794" s="2"/>
      <c r="D1794" s="2"/>
      <c r="E1794" s="2"/>
      <c r="F1794" s="2"/>
      <c r="G1794" s="2"/>
      <c r="H1794" s="2"/>
      <c r="I1794" s="2">
        <v>60.1755</v>
      </c>
      <c r="J1794" s="2">
        <v>326</v>
      </c>
      <c r="K1794" s="2">
        <v>59.241399999999999</v>
      </c>
      <c r="L1794" s="2">
        <v>330</v>
      </c>
      <c r="M1794" s="2">
        <v>96.075699999999998</v>
      </c>
      <c r="N1794" s="2">
        <v>272</v>
      </c>
      <c r="O1794" s="2">
        <v>97.964600000000004</v>
      </c>
      <c r="P1794" s="2">
        <v>240</v>
      </c>
      <c r="Q1794" s="2">
        <v>102.99209999999999</v>
      </c>
      <c r="R1794" s="2">
        <v>187</v>
      </c>
      <c r="S1794" s="2">
        <v>97.6708</v>
      </c>
      <c r="T1794" s="2">
        <v>64</v>
      </c>
      <c r="U1794" s="2">
        <v>0.50863400000000003</v>
      </c>
      <c r="V1794" s="2">
        <v>149</v>
      </c>
      <c r="W1794" s="2">
        <v>2007</v>
      </c>
    </row>
    <row r="1795" spans="1:23" ht="12.3" hidden="1" x14ac:dyDescent="0.4">
      <c r="A1795" s="2" t="s">
        <v>189</v>
      </c>
      <c r="B1795" s="2"/>
      <c r="C1795" s="2"/>
      <c r="D1795" s="2"/>
      <c r="E1795" s="2"/>
      <c r="F1795" s="2"/>
      <c r="G1795" s="2"/>
      <c r="H1795" s="2"/>
      <c r="I1795" s="2">
        <v>69.119200000000006</v>
      </c>
      <c r="J1795" s="2">
        <v>89</v>
      </c>
      <c r="K1795" s="2">
        <v>67.010900000000007</v>
      </c>
      <c r="L1795" s="2">
        <v>152</v>
      </c>
      <c r="M1795" s="2">
        <v>108.419</v>
      </c>
      <c r="N1795" s="2">
        <v>53</v>
      </c>
      <c r="O1795" s="2">
        <v>107.0531</v>
      </c>
      <c r="P1795" s="2">
        <v>90</v>
      </c>
      <c r="Q1795" s="2">
        <v>104.43040000000001</v>
      </c>
      <c r="R1795" s="2">
        <v>211</v>
      </c>
      <c r="S1795" s="2">
        <v>106.73260000000001</v>
      </c>
      <c r="T1795" s="2">
        <v>249</v>
      </c>
      <c r="U1795" s="2">
        <v>0.50861999999999996</v>
      </c>
      <c r="V1795" s="2">
        <v>150</v>
      </c>
      <c r="W1795" s="2">
        <v>2007</v>
      </c>
    </row>
    <row r="1796" spans="1:23" ht="12.3" hidden="1" x14ac:dyDescent="0.4">
      <c r="A1796" s="2" t="s">
        <v>230</v>
      </c>
      <c r="B1796" s="2"/>
      <c r="C1796" s="2"/>
      <c r="D1796" s="2"/>
      <c r="E1796" s="2"/>
      <c r="F1796" s="2"/>
      <c r="G1796" s="2"/>
      <c r="H1796" s="2"/>
      <c r="I1796" s="2">
        <v>63.408200000000001</v>
      </c>
      <c r="J1796" s="2">
        <v>285</v>
      </c>
      <c r="K1796" s="2">
        <v>63.804400000000001</v>
      </c>
      <c r="L1796" s="2">
        <v>282</v>
      </c>
      <c r="M1796" s="2">
        <v>102.352</v>
      </c>
      <c r="N1796" s="2">
        <v>165</v>
      </c>
      <c r="O1796" s="2">
        <v>105.9845</v>
      </c>
      <c r="P1796" s="2">
        <v>104</v>
      </c>
      <c r="Q1796" s="2">
        <v>107.23520000000001</v>
      </c>
      <c r="R1796" s="2">
        <v>280</v>
      </c>
      <c r="S1796" s="2">
        <v>105.7253</v>
      </c>
      <c r="T1796" s="2">
        <v>225</v>
      </c>
      <c r="U1796" s="2">
        <v>0.50704000000000005</v>
      </c>
      <c r="V1796" s="2">
        <v>151</v>
      </c>
      <c r="W1796" s="2">
        <v>2007</v>
      </c>
    </row>
    <row r="1797" spans="1:23" ht="12.3" hidden="1" x14ac:dyDescent="0.4">
      <c r="A1797" s="2" t="s">
        <v>63</v>
      </c>
      <c r="B1797" s="2"/>
      <c r="C1797" s="2"/>
      <c r="D1797" s="2"/>
      <c r="E1797" s="2"/>
      <c r="F1797" s="2"/>
      <c r="G1797" s="2"/>
      <c r="H1797" s="2"/>
      <c r="I1797" s="2">
        <v>67.659199999999998</v>
      </c>
      <c r="J1797" s="2">
        <v>128</v>
      </c>
      <c r="K1797" s="2">
        <v>67.006200000000007</v>
      </c>
      <c r="L1797" s="2">
        <v>153</v>
      </c>
      <c r="M1797" s="2">
        <v>103.6036</v>
      </c>
      <c r="N1797" s="2">
        <v>148</v>
      </c>
      <c r="O1797" s="2">
        <v>104.17449999999999</v>
      </c>
      <c r="P1797" s="2">
        <v>137</v>
      </c>
      <c r="Q1797" s="2">
        <v>105.6752</v>
      </c>
      <c r="R1797" s="2">
        <v>248</v>
      </c>
      <c r="S1797" s="2">
        <v>104.063</v>
      </c>
      <c r="T1797" s="2">
        <v>195</v>
      </c>
      <c r="U1797" s="2">
        <v>0.50307900000000005</v>
      </c>
      <c r="V1797" s="2">
        <v>152</v>
      </c>
      <c r="W1797" s="2">
        <v>2007</v>
      </c>
    </row>
    <row r="1798" spans="1:23" ht="12.3" hidden="1" x14ac:dyDescent="0.4">
      <c r="A1798" s="2" t="s">
        <v>144</v>
      </c>
      <c r="B1798" s="2"/>
      <c r="C1798" s="2"/>
      <c r="D1798" s="2"/>
      <c r="E1798" s="2"/>
      <c r="F1798" s="2"/>
      <c r="G1798" s="2"/>
      <c r="H1798" s="2"/>
      <c r="I1798" s="2">
        <v>66.154700000000005</v>
      </c>
      <c r="J1798" s="2">
        <v>200</v>
      </c>
      <c r="K1798" s="2">
        <v>67.018500000000003</v>
      </c>
      <c r="L1798" s="2">
        <v>151</v>
      </c>
      <c r="M1798" s="2">
        <v>103.86539999999999</v>
      </c>
      <c r="N1798" s="2">
        <v>142</v>
      </c>
      <c r="O1798" s="2">
        <v>104.20569999999999</v>
      </c>
      <c r="P1798" s="2">
        <v>136</v>
      </c>
      <c r="Q1798" s="2">
        <v>106.4511</v>
      </c>
      <c r="R1798" s="2">
        <v>265</v>
      </c>
      <c r="S1798" s="2">
        <v>104.1883</v>
      </c>
      <c r="T1798" s="2">
        <v>197</v>
      </c>
      <c r="U1798" s="2">
        <v>0.50047900000000001</v>
      </c>
      <c r="V1798" s="2">
        <v>153</v>
      </c>
      <c r="W1798" s="2">
        <v>2007</v>
      </c>
    </row>
    <row r="1799" spans="1:23" ht="12.3" hidden="1" x14ac:dyDescent="0.4">
      <c r="A1799" s="2" t="s">
        <v>267</v>
      </c>
      <c r="B1799" s="2"/>
      <c r="C1799" s="2"/>
      <c r="D1799" s="2"/>
      <c r="E1799" s="2"/>
      <c r="F1799" s="2"/>
      <c r="G1799" s="2"/>
      <c r="H1799" s="2"/>
      <c r="I1799" s="2">
        <v>62.023299999999999</v>
      </c>
      <c r="J1799" s="2">
        <v>310</v>
      </c>
      <c r="K1799" s="2">
        <v>62.9863</v>
      </c>
      <c r="L1799" s="2">
        <v>298</v>
      </c>
      <c r="M1799" s="2">
        <v>97.696399999999997</v>
      </c>
      <c r="N1799" s="2">
        <v>247</v>
      </c>
      <c r="O1799" s="2">
        <v>101.26819999999999</v>
      </c>
      <c r="P1799" s="2">
        <v>179</v>
      </c>
      <c r="Q1799" s="2">
        <v>105.59050000000001</v>
      </c>
      <c r="R1799" s="2">
        <v>246</v>
      </c>
      <c r="S1799" s="2">
        <v>101.25920000000001</v>
      </c>
      <c r="T1799" s="2">
        <v>140</v>
      </c>
      <c r="U1799" s="2">
        <v>0.50025600000000003</v>
      </c>
      <c r="V1799" s="2">
        <v>154</v>
      </c>
      <c r="W1799" s="2">
        <v>2007</v>
      </c>
    </row>
    <row r="1800" spans="1:23" ht="12.3" hidden="1" x14ac:dyDescent="0.4">
      <c r="A1800" s="2" t="s">
        <v>104</v>
      </c>
      <c r="B1800" s="2"/>
      <c r="C1800" s="2"/>
      <c r="D1800" s="2"/>
      <c r="E1800" s="2"/>
      <c r="F1800" s="2"/>
      <c r="G1800" s="2"/>
      <c r="H1800" s="2"/>
      <c r="I1800" s="2">
        <v>66.5625</v>
      </c>
      <c r="J1800" s="2">
        <v>181</v>
      </c>
      <c r="K1800" s="2">
        <v>64.369399999999999</v>
      </c>
      <c r="L1800" s="2">
        <v>261</v>
      </c>
      <c r="M1800" s="2">
        <v>105.3554</v>
      </c>
      <c r="N1800" s="2">
        <v>112</v>
      </c>
      <c r="O1800" s="2">
        <v>102.55370000000001</v>
      </c>
      <c r="P1800" s="2">
        <v>163</v>
      </c>
      <c r="Q1800" s="2">
        <v>100.7321</v>
      </c>
      <c r="R1800" s="2">
        <v>136</v>
      </c>
      <c r="S1800" s="2">
        <v>102.7957</v>
      </c>
      <c r="T1800" s="2">
        <v>168</v>
      </c>
      <c r="U1800" s="2">
        <v>0.49322199999999999</v>
      </c>
      <c r="V1800" s="2">
        <v>155</v>
      </c>
      <c r="W1800" s="2">
        <v>2007</v>
      </c>
    </row>
    <row r="1801" spans="1:23" ht="12.3" hidden="1" x14ac:dyDescent="0.4">
      <c r="A1801" s="2" t="s">
        <v>103</v>
      </c>
      <c r="B1801" s="2"/>
      <c r="C1801" s="2"/>
      <c r="D1801" s="2"/>
      <c r="E1801" s="2"/>
      <c r="F1801" s="2"/>
      <c r="G1801" s="2"/>
      <c r="H1801" s="2"/>
      <c r="I1801" s="2">
        <v>66.397099999999995</v>
      </c>
      <c r="J1801" s="2">
        <v>188</v>
      </c>
      <c r="K1801" s="2">
        <v>66.47</v>
      </c>
      <c r="L1801" s="2">
        <v>175</v>
      </c>
      <c r="M1801" s="2">
        <v>97.915099999999995</v>
      </c>
      <c r="N1801" s="2">
        <v>244</v>
      </c>
      <c r="O1801" s="2">
        <v>99.013199999999998</v>
      </c>
      <c r="P1801" s="2">
        <v>218</v>
      </c>
      <c r="Q1801" s="2">
        <v>100.30029999999999</v>
      </c>
      <c r="R1801" s="2">
        <v>124</v>
      </c>
      <c r="S1801" s="2">
        <v>99.430800000000005</v>
      </c>
      <c r="T1801" s="2">
        <v>97</v>
      </c>
      <c r="U1801" s="2">
        <v>0.48790099999999997</v>
      </c>
      <c r="V1801" s="2">
        <v>156</v>
      </c>
      <c r="W1801" s="2">
        <v>2007</v>
      </c>
    </row>
    <row r="1802" spans="1:23" ht="12.3" hidden="1" x14ac:dyDescent="0.4">
      <c r="A1802" s="2" t="s">
        <v>226</v>
      </c>
      <c r="B1802" s="2"/>
      <c r="C1802" s="2"/>
      <c r="D1802" s="2"/>
      <c r="E1802" s="2"/>
      <c r="F1802" s="2"/>
      <c r="G1802" s="2"/>
      <c r="H1802" s="2"/>
      <c r="I1802" s="2">
        <v>63.867699999999999</v>
      </c>
      <c r="J1802" s="2">
        <v>274</v>
      </c>
      <c r="K1802" s="2">
        <v>64.925399999999996</v>
      </c>
      <c r="L1802" s="2">
        <v>239</v>
      </c>
      <c r="M1802" s="2">
        <v>99.440299999999993</v>
      </c>
      <c r="N1802" s="2">
        <v>215</v>
      </c>
      <c r="O1802" s="2">
        <v>98.163899999999998</v>
      </c>
      <c r="P1802" s="2">
        <v>236</v>
      </c>
      <c r="Q1802" s="2">
        <v>95.435199999999995</v>
      </c>
      <c r="R1802" s="2">
        <v>39</v>
      </c>
      <c r="S1802" s="2">
        <v>98.762500000000003</v>
      </c>
      <c r="T1802" s="2">
        <v>88</v>
      </c>
      <c r="U1802" s="2">
        <v>0.48252800000000001</v>
      </c>
      <c r="V1802" s="2">
        <v>157</v>
      </c>
      <c r="W1802" s="2">
        <v>2007</v>
      </c>
    </row>
    <row r="1803" spans="1:23" ht="12.3" hidden="1" x14ac:dyDescent="0.4">
      <c r="A1803" s="2" t="s">
        <v>173</v>
      </c>
      <c r="B1803" s="2"/>
      <c r="C1803" s="2"/>
      <c r="D1803" s="2"/>
      <c r="E1803" s="2"/>
      <c r="F1803" s="2"/>
      <c r="G1803" s="2"/>
      <c r="H1803" s="2"/>
      <c r="I1803" s="2">
        <v>70.733000000000004</v>
      </c>
      <c r="J1803" s="2">
        <v>51</v>
      </c>
      <c r="K1803" s="2">
        <v>69.291600000000003</v>
      </c>
      <c r="L1803" s="2">
        <v>72</v>
      </c>
      <c r="M1803" s="2">
        <v>101.57299999999999</v>
      </c>
      <c r="N1803" s="2">
        <v>182</v>
      </c>
      <c r="O1803" s="2">
        <v>102.8965</v>
      </c>
      <c r="P1803" s="2">
        <v>154</v>
      </c>
      <c r="Q1803" s="2">
        <v>104.8545</v>
      </c>
      <c r="R1803" s="2">
        <v>227</v>
      </c>
      <c r="S1803" s="2">
        <v>103.70480000000001</v>
      </c>
      <c r="T1803" s="2">
        <v>183</v>
      </c>
      <c r="U1803" s="2">
        <v>0.477518</v>
      </c>
      <c r="V1803" s="2">
        <v>158</v>
      </c>
      <c r="W1803" s="2">
        <v>2007</v>
      </c>
    </row>
    <row r="1804" spans="1:23" ht="12.3" hidden="1" x14ac:dyDescent="0.4">
      <c r="A1804" s="2" t="s">
        <v>254</v>
      </c>
      <c r="B1804" s="2"/>
      <c r="C1804" s="2"/>
      <c r="D1804" s="2"/>
      <c r="E1804" s="2"/>
      <c r="F1804" s="2"/>
      <c r="G1804" s="2"/>
      <c r="H1804" s="2"/>
      <c r="I1804" s="2">
        <v>73.750900000000001</v>
      </c>
      <c r="J1804" s="2">
        <v>11</v>
      </c>
      <c r="K1804" s="2">
        <v>72.602099999999993</v>
      </c>
      <c r="L1804" s="2">
        <v>16</v>
      </c>
      <c r="M1804" s="2">
        <v>109.93429999999999</v>
      </c>
      <c r="N1804" s="2">
        <v>40</v>
      </c>
      <c r="O1804" s="2">
        <v>108.80840000000001</v>
      </c>
      <c r="P1804" s="2">
        <v>69</v>
      </c>
      <c r="Q1804" s="2">
        <v>109.90430000000001</v>
      </c>
      <c r="R1804" s="2">
        <v>314</v>
      </c>
      <c r="S1804" s="2">
        <v>109.6801</v>
      </c>
      <c r="T1804" s="2">
        <v>299</v>
      </c>
      <c r="U1804" s="2">
        <v>0.47707699999999997</v>
      </c>
      <c r="V1804" s="2">
        <v>159</v>
      </c>
      <c r="W1804" s="2">
        <v>2007</v>
      </c>
    </row>
    <row r="1805" spans="1:23" ht="12.3" hidden="1" x14ac:dyDescent="0.4">
      <c r="A1805" s="2" t="s">
        <v>259</v>
      </c>
      <c r="B1805" s="2"/>
      <c r="C1805" s="2"/>
      <c r="D1805" s="2"/>
      <c r="E1805" s="2"/>
      <c r="F1805" s="2"/>
      <c r="G1805" s="2"/>
      <c r="H1805" s="2"/>
      <c r="I1805" s="2">
        <v>75.282799999999995</v>
      </c>
      <c r="J1805" s="2">
        <v>4</v>
      </c>
      <c r="K1805" s="2">
        <v>75.564899999999994</v>
      </c>
      <c r="L1805" s="2">
        <v>2</v>
      </c>
      <c r="M1805" s="2">
        <v>103.62779999999999</v>
      </c>
      <c r="N1805" s="2">
        <v>147</v>
      </c>
      <c r="O1805" s="2">
        <v>103.41289999999999</v>
      </c>
      <c r="P1805" s="2">
        <v>148</v>
      </c>
      <c r="Q1805" s="2">
        <v>102.9547</v>
      </c>
      <c r="R1805" s="2">
        <v>185</v>
      </c>
      <c r="S1805" s="2">
        <v>104.2848</v>
      </c>
      <c r="T1805" s="2">
        <v>199</v>
      </c>
      <c r="U1805" s="2">
        <v>0.475881</v>
      </c>
      <c r="V1805" s="2">
        <v>160</v>
      </c>
      <c r="W1805" s="2">
        <v>2007</v>
      </c>
    </row>
    <row r="1806" spans="1:23" ht="12.3" x14ac:dyDescent="0.4">
      <c r="A1806" s="2" t="s">
        <v>95</v>
      </c>
      <c r="B1806" s="2">
        <v>7</v>
      </c>
      <c r="C1806" s="2"/>
      <c r="D1806" s="2"/>
      <c r="E1806" s="2"/>
      <c r="F1806" s="2"/>
      <c r="G1806" s="2"/>
      <c r="H1806" s="2"/>
      <c r="I1806" s="2">
        <v>67.689300000000003</v>
      </c>
      <c r="J1806" s="2">
        <v>123</v>
      </c>
      <c r="K1806" s="2">
        <v>66.484999999999999</v>
      </c>
      <c r="L1806" s="2">
        <v>162</v>
      </c>
      <c r="M1806" s="2">
        <v>109.90949999999999</v>
      </c>
      <c r="N1806" s="2">
        <v>30</v>
      </c>
      <c r="O1806" s="2">
        <v>111.7364</v>
      </c>
      <c r="P1806" s="2">
        <v>32</v>
      </c>
      <c r="Q1806" s="2">
        <v>103.5741</v>
      </c>
      <c r="R1806" s="2">
        <v>226</v>
      </c>
      <c r="S1806" s="2">
        <v>100.6032</v>
      </c>
      <c r="T1806" s="2">
        <v>148</v>
      </c>
      <c r="U1806" s="2">
        <v>0.76977200000000001</v>
      </c>
      <c r="V1806" s="2">
        <v>64</v>
      </c>
      <c r="W1806" s="2">
        <v>2009</v>
      </c>
    </row>
    <row r="1807" spans="1:23" ht="12.3" x14ac:dyDescent="0.4">
      <c r="A1807" s="2" t="s">
        <v>360</v>
      </c>
      <c r="B1807" s="2">
        <v>14</v>
      </c>
      <c r="C1807" s="2"/>
      <c r="D1807" s="2"/>
      <c r="E1807" s="2"/>
      <c r="F1807" s="2"/>
      <c r="G1807" s="2"/>
      <c r="H1807" s="2"/>
      <c r="I1807" s="2">
        <v>67.583500000000001</v>
      </c>
      <c r="J1807" s="2">
        <v>128</v>
      </c>
      <c r="K1807" s="2">
        <v>68.648399999999995</v>
      </c>
      <c r="L1807" s="2">
        <v>79</v>
      </c>
      <c r="M1807" s="2">
        <v>114.6974</v>
      </c>
      <c r="N1807" s="2">
        <v>6</v>
      </c>
      <c r="O1807" s="2">
        <v>112.5865</v>
      </c>
      <c r="P1807" s="2">
        <v>26</v>
      </c>
      <c r="Q1807" s="2">
        <v>99.988299999999995</v>
      </c>
      <c r="R1807" s="2">
        <v>139</v>
      </c>
      <c r="S1807" s="2">
        <v>102.02719999999999</v>
      </c>
      <c r="T1807" s="2">
        <v>174</v>
      </c>
      <c r="U1807" s="2">
        <v>0.75630900000000001</v>
      </c>
      <c r="V1807" s="2">
        <v>73</v>
      </c>
      <c r="W1807" s="2">
        <v>2009</v>
      </c>
    </row>
    <row r="1808" spans="1:23" ht="12.3" hidden="1" x14ac:dyDescent="0.4">
      <c r="A1808" s="2" t="s">
        <v>227</v>
      </c>
      <c r="B1808" s="2"/>
      <c r="C1808" s="2"/>
      <c r="D1808" s="2"/>
      <c r="E1808" s="2"/>
      <c r="F1808" s="2"/>
      <c r="G1808" s="2"/>
      <c r="H1808" s="2"/>
      <c r="I1808" s="2">
        <v>65.021100000000004</v>
      </c>
      <c r="J1808" s="2">
        <v>241</v>
      </c>
      <c r="K1808" s="2">
        <v>66.788499999999999</v>
      </c>
      <c r="L1808" s="2">
        <v>165</v>
      </c>
      <c r="M1808" s="2">
        <v>106.5339</v>
      </c>
      <c r="N1808" s="2">
        <v>87</v>
      </c>
      <c r="O1808" s="2">
        <v>104.155</v>
      </c>
      <c r="P1808" s="2">
        <v>138</v>
      </c>
      <c r="Q1808" s="2">
        <v>102.21680000000001</v>
      </c>
      <c r="R1808" s="2">
        <v>166</v>
      </c>
      <c r="S1808" s="2">
        <v>105.41630000000001</v>
      </c>
      <c r="T1808" s="2">
        <v>221</v>
      </c>
      <c r="U1808" s="2">
        <v>0.465449</v>
      </c>
      <c r="V1808" s="2">
        <v>163</v>
      </c>
      <c r="W1808" s="2">
        <v>2007</v>
      </c>
    </row>
    <row r="1809" spans="1:23" ht="12.3" hidden="1" x14ac:dyDescent="0.4">
      <c r="A1809" s="2" t="s">
        <v>308</v>
      </c>
      <c r="B1809" s="2"/>
      <c r="C1809" s="2"/>
      <c r="D1809" s="2"/>
      <c r="E1809" s="2"/>
      <c r="F1809" s="2"/>
      <c r="G1809" s="2"/>
      <c r="H1809" s="2"/>
      <c r="I1809" s="2">
        <v>63.872300000000003</v>
      </c>
      <c r="J1809" s="2">
        <v>273</v>
      </c>
      <c r="K1809" s="2">
        <v>65.555099999999996</v>
      </c>
      <c r="L1809" s="2">
        <v>212</v>
      </c>
      <c r="M1809" s="2">
        <v>97.481200000000001</v>
      </c>
      <c r="N1809" s="2">
        <v>250</v>
      </c>
      <c r="O1809" s="2">
        <v>100.0869</v>
      </c>
      <c r="P1809" s="2">
        <v>204</v>
      </c>
      <c r="Q1809" s="2">
        <v>104.03189999999999</v>
      </c>
      <c r="R1809" s="2">
        <v>203</v>
      </c>
      <c r="S1809" s="2">
        <v>101.3036</v>
      </c>
      <c r="T1809" s="2">
        <v>142</v>
      </c>
      <c r="U1809" s="2">
        <v>0.46531600000000001</v>
      </c>
      <c r="V1809" s="2">
        <v>164</v>
      </c>
      <c r="W1809" s="2">
        <v>2007</v>
      </c>
    </row>
    <row r="1810" spans="1:23" ht="12.3" hidden="1" x14ac:dyDescent="0.4">
      <c r="A1810" s="2" t="s">
        <v>294</v>
      </c>
      <c r="B1810" s="2"/>
      <c r="C1810" s="2"/>
      <c r="D1810" s="2"/>
      <c r="E1810" s="2"/>
      <c r="F1810" s="2"/>
      <c r="G1810" s="2"/>
      <c r="H1810" s="2"/>
      <c r="I1810" s="2">
        <v>62.624699999999997</v>
      </c>
      <c r="J1810" s="2">
        <v>298</v>
      </c>
      <c r="K1810" s="2">
        <v>61.309199999999997</v>
      </c>
      <c r="L1810" s="2">
        <v>320</v>
      </c>
      <c r="M1810" s="2">
        <v>103.88849999999999</v>
      </c>
      <c r="N1810" s="2">
        <v>141</v>
      </c>
      <c r="O1810" s="2">
        <v>102.0286</v>
      </c>
      <c r="P1810" s="2">
        <v>170</v>
      </c>
      <c r="Q1810" s="2">
        <v>104.7274</v>
      </c>
      <c r="R1810" s="2">
        <v>222</v>
      </c>
      <c r="S1810" s="2">
        <v>103.3605</v>
      </c>
      <c r="T1810" s="2">
        <v>174</v>
      </c>
      <c r="U1810" s="2">
        <v>0.462781</v>
      </c>
      <c r="V1810" s="2">
        <v>165</v>
      </c>
      <c r="W1810" s="2">
        <v>2007</v>
      </c>
    </row>
    <row r="1811" spans="1:23" ht="12.3" hidden="1" x14ac:dyDescent="0.4">
      <c r="A1811" s="2" t="s">
        <v>127</v>
      </c>
      <c r="B1811" s="2"/>
      <c r="C1811" s="2"/>
      <c r="D1811" s="2"/>
      <c r="E1811" s="2"/>
      <c r="F1811" s="2"/>
      <c r="G1811" s="2"/>
      <c r="H1811" s="2"/>
      <c r="I1811" s="2">
        <v>67.563500000000005</v>
      </c>
      <c r="J1811" s="2">
        <v>134</v>
      </c>
      <c r="K1811" s="2">
        <v>67.851799999999997</v>
      </c>
      <c r="L1811" s="2">
        <v>119</v>
      </c>
      <c r="M1811" s="2">
        <v>100.7595</v>
      </c>
      <c r="N1811" s="2">
        <v>195</v>
      </c>
      <c r="O1811" s="2">
        <v>100.2675</v>
      </c>
      <c r="P1811" s="2">
        <v>199</v>
      </c>
      <c r="Q1811" s="2">
        <v>99.390299999999996</v>
      </c>
      <c r="R1811" s="2">
        <v>101</v>
      </c>
      <c r="S1811" s="2">
        <v>101.59990000000001</v>
      </c>
      <c r="T1811" s="2">
        <v>151</v>
      </c>
      <c r="U1811" s="2">
        <v>0.46211799999999997</v>
      </c>
      <c r="V1811" s="2">
        <v>166</v>
      </c>
      <c r="W1811" s="2">
        <v>2007</v>
      </c>
    </row>
    <row r="1812" spans="1:23" ht="12.3" hidden="1" x14ac:dyDescent="0.4">
      <c r="A1812" s="2" t="s">
        <v>133</v>
      </c>
      <c r="B1812" s="2"/>
      <c r="C1812" s="2"/>
      <c r="D1812" s="2"/>
      <c r="E1812" s="2"/>
      <c r="F1812" s="2"/>
      <c r="G1812" s="2"/>
      <c r="H1812" s="2"/>
      <c r="I1812" s="2">
        <v>70.865499999999997</v>
      </c>
      <c r="J1812" s="2">
        <v>48</v>
      </c>
      <c r="K1812" s="2">
        <v>69.940100000000001</v>
      </c>
      <c r="L1812" s="2">
        <v>55</v>
      </c>
      <c r="M1812" s="2">
        <v>104.2432</v>
      </c>
      <c r="N1812" s="2">
        <v>135</v>
      </c>
      <c r="O1812" s="2">
        <v>105.8052</v>
      </c>
      <c r="P1812" s="2">
        <v>112</v>
      </c>
      <c r="Q1812" s="2">
        <v>105.113</v>
      </c>
      <c r="R1812" s="2">
        <v>233</v>
      </c>
      <c r="S1812" s="2">
        <v>107.3978</v>
      </c>
      <c r="T1812" s="2">
        <v>259</v>
      </c>
      <c r="U1812" s="2">
        <v>0.457152</v>
      </c>
      <c r="V1812" s="2">
        <v>167</v>
      </c>
      <c r="W1812" s="2">
        <v>2007</v>
      </c>
    </row>
    <row r="1813" spans="1:23" ht="12.3" hidden="1" x14ac:dyDescent="0.4">
      <c r="A1813" s="2" t="s">
        <v>110</v>
      </c>
      <c r="B1813" s="2"/>
      <c r="C1813" s="2"/>
      <c r="D1813" s="2"/>
      <c r="E1813" s="2"/>
      <c r="F1813" s="2"/>
      <c r="G1813" s="2"/>
      <c r="H1813" s="2"/>
      <c r="I1813" s="2">
        <v>66.774299999999997</v>
      </c>
      <c r="J1813" s="2">
        <v>171</v>
      </c>
      <c r="K1813" s="2">
        <v>65.507900000000006</v>
      </c>
      <c r="L1813" s="2">
        <v>214</v>
      </c>
      <c r="M1813" s="2">
        <v>98.794700000000006</v>
      </c>
      <c r="N1813" s="2">
        <v>227</v>
      </c>
      <c r="O1813" s="2">
        <v>97.831900000000005</v>
      </c>
      <c r="P1813" s="2">
        <v>244</v>
      </c>
      <c r="Q1813" s="2">
        <v>99.842399999999998</v>
      </c>
      <c r="R1813" s="2">
        <v>112</v>
      </c>
      <c r="S1813" s="2">
        <v>99.309200000000004</v>
      </c>
      <c r="T1813" s="2">
        <v>94</v>
      </c>
      <c r="U1813" s="2">
        <v>0.45701700000000001</v>
      </c>
      <c r="V1813" s="2">
        <v>168</v>
      </c>
      <c r="W1813" s="2">
        <v>2007</v>
      </c>
    </row>
    <row r="1814" spans="1:23" ht="12.3" hidden="1" x14ac:dyDescent="0.4">
      <c r="A1814" s="2" t="s">
        <v>160</v>
      </c>
      <c r="B1814" s="2"/>
      <c r="C1814" s="2"/>
      <c r="D1814" s="2"/>
      <c r="E1814" s="2"/>
      <c r="F1814" s="2"/>
      <c r="G1814" s="2"/>
      <c r="H1814" s="2"/>
      <c r="I1814" s="2">
        <v>65.731399999999994</v>
      </c>
      <c r="J1814" s="2">
        <v>213</v>
      </c>
      <c r="K1814" s="2">
        <v>66.582999999999998</v>
      </c>
      <c r="L1814" s="2">
        <v>173</v>
      </c>
      <c r="M1814" s="2">
        <v>101.67959999999999</v>
      </c>
      <c r="N1814" s="2">
        <v>179</v>
      </c>
      <c r="O1814" s="2">
        <v>101.84569999999999</v>
      </c>
      <c r="P1814" s="2">
        <v>172</v>
      </c>
      <c r="Q1814" s="2">
        <v>100.85720000000001</v>
      </c>
      <c r="R1814" s="2">
        <v>139</v>
      </c>
      <c r="S1814" s="2">
        <v>103.5808</v>
      </c>
      <c r="T1814" s="2">
        <v>178</v>
      </c>
      <c r="U1814" s="2">
        <v>0.45158700000000002</v>
      </c>
      <c r="V1814" s="2">
        <v>169</v>
      </c>
      <c r="W1814" s="2">
        <v>2007</v>
      </c>
    </row>
    <row r="1815" spans="1:23" ht="12.3" hidden="1" x14ac:dyDescent="0.4">
      <c r="A1815" s="2" t="s">
        <v>108</v>
      </c>
      <c r="B1815" s="2"/>
      <c r="C1815" s="2"/>
      <c r="D1815" s="2"/>
      <c r="E1815" s="2"/>
      <c r="F1815" s="2"/>
      <c r="G1815" s="2"/>
      <c r="H1815" s="2"/>
      <c r="I1815" s="2">
        <v>71.356999999999999</v>
      </c>
      <c r="J1815" s="2">
        <v>40</v>
      </c>
      <c r="K1815" s="2">
        <v>70.933499999999995</v>
      </c>
      <c r="L1815" s="2">
        <v>36</v>
      </c>
      <c r="M1815" s="2">
        <v>100.48569999999999</v>
      </c>
      <c r="N1815" s="2">
        <v>201</v>
      </c>
      <c r="O1815" s="2">
        <v>97.703900000000004</v>
      </c>
      <c r="P1815" s="2">
        <v>246</v>
      </c>
      <c r="Q1815" s="2">
        <v>95.063699999999997</v>
      </c>
      <c r="R1815" s="2">
        <v>32</v>
      </c>
      <c r="S1815" s="2">
        <v>99.427499999999995</v>
      </c>
      <c r="T1815" s="2">
        <v>96</v>
      </c>
      <c r="U1815" s="2">
        <v>0.44989200000000001</v>
      </c>
      <c r="V1815" s="2">
        <v>170</v>
      </c>
      <c r="W1815" s="2">
        <v>2007</v>
      </c>
    </row>
    <row r="1816" spans="1:23" ht="12.3" hidden="1" x14ac:dyDescent="0.4">
      <c r="A1816" s="2" t="s">
        <v>142</v>
      </c>
      <c r="B1816" s="2"/>
      <c r="C1816" s="2"/>
      <c r="D1816" s="2"/>
      <c r="E1816" s="2"/>
      <c r="F1816" s="2"/>
      <c r="G1816" s="2"/>
      <c r="H1816" s="2"/>
      <c r="I1816" s="2">
        <v>67.298599999999993</v>
      </c>
      <c r="J1816" s="2">
        <v>144</v>
      </c>
      <c r="K1816" s="2">
        <v>67.843000000000004</v>
      </c>
      <c r="L1816" s="2">
        <v>120</v>
      </c>
      <c r="M1816" s="2">
        <v>92.7881</v>
      </c>
      <c r="N1816" s="2">
        <v>305</v>
      </c>
      <c r="O1816" s="2">
        <v>94.412999999999997</v>
      </c>
      <c r="P1816" s="2">
        <v>285</v>
      </c>
      <c r="Q1816" s="2">
        <v>98.603499999999997</v>
      </c>
      <c r="R1816" s="2">
        <v>86</v>
      </c>
      <c r="S1816" s="2">
        <v>96.155900000000003</v>
      </c>
      <c r="T1816" s="2">
        <v>49</v>
      </c>
      <c r="U1816" s="2">
        <v>0.447604</v>
      </c>
      <c r="V1816" s="2">
        <v>171</v>
      </c>
      <c r="W1816" s="2">
        <v>2007</v>
      </c>
    </row>
    <row r="1817" spans="1:23" ht="12.3" hidden="1" x14ac:dyDescent="0.4">
      <c r="A1817" s="2" t="s">
        <v>114</v>
      </c>
      <c r="B1817" s="2"/>
      <c r="C1817" s="2"/>
      <c r="D1817" s="2"/>
      <c r="E1817" s="2"/>
      <c r="F1817" s="2"/>
      <c r="G1817" s="2"/>
      <c r="H1817" s="2"/>
      <c r="I1817" s="2">
        <v>69.537300000000002</v>
      </c>
      <c r="J1817" s="2">
        <v>75</v>
      </c>
      <c r="K1817" s="2">
        <v>70.223500000000001</v>
      </c>
      <c r="L1817" s="2">
        <v>48</v>
      </c>
      <c r="M1817" s="2">
        <v>105.15860000000001</v>
      </c>
      <c r="N1817" s="2">
        <v>116</v>
      </c>
      <c r="O1817" s="2">
        <v>100.5654</v>
      </c>
      <c r="P1817" s="2">
        <v>196</v>
      </c>
      <c r="Q1817" s="2">
        <v>102.1103</v>
      </c>
      <c r="R1817" s="2">
        <v>163</v>
      </c>
      <c r="S1817" s="2">
        <v>102.5455</v>
      </c>
      <c r="T1817" s="2">
        <v>163</v>
      </c>
      <c r="U1817" s="2">
        <v>0.44417699999999999</v>
      </c>
      <c r="V1817" s="2">
        <v>172</v>
      </c>
      <c r="W1817" s="2">
        <v>2007</v>
      </c>
    </row>
    <row r="1818" spans="1:23" ht="12.3" hidden="1" x14ac:dyDescent="0.4">
      <c r="A1818" s="2" t="s">
        <v>330</v>
      </c>
      <c r="B1818" s="2"/>
      <c r="C1818" s="2"/>
      <c r="D1818" s="2"/>
      <c r="E1818" s="2"/>
      <c r="F1818" s="2"/>
      <c r="G1818" s="2"/>
      <c r="H1818" s="2"/>
      <c r="I1818" s="2">
        <v>70.409199999999998</v>
      </c>
      <c r="J1818" s="2">
        <v>58</v>
      </c>
      <c r="K1818" s="2">
        <v>67.173100000000005</v>
      </c>
      <c r="L1818" s="2">
        <v>146</v>
      </c>
      <c r="M1818" s="2">
        <v>103.17</v>
      </c>
      <c r="N1818" s="2">
        <v>153</v>
      </c>
      <c r="O1818" s="2">
        <v>99.152900000000002</v>
      </c>
      <c r="P1818" s="2">
        <v>216</v>
      </c>
      <c r="Q1818" s="2">
        <v>98.829899999999995</v>
      </c>
      <c r="R1818" s="2">
        <v>90</v>
      </c>
      <c r="S1818" s="2">
        <v>101.18729999999999</v>
      </c>
      <c r="T1818" s="2">
        <v>139</v>
      </c>
      <c r="U1818" s="2">
        <v>0.44187100000000001</v>
      </c>
      <c r="V1818" s="2">
        <v>173</v>
      </c>
      <c r="W1818" s="2">
        <v>2007</v>
      </c>
    </row>
    <row r="1819" spans="1:23" ht="12.3" hidden="1" x14ac:dyDescent="0.4">
      <c r="A1819" s="2" t="s">
        <v>333</v>
      </c>
      <c r="B1819" s="2"/>
      <c r="C1819" s="2"/>
      <c r="D1819" s="2"/>
      <c r="E1819" s="2"/>
      <c r="F1819" s="2"/>
      <c r="G1819" s="2"/>
      <c r="H1819" s="2"/>
      <c r="I1819" s="2">
        <v>62.911499999999997</v>
      </c>
      <c r="J1819" s="2">
        <v>293</v>
      </c>
      <c r="K1819" s="2">
        <v>64.340699999999998</v>
      </c>
      <c r="L1819" s="2">
        <v>262</v>
      </c>
      <c r="M1819" s="2">
        <v>103.9635</v>
      </c>
      <c r="N1819" s="2">
        <v>140</v>
      </c>
      <c r="O1819" s="2">
        <v>102.6313</v>
      </c>
      <c r="P1819" s="2">
        <v>160</v>
      </c>
      <c r="Q1819" s="2">
        <v>101.5972</v>
      </c>
      <c r="R1819" s="2">
        <v>156</v>
      </c>
      <c r="S1819" s="2">
        <v>104.7551</v>
      </c>
      <c r="T1819" s="2">
        <v>207</v>
      </c>
      <c r="U1819" s="2">
        <v>0.441382</v>
      </c>
      <c r="V1819" s="2">
        <v>174</v>
      </c>
      <c r="W1819" s="2">
        <v>2007</v>
      </c>
    </row>
    <row r="1820" spans="1:23" ht="12.3" x14ac:dyDescent="0.4">
      <c r="A1820" s="2" t="s">
        <v>216</v>
      </c>
      <c r="B1820" s="2">
        <v>12</v>
      </c>
      <c r="C1820" s="2"/>
      <c r="D1820" s="2"/>
      <c r="E1820" s="2"/>
      <c r="F1820" s="2"/>
      <c r="G1820" s="2"/>
      <c r="H1820" s="2"/>
      <c r="I1820" s="2">
        <v>61.311</v>
      </c>
      <c r="J1820" s="2">
        <v>325</v>
      </c>
      <c r="K1820" s="2">
        <v>61.855400000000003</v>
      </c>
      <c r="L1820" s="2">
        <v>318</v>
      </c>
      <c r="M1820" s="2">
        <v>108.1962</v>
      </c>
      <c r="N1820" s="2">
        <v>56</v>
      </c>
      <c r="O1820" s="2">
        <v>109.1155</v>
      </c>
      <c r="P1820" s="2">
        <v>53</v>
      </c>
      <c r="Q1820" s="2">
        <v>102.1995</v>
      </c>
      <c r="R1820" s="2">
        <v>198</v>
      </c>
      <c r="S1820" s="2">
        <v>99.241100000000003</v>
      </c>
      <c r="T1820" s="2">
        <v>122</v>
      </c>
      <c r="U1820" s="2">
        <v>0.74853800000000004</v>
      </c>
      <c r="V1820" s="2">
        <v>76</v>
      </c>
      <c r="W1820" s="2">
        <v>2009</v>
      </c>
    </row>
    <row r="1821" spans="1:23" ht="12.3" hidden="1" x14ac:dyDescent="0.4">
      <c r="A1821" s="2" t="s">
        <v>316</v>
      </c>
      <c r="B1821" s="2"/>
      <c r="C1821" s="2"/>
      <c r="D1821" s="2"/>
      <c r="E1821" s="2"/>
      <c r="F1821" s="2"/>
      <c r="G1821" s="2"/>
      <c r="H1821" s="2"/>
      <c r="I1821" s="2">
        <v>72.447999999999993</v>
      </c>
      <c r="J1821" s="2">
        <v>21</v>
      </c>
      <c r="K1821" s="2">
        <v>72.549599999999998</v>
      </c>
      <c r="L1821" s="2">
        <v>18</v>
      </c>
      <c r="M1821" s="2">
        <v>108.1391</v>
      </c>
      <c r="N1821" s="2">
        <v>61</v>
      </c>
      <c r="O1821" s="2">
        <v>105.55459999999999</v>
      </c>
      <c r="P1821" s="2">
        <v>115</v>
      </c>
      <c r="Q1821" s="2">
        <v>105.8663</v>
      </c>
      <c r="R1821" s="2">
        <v>251</v>
      </c>
      <c r="S1821" s="2">
        <v>107.8789</v>
      </c>
      <c r="T1821" s="2">
        <v>270</v>
      </c>
      <c r="U1821" s="2">
        <v>0.43770599999999998</v>
      </c>
      <c r="V1821" s="2">
        <v>176</v>
      </c>
      <c r="W1821" s="2">
        <v>2007</v>
      </c>
    </row>
    <row r="1822" spans="1:23" ht="12.3" hidden="1" x14ac:dyDescent="0.4">
      <c r="A1822" s="2" t="s">
        <v>199</v>
      </c>
      <c r="B1822" s="2"/>
      <c r="C1822" s="2"/>
      <c r="D1822" s="2"/>
      <c r="E1822" s="2"/>
      <c r="F1822" s="2"/>
      <c r="G1822" s="2"/>
      <c r="H1822" s="2"/>
      <c r="I1822" s="2">
        <v>63.8872</v>
      </c>
      <c r="J1822" s="2">
        <v>271</v>
      </c>
      <c r="K1822" s="2">
        <v>63.9208</v>
      </c>
      <c r="L1822" s="2">
        <v>278</v>
      </c>
      <c r="M1822" s="2">
        <v>105.81359999999999</v>
      </c>
      <c r="N1822" s="2">
        <v>104</v>
      </c>
      <c r="O1822" s="2">
        <v>104.89239999999999</v>
      </c>
      <c r="P1822" s="2">
        <v>129</v>
      </c>
      <c r="Q1822" s="2">
        <v>106.73779999999999</v>
      </c>
      <c r="R1822" s="2">
        <v>269</v>
      </c>
      <c r="S1822" s="2">
        <v>107.27249999999999</v>
      </c>
      <c r="T1822" s="2">
        <v>256</v>
      </c>
      <c r="U1822" s="2">
        <v>0.43585000000000002</v>
      </c>
      <c r="V1822" s="2">
        <v>177</v>
      </c>
      <c r="W1822" s="2">
        <v>2007</v>
      </c>
    </row>
    <row r="1823" spans="1:23" ht="12.3" hidden="1" x14ac:dyDescent="0.4">
      <c r="A1823" s="2" t="s">
        <v>75</v>
      </c>
      <c r="B1823" s="2"/>
      <c r="C1823" s="2"/>
      <c r="D1823" s="2"/>
      <c r="E1823" s="2"/>
      <c r="F1823" s="2"/>
      <c r="G1823" s="2"/>
      <c r="H1823" s="2"/>
      <c r="I1823" s="2">
        <v>64.098500000000001</v>
      </c>
      <c r="J1823" s="2">
        <v>262</v>
      </c>
      <c r="K1823" s="2">
        <v>66.0625</v>
      </c>
      <c r="L1823" s="2">
        <v>192</v>
      </c>
      <c r="M1823" s="2">
        <v>93.826400000000007</v>
      </c>
      <c r="N1823" s="2">
        <v>296</v>
      </c>
      <c r="O1823" s="2">
        <v>98.216999999999999</v>
      </c>
      <c r="P1823" s="2">
        <v>232</v>
      </c>
      <c r="Q1823" s="2">
        <v>102.5715</v>
      </c>
      <c r="R1823" s="2">
        <v>172</v>
      </c>
      <c r="S1823" s="2">
        <v>100.5496</v>
      </c>
      <c r="T1823" s="2">
        <v>120</v>
      </c>
      <c r="U1823" s="2">
        <v>0.43292599999999998</v>
      </c>
      <c r="V1823" s="2">
        <v>178</v>
      </c>
      <c r="W1823" s="2">
        <v>2007</v>
      </c>
    </row>
    <row r="1824" spans="1:23" ht="12.3" hidden="1" x14ac:dyDescent="0.4">
      <c r="A1824" s="2" t="s">
        <v>269</v>
      </c>
      <c r="B1824" s="2"/>
      <c r="C1824" s="2"/>
      <c r="D1824" s="2"/>
      <c r="E1824" s="2"/>
      <c r="F1824" s="2"/>
      <c r="G1824" s="2"/>
      <c r="H1824" s="2"/>
      <c r="I1824" s="2">
        <v>73.019599999999997</v>
      </c>
      <c r="J1824" s="2">
        <v>16</v>
      </c>
      <c r="K1824" s="2">
        <v>71.979299999999995</v>
      </c>
      <c r="L1824" s="2">
        <v>25</v>
      </c>
      <c r="M1824" s="2">
        <v>105.49850000000001</v>
      </c>
      <c r="N1824" s="2">
        <v>109</v>
      </c>
      <c r="O1824" s="2">
        <v>102.57689999999999</v>
      </c>
      <c r="P1824" s="2">
        <v>161</v>
      </c>
      <c r="Q1824" s="2">
        <v>103.495</v>
      </c>
      <c r="R1824" s="2">
        <v>195</v>
      </c>
      <c r="S1824" s="2">
        <v>105.30889999999999</v>
      </c>
      <c r="T1824" s="2">
        <v>219</v>
      </c>
      <c r="U1824" s="2">
        <v>0.42499999999999999</v>
      </c>
      <c r="V1824" s="2">
        <v>179</v>
      </c>
      <c r="W1824" s="2">
        <v>2007</v>
      </c>
    </row>
    <row r="1825" spans="1:23" ht="12.3" hidden="1" x14ac:dyDescent="0.4">
      <c r="A1825" s="2" t="s">
        <v>149</v>
      </c>
      <c r="B1825" s="2"/>
      <c r="C1825" s="2"/>
      <c r="D1825" s="2"/>
      <c r="E1825" s="2"/>
      <c r="F1825" s="2"/>
      <c r="G1825" s="2"/>
      <c r="H1825" s="2"/>
      <c r="I1825" s="2">
        <v>66.143299999999996</v>
      </c>
      <c r="J1825" s="2">
        <v>201</v>
      </c>
      <c r="K1825" s="2">
        <v>66.4358</v>
      </c>
      <c r="L1825" s="2">
        <v>176</v>
      </c>
      <c r="M1825" s="2">
        <v>95.1999</v>
      </c>
      <c r="N1825" s="2">
        <v>283</v>
      </c>
      <c r="O1825" s="2">
        <v>100.0566</v>
      </c>
      <c r="P1825" s="2">
        <v>205</v>
      </c>
      <c r="Q1825" s="2">
        <v>105.43340000000001</v>
      </c>
      <c r="R1825" s="2">
        <v>242</v>
      </c>
      <c r="S1825" s="2">
        <v>102.7513</v>
      </c>
      <c r="T1825" s="2">
        <v>167</v>
      </c>
      <c r="U1825" s="2">
        <v>0.42418400000000001</v>
      </c>
      <c r="V1825" s="2">
        <v>180</v>
      </c>
      <c r="W1825" s="2">
        <v>2007</v>
      </c>
    </row>
    <row r="1826" spans="1:23" ht="12.3" x14ac:dyDescent="0.4">
      <c r="A1826" s="2" t="s">
        <v>64</v>
      </c>
      <c r="B1826" s="2">
        <v>11</v>
      </c>
      <c r="C1826" s="4" t="s">
        <v>33</v>
      </c>
      <c r="D1826" s="2"/>
      <c r="E1826" s="2"/>
      <c r="F1826" s="2"/>
      <c r="G1826" s="2"/>
      <c r="H1826" s="2"/>
      <c r="I1826" s="2">
        <v>65.5077</v>
      </c>
      <c r="J1826" s="2">
        <v>204</v>
      </c>
      <c r="K1826" s="2">
        <v>65.585300000000004</v>
      </c>
      <c r="L1826" s="2">
        <v>203</v>
      </c>
      <c r="M1826" s="2">
        <v>102.1484</v>
      </c>
      <c r="N1826" s="2">
        <v>160</v>
      </c>
      <c r="O1826" s="2">
        <v>102.3203</v>
      </c>
      <c r="P1826" s="2">
        <v>150</v>
      </c>
      <c r="Q1826" s="2">
        <v>92.946700000000007</v>
      </c>
      <c r="R1826" s="2">
        <v>16</v>
      </c>
      <c r="S1826" s="2">
        <v>93.921499999999995</v>
      </c>
      <c r="T1826" s="2">
        <v>35</v>
      </c>
      <c r="U1826" s="2">
        <v>0.72809199999999996</v>
      </c>
      <c r="V1826" s="2">
        <v>83</v>
      </c>
      <c r="W1826" s="2">
        <v>2009</v>
      </c>
    </row>
    <row r="1827" spans="1:23" ht="12.3" x14ac:dyDescent="0.4">
      <c r="A1827" s="2" t="s">
        <v>282</v>
      </c>
      <c r="B1827" s="2">
        <v>14</v>
      </c>
      <c r="C1827" s="2"/>
      <c r="D1827" s="2"/>
      <c r="E1827" s="2"/>
      <c r="F1827" s="2"/>
      <c r="G1827" s="2"/>
      <c r="H1827" s="2"/>
      <c r="I1827" s="2">
        <v>64.377399999999994</v>
      </c>
      <c r="J1827" s="2">
        <v>264</v>
      </c>
      <c r="K1827" s="2">
        <v>62.919499999999999</v>
      </c>
      <c r="L1827" s="2">
        <v>300</v>
      </c>
      <c r="M1827" s="2">
        <v>98.13</v>
      </c>
      <c r="N1827" s="2">
        <v>227</v>
      </c>
      <c r="O1827" s="2">
        <v>97.094499999999996</v>
      </c>
      <c r="P1827" s="2">
        <v>248</v>
      </c>
      <c r="Q1827" s="2">
        <v>88.648700000000005</v>
      </c>
      <c r="R1827" s="2">
        <v>2</v>
      </c>
      <c r="S1827" s="2">
        <v>90.441199999999995</v>
      </c>
      <c r="T1827" s="2">
        <v>7</v>
      </c>
      <c r="U1827" s="2">
        <v>0.69345699999999999</v>
      </c>
      <c r="V1827" s="2">
        <v>86</v>
      </c>
      <c r="W1827" s="2">
        <v>2009</v>
      </c>
    </row>
    <row r="1828" spans="1:23" ht="12.3" hidden="1" x14ac:dyDescent="0.4">
      <c r="A1828" s="2" t="s">
        <v>231</v>
      </c>
      <c r="B1828" s="2"/>
      <c r="C1828" s="2"/>
      <c r="D1828" s="2"/>
      <c r="E1828" s="2"/>
      <c r="F1828" s="2"/>
      <c r="G1828" s="2"/>
      <c r="H1828" s="2"/>
      <c r="I1828" s="2">
        <v>67.273600000000002</v>
      </c>
      <c r="J1828" s="2">
        <v>147</v>
      </c>
      <c r="K1828" s="2">
        <v>66.872600000000006</v>
      </c>
      <c r="L1828" s="2">
        <v>160</v>
      </c>
      <c r="M1828" s="2">
        <v>99.432599999999994</v>
      </c>
      <c r="N1828" s="2">
        <v>216</v>
      </c>
      <c r="O1828" s="2">
        <v>101.099</v>
      </c>
      <c r="P1828" s="2">
        <v>184</v>
      </c>
      <c r="Q1828" s="2">
        <v>103.97880000000001</v>
      </c>
      <c r="R1828" s="2">
        <v>200</v>
      </c>
      <c r="S1828" s="2">
        <v>103.92270000000001</v>
      </c>
      <c r="T1828" s="2">
        <v>188</v>
      </c>
      <c r="U1828" s="2">
        <v>0.421458</v>
      </c>
      <c r="V1828" s="2">
        <v>183</v>
      </c>
      <c r="W1828" s="2">
        <v>2007</v>
      </c>
    </row>
    <row r="1829" spans="1:23" ht="12.3" hidden="1" x14ac:dyDescent="0.4">
      <c r="A1829" s="2" t="s">
        <v>140</v>
      </c>
      <c r="B1829" s="2"/>
      <c r="C1829" s="2"/>
      <c r="D1829" s="2"/>
      <c r="E1829" s="2"/>
      <c r="F1829" s="2"/>
      <c r="G1829" s="2"/>
      <c r="H1829" s="2"/>
      <c r="I1829" s="2">
        <v>62.6843</v>
      </c>
      <c r="J1829" s="2">
        <v>297</v>
      </c>
      <c r="K1829" s="2">
        <v>61.6252</v>
      </c>
      <c r="L1829" s="2">
        <v>317</v>
      </c>
      <c r="M1829" s="2">
        <v>97.818100000000001</v>
      </c>
      <c r="N1829" s="2">
        <v>246</v>
      </c>
      <c r="O1829" s="2">
        <v>98.863399999999999</v>
      </c>
      <c r="P1829" s="2">
        <v>221</v>
      </c>
      <c r="Q1829" s="2">
        <v>100.19159999999999</v>
      </c>
      <c r="R1829" s="2">
        <v>119</v>
      </c>
      <c r="S1829" s="2">
        <v>101.7208</v>
      </c>
      <c r="T1829" s="2">
        <v>154</v>
      </c>
      <c r="U1829" s="2">
        <v>0.41881000000000002</v>
      </c>
      <c r="V1829" s="2">
        <v>184</v>
      </c>
      <c r="W1829" s="2">
        <v>2007</v>
      </c>
    </row>
    <row r="1830" spans="1:23" ht="12.3" hidden="1" x14ac:dyDescent="0.4">
      <c r="A1830" s="2" t="s">
        <v>265</v>
      </c>
      <c r="B1830" s="2"/>
      <c r="C1830" s="2"/>
      <c r="D1830" s="2"/>
      <c r="E1830" s="2"/>
      <c r="F1830" s="2"/>
      <c r="G1830" s="2"/>
      <c r="H1830" s="2"/>
      <c r="I1830" s="2">
        <v>55.540999999999997</v>
      </c>
      <c r="J1830" s="2">
        <v>334</v>
      </c>
      <c r="K1830" s="2">
        <v>55.2149</v>
      </c>
      <c r="L1830" s="2">
        <v>335</v>
      </c>
      <c r="M1830" s="2">
        <v>106.0942</v>
      </c>
      <c r="N1830" s="2">
        <v>99</v>
      </c>
      <c r="O1830" s="2">
        <v>105.1914</v>
      </c>
      <c r="P1830" s="2">
        <v>120</v>
      </c>
      <c r="Q1830" s="2">
        <v>104.96680000000001</v>
      </c>
      <c r="R1830" s="2">
        <v>229</v>
      </c>
      <c r="S1830" s="2">
        <v>108.254</v>
      </c>
      <c r="T1830" s="2">
        <v>281</v>
      </c>
      <c r="U1830" s="2">
        <v>0.41823199999999999</v>
      </c>
      <c r="V1830" s="2">
        <v>185</v>
      </c>
      <c r="W1830" s="2">
        <v>2007</v>
      </c>
    </row>
    <row r="1831" spans="1:23" ht="12.3" hidden="1" x14ac:dyDescent="0.4">
      <c r="A1831" s="2" t="s">
        <v>317</v>
      </c>
      <c r="B1831" s="2"/>
      <c r="C1831" s="2"/>
      <c r="D1831" s="2"/>
      <c r="E1831" s="2"/>
      <c r="F1831" s="2"/>
      <c r="G1831" s="2"/>
      <c r="H1831" s="2"/>
      <c r="I1831" s="2">
        <v>65.179699999999997</v>
      </c>
      <c r="J1831" s="2">
        <v>229</v>
      </c>
      <c r="K1831" s="2">
        <v>67.221500000000006</v>
      </c>
      <c r="L1831" s="2">
        <v>143</v>
      </c>
      <c r="M1831" s="2">
        <v>99.551000000000002</v>
      </c>
      <c r="N1831" s="2">
        <v>213</v>
      </c>
      <c r="O1831" s="2">
        <v>100.5461</v>
      </c>
      <c r="P1831" s="2">
        <v>197</v>
      </c>
      <c r="Q1831" s="2">
        <v>106.49120000000001</v>
      </c>
      <c r="R1831" s="2">
        <v>266</v>
      </c>
      <c r="S1831" s="2">
        <v>103.4999</v>
      </c>
      <c r="T1831" s="2">
        <v>176</v>
      </c>
      <c r="U1831" s="2">
        <v>0.41751899999999997</v>
      </c>
      <c r="V1831" s="2">
        <v>186</v>
      </c>
      <c r="W1831" s="2">
        <v>2007</v>
      </c>
    </row>
    <row r="1832" spans="1:23" ht="12.3" hidden="1" x14ac:dyDescent="0.4">
      <c r="A1832" s="2" t="s">
        <v>203</v>
      </c>
      <c r="B1832" s="2"/>
      <c r="C1832" s="2"/>
      <c r="D1832" s="2"/>
      <c r="E1832" s="2"/>
      <c r="F1832" s="2"/>
      <c r="G1832" s="2"/>
      <c r="H1832" s="2"/>
      <c r="I1832" s="2">
        <v>59.398699999999998</v>
      </c>
      <c r="J1832" s="2">
        <v>329</v>
      </c>
      <c r="K1832" s="2">
        <v>60.104399999999998</v>
      </c>
      <c r="L1832" s="2">
        <v>328</v>
      </c>
      <c r="M1832" s="2">
        <v>99.180300000000003</v>
      </c>
      <c r="N1832" s="2">
        <v>221</v>
      </c>
      <c r="O1832" s="2">
        <v>98.529399999999995</v>
      </c>
      <c r="P1832" s="2">
        <v>228</v>
      </c>
      <c r="Q1832" s="2">
        <v>99.067700000000002</v>
      </c>
      <c r="R1832" s="2">
        <v>93</v>
      </c>
      <c r="S1832" s="2">
        <v>101.4295</v>
      </c>
      <c r="T1832" s="2">
        <v>146</v>
      </c>
      <c r="U1832" s="2">
        <v>0.41736400000000001</v>
      </c>
      <c r="V1832" s="2">
        <v>187</v>
      </c>
      <c r="W1832" s="2">
        <v>2007</v>
      </c>
    </row>
    <row r="1833" spans="1:23" ht="12.3" hidden="1" x14ac:dyDescent="0.4">
      <c r="A1833" s="2" t="s">
        <v>257</v>
      </c>
      <c r="B1833" s="2"/>
      <c r="C1833" s="2"/>
      <c r="D1833" s="2"/>
      <c r="E1833" s="2"/>
      <c r="F1833" s="2"/>
      <c r="G1833" s="2"/>
      <c r="H1833" s="2"/>
      <c r="I1833" s="2">
        <v>62.375300000000003</v>
      </c>
      <c r="J1833" s="2">
        <v>302</v>
      </c>
      <c r="K1833" s="2">
        <v>63.5124</v>
      </c>
      <c r="L1833" s="2">
        <v>292</v>
      </c>
      <c r="M1833" s="2">
        <v>101.8322</v>
      </c>
      <c r="N1833" s="2">
        <v>173</v>
      </c>
      <c r="O1833" s="2">
        <v>100.9468</v>
      </c>
      <c r="P1833" s="2">
        <v>189</v>
      </c>
      <c r="Q1833" s="2">
        <v>102.821</v>
      </c>
      <c r="R1833" s="2">
        <v>181</v>
      </c>
      <c r="S1833" s="2">
        <v>104.0763</v>
      </c>
      <c r="T1833" s="2">
        <v>196</v>
      </c>
      <c r="U1833" s="2">
        <v>0.41311399999999998</v>
      </c>
      <c r="V1833" s="2">
        <v>188</v>
      </c>
      <c r="W1833" s="2">
        <v>2007</v>
      </c>
    </row>
    <row r="1834" spans="1:23" ht="12.3" hidden="1" x14ac:dyDescent="0.4">
      <c r="A1834" s="2" t="s">
        <v>340</v>
      </c>
      <c r="B1834" s="2"/>
      <c r="C1834" s="2"/>
      <c r="D1834" s="2"/>
      <c r="E1834" s="2"/>
      <c r="F1834" s="2"/>
      <c r="G1834" s="2"/>
      <c r="H1834" s="2"/>
      <c r="I1834" s="2">
        <v>65.879300000000001</v>
      </c>
      <c r="J1834" s="2">
        <v>211</v>
      </c>
      <c r="K1834" s="2">
        <v>66.376000000000005</v>
      </c>
      <c r="L1834" s="2">
        <v>180</v>
      </c>
      <c r="M1834" s="2">
        <v>107.5121</v>
      </c>
      <c r="N1834" s="2">
        <v>71</v>
      </c>
      <c r="O1834" s="2">
        <v>105.83880000000001</v>
      </c>
      <c r="P1834" s="2">
        <v>108</v>
      </c>
      <c r="Q1834" s="2">
        <v>104.58620000000001</v>
      </c>
      <c r="R1834" s="2">
        <v>218</v>
      </c>
      <c r="S1834" s="2">
        <v>109.1832</v>
      </c>
      <c r="T1834" s="2">
        <v>295</v>
      </c>
      <c r="U1834" s="2">
        <v>0.41150199999999998</v>
      </c>
      <c r="V1834" s="2">
        <v>189</v>
      </c>
      <c r="W1834" s="2">
        <v>2007</v>
      </c>
    </row>
    <row r="1835" spans="1:23" ht="12.3" hidden="1" x14ac:dyDescent="0.4">
      <c r="A1835" s="2" t="s">
        <v>187</v>
      </c>
      <c r="B1835" s="2"/>
      <c r="C1835" s="2"/>
      <c r="D1835" s="2"/>
      <c r="E1835" s="2"/>
      <c r="F1835" s="2"/>
      <c r="G1835" s="2"/>
      <c r="H1835" s="2"/>
      <c r="I1835" s="2">
        <v>74.677899999999994</v>
      </c>
      <c r="J1835" s="2">
        <v>8</v>
      </c>
      <c r="K1835" s="2">
        <v>72.619600000000005</v>
      </c>
      <c r="L1835" s="2">
        <v>15</v>
      </c>
      <c r="M1835" s="2">
        <v>111.3895</v>
      </c>
      <c r="N1835" s="2">
        <v>27</v>
      </c>
      <c r="O1835" s="2">
        <v>109.7927</v>
      </c>
      <c r="P1835" s="2">
        <v>57</v>
      </c>
      <c r="Q1835" s="2">
        <v>112.2598</v>
      </c>
      <c r="R1835" s="2">
        <v>329</v>
      </c>
      <c r="S1835" s="2">
        <v>113.27970000000001</v>
      </c>
      <c r="T1835" s="2">
        <v>332</v>
      </c>
      <c r="U1835" s="2">
        <v>0.41106599999999999</v>
      </c>
      <c r="V1835" s="2">
        <v>190</v>
      </c>
      <c r="W1835" s="2">
        <v>2007</v>
      </c>
    </row>
    <row r="1836" spans="1:23" ht="12.3" hidden="1" x14ac:dyDescent="0.4">
      <c r="A1836" s="2" t="s">
        <v>337</v>
      </c>
      <c r="B1836" s="2"/>
      <c r="C1836" s="2"/>
      <c r="D1836" s="2"/>
      <c r="E1836" s="2"/>
      <c r="F1836" s="2"/>
      <c r="G1836" s="2"/>
      <c r="H1836" s="2"/>
      <c r="I1836" s="2">
        <v>64.032700000000006</v>
      </c>
      <c r="J1836" s="2">
        <v>267</v>
      </c>
      <c r="K1836" s="2">
        <v>62.442999999999998</v>
      </c>
      <c r="L1836" s="2">
        <v>306</v>
      </c>
      <c r="M1836" s="2">
        <v>104.83669999999999</v>
      </c>
      <c r="N1836" s="2">
        <v>120</v>
      </c>
      <c r="O1836" s="2">
        <v>101.45399999999999</v>
      </c>
      <c r="P1836" s="2">
        <v>177</v>
      </c>
      <c r="Q1836" s="2">
        <v>101.39790000000001</v>
      </c>
      <c r="R1836" s="2">
        <v>149</v>
      </c>
      <c r="S1836" s="2">
        <v>104.9254</v>
      </c>
      <c r="T1836" s="2">
        <v>212</v>
      </c>
      <c r="U1836" s="2">
        <v>0.40446100000000001</v>
      </c>
      <c r="V1836" s="2">
        <v>191</v>
      </c>
      <c r="W1836" s="2">
        <v>2007</v>
      </c>
    </row>
    <row r="1837" spans="1:23" ht="12.3" hidden="1" x14ac:dyDescent="0.4">
      <c r="A1837" s="2" t="s">
        <v>237</v>
      </c>
      <c r="B1837" s="2"/>
      <c r="C1837" s="2"/>
      <c r="D1837" s="2"/>
      <c r="E1837" s="2"/>
      <c r="F1837" s="2"/>
      <c r="G1837" s="2"/>
      <c r="H1837" s="2"/>
      <c r="I1837" s="2">
        <v>63.622700000000002</v>
      </c>
      <c r="J1837" s="2">
        <v>278</v>
      </c>
      <c r="K1837" s="2">
        <v>63.988100000000003</v>
      </c>
      <c r="L1837" s="2">
        <v>275</v>
      </c>
      <c r="M1837" s="2">
        <v>104.36920000000001</v>
      </c>
      <c r="N1837" s="2">
        <v>130</v>
      </c>
      <c r="O1837" s="2">
        <v>100.5899</v>
      </c>
      <c r="P1837" s="2">
        <v>195</v>
      </c>
      <c r="Q1837" s="2">
        <v>104.152</v>
      </c>
      <c r="R1837" s="2">
        <v>207</v>
      </c>
      <c r="S1837" s="2">
        <v>104.0518</v>
      </c>
      <c r="T1837" s="2">
        <v>194</v>
      </c>
      <c r="U1837" s="2">
        <v>0.40392899999999998</v>
      </c>
      <c r="V1837" s="2">
        <v>192</v>
      </c>
      <c r="W1837" s="2">
        <v>2007</v>
      </c>
    </row>
    <row r="1838" spans="1:23" ht="12.3" hidden="1" x14ac:dyDescent="0.4">
      <c r="A1838" s="2" t="s">
        <v>94</v>
      </c>
      <c r="B1838" s="2"/>
      <c r="C1838" s="2"/>
      <c r="D1838" s="2"/>
      <c r="E1838" s="2"/>
      <c r="F1838" s="2"/>
      <c r="G1838" s="2"/>
      <c r="H1838" s="2"/>
      <c r="I1838" s="2">
        <v>67.608400000000003</v>
      </c>
      <c r="J1838" s="2">
        <v>131</v>
      </c>
      <c r="K1838" s="2">
        <v>66.835499999999996</v>
      </c>
      <c r="L1838" s="2">
        <v>161</v>
      </c>
      <c r="M1838" s="2">
        <v>94.064300000000003</v>
      </c>
      <c r="N1838" s="2">
        <v>294</v>
      </c>
      <c r="O1838" s="2">
        <v>97.917900000000003</v>
      </c>
      <c r="P1838" s="2">
        <v>241</v>
      </c>
      <c r="Q1838" s="2">
        <v>102.3501</v>
      </c>
      <c r="R1838" s="2">
        <v>169</v>
      </c>
      <c r="S1838" s="2">
        <v>101.372</v>
      </c>
      <c r="T1838" s="2">
        <v>144</v>
      </c>
      <c r="U1838" s="2">
        <v>0.40162900000000001</v>
      </c>
      <c r="V1838" s="2">
        <v>193</v>
      </c>
      <c r="W1838" s="2">
        <v>2007</v>
      </c>
    </row>
    <row r="1839" spans="1:23" ht="12.3" hidden="1" x14ac:dyDescent="0.4">
      <c r="A1839" s="2" t="s">
        <v>234</v>
      </c>
      <c r="B1839" s="2"/>
      <c r="C1839" s="2"/>
      <c r="D1839" s="2"/>
      <c r="E1839" s="2"/>
      <c r="F1839" s="2"/>
      <c r="G1839" s="2"/>
      <c r="H1839" s="2"/>
      <c r="I1839" s="2">
        <v>65.050600000000003</v>
      </c>
      <c r="J1839" s="2">
        <v>237</v>
      </c>
      <c r="K1839" s="2">
        <v>64.123000000000005</v>
      </c>
      <c r="L1839" s="2">
        <v>272</v>
      </c>
      <c r="M1839" s="2">
        <v>108.3227</v>
      </c>
      <c r="N1839" s="2">
        <v>56</v>
      </c>
      <c r="O1839" s="2">
        <v>105.1438</v>
      </c>
      <c r="P1839" s="2">
        <v>124</v>
      </c>
      <c r="Q1839" s="2">
        <v>107.94110000000001</v>
      </c>
      <c r="R1839" s="2">
        <v>288</v>
      </c>
      <c r="S1839" s="2">
        <v>108.8903</v>
      </c>
      <c r="T1839" s="2">
        <v>292</v>
      </c>
      <c r="U1839" s="2">
        <v>0.40067799999999998</v>
      </c>
      <c r="V1839" s="2">
        <v>194</v>
      </c>
      <c r="W1839" s="2">
        <v>2007</v>
      </c>
    </row>
    <row r="1840" spans="1:23" ht="12.3" hidden="1" x14ac:dyDescent="0.4">
      <c r="A1840" s="2" t="s">
        <v>197</v>
      </c>
      <c r="B1840" s="2"/>
      <c r="C1840" s="2"/>
      <c r="D1840" s="2"/>
      <c r="E1840" s="2"/>
      <c r="F1840" s="2"/>
      <c r="G1840" s="2"/>
      <c r="H1840" s="2"/>
      <c r="I1840" s="2">
        <v>67.852699999999999</v>
      </c>
      <c r="J1840" s="2">
        <v>120</v>
      </c>
      <c r="K1840" s="2">
        <v>68.0792</v>
      </c>
      <c r="L1840" s="2">
        <v>109</v>
      </c>
      <c r="M1840" s="2">
        <v>96.614500000000007</v>
      </c>
      <c r="N1840" s="2">
        <v>263</v>
      </c>
      <c r="O1840" s="2">
        <v>97.841899999999995</v>
      </c>
      <c r="P1840" s="2">
        <v>243</v>
      </c>
      <c r="Q1840" s="2">
        <v>102.6793</v>
      </c>
      <c r="R1840" s="2">
        <v>175</v>
      </c>
      <c r="S1840" s="2">
        <v>101.4024</v>
      </c>
      <c r="T1840" s="2">
        <v>145</v>
      </c>
      <c r="U1840" s="2">
        <v>0.39865899999999999</v>
      </c>
      <c r="V1840" s="2">
        <v>195</v>
      </c>
      <c r="W1840" s="2">
        <v>2007</v>
      </c>
    </row>
    <row r="1841" spans="1:23" ht="12.3" hidden="1" x14ac:dyDescent="0.4">
      <c r="A1841" s="2" t="s">
        <v>311</v>
      </c>
      <c r="B1841" s="2"/>
      <c r="C1841" s="2"/>
      <c r="D1841" s="2"/>
      <c r="E1841" s="2"/>
      <c r="F1841" s="2"/>
      <c r="G1841" s="2"/>
      <c r="H1841" s="2"/>
      <c r="I1841" s="2">
        <v>74.697199999999995</v>
      </c>
      <c r="J1841" s="2">
        <v>7</v>
      </c>
      <c r="K1841" s="2">
        <v>74.422399999999996</v>
      </c>
      <c r="L1841" s="2">
        <v>6</v>
      </c>
      <c r="M1841" s="2">
        <v>106.44450000000001</v>
      </c>
      <c r="N1841" s="2">
        <v>91</v>
      </c>
      <c r="O1841" s="2">
        <v>102.453</v>
      </c>
      <c r="P1841" s="2">
        <v>164</v>
      </c>
      <c r="Q1841" s="2">
        <v>102.331</v>
      </c>
      <c r="R1841" s="2">
        <v>168</v>
      </c>
      <c r="S1841" s="2">
        <v>106.2711</v>
      </c>
      <c r="T1841" s="2">
        <v>237</v>
      </c>
      <c r="U1841" s="2">
        <v>0.39633000000000002</v>
      </c>
      <c r="V1841" s="2">
        <v>196</v>
      </c>
      <c r="W1841" s="2">
        <v>2007</v>
      </c>
    </row>
    <row r="1842" spans="1:23" ht="12.3" hidden="1" x14ac:dyDescent="0.4">
      <c r="A1842" s="2" t="s">
        <v>195</v>
      </c>
      <c r="B1842" s="2"/>
      <c r="C1842" s="2"/>
      <c r="D1842" s="2"/>
      <c r="E1842" s="2"/>
      <c r="F1842" s="2"/>
      <c r="G1842" s="2"/>
      <c r="H1842" s="2"/>
      <c r="I1842" s="2">
        <v>64.998000000000005</v>
      </c>
      <c r="J1842" s="2">
        <v>242</v>
      </c>
      <c r="K1842" s="2">
        <v>64.049499999999995</v>
      </c>
      <c r="L1842" s="2">
        <v>273</v>
      </c>
      <c r="M1842" s="2">
        <v>101.8643</v>
      </c>
      <c r="N1842" s="2">
        <v>170</v>
      </c>
      <c r="O1842" s="2">
        <v>101.2589</v>
      </c>
      <c r="P1842" s="2">
        <v>181</v>
      </c>
      <c r="Q1842" s="2">
        <v>105.21250000000001</v>
      </c>
      <c r="R1842" s="2">
        <v>236</v>
      </c>
      <c r="S1842" s="2">
        <v>105.2064</v>
      </c>
      <c r="T1842" s="2">
        <v>216</v>
      </c>
      <c r="U1842" s="2">
        <v>0.39178600000000002</v>
      </c>
      <c r="V1842" s="2">
        <v>197</v>
      </c>
      <c r="W1842" s="2">
        <v>2007</v>
      </c>
    </row>
    <row r="1843" spans="1:23" ht="12.3" hidden="1" x14ac:dyDescent="0.4">
      <c r="A1843" s="2" t="s">
        <v>271</v>
      </c>
      <c r="B1843" s="2"/>
      <c r="C1843" s="2"/>
      <c r="D1843" s="2"/>
      <c r="E1843" s="2"/>
      <c r="F1843" s="2"/>
      <c r="G1843" s="2"/>
      <c r="H1843" s="2"/>
      <c r="I1843" s="2">
        <v>62.255099999999999</v>
      </c>
      <c r="J1843" s="2">
        <v>307</v>
      </c>
      <c r="K1843" s="2">
        <v>62.556199999999997</v>
      </c>
      <c r="L1843" s="2">
        <v>303</v>
      </c>
      <c r="M1843" s="2">
        <v>104.5149</v>
      </c>
      <c r="N1843" s="2">
        <v>125</v>
      </c>
      <c r="O1843" s="2">
        <v>104.2623</v>
      </c>
      <c r="P1843" s="2">
        <v>135</v>
      </c>
      <c r="Q1843" s="2">
        <v>104.0248</v>
      </c>
      <c r="R1843" s="2">
        <v>202</v>
      </c>
      <c r="S1843" s="2">
        <v>108.5829</v>
      </c>
      <c r="T1843" s="2">
        <v>288</v>
      </c>
      <c r="U1843" s="2">
        <v>0.38534000000000002</v>
      </c>
      <c r="V1843" s="2">
        <v>198</v>
      </c>
      <c r="W1843" s="2">
        <v>2007</v>
      </c>
    </row>
    <row r="1844" spans="1:23" ht="12.3" hidden="1" x14ac:dyDescent="0.4">
      <c r="A1844" s="2" t="s">
        <v>348</v>
      </c>
      <c r="B1844" s="2"/>
      <c r="C1844" s="2"/>
      <c r="D1844" s="2"/>
      <c r="E1844" s="2"/>
      <c r="F1844" s="2"/>
      <c r="G1844" s="2"/>
      <c r="H1844" s="2"/>
      <c r="I1844" s="2">
        <v>68.764399999999995</v>
      </c>
      <c r="J1844" s="2">
        <v>95</v>
      </c>
      <c r="K1844" s="2">
        <v>69.4666</v>
      </c>
      <c r="L1844" s="2">
        <v>67</v>
      </c>
      <c r="M1844" s="2">
        <v>100.7548</v>
      </c>
      <c r="N1844" s="2">
        <v>196</v>
      </c>
      <c r="O1844" s="2">
        <v>105.1726</v>
      </c>
      <c r="P1844" s="2">
        <v>121</v>
      </c>
      <c r="Q1844" s="2">
        <v>112.6889</v>
      </c>
      <c r="R1844" s="2">
        <v>333</v>
      </c>
      <c r="S1844" s="2">
        <v>109.74850000000001</v>
      </c>
      <c r="T1844" s="2">
        <v>300</v>
      </c>
      <c r="U1844" s="2">
        <v>0.37995000000000001</v>
      </c>
      <c r="V1844" s="2">
        <v>199</v>
      </c>
      <c r="W1844" s="2">
        <v>2007</v>
      </c>
    </row>
    <row r="1845" spans="1:23" ht="12.3" hidden="1" x14ac:dyDescent="0.4">
      <c r="A1845" s="2" t="s">
        <v>228</v>
      </c>
      <c r="B1845" s="2"/>
      <c r="C1845" s="2"/>
      <c r="D1845" s="2"/>
      <c r="E1845" s="2"/>
      <c r="F1845" s="2"/>
      <c r="G1845" s="2"/>
      <c r="H1845" s="2"/>
      <c r="I1845" s="2">
        <v>62.475000000000001</v>
      </c>
      <c r="J1845" s="2">
        <v>300</v>
      </c>
      <c r="K1845" s="2">
        <v>61.778399999999998</v>
      </c>
      <c r="L1845" s="2">
        <v>314</v>
      </c>
      <c r="M1845" s="2">
        <v>98.947599999999994</v>
      </c>
      <c r="N1845" s="2">
        <v>225</v>
      </c>
      <c r="O1845" s="2">
        <v>96.435599999999994</v>
      </c>
      <c r="P1845" s="2">
        <v>264</v>
      </c>
      <c r="Q1845" s="2">
        <v>101.70010000000001</v>
      </c>
      <c r="R1845" s="2">
        <v>158</v>
      </c>
      <c r="S1845" s="2">
        <v>100.6371</v>
      </c>
      <c r="T1845" s="2">
        <v>126</v>
      </c>
      <c r="U1845" s="2">
        <v>0.37979400000000002</v>
      </c>
      <c r="V1845" s="2">
        <v>200</v>
      </c>
      <c r="W1845" s="2">
        <v>2007</v>
      </c>
    </row>
    <row r="1846" spans="1:23" ht="12.3" hidden="1" x14ac:dyDescent="0.4">
      <c r="A1846" s="2" t="s">
        <v>213</v>
      </c>
      <c r="B1846" s="2"/>
      <c r="C1846" s="2"/>
      <c r="D1846" s="2"/>
      <c r="E1846" s="2"/>
      <c r="F1846" s="2"/>
      <c r="G1846" s="2"/>
      <c r="H1846" s="2"/>
      <c r="I1846" s="2">
        <v>70.938500000000005</v>
      </c>
      <c r="J1846" s="2">
        <v>46</v>
      </c>
      <c r="K1846" s="2">
        <v>72.388999999999996</v>
      </c>
      <c r="L1846" s="2">
        <v>20</v>
      </c>
      <c r="M1846" s="2">
        <v>95.2256</v>
      </c>
      <c r="N1846" s="2">
        <v>281</v>
      </c>
      <c r="O1846" s="2">
        <v>96.579899999999995</v>
      </c>
      <c r="P1846" s="2">
        <v>260</v>
      </c>
      <c r="Q1846" s="2">
        <v>100.5132</v>
      </c>
      <c r="R1846" s="2">
        <v>128</v>
      </c>
      <c r="S1846" s="2">
        <v>100.821</v>
      </c>
      <c r="T1846" s="2">
        <v>132</v>
      </c>
      <c r="U1846" s="2">
        <v>0.37889699999999998</v>
      </c>
      <c r="V1846" s="2">
        <v>201</v>
      </c>
      <c r="W1846" s="2">
        <v>2007</v>
      </c>
    </row>
    <row r="1847" spans="1:23" ht="12.3" hidden="1" x14ac:dyDescent="0.4">
      <c r="A1847" s="2" t="s">
        <v>191</v>
      </c>
      <c r="B1847" s="2"/>
      <c r="C1847" s="2"/>
      <c r="D1847" s="2"/>
      <c r="E1847" s="2"/>
      <c r="F1847" s="2"/>
      <c r="G1847" s="2"/>
      <c r="H1847" s="2"/>
      <c r="I1847" s="2">
        <v>66.015100000000004</v>
      </c>
      <c r="J1847" s="2">
        <v>205</v>
      </c>
      <c r="K1847" s="2">
        <v>66.983599999999996</v>
      </c>
      <c r="L1847" s="2">
        <v>155</v>
      </c>
      <c r="M1847" s="2">
        <v>105.0604</v>
      </c>
      <c r="N1847" s="2">
        <v>117</v>
      </c>
      <c r="O1847" s="2">
        <v>105.5063</v>
      </c>
      <c r="P1847" s="2">
        <v>116</v>
      </c>
      <c r="Q1847" s="2">
        <v>112.4695</v>
      </c>
      <c r="R1847" s="2">
        <v>330</v>
      </c>
      <c r="S1847" s="2">
        <v>110.18819999999999</v>
      </c>
      <c r="T1847" s="2">
        <v>309</v>
      </c>
      <c r="U1847" s="2">
        <v>0.37769999999999998</v>
      </c>
      <c r="V1847" s="2">
        <v>202</v>
      </c>
      <c r="W1847" s="2">
        <v>2007</v>
      </c>
    </row>
    <row r="1848" spans="1:23" ht="12.3" hidden="1" x14ac:dyDescent="0.4">
      <c r="A1848" s="2" t="s">
        <v>153</v>
      </c>
      <c r="B1848" s="2"/>
      <c r="C1848" s="2"/>
      <c r="D1848" s="2"/>
      <c r="E1848" s="2"/>
      <c r="F1848" s="2"/>
      <c r="G1848" s="2"/>
      <c r="H1848" s="2"/>
      <c r="I1848" s="2">
        <v>69.600999999999999</v>
      </c>
      <c r="J1848" s="2">
        <v>74</v>
      </c>
      <c r="K1848" s="2">
        <v>69.050899999999999</v>
      </c>
      <c r="L1848" s="2">
        <v>79</v>
      </c>
      <c r="M1848" s="2">
        <v>96.508499999999998</v>
      </c>
      <c r="N1848" s="2">
        <v>264</v>
      </c>
      <c r="O1848" s="2">
        <v>96.396500000000003</v>
      </c>
      <c r="P1848" s="2">
        <v>267</v>
      </c>
      <c r="Q1848" s="2">
        <v>97.982799999999997</v>
      </c>
      <c r="R1848" s="2">
        <v>73</v>
      </c>
      <c r="S1848" s="2">
        <v>100.72790000000001</v>
      </c>
      <c r="T1848" s="2">
        <v>130</v>
      </c>
      <c r="U1848" s="2">
        <v>0.37625900000000001</v>
      </c>
      <c r="V1848" s="2">
        <v>203</v>
      </c>
      <c r="W1848" s="2">
        <v>2007</v>
      </c>
    </row>
    <row r="1849" spans="1:23" ht="12.3" hidden="1" x14ac:dyDescent="0.4">
      <c r="A1849" s="2" t="s">
        <v>221</v>
      </c>
      <c r="B1849" s="2"/>
      <c r="C1849" s="2"/>
      <c r="D1849" s="2"/>
      <c r="E1849" s="2"/>
      <c r="F1849" s="2"/>
      <c r="G1849" s="2"/>
      <c r="H1849" s="2"/>
      <c r="I1849" s="2">
        <v>60.718400000000003</v>
      </c>
      <c r="J1849" s="2">
        <v>322</v>
      </c>
      <c r="K1849" s="2">
        <v>60.982999999999997</v>
      </c>
      <c r="L1849" s="2">
        <v>321</v>
      </c>
      <c r="M1849" s="2">
        <v>100.742</v>
      </c>
      <c r="N1849" s="2">
        <v>197</v>
      </c>
      <c r="O1849" s="2">
        <v>100.7204</v>
      </c>
      <c r="P1849" s="2">
        <v>192</v>
      </c>
      <c r="Q1849" s="2">
        <v>104.5448</v>
      </c>
      <c r="R1849" s="2">
        <v>215</v>
      </c>
      <c r="S1849" s="2">
        <v>105.3008</v>
      </c>
      <c r="T1849" s="2">
        <v>218</v>
      </c>
      <c r="U1849" s="2">
        <v>0.374857</v>
      </c>
      <c r="V1849" s="2">
        <v>204</v>
      </c>
      <c r="W1849" s="2">
        <v>2007</v>
      </c>
    </row>
    <row r="1850" spans="1:23" ht="12.3" hidden="1" x14ac:dyDescent="0.4">
      <c r="A1850" s="2" t="s">
        <v>172</v>
      </c>
      <c r="B1850" s="2"/>
      <c r="C1850" s="2"/>
      <c r="D1850" s="2"/>
      <c r="E1850" s="2"/>
      <c r="F1850" s="2"/>
      <c r="G1850" s="2"/>
      <c r="H1850" s="2"/>
      <c r="I1850" s="2">
        <v>69.073400000000007</v>
      </c>
      <c r="J1850" s="2">
        <v>90</v>
      </c>
      <c r="K1850" s="2">
        <v>68.749099999999999</v>
      </c>
      <c r="L1850" s="2">
        <v>90</v>
      </c>
      <c r="M1850" s="2">
        <v>103.6664</v>
      </c>
      <c r="N1850" s="2">
        <v>145</v>
      </c>
      <c r="O1850" s="2">
        <v>101.5936</v>
      </c>
      <c r="P1850" s="2">
        <v>176</v>
      </c>
      <c r="Q1850" s="2">
        <v>104.7264</v>
      </c>
      <c r="R1850" s="2">
        <v>221</v>
      </c>
      <c r="S1850" s="2">
        <v>106.2248</v>
      </c>
      <c r="T1850" s="2">
        <v>236</v>
      </c>
      <c r="U1850" s="2">
        <v>0.37457499999999999</v>
      </c>
      <c r="V1850" s="2">
        <v>205</v>
      </c>
      <c r="W1850" s="2">
        <v>2007</v>
      </c>
    </row>
    <row r="1851" spans="1:23" ht="12.3" hidden="1" x14ac:dyDescent="0.4">
      <c r="A1851" s="2" t="s">
        <v>166</v>
      </c>
      <c r="B1851" s="2"/>
      <c r="C1851" s="2"/>
      <c r="D1851" s="2"/>
      <c r="E1851" s="2"/>
      <c r="F1851" s="2"/>
      <c r="G1851" s="2"/>
      <c r="H1851" s="2"/>
      <c r="I1851" s="2">
        <v>67.238699999999994</v>
      </c>
      <c r="J1851" s="2">
        <v>150</v>
      </c>
      <c r="K1851" s="2">
        <v>66.351699999999994</v>
      </c>
      <c r="L1851" s="2">
        <v>182</v>
      </c>
      <c r="M1851" s="2">
        <v>97.460099999999997</v>
      </c>
      <c r="N1851" s="2">
        <v>251</v>
      </c>
      <c r="O1851" s="2">
        <v>97.317099999999996</v>
      </c>
      <c r="P1851" s="2">
        <v>248</v>
      </c>
      <c r="Q1851" s="2">
        <v>101.58459999999999</v>
      </c>
      <c r="R1851" s="2">
        <v>155</v>
      </c>
      <c r="S1851" s="2">
        <v>101.8797</v>
      </c>
      <c r="T1851" s="2">
        <v>158</v>
      </c>
      <c r="U1851" s="2">
        <v>0.37123699999999998</v>
      </c>
      <c r="V1851" s="2">
        <v>206</v>
      </c>
      <c r="W1851" s="2">
        <v>2007</v>
      </c>
    </row>
    <row r="1852" spans="1:23" ht="12.3" hidden="1" x14ac:dyDescent="0.4">
      <c r="A1852" s="2" t="s">
        <v>282</v>
      </c>
      <c r="B1852" s="2"/>
      <c r="C1852" s="2"/>
      <c r="D1852" s="2"/>
      <c r="E1852" s="2"/>
      <c r="F1852" s="2"/>
      <c r="G1852" s="2"/>
      <c r="H1852" s="2"/>
      <c r="I1852" s="2">
        <v>63.965899999999998</v>
      </c>
      <c r="J1852" s="2">
        <v>268</v>
      </c>
      <c r="K1852" s="2">
        <v>61.378799999999998</v>
      </c>
      <c r="L1852" s="2">
        <v>319</v>
      </c>
      <c r="M1852" s="2">
        <v>99.112399999999994</v>
      </c>
      <c r="N1852" s="2">
        <v>223</v>
      </c>
      <c r="O1852" s="2">
        <v>96.047799999999995</v>
      </c>
      <c r="P1852" s="2">
        <v>274</v>
      </c>
      <c r="Q1852" s="2">
        <v>97.188199999999995</v>
      </c>
      <c r="R1852" s="2">
        <v>65</v>
      </c>
      <c r="S1852" s="2">
        <v>100.65860000000001</v>
      </c>
      <c r="T1852" s="2">
        <v>127</v>
      </c>
      <c r="U1852" s="2">
        <v>0.368369</v>
      </c>
      <c r="V1852" s="2">
        <v>207</v>
      </c>
      <c r="W1852" s="2">
        <v>2007</v>
      </c>
    </row>
    <row r="1853" spans="1:23" ht="12.3" hidden="1" x14ac:dyDescent="0.4">
      <c r="A1853" s="2" t="s">
        <v>126</v>
      </c>
      <c r="B1853" s="2"/>
      <c r="C1853" s="2"/>
      <c r="D1853" s="2"/>
      <c r="E1853" s="2"/>
      <c r="F1853" s="2"/>
      <c r="G1853" s="2"/>
      <c r="H1853" s="2"/>
      <c r="I1853" s="2">
        <v>65.052499999999995</v>
      </c>
      <c r="J1853" s="2">
        <v>236</v>
      </c>
      <c r="K1853" s="2">
        <v>63.245399999999997</v>
      </c>
      <c r="L1853" s="2">
        <v>295</v>
      </c>
      <c r="M1853" s="2">
        <v>102.74250000000001</v>
      </c>
      <c r="N1853" s="2">
        <v>159</v>
      </c>
      <c r="O1853" s="2">
        <v>102.7439</v>
      </c>
      <c r="P1853" s="2">
        <v>158</v>
      </c>
      <c r="Q1853" s="2">
        <v>108.49379999999999</v>
      </c>
      <c r="R1853" s="2">
        <v>292</v>
      </c>
      <c r="S1853" s="2">
        <v>108.2063</v>
      </c>
      <c r="T1853" s="2">
        <v>280</v>
      </c>
      <c r="U1853" s="2">
        <v>0.35532799999999998</v>
      </c>
      <c r="V1853" s="2">
        <v>208</v>
      </c>
      <c r="W1853" s="2">
        <v>2007</v>
      </c>
    </row>
    <row r="1854" spans="1:23" ht="12.3" hidden="1" x14ac:dyDescent="0.4">
      <c r="A1854" s="2" t="s">
        <v>250</v>
      </c>
      <c r="B1854" s="2"/>
      <c r="C1854" s="2"/>
      <c r="D1854" s="2"/>
      <c r="E1854" s="2"/>
      <c r="F1854" s="2"/>
      <c r="G1854" s="2"/>
      <c r="H1854" s="2"/>
      <c r="I1854" s="2">
        <v>72.959400000000002</v>
      </c>
      <c r="J1854" s="2">
        <v>18</v>
      </c>
      <c r="K1854" s="2">
        <v>74.876499999999993</v>
      </c>
      <c r="L1854" s="2">
        <v>5</v>
      </c>
      <c r="M1854" s="2">
        <v>105.77889999999999</v>
      </c>
      <c r="N1854" s="2">
        <v>105</v>
      </c>
      <c r="O1854" s="2">
        <v>106.66249999999999</v>
      </c>
      <c r="P1854" s="2">
        <v>94</v>
      </c>
      <c r="Q1854" s="2">
        <v>115.1592</v>
      </c>
      <c r="R1854" s="2">
        <v>336</v>
      </c>
      <c r="S1854" s="2">
        <v>112.3398</v>
      </c>
      <c r="T1854" s="2">
        <v>325</v>
      </c>
      <c r="U1854" s="2">
        <v>0.35517399999999999</v>
      </c>
      <c r="V1854" s="2">
        <v>209</v>
      </c>
      <c r="W1854" s="2">
        <v>2007</v>
      </c>
    </row>
    <row r="1855" spans="1:23" ht="12.3" hidden="1" x14ac:dyDescent="0.4">
      <c r="A1855" s="2" t="s">
        <v>129</v>
      </c>
      <c r="B1855" s="2"/>
      <c r="C1855" s="2"/>
      <c r="D1855" s="2"/>
      <c r="E1855" s="2"/>
      <c r="F1855" s="2"/>
      <c r="G1855" s="2"/>
      <c r="H1855" s="2"/>
      <c r="I1855" s="2">
        <v>72.751400000000004</v>
      </c>
      <c r="J1855" s="2">
        <v>20</v>
      </c>
      <c r="K1855" s="2">
        <v>72.687700000000007</v>
      </c>
      <c r="L1855" s="2">
        <v>14</v>
      </c>
      <c r="M1855" s="2">
        <v>94.740700000000004</v>
      </c>
      <c r="N1855" s="2">
        <v>287</v>
      </c>
      <c r="O1855" s="2">
        <v>98.965500000000006</v>
      </c>
      <c r="P1855" s="2">
        <v>219</v>
      </c>
      <c r="Q1855" s="2">
        <v>109.986</v>
      </c>
      <c r="R1855" s="2">
        <v>316</v>
      </c>
      <c r="S1855" s="2">
        <v>104.2878</v>
      </c>
      <c r="T1855" s="2">
        <v>200</v>
      </c>
      <c r="U1855" s="2">
        <v>0.353794</v>
      </c>
      <c r="V1855" s="2">
        <v>210</v>
      </c>
      <c r="W1855" s="2">
        <v>2007</v>
      </c>
    </row>
    <row r="1856" spans="1:23" ht="12.3" hidden="1" x14ac:dyDescent="0.4">
      <c r="A1856" s="2" t="s">
        <v>122</v>
      </c>
      <c r="B1856" s="2"/>
      <c r="C1856" s="2"/>
      <c r="D1856" s="2"/>
      <c r="E1856" s="2"/>
      <c r="F1856" s="2"/>
      <c r="G1856" s="2"/>
      <c r="H1856" s="2"/>
      <c r="I1856" s="2">
        <v>66.565299999999993</v>
      </c>
      <c r="J1856" s="2">
        <v>180</v>
      </c>
      <c r="K1856" s="2">
        <v>67.959599999999995</v>
      </c>
      <c r="L1856" s="2">
        <v>113</v>
      </c>
      <c r="M1856" s="2">
        <v>96.153199999999998</v>
      </c>
      <c r="N1856" s="2">
        <v>270</v>
      </c>
      <c r="O1856" s="2">
        <v>98.111999999999995</v>
      </c>
      <c r="P1856" s="2">
        <v>237</v>
      </c>
      <c r="Q1856" s="2">
        <v>106.5806</v>
      </c>
      <c r="R1856" s="2">
        <v>268</v>
      </c>
      <c r="S1856" s="2">
        <v>103.4008</v>
      </c>
      <c r="T1856" s="2">
        <v>175</v>
      </c>
      <c r="U1856" s="2">
        <v>0.35347899999999999</v>
      </c>
      <c r="V1856" s="2">
        <v>211</v>
      </c>
      <c r="W1856" s="2">
        <v>2007</v>
      </c>
    </row>
    <row r="1857" spans="1:23" ht="12.3" hidden="1" x14ac:dyDescent="0.4">
      <c r="A1857" s="2" t="s">
        <v>266</v>
      </c>
      <c r="B1857" s="2"/>
      <c r="C1857" s="2"/>
      <c r="D1857" s="2"/>
      <c r="E1857" s="2"/>
      <c r="F1857" s="2"/>
      <c r="G1857" s="2"/>
      <c r="H1857" s="2"/>
      <c r="I1857" s="2">
        <v>71.637500000000003</v>
      </c>
      <c r="J1857" s="2">
        <v>34</v>
      </c>
      <c r="K1857" s="2">
        <v>70.014200000000002</v>
      </c>
      <c r="L1857" s="2">
        <v>52</v>
      </c>
      <c r="M1857" s="2">
        <v>101.2985</v>
      </c>
      <c r="N1857" s="2">
        <v>188</v>
      </c>
      <c r="O1857" s="2">
        <v>102.7256</v>
      </c>
      <c r="P1857" s="2">
        <v>159</v>
      </c>
      <c r="Q1857" s="2">
        <v>105.6353</v>
      </c>
      <c r="R1857" s="2">
        <v>247</v>
      </c>
      <c r="S1857" s="2">
        <v>108.3805</v>
      </c>
      <c r="T1857" s="2">
        <v>283</v>
      </c>
      <c r="U1857" s="2">
        <v>0.35063499999999997</v>
      </c>
      <c r="V1857" s="2">
        <v>212</v>
      </c>
      <c r="W1857" s="2">
        <v>2007</v>
      </c>
    </row>
    <row r="1858" spans="1:23" ht="12.3" hidden="1" x14ac:dyDescent="0.4">
      <c r="A1858" s="2" t="s">
        <v>123</v>
      </c>
      <c r="B1858" s="2"/>
      <c r="C1858" s="2"/>
      <c r="D1858" s="2"/>
      <c r="E1858" s="2"/>
      <c r="F1858" s="2"/>
      <c r="G1858" s="2"/>
      <c r="H1858" s="2"/>
      <c r="I1858" s="2">
        <v>61.819499999999998</v>
      </c>
      <c r="J1858" s="2">
        <v>311</v>
      </c>
      <c r="K1858" s="2">
        <v>61.741199999999999</v>
      </c>
      <c r="L1858" s="2">
        <v>316</v>
      </c>
      <c r="M1858" s="2">
        <v>94.142099999999999</v>
      </c>
      <c r="N1858" s="2">
        <v>291</v>
      </c>
      <c r="O1858" s="2">
        <v>98.906000000000006</v>
      </c>
      <c r="P1858" s="2">
        <v>220</v>
      </c>
      <c r="Q1858" s="2">
        <v>107.1759</v>
      </c>
      <c r="R1858" s="2">
        <v>279</v>
      </c>
      <c r="S1858" s="2">
        <v>104.3516</v>
      </c>
      <c r="T1858" s="2">
        <v>202</v>
      </c>
      <c r="U1858" s="2">
        <v>0.35061100000000001</v>
      </c>
      <c r="V1858" s="2">
        <v>213</v>
      </c>
      <c r="W1858" s="2">
        <v>2007</v>
      </c>
    </row>
    <row r="1859" spans="1:23" ht="12.3" hidden="1" x14ac:dyDescent="0.4">
      <c r="A1859" s="2" t="s">
        <v>315</v>
      </c>
      <c r="B1859" s="2"/>
      <c r="C1859" s="2"/>
      <c r="D1859" s="2"/>
      <c r="E1859" s="2"/>
      <c r="F1859" s="2"/>
      <c r="G1859" s="2"/>
      <c r="H1859" s="2"/>
      <c r="I1859" s="2">
        <v>66.334100000000007</v>
      </c>
      <c r="J1859" s="2">
        <v>191</v>
      </c>
      <c r="K1859" s="2">
        <v>67.247500000000002</v>
      </c>
      <c r="L1859" s="2">
        <v>141</v>
      </c>
      <c r="M1859" s="2">
        <v>99.357799999999997</v>
      </c>
      <c r="N1859" s="2">
        <v>219</v>
      </c>
      <c r="O1859" s="2">
        <v>96.898899999999998</v>
      </c>
      <c r="P1859" s="2">
        <v>258</v>
      </c>
      <c r="Q1859" s="2">
        <v>99.634200000000007</v>
      </c>
      <c r="R1859" s="2">
        <v>106</v>
      </c>
      <c r="S1859" s="2">
        <v>102.3021</v>
      </c>
      <c r="T1859" s="2">
        <v>162</v>
      </c>
      <c r="U1859" s="2">
        <v>0.34887099999999999</v>
      </c>
      <c r="V1859" s="2">
        <v>214</v>
      </c>
      <c r="W1859" s="2">
        <v>2007</v>
      </c>
    </row>
    <row r="1860" spans="1:23" ht="12.3" hidden="1" x14ac:dyDescent="0.4">
      <c r="A1860" s="2" t="s">
        <v>346</v>
      </c>
      <c r="B1860" s="2"/>
      <c r="C1860" s="2"/>
      <c r="D1860" s="2"/>
      <c r="E1860" s="2"/>
      <c r="F1860" s="2"/>
      <c r="G1860" s="2"/>
      <c r="H1860" s="2"/>
      <c r="I1860" s="2">
        <v>72.115200000000002</v>
      </c>
      <c r="J1860" s="2">
        <v>26</v>
      </c>
      <c r="K1860" s="2">
        <v>68.933000000000007</v>
      </c>
      <c r="L1860" s="2">
        <v>83</v>
      </c>
      <c r="M1860" s="2">
        <v>102.1138</v>
      </c>
      <c r="N1860" s="2">
        <v>167</v>
      </c>
      <c r="O1860" s="2">
        <v>100.6078</v>
      </c>
      <c r="P1860" s="2">
        <v>194</v>
      </c>
      <c r="Q1860" s="2">
        <v>105.05840000000001</v>
      </c>
      <c r="R1860" s="2">
        <v>231</v>
      </c>
      <c r="S1860" s="2">
        <v>106.44759999999999</v>
      </c>
      <c r="T1860" s="2">
        <v>242</v>
      </c>
      <c r="U1860" s="2">
        <v>0.34324700000000002</v>
      </c>
      <c r="V1860" s="2">
        <v>215</v>
      </c>
      <c r="W1860" s="2">
        <v>2007</v>
      </c>
    </row>
    <row r="1861" spans="1:23" ht="12.3" hidden="1" x14ac:dyDescent="0.4">
      <c r="A1861" s="2" t="s">
        <v>218</v>
      </c>
      <c r="B1861" s="2"/>
      <c r="C1861" s="2"/>
      <c r="D1861" s="2"/>
      <c r="E1861" s="2"/>
      <c r="F1861" s="2"/>
      <c r="G1861" s="2"/>
      <c r="H1861" s="2"/>
      <c r="I1861" s="2">
        <v>70.687799999999996</v>
      </c>
      <c r="J1861" s="2">
        <v>52</v>
      </c>
      <c r="K1861" s="2">
        <v>70.428700000000006</v>
      </c>
      <c r="L1861" s="2">
        <v>46</v>
      </c>
      <c r="M1861" s="2">
        <v>104.0767</v>
      </c>
      <c r="N1861" s="2">
        <v>138</v>
      </c>
      <c r="O1861" s="2">
        <v>103.78870000000001</v>
      </c>
      <c r="P1861" s="2">
        <v>143</v>
      </c>
      <c r="Q1861" s="2">
        <v>109.9054</v>
      </c>
      <c r="R1861" s="2">
        <v>315</v>
      </c>
      <c r="S1861" s="2">
        <v>109.86069999999999</v>
      </c>
      <c r="T1861" s="2">
        <v>302</v>
      </c>
      <c r="U1861" s="2">
        <v>0.34212500000000001</v>
      </c>
      <c r="V1861" s="2">
        <v>216</v>
      </c>
      <c r="W1861" s="2">
        <v>2007</v>
      </c>
    </row>
    <row r="1862" spans="1:23" ht="12.3" hidden="1" x14ac:dyDescent="0.4">
      <c r="A1862" s="2" t="s">
        <v>307</v>
      </c>
      <c r="B1862" s="2"/>
      <c r="C1862" s="2"/>
      <c r="D1862" s="2"/>
      <c r="E1862" s="2"/>
      <c r="F1862" s="2"/>
      <c r="G1862" s="2"/>
      <c r="H1862" s="2"/>
      <c r="I1862" s="2">
        <v>67.392200000000003</v>
      </c>
      <c r="J1862" s="2">
        <v>140</v>
      </c>
      <c r="K1862" s="2">
        <v>66.724800000000002</v>
      </c>
      <c r="L1862" s="2">
        <v>168</v>
      </c>
      <c r="M1862" s="2">
        <v>109.7987</v>
      </c>
      <c r="N1862" s="2">
        <v>42</v>
      </c>
      <c r="O1862" s="2">
        <v>105.295</v>
      </c>
      <c r="P1862" s="2">
        <v>118</v>
      </c>
      <c r="Q1862" s="2">
        <v>106.0801</v>
      </c>
      <c r="R1862" s="2">
        <v>260</v>
      </c>
      <c r="S1862" s="2">
        <v>111.63760000000001</v>
      </c>
      <c r="T1862" s="2">
        <v>323</v>
      </c>
      <c r="U1862" s="2">
        <v>0.33790199999999998</v>
      </c>
      <c r="V1862" s="2">
        <v>217</v>
      </c>
      <c r="W1862" s="2">
        <v>2007</v>
      </c>
    </row>
    <row r="1863" spans="1:23" ht="12.3" hidden="1" x14ac:dyDescent="0.4">
      <c r="A1863" s="2" t="s">
        <v>233</v>
      </c>
      <c r="B1863" s="2"/>
      <c r="C1863" s="2"/>
      <c r="D1863" s="2"/>
      <c r="E1863" s="2"/>
      <c r="F1863" s="2"/>
      <c r="G1863" s="2"/>
      <c r="H1863" s="2"/>
      <c r="I1863" s="2">
        <v>62.0261</v>
      </c>
      <c r="J1863" s="2">
        <v>309</v>
      </c>
      <c r="K1863" s="2">
        <v>63.887</v>
      </c>
      <c r="L1863" s="2">
        <v>280</v>
      </c>
      <c r="M1863" s="2">
        <v>97.016000000000005</v>
      </c>
      <c r="N1863" s="2">
        <v>258</v>
      </c>
      <c r="O1863" s="2">
        <v>97.04</v>
      </c>
      <c r="P1863" s="2">
        <v>254</v>
      </c>
      <c r="Q1863" s="2">
        <v>101.52809999999999</v>
      </c>
      <c r="R1863" s="2">
        <v>152</v>
      </c>
      <c r="S1863" s="2">
        <v>102.9736</v>
      </c>
      <c r="T1863" s="2">
        <v>169</v>
      </c>
      <c r="U1863" s="2">
        <v>0.335698</v>
      </c>
      <c r="V1863" s="2">
        <v>218</v>
      </c>
      <c r="W1863" s="2">
        <v>2007</v>
      </c>
    </row>
    <row r="1864" spans="1:23" ht="12.3" hidden="1" x14ac:dyDescent="0.4">
      <c r="A1864" s="2" t="s">
        <v>181</v>
      </c>
      <c r="B1864" s="2"/>
      <c r="C1864" s="2"/>
      <c r="D1864" s="2"/>
      <c r="E1864" s="2"/>
      <c r="F1864" s="2"/>
      <c r="G1864" s="2"/>
      <c r="H1864" s="2"/>
      <c r="I1864" s="2">
        <v>64.7423</v>
      </c>
      <c r="J1864" s="2">
        <v>251</v>
      </c>
      <c r="K1864" s="2">
        <v>65.9666</v>
      </c>
      <c r="L1864" s="2">
        <v>199</v>
      </c>
      <c r="M1864" s="2">
        <v>99.423199999999994</v>
      </c>
      <c r="N1864" s="2">
        <v>217</v>
      </c>
      <c r="O1864" s="2">
        <v>96.112899999999996</v>
      </c>
      <c r="P1864" s="2">
        <v>272</v>
      </c>
      <c r="Q1864" s="2">
        <v>100.79430000000001</v>
      </c>
      <c r="R1864" s="2">
        <v>138</v>
      </c>
      <c r="S1864" s="2">
        <v>102.1477</v>
      </c>
      <c r="T1864" s="2">
        <v>161</v>
      </c>
      <c r="U1864" s="2">
        <v>0.33174599999999999</v>
      </c>
      <c r="V1864" s="2">
        <v>219</v>
      </c>
      <c r="W1864" s="2">
        <v>2007</v>
      </c>
    </row>
    <row r="1865" spans="1:23" ht="12.3" hidden="1" x14ac:dyDescent="0.4">
      <c r="A1865" s="2" t="s">
        <v>101</v>
      </c>
      <c r="B1865" s="2"/>
      <c r="C1865" s="2"/>
      <c r="D1865" s="2"/>
      <c r="E1865" s="2"/>
      <c r="F1865" s="2"/>
      <c r="G1865" s="2"/>
      <c r="H1865" s="2"/>
      <c r="I1865" s="2">
        <v>63.7881</v>
      </c>
      <c r="J1865" s="2">
        <v>276</v>
      </c>
      <c r="K1865" s="2">
        <v>63.866700000000002</v>
      </c>
      <c r="L1865" s="2">
        <v>281</v>
      </c>
      <c r="M1865" s="2">
        <v>93.095100000000002</v>
      </c>
      <c r="N1865" s="2">
        <v>300</v>
      </c>
      <c r="O1865" s="2">
        <v>93.562799999999996</v>
      </c>
      <c r="P1865" s="2">
        <v>293</v>
      </c>
      <c r="Q1865" s="2">
        <v>99.7864</v>
      </c>
      <c r="R1865" s="2">
        <v>110</v>
      </c>
      <c r="S1865" s="2">
        <v>99.676100000000005</v>
      </c>
      <c r="T1865" s="2">
        <v>105</v>
      </c>
      <c r="U1865" s="2">
        <v>0.32566200000000001</v>
      </c>
      <c r="V1865" s="2">
        <v>220</v>
      </c>
      <c r="W1865" s="2">
        <v>2007</v>
      </c>
    </row>
    <row r="1866" spans="1:23" ht="12.3" hidden="1" x14ac:dyDescent="0.4">
      <c r="A1866" s="2" t="s">
        <v>235</v>
      </c>
      <c r="B1866" s="2"/>
      <c r="C1866" s="2"/>
      <c r="D1866" s="2"/>
      <c r="E1866" s="2"/>
      <c r="F1866" s="2"/>
      <c r="G1866" s="2"/>
      <c r="H1866" s="2"/>
      <c r="I1866" s="2">
        <v>66.709100000000007</v>
      </c>
      <c r="J1866" s="2">
        <v>174</v>
      </c>
      <c r="K1866" s="2">
        <v>67.093299999999999</v>
      </c>
      <c r="L1866" s="2">
        <v>149</v>
      </c>
      <c r="M1866" s="2">
        <v>97.163700000000006</v>
      </c>
      <c r="N1866" s="2">
        <v>255</v>
      </c>
      <c r="O1866" s="2">
        <v>98.191000000000003</v>
      </c>
      <c r="P1866" s="2">
        <v>235</v>
      </c>
      <c r="Q1866" s="2">
        <v>104.31789999999999</v>
      </c>
      <c r="R1866" s="2">
        <v>209</v>
      </c>
      <c r="S1866" s="2">
        <v>104.61490000000001</v>
      </c>
      <c r="T1866" s="2">
        <v>205</v>
      </c>
      <c r="U1866" s="2">
        <v>0.325463</v>
      </c>
      <c r="V1866" s="2">
        <v>221</v>
      </c>
      <c r="W1866" s="2">
        <v>2007</v>
      </c>
    </row>
    <row r="1867" spans="1:23" ht="12.3" hidden="1" x14ac:dyDescent="0.4">
      <c r="A1867" s="2" t="s">
        <v>291</v>
      </c>
      <c r="B1867" s="2"/>
      <c r="C1867" s="2"/>
      <c r="D1867" s="2"/>
      <c r="E1867" s="2"/>
      <c r="F1867" s="2"/>
      <c r="G1867" s="2"/>
      <c r="H1867" s="2"/>
      <c r="I1867" s="2">
        <v>70.476399999999998</v>
      </c>
      <c r="J1867" s="2">
        <v>56</v>
      </c>
      <c r="K1867" s="2">
        <v>69.138900000000007</v>
      </c>
      <c r="L1867" s="2">
        <v>77</v>
      </c>
      <c r="M1867" s="2">
        <v>90.265699999999995</v>
      </c>
      <c r="N1867" s="2">
        <v>318</v>
      </c>
      <c r="O1867" s="2">
        <v>92.802400000000006</v>
      </c>
      <c r="P1867" s="2">
        <v>303</v>
      </c>
      <c r="Q1867" s="2">
        <v>100.41540000000001</v>
      </c>
      <c r="R1867" s="2">
        <v>127</v>
      </c>
      <c r="S1867" s="2">
        <v>98.9148</v>
      </c>
      <c r="T1867" s="2">
        <v>89</v>
      </c>
      <c r="U1867" s="2">
        <v>0.32441799999999998</v>
      </c>
      <c r="V1867" s="2">
        <v>222</v>
      </c>
      <c r="W1867" s="2">
        <v>2007</v>
      </c>
    </row>
    <row r="1868" spans="1:23" ht="12.3" hidden="1" x14ac:dyDescent="0.4">
      <c r="A1868" s="2" t="s">
        <v>356</v>
      </c>
      <c r="B1868" s="2"/>
      <c r="C1868" s="2"/>
      <c r="D1868" s="2"/>
      <c r="E1868" s="2"/>
      <c r="F1868" s="2"/>
      <c r="G1868" s="2"/>
      <c r="H1868" s="2"/>
      <c r="I1868" s="2">
        <v>68.738900000000001</v>
      </c>
      <c r="J1868" s="2">
        <v>96</v>
      </c>
      <c r="K1868" s="2">
        <v>68.363600000000005</v>
      </c>
      <c r="L1868" s="2">
        <v>104</v>
      </c>
      <c r="M1868" s="2">
        <v>105.6285</v>
      </c>
      <c r="N1868" s="2">
        <v>107</v>
      </c>
      <c r="O1868" s="2">
        <v>103.56570000000001</v>
      </c>
      <c r="P1868" s="2">
        <v>147</v>
      </c>
      <c r="Q1868" s="2">
        <v>109.7702</v>
      </c>
      <c r="R1868" s="2">
        <v>311</v>
      </c>
      <c r="S1868" s="2">
        <v>110.44840000000001</v>
      </c>
      <c r="T1868" s="2">
        <v>311</v>
      </c>
      <c r="U1868" s="2">
        <v>0.323019</v>
      </c>
      <c r="V1868" s="2">
        <v>223</v>
      </c>
      <c r="W1868" s="2">
        <v>2007</v>
      </c>
    </row>
    <row r="1869" spans="1:23" ht="12.3" hidden="1" x14ac:dyDescent="0.4">
      <c r="A1869" s="2" t="s">
        <v>89</v>
      </c>
      <c r="B1869" s="2"/>
      <c r="C1869" s="2"/>
      <c r="D1869" s="2"/>
      <c r="E1869" s="2"/>
      <c r="F1869" s="2"/>
      <c r="G1869" s="2"/>
      <c r="H1869" s="2"/>
      <c r="I1869" s="2">
        <v>67.986199999999997</v>
      </c>
      <c r="J1869" s="2">
        <v>114</v>
      </c>
      <c r="K1869" s="2">
        <v>68.670100000000005</v>
      </c>
      <c r="L1869" s="2">
        <v>95</v>
      </c>
      <c r="M1869" s="2">
        <v>96.944400000000002</v>
      </c>
      <c r="N1869" s="2">
        <v>259</v>
      </c>
      <c r="O1869" s="2">
        <v>98.4572</v>
      </c>
      <c r="P1869" s="2">
        <v>230</v>
      </c>
      <c r="Q1869" s="2">
        <v>102.8721</v>
      </c>
      <c r="R1869" s="2">
        <v>182</v>
      </c>
      <c r="S1869" s="2">
        <v>105.0748</v>
      </c>
      <c r="T1869" s="2">
        <v>215</v>
      </c>
      <c r="U1869" s="2">
        <v>0.32123800000000002</v>
      </c>
      <c r="V1869" s="2">
        <v>224</v>
      </c>
      <c r="W1869" s="2">
        <v>2007</v>
      </c>
    </row>
    <row r="1870" spans="1:23" ht="12.3" hidden="1" x14ac:dyDescent="0.4">
      <c r="A1870" s="2" t="s">
        <v>331</v>
      </c>
      <c r="B1870" s="2"/>
      <c r="C1870" s="2"/>
      <c r="D1870" s="2"/>
      <c r="E1870" s="2"/>
      <c r="F1870" s="2"/>
      <c r="G1870" s="2"/>
      <c r="H1870" s="2"/>
      <c r="I1870" s="2">
        <v>66.7804</v>
      </c>
      <c r="J1870" s="2">
        <v>168</v>
      </c>
      <c r="K1870" s="2">
        <v>66.3977</v>
      </c>
      <c r="L1870" s="2">
        <v>177</v>
      </c>
      <c r="M1870" s="2">
        <v>95.329400000000007</v>
      </c>
      <c r="N1870" s="2">
        <v>279</v>
      </c>
      <c r="O1870" s="2">
        <v>96.502499999999998</v>
      </c>
      <c r="P1870" s="2">
        <v>262</v>
      </c>
      <c r="Q1870" s="2">
        <v>103.14409999999999</v>
      </c>
      <c r="R1870" s="2">
        <v>190</v>
      </c>
      <c r="S1870" s="2">
        <v>102.989</v>
      </c>
      <c r="T1870" s="2">
        <v>170</v>
      </c>
      <c r="U1870" s="2">
        <v>0.32123099999999999</v>
      </c>
      <c r="V1870" s="2">
        <v>225</v>
      </c>
      <c r="W1870" s="2">
        <v>2007</v>
      </c>
    </row>
    <row r="1871" spans="1:23" ht="12.3" hidden="1" x14ac:dyDescent="0.4">
      <c r="A1871" s="2" t="s">
        <v>263</v>
      </c>
      <c r="B1871" s="2"/>
      <c r="C1871" s="2"/>
      <c r="D1871" s="2"/>
      <c r="E1871" s="2"/>
      <c r="F1871" s="2"/>
      <c r="G1871" s="2"/>
      <c r="H1871" s="2"/>
      <c r="I1871" s="2">
        <v>90.656499999999994</v>
      </c>
      <c r="J1871" s="2">
        <v>1</v>
      </c>
      <c r="K1871" s="2">
        <v>90.973699999999994</v>
      </c>
      <c r="L1871" s="2">
        <v>1</v>
      </c>
      <c r="M1871" s="2">
        <v>105.77679999999999</v>
      </c>
      <c r="N1871" s="2">
        <v>106</v>
      </c>
      <c r="O1871" s="2">
        <v>105.83669999999999</v>
      </c>
      <c r="P1871" s="2">
        <v>109</v>
      </c>
      <c r="Q1871" s="2">
        <v>108.63800000000001</v>
      </c>
      <c r="R1871" s="2">
        <v>293</v>
      </c>
      <c r="S1871" s="2">
        <v>113.00839999999999</v>
      </c>
      <c r="T1871" s="2">
        <v>330</v>
      </c>
      <c r="U1871" s="2">
        <v>0.31995200000000001</v>
      </c>
      <c r="V1871" s="2">
        <v>226</v>
      </c>
      <c r="W1871" s="2">
        <v>2007</v>
      </c>
    </row>
    <row r="1872" spans="1:23" ht="12.3" hidden="1" x14ac:dyDescent="0.4">
      <c r="A1872" s="2" t="s">
        <v>208</v>
      </c>
      <c r="B1872" s="2"/>
      <c r="C1872" s="2"/>
      <c r="D1872" s="2"/>
      <c r="E1872" s="2"/>
      <c r="F1872" s="2"/>
      <c r="G1872" s="2"/>
      <c r="H1872" s="2"/>
      <c r="I1872" s="2">
        <v>54.926699999999997</v>
      </c>
      <c r="J1872" s="2">
        <v>335</v>
      </c>
      <c r="K1872" s="2">
        <v>55.344499999999996</v>
      </c>
      <c r="L1872" s="2">
        <v>334</v>
      </c>
      <c r="M1872" s="2">
        <v>106.16970000000001</v>
      </c>
      <c r="N1872" s="2">
        <v>97</v>
      </c>
      <c r="O1872" s="2">
        <v>104.07</v>
      </c>
      <c r="P1872" s="2">
        <v>140</v>
      </c>
      <c r="Q1872" s="2">
        <v>109.60169999999999</v>
      </c>
      <c r="R1872" s="2">
        <v>307</v>
      </c>
      <c r="S1872" s="2">
        <v>111.17</v>
      </c>
      <c r="T1872" s="2">
        <v>316</v>
      </c>
      <c r="U1872" s="2">
        <v>0.31887199999999999</v>
      </c>
      <c r="V1872" s="2">
        <v>227</v>
      </c>
      <c r="W1872" s="2">
        <v>2007</v>
      </c>
    </row>
    <row r="1873" spans="1:23" ht="12.3" hidden="1" x14ac:dyDescent="0.4">
      <c r="A1873" s="2" t="s">
        <v>349</v>
      </c>
      <c r="B1873" s="2"/>
      <c r="C1873" s="2"/>
      <c r="D1873" s="2"/>
      <c r="E1873" s="2"/>
      <c r="F1873" s="2"/>
      <c r="G1873" s="2"/>
      <c r="H1873" s="2"/>
      <c r="I1873" s="2">
        <v>65.721900000000005</v>
      </c>
      <c r="J1873" s="2">
        <v>215</v>
      </c>
      <c r="K1873" s="2">
        <v>65.800299999999993</v>
      </c>
      <c r="L1873" s="2">
        <v>204</v>
      </c>
      <c r="M1873" s="2">
        <v>96.759699999999995</v>
      </c>
      <c r="N1873" s="2">
        <v>261</v>
      </c>
      <c r="O1873" s="2">
        <v>94.389499999999998</v>
      </c>
      <c r="P1873" s="2">
        <v>286</v>
      </c>
      <c r="Q1873" s="2">
        <v>101.5372</v>
      </c>
      <c r="R1873" s="2">
        <v>153</v>
      </c>
      <c r="S1873" s="2">
        <v>100.9217</v>
      </c>
      <c r="T1873" s="2">
        <v>134</v>
      </c>
      <c r="U1873" s="2">
        <v>0.316581</v>
      </c>
      <c r="V1873" s="2">
        <v>228</v>
      </c>
      <c r="W1873" s="2">
        <v>2007</v>
      </c>
    </row>
    <row r="1874" spans="1:23" ht="12.3" hidden="1" x14ac:dyDescent="0.4">
      <c r="A1874" s="2" t="s">
        <v>183</v>
      </c>
      <c r="B1874" s="2"/>
      <c r="C1874" s="2"/>
      <c r="D1874" s="2"/>
      <c r="E1874" s="2"/>
      <c r="F1874" s="2"/>
      <c r="G1874" s="2"/>
      <c r="H1874" s="2"/>
      <c r="I1874" s="2">
        <v>67.164000000000001</v>
      </c>
      <c r="J1874" s="2">
        <v>154</v>
      </c>
      <c r="K1874" s="2">
        <v>65.941299999999998</v>
      </c>
      <c r="L1874" s="2">
        <v>201</v>
      </c>
      <c r="M1874" s="2">
        <v>108.19119999999999</v>
      </c>
      <c r="N1874" s="2">
        <v>60</v>
      </c>
      <c r="O1874" s="2">
        <v>106.0767</v>
      </c>
      <c r="P1874" s="2">
        <v>101</v>
      </c>
      <c r="Q1874" s="2">
        <v>111.2206</v>
      </c>
      <c r="R1874" s="2">
        <v>323</v>
      </c>
      <c r="S1874" s="2">
        <v>113.5979</v>
      </c>
      <c r="T1874" s="2">
        <v>333</v>
      </c>
      <c r="U1874" s="2">
        <v>0.31264599999999998</v>
      </c>
      <c r="V1874" s="2">
        <v>229</v>
      </c>
      <c r="W1874" s="2">
        <v>2007</v>
      </c>
    </row>
    <row r="1875" spans="1:23" ht="12.3" hidden="1" x14ac:dyDescent="0.4">
      <c r="A1875" s="2" t="s">
        <v>152</v>
      </c>
      <c r="B1875" s="2"/>
      <c r="C1875" s="2"/>
      <c r="D1875" s="2"/>
      <c r="E1875" s="2"/>
      <c r="F1875" s="2"/>
      <c r="G1875" s="2"/>
      <c r="H1875" s="2"/>
      <c r="I1875" s="2">
        <v>64.994699999999995</v>
      </c>
      <c r="J1875" s="2">
        <v>243</v>
      </c>
      <c r="K1875" s="2">
        <v>65.498699999999999</v>
      </c>
      <c r="L1875" s="2">
        <v>215</v>
      </c>
      <c r="M1875" s="2">
        <v>98.081599999999995</v>
      </c>
      <c r="N1875" s="2">
        <v>240</v>
      </c>
      <c r="O1875" s="2">
        <v>99.367099999999994</v>
      </c>
      <c r="P1875" s="2">
        <v>212</v>
      </c>
      <c r="Q1875" s="2">
        <v>109.024</v>
      </c>
      <c r="R1875" s="2">
        <v>298</v>
      </c>
      <c r="S1875" s="2">
        <v>106.42</v>
      </c>
      <c r="T1875" s="2">
        <v>240</v>
      </c>
      <c r="U1875" s="2">
        <v>0.312471</v>
      </c>
      <c r="V1875" s="2">
        <v>230</v>
      </c>
      <c r="W1875" s="2">
        <v>2007</v>
      </c>
    </row>
    <row r="1876" spans="1:23" ht="12.3" hidden="1" x14ac:dyDescent="0.4">
      <c r="A1876" s="2" t="s">
        <v>169</v>
      </c>
      <c r="B1876" s="2"/>
      <c r="C1876" s="2"/>
      <c r="D1876" s="2"/>
      <c r="E1876" s="2"/>
      <c r="F1876" s="2"/>
      <c r="G1876" s="2"/>
      <c r="H1876" s="2"/>
      <c r="I1876" s="2">
        <v>68.207499999999996</v>
      </c>
      <c r="J1876" s="2">
        <v>107</v>
      </c>
      <c r="K1876" s="2">
        <v>68.0154</v>
      </c>
      <c r="L1876" s="2">
        <v>111</v>
      </c>
      <c r="M1876" s="2">
        <v>104.5504</v>
      </c>
      <c r="N1876" s="2">
        <v>123</v>
      </c>
      <c r="O1876" s="2">
        <v>102.8248</v>
      </c>
      <c r="P1876" s="2">
        <v>157</v>
      </c>
      <c r="Q1876" s="2">
        <v>109.2496</v>
      </c>
      <c r="R1876" s="2">
        <v>304</v>
      </c>
      <c r="S1876" s="2">
        <v>110.1387</v>
      </c>
      <c r="T1876" s="2">
        <v>307</v>
      </c>
      <c r="U1876" s="2">
        <v>0.31212400000000001</v>
      </c>
      <c r="V1876" s="2">
        <v>231</v>
      </c>
      <c r="W1876" s="2">
        <v>2007</v>
      </c>
    </row>
    <row r="1877" spans="1:23" ht="12.3" hidden="1" x14ac:dyDescent="0.4">
      <c r="A1877" s="2" t="s">
        <v>83</v>
      </c>
      <c r="B1877" s="2"/>
      <c r="C1877" s="2"/>
      <c r="D1877" s="2"/>
      <c r="E1877" s="2"/>
      <c r="F1877" s="2"/>
      <c r="G1877" s="2"/>
      <c r="H1877" s="2"/>
      <c r="I1877" s="2">
        <v>66.159000000000006</v>
      </c>
      <c r="J1877" s="2">
        <v>199</v>
      </c>
      <c r="K1877" s="2">
        <v>66.247500000000002</v>
      </c>
      <c r="L1877" s="2">
        <v>186</v>
      </c>
      <c r="M1877" s="2">
        <v>96.444599999999994</v>
      </c>
      <c r="N1877" s="2">
        <v>267</v>
      </c>
      <c r="O1877" s="2">
        <v>97.673100000000005</v>
      </c>
      <c r="P1877" s="2">
        <v>247</v>
      </c>
      <c r="Q1877" s="2">
        <v>105.78489999999999</v>
      </c>
      <c r="R1877" s="2">
        <v>249</v>
      </c>
      <c r="S1877" s="2">
        <v>104.6889</v>
      </c>
      <c r="T1877" s="2">
        <v>206</v>
      </c>
      <c r="U1877" s="2">
        <v>0.31051499999999999</v>
      </c>
      <c r="V1877" s="2">
        <v>232</v>
      </c>
      <c r="W1877" s="2">
        <v>2007</v>
      </c>
    </row>
    <row r="1878" spans="1:23" ht="12.3" hidden="1" x14ac:dyDescent="0.4">
      <c r="A1878" s="2" t="s">
        <v>222</v>
      </c>
      <c r="B1878" s="2"/>
      <c r="C1878" s="2"/>
      <c r="D1878" s="2"/>
      <c r="E1878" s="2"/>
      <c r="F1878" s="2"/>
      <c r="G1878" s="2"/>
      <c r="H1878" s="2"/>
      <c r="I1878" s="2">
        <v>63.282600000000002</v>
      </c>
      <c r="J1878" s="2">
        <v>289</v>
      </c>
      <c r="K1878" s="2">
        <v>64.254900000000006</v>
      </c>
      <c r="L1878" s="2">
        <v>267</v>
      </c>
      <c r="M1878" s="2">
        <v>95.977400000000003</v>
      </c>
      <c r="N1878" s="2">
        <v>273</v>
      </c>
      <c r="O1878" s="2">
        <v>97.235200000000006</v>
      </c>
      <c r="P1878" s="2">
        <v>252</v>
      </c>
      <c r="Q1878" s="2">
        <v>108.9554</v>
      </c>
      <c r="R1878" s="2">
        <v>297</v>
      </c>
      <c r="S1878" s="2">
        <v>104.2891</v>
      </c>
      <c r="T1878" s="2">
        <v>201</v>
      </c>
      <c r="U1878" s="2">
        <v>0.30887300000000001</v>
      </c>
      <c r="V1878" s="2">
        <v>233</v>
      </c>
      <c r="W1878" s="2">
        <v>2007</v>
      </c>
    </row>
    <row r="1879" spans="1:23" ht="12.3" hidden="1" x14ac:dyDescent="0.4">
      <c r="A1879" s="2" t="s">
        <v>209</v>
      </c>
      <c r="B1879" s="2"/>
      <c r="C1879" s="2"/>
      <c r="D1879" s="2"/>
      <c r="E1879" s="2"/>
      <c r="F1879" s="2"/>
      <c r="G1879" s="2"/>
      <c r="H1879" s="2"/>
      <c r="I1879" s="2">
        <v>66.933400000000006</v>
      </c>
      <c r="J1879" s="2">
        <v>162</v>
      </c>
      <c r="K1879" s="2">
        <v>66.830200000000005</v>
      </c>
      <c r="L1879" s="2">
        <v>162</v>
      </c>
      <c r="M1879" s="2">
        <v>98.791700000000006</v>
      </c>
      <c r="N1879" s="2">
        <v>228</v>
      </c>
      <c r="O1879" s="2">
        <v>100.1189</v>
      </c>
      <c r="P1879" s="2">
        <v>203</v>
      </c>
      <c r="Q1879" s="2">
        <v>107.6032</v>
      </c>
      <c r="R1879" s="2">
        <v>284</v>
      </c>
      <c r="S1879" s="2">
        <v>107.4091</v>
      </c>
      <c r="T1879" s="2">
        <v>260</v>
      </c>
      <c r="U1879" s="2">
        <v>0.30825599999999997</v>
      </c>
      <c r="V1879" s="2">
        <v>234</v>
      </c>
      <c r="W1879" s="2">
        <v>2007</v>
      </c>
    </row>
    <row r="1880" spans="1:23" ht="12.3" hidden="1" x14ac:dyDescent="0.4">
      <c r="A1880" s="2" t="s">
        <v>328</v>
      </c>
      <c r="B1880" s="2"/>
      <c r="C1880" s="2"/>
      <c r="D1880" s="2"/>
      <c r="E1880" s="2"/>
      <c r="F1880" s="2"/>
      <c r="G1880" s="2"/>
      <c r="H1880" s="2"/>
      <c r="I1880" s="2">
        <v>65.924999999999997</v>
      </c>
      <c r="J1880" s="2">
        <v>209</v>
      </c>
      <c r="K1880" s="2">
        <v>64.438100000000006</v>
      </c>
      <c r="L1880" s="2">
        <v>258</v>
      </c>
      <c r="M1880" s="2">
        <v>102.05249999999999</v>
      </c>
      <c r="N1880" s="2">
        <v>168</v>
      </c>
      <c r="O1880" s="2">
        <v>99.832899999999995</v>
      </c>
      <c r="P1880" s="2">
        <v>207</v>
      </c>
      <c r="Q1880" s="2">
        <v>105.3249</v>
      </c>
      <c r="R1880" s="2">
        <v>240</v>
      </c>
      <c r="S1880" s="2">
        <v>107.1726</v>
      </c>
      <c r="T1880" s="2">
        <v>254</v>
      </c>
      <c r="U1880" s="2">
        <v>0.306645</v>
      </c>
      <c r="V1880" s="2">
        <v>235</v>
      </c>
      <c r="W1880" s="2">
        <v>2007</v>
      </c>
    </row>
    <row r="1881" spans="1:23" ht="12.3" hidden="1" x14ac:dyDescent="0.4">
      <c r="A1881" s="2" t="s">
        <v>79</v>
      </c>
      <c r="B1881" s="2"/>
      <c r="C1881" s="2"/>
      <c r="D1881" s="2"/>
      <c r="E1881" s="2"/>
      <c r="F1881" s="2"/>
      <c r="G1881" s="2"/>
      <c r="H1881" s="2"/>
      <c r="I1881" s="2">
        <v>74.861900000000006</v>
      </c>
      <c r="J1881" s="2">
        <v>6</v>
      </c>
      <c r="K1881" s="2">
        <v>72.846800000000002</v>
      </c>
      <c r="L1881" s="2">
        <v>11</v>
      </c>
      <c r="M1881" s="2">
        <v>101.61279999999999</v>
      </c>
      <c r="N1881" s="2">
        <v>181</v>
      </c>
      <c r="O1881" s="2">
        <v>102.88849999999999</v>
      </c>
      <c r="P1881" s="2">
        <v>156</v>
      </c>
      <c r="Q1881" s="2">
        <v>110.4081</v>
      </c>
      <c r="R1881" s="2">
        <v>321</v>
      </c>
      <c r="S1881" s="2">
        <v>110.5104</v>
      </c>
      <c r="T1881" s="2">
        <v>313</v>
      </c>
      <c r="U1881" s="2">
        <v>0.30537399999999998</v>
      </c>
      <c r="V1881" s="2">
        <v>236</v>
      </c>
      <c r="W1881" s="2">
        <v>2007</v>
      </c>
    </row>
    <row r="1882" spans="1:23" ht="12.3" hidden="1" x14ac:dyDescent="0.4">
      <c r="A1882" s="2" t="s">
        <v>295</v>
      </c>
      <c r="B1882" s="2"/>
      <c r="C1882" s="2"/>
      <c r="D1882" s="2"/>
      <c r="E1882" s="2"/>
      <c r="F1882" s="2"/>
      <c r="G1882" s="2"/>
      <c r="H1882" s="2"/>
      <c r="I1882" s="2">
        <v>62.765300000000003</v>
      </c>
      <c r="J1882" s="2">
        <v>295</v>
      </c>
      <c r="K1882" s="2">
        <v>64.635300000000001</v>
      </c>
      <c r="L1882" s="2">
        <v>248</v>
      </c>
      <c r="M1882" s="2">
        <v>97.975700000000003</v>
      </c>
      <c r="N1882" s="2">
        <v>243</v>
      </c>
      <c r="O1882" s="2">
        <v>96.417000000000002</v>
      </c>
      <c r="P1882" s="2">
        <v>265</v>
      </c>
      <c r="Q1882" s="2">
        <v>102.60639999999999</v>
      </c>
      <c r="R1882" s="2">
        <v>174</v>
      </c>
      <c r="S1882" s="2">
        <v>103.58799999999999</v>
      </c>
      <c r="T1882" s="2">
        <v>179</v>
      </c>
      <c r="U1882" s="2">
        <v>0.304703</v>
      </c>
      <c r="V1882" s="2">
        <v>237</v>
      </c>
      <c r="W1882" s="2">
        <v>2007</v>
      </c>
    </row>
    <row r="1883" spans="1:23" ht="12.3" hidden="1" x14ac:dyDescent="0.4">
      <c r="A1883" s="2" t="s">
        <v>299</v>
      </c>
      <c r="B1883" s="2"/>
      <c r="C1883" s="2"/>
      <c r="D1883" s="2"/>
      <c r="E1883" s="2"/>
      <c r="F1883" s="2"/>
      <c r="G1883" s="2"/>
      <c r="H1883" s="2"/>
      <c r="I1883" s="2">
        <v>65.346400000000003</v>
      </c>
      <c r="J1883" s="2">
        <v>224</v>
      </c>
      <c r="K1883" s="2">
        <v>64.301900000000003</v>
      </c>
      <c r="L1883" s="2">
        <v>265</v>
      </c>
      <c r="M1883" s="2">
        <v>92.597999999999999</v>
      </c>
      <c r="N1883" s="2">
        <v>306</v>
      </c>
      <c r="O1883" s="2">
        <v>92.315299999999993</v>
      </c>
      <c r="P1883" s="2">
        <v>309</v>
      </c>
      <c r="Q1883" s="2">
        <v>93.8279</v>
      </c>
      <c r="R1883" s="2">
        <v>20</v>
      </c>
      <c r="S1883" s="2">
        <v>99.587699999999998</v>
      </c>
      <c r="T1883" s="2">
        <v>101</v>
      </c>
      <c r="U1883" s="2">
        <v>0.29483399999999998</v>
      </c>
      <c r="V1883" s="2">
        <v>238</v>
      </c>
      <c r="W1883" s="2">
        <v>2007</v>
      </c>
    </row>
    <row r="1884" spans="1:23" ht="12.3" hidden="1" x14ac:dyDescent="0.4">
      <c r="A1884" s="2" t="s">
        <v>281</v>
      </c>
      <c r="B1884" s="2"/>
      <c r="C1884" s="2"/>
      <c r="D1884" s="2"/>
      <c r="E1884" s="2"/>
      <c r="F1884" s="2"/>
      <c r="G1884" s="2"/>
      <c r="H1884" s="2"/>
      <c r="I1884" s="2">
        <v>70.774500000000003</v>
      </c>
      <c r="J1884" s="2">
        <v>50</v>
      </c>
      <c r="K1884" s="2">
        <v>68.685100000000006</v>
      </c>
      <c r="L1884" s="2">
        <v>93</v>
      </c>
      <c r="M1884" s="2">
        <v>95.782899999999998</v>
      </c>
      <c r="N1884" s="2">
        <v>274</v>
      </c>
      <c r="O1884" s="2">
        <v>96.170199999999994</v>
      </c>
      <c r="P1884" s="2">
        <v>269</v>
      </c>
      <c r="Q1884" s="2">
        <v>105.17619999999999</v>
      </c>
      <c r="R1884" s="2">
        <v>234</v>
      </c>
      <c r="S1884" s="2">
        <v>103.83369999999999</v>
      </c>
      <c r="T1884" s="2">
        <v>185</v>
      </c>
      <c r="U1884" s="2">
        <v>0.292821</v>
      </c>
      <c r="V1884" s="2">
        <v>239</v>
      </c>
      <c r="W1884" s="2">
        <v>2007</v>
      </c>
    </row>
    <row r="1885" spans="1:23" ht="12.3" x14ac:dyDescent="0.4">
      <c r="A1885" s="2" t="s">
        <v>68</v>
      </c>
      <c r="B1885" s="2">
        <v>12</v>
      </c>
      <c r="C1885" s="4" t="s">
        <v>33</v>
      </c>
      <c r="D1885" s="2"/>
      <c r="E1885" s="2"/>
      <c r="F1885" s="2"/>
      <c r="G1885" s="2"/>
      <c r="H1885" s="2"/>
      <c r="I1885" s="2">
        <v>65.9726</v>
      </c>
      <c r="J1885" s="2">
        <v>182</v>
      </c>
      <c r="K1885" s="2">
        <v>65.903499999999994</v>
      </c>
      <c r="L1885" s="2">
        <v>187</v>
      </c>
      <c r="M1885" s="2">
        <v>109.5453</v>
      </c>
      <c r="N1885" s="2">
        <v>37</v>
      </c>
      <c r="O1885" s="2">
        <v>109.2259</v>
      </c>
      <c r="P1885" s="2">
        <v>50</v>
      </c>
      <c r="Q1885" s="2">
        <v>101.57599999999999</v>
      </c>
      <c r="R1885" s="2">
        <v>178</v>
      </c>
      <c r="S1885" s="2">
        <v>101.75279999999999</v>
      </c>
      <c r="T1885" s="2">
        <v>170</v>
      </c>
      <c r="U1885" s="2">
        <v>0.69318100000000005</v>
      </c>
      <c r="V1885" s="2">
        <v>87</v>
      </c>
      <c r="W1885" s="2">
        <v>2009</v>
      </c>
    </row>
    <row r="1886" spans="1:23" ht="12.3" hidden="1" x14ac:dyDescent="0.4">
      <c r="A1886" s="2" t="s">
        <v>193</v>
      </c>
      <c r="B1886" s="2"/>
      <c r="C1886" s="2"/>
      <c r="D1886" s="2"/>
      <c r="E1886" s="2"/>
      <c r="F1886" s="2"/>
      <c r="G1886" s="2"/>
      <c r="H1886" s="2"/>
      <c r="I1886" s="2">
        <v>68.485799999999998</v>
      </c>
      <c r="J1886" s="2">
        <v>101</v>
      </c>
      <c r="K1886" s="2">
        <v>68.436899999999994</v>
      </c>
      <c r="L1886" s="2">
        <v>100</v>
      </c>
      <c r="M1886" s="2">
        <v>101.5158</v>
      </c>
      <c r="N1886" s="2">
        <v>185</v>
      </c>
      <c r="O1886" s="2">
        <v>99.802499999999995</v>
      </c>
      <c r="P1886" s="2">
        <v>208</v>
      </c>
      <c r="Q1886" s="2">
        <v>106.79170000000001</v>
      </c>
      <c r="R1886" s="2">
        <v>271</v>
      </c>
      <c r="S1886" s="2">
        <v>108.0117</v>
      </c>
      <c r="T1886" s="2">
        <v>273</v>
      </c>
      <c r="U1886" s="2">
        <v>0.28719699999999998</v>
      </c>
      <c r="V1886" s="2">
        <v>241</v>
      </c>
      <c r="W1886" s="2">
        <v>2007</v>
      </c>
    </row>
    <row r="1887" spans="1:23" ht="12.3" hidden="1" x14ac:dyDescent="0.4">
      <c r="A1887" s="2" t="s">
        <v>278</v>
      </c>
      <c r="B1887" s="2"/>
      <c r="C1887" s="2"/>
      <c r="D1887" s="2"/>
      <c r="E1887" s="2"/>
      <c r="F1887" s="2"/>
      <c r="G1887" s="2"/>
      <c r="H1887" s="2"/>
      <c r="I1887" s="2">
        <v>68.511700000000005</v>
      </c>
      <c r="J1887" s="2">
        <v>100</v>
      </c>
      <c r="K1887" s="2">
        <v>66.711100000000002</v>
      </c>
      <c r="L1887" s="2">
        <v>169</v>
      </c>
      <c r="M1887" s="2">
        <v>90.838899999999995</v>
      </c>
      <c r="N1887" s="2">
        <v>315</v>
      </c>
      <c r="O1887" s="2">
        <v>92.400899999999993</v>
      </c>
      <c r="P1887" s="2">
        <v>306</v>
      </c>
      <c r="Q1887" s="2">
        <v>104.18680000000001</v>
      </c>
      <c r="R1887" s="2">
        <v>208</v>
      </c>
      <c r="S1887" s="2">
        <v>100.04649999999999</v>
      </c>
      <c r="T1887" s="2">
        <v>113</v>
      </c>
      <c r="U1887" s="2">
        <v>0.286134</v>
      </c>
      <c r="V1887" s="2">
        <v>242</v>
      </c>
      <c r="W1887" s="2">
        <v>2007</v>
      </c>
    </row>
    <row r="1888" spans="1:23" ht="12.3" hidden="1" x14ac:dyDescent="0.4">
      <c r="A1888" s="2" t="s">
        <v>334</v>
      </c>
      <c r="B1888" s="2"/>
      <c r="C1888" s="2"/>
      <c r="D1888" s="2"/>
      <c r="E1888" s="2"/>
      <c r="F1888" s="2"/>
      <c r="G1888" s="2"/>
      <c r="H1888" s="2"/>
      <c r="I1888" s="2">
        <v>69.231300000000005</v>
      </c>
      <c r="J1888" s="2">
        <v>87</v>
      </c>
      <c r="K1888" s="2">
        <v>67.126900000000006</v>
      </c>
      <c r="L1888" s="2">
        <v>148</v>
      </c>
      <c r="M1888" s="2">
        <v>102.63979999999999</v>
      </c>
      <c r="N1888" s="2">
        <v>161</v>
      </c>
      <c r="O1888" s="2">
        <v>101.0984</v>
      </c>
      <c r="P1888" s="2">
        <v>185</v>
      </c>
      <c r="Q1888" s="2">
        <v>105.0401</v>
      </c>
      <c r="R1888" s="2">
        <v>230</v>
      </c>
      <c r="S1888" s="2">
        <v>109.47799999999999</v>
      </c>
      <c r="T1888" s="2">
        <v>298</v>
      </c>
      <c r="U1888" s="2">
        <v>0.285827</v>
      </c>
      <c r="V1888" s="2">
        <v>243</v>
      </c>
      <c r="W1888" s="2">
        <v>2007</v>
      </c>
    </row>
    <row r="1889" spans="1:23" ht="12.3" hidden="1" x14ac:dyDescent="0.4">
      <c r="A1889" s="2" t="s">
        <v>255</v>
      </c>
      <c r="B1889" s="2"/>
      <c r="C1889" s="2"/>
      <c r="D1889" s="2"/>
      <c r="E1889" s="2"/>
      <c r="F1889" s="2"/>
      <c r="G1889" s="2"/>
      <c r="H1889" s="2"/>
      <c r="I1889" s="2">
        <v>69.695499999999996</v>
      </c>
      <c r="J1889" s="2">
        <v>71</v>
      </c>
      <c r="K1889" s="2">
        <v>72.048100000000005</v>
      </c>
      <c r="L1889" s="2">
        <v>23</v>
      </c>
      <c r="M1889" s="2">
        <v>101.7122</v>
      </c>
      <c r="N1889" s="2">
        <v>176</v>
      </c>
      <c r="O1889" s="2">
        <v>101.8356</v>
      </c>
      <c r="P1889" s="2">
        <v>173</v>
      </c>
      <c r="Q1889" s="2">
        <v>108.8408</v>
      </c>
      <c r="R1889" s="2">
        <v>296</v>
      </c>
      <c r="S1889" s="2">
        <v>110.3445</v>
      </c>
      <c r="T1889" s="2">
        <v>310</v>
      </c>
      <c r="U1889" s="2">
        <v>0.28438000000000002</v>
      </c>
      <c r="V1889" s="2">
        <v>244</v>
      </c>
      <c r="W1889" s="2">
        <v>2007</v>
      </c>
    </row>
    <row r="1890" spans="1:23" ht="12.3" hidden="1" x14ac:dyDescent="0.4">
      <c r="A1890" s="2" t="s">
        <v>135</v>
      </c>
      <c r="B1890" s="2"/>
      <c r="C1890" s="2"/>
      <c r="D1890" s="2"/>
      <c r="E1890" s="2"/>
      <c r="F1890" s="2"/>
      <c r="G1890" s="2"/>
      <c r="H1890" s="2"/>
      <c r="I1890" s="2">
        <v>70.439099999999996</v>
      </c>
      <c r="J1890" s="2">
        <v>57</v>
      </c>
      <c r="K1890" s="2">
        <v>70.918400000000005</v>
      </c>
      <c r="L1890" s="2">
        <v>37</v>
      </c>
      <c r="M1890" s="2">
        <v>95.593900000000005</v>
      </c>
      <c r="N1890" s="2">
        <v>276</v>
      </c>
      <c r="O1890" s="2">
        <v>92.3964</v>
      </c>
      <c r="P1890" s="2">
        <v>307</v>
      </c>
      <c r="Q1890" s="2">
        <v>95.593299999999999</v>
      </c>
      <c r="R1890" s="2">
        <v>40</v>
      </c>
      <c r="S1890" s="2">
        <v>100.1643</v>
      </c>
      <c r="T1890" s="2">
        <v>114</v>
      </c>
      <c r="U1890" s="2">
        <v>0.28326299999999999</v>
      </c>
      <c r="V1890" s="2">
        <v>245</v>
      </c>
      <c r="W1890" s="2">
        <v>2007</v>
      </c>
    </row>
    <row r="1891" spans="1:23" ht="12.3" hidden="1" x14ac:dyDescent="0.4">
      <c r="A1891" s="2" t="s">
        <v>182</v>
      </c>
      <c r="B1891" s="2"/>
      <c r="C1891" s="2"/>
      <c r="D1891" s="2"/>
      <c r="E1891" s="2"/>
      <c r="F1891" s="2"/>
      <c r="G1891" s="2"/>
      <c r="H1891" s="2"/>
      <c r="I1891" s="2">
        <v>68.543700000000001</v>
      </c>
      <c r="J1891" s="2">
        <v>98</v>
      </c>
      <c r="K1891" s="2">
        <v>68.757000000000005</v>
      </c>
      <c r="L1891" s="2">
        <v>88</v>
      </c>
      <c r="M1891" s="2">
        <v>101.5591</v>
      </c>
      <c r="N1891" s="2">
        <v>183</v>
      </c>
      <c r="O1891" s="2">
        <v>100.14319999999999</v>
      </c>
      <c r="P1891" s="2">
        <v>201</v>
      </c>
      <c r="Q1891" s="2">
        <v>106.84180000000001</v>
      </c>
      <c r="R1891" s="2">
        <v>274</v>
      </c>
      <c r="S1891" s="2">
        <v>108.563</v>
      </c>
      <c r="T1891" s="2">
        <v>287</v>
      </c>
      <c r="U1891" s="2">
        <v>0.28325299999999998</v>
      </c>
      <c r="V1891" s="2">
        <v>246</v>
      </c>
      <c r="W1891" s="2">
        <v>2007</v>
      </c>
    </row>
    <row r="1892" spans="1:23" ht="12.3" hidden="1" x14ac:dyDescent="0.4">
      <c r="A1892" s="2" t="s">
        <v>246</v>
      </c>
      <c r="B1892" s="2"/>
      <c r="C1892" s="2"/>
      <c r="D1892" s="2"/>
      <c r="E1892" s="2"/>
      <c r="F1892" s="2"/>
      <c r="G1892" s="2"/>
      <c r="H1892" s="2"/>
      <c r="I1892" s="2">
        <v>68.2971</v>
      </c>
      <c r="J1892" s="2">
        <v>105</v>
      </c>
      <c r="K1892" s="2">
        <v>68.786500000000004</v>
      </c>
      <c r="L1892" s="2">
        <v>85</v>
      </c>
      <c r="M1892" s="2">
        <v>98.459500000000006</v>
      </c>
      <c r="N1892" s="2">
        <v>234</v>
      </c>
      <c r="O1892" s="2">
        <v>99.190200000000004</v>
      </c>
      <c r="P1892" s="2">
        <v>214</v>
      </c>
      <c r="Q1892" s="2">
        <v>109.13079999999999</v>
      </c>
      <c r="R1892" s="2">
        <v>301</v>
      </c>
      <c r="S1892" s="2">
        <v>107.76130000000001</v>
      </c>
      <c r="T1892" s="2">
        <v>266</v>
      </c>
      <c r="U1892" s="2">
        <v>0.27826000000000001</v>
      </c>
      <c r="V1892" s="2">
        <v>247</v>
      </c>
      <c r="W1892" s="2">
        <v>2007</v>
      </c>
    </row>
    <row r="1893" spans="1:23" ht="12.3" x14ac:dyDescent="0.4">
      <c r="A1893" s="2" t="s">
        <v>256</v>
      </c>
      <c r="B1893" s="2">
        <v>13</v>
      </c>
      <c r="C1893" s="2"/>
      <c r="D1893" s="2"/>
      <c r="E1893" s="2"/>
      <c r="F1893" s="2"/>
      <c r="G1893" s="2"/>
      <c r="H1893" s="2"/>
      <c r="I1893" s="2">
        <v>64.793800000000005</v>
      </c>
      <c r="J1893" s="2">
        <v>246</v>
      </c>
      <c r="K1893" s="2">
        <v>66.012600000000006</v>
      </c>
      <c r="L1893" s="2">
        <v>180</v>
      </c>
      <c r="M1893" s="2">
        <v>101.2427</v>
      </c>
      <c r="N1893" s="2">
        <v>172</v>
      </c>
      <c r="O1893" s="2">
        <v>101.256</v>
      </c>
      <c r="P1893" s="2">
        <v>170</v>
      </c>
      <c r="Q1893" s="2">
        <v>92.160600000000002</v>
      </c>
      <c r="R1893" s="2">
        <v>10</v>
      </c>
      <c r="S1893" s="2">
        <v>95.038899999999998</v>
      </c>
      <c r="T1893" s="2">
        <v>44</v>
      </c>
      <c r="U1893" s="2">
        <v>0.67452299999999998</v>
      </c>
      <c r="V1893" s="2">
        <v>91</v>
      </c>
      <c r="W1893" s="2">
        <v>2009</v>
      </c>
    </row>
    <row r="1894" spans="1:23" ht="12.3" hidden="1" x14ac:dyDescent="0.4">
      <c r="A1894" s="2" t="s">
        <v>322</v>
      </c>
      <c r="B1894" s="2"/>
      <c r="C1894" s="2"/>
      <c r="D1894" s="2"/>
      <c r="E1894" s="2"/>
      <c r="F1894" s="2"/>
      <c r="G1894" s="2"/>
      <c r="H1894" s="2"/>
      <c r="I1894" s="2">
        <v>66.624300000000005</v>
      </c>
      <c r="J1894" s="2">
        <v>178</v>
      </c>
      <c r="K1894" s="2">
        <v>67.863</v>
      </c>
      <c r="L1894" s="2">
        <v>118</v>
      </c>
      <c r="M1894" s="2">
        <v>96.104200000000006</v>
      </c>
      <c r="N1894" s="2">
        <v>271</v>
      </c>
      <c r="O1894" s="2">
        <v>97.250200000000007</v>
      </c>
      <c r="P1894" s="2">
        <v>251</v>
      </c>
      <c r="Q1894" s="2">
        <v>106.2852</v>
      </c>
      <c r="R1894" s="2">
        <v>263</v>
      </c>
      <c r="S1894" s="2">
        <v>105.7469</v>
      </c>
      <c r="T1894" s="2">
        <v>226</v>
      </c>
      <c r="U1894" s="2">
        <v>0.276227</v>
      </c>
      <c r="V1894" s="2">
        <v>249</v>
      </c>
      <c r="W1894" s="2">
        <v>2007</v>
      </c>
    </row>
    <row r="1895" spans="1:23" ht="12.3" hidden="1" x14ac:dyDescent="0.4">
      <c r="A1895" s="2" t="s">
        <v>274</v>
      </c>
      <c r="B1895" s="2"/>
      <c r="C1895" s="2"/>
      <c r="D1895" s="2"/>
      <c r="E1895" s="2"/>
      <c r="F1895" s="2"/>
      <c r="G1895" s="2"/>
      <c r="H1895" s="2"/>
      <c r="I1895" s="2">
        <v>70.174499999999995</v>
      </c>
      <c r="J1895" s="2">
        <v>64</v>
      </c>
      <c r="K1895" s="2">
        <v>69.994200000000006</v>
      </c>
      <c r="L1895" s="2">
        <v>54</v>
      </c>
      <c r="M1895" s="2">
        <v>100.8882</v>
      </c>
      <c r="N1895" s="2">
        <v>193</v>
      </c>
      <c r="O1895" s="2">
        <v>97.863399999999999</v>
      </c>
      <c r="P1895" s="2">
        <v>242</v>
      </c>
      <c r="Q1895" s="2">
        <v>102.9293</v>
      </c>
      <c r="R1895" s="2">
        <v>183</v>
      </c>
      <c r="S1895" s="2">
        <v>106.43219999999999</v>
      </c>
      <c r="T1895" s="2">
        <v>241</v>
      </c>
      <c r="U1895" s="2">
        <v>0.27582800000000002</v>
      </c>
      <c r="V1895" s="2">
        <v>250</v>
      </c>
      <c r="W1895" s="2">
        <v>2007</v>
      </c>
    </row>
    <row r="1896" spans="1:23" ht="12.3" hidden="1" x14ac:dyDescent="0.4">
      <c r="A1896" s="2" t="s">
        <v>270</v>
      </c>
      <c r="B1896" s="2"/>
      <c r="C1896" s="2"/>
      <c r="D1896" s="2"/>
      <c r="E1896" s="2"/>
      <c r="F1896" s="2"/>
      <c r="G1896" s="2"/>
      <c r="H1896" s="2"/>
      <c r="I1896" s="2">
        <v>72.013199999999998</v>
      </c>
      <c r="J1896" s="2">
        <v>27</v>
      </c>
      <c r="K1896" s="2">
        <v>71.022400000000005</v>
      </c>
      <c r="L1896" s="2">
        <v>35</v>
      </c>
      <c r="M1896" s="2">
        <v>99.156800000000004</v>
      </c>
      <c r="N1896" s="2">
        <v>222</v>
      </c>
      <c r="O1896" s="2">
        <v>99.683300000000003</v>
      </c>
      <c r="P1896" s="2">
        <v>209</v>
      </c>
      <c r="Q1896" s="2">
        <v>106.0132</v>
      </c>
      <c r="R1896" s="2">
        <v>254</v>
      </c>
      <c r="S1896" s="2">
        <v>108.55329999999999</v>
      </c>
      <c r="T1896" s="2">
        <v>286</v>
      </c>
      <c r="U1896" s="2">
        <v>0.27283400000000002</v>
      </c>
      <c r="V1896" s="2">
        <v>251</v>
      </c>
      <c r="W1896" s="2">
        <v>2007</v>
      </c>
    </row>
    <row r="1897" spans="1:23" ht="12.3" hidden="1" x14ac:dyDescent="0.4">
      <c r="A1897" s="2" t="s">
        <v>198</v>
      </c>
      <c r="B1897" s="2"/>
      <c r="C1897" s="2"/>
      <c r="D1897" s="2"/>
      <c r="E1897" s="2"/>
      <c r="F1897" s="2"/>
      <c r="G1897" s="2"/>
      <c r="H1897" s="2"/>
      <c r="I1897" s="2">
        <v>73.182500000000005</v>
      </c>
      <c r="J1897" s="2">
        <v>14</v>
      </c>
      <c r="K1897" s="2">
        <v>72.119799999999998</v>
      </c>
      <c r="L1897" s="2">
        <v>21</v>
      </c>
      <c r="M1897" s="2">
        <v>98.220200000000006</v>
      </c>
      <c r="N1897" s="2">
        <v>238</v>
      </c>
      <c r="O1897" s="2">
        <v>95.473500000000001</v>
      </c>
      <c r="P1897" s="2">
        <v>280</v>
      </c>
      <c r="Q1897" s="2">
        <v>102.5625</v>
      </c>
      <c r="R1897" s="2">
        <v>170</v>
      </c>
      <c r="S1897" s="2">
        <v>103.98139999999999</v>
      </c>
      <c r="T1897" s="2">
        <v>191</v>
      </c>
      <c r="U1897" s="2">
        <v>0.27255800000000002</v>
      </c>
      <c r="V1897" s="2">
        <v>252</v>
      </c>
      <c r="W1897" s="2">
        <v>2007</v>
      </c>
    </row>
    <row r="1898" spans="1:23" ht="12.3" hidden="1" x14ac:dyDescent="0.4">
      <c r="A1898" s="2" t="s">
        <v>283</v>
      </c>
      <c r="B1898" s="2"/>
      <c r="C1898" s="2"/>
      <c r="D1898" s="2"/>
      <c r="E1898" s="2"/>
      <c r="F1898" s="2"/>
      <c r="G1898" s="2"/>
      <c r="H1898" s="2"/>
      <c r="I1898" s="2">
        <v>68.185199999999995</v>
      </c>
      <c r="J1898" s="2">
        <v>108</v>
      </c>
      <c r="K1898" s="2">
        <v>67.940899999999999</v>
      </c>
      <c r="L1898" s="2">
        <v>114</v>
      </c>
      <c r="M1898" s="2">
        <v>100.0836</v>
      </c>
      <c r="N1898" s="2">
        <v>206</v>
      </c>
      <c r="O1898" s="2">
        <v>98.745800000000003</v>
      </c>
      <c r="P1898" s="2">
        <v>223</v>
      </c>
      <c r="Q1898" s="2">
        <v>104.41200000000001</v>
      </c>
      <c r="R1898" s="2">
        <v>210</v>
      </c>
      <c r="S1898" s="2">
        <v>107.5693</v>
      </c>
      <c r="T1898" s="2">
        <v>263</v>
      </c>
      <c r="U1898" s="2">
        <v>0.27205099999999999</v>
      </c>
      <c r="V1898" s="2">
        <v>253</v>
      </c>
      <c r="W1898" s="2">
        <v>2007</v>
      </c>
    </row>
    <row r="1899" spans="1:23" ht="12.3" hidden="1" x14ac:dyDescent="0.4">
      <c r="A1899" s="2" t="s">
        <v>125</v>
      </c>
      <c r="B1899" s="2"/>
      <c r="C1899" s="2"/>
      <c r="D1899" s="2"/>
      <c r="E1899" s="2"/>
      <c r="F1899" s="2"/>
      <c r="G1899" s="2"/>
      <c r="H1899" s="2"/>
      <c r="I1899" s="2">
        <v>64.653400000000005</v>
      </c>
      <c r="J1899" s="2">
        <v>254</v>
      </c>
      <c r="K1899" s="2">
        <v>63.943800000000003</v>
      </c>
      <c r="L1899" s="2">
        <v>276</v>
      </c>
      <c r="M1899" s="2">
        <v>100.5535</v>
      </c>
      <c r="N1899" s="2">
        <v>200</v>
      </c>
      <c r="O1899" s="2">
        <v>98.687899999999999</v>
      </c>
      <c r="P1899" s="2">
        <v>225</v>
      </c>
      <c r="Q1899" s="2">
        <v>107.4254</v>
      </c>
      <c r="R1899" s="2">
        <v>283</v>
      </c>
      <c r="S1899" s="2">
        <v>107.51560000000001</v>
      </c>
      <c r="T1899" s="2">
        <v>262</v>
      </c>
      <c r="U1899" s="2">
        <v>0.27185100000000001</v>
      </c>
      <c r="V1899" s="2">
        <v>254</v>
      </c>
      <c r="W1899" s="2">
        <v>2007</v>
      </c>
    </row>
    <row r="1900" spans="1:23" ht="12.3" hidden="1" x14ac:dyDescent="0.4">
      <c r="A1900" s="2" t="s">
        <v>214</v>
      </c>
      <c r="B1900" s="2"/>
      <c r="C1900" s="2"/>
      <c r="D1900" s="2"/>
      <c r="E1900" s="2"/>
      <c r="F1900" s="2"/>
      <c r="G1900" s="2"/>
      <c r="H1900" s="2"/>
      <c r="I1900" s="2">
        <v>71.565799999999996</v>
      </c>
      <c r="J1900" s="2">
        <v>36</v>
      </c>
      <c r="K1900" s="2">
        <v>70.650599999999997</v>
      </c>
      <c r="L1900" s="2">
        <v>41</v>
      </c>
      <c r="M1900" s="2">
        <v>100.4649</v>
      </c>
      <c r="N1900" s="2">
        <v>202</v>
      </c>
      <c r="O1900" s="2">
        <v>99.080299999999994</v>
      </c>
      <c r="P1900" s="2">
        <v>217</v>
      </c>
      <c r="Q1900" s="2">
        <v>105.5398</v>
      </c>
      <c r="R1900" s="2">
        <v>245</v>
      </c>
      <c r="S1900" s="2">
        <v>108.02379999999999</v>
      </c>
      <c r="T1900" s="2">
        <v>274</v>
      </c>
      <c r="U1900" s="2">
        <v>0.27015499999999998</v>
      </c>
      <c r="V1900" s="2">
        <v>255</v>
      </c>
      <c r="W1900" s="2">
        <v>2007</v>
      </c>
    </row>
    <row r="1901" spans="1:23" ht="12.3" hidden="1" x14ac:dyDescent="0.4">
      <c r="A1901" s="2" t="s">
        <v>344</v>
      </c>
      <c r="B1901" s="2"/>
      <c r="C1901" s="2"/>
      <c r="D1901" s="2"/>
      <c r="E1901" s="2"/>
      <c r="F1901" s="2"/>
      <c r="G1901" s="2"/>
      <c r="H1901" s="2"/>
      <c r="I1901" s="2">
        <v>70.157700000000006</v>
      </c>
      <c r="J1901" s="2">
        <v>65</v>
      </c>
      <c r="K1901" s="2">
        <v>69.603999999999999</v>
      </c>
      <c r="L1901" s="2">
        <v>63</v>
      </c>
      <c r="M1901" s="2">
        <v>102.40860000000001</v>
      </c>
      <c r="N1901" s="2">
        <v>164</v>
      </c>
      <c r="O1901" s="2">
        <v>100.1366</v>
      </c>
      <c r="P1901" s="2">
        <v>202</v>
      </c>
      <c r="Q1901" s="2">
        <v>106.51730000000001</v>
      </c>
      <c r="R1901" s="2">
        <v>267</v>
      </c>
      <c r="S1901" s="2">
        <v>109.37520000000001</v>
      </c>
      <c r="T1901" s="2">
        <v>297</v>
      </c>
      <c r="U1901" s="2">
        <v>0.26602900000000002</v>
      </c>
      <c r="V1901" s="2">
        <v>256</v>
      </c>
      <c r="W1901" s="2">
        <v>2007</v>
      </c>
    </row>
    <row r="1902" spans="1:23" ht="12.3" hidden="1" x14ac:dyDescent="0.4">
      <c r="A1902" s="2" t="s">
        <v>361</v>
      </c>
      <c r="B1902" s="2"/>
      <c r="C1902" s="2"/>
      <c r="D1902" s="2"/>
      <c r="E1902" s="2"/>
      <c r="F1902" s="2"/>
      <c r="G1902" s="2"/>
      <c r="H1902" s="2"/>
      <c r="I1902" s="2">
        <v>67.021699999999996</v>
      </c>
      <c r="J1902" s="2">
        <v>157</v>
      </c>
      <c r="K1902" s="2">
        <v>66.132499999999993</v>
      </c>
      <c r="L1902" s="2">
        <v>191</v>
      </c>
      <c r="M1902" s="2">
        <v>99.097800000000007</v>
      </c>
      <c r="N1902" s="2">
        <v>224</v>
      </c>
      <c r="O1902" s="2">
        <v>98.013099999999994</v>
      </c>
      <c r="P1902" s="2">
        <v>239</v>
      </c>
      <c r="Q1902" s="2">
        <v>102.7628</v>
      </c>
      <c r="R1902" s="2">
        <v>179</v>
      </c>
      <c r="S1902" s="2">
        <v>107.2026</v>
      </c>
      <c r="T1902" s="2">
        <v>255</v>
      </c>
      <c r="U1902" s="2">
        <v>0.26296399999999998</v>
      </c>
      <c r="V1902" s="2">
        <v>257</v>
      </c>
      <c r="W1902" s="2">
        <v>2007</v>
      </c>
    </row>
    <row r="1903" spans="1:23" ht="12.3" hidden="1" x14ac:dyDescent="0.4">
      <c r="A1903" s="2" t="s">
        <v>224</v>
      </c>
      <c r="B1903" s="2"/>
      <c r="C1903" s="2"/>
      <c r="D1903" s="2"/>
      <c r="E1903" s="2"/>
      <c r="F1903" s="2"/>
      <c r="G1903" s="2"/>
      <c r="H1903" s="2"/>
      <c r="I1903" s="2">
        <v>69.0398</v>
      </c>
      <c r="J1903" s="2">
        <v>92</v>
      </c>
      <c r="K1903" s="2">
        <v>68.781099999999995</v>
      </c>
      <c r="L1903" s="2">
        <v>86</v>
      </c>
      <c r="M1903" s="2">
        <v>98.841499999999996</v>
      </c>
      <c r="N1903" s="2">
        <v>226</v>
      </c>
      <c r="O1903" s="2">
        <v>96.996700000000004</v>
      </c>
      <c r="P1903" s="2">
        <v>255</v>
      </c>
      <c r="Q1903" s="2">
        <v>108.2842</v>
      </c>
      <c r="R1903" s="2">
        <v>290</v>
      </c>
      <c r="S1903" s="2">
        <v>106.1215</v>
      </c>
      <c r="T1903" s="2">
        <v>234</v>
      </c>
      <c r="U1903" s="2">
        <v>0.26232</v>
      </c>
      <c r="V1903" s="2">
        <v>258</v>
      </c>
      <c r="W1903" s="2">
        <v>2007</v>
      </c>
    </row>
    <row r="1904" spans="1:23" ht="12.3" hidden="1" x14ac:dyDescent="0.4">
      <c r="A1904" s="2" t="s">
        <v>279</v>
      </c>
      <c r="B1904" s="2"/>
      <c r="C1904" s="2"/>
      <c r="D1904" s="2"/>
      <c r="E1904" s="2"/>
      <c r="F1904" s="2"/>
      <c r="G1904" s="2"/>
      <c r="H1904" s="2"/>
      <c r="I1904" s="2">
        <v>66.993200000000002</v>
      </c>
      <c r="J1904" s="2">
        <v>158</v>
      </c>
      <c r="K1904" s="2">
        <v>66.641800000000003</v>
      </c>
      <c r="L1904" s="2">
        <v>170</v>
      </c>
      <c r="M1904" s="2">
        <v>102.2688</v>
      </c>
      <c r="N1904" s="2">
        <v>166</v>
      </c>
      <c r="O1904" s="2">
        <v>102.0051</v>
      </c>
      <c r="P1904" s="2">
        <v>171</v>
      </c>
      <c r="Q1904" s="2">
        <v>112.52070000000001</v>
      </c>
      <c r="R1904" s="2">
        <v>331</v>
      </c>
      <c r="S1904" s="2">
        <v>111.6713</v>
      </c>
      <c r="T1904" s="2">
        <v>324</v>
      </c>
      <c r="U1904" s="2">
        <v>0.26092300000000002</v>
      </c>
      <c r="V1904" s="2">
        <v>259</v>
      </c>
      <c r="W1904" s="2">
        <v>2007</v>
      </c>
    </row>
    <row r="1905" spans="1:23" ht="12.3" hidden="1" x14ac:dyDescent="0.4">
      <c r="A1905" s="2" t="s">
        <v>347</v>
      </c>
      <c r="B1905" s="2"/>
      <c r="C1905" s="2"/>
      <c r="D1905" s="2"/>
      <c r="E1905" s="2"/>
      <c r="F1905" s="2"/>
      <c r="G1905" s="2"/>
      <c r="H1905" s="2"/>
      <c r="I1905" s="2">
        <v>71.854500000000002</v>
      </c>
      <c r="J1905" s="2">
        <v>29</v>
      </c>
      <c r="K1905" s="2">
        <v>70.0428</v>
      </c>
      <c r="L1905" s="2">
        <v>51</v>
      </c>
      <c r="M1905" s="2">
        <v>98.049199999999999</v>
      </c>
      <c r="N1905" s="2">
        <v>241</v>
      </c>
      <c r="O1905" s="2">
        <v>101.7877</v>
      </c>
      <c r="P1905" s="2">
        <v>174</v>
      </c>
      <c r="Q1905" s="2">
        <v>111.9042</v>
      </c>
      <c r="R1905" s="2">
        <v>327</v>
      </c>
      <c r="S1905" s="2">
        <v>111.4695</v>
      </c>
      <c r="T1905" s="2">
        <v>321</v>
      </c>
      <c r="U1905" s="2">
        <v>0.26020199999999999</v>
      </c>
      <c r="V1905" s="2">
        <v>260</v>
      </c>
      <c r="W1905" s="2">
        <v>2007</v>
      </c>
    </row>
    <row r="1906" spans="1:23" ht="12.3" hidden="1" x14ac:dyDescent="0.4">
      <c r="A1906" s="2" t="s">
        <v>326</v>
      </c>
      <c r="B1906" s="2"/>
      <c r="C1906" s="2"/>
      <c r="D1906" s="2"/>
      <c r="E1906" s="2"/>
      <c r="F1906" s="2"/>
      <c r="G1906" s="2"/>
      <c r="H1906" s="2"/>
      <c r="I1906" s="2">
        <v>63.120199999999997</v>
      </c>
      <c r="J1906" s="2">
        <v>291</v>
      </c>
      <c r="K1906" s="2">
        <v>63.735199999999999</v>
      </c>
      <c r="L1906" s="2">
        <v>284</v>
      </c>
      <c r="M1906" s="2">
        <v>96.623099999999994</v>
      </c>
      <c r="N1906" s="2">
        <v>262</v>
      </c>
      <c r="O1906" s="2">
        <v>95.752799999999993</v>
      </c>
      <c r="P1906" s="2">
        <v>276</v>
      </c>
      <c r="Q1906" s="2">
        <v>102.93210000000001</v>
      </c>
      <c r="R1906" s="2">
        <v>184</v>
      </c>
      <c r="S1906" s="2">
        <v>104.9076</v>
      </c>
      <c r="T1906" s="2">
        <v>211</v>
      </c>
      <c r="U1906" s="2">
        <v>0.25921100000000002</v>
      </c>
      <c r="V1906" s="2">
        <v>261</v>
      </c>
      <c r="W1906" s="2">
        <v>2007</v>
      </c>
    </row>
    <row r="1907" spans="1:23" ht="12.3" hidden="1" x14ac:dyDescent="0.4">
      <c r="A1907" s="2" t="s">
        <v>309</v>
      </c>
      <c r="B1907" s="2"/>
      <c r="C1907" s="2"/>
      <c r="D1907" s="2"/>
      <c r="E1907" s="2"/>
      <c r="F1907" s="2"/>
      <c r="G1907" s="2"/>
      <c r="H1907" s="2"/>
      <c r="I1907" s="2">
        <v>65.552700000000002</v>
      </c>
      <c r="J1907" s="2">
        <v>221</v>
      </c>
      <c r="K1907" s="2">
        <v>67.330600000000004</v>
      </c>
      <c r="L1907" s="2">
        <v>136</v>
      </c>
      <c r="M1907" s="2">
        <v>97.860799999999998</v>
      </c>
      <c r="N1907" s="2">
        <v>245</v>
      </c>
      <c r="O1907" s="2">
        <v>98.604799999999997</v>
      </c>
      <c r="P1907" s="2">
        <v>226</v>
      </c>
      <c r="Q1907" s="2">
        <v>104.7895</v>
      </c>
      <c r="R1907" s="2">
        <v>226</v>
      </c>
      <c r="S1907" s="2">
        <v>108.0373</v>
      </c>
      <c r="T1907" s="2">
        <v>275</v>
      </c>
      <c r="U1907" s="2">
        <v>0.25911099999999998</v>
      </c>
      <c r="V1907" s="2">
        <v>262</v>
      </c>
      <c r="W1907" s="2">
        <v>2007</v>
      </c>
    </row>
    <row r="1908" spans="1:23" ht="12.3" hidden="1" x14ac:dyDescent="0.4">
      <c r="A1908" s="2" t="s">
        <v>139</v>
      </c>
      <c r="B1908" s="2"/>
      <c r="C1908" s="2"/>
      <c r="D1908" s="2"/>
      <c r="E1908" s="2"/>
      <c r="F1908" s="2"/>
      <c r="G1908" s="2"/>
      <c r="H1908" s="2"/>
      <c r="I1908" s="2">
        <v>67.391400000000004</v>
      </c>
      <c r="J1908" s="2">
        <v>141</v>
      </c>
      <c r="K1908" s="2">
        <v>67.335300000000004</v>
      </c>
      <c r="L1908" s="2">
        <v>135</v>
      </c>
      <c r="M1908" s="2">
        <v>97.111800000000002</v>
      </c>
      <c r="N1908" s="2">
        <v>256</v>
      </c>
      <c r="O1908" s="2">
        <v>95.397900000000007</v>
      </c>
      <c r="P1908" s="2">
        <v>281</v>
      </c>
      <c r="Q1908" s="2">
        <v>101.974</v>
      </c>
      <c r="R1908" s="2">
        <v>162</v>
      </c>
      <c r="S1908" s="2">
        <v>104.8856</v>
      </c>
      <c r="T1908" s="2">
        <v>210</v>
      </c>
      <c r="U1908" s="2">
        <v>0.25155100000000002</v>
      </c>
      <c r="V1908" s="2">
        <v>263</v>
      </c>
      <c r="W1908" s="2">
        <v>2007</v>
      </c>
    </row>
    <row r="1909" spans="1:23" ht="12.3" hidden="1" x14ac:dyDescent="0.4">
      <c r="A1909" s="2" t="s">
        <v>251</v>
      </c>
      <c r="B1909" s="2"/>
      <c r="C1909" s="2"/>
      <c r="D1909" s="2"/>
      <c r="E1909" s="2"/>
      <c r="F1909" s="2"/>
      <c r="G1909" s="2"/>
      <c r="H1909" s="2"/>
      <c r="I1909" s="2">
        <v>64.451700000000002</v>
      </c>
      <c r="J1909" s="2">
        <v>257</v>
      </c>
      <c r="K1909" s="2">
        <v>63.619900000000001</v>
      </c>
      <c r="L1909" s="2">
        <v>290</v>
      </c>
      <c r="M1909" s="2">
        <v>99.880600000000001</v>
      </c>
      <c r="N1909" s="2">
        <v>209</v>
      </c>
      <c r="O1909" s="2">
        <v>98.205100000000002</v>
      </c>
      <c r="P1909" s="2">
        <v>234</v>
      </c>
      <c r="Q1909" s="2">
        <v>104.431</v>
      </c>
      <c r="R1909" s="2">
        <v>212</v>
      </c>
      <c r="S1909" s="2">
        <v>107.9889</v>
      </c>
      <c r="T1909" s="2">
        <v>271</v>
      </c>
      <c r="U1909" s="2">
        <v>0.25121199999999999</v>
      </c>
      <c r="V1909" s="2">
        <v>264</v>
      </c>
      <c r="W1909" s="2">
        <v>2007</v>
      </c>
    </row>
    <row r="1910" spans="1:23" ht="12.3" hidden="1" x14ac:dyDescent="0.4">
      <c r="A1910" s="2" t="s">
        <v>107</v>
      </c>
      <c r="B1910" s="2"/>
      <c r="C1910" s="2"/>
      <c r="D1910" s="2"/>
      <c r="E1910" s="2"/>
      <c r="F1910" s="2"/>
      <c r="G1910" s="2"/>
      <c r="H1910" s="2"/>
      <c r="I1910" s="2">
        <v>67.441000000000003</v>
      </c>
      <c r="J1910" s="2">
        <v>137</v>
      </c>
      <c r="K1910" s="2">
        <v>66.561800000000005</v>
      </c>
      <c r="L1910" s="2">
        <v>174</v>
      </c>
      <c r="M1910" s="2">
        <v>90.3108</v>
      </c>
      <c r="N1910" s="2">
        <v>317</v>
      </c>
      <c r="O1910" s="2">
        <v>89.341499999999996</v>
      </c>
      <c r="P1910" s="2">
        <v>323</v>
      </c>
      <c r="Q1910" s="2">
        <v>98.796800000000005</v>
      </c>
      <c r="R1910" s="2">
        <v>88</v>
      </c>
      <c r="S1910" s="2">
        <v>98.248800000000003</v>
      </c>
      <c r="T1910" s="2">
        <v>81</v>
      </c>
      <c r="U1910" s="2">
        <v>0.25106699999999998</v>
      </c>
      <c r="V1910" s="2">
        <v>265</v>
      </c>
      <c r="W1910" s="2">
        <v>2007</v>
      </c>
    </row>
    <row r="1911" spans="1:23" ht="12.3" hidden="1" x14ac:dyDescent="0.4">
      <c r="A1911" s="2" t="s">
        <v>117</v>
      </c>
      <c r="B1911" s="2"/>
      <c r="C1911" s="2"/>
      <c r="D1911" s="2"/>
      <c r="E1911" s="2"/>
      <c r="F1911" s="2"/>
      <c r="G1911" s="2"/>
      <c r="H1911" s="2"/>
      <c r="I1911" s="2">
        <v>67.558400000000006</v>
      </c>
      <c r="J1911" s="2">
        <v>135</v>
      </c>
      <c r="K1911" s="2">
        <v>66.818100000000001</v>
      </c>
      <c r="L1911" s="2">
        <v>163</v>
      </c>
      <c r="M1911" s="2">
        <v>97.977800000000002</v>
      </c>
      <c r="N1911" s="2">
        <v>242</v>
      </c>
      <c r="O1911" s="2">
        <v>96.858999999999995</v>
      </c>
      <c r="P1911" s="2">
        <v>259</v>
      </c>
      <c r="Q1911" s="2">
        <v>106.803</v>
      </c>
      <c r="R1911" s="2">
        <v>272</v>
      </c>
      <c r="S1911" s="2">
        <v>106.56019999999999</v>
      </c>
      <c r="T1911" s="2">
        <v>243</v>
      </c>
      <c r="U1911" s="2">
        <v>0.25016699999999997</v>
      </c>
      <c r="V1911" s="2">
        <v>266</v>
      </c>
      <c r="W1911" s="2">
        <v>2007</v>
      </c>
    </row>
    <row r="1912" spans="1:23" ht="12.3" hidden="1" x14ac:dyDescent="0.4">
      <c r="A1912" s="2" t="s">
        <v>163</v>
      </c>
      <c r="B1912" s="2"/>
      <c r="C1912" s="2"/>
      <c r="D1912" s="2"/>
      <c r="E1912" s="2"/>
      <c r="F1912" s="2"/>
      <c r="G1912" s="2"/>
      <c r="H1912" s="2"/>
      <c r="I1912" s="2">
        <v>67.805700000000002</v>
      </c>
      <c r="J1912" s="2">
        <v>123</v>
      </c>
      <c r="K1912" s="2">
        <v>66.363500000000002</v>
      </c>
      <c r="L1912" s="2">
        <v>181</v>
      </c>
      <c r="M1912" s="2">
        <v>97.021000000000001</v>
      </c>
      <c r="N1912" s="2">
        <v>257</v>
      </c>
      <c r="O1912" s="2">
        <v>96.207899999999995</v>
      </c>
      <c r="P1912" s="2">
        <v>268</v>
      </c>
      <c r="Q1912" s="2">
        <v>106.84439999999999</v>
      </c>
      <c r="R1912" s="2">
        <v>275</v>
      </c>
      <c r="S1912" s="2">
        <v>106.09820000000001</v>
      </c>
      <c r="T1912" s="2">
        <v>233</v>
      </c>
      <c r="U1912" s="2">
        <v>0.245028</v>
      </c>
      <c r="V1912" s="2">
        <v>267</v>
      </c>
      <c r="W1912" s="2">
        <v>2007</v>
      </c>
    </row>
    <row r="1913" spans="1:23" ht="12.3" hidden="1" x14ac:dyDescent="0.4">
      <c r="A1913" s="2" t="s">
        <v>202</v>
      </c>
      <c r="B1913" s="2"/>
      <c r="C1913" s="2"/>
      <c r="D1913" s="2"/>
      <c r="E1913" s="2"/>
      <c r="F1913" s="2"/>
      <c r="G1913" s="2"/>
      <c r="H1913" s="2"/>
      <c r="I1913" s="2">
        <v>64.9435</v>
      </c>
      <c r="J1913" s="2">
        <v>246</v>
      </c>
      <c r="K1913" s="2">
        <v>65.110399999999998</v>
      </c>
      <c r="L1913" s="2">
        <v>228</v>
      </c>
      <c r="M1913" s="2">
        <v>101.0407</v>
      </c>
      <c r="N1913" s="2">
        <v>191</v>
      </c>
      <c r="O1913" s="2">
        <v>100.6604</v>
      </c>
      <c r="P1913" s="2">
        <v>193</v>
      </c>
      <c r="Q1913" s="2">
        <v>106.77200000000001</v>
      </c>
      <c r="R1913" s="2">
        <v>270</v>
      </c>
      <c r="S1913" s="2">
        <v>111.17529999999999</v>
      </c>
      <c r="T1913" s="2">
        <v>317</v>
      </c>
      <c r="U1913" s="2">
        <v>0.241845</v>
      </c>
      <c r="V1913" s="2">
        <v>268</v>
      </c>
      <c r="W1913" s="2">
        <v>2007</v>
      </c>
    </row>
    <row r="1914" spans="1:23" ht="12.3" hidden="1" x14ac:dyDescent="0.4">
      <c r="A1914" s="2" t="s">
        <v>252</v>
      </c>
      <c r="B1914" s="2"/>
      <c r="C1914" s="2"/>
      <c r="D1914" s="2"/>
      <c r="E1914" s="2"/>
      <c r="F1914" s="2"/>
      <c r="G1914" s="2"/>
      <c r="H1914" s="2"/>
      <c r="I1914" s="2">
        <v>61.506</v>
      </c>
      <c r="J1914" s="2">
        <v>317</v>
      </c>
      <c r="K1914" s="2">
        <v>62.284700000000001</v>
      </c>
      <c r="L1914" s="2">
        <v>308</v>
      </c>
      <c r="M1914" s="2">
        <v>98.564599999999999</v>
      </c>
      <c r="N1914" s="2">
        <v>231</v>
      </c>
      <c r="O1914" s="2">
        <v>98.205799999999996</v>
      </c>
      <c r="P1914" s="2">
        <v>233</v>
      </c>
      <c r="Q1914" s="2">
        <v>105.8968</v>
      </c>
      <c r="R1914" s="2">
        <v>252</v>
      </c>
      <c r="S1914" s="2">
        <v>108.5078</v>
      </c>
      <c r="T1914" s="2">
        <v>285</v>
      </c>
      <c r="U1914" s="2">
        <v>0.24099899999999999</v>
      </c>
      <c r="V1914" s="2">
        <v>269</v>
      </c>
      <c r="W1914" s="2">
        <v>2007</v>
      </c>
    </row>
    <row r="1915" spans="1:23" ht="12.3" hidden="1" x14ac:dyDescent="0.4">
      <c r="A1915" s="2" t="s">
        <v>314</v>
      </c>
      <c r="B1915" s="2"/>
      <c r="C1915" s="2"/>
      <c r="D1915" s="2"/>
      <c r="E1915" s="2"/>
      <c r="F1915" s="2"/>
      <c r="G1915" s="2"/>
      <c r="H1915" s="2"/>
      <c r="I1915" s="2">
        <v>63.477600000000002</v>
      </c>
      <c r="J1915" s="2">
        <v>284</v>
      </c>
      <c r="K1915" s="2">
        <v>64.579300000000003</v>
      </c>
      <c r="L1915" s="2">
        <v>252</v>
      </c>
      <c r="M1915" s="2">
        <v>91.485900000000001</v>
      </c>
      <c r="N1915" s="2">
        <v>311</v>
      </c>
      <c r="O1915" s="2">
        <v>90.254999999999995</v>
      </c>
      <c r="P1915" s="2">
        <v>319</v>
      </c>
      <c r="Q1915" s="2">
        <v>97.372299999999996</v>
      </c>
      <c r="R1915" s="2">
        <v>67</v>
      </c>
      <c r="S1915" s="2">
        <v>99.729299999999995</v>
      </c>
      <c r="T1915" s="2">
        <v>106</v>
      </c>
      <c r="U1915" s="2">
        <v>0.240867</v>
      </c>
      <c r="V1915" s="2">
        <v>270</v>
      </c>
      <c r="W1915" s="2">
        <v>2007</v>
      </c>
    </row>
    <row r="1916" spans="1:23" ht="12.3" hidden="1" x14ac:dyDescent="0.4">
      <c r="A1916" s="2" t="s">
        <v>319</v>
      </c>
      <c r="B1916" s="2"/>
      <c r="C1916" s="2"/>
      <c r="D1916" s="2"/>
      <c r="E1916" s="2"/>
      <c r="F1916" s="2"/>
      <c r="G1916" s="2"/>
      <c r="H1916" s="2"/>
      <c r="I1916" s="2">
        <v>75.126099999999994</v>
      </c>
      <c r="J1916" s="2">
        <v>5</v>
      </c>
      <c r="K1916" s="2">
        <v>73.484700000000004</v>
      </c>
      <c r="L1916" s="2">
        <v>7</v>
      </c>
      <c r="M1916" s="2">
        <v>100.6036</v>
      </c>
      <c r="N1916" s="2">
        <v>199</v>
      </c>
      <c r="O1916" s="2">
        <v>97.273700000000005</v>
      </c>
      <c r="P1916" s="2">
        <v>250</v>
      </c>
      <c r="Q1916" s="2">
        <v>104.54640000000001</v>
      </c>
      <c r="R1916" s="2">
        <v>216</v>
      </c>
      <c r="S1916" s="2">
        <v>107.5044</v>
      </c>
      <c r="T1916" s="2">
        <v>261</v>
      </c>
      <c r="U1916" s="2">
        <v>0.240483</v>
      </c>
      <c r="V1916" s="2">
        <v>271</v>
      </c>
      <c r="W1916" s="2">
        <v>2007</v>
      </c>
    </row>
    <row r="1917" spans="1:23" ht="12.3" hidden="1" x14ac:dyDescent="0.4">
      <c r="A1917" s="2" t="s">
        <v>364</v>
      </c>
      <c r="B1917" s="2"/>
      <c r="C1917" s="2"/>
      <c r="D1917" s="2"/>
      <c r="E1917" s="2"/>
      <c r="F1917" s="2"/>
      <c r="G1917" s="2"/>
      <c r="H1917" s="2"/>
      <c r="I1917" s="2">
        <v>65.802000000000007</v>
      </c>
      <c r="J1917" s="2">
        <v>212</v>
      </c>
      <c r="K1917" s="2">
        <v>65.034700000000001</v>
      </c>
      <c r="L1917" s="2">
        <v>231</v>
      </c>
      <c r="M1917" s="2">
        <v>94.728999999999999</v>
      </c>
      <c r="N1917" s="2">
        <v>288</v>
      </c>
      <c r="O1917" s="2">
        <v>93.835700000000003</v>
      </c>
      <c r="P1917" s="2">
        <v>291</v>
      </c>
      <c r="Q1917" s="2">
        <v>102.9551</v>
      </c>
      <c r="R1917" s="2">
        <v>186</v>
      </c>
      <c r="S1917" s="2">
        <v>104.04510000000001</v>
      </c>
      <c r="T1917" s="2">
        <v>193</v>
      </c>
      <c r="U1917" s="2">
        <v>0.23366899999999999</v>
      </c>
      <c r="V1917" s="2">
        <v>272</v>
      </c>
      <c r="W1917" s="2">
        <v>2007</v>
      </c>
    </row>
    <row r="1918" spans="1:23" ht="12.3" hidden="1" x14ac:dyDescent="0.4">
      <c r="A1918" s="2" t="s">
        <v>306</v>
      </c>
      <c r="B1918" s="2"/>
      <c r="C1918" s="2"/>
      <c r="D1918" s="2"/>
      <c r="E1918" s="2"/>
      <c r="F1918" s="2"/>
      <c r="G1918" s="2"/>
      <c r="H1918" s="2"/>
      <c r="I1918" s="2">
        <v>65.159400000000005</v>
      </c>
      <c r="J1918" s="2">
        <v>231</v>
      </c>
      <c r="K1918" s="2">
        <v>63.9071</v>
      </c>
      <c r="L1918" s="2">
        <v>279</v>
      </c>
      <c r="M1918" s="2">
        <v>94.136899999999997</v>
      </c>
      <c r="N1918" s="2">
        <v>292</v>
      </c>
      <c r="O1918" s="2">
        <v>97.287099999999995</v>
      </c>
      <c r="P1918" s="2">
        <v>249</v>
      </c>
      <c r="Q1918" s="2">
        <v>108.4718</v>
      </c>
      <c r="R1918" s="2">
        <v>291</v>
      </c>
      <c r="S1918" s="2">
        <v>108.0878</v>
      </c>
      <c r="T1918" s="2">
        <v>276</v>
      </c>
      <c r="U1918" s="2">
        <v>0.22958000000000001</v>
      </c>
      <c r="V1918" s="2">
        <v>273</v>
      </c>
      <c r="W1918" s="2">
        <v>2007</v>
      </c>
    </row>
    <row r="1919" spans="1:23" ht="12.3" hidden="1" x14ac:dyDescent="0.4">
      <c r="A1919" s="2" t="s">
        <v>176</v>
      </c>
      <c r="B1919" s="2"/>
      <c r="C1919" s="2"/>
      <c r="D1919" s="2"/>
      <c r="E1919" s="2"/>
      <c r="F1919" s="2"/>
      <c r="G1919" s="2"/>
      <c r="H1919" s="2"/>
      <c r="I1919" s="2">
        <v>53.351100000000002</v>
      </c>
      <c r="J1919" s="2">
        <v>336</v>
      </c>
      <c r="K1919" s="2">
        <v>52.9163</v>
      </c>
      <c r="L1919" s="2">
        <v>336</v>
      </c>
      <c r="M1919" s="2">
        <v>93.470200000000006</v>
      </c>
      <c r="N1919" s="2">
        <v>298</v>
      </c>
      <c r="O1919" s="2">
        <v>90.500200000000007</v>
      </c>
      <c r="P1919" s="2">
        <v>318</v>
      </c>
      <c r="Q1919" s="2">
        <v>99.482399999999998</v>
      </c>
      <c r="R1919" s="2">
        <v>103</v>
      </c>
      <c r="S1919" s="2">
        <v>100.5561</v>
      </c>
      <c r="T1919" s="2">
        <v>121</v>
      </c>
      <c r="U1919" s="2">
        <v>0.229405</v>
      </c>
      <c r="V1919" s="2">
        <v>274</v>
      </c>
      <c r="W1919" s="2">
        <v>2007</v>
      </c>
    </row>
    <row r="1920" spans="1:23" ht="12.3" hidden="1" x14ac:dyDescent="0.4">
      <c r="A1920" s="2" t="s">
        <v>290</v>
      </c>
      <c r="B1920" s="2"/>
      <c r="C1920" s="2"/>
      <c r="D1920" s="2"/>
      <c r="E1920" s="2"/>
      <c r="F1920" s="2"/>
      <c r="G1920" s="2"/>
      <c r="H1920" s="2"/>
      <c r="I1920" s="2">
        <v>66.364500000000007</v>
      </c>
      <c r="J1920" s="2">
        <v>190</v>
      </c>
      <c r="K1920" s="2">
        <v>65.0822</v>
      </c>
      <c r="L1920" s="2">
        <v>229</v>
      </c>
      <c r="M1920" s="2">
        <v>91.546199999999999</v>
      </c>
      <c r="N1920" s="2">
        <v>310</v>
      </c>
      <c r="O1920" s="2">
        <v>93.174499999999995</v>
      </c>
      <c r="P1920" s="2">
        <v>297</v>
      </c>
      <c r="Q1920" s="2">
        <v>105.33199999999999</v>
      </c>
      <c r="R1920" s="2">
        <v>241</v>
      </c>
      <c r="S1920" s="2">
        <v>103.6405</v>
      </c>
      <c r="T1920" s="2">
        <v>182</v>
      </c>
      <c r="U1920" s="2">
        <v>0.22719400000000001</v>
      </c>
      <c r="V1920" s="2">
        <v>275</v>
      </c>
      <c r="W1920" s="2">
        <v>2007</v>
      </c>
    </row>
    <row r="1921" spans="1:23" ht="12.3" hidden="1" x14ac:dyDescent="0.4">
      <c r="A1921" s="2" t="s">
        <v>100</v>
      </c>
      <c r="B1921" s="2"/>
      <c r="C1921" s="2"/>
      <c r="D1921" s="2"/>
      <c r="E1921" s="2"/>
      <c r="F1921" s="2"/>
      <c r="G1921" s="2"/>
      <c r="H1921" s="2"/>
      <c r="I1921" s="2">
        <v>61.605800000000002</v>
      </c>
      <c r="J1921" s="2">
        <v>316</v>
      </c>
      <c r="K1921" s="2">
        <v>60.529899999999998</v>
      </c>
      <c r="L1921" s="2">
        <v>326</v>
      </c>
      <c r="M1921" s="2">
        <v>97.503200000000007</v>
      </c>
      <c r="N1921" s="2">
        <v>248</v>
      </c>
      <c r="O1921" s="2">
        <v>98.014700000000005</v>
      </c>
      <c r="P1921" s="2">
        <v>238</v>
      </c>
      <c r="Q1921" s="2">
        <v>109.89700000000001</v>
      </c>
      <c r="R1921" s="2">
        <v>313</v>
      </c>
      <c r="S1921" s="2">
        <v>109.0943</v>
      </c>
      <c r="T1921" s="2">
        <v>294</v>
      </c>
      <c r="U1921" s="2">
        <v>0.22590399999999999</v>
      </c>
      <c r="V1921" s="2">
        <v>276</v>
      </c>
      <c r="W1921" s="2">
        <v>2007</v>
      </c>
    </row>
    <row r="1922" spans="1:23" ht="12.3" hidden="1" x14ac:dyDescent="0.4">
      <c r="A1922" s="2" t="s">
        <v>277</v>
      </c>
      <c r="B1922" s="2"/>
      <c r="C1922" s="2"/>
      <c r="D1922" s="2"/>
      <c r="E1922" s="2"/>
      <c r="F1922" s="2"/>
      <c r="G1922" s="2"/>
      <c r="H1922" s="2"/>
      <c r="I1922" s="2">
        <v>66.531800000000004</v>
      </c>
      <c r="J1922" s="2">
        <v>182</v>
      </c>
      <c r="K1922" s="2">
        <v>66.318399999999997</v>
      </c>
      <c r="L1922" s="2">
        <v>185</v>
      </c>
      <c r="M1922" s="2">
        <v>92.851799999999997</v>
      </c>
      <c r="N1922" s="2">
        <v>303</v>
      </c>
      <c r="O1922" s="2">
        <v>92.695499999999996</v>
      </c>
      <c r="P1922" s="2">
        <v>304</v>
      </c>
      <c r="Q1922" s="2">
        <v>101.33329999999999</v>
      </c>
      <c r="R1922" s="2">
        <v>146</v>
      </c>
      <c r="S1922" s="2">
        <v>103.2213</v>
      </c>
      <c r="T1922" s="2">
        <v>173</v>
      </c>
      <c r="U1922" s="2">
        <v>0.22497900000000001</v>
      </c>
      <c r="V1922" s="2">
        <v>277</v>
      </c>
      <c r="W1922" s="2">
        <v>2007</v>
      </c>
    </row>
    <row r="1923" spans="1:23" ht="12.3" hidden="1" x14ac:dyDescent="0.4">
      <c r="A1923" s="2" t="s">
        <v>260</v>
      </c>
      <c r="B1923" s="2"/>
      <c r="C1923" s="2"/>
      <c r="D1923" s="2"/>
      <c r="E1923" s="2"/>
      <c r="F1923" s="2"/>
      <c r="G1923" s="2"/>
      <c r="H1923" s="2"/>
      <c r="I1923" s="2">
        <v>67.972200000000001</v>
      </c>
      <c r="J1923" s="2">
        <v>116</v>
      </c>
      <c r="K1923" s="2">
        <v>67.937899999999999</v>
      </c>
      <c r="L1923" s="2">
        <v>115</v>
      </c>
      <c r="M1923" s="2">
        <v>95.150599999999997</v>
      </c>
      <c r="N1923" s="2">
        <v>284</v>
      </c>
      <c r="O1923" s="2">
        <v>94.457400000000007</v>
      </c>
      <c r="P1923" s="2">
        <v>284</v>
      </c>
      <c r="Q1923" s="2">
        <v>105.27970000000001</v>
      </c>
      <c r="R1923" s="2">
        <v>237</v>
      </c>
      <c r="S1923" s="2">
        <v>105.25579999999999</v>
      </c>
      <c r="T1923" s="2">
        <v>217</v>
      </c>
      <c r="U1923" s="2">
        <v>0.22359899999999999</v>
      </c>
      <c r="V1923" s="2">
        <v>278</v>
      </c>
      <c r="W1923" s="2">
        <v>2007</v>
      </c>
    </row>
    <row r="1924" spans="1:23" ht="12.3" hidden="1" x14ac:dyDescent="0.4">
      <c r="A1924" s="2" t="s">
        <v>300</v>
      </c>
      <c r="B1924" s="2"/>
      <c r="C1924" s="2"/>
      <c r="D1924" s="2"/>
      <c r="E1924" s="2"/>
      <c r="F1924" s="2"/>
      <c r="G1924" s="2"/>
      <c r="H1924" s="2"/>
      <c r="I1924" s="2">
        <v>63.9026</v>
      </c>
      <c r="J1924" s="2">
        <v>269</v>
      </c>
      <c r="K1924" s="2">
        <v>66.224500000000006</v>
      </c>
      <c r="L1924" s="2">
        <v>188</v>
      </c>
      <c r="M1924" s="2">
        <v>93.4816</v>
      </c>
      <c r="N1924" s="2">
        <v>297</v>
      </c>
      <c r="O1924" s="2">
        <v>93.195999999999998</v>
      </c>
      <c r="P1924" s="2">
        <v>296</v>
      </c>
      <c r="Q1924" s="2">
        <v>99.440799999999996</v>
      </c>
      <c r="R1924" s="2">
        <v>102</v>
      </c>
      <c r="S1924" s="2">
        <v>103.85509999999999</v>
      </c>
      <c r="T1924" s="2">
        <v>187</v>
      </c>
      <c r="U1924" s="2">
        <v>0.22350500000000001</v>
      </c>
      <c r="V1924" s="2">
        <v>279</v>
      </c>
      <c r="W1924" s="2">
        <v>2007</v>
      </c>
    </row>
    <row r="1925" spans="1:23" ht="12.3" hidden="1" x14ac:dyDescent="0.4">
      <c r="A1925" s="2" t="s">
        <v>336</v>
      </c>
      <c r="B1925" s="2"/>
      <c r="C1925" s="2"/>
      <c r="D1925" s="2"/>
      <c r="E1925" s="2"/>
      <c r="F1925" s="2"/>
      <c r="G1925" s="2"/>
      <c r="H1925" s="2"/>
      <c r="I1925" s="2">
        <v>64.066400000000002</v>
      </c>
      <c r="J1925" s="2">
        <v>263</v>
      </c>
      <c r="K1925" s="2">
        <v>65.271100000000004</v>
      </c>
      <c r="L1925" s="2">
        <v>223</v>
      </c>
      <c r="M1925" s="2">
        <v>93.078199999999995</v>
      </c>
      <c r="N1925" s="2">
        <v>301</v>
      </c>
      <c r="O1925" s="2">
        <v>91.060500000000005</v>
      </c>
      <c r="P1925" s="2">
        <v>314</v>
      </c>
      <c r="Q1925" s="2">
        <v>99.958799999999997</v>
      </c>
      <c r="R1925" s="2">
        <v>115</v>
      </c>
      <c r="S1925" s="2">
        <v>101.5949</v>
      </c>
      <c r="T1925" s="2">
        <v>150</v>
      </c>
      <c r="U1925" s="2">
        <v>0.221164</v>
      </c>
      <c r="V1925" s="2">
        <v>280</v>
      </c>
      <c r="W1925" s="2">
        <v>2007</v>
      </c>
    </row>
    <row r="1926" spans="1:23" ht="12.3" hidden="1" x14ac:dyDescent="0.4">
      <c r="A1926" s="2" t="s">
        <v>211</v>
      </c>
      <c r="B1926" s="2"/>
      <c r="C1926" s="2"/>
      <c r="D1926" s="2"/>
      <c r="E1926" s="2"/>
      <c r="F1926" s="2"/>
      <c r="G1926" s="2"/>
      <c r="H1926" s="2"/>
      <c r="I1926" s="2">
        <v>66.825400000000002</v>
      </c>
      <c r="J1926" s="2">
        <v>164</v>
      </c>
      <c r="K1926" s="2">
        <v>64.821799999999996</v>
      </c>
      <c r="L1926" s="2">
        <v>243</v>
      </c>
      <c r="M1926" s="2">
        <v>94.805300000000003</v>
      </c>
      <c r="N1926" s="2">
        <v>286</v>
      </c>
      <c r="O1926" s="2">
        <v>95.489800000000002</v>
      </c>
      <c r="P1926" s="2">
        <v>279</v>
      </c>
      <c r="Q1926" s="2">
        <v>107.73909999999999</v>
      </c>
      <c r="R1926" s="2">
        <v>285</v>
      </c>
      <c r="S1926" s="2">
        <v>106.6596</v>
      </c>
      <c r="T1926" s="2">
        <v>248</v>
      </c>
      <c r="U1926" s="2">
        <v>0.218887</v>
      </c>
      <c r="V1926" s="2">
        <v>281</v>
      </c>
      <c r="W1926" s="2">
        <v>2007</v>
      </c>
    </row>
    <row r="1927" spans="1:23" ht="12.3" hidden="1" x14ac:dyDescent="0.4">
      <c r="A1927" s="2" t="s">
        <v>296</v>
      </c>
      <c r="B1927" s="2"/>
      <c r="C1927" s="2"/>
      <c r="D1927" s="2"/>
      <c r="E1927" s="2"/>
      <c r="F1927" s="2"/>
      <c r="G1927" s="2"/>
      <c r="H1927" s="2"/>
      <c r="I1927" s="2">
        <v>71.637600000000006</v>
      </c>
      <c r="J1927" s="2">
        <v>33</v>
      </c>
      <c r="K1927" s="2">
        <v>71.771699999999996</v>
      </c>
      <c r="L1927" s="2">
        <v>27</v>
      </c>
      <c r="M1927" s="2">
        <v>98.609800000000007</v>
      </c>
      <c r="N1927" s="2">
        <v>230</v>
      </c>
      <c r="O1927" s="2">
        <v>95.337000000000003</v>
      </c>
      <c r="P1927" s="2">
        <v>282</v>
      </c>
      <c r="Q1927" s="2">
        <v>100.5385</v>
      </c>
      <c r="R1927" s="2">
        <v>129</v>
      </c>
      <c r="S1927" s="2">
        <v>106.5823</v>
      </c>
      <c r="T1927" s="2">
        <v>245</v>
      </c>
      <c r="U1927" s="2">
        <v>0.21717</v>
      </c>
      <c r="V1927" s="2">
        <v>282</v>
      </c>
      <c r="W1927" s="2">
        <v>2007</v>
      </c>
    </row>
    <row r="1928" spans="1:23" ht="12.3" hidden="1" x14ac:dyDescent="0.4">
      <c r="A1928" s="2" t="s">
        <v>215</v>
      </c>
      <c r="B1928" s="2"/>
      <c r="C1928" s="2"/>
      <c r="D1928" s="2"/>
      <c r="E1928" s="2"/>
      <c r="F1928" s="2"/>
      <c r="G1928" s="2"/>
      <c r="H1928" s="2"/>
      <c r="I1928" s="2">
        <v>69.199799999999996</v>
      </c>
      <c r="J1928" s="2">
        <v>88</v>
      </c>
      <c r="K1928" s="2">
        <v>69.201899999999995</v>
      </c>
      <c r="L1928" s="2">
        <v>75</v>
      </c>
      <c r="M1928" s="2">
        <v>99.759299999999996</v>
      </c>
      <c r="N1928" s="2">
        <v>211</v>
      </c>
      <c r="O1928" s="2">
        <v>96.989400000000003</v>
      </c>
      <c r="P1928" s="2">
        <v>256</v>
      </c>
      <c r="Q1928" s="2">
        <v>106.9278</v>
      </c>
      <c r="R1928" s="2">
        <v>277</v>
      </c>
      <c r="S1928" s="2">
        <v>108.5882</v>
      </c>
      <c r="T1928" s="2">
        <v>289</v>
      </c>
      <c r="U1928" s="2">
        <v>0.21432399999999999</v>
      </c>
      <c r="V1928" s="2">
        <v>283</v>
      </c>
      <c r="W1928" s="2">
        <v>2007</v>
      </c>
    </row>
    <row r="1929" spans="1:23" ht="12.3" hidden="1" x14ac:dyDescent="0.4">
      <c r="A1929" s="2" t="s">
        <v>268</v>
      </c>
      <c r="B1929" s="2"/>
      <c r="C1929" s="2"/>
      <c r="D1929" s="2"/>
      <c r="E1929" s="2"/>
      <c r="F1929" s="2"/>
      <c r="G1929" s="2"/>
      <c r="H1929" s="2"/>
      <c r="I1929" s="2">
        <v>65.044700000000006</v>
      </c>
      <c r="J1929" s="2">
        <v>238</v>
      </c>
      <c r="K1929" s="2">
        <v>65.221699999999998</v>
      </c>
      <c r="L1929" s="2">
        <v>225</v>
      </c>
      <c r="M1929" s="2">
        <v>97.493899999999996</v>
      </c>
      <c r="N1929" s="2">
        <v>249</v>
      </c>
      <c r="O1929" s="2">
        <v>96.508700000000005</v>
      </c>
      <c r="P1929" s="2">
        <v>261</v>
      </c>
      <c r="Q1929" s="2">
        <v>106.0694</v>
      </c>
      <c r="R1929" s="2">
        <v>259</v>
      </c>
      <c r="S1929" s="2">
        <v>108.19</v>
      </c>
      <c r="T1929" s="2">
        <v>279</v>
      </c>
      <c r="U1929" s="2">
        <v>0.21182799999999999</v>
      </c>
      <c r="V1929" s="2">
        <v>284</v>
      </c>
      <c r="W1929" s="2">
        <v>2007</v>
      </c>
    </row>
    <row r="1930" spans="1:23" ht="12.3" hidden="1" x14ac:dyDescent="0.4">
      <c r="A1930" s="2" t="s">
        <v>288</v>
      </c>
      <c r="B1930" s="2"/>
      <c r="C1930" s="2"/>
      <c r="D1930" s="2"/>
      <c r="E1930" s="2"/>
      <c r="F1930" s="2"/>
      <c r="G1930" s="2"/>
      <c r="H1930" s="2"/>
      <c r="I1930" s="2">
        <v>66.089699999999993</v>
      </c>
      <c r="J1930" s="2">
        <v>203</v>
      </c>
      <c r="K1930" s="2">
        <v>65.343000000000004</v>
      </c>
      <c r="L1930" s="2">
        <v>221</v>
      </c>
      <c r="M1930" s="2">
        <v>98.495699999999999</v>
      </c>
      <c r="N1930" s="2">
        <v>232</v>
      </c>
      <c r="O1930" s="2">
        <v>94.362300000000005</v>
      </c>
      <c r="P1930" s="2">
        <v>287</v>
      </c>
      <c r="Q1930" s="2">
        <v>101.5098</v>
      </c>
      <c r="R1930" s="2">
        <v>151</v>
      </c>
      <c r="S1930" s="2">
        <v>105.9628</v>
      </c>
      <c r="T1930" s="2">
        <v>231</v>
      </c>
      <c r="U1930" s="2">
        <v>0.20860000000000001</v>
      </c>
      <c r="V1930" s="2">
        <v>285</v>
      </c>
      <c r="W1930" s="2">
        <v>2007</v>
      </c>
    </row>
    <row r="1931" spans="1:23" ht="12.3" hidden="1" x14ac:dyDescent="0.4">
      <c r="A1931" s="2" t="s">
        <v>200</v>
      </c>
      <c r="B1931" s="2"/>
      <c r="C1931" s="2"/>
      <c r="D1931" s="2"/>
      <c r="E1931" s="2"/>
      <c r="F1931" s="2"/>
      <c r="G1931" s="2"/>
      <c r="H1931" s="2"/>
      <c r="I1931" s="2">
        <v>63.337200000000003</v>
      </c>
      <c r="J1931" s="2">
        <v>286</v>
      </c>
      <c r="K1931" s="2">
        <v>63.789000000000001</v>
      </c>
      <c r="L1931" s="2">
        <v>283</v>
      </c>
      <c r="M1931" s="2">
        <v>100.42959999999999</v>
      </c>
      <c r="N1931" s="2">
        <v>203</v>
      </c>
      <c r="O1931" s="2">
        <v>100.8133</v>
      </c>
      <c r="P1931" s="2">
        <v>191</v>
      </c>
      <c r="Q1931" s="2">
        <v>114.304</v>
      </c>
      <c r="R1931" s="2">
        <v>335</v>
      </c>
      <c r="S1931" s="2">
        <v>113.23820000000001</v>
      </c>
      <c r="T1931" s="2">
        <v>331</v>
      </c>
      <c r="U1931" s="2">
        <v>0.20807500000000001</v>
      </c>
      <c r="V1931" s="2">
        <v>286</v>
      </c>
      <c r="W1931" s="2">
        <v>2007</v>
      </c>
    </row>
    <row r="1932" spans="1:23" ht="12.3" hidden="1" x14ac:dyDescent="0.4">
      <c r="A1932" s="2" t="s">
        <v>345</v>
      </c>
      <c r="B1932" s="2"/>
      <c r="C1932" s="2"/>
      <c r="D1932" s="2"/>
      <c r="E1932" s="2"/>
      <c r="F1932" s="2"/>
      <c r="G1932" s="2"/>
      <c r="H1932" s="2"/>
      <c r="I1932" s="2">
        <v>67.150999999999996</v>
      </c>
      <c r="J1932" s="2">
        <v>156</v>
      </c>
      <c r="K1932" s="2">
        <v>67.183400000000006</v>
      </c>
      <c r="L1932" s="2">
        <v>145</v>
      </c>
      <c r="M1932" s="2">
        <v>100.2317</v>
      </c>
      <c r="N1932" s="2">
        <v>205</v>
      </c>
      <c r="O1932" s="2">
        <v>94.929500000000004</v>
      </c>
      <c r="P1932" s="2">
        <v>283</v>
      </c>
      <c r="Q1932" s="2">
        <v>102.5663</v>
      </c>
      <c r="R1932" s="2">
        <v>171</v>
      </c>
      <c r="S1932" s="2">
        <v>106.6468</v>
      </c>
      <c r="T1932" s="2">
        <v>247</v>
      </c>
      <c r="U1932" s="2">
        <v>0.207763</v>
      </c>
      <c r="V1932" s="2">
        <v>287</v>
      </c>
      <c r="W1932" s="2">
        <v>2007</v>
      </c>
    </row>
    <row r="1933" spans="1:23" ht="12.3" hidden="1" x14ac:dyDescent="0.4">
      <c r="A1933" s="2" t="s">
        <v>327</v>
      </c>
      <c r="B1933" s="2"/>
      <c r="C1933" s="2"/>
      <c r="D1933" s="2"/>
      <c r="E1933" s="2"/>
      <c r="F1933" s="2"/>
      <c r="G1933" s="2"/>
      <c r="H1933" s="2"/>
      <c r="I1933" s="2">
        <v>63.488500000000002</v>
      </c>
      <c r="J1933" s="2">
        <v>283</v>
      </c>
      <c r="K1933" s="2">
        <v>64.5381</v>
      </c>
      <c r="L1933" s="2">
        <v>254</v>
      </c>
      <c r="M1933" s="2">
        <v>92.452100000000002</v>
      </c>
      <c r="N1933" s="2">
        <v>307</v>
      </c>
      <c r="O1933" s="2">
        <v>93.878600000000006</v>
      </c>
      <c r="P1933" s="2">
        <v>290</v>
      </c>
      <c r="Q1933" s="2">
        <v>104.9388</v>
      </c>
      <c r="R1933" s="2">
        <v>228</v>
      </c>
      <c r="S1933" s="2">
        <v>105.6686</v>
      </c>
      <c r="T1933" s="2">
        <v>224</v>
      </c>
      <c r="U1933" s="2">
        <v>0.20415700000000001</v>
      </c>
      <c r="V1933" s="2">
        <v>288</v>
      </c>
      <c r="W1933" s="2">
        <v>2007</v>
      </c>
    </row>
    <row r="1934" spans="1:23" ht="12.3" hidden="1" x14ac:dyDescent="0.4">
      <c r="A1934" s="2" t="s">
        <v>201</v>
      </c>
      <c r="B1934" s="2"/>
      <c r="C1934" s="2"/>
      <c r="D1934" s="2"/>
      <c r="E1934" s="2"/>
      <c r="F1934" s="2"/>
      <c r="G1934" s="2"/>
      <c r="H1934" s="2"/>
      <c r="I1934" s="2">
        <v>63.179499999999997</v>
      </c>
      <c r="J1934" s="2">
        <v>290</v>
      </c>
      <c r="K1934" s="2">
        <v>64.396100000000004</v>
      </c>
      <c r="L1934" s="2">
        <v>260</v>
      </c>
      <c r="M1934" s="2">
        <v>99.720299999999995</v>
      </c>
      <c r="N1934" s="2">
        <v>212</v>
      </c>
      <c r="O1934" s="2">
        <v>96.119200000000006</v>
      </c>
      <c r="P1934" s="2">
        <v>271</v>
      </c>
      <c r="Q1934" s="2">
        <v>104.0087</v>
      </c>
      <c r="R1934" s="2">
        <v>201</v>
      </c>
      <c r="S1934" s="2">
        <v>108.5064</v>
      </c>
      <c r="T1934" s="2">
        <v>284</v>
      </c>
      <c r="U1934" s="2">
        <v>0.198765</v>
      </c>
      <c r="V1934" s="2">
        <v>289</v>
      </c>
      <c r="W1934" s="2">
        <v>2007</v>
      </c>
    </row>
    <row r="1935" spans="1:23" ht="12.3" hidden="1" x14ac:dyDescent="0.4">
      <c r="A1935" s="2" t="s">
        <v>247</v>
      </c>
      <c r="B1935" s="2"/>
      <c r="C1935" s="2"/>
      <c r="D1935" s="2"/>
      <c r="E1935" s="2"/>
      <c r="F1935" s="2"/>
      <c r="G1935" s="2"/>
      <c r="H1935" s="2"/>
      <c r="I1935" s="2">
        <v>61.421799999999998</v>
      </c>
      <c r="J1935" s="2">
        <v>318</v>
      </c>
      <c r="K1935" s="2">
        <v>62.077100000000002</v>
      </c>
      <c r="L1935" s="2">
        <v>311</v>
      </c>
      <c r="M1935" s="2">
        <v>89.227199999999996</v>
      </c>
      <c r="N1935" s="2">
        <v>320</v>
      </c>
      <c r="O1935" s="2">
        <v>90.138800000000003</v>
      </c>
      <c r="P1935" s="2">
        <v>320</v>
      </c>
      <c r="Q1935" s="2">
        <v>99.263300000000001</v>
      </c>
      <c r="R1935" s="2">
        <v>98</v>
      </c>
      <c r="S1935" s="2">
        <v>101.7985</v>
      </c>
      <c r="T1935" s="2">
        <v>155</v>
      </c>
      <c r="U1935" s="2">
        <v>0.197988</v>
      </c>
      <c r="V1935" s="2">
        <v>290</v>
      </c>
      <c r="W1935" s="2">
        <v>2007</v>
      </c>
    </row>
    <row r="1936" spans="1:23" ht="12.3" hidden="1" x14ac:dyDescent="0.4">
      <c r="A1936" s="2" t="s">
        <v>302</v>
      </c>
      <c r="B1936" s="2"/>
      <c r="C1936" s="2"/>
      <c r="D1936" s="2"/>
      <c r="E1936" s="2"/>
      <c r="F1936" s="2"/>
      <c r="G1936" s="2"/>
      <c r="H1936" s="2"/>
      <c r="I1936" s="2">
        <v>76.436899999999994</v>
      </c>
      <c r="J1936" s="2">
        <v>3</v>
      </c>
      <c r="K1936" s="2">
        <v>75.352199999999996</v>
      </c>
      <c r="L1936" s="2">
        <v>4</v>
      </c>
      <c r="M1936" s="2">
        <v>95.701099999999997</v>
      </c>
      <c r="N1936" s="2">
        <v>275</v>
      </c>
      <c r="O1936" s="2">
        <v>94.298199999999994</v>
      </c>
      <c r="P1936" s="2">
        <v>288</v>
      </c>
      <c r="Q1936" s="2">
        <v>109.0363</v>
      </c>
      <c r="R1936" s="2">
        <v>299</v>
      </c>
      <c r="S1936" s="2">
        <v>106.57980000000001</v>
      </c>
      <c r="T1936" s="2">
        <v>244</v>
      </c>
      <c r="U1936" s="2">
        <v>0.19655500000000001</v>
      </c>
      <c r="V1936" s="2">
        <v>291</v>
      </c>
      <c r="W1936" s="2">
        <v>2007</v>
      </c>
    </row>
    <row r="1937" spans="1:23" ht="12.3" hidden="1" x14ac:dyDescent="0.4">
      <c r="A1937" s="2" t="s">
        <v>310</v>
      </c>
      <c r="B1937" s="2"/>
      <c r="C1937" s="2"/>
      <c r="D1937" s="2"/>
      <c r="E1937" s="2"/>
      <c r="F1937" s="2"/>
      <c r="G1937" s="2"/>
      <c r="H1937" s="2"/>
      <c r="I1937" s="2">
        <v>60.006900000000002</v>
      </c>
      <c r="J1937" s="2">
        <v>327</v>
      </c>
      <c r="K1937" s="2">
        <v>60.719799999999999</v>
      </c>
      <c r="L1937" s="2">
        <v>323</v>
      </c>
      <c r="M1937" s="2">
        <v>95.492500000000007</v>
      </c>
      <c r="N1937" s="2">
        <v>278</v>
      </c>
      <c r="O1937" s="2">
        <v>95.829099999999997</v>
      </c>
      <c r="P1937" s="2">
        <v>275</v>
      </c>
      <c r="Q1937" s="2">
        <v>106.02200000000001</v>
      </c>
      <c r="R1937" s="2">
        <v>255</v>
      </c>
      <c r="S1937" s="2">
        <v>108.33580000000001</v>
      </c>
      <c r="T1937" s="2">
        <v>282</v>
      </c>
      <c r="U1937" s="2">
        <v>0.19612399999999999</v>
      </c>
      <c r="V1937" s="2">
        <v>292</v>
      </c>
      <c r="W1937" s="2">
        <v>2007</v>
      </c>
    </row>
    <row r="1938" spans="1:23" ht="12.3" hidden="1" x14ac:dyDescent="0.4">
      <c r="A1938" s="2" t="s">
        <v>303</v>
      </c>
      <c r="B1938" s="2"/>
      <c r="C1938" s="2"/>
      <c r="D1938" s="2"/>
      <c r="E1938" s="2"/>
      <c r="F1938" s="2"/>
      <c r="G1938" s="2"/>
      <c r="H1938" s="2"/>
      <c r="I1938" s="2">
        <v>70.923299999999998</v>
      </c>
      <c r="J1938" s="2">
        <v>47</v>
      </c>
      <c r="K1938" s="2">
        <v>72.088499999999996</v>
      </c>
      <c r="L1938" s="2">
        <v>22</v>
      </c>
      <c r="M1938" s="2">
        <v>98.464699999999993</v>
      </c>
      <c r="N1938" s="2">
        <v>233</v>
      </c>
      <c r="O1938" s="2">
        <v>98.463800000000006</v>
      </c>
      <c r="P1938" s="2">
        <v>229</v>
      </c>
      <c r="Q1938" s="2">
        <v>109.09950000000001</v>
      </c>
      <c r="R1938" s="2">
        <v>300</v>
      </c>
      <c r="S1938" s="2">
        <v>111.4435</v>
      </c>
      <c r="T1938" s="2">
        <v>319</v>
      </c>
      <c r="U1938" s="2">
        <v>0.19403000000000001</v>
      </c>
      <c r="V1938" s="2">
        <v>293</v>
      </c>
      <c r="W1938" s="2">
        <v>2007</v>
      </c>
    </row>
    <row r="1939" spans="1:23" ht="12.3" hidden="1" x14ac:dyDescent="0.4">
      <c r="A1939" s="2" t="s">
        <v>174</v>
      </c>
      <c r="B1939" s="2"/>
      <c r="C1939" s="2"/>
      <c r="D1939" s="2"/>
      <c r="E1939" s="2"/>
      <c r="F1939" s="2"/>
      <c r="G1939" s="2"/>
      <c r="H1939" s="2"/>
      <c r="I1939" s="2">
        <v>63.329799999999999</v>
      </c>
      <c r="J1939" s="2">
        <v>287</v>
      </c>
      <c r="K1939" s="2">
        <v>64.642200000000003</v>
      </c>
      <c r="L1939" s="2">
        <v>247</v>
      </c>
      <c r="M1939" s="2">
        <v>95.524699999999996</v>
      </c>
      <c r="N1939" s="2">
        <v>277</v>
      </c>
      <c r="O1939" s="2">
        <v>96.108000000000004</v>
      </c>
      <c r="P1939" s="2">
        <v>273</v>
      </c>
      <c r="Q1939" s="2">
        <v>109.8818</v>
      </c>
      <c r="R1939" s="2">
        <v>312</v>
      </c>
      <c r="S1939" s="2">
        <v>108.7915</v>
      </c>
      <c r="T1939" s="2">
        <v>291</v>
      </c>
      <c r="U1939" s="2">
        <v>0.19379399999999999</v>
      </c>
      <c r="V1939" s="2">
        <v>294</v>
      </c>
      <c r="W1939" s="2">
        <v>2007</v>
      </c>
    </row>
    <row r="1940" spans="1:23" ht="12.3" hidden="1" x14ac:dyDescent="0.4">
      <c r="A1940" s="2" t="s">
        <v>106</v>
      </c>
      <c r="B1940" s="2"/>
      <c r="C1940" s="2"/>
      <c r="D1940" s="2"/>
      <c r="E1940" s="2"/>
      <c r="F1940" s="2"/>
      <c r="G1940" s="2"/>
      <c r="H1940" s="2"/>
      <c r="I1940" s="2">
        <v>68.833100000000002</v>
      </c>
      <c r="J1940" s="2">
        <v>94</v>
      </c>
      <c r="K1940" s="2">
        <v>68.8733</v>
      </c>
      <c r="L1940" s="2">
        <v>84</v>
      </c>
      <c r="M1940" s="2">
        <v>97.385300000000001</v>
      </c>
      <c r="N1940" s="2">
        <v>252</v>
      </c>
      <c r="O1940" s="2">
        <v>97.2273</v>
      </c>
      <c r="P1940" s="2">
        <v>253</v>
      </c>
      <c r="Q1940" s="2">
        <v>112.6147</v>
      </c>
      <c r="R1940" s="2">
        <v>332</v>
      </c>
      <c r="S1940" s="2">
        <v>111.0964</v>
      </c>
      <c r="T1940" s="2">
        <v>315</v>
      </c>
      <c r="U1940" s="2">
        <v>0.177484</v>
      </c>
      <c r="V1940" s="2">
        <v>295</v>
      </c>
      <c r="W1940" s="2">
        <v>2007</v>
      </c>
    </row>
    <row r="1941" spans="1:23" ht="12.3" hidden="1" x14ac:dyDescent="0.4">
      <c r="A1941" s="2" t="s">
        <v>275</v>
      </c>
      <c r="B1941" s="2"/>
      <c r="C1941" s="2"/>
      <c r="D1941" s="2"/>
      <c r="E1941" s="2"/>
      <c r="F1941" s="2"/>
      <c r="G1941" s="2"/>
      <c r="H1941" s="2"/>
      <c r="I1941" s="2">
        <v>66.3797</v>
      </c>
      <c r="J1941" s="2">
        <v>189</v>
      </c>
      <c r="K1941" s="2">
        <v>66.329899999999995</v>
      </c>
      <c r="L1941" s="2">
        <v>184</v>
      </c>
      <c r="M1941" s="2">
        <v>99.403300000000002</v>
      </c>
      <c r="N1941" s="2">
        <v>218</v>
      </c>
      <c r="O1941" s="2">
        <v>96.167699999999996</v>
      </c>
      <c r="P1941" s="2">
        <v>270</v>
      </c>
      <c r="Q1941" s="2">
        <v>107.0684</v>
      </c>
      <c r="R1941" s="2">
        <v>278</v>
      </c>
      <c r="S1941" s="2">
        <v>109.9966</v>
      </c>
      <c r="T1941" s="2">
        <v>304</v>
      </c>
      <c r="U1941" s="2">
        <v>0.17579600000000001</v>
      </c>
      <c r="V1941" s="2">
        <v>296</v>
      </c>
      <c r="W1941" s="2">
        <v>2007</v>
      </c>
    </row>
    <row r="1942" spans="1:23" ht="12.3" hidden="1" x14ac:dyDescent="0.4">
      <c r="A1942" s="2" t="s">
        <v>332</v>
      </c>
      <c r="B1942" s="2"/>
      <c r="C1942" s="2"/>
      <c r="D1942" s="2"/>
      <c r="E1942" s="2"/>
      <c r="F1942" s="2"/>
      <c r="G1942" s="2"/>
      <c r="H1942" s="2"/>
      <c r="I1942" s="2">
        <v>66.446399999999997</v>
      </c>
      <c r="J1942" s="2">
        <v>185</v>
      </c>
      <c r="K1942" s="2">
        <v>65.135599999999997</v>
      </c>
      <c r="L1942" s="2">
        <v>227</v>
      </c>
      <c r="M1942" s="2">
        <v>99.764099999999999</v>
      </c>
      <c r="N1942" s="2">
        <v>210</v>
      </c>
      <c r="O1942" s="2">
        <v>98.248199999999997</v>
      </c>
      <c r="P1942" s="2">
        <v>231</v>
      </c>
      <c r="Q1942" s="2">
        <v>109.6216</v>
      </c>
      <c r="R1942" s="2">
        <v>309</v>
      </c>
      <c r="S1942" s="2">
        <v>112.61799999999999</v>
      </c>
      <c r="T1942" s="2">
        <v>326</v>
      </c>
      <c r="U1942" s="2">
        <v>0.17224500000000001</v>
      </c>
      <c r="V1942" s="2">
        <v>297</v>
      </c>
      <c r="W1942" s="2">
        <v>2007</v>
      </c>
    </row>
    <row r="1943" spans="1:23" ht="12.3" hidden="1" x14ac:dyDescent="0.4">
      <c r="A1943" s="2" t="s">
        <v>351</v>
      </c>
      <c r="B1943" s="2"/>
      <c r="C1943" s="2"/>
      <c r="D1943" s="2"/>
      <c r="E1943" s="2"/>
      <c r="F1943" s="2"/>
      <c r="G1943" s="2"/>
      <c r="H1943" s="2"/>
      <c r="I1943" s="2">
        <v>66.960099999999997</v>
      </c>
      <c r="J1943" s="2">
        <v>160</v>
      </c>
      <c r="K1943" s="2">
        <v>65.005600000000001</v>
      </c>
      <c r="L1943" s="2">
        <v>233</v>
      </c>
      <c r="M1943" s="2">
        <v>86.994200000000006</v>
      </c>
      <c r="N1943" s="2">
        <v>327</v>
      </c>
      <c r="O1943" s="2">
        <v>88.697999999999993</v>
      </c>
      <c r="P1943" s="2">
        <v>324</v>
      </c>
      <c r="Q1943" s="2">
        <v>96.187100000000001</v>
      </c>
      <c r="R1943" s="2">
        <v>46</v>
      </c>
      <c r="S1943" s="2">
        <v>101.7015</v>
      </c>
      <c r="T1943" s="2">
        <v>153</v>
      </c>
      <c r="U1943" s="2">
        <v>0.17175299999999999</v>
      </c>
      <c r="V1943" s="2">
        <v>298</v>
      </c>
      <c r="W1943" s="2">
        <v>2007</v>
      </c>
    </row>
    <row r="1944" spans="1:23" ht="12.3" hidden="1" x14ac:dyDescent="0.4">
      <c r="A1944" s="2" t="s">
        <v>223</v>
      </c>
      <c r="B1944" s="2"/>
      <c r="C1944" s="2"/>
      <c r="D1944" s="2"/>
      <c r="E1944" s="2"/>
      <c r="F1944" s="2"/>
      <c r="G1944" s="2"/>
      <c r="H1944" s="2"/>
      <c r="I1944" s="2">
        <v>71.659899999999993</v>
      </c>
      <c r="J1944" s="2">
        <v>32</v>
      </c>
      <c r="K1944" s="2">
        <v>70.158900000000003</v>
      </c>
      <c r="L1944" s="2">
        <v>50</v>
      </c>
      <c r="M1944" s="2">
        <v>95.213499999999996</v>
      </c>
      <c r="N1944" s="2">
        <v>282</v>
      </c>
      <c r="O1944" s="2">
        <v>92.993200000000002</v>
      </c>
      <c r="P1944" s="2">
        <v>301</v>
      </c>
      <c r="Q1944" s="2">
        <v>105.7921</v>
      </c>
      <c r="R1944" s="2">
        <v>250</v>
      </c>
      <c r="S1944" s="2">
        <v>106.6289</v>
      </c>
      <c r="T1944" s="2">
        <v>246</v>
      </c>
      <c r="U1944" s="2">
        <v>0.17171400000000001</v>
      </c>
      <c r="V1944" s="2">
        <v>299</v>
      </c>
      <c r="W1944" s="2">
        <v>2007</v>
      </c>
    </row>
    <row r="1945" spans="1:23" ht="12.3" hidden="1" x14ac:dyDescent="0.4">
      <c r="A1945" s="2" t="s">
        <v>338</v>
      </c>
      <c r="B1945" s="2"/>
      <c r="C1945" s="2"/>
      <c r="D1945" s="2"/>
      <c r="E1945" s="2"/>
      <c r="F1945" s="2"/>
      <c r="G1945" s="2"/>
      <c r="H1945" s="2"/>
      <c r="I1945" s="2">
        <v>68.363900000000001</v>
      </c>
      <c r="J1945" s="2">
        <v>103</v>
      </c>
      <c r="K1945" s="2">
        <v>67.228499999999997</v>
      </c>
      <c r="L1945" s="2">
        <v>142</v>
      </c>
      <c r="M1945" s="2">
        <v>86.795900000000003</v>
      </c>
      <c r="N1945" s="2">
        <v>328</v>
      </c>
      <c r="O1945" s="2">
        <v>88.529200000000003</v>
      </c>
      <c r="P1945" s="2">
        <v>326</v>
      </c>
      <c r="Q1945" s="2">
        <v>97.745099999999994</v>
      </c>
      <c r="R1945" s="2">
        <v>69</v>
      </c>
      <c r="S1945" s="2">
        <v>101.85039999999999</v>
      </c>
      <c r="T1945" s="2">
        <v>156</v>
      </c>
      <c r="U1945" s="2">
        <v>0.16631399999999999</v>
      </c>
      <c r="V1945" s="2">
        <v>300</v>
      </c>
      <c r="W1945" s="2">
        <v>2007</v>
      </c>
    </row>
    <row r="1946" spans="1:23" ht="12.3" hidden="1" x14ac:dyDescent="0.4">
      <c r="A1946" s="2" t="s">
        <v>343</v>
      </c>
      <c r="B1946" s="2"/>
      <c r="C1946" s="2"/>
      <c r="D1946" s="2"/>
      <c r="E1946" s="2"/>
      <c r="F1946" s="2"/>
      <c r="G1946" s="2"/>
      <c r="H1946" s="2"/>
      <c r="I1946" s="2">
        <v>67.975700000000003</v>
      </c>
      <c r="J1946" s="2">
        <v>115</v>
      </c>
      <c r="K1946" s="2">
        <v>68.127300000000005</v>
      </c>
      <c r="L1946" s="2">
        <v>108</v>
      </c>
      <c r="M1946" s="2">
        <v>97.234200000000001</v>
      </c>
      <c r="N1946" s="2">
        <v>253</v>
      </c>
      <c r="O1946" s="2">
        <v>95.647599999999997</v>
      </c>
      <c r="P1946" s="2">
        <v>277</v>
      </c>
      <c r="Q1946" s="2">
        <v>106.1901</v>
      </c>
      <c r="R1946" s="2">
        <v>261</v>
      </c>
      <c r="S1946" s="2">
        <v>110.08540000000001</v>
      </c>
      <c r="T1946" s="2">
        <v>306</v>
      </c>
      <c r="U1946" s="2">
        <v>0.165655</v>
      </c>
      <c r="V1946" s="2">
        <v>301</v>
      </c>
      <c r="W1946" s="2">
        <v>2007</v>
      </c>
    </row>
    <row r="1947" spans="1:23" ht="12.3" hidden="1" x14ac:dyDescent="0.4">
      <c r="A1947" s="2" t="s">
        <v>341</v>
      </c>
      <c r="B1947" s="2"/>
      <c r="C1947" s="2"/>
      <c r="D1947" s="2"/>
      <c r="E1947" s="2"/>
      <c r="F1947" s="2"/>
      <c r="G1947" s="2"/>
      <c r="H1947" s="2"/>
      <c r="I1947" s="2">
        <v>66.242000000000004</v>
      </c>
      <c r="J1947" s="2">
        <v>195</v>
      </c>
      <c r="K1947" s="2">
        <v>66.146199999999993</v>
      </c>
      <c r="L1947" s="2">
        <v>190</v>
      </c>
      <c r="M1947" s="2">
        <v>92.925700000000006</v>
      </c>
      <c r="N1947" s="2">
        <v>302</v>
      </c>
      <c r="O1947" s="2">
        <v>92.377399999999994</v>
      </c>
      <c r="P1947" s="2">
        <v>308</v>
      </c>
      <c r="Q1947" s="2">
        <v>106.06870000000001</v>
      </c>
      <c r="R1947" s="2">
        <v>258</v>
      </c>
      <c r="S1947" s="2">
        <v>106.38</v>
      </c>
      <c r="T1947" s="2">
        <v>239</v>
      </c>
      <c r="U1947" s="2">
        <v>0.16478300000000001</v>
      </c>
      <c r="V1947" s="2">
        <v>302</v>
      </c>
      <c r="W1947" s="2">
        <v>2007</v>
      </c>
    </row>
    <row r="1948" spans="1:23" ht="12.3" hidden="1" x14ac:dyDescent="0.4">
      <c r="A1948" s="2" t="s">
        <v>354</v>
      </c>
      <c r="B1948" s="2"/>
      <c r="C1948" s="2"/>
      <c r="D1948" s="2"/>
      <c r="E1948" s="2"/>
      <c r="F1948" s="2"/>
      <c r="G1948" s="2"/>
      <c r="H1948" s="2"/>
      <c r="I1948" s="2">
        <v>76.944100000000006</v>
      </c>
      <c r="J1948" s="2">
        <v>2</v>
      </c>
      <c r="K1948" s="2">
        <v>75.371600000000001</v>
      </c>
      <c r="L1948" s="2">
        <v>3</v>
      </c>
      <c r="M1948" s="2">
        <v>96.498699999999999</v>
      </c>
      <c r="N1948" s="2">
        <v>265</v>
      </c>
      <c r="O1948" s="2">
        <v>97.786799999999999</v>
      </c>
      <c r="P1948" s="2">
        <v>245</v>
      </c>
      <c r="Q1948" s="2">
        <v>110.0656</v>
      </c>
      <c r="R1948" s="2">
        <v>318</v>
      </c>
      <c r="S1948" s="2">
        <v>112.65989999999999</v>
      </c>
      <c r="T1948" s="2">
        <v>327</v>
      </c>
      <c r="U1948" s="2">
        <v>0.164076</v>
      </c>
      <c r="V1948" s="2">
        <v>303</v>
      </c>
      <c r="W1948" s="2">
        <v>2007</v>
      </c>
    </row>
    <row r="1949" spans="1:23" ht="12.3" hidden="1" x14ac:dyDescent="0.4">
      <c r="A1949" s="2" t="s">
        <v>318</v>
      </c>
      <c r="B1949" s="2"/>
      <c r="C1949" s="2"/>
      <c r="D1949" s="2"/>
      <c r="E1949" s="2"/>
      <c r="F1949" s="2"/>
      <c r="G1949" s="2"/>
      <c r="H1949" s="2"/>
      <c r="I1949" s="2">
        <v>73.457599999999999</v>
      </c>
      <c r="J1949" s="2">
        <v>13</v>
      </c>
      <c r="K1949" s="2">
        <v>72.597999999999999</v>
      </c>
      <c r="L1949" s="2">
        <v>17</v>
      </c>
      <c r="M1949" s="2">
        <v>96.459900000000005</v>
      </c>
      <c r="N1949" s="2">
        <v>266</v>
      </c>
      <c r="O1949" s="2">
        <v>95.534800000000004</v>
      </c>
      <c r="P1949" s="2">
        <v>278</v>
      </c>
      <c r="Q1949" s="2">
        <v>105.3216</v>
      </c>
      <c r="R1949" s="2">
        <v>239</v>
      </c>
      <c r="S1949" s="2">
        <v>110.18170000000001</v>
      </c>
      <c r="T1949" s="2">
        <v>308</v>
      </c>
      <c r="U1949" s="2">
        <v>0.162415</v>
      </c>
      <c r="V1949" s="2">
        <v>304</v>
      </c>
      <c r="W1949" s="2">
        <v>2007</v>
      </c>
    </row>
    <row r="1950" spans="1:23" ht="12.3" hidden="1" x14ac:dyDescent="0.4">
      <c r="A1950" s="2" t="s">
        <v>284</v>
      </c>
      <c r="B1950" s="2"/>
      <c r="C1950" s="2"/>
      <c r="D1950" s="2"/>
      <c r="E1950" s="2"/>
      <c r="F1950" s="2"/>
      <c r="G1950" s="2"/>
      <c r="H1950" s="2"/>
      <c r="I1950" s="2">
        <v>68.525400000000005</v>
      </c>
      <c r="J1950" s="2">
        <v>99</v>
      </c>
      <c r="K1950" s="2">
        <v>67.033699999999996</v>
      </c>
      <c r="L1950" s="2">
        <v>150</v>
      </c>
      <c r="M1950" s="2">
        <v>92.064499999999995</v>
      </c>
      <c r="N1950" s="2">
        <v>309</v>
      </c>
      <c r="O1950" s="2">
        <v>93.007000000000005</v>
      </c>
      <c r="P1950" s="2">
        <v>300</v>
      </c>
      <c r="Q1950" s="2">
        <v>107.2683</v>
      </c>
      <c r="R1950" s="2">
        <v>281</v>
      </c>
      <c r="S1950" s="2">
        <v>107.5882</v>
      </c>
      <c r="T1950" s="2">
        <v>264</v>
      </c>
      <c r="U1950" s="2">
        <v>0.15778200000000001</v>
      </c>
      <c r="V1950" s="2">
        <v>305</v>
      </c>
      <c r="W1950" s="2">
        <v>2007</v>
      </c>
    </row>
    <row r="1951" spans="1:23" ht="12.3" hidden="1" x14ac:dyDescent="0.4">
      <c r="A1951" s="2" t="s">
        <v>264</v>
      </c>
      <c r="B1951" s="2"/>
      <c r="C1951" s="2"/>
      <c r="D1951" s="2"/>
      <c r="E1951" s="2"/>
      <c r="F1951" s="2"/>
      <c r="G1951" s="2"/>
      <c r="H1951" s="2"/>
      <c r="I1951" s="2">
        <v>63.5715</v>
      </c>
      <c r="J1951" s="2">
        <v>280</v>
      </c>
      <c r="K1951" s="2">
        <v>64.619100000000003</v>
      </c>
      <c r="L1951" s="2">
        <v>250</v>
      </c>
      <c r="M1951" s="2">
        <v>95.239699999999999</v>
      </c>
      <c r="N1951" s="2">
        <v>280</v>
      </c>
      <c r="O1951" s="2">
        <v>93.173500000000004</v>
      </c>
      <c r="P1951" s="2">
        <v>298</v>
      </c>
      <c r="Q1951" s="2">
        <v>104.75109999999999</v>
      </c>
      <c r="R1951" s="2">
        <v>225</v>
      </c>
      <c r="S1951" s="2">
        <v>108.00190000000001</v>
      </c>
      <c r="T1951" s="2">
        <v>272</v>
      </c>
      <c r="U1951" s="2">
        <v>0.15467600000000001</v>
      </c>
      <c r="V1951" s="2">
        <v>306</v>
      </c>
      <c r="W1951" s="2">
        <v>2007</v>
      </c>
    </row>
    <row r="1952" spans="1:23" ht="12.3" hidden="1" x14ac:dyDescent="0.4">
      <c r="A1952" s="2" t="s">
        <v>304</v>
      </c>
      <c r="B1952" s="2"/>
      <c r="C1952" s="2"/>
      <c r="D1952" s="2"/>
      <c r="E1952" s="2"/>
      <c r="F1952" s="2"/>
      <c r="G1952" s="2"/>
      <c r="H1952" s="2"/>
      <c r="I1952" s="2">
        <v>67.752799999999993</v>
      </c>
      <c r="J1952" s="2">
        <v>126</v>
      </c>
      <c r="K1952" s="2">
        <v>67.341099999999997</v>
      </c>
      <c r="L1952" s="2">
        <v>134</v>
      </c>
      <c r="M1952" s="2">
        <v>90.584999999999994</v>
      </c>
      <c r="N1952" s="2">
        <v>316</v>
      </c>
      <c r="O1952" s="2">
        <v>92.606200000000001</v>
      </c>
      <c r="P1952" s="2">
        <v>305</v>
      </c>
      <c r="Q1952" s="2">
        <v>109.56619999999999</v>
      </c>
      <c r="R1952" s="2">
        <v>306</v>
      </c>
      <c r="S1952" s="2">
        <v>107.6562</v>
      </c>
      <c r="T1952" s="2">
        <v>265</v>
      </c>
      <c r="U1952" s="2">
        <v>0.150365</v>
      </c>
      <c r="V1952" s="2">
        <v>307</v>
      </c>
      <c r="W1952" s="2">
        <v>2007</v>
      </c>
    </row>
    <row r="1953" spans="1:23" ht="12.3" hidden="1" x14ac:dyDescent="0.4">
      <c r="A1953" s="2" t="s">
        <v>273</v>
      </c>
      <c r="B1953" s="2"/>
      <c r="C1953" s="2"/>
      <c r="D1953" s="2"/>
      <c r="E1953" s="2"/>
      <c r="F1953" s="2"/>
      <c r="G1953" s="2"/>
      <c r="H1953" s="2"/>
      <c r="I1953" s="2">
        <v>66.809700000000007</v>
      </c>
      <c r="J1953" s="2">
        <v>166</v>
      </c>
      <c r="K1953" s="2">
        <v>69.206999999999994</v>
      </c>
      <c r="L1953" s="2">
        <v>74</v>
      </c>
      <c r="M1953" s="2">
        <v>94.397099999999995</v>
      </c>
      <c r="N1953" s="2">
        <v>290</v>
      </c>
      <c r="O1953" s="2">
        <v>96.962299999999999</v>
      </c>
      <c r="P1953" s="2">
        <v>257</v>
      </c>
      <c r="Q1953" s="2">
        <v>110.0073</v>
      </c>
      <c r="R1953" s="2">
        <v>317</v>
      </c>
      <c r="S1953" s="2">
        <v>112.79389999999999</v>
      </c>
      <c r="T1953" s="2">
        <v>329</v>
      </c>
      <c r="U1953" s="2">
        <v>0.14940700000000001</v>
      </c>
      <c r="V1953" s="2">
        <v>308</v>
      </c>
      <c r="W1953" s="2">
        <v>2007</v>
      </c>
    </row>
    <row r="1954" spans="1:23" ht="12.3" hidden="1" x14ac:dyDescent="0.4">
      <c r="A1954" s="2" t="s">
        <v>298</v>
      </c>
      <c r="B1954" s="2"/>
      <c r="C1954" s="2"/>
      <c r="D1954" s="2"/>
      <c r="E1954" s="2"/>
      <c r="F1954" s="2"/>
      <c r="G1954" s="2"/>
      <c r="H1954" s="2"/>
      <c r="I1954" s="2">
        <v>66.641900000000007</v>
      </c>
      <c r="J1954" s="2">
        <v>177</v>
      </c>
      <c r="K1954" s="2">
        <v>65.644499999999994</v>
      </c>
      <c r="L1954" s="2">
        <v>208</v>
      </c>
      <c r="M1954" s="2">
        <v>96.764099999999999</v>
      </c>
      <c r="N1954" s="2">
        <v>260</v>
      </c>
      <c r="O1954" s="2">
        <v>96.400599999999997</v>
      </c>
      <c r="P1954" s="2">
        <v>266</v>
      </c>
      <c r="Q1954" s="2">
        <v>108.77549999999999</v>
      </c>
      <c r="R1954" s="2">
        <v>295</v>
      </c>
      <c r="S1954" s="2">
        <v>112.74760000000001</v>
      </c>
      <c r="T1954" s="2">
        <v>328</v>
      </c>
      <c r="U1954" s="2">
        <v>0.14168600000000001</v>
      </c>
      <c r="V1954" s="2">
        <v>309</v>
      </c>
      <c r="W1954" s="2">
        <v>2007</v>
      </c>
    </row>
    <row r="1955" spans="1:23" ht="12.3" hidden="1" x14ac:dyDescent="0.4">
      <c r="A1955" s="2" t="s">
        <v>285</v>
      </c>
      <c r="B1955" s="2"/>
      <c r="C1955" s="2"/>
      <c r="D1955" s="2"/>
      <c r="E1955" s="2"/>
      <c r="F1955" s="2"/>
      <c r="G1955" s="2"/>
      <c r="H1955" s="2"/>
      <c r="I1955" s="2">
        <v>64.060100000000006</v>
      </c>
      <c r="J1955" s="2">
        <v>265</v>
      </c>
      <c r="K1955" s="2">
        <v>64.474100000000007</v>
      </c>
      <c r="L1955" s="2">
        <v>256</v>
      </c>
      <c r="M1955" s="2">
        <v>92.8048</v>
      </c>
      <c r="N1955" s="2">
        <v>304</v>
      </c>
      <c r="O1955" s="2">
        <v>91.543099999999995</v>
      </c>
      <c r="P1955" s="2">
        <v>313</v>
      </c>
      <c r="Q1955" s="2">
        <v>108.169</v>
      </c>
      <c r="R1955" s="2">
        <v>289</v>
      </c>
      <c r="S1955" s="2">
        <v>107.3621</v>
      </c>
      <c r="T1955" s="2">
        <v>258</v>
      </c>
      <c r="U1955" s="2">
        <v>0.137873</v>
      </c>
      <c r="V1955" s="2">
        <v>310</v>
      </c>
      <c r="W1955" s="2">
        <v>2007</v>
      </c>
    </row>
    <row r="1956" spans="1:23" ht="12.3" hidden="1" x14ac:dyDescent="0.4">
      <c r="A1956" s="2" t="s">
        <v>329</v>
      </c>
      <c r="B1956" s="2"/>
      <c r="C1956" s="2"/>
      <c r="D1956" s="2"/>
      <c r="E1956" s="2"/>
      <c r="F1956" s="2"/>
      <c r="G1956" s="2"/>
      <c r="H1956" s="2"/>
      <c r="I1956" s="2">
        <v>69.884299999999996</v>
      </c>
      <c r="J1956" s="2">
        <v>69</v>
      </c>
      <c r="K1956" s="2">
        <v>68.409199999999998</v>
      </c>
      <c r="L1956" s="2">
        <v>101</v>
      </c>
      <c r="M1956" s="2">
        <v>91.028700000000001</v>
      </c>
      <c r="N1956" s="2">
        <v>313</v>
      </c>
      <c r="O1956" s="2">
        <v>93.612099999999998</v>
      </c>
      <c r="P1956" s="2">
        <v>292</v>
      </c>
      <c r="Q1956" s="2">
        <v>100.2573</v>
      </c>
      <c r="R1956" s="2">
        <v>120</v>
      </c>
      <c r="S1956" s="2">
        <v>109.831</v>
      </c>
      <c r="T1956" s="2">
        <v>301</v>
      </c>
      <c r="U1956" s="2">
        <v>0.137346</v>
      </c>
      <c r="V1956" s="2">
        <v>311</v>
      </c>
      <c r="W1956" s="2">
        <v>2007</v>
      </c>
    </row>
    <row r="1957" spans="1:23" ht="12.3" hidden="1" x14ac:dyDescent="0.4">
      <c r="A1957" s="2" t="s">
        <v>358</v>
      </c>
      <c r="B1957" s="2"/>
      <c r="C1957" s="2"/>
      <c r="D1957" s="2"/>
      <c r="E1957" s="2"/>
      <c r="F1957" s="2"/>
      <c r="G1957" s="2"/>
      <c r="H1957" s="2"/>
      <c r="I1957" s="2">
        <v>69.713899999999995</v>
      </c>
      <c r="J1957" s="2">
        <v>70</v>
      </c>
      <c r="K1957" s="2">
        <v>68.776899999999998</v>
      </c>
      <c r="L1957" s="2">
        <v>87</v>
      </c>
      <c r="M1957" s="2">
        <v>95.027699999999996</v>
      </c>
      <c r="N1957" s="2">
        <v>285</v>
      </c>
      <c r="O1957" s="2">
        <v>92.975999999999999</v>
      </c>
      <c r="P1957" s="2">
        <v>302</v>
      </c>
      <c r="Q1957" s="2">
        <v>109.2491</v>
      </c>
      <c r="R1957" s="2">
        <v>303</v>
      </c>
      <c r="S1957" s="2">
        <v>109.28230000000001</v>
      </c>
      <c r="T1957" s="2">
        <v>296</v>
      </c>
      <c r="U1957" s="2">
        <v>0.13489799999999999</v>
      </c>
      <c r="V1957" s="2">
        <v>312</v>
      </c>
      <c r="W1957" s="2">
        <v>2007</v>
      </c>
    </row>
    <row r="1958" spans="1:23" ht="12.3" hidden="1" x14ac:dyDescent="0.4">
      <c r="A1958" s="2" t="s">
        <v>206</v>
      </c>
      <c r="B1958" s="2"/>
      <c r="C1958" s="2"/>
      <c r="D1958" s="2"/>
      <c r="E1958" s="2"/>
      <c r="F1958" s="2"/>
      <c r="G1958" s="2"/>
      <c r="H1958" s="2"/>
      <c r="I1958" s="2">
        <v>64.785799999999995</v>
      </c>
      <c r="J1958" s="2">
        <v>250</v>
      </c>
      <c r="K1958" s="2">
        <v>64.580200000000005</v>
      </c>
      <c r="L1958" s="2">
        <v>251</v>
      </c>
      <c r="M1958" s="2">
        <v>88.457400000000007</v>
      </c>
      <c r="N1958" s="2">
        <v>324</v>
      </c>
      <c r="O1958" s="2">
        <v>90.680099999999996</v>
      </c>
      <c r="P1958" s="2">
        <v>317</v>
      </c>
      <c r="Q1958" s="2">
        <v>106.90130000000001</v>
      </c>
      <c r="R1958" s="2">
        <v>276</v>
      </c>
      <c r="S1958" s="2">
        <v>106.90009999999999</v>
      </c>
      <c r="T1958" s="2">
        <v>250</v>
      </c>
      <c r="U1958" s="2">
        <v>0.13097</v>
      </c>
      <c r="V1958" s="2">
        <v>313</v>
      </c>
      <c r="W1958" s="2">
        <v>2007</v>
      </c>
    </row>
    <row r="1959" spans="1:23" ht="12.3" hidden="1" x14ac:dyDescent="0.4">
      <c r="A1959" s="2" t="s">
        <v>297</v>
      </c>
      <c r="B1959" s="2"/>
      <c r="C1959" s="2"/>
      <c r="D1959" s="2"/>
      <c r="E1959" s="2"/>
      <c r="F1959" s="2"/>
      <c r="G1959" s="2"/>
      <c r="H1959" s="2"/>
      <c r="I1959" s="2">
        <v>66.33</v>
      </c>
      <c r="J1959" s="2">
        <v>192</v>
      </c>
      <c r="K1959" s="2">
        <v>64.894000000000005</v>
      </c>
      <c r="L1959" s="2">
        <v>241</v>
      </c>
      <c r="M1959" s="2">
        <v>90.2547</v>
      </c>
      <c r="N1959" s="2">
        <v>319</v>
      </c>
      <c r="O1959" s="2">
        <v>90.883399999999995</v>
      </c>
      <c r="P1959" s="2">
        <v>315</v>
      </c>
      <c r="Q1959" s="2">
        <v>99.734200000000001</v>
      </c>
      <c r="R1959" s="2">
        <v>109</v>
      </c>
      <c r="S1959" s="2">
        <v>107.161</v>
      </c>
      <c r="T1959" s="2">
        <v>253</v>
      </c>
      <c r="U1959" s="2">
        <v>0.13071199999999999</v>
      </c>
      <c r="V1959" s="2">
        <v>314</v>
      </c>
      <c r="W1959" s="2">
        <v>2007</v>
      </c>
    </row>
    <row r="1960" spans="1:23" ht="12.3" hidden="1" x14ac:dyDescent="0.4">
      <c r="A1960" s="2" t="s">
        <v>280</v>
      </c>
      <c r="B1960" s="2"/>
      <c r="C1960" s="2"/>
      <c r="D1960" s="2"/>
      <c r="E1960" s="2"/>
      <c r="F1960" s="2"/>
      <c r="G1960" s="2"/>
      <c r="H1960" s="2"/>
      <c r="I1960" s="2">
        <v>66.739999999999995</v>
      </c>
      <c r="J1960" s="2">
        <v>172</v>
      </c>
      <c r="K1960" s="2">
        <v>67.578299999999999</v>
      </c>
      <c r="L1960" s="2">
        <v>126</v>
      </c>
      <c r="M1960" s="2">
        <v>94.644000000000005</v>
      </c>
      <c r="N1960" s="2">
        <v>289</v>
      </c>
      <c r="O1960" s="2">
        <v>93.033500000000004</v>
      </c>
      <c r="P1960" s="2">
        <v>299</v>
      </c>
      <c r="Q1960" s="2">
        <v>105.53400000000001</v>
      </c>
      <c r="R1960" s="2">
        <v>244</v>
      </c>
      <c r="S1960" s="2">
        <v>109.9228</v>
      </c>
      <c r="T1960" s="2">
        <v>303</v>
      </c>
      <c r="U1960" s="2">
        <v>0.12803899999999999</v>
      </c>
      <c r="V1960" s="2">
        <v>315</v>
      </c>
      <c r="W1960" s="2">
        <v>2007</v>
      </c>
    </row>
    <row r="1961" spans="1:23" ht="12.3" hidden="1" x14ac:dyDescent="0.4">
      <c r="A1961" s="2" t="s">
        <v>357</v>
      </c>
      <c r="B1961" s="2"/>
      <c r="C1961" s="2"/>
      <c r="D1961" s="2"/>
      <c r="E1961" s="2"/>
      <c r="F1961" s="2"/>
      <c r="G1961" s="2"/>
      <c r="H1961" s="2"/>
      <c r="I1961" s="2">
        <v>71.669799999999995</v>
      </c>
      <c r="J1961" s="2">
        <v>31</v>
      </c>
      <c r="K1961" s="2">
        <v>69.810900000000004</v>
      </c>
      <c r="L1961" s="2">
        <v>58</v>
      </c>
      <c r="M1961" s="2">
        <v>92.137799999999999</v>
      </c>
      <c r="N1961" s="2">
        <v>308</v>
      </c>
      <c r="O1961" s="2">
        <v>91.928600000000003</v>
      </c>
      <c r="P1961" s="2">
        <v>312</v>
      </c>
      <c r="Q1961" s="2">
        <v>109.6026</v>
      </c>
      <c r="R1961" s="2">
        <v>308</v>
      </c>
      <c r="S1961" s="2">
        <v>108.68129999999999</v>
      </c>
      <c r="T1961" s="2">
        <v>290</v>
      </c>
      <c r="U1961" s="2">
        <v>0.12728500000000001</v>
      </c>
      <c r="V1961" s="2">
        <v>316</v>
      </c>
      <c r="W1961" s="2">
        <v>2007</v>
      </c>
    </row>
    <row r="1962" spans="1:23" ht="12.3" hidden="1" x14ac:dyDescent="0.4">
      <c r="A1962" s="2" t="s">
        <v>185</v>
      </c>
      <c r="B1962" s="2"/>
      <c r="C1962" s="2"/>
      <c r="D1962" s="2"/>
      <c r="E1962" s="2"/>
      <c r="F1962" s="2"/>
      <c r="G1962" s="2"/>
      <c r="H1962" s="2"/>
      <c r="I1962" s="2">
        <v>66.426199999999994</v>
      </c>
      <c r="J1962" s="2">
        <v>187</v>
      </c>
      <c r="K1962" s="2">
        <v>64.469499999999996</v>
      </c>
      <c r="L1962" s="2">
        <v>257</v>
      </c>
      <c r="M1962" s="2">
        <v>86.096299999999999</v>
      </c>
      <c r="N1962" s="2">
        <v>329</v>
      </c>
      <c r="O1962" s="2">
        <v>86.122</v>
      </c>
      <c r="P1962" s="2">
        <v>330</v>
      </c>
      <c r="Q1962" s="2">
        <v>102.58499999999999</v>
      </c>
      <c r="R1962" s="2">
        <v>173</v>
      </c>
      <c r="S1962" s="2">
        <v>101.87560000000001</v>
      </c>
      <c r="T1962" s="2">
        <v>157</v>
      </c>
      <c r="U1962" s="2">
        <v>0.12654499999999999</v>
      </c>
      <c r="V1962" s="2">
        <v>317</v>
      </c>
      <c r="W1962" s="2">
        <v>2007</v>
      </c>
    </row>
    <row r="1963" spans="1:23" ht="12.3" hidden="1" x14ac:dyDescent="0.4">
      <c r="A1963" s="2" t="s">
        <v>335</v>
      </c>
      <c r="B1963" s="2"/>
      <c r="C1963" s="2"/>
      <c r="D1963" s="2"/>
      <c r="E1963" s="2"/>
      <c r="F1963" s="2"/>
      <c r="G1963" s="2"/>
      <c r="H1963" s="2"/>
      <c r="I1963" s="2">
        <v>65.581299999999999</v>
      </c>
      <c r="J1963" s="2">
        <v>220</v>
      </c>
      <c r="K1963" s="2">
        <v>64.898600000000002</v>
      </c>
      <c r="L1963" s="2">
        <v>240</v>
      </c>
      <c r="M1963" s="2">
        <v>91.1905</v>
      </c>
      <c r="N1963" s="2">
        <v>312</v>
      </c>
      <c r="O1963" s="2">
        <v>87.168000000000006</v>
      </c>
      <c r="P1963" s="2">
        <v>328</v>
      </c>
      <c r="Q1963" s="2">
        <v>101.6093</v>
      </c>
      <c r="R1963" s="2">
        <v>157</v>
      </c>
      <c r="S1963" s="2">
        <v>103.12869999999999</v>
      </c>
      <c r="T1963" s="2">
        <v>172</v>
      </c>
      <c r="U1963" s="2">
        <v>0.12634999999999999</v>
      </c>
      <c r="V1963" s="2">
        <v>318</v>
      </c>
      <c r="W1963" s="2">
        <v>2007</v>
      </c>
    </row>
    <row r="1964" spans="1:23" ht="12.3" hidden="1" x14ac:dyDescent="0.4">
      <c r="A1964" s="2" t="s">
        <v>320</v>
      </c>
      <c r="B1964" s="2"/>
      <c r="C1964" s="2"/>
      <c r="D1964" s="2"/>
      <c r="E1964" s="2"/>
      <c r="F1964" s="2"/>
      <c r="G1964" s="2"/>
      <c r="H1964" s="2"/>
      <c r="I1964" s="2">
        <v>67.168499999999995</v>
      </c>
      <c r="J1964" s="2">
        <v>153</v>
      </c>
      <c r="K1964" s="2">
        <v>67.271799999999999</v>
      </c>
      <c r="L1964" s="2">
        <v>140</v>
      </c>
      <c r="M1964" s="2">
        <v>97.179100000000005</v>
      </c>
      <c r="N1964" s="2">
        <v>254</v>
      </c>
      <c r="O1964" s="2">
        <v>96.460300000000004</v>
      </c>
      <c r="P1964" s="2">
        <v>263</v>
      </c>
      <c r="Q1964" s="2">
        <v>110.1695</v>
      </c>
      <c r="R1964" s="2">
        <v>319</v>
      </c>
      <c r="S1964" s="2">
        <v>114.24460000000001</v>
      </c>
      <c r="T1964" s="2">
        <v>334</v>
      </c>
      <c r="U1964" s="2">
        <v>0.124999</v>
      </c>
      <c r="V1964" s="2">
        <v>319</v>
      </c>
      <c r="W1964" s="2">
        <v>2007</v>
      </c>
    </row>
    <row r="1965" spans="1:23" ht="12.3" hidden="1" x14ac:dyDescent="0.4">
      <c r="A1965" s="2" t="s">
        <v>362</v>
      </c>
      <c r="B1965" s="2"/>
      <c r="C1965" s="2"/>
      <c r="D1965" s="2"/>
      <c r="E1965" s="2"/>
      <c r="F1965" s="2"/>
      <c r="G1965" s="2"/>
      <c r="H1965" s="2"/>
      <c r="I1965" s="2">
        <v>66.608500000000006</v>
      </c>
      <c r="J1965" s="2">
        <v>179</v>
      </c>
      <c r="K1965" s="2">
        <v>65.808099999999996</v>
      </c>
      <c r="L1965" s="2">
        <v>203</v>
      </c>
      <c r="M1965" s="2">
        <v>93.212299999999999</v>
      </c>
      <c r="N1965" s="2">
        <v>299</v>
      </c>
      <c r="O1965" s="2">
        <v>93.402199999999993</v>
      </c>
      <c r="P1965" s="2">
        <v>295</v>
      </c>
      <c r="Q1965" s="2">
        <v>109.4897</v>
      </c>
      <c r="R1965" s="2">
        <v>305</v>
      </c>
      <c r="S1965" s="2">
        <v>110.75239999999999</v>
      </c>
      <c r="T1965" s="2">
        <v>314</v>
      </c>
      <c r="U1965" s="2">
        <v>0.123533</v>
      </c>
      <c r="V1965" s="2">
        <v>320</v>
      </c>
      <c r="W1965" s="2">
        <v>2007</v>
      </c>
    </row>
    <row r="1966" spans="1:23" ht="12.3" hidden="1" x14ac:dyDescent="0.4">
      <c r="A1966" s="2" t="s">
        <v>325</v>
      </c>
      <c r="B1966" s="2"/>
      <c r="C1966" s="2"/>
      <c r="D1966" s="2"/>
      <c r="E1966" s="2"/>
      <c r="F1966" s="2"/>
      <c r="G1966" s="2"/>
      <c r="H1966" s="2"/>
      <c r="I1966" s="2">
        <v>71.744500000000002</v>
      </c>
      <c r="J1966" s="2">
        <v>30</v>
      </c>
      <c r="K1966" s="2">
        <v>69.780699999999996</v>
      </c>
      <c r="L1966" s="2">
        <v>59</v>
      </c>
      <c r="M1966" s="2">
        <v>88.715299999999999</v>
      </c>
      <c r="N1966" s="2">
        <v>323</v>
      </c>
      <c r="O1966" s="2">
        <v>89.857600000000005</v>
      </c>
      <c r="P1966" s="2">
        <v>322</v>
      </c>
      <c r="Q1966" s="2">
        <v>99.538499999999999</v>
      </c>
      <c r="R1966" s="2">
        <v>105</v>
      </c>
      <c r="S1966" s="2">
        <v>106.974</v>
      </c>
      <c r="T1966" s="2">
        <v>252</v>
      </c>
      <c r="U1966" s="2">
        <v>0.11866500000000001</v>
      </c>
      <c r="V1966" s="2">
        <v>321</v>
      </c>
      <c r="W1966" s="2">
        <v>2007</v>
      </c>
    </row>
    <row r="1967" spans="1:23" ht="12.3" hidden="1" x14ac:dyDescent="0.4">
      <c r="A1967" s="2" t="s">
        <v>359</v>
      </c>
      <c r="B1967" s="2"/>
      <c r="C1967" s="2"/>
      <c r="D1967" s="2"/>
      <c r="E1967" s="2"/>
      <c r="F1967" s="2"/>
      <c r="G1967" s="2"/>
      <c r="H1967" s="2"/>
      <c r="I1967" s="2">
        <v>70.956100000000006</v>
      </c>
      <c r="J1967" s="2">
        <v>45</v>
      </c>
      <c r="K1967" s="2">
        <v>70.715000000000003</v>
      </c>
      <c r="L1967" s="2">
        <v>40</v>
      </c>
      <c r="M1967" s="2">
        <v>88.913200000000003</v>
      </c>
      <c r="N1967" s="2">
        <v>322</v>
      </c>
      <c r="O1967" s="2">
        <v>90.846900000000005</v>
      </c>
      <c r="P1967" s="2">
        <v>316</v>
      </c>
      <c r="Q1967" s="2">
        <v>104.7488</v>
      </c>
      <c r="R1967" s="2">
        <v>224</v>
      </c>
      <c r="S1967" s="2">
        <v>109.01600000000001</v>
      </c>
      <c r="T1967" s="2">
        <v>293</v>
      </c>
      <c r="U1967" s="2">
        <v>0.109421</v>
      </c>
      <c r="V1967" s="2">
        <v>322</v>
      </c>
      <c r="W1967" s="2">
        <v>2007</v>
      </c>
    </row>
    <row r="1968" spans="1:23" ht="12.3" hidden="1" x14ac:dyDescent="0.4">
      <c r="A1968" s="2" t="s">
        <v>241</v>
      </c>
      <c r="B1968" s="2"/>
      <c r="C1968" s="2"/>
      <c r="D1968" s="2"/>
      <c r="E1968" s="2"/>
      <c r="F1968" s="2"/>
      <c r="G1968" s="2"/>
      <c r="H1968" s="2"/>
      <c r="I1968" s="2">
        <v>66.081199999999995</v>
      </c>
      <c r="J1968" s="2">
        <v>204</v>
      </c>
      <c r="K1968" s="2">
        <v>66.203800000000001</v>
      </c>
      <c r="L1968" s="2">
        <v>189</v>
      </c>
      <c r="M1968" s="2">
        <v>87.702799999999996</v>
      </c>
      <c r="N1968" s="2">
        <v>326</v>
      </c>
      <c r="O1968" s="2">
        <v>87.2102</v>
      </c>
      <c r="P1968" s="2">
        <v>327</v>
      </c>
      <c r="Q1968" s="2">
        <v>104.5612</v>
      </c>
      <c r="R1968" s="2">
        <v>217</v>
      </c>
      <c r="S1968" s="2">
        <v>105.3207</v>
      </c>
      <c r="T1968" s="2">
        <v>220</v>
      </c>
      <c r="U1968" s="2">
        <v>0.10248400000000001</v>
      </c>
      <c r="V1968" s="2">
        <v>323</v>
      </c>
      <c r="W1968" s="2">
        <v>2007</v>
      </c>
    </row>
    <row r="1969" spans="1:23" ht="12.3" hidden="1" x14ac:dyDescent="0.4">
      <c r="A1969" s="2" t="s">
        <v>286</v>
      </c>
      <c r="B1969" s="2"/>
      <c r="C1969" s="2"/>
      <c r="D1969" s="2"/>
      <c r="E1969" s="2"/>
      <c r="F1969" s="2"/>
      <c r="G1969" s="2"/>
      <c r="H1969" s="2"/>
      <c r="I1969" s="2">
        <v>68.045299999999997</v>
      </c>
      <c r="J1969" s="2">
        <v>112</v>
      </c>
      <c r="K1969" s="2">
        <v>67.293499999999995</v>
      </c>
      <c r="L1969" s="2">
        <v>138</v>
      </c>
      <c r="M1969" s="2">
        <v>94.130899999999997</v>
      </c>
      <c r="N1969" s="2">
        <v>293</v>
      </c>
      <c r="O1969" s="2">
        <v>92.187100000000001</v>
      </c>
      <c r="P1969" s="2">
        <v>310</v>
      </c>
      <c r="Q1969" s="2">
        <v>111.5939</v>
      </c>
      <c r="R1969" s="2">
        <v>326</v>
      </c>
      <c r="S1969" s="2">
        <v>111.45529999999999</v>
      </c>
      <c r="T1969" s="2">
        <v>320</v>
      </c>
      <c r="U1969" s="2">
        <v>0.101311</v>
      </c>
      <c r="V1969" s="2">
        <v>324</v>
      </c>
      <c r="W1969" s="2">
        <v>2007</v>
      </c>
    </row>
    <row r="1970" spans="1:23" ht="12.3" hidden="1" x14ac:dyDescent="0.4">
      <c r="A1970" s="2" t="s">
        <v>261</v>
      </c>
      <c r="B1970" s="2"/>
      <c r="C1970" s="2"/>
      <c r="D1970" s="2"/>
      <c r="E1970" s="2"/>
      <c r="F1970" s="2"/>
      <c r="G1970" s="2"/>
      <c r="H1970" s="2"/>
      <c r="I1970" s="2">
        <v>72.436000000000007</v>
      </c>
      <c r="J1970" s="2">
        <v>22</v>
      </c>
      <c r="K1970" s="2">
        <v>70.534199999999998</v>
      </c>
      <c r="L1970" s="2">
        <v>43</v>
      </c>
      <c r="M1970" s="2">
        <v>91.014799999999994</v>
      </c>
      <c r="N1970" s="2">
        <v>314</v>
      </c>
      <c r="O1970" s="2">
        <v>92.031400000000005</v>
      </c>
      <c r="P1970" s="2">
        <v>311</v>
      </c>
      <c r="Q1970" s="2">
        <v>103.4742</v>
      </c>
      <c r="R1970" s="2">
        <v>194</v>
      </c>
      <c r="S1970" s="2">
        <v>111.3368</v>
      </c>
      <c r="T1970" s="2">
        <v>318</v>
      </c>
      <c r="U1970" s="2">
        <v>0.100657</v>
      </c>
      <c r="V1970" s="2">
        <v>325</v>
      </c>
      <c r="W1970" s="2">
        <v>2007</v>
      </c>
    </row>
    <row r="1971" spans="1:23" ht="12.3" hidden="1" x14ac:dyDescent="0.4">
      <c r="A1971" s="2" t="s">
        <v>305</v>
      </c>
      <c r="B1971" s="2"/>
      <c r="C1971" s="2"/>
      <c r="D1971" s="2"/>
      <c r="E1971" s="2"/>
      <c r="F1971" s="2"/>
      <c r="G1971" s="2"/>
      <c r="H1971" s="2"/>
      <c r="I1971" s="2">
        <v>67.585999999999999</v>
      </c>
      <c r="J1971" s="2">
        <v>132</v>
      </c>
      <c r="K1971" s="2">
        <v>64.996600000000001</v>
      </c>
      <c r="L1971" s="2">
        <v>234</v>
      </c>
      <c r="M1971" s="2">
        <v>93.888000000000005</v>
      </c>
      <c r="N1971" s="2">
        <v>295</v>
      </c>
      <c r="O1971" s="2">
        <v>94.024799999999999</v>
      </c>
      <c r="P1971" s="2">
        <v>289</v>
      </c>
      <c r="Q1971" s="2">
        <v>111.4936</v>
      </c>
      <c r="R1971" s="2">
        <v>324</v>
      </c>
      <c r="S1971" s="2">
        <v>114.327</v>
      </c>
      <c r="T1971" s="2">
        <v>335</v>
      </c>
      <c r="U1971" s="2">
        <v>9.5495999999999998E-2</v>
      </c>
      <c r="V1971" s="2">
        <v>326</v>
      </c>
      <c r="W1971" s="2">
        <v>2007</v>
      </c>
    </row>
    <row r="1972" spans="1:23" ht="12.3" hidden="1" x14ac:dyDescent="0.4">
      <c r="A1972" s="2" t="s">
        <v>365</v>
      </c>
      <c r="B1972" s="2" t="e">
        <v>#N/A</v>
      </c>
      <c r="C1972" s="2"/>
      <c r="D1972" s="2"/>
      <c r="E1972" s="2"/>
      <c r="F1972" s="2"/>
      <c r="G1972" s="2"/>
      <c r="H1972" s="2"/>
      <c r="I1972" s="2">
        <v>69.503799999999998</v>
      </c>
      <c r="J1972" s="2">
        <v>77</v>
      </c>
      <c r="K1972" s="2">
        <v>69.461299999999994</v>
      </c>
      <c r="L1972" s="2">
        <v>68</v>
      </c>
      <c r="M1972" s="2">
        <v>82.196200000000005</v>
      </c>
      <c r="N1972" s="2">
        <v>335</v>
      </c>
      <c r="O1972" s="2">
        <v>88.584400000000002</v>
      </c>
      <c r="P1972" s="2">
        <v>325</v>
      </c>
      <c r="Q1972" s="2">
        <v>111.5467</v>
      </c>
      <c r="R1972" s="2">
        <v>325</v>
      </c>
      <c r="S1972" s="2">
        <v>107.8236</v>
      </c>
      <c r="T1972" s="2">
        <v>268</v>
      </c>
      <c r="U1972" s="2">
        <v>9.4470999999999999E-2</v>
      </c>
      <c r="V1972" s="2">
        <v>327</v>
      </c>
      <c r="W1972" s="2">
        <v>2007</v>
      </c>
    </row>
    <row r="1973" spans="1:23" ht="12.3" hidden="1" x14ac:dyDescent="0.4">
      <c r="A1973" s="2" t="s">
        <v>179</v>
      </c>
      <c r="B1973" s="2"/>
      <c r="C1973" s="2"/>
      <c r="D1973" s="2"/>
      <c r="E1973" s="2"/>
      <c r="F1973" s="2"/>
      <c r="G1973" s="2"/>
      <c r="H1973" s="2"/>
      <c r="I1973" s="2">
        <v>61.1006</v>
      </c>
      <c r="J1973" s="2">
        <v>320</v>
      </c>
      <c r="K1973" s="2">
        <v>60.7151</v>
      </c>
      <c r="L1973" s="2">
        <v>324</v>
      </c>
      <c r="M1973" s="2">
        <v>89.155699999999996</v>
      </c>
      <c r="N1973" s="2">
        <v>321</v>
      </c>
      <c r="O1973" s="2">
        <v>89.948400000000007</v>
      </c>
      <c r="P1973" s="2">
        <v>321</v>
      </c>
      <c r="Q1973" s="2">
        <v>111.9914</v>
      </c>
      <c r="R1973" s="2">
        <v>328</v>
      </c>
      <c r="S1973" s="2">
        <v>110.08450000000001</v>
      </c>
      <c r="T1973" s="2">
        <v>305</v>
      </c>
      <c r="U1973" s="2">
        <v>8.9224999999999999E-2</v>
      </c>
      <c r="V1973" s="2">
        <v>328</v>
      </c>
      <c r="W1973" s="2">
        <v>2007</v>
      </c>
    </row>
    <row r="1974" spans="1:23" ht="12.3" hidden="1" x14ac:dyDescent="0.4">
      <c r="A1974" s="2" t="s">
        <v>352</v>
      </c>
      <c r="B1974" s="2" t="e">
        <v>#N/A</v>
      </c>
      <c r="C1974" s="2"/>
      <c r="D1974" s="2"/>
      <c r="E1974" s="2"/>
      <c r="F1974" s="2"/>
      <c r="G1974" s="2"/>
      <c r="H1974" s="2"/>
      <c r="I1974" s="2">
        <v>65.716300000000004</v>
      </c>
      <c r="J1974" s="2">
        <v>216</v>
      </c>
      <c r="K1974" s="2">
        <v>65.532799999999995</v>
      </c>
      <c r="L1974" s="2">
        <v>213</v>
      </c>
      <c r="M1974" s="2">
        <v>85.259699999999995</v>
      </c>
      <c r="N1974" s="2">
        <v>332</v>
      </c>
      <c r="O1974" s="2">
        <v>85.660499999999999</v>
      </c>
      <c r="P1974" s="2">
        <v>331</v>
      </c>
      <c r="Q1974" s="2">
        <v>103.0959</v>
      </c>
      <c r="R1974" s="2">
        <v>189</v>
      </c>
      <c r="S1974" s="2">
        <v>104.93259999999999</v>
      </c>
      <c r="T1974" s="2">
        <v>214</v>
      </c>
      <c r="U1974" s="2">
        <v>8.8373999999999994E-2</v>
      </c>
      <c r="V1974" s="2">
        <v>329</v>
      </c>
      <c r="W1974" s="2">
        <v>2007</v>
      </c>
    </row>
    <row r="1975" spans="1:23" ht="12.3" hidden="1" x14ac:dyDescent="0.4">
      <c r="A1975" s="2" t="s">
        <v>242</v>
      </c>
      <c r="B1975" s="2" t="e">
        <v>#N/A</v>
      </c>
      <c r="C1975" s="2"/>
      <c r="D1975" s="2"/>
      <c r="E1975" s="2"/>
      <c r="F1975" s="2"/>
      <c r="G1975" s="2"/>
      <c r="H1975" s="2"/>
      <c r="I1975" s="2">
        <v>66.278300000000002</v>
      </c>
      <c r="J1975" s="2">
        <v>194</v>
      </c>
      <c r="K1975" s="2">
        <v>64.883399999999995</v>
      </c>
      <c r="L1975" s="2">
        <v>242</v>
      </c>
      <c r="M1975" s="2">
        <v>96.270899999999997</v>
      </c>
      <c r="N1975" s="2">
        <v>269</v>
      </c>
      <c r="O1975" s="2">
        <v>93.492000000000004</v>
      </c>
      <c r="P1975" s="2">
        <v>294</v>
      </c>
      <c r="Q1975" s="2">
        <v>107.87649999999999</v>
      </c>
      <c r="R1975" s="2">
        <v>287</v>
      </c>
      <c r="S1975" s="2">
        <v>114.7265</v>
      </c>
      <c r="T1975" s="2">
        <v>336</v>
      </c>
      <c r="U1975" s="2">
        <v>8.6766999999999997E-2</v>
      </c>
      <c r="V1975" s="2">
        <v>330</v>
      </c>
      <c r="W1975" s="2">
        <v>2007</v>
      </c>
    </row>
    <row r="1976" spans="1:23" ht="12.3" hidden="1" x14ac:dyDescent="0.4">
      <c r="A1976" s="2" t="s">
        <v>272</v>
      </c>
      <c r="B1976" s="2" t="e">
        <v>#N/A</v>
      </c>
      <c r="C1976" s="2"/>
      <c r="D1976" s="2"/>
      <c r="E1976" s="2"/>
      <c r="F1976" s="2"/>
      <c r="G1976" s="2"/>
      <c r="H1976" s="2"/>
      <c r="I1976" s="2">
        <v>71.588099999999997</v>
      </c>
      <c r="J1976" s="2">
        <v>35</v>
      </c>
      <c r="K1976" s="2">
        <v>71.570599999999999</v>
      </c>
      <c r="L1976" s="2">
        <v>28</v>
      </c>
      <c r="M1976" s="2">
        <v>83.138599999999997</v>
      </c>
      <c r="N1976" s="2">
        <v>333</v>
      </c>
      <c r="O1976" s="2">
        <v>84.667699999999996</v>
      </c>
      <c r="P1976" s="2">
        <v>333</v>
      </c>
      <c r="Q1976" s="2">
        <v>96.983099999999993</v>
      </c>
      <c r="R1976" s="2">
        <v>61</v>
      </c>
      <c r="S1976" s="2">
        <v>104.2544</v>
      </c>
      <c r="T1976" s="2">
        <v>198</v>
      </c>
      <c r="U1976" s="2">
        <v>8.3696999999999994E-2</v>
      </c>
      <c r="V1976" s="2">
        <v>331</v>
      </c>
      <c r="W1976" s="2">
        <v>2007</v>
      </c>
    </row>
    <row r="1977" spans="1:23" ht="12.3" hidden="1" x14ac:dyDescent="0.4">
      <c r="A1977" s="2" t="s">
        <v>342</v>
      </c>
      <c r="B1977" s="2" t="e">
        <v>#N/A</v>
      </c>
      <c r="C1977" s="2"/>
      <c r="D1977" s="2"/>
      <c r="E1977" s="2"/>
      <c r="F1977" s="2"/>
      <c r="G1977" s="2"/>
      <c r="H1977" s="2"/>
      <c r="I1977" s="2">
        <v>71.229699999999994</v>
      </c>
      <c r="J1977" s="2">
        <v>43</v>
      </c>
      <c r="K1977" s="2">
        <v>70.517099999999999</v>
      </c>
      <c r="L1977" s="2">
        <v>45</v>
      </c>
      <c r="M1977" s="2">
        <v>82.408799999999999</v>
      </c>
      <c r="N1977" s="2">
        <v>334</v>
      </c>
      <c r="O1977" s="2">
        <v>84.748699999999999</v>
      </c>
      <c r="P1977" s="2">
        <v>332</v>
      </c>
      <c r="Q1977" s="2">
        <v>100.5462</v>
      </c>
      <c r="R1977" s="2">
        <v>130</v>
      </c>
      <c r="S1977" s="2">
        <v>105.539</v>
      </c>
      <c r="T1977" s="2">
        <v>223</v>
      </c>
      <c r="U1977" s="2">
        <v>7.4261999999999995E-2</v>
      </c>
      <c r="V1977" s="2">
        <v>332</v>
      </c>
      <c r="W1977" s="2">
        <v>2007</v>
      </c>
    </row>
    <row r="1978" spans="1:23" ht="12.3" hidden="1" x14ac:dyDescent="0.4">
      <c r="A1978" s="2" t="s">
        <v>313</v>
      </c>
      <c r="B1978" s="2" t="e">
        <v>#N/A</v>
      </c>
      <c r="C1978" s="2"/>
      <c r="D1978" s="2"/>
      <c r="E1978" s="2"/>
      <c r="F1978" s="2"/>
      <c r="G1978" s="2"/>
      <c r="H1978" s="2"/>
      <c r="I1978" s="2">
        <v>61.63</v>
      </c>
      <c r="J1978" s="2">
        <v>315</v>
      </c>
      <c r="K1978" s="2">
        <v>60.536299999999997</v>
      </c>
      <c r="L1978" s="2">
        <v>325</v>
      </c>
      <c r="M1978" s="2">
        <v>85.433499999999995</v>
      </c>
      <c r="N1978" s="2">
        <v>331</v>
      </c>
      <c r="O1978" s="2">
        <v>83.278899999999993</v>
      </c>
      <c r="P1978" s="2">
        <v>335</v>
      </c>
      <c r="Q1978" s="2">
        <v>102.20269999999999</v>
      </c>
      <c r="R1978" s="2">
        <v>165</v>
      </c>
      <c r="S1978" s="2">
        <v>104.8115</v>
      </c>
      <c r="T1978" s="2">
        <v>208</v>
      </c>
      <c r="U1978" s="2">
        <v>6.6321000000000005E-2</v>
      </c>
      <c r="V1978" s="2">
        <v>333</v>
      </c>
      <c r="W1978" s="2">
        <v>2007</v>
      </c>
    </row>
    <row r="1979" spans="1:23" ht="12.3" hidden="1" x14ac:dyDescent="0.4">
      <c r="A1979" s="2" t="s">
        <v>366</v>
      </c>
      <c r="B1979" s="2" t="e">
        <v>#N/A</v>
      </c>
      <c r="C1979" s="2"/>
      <c r="D1979" s="2"/>
      <c r="E1979" s="2"/>
      <c r="F1979" s="2"/>
      <c r="G1979" s="2"/>
      <c r="H1979" s="2"/>
      <c r="I1979" s="2">
        <v>66.446200000000005</v>
      </c>
      <c r="J1979" s="2">
        <v>186</v>
      </c>
      <c r="K1979" s="2">
        <v>66.775000000000006</v>
      </c>
      <c r="L1979" s="2">
        <v>166</v>
      </c>
      <c r="M1979" s="2">
        <v>85.856800000000007</v>
      </c>
      <c r="N1979" s="2">
        <v>330</v>
      </c>
      <c r="O1979" s="2">
        <v>84.396900000000002</v>
      </c>
      <c r="P1979" s="2">
        <v>334</v>
      </c>
      <c r="Q1979" s="2">
        <v>106.0596</v>
      </c>
      <c r="R1979" s="2">
        <v>257</v>
      </c>
      <c r="S1979" s="2">
        <v>107.3095</v>
      </c>
      <c r="T1979" s="2">
        <v>257</v>
      </c>
      <c r="U1979" s="2">
        <v>5.9404999999999999E-2</v>
      </c>
      <c r="V1979" s="2">
        <v>334</v>
      </c>
      <c r="W1979" s="2">
        <v>2007</v>
      </c>
    </row>
    <row r="1980" spans="1:23" ht="12.3" hidden="1" x14ac:dyDescent="0.4">
      <c r="A1980" s="2" t="s">
        <v>363</v>
      </c>
      <c r="B1980" s="2" t="e">
        <v>#N/A</v>
      </c>
      <c r="C1980" s="2"/>
      <c r="D1980" s="2"/>
      <c r="E1980" s="2"/>
      <c r="F1980" s="2"/>
      <c r="G1980" s="2"/>
      <c r="H1980" s="2"/>
      <c r="I1980" s="2">
        <v>64.799000000000007</v>
      </c>
      <c r="J1980" s="2">
        <v>249</v>
      </c>
      <c r="K1980" s="2">
        <v>64.231399999999994</v>
      </c>
      <c r="L1980" s="2">
        <v>269</v>
      </c>
      <c r="M1980" s="2">
        <v>81.986000000000004</v>
      </c>
      <c r="N1980" s="2">
        <v>336</v>
      </c>
      <c r="O1980" s="2">
        <v>82.598200000000006</v>
      </c>
      <c r="P1980" s="2">
        <v>336</v>
      </c>
      <c r="Q1980" s="2">
        <v>104.68259999999999</v>
      </c>
      <c r="R1980" s="2">
        <v>219</v>
      </c>
      <c r="S1980" s="2">
        <v>105.81619999999999</v>
      </c>
      <c r="T1980" s="2">
        <v>228</v>
      </c>
      <c r="U1980" s="2">
        <v>5.4746999999999997E-2</v>
      </c>
      <c r="V1980" s="2">
        <v>335</v>
      </c>
      <c r="W1980" s="2">
        <v>2007</v>
      </c>
    </row>
    <row r="1981" spans="1:23" ht="12.3" hidden="1" x14ac:dyDescent="0.4">
      <c r="A1981" s="2" t="s">
        <v>321</v>
      </c>
      <c r="B1981" s="2" t="e">
        <v>#N/A</v>
      </c>
      <c r="C1981" s="2"/>
      <c r="D1981" s="2"/>
      <c r="E1981" s="2"/>
      <c r="F1981" s="2"/>
      <c r="G1981" s="2"/>
      <c r="H1981" s="2"/>
      <c r="I1981" s="2">
        <v>67.851699999999994</v>
      </c>
      <c r="J1981" s="2">
        <v>121</v>
      </c>
      <c r="K1981" s="2">
        <v>68.674099999999996</v>
      </c>
      <c r="L1981" s="2">
        <v>94</v>
      </c>
      <c r="M1981" s="2">
        <v>88.39</v>
      </c>
      <c r="N1981" s="2">
        <v>325</v>
      </c>
      <c r="O1981" s="2">
        <v>86.945899999999995</v>
      </c>
      <c r="P1981" s="2">
        <v>329</v>
      </c>
      <c r="Q1981" s="2">
        <v>108.6841</v>
      </c>
      <c r="R1981" s="2">
        <v>294</v>
      </c>
      <c r="S1981" s="2">
        <v>111.57129999999999</v>
      </c>
      <c r="T1981" s="2">
        <v>322</v>
      </c>
      <c r="U1981" s="2">
        <v>5.3766000000000001E-2</v>
      </c>
      <c r="V1981" s="2">
        <v>336</v>
      </c>
      <c r="W1981" s="2">
        <v>2007</v>
      </c>
    </row>
    <row r="1982" spans="1:23" ht="12.3" x14ac:dyDescent="0.4">
      <c r="A1982" s="2" t="s">
        <v>226</v>
      </c>
      <c r="B1982" s="2">
        <v>14</v>
      </c>
      <c r="C1982" s="25"/>
      <c r="D1982" s="25"/>
      <c r="E1982" s="25"/>
      <c r="F1982" s="25"/>
      <c r="G1982" s="25"/>
      <c r="H1982" s="25"/>
      <c r="I1982" s="2">
        <v>61.040700000000001</v>
      </c>
      <c r="J1982" s="2">
        <v>327</v>
      </c>
      <c r="K1982" s="2">
        <v>61.164200000000001</v>
      </c>
      <c r="L1982" s="2">
        <v>325</v>
      </c>
      <c r="M1982" s="2">
        <v>105.1724</v>
      </c>
      <c r="N1982" s="2">
        <v>101</v>
      </c>
      <c r="O1982" s="2">
        <v>103.9704</v>
      </c>
      <c r="P1982" s="2">
        <v>126</v>
      </c>
      <c r="Q1982" s="2">
        <v>94.454099999999997</v>
      </c>
      <c r="R1982" s="2">
        <v>30</v>
      </c>
      <c r="S1982" s="2">
        <v>98.721199999999996</v>
      </c>
      <c r="T1982" s="2">
        <v>108</v>
      </c>
      <c r="U1982" s="2">
        <v>0.64469100000000001</v>
      </c>
      <c r="V1982" s="2">
        <v>103</v>
      </c>
      <c r="W1982" s="2">
        <v>2009</v>
      </c>
    </row>
    <row r="1983" spans="1:23" ht="12.3" x14ac:dyDescent="0.4">
      <c r="A1983" s="2" t="s">
        <v>108</v>
      </c>
      <c r="B1983" s="2">
        <v>16</v>
      </c>
      <c r="C1983" s="25"/>
      <c r="D1983" s="25"/>
      <c r="E1983" s="25"/>
      <c r="F1983" s="25"/>
      <c r="G1983" s="2"/>
      <c r="H1983" s="25"/>
      <c r="I1983" s="2">
        <v>72.094300000000004</v>
      </c>
      <c r="J1983" s="2">
        <v>17</v>
      </c>
      <c r="K1983" s="2">
        <v>70.990499999999997</v>
      </c>
      <c r="L1983" s="2">
        <v>24</v>
      </c>
      <c r="M1983" s="2">
        <v>107.67</v>
      </c>
      <c r="N1983" s="2">
        <v>67</v>
      </c>
      <c r="O1983" s="2">
        <v>105.0436</v>
      </c>
      <c r="P1983" s="2">
        <v>101</v>
      </c>
      <c r="Q1983" s="2">
        <v>96.7363</v>
      </c>
      <c r="R1983" s="2">
        <v>71</v>
      </c>
      <c r="S1983" s="2">
        <v>100.24120000000001</v>
      </c>
      <c r="T1983" s="2">
        <v>142</v>
      </c>
      <c r="U1983" s="2">
        <v>0.631382</v>
      </c>
      <c r="V1983" s="2">
        <v>106</v>
      </c>
      <c r="W1983" s="2">
        <v>2009</v>
      </c>
    </row>
    <row r="1984" spans="1:23" ht="12.3" x14ac:dyDescent="0.4">
      <c r="A1984" s="2" t="s">
        <v>198</v>
      </c>
      <c r="B1984" s="2">
        <v>15</v>
      </c>
      <c r="C1984" s="25"/>
      <c r="D1984" s="25"/>
      <c r="E1984" s="25"/>
      <c r="F1984" s="25"/>
      <c r="G1984" s="2"/>
      <c r="H1984" s="2"/>
      <c r="I1984" s="2">
        <v>71.602500000000006</v>
      </c>
      <c r="J1984" s="2">
        <v>26</v>
      </c>
      <c r="K1984" s="2">
        <v>72.908799999999999</v>
      </c>
      <c r="L1984" s="2">
        <v>12</v>
      </c>
      <c r="M1984" s="2">
        <v>102.0672</v>
      </c>
      <c r="N1984" s="2">
        <v>162</v>
      </c>
      <c r="O1984" s="2">
        <v>99.728999999999999</v>
      </c>
      <c r="P1984" s="2">
        <v>206</v>
      </c>
      <c r="Q1984" s="2">
        <v>97.228899999999996</v>
      </c>
      <c r="R1984" s="2">
        <v>83</v>
      </c>
      <c r="S1984" s="2">
        <v>95.380099999999999</v>
      </c>
      <c r="T1984" s="2">
        <v>50</v>
      </c>
      <c r="U1984" s="2">
        <v>0.62544900000000003</v>
      </c>
      <c r="V1984" s="2">
        <v>109</v>
      </c>
      <c r="W1984" s="2">
        <v>2009</v>
      </c>
    </row>
    <row r="1985" spans="1:23" ht="12.3" x14ac:dyDescent="0.4">
      <c r="A1985" s="2" t="s">
        <v>333</v>
      </c>
      <c r="B1985" s="2">
        <v>14</v>
      </c>
      <c r="C1985" s="25"/>
      <c r="D1985" s="25"/>
      <c r="E1985" s="2"/>
      <c r="F1985" s="2"/>
      <c r="G1985" s="2"/>
      <c r="H1985" s="2"/>
      <c r="I1985" s="2">
        <v>66.423100000000005</v>
      </c>
      <c r="J1985" s="2">
        <v>163</v>
      </c>
      <c r="K1985" s="2">
        <v>66.832999999999998</v>
      </c>
      <c r="L1985" s="2">
        <v>151</v>
      </c>
      <c r="M1985" s="2">
        <v>109.0291</v>
      </c>
      <c r="N1985" s="2">
        <v>46</v>
      </c>
      <c r="O1985" s="2">
        <v>106.1421</v>
      </c>
      <c r="P1985" s="2">
        <v>91</v>
      </c>
      <c r="Q1985" s="2">
        <v>96.784300000000002</v>
      </c>
      <c r="R1985" s="2">
        <v>72</v>
      </c>
      <c r="S1985" s="2">
        <v>101.8901</v>
      </c>
      <c r="T1985" s="2">
        <v>172</v>
      </c>
      <c r="U1985" s="2">
        <v>0.61542399999999997</v>
      </c>
      <c r="V1985" s="2">
        <v>113</v>
      </c>
      <c r="W1985" s="2">
        <v>2009</v>
      </c>
    </row>
    <row r="1986" spans="1:23" ht="12.3" x14ac:dyDescent="0.4">
      <c r="A1986" s="2" t="s">
        <v>269</v>
      </c>
      <c r="B1986" s="2">
        <v>13</v>
      </c>
      <c r="C1986" s="25"/>
      <c r="D1986" s="25"/>
      <c r="E1986" s="25"/>
      <c r="F1986" s="25"/>
      <c r="G1986" s="2"/>
      <c r="H1986" s="2"/>
      <c r="I1986" s="2">
        <v>65.8934</v>
      </c>
      <c r="J1986" s="2">
        <v>186</v>
      </c>
      <c r="K1986" s="2">
        <v>65.987099999999998</v>
      </c>
      <c r="L1986" s="2">
        <v>183</v>
      </c>
      <c r="M1986" s="2">
        <v>109.4819</v>
      </c>
      <c r="N1986" s="2">
        <v>39</v>
      </c>
      <c r="O1986" s="2">
        <v>107.8385</v>
      </c>
      <c r="P1986" s="2">
        <v>70</v>
      </c>
      <c r="Q1986" s="2">
        <v>101.5784</v>
      </c>
      <c r="R1986" s="2">
        <v>179</v>
      </c>
      <c r="S1986" s="2">
        <v>104.1996</v>
      </c>
      <c r="T1986" s="2">
        <v>225</v>
      </c>
      <c r="U1986" s="2">
        <v>0.59742700000000004</v>
      </c>
      <c r="V1986" s="2">
        <v>116</v>
      </c>
      <c r="W1986" s="2">
        <v>2009</v>
      </c>
    </row>
    <row r="1987" spans="1:23" ht="12.3" x14ac:dyDescent="0.4">
      <c r="A1987" s="2" t="s">
        <v>345</v>
      </c>
      <c r="B1987" s="2">
        <v>15</v>
      </c>
      <c r="C1987" s="25"/>
      <c r="D1987" s="2"/>
      <c r="E1987" s="2"/>
      <c r="F1987" s="2"/>
      <c r="G1987" s="2"/>
      <c r="H1987" s="2"/>
      <c r="I1987" s="2">
        <v>66.097300000000004</v>
      </c>
      <c r="J1987" s="2">
        <v>179</v>
      </c>
      <c r="K1987" s="2">
        <v>66.271000000000001</v>
      </c>
      <c r="L1987" s="2">
        <v>171</v>
      </c>
      <c r="M1987" s="2">
        <v>101.51860000000001</v>
      </c>
      <c r="N1987" s="2">
        <v>168</v>
      </c>
      <c r="O1987" s="2">
        <v>99.320499999999996</v>
      </c>
      <c r="P1987" s="2">
        <v>215</v>
      </c>
      <c r="Q1987" s="2">
        <v>93.167699999999996</v>
      </c>
      <c r="R1987" s="2">
        <v>17</v>
      </c>
      <c r="S1987" s="2">
        <v>97.501900000000006</v>
      </c>
      <c r="T1987" s="2">
        <v>76</v>
      </c>
      <c r="U1987" s="2">
        <v>0.55293199999999998</v>
      </c>
      <c r="V1987" s="2">
        <v>134</v>
      </c>
      <c r="W1987" s="2">
        <v>2009</v>
      </c>
    </row>
    <row r="1988" spans="1:23" ht="12.3" x14ac:dyDescent="0.4">
      <c r="A1988" s="2" t="s">
        <v>307</v>
      </c>
      <c r="B1988" s="2">
        <v>15</v>
      </c>
      <c r="C1988" s="25"/>
      <c r="D1988" s="25"/>
      <c r="E1988" s="25"/>
      <c r="F1988" s="2"/>
      <c r="G1988" s="2"/>
      <c r="H1988" s="2"/>
      <c r="I1988" s="2">
        <v>67.146299999999997</v>
      </c>
      <c r="J1988" s="2">
        <v>136</v>
      </c>
      <c r="K1988" s="2">
        <v>66.702100000000002</v>
      </c>
      <c r="L1988" s="2">
        <v>155</v>
      </c>
      <c r="M1988" s="2">
        <v>105.108</v>
      </c>
      <c r="N1988" s="2">
        <v>104</v>
      </c>
      <c r="O1988" s="2">
        <v>100.0742</v>
      </c>
      <c r="P1988" s="2">
        <v>201</v>
      </c>
      <c r="Q1988" s="2">
        <v>96.299800000000005</v>
      </c>
      <c r="R1988" s="2">
        <v>60</v>
      </c>
      <c r="S1988" s="2">
        <v>98.495199999999997</v>
      </c>
      <c r="T1988" s="2">
        <v>99</v>
      </c>
      <c r="U1988" s="2">
        <v>0.545597</v>
      </c>
      <c r="V1988" s="2">
        <v>137</v>
      </c>
      <c r="W1988" s="2">
        <v>2009</v>
      </c>
    </row>
    <row r="1989" spans="1:23" ht="12.3" x14ac:dyDescent="0.4">
      <c r="A1989" s="2" t="s">
        <v>201</v>
      </c>
      <c r="B1989" s="2">
        <v>16</v>
      </c>
      <c r="C1989" s="25"/>
      <c r="D1989" s="2"/>
      <c r="E1989" s="2"/>
      <c r="F1989" s="2"/>
      <c r="G1989" s="2"/>
      <c r="H1989" s="2"/>
      <c r="I1989" s="2">
        <v>66.876900000000006</v>
      </c>
      <c r="J1989" s="2">
        <v>147</v>
      </c>
      <c r="K1989" s="2">
        <v>66.088200000000001</v>
      </c>
      <c r="L1989" s="2">
        <v>177</v>
      </c>
      <c r="M1989" s="2">
        <v>103.6198</v>
      </c>
      <c r="N1989" s="2">
        <v>130</v>
      </c>
      <c r="O1989" s="2">
        <v>101.6664</v>
      </c>
      <c r="P1989" s="2">
        <v>158</v>
      </c>
      <c r="Q1989" s="2">
        <v>102.6229</v>
      </c>
      <c r="R1989" s="2">
        <v>205</v>
      </c>
      <c r="S1989" s="2">
        <v>101.3664</v>
      </c>
      <c r="T1989" s="2">
        <v>166</v>
      </c>
      <c r="U1989" s="2">
        <v>0.508494</v>
      </c>
      <c r="V1989" s="2">
        <v>158</v>
      </c>
      <c r="W1989" s="2">
        <v>2009</v>
      </c>
    </row>
    <row r="1990" spans="1:23" ht="12.3" x14ac:dyDescent="0.4">
      <c r="A1990" s="2" t="s">
        <v>315</v>
      </c>
      <c r="B1990" s="2">
        <v>15</v>
      </c>
      <c r="C1990" s="25"/>
      <c r="D1990" s="25"/>
      <c r="E1990" s="25"/>
      <c r="F1990" s="2"/>
      <c r="G1990" s="2"/>
      <c r="H1990" s="2"/>
      <c r="I1990" s="2">
        <v>66.992599999999996</v>
      </c>
      <c r="J1990" s="2">
        <v>142</v>
      </c>
      <c r="K1990" s="2">
        <v>68.412700000000001</v>
      </c>
      <c r="L1990" s="2">
        <v>89</v>
      </c>
      <c r="M1990" s="2">
        <v>103.2525</v>
      </c>
      <c r="N1990" s="2">
        <v>138</v>
      </c>
      <c r="O1990" s="2">
        <v>101.13590000000001</v>
      </c>
      <c r="P1990" s="2">
        <v>173</v>
      </c>
      <c r="Q1990" s="2">
        <v>98.519400000000005</v>
      </c>
      <c r="R1990" s="2">
        <v>102</v>
      </c>
      <c r="S1990" s="2">
        <v>101.0018</v>
      </c>
      <c r="T1990" s="2">
        <v>158</v>
      </c>
      <c r="U1990" s="2">
        <v>0.50381699999999996</v>
      </c>
      <c r="V1990" s="2">
        <v>161</v>
      </c>
      <c r="W1990" s="2">
        <v>2009</v>
      </c>
    </row>
    <row r="1991" spans="1:23" ht="12.3" x14ac:dyDescent="0.4">
      <c r="A1991" s="2" t="s">
        <v>223</v>
      </c>
      <c r="B1991" s="2">
        <v>16</v>
      </c>
      <c r="C1991" s="25"/>
      <c r="D1991" s="25"/>
      <c r="E1991" s="2"/>
      <c r="F1991" s="2"/>
      <c r="G1991" s="2"/>
      <c r="H1991" s="2"/>
      <c r="I1991" s="2">
        <v>71.174300000000002</v>
      </c>
      <c r="J1991" s="2">
        <v>31</v>
      </c>
      <c r="K1991" s="2">
        <v>69.884500000000003</v>
      </c>
      <c r="L1991" s="2">
        <v>48</v>
      </c>
      <c r="M1991" s="2">
        <v>102.7826</v>
      </c>
      <c r="N1991" s="2">
        <v>147</v>
      </c>
      <c r="O1991" s="2">
        <v>101.2514</v>
      </c>
      <c r="P1991" s="2">
        <v>171</v>
      </c>
      <c r="Q1991" s="2">
        <v>99.534300000000002</v>
      </c>
      <c r="R1991" s="2">
        <v>124</v>
      </c>
      <c r="S1991" s="2">
        <v>101.2088</v>
      </c>
      <c r="T1991" s="2">
        <v>162</v>
      </c>
      <c r="U1991" s="2">
        <v>0.50121000000000004</v>
      </c>
      <c r="V1991" s="2">
        <v>164</v>
      </c>
      <c r="W1991" s="2">
        <v>2009</v>
      </c>
    </row>
    <row r="1992" spans="1:23" ht="12.3" x14ac:dyDescent="0.4">
      <c r="A1992" s="2" t="s">
        <v>297</v>
      </c>
      <c r="B1992" s="2">
        <v>16</v>
      </c>
      <c r="C1992" s="25"/>
      <c r="D1992" s="25"/>
      <c r="E1992" s="2"/>
      <c r="F1992" s="2"/>
      <c r="G1992" s="2"/>
      <c r="H1992" s="2"/>
      <c r="I1992" s="2">
        <v>66.169399999999996</v>
      </c>
      <c r="J1992" s="2">
        <v>177</v>
      </c>
      <c r="K1992" s="2">
        <v>64.518799999999999</v>
      </c>
      <c r="L1992" s="2">
        <v>255</v>
      </c>
      <c r="M1992" s="2">
        <v>105.2414</v>
      </c>
      <c r="N1992" s="2">
        <v>98</v>
      </c>
      <c r="O1992" s="2">
        <v>101.0658</v>
      </c>
      <c r="P1992" s="2">
        <v>176</v>
      </c>
      <c r="Q1992" s="2">
        <v>96.465000000000003</v>
      </c>
      <c r="R1992" s="2">
        <v>66</v>
      </c>
      <c r="S1992" s="2">
        <v>102.7761</v>
      </c>
      <c r="T1992" s="2">
        <v>190</v>
      </c>
      <c r="U1992" s="2">
        <v>0.451903</v>
      </c>
      <c r="V1992" s="2">
        <v>185</v>
      </c>
      <c r="W1992" s="2">
        <v>2009</v>
      </c>
    </row>
    <row r="1993" spans="1:23" ht="12.3" x14ac:dyDescent="0.4">
      <c r="A1993" s="2" t="s">
        <v>166</v>
      </c>
      <c r="B1993" s="2">
        <v>16</v>
      </c>
      <c r="C1993" s="2"/>
      <c r="D1993" s="2"/>
      <c r="E1993" s="2"/>
      <c r="F1993" s="2"/>
      <c r="G1993" s="2"/>
      <c r="H1993" s="2"/>
      <c r="I1993" s="2">
        <v>70.836299999999994</v>
      </c>
      <c r="J1993" s="2">
        <v>37</v>
      </c>
      <c r="K1993" s="2">
        <v>70.296099999999996</v>
      </c>
      <c r="L1993" s="2">
        <v>36</v>
      </c>
      <c r="M1993" s="2">
        <v>105.20489999999999</v>
      </c>
      <c r="N1993" s="2">
        <v>100</v>
      </c>
      <c r="O1993" s="2">
        <v>104.5025</v>
      </c>
      <c r="P1993" s="2">
        <v>114</v>
      </c>
      <c r="Q1993" s="2">
        <v>106.5386</v>
      </c>
      <c r="R1993" s="2">
        <v>279</v>
      </c>
      <c r="S1993" s="2">
        <v>107.8091</v>
      </c>
      <c r="T1993" s="2">
        <v>293</v>
      </c>
      <c r="U1993" s="2">
        <v>0.41138599999999997</v>
      </c>
      <c r="V1993" s="2">
        <v>200</v>
      </c>
      <c r="W1993" s="2">
        <v>2009</v>
      </c>
    </row>
    <row r="1994" spans="1:23" ht="12.3" x14ac:dyDescent="0.4">
      <c r="A1994" s="2" t="s">
        <v>35</v>
      </c>
      <c r="B1994" s="2">
        <v>1</v>
      </c>
      <c r="C1994" s="3" t="s">
        <v>33</v>
      </c>
      <c r="D1994" s="3" t="s">
        <v>33</v>
      </c>
      <c r="E1994" s="3" t="s">
        <v>33</v>
      </c>
      <c r="F1994" s="4" t="s">
        <v>33</v>
      </c>
      <c r="G1994" s="4" t="s">
        <v>33</v>
      </c>
      <c r="H1994" s="4" t="s">
        <v>33</v>
      </c>
      <c r="I1994" s="2">
        <v>68.722300000000004</v>
      </c>
      <c r="J1994" s="2">
        <v>108</v>
      </c>
      <c r="K1994" s="2">
        <v>68.898200000000003</v>
      </c>
      <c r="L1994" s="2">
        <v>98</v>
      </c>
      <c r="M1994" s="2">
        <v>117.8681</v>
      </c>
      <c r="N1994" s="2">
        <v>1</v>
      </c>
      <c r="O1994" s="2">
        <v>120.8601</v>
      </c>
      <c r="P1994" s="2">
        <v>1</v>
      </c>
      <c r="Q1994" s="2">
        <v>89.5929</v>
      </c>
      <c r="R1994" s="2">
        <v>5</v>
      </c>
      <c r="S1994" s="2">
        <v>89.791600000000003</v>
      </c>
      <c r="T1994" s="2">
        <v>6</v>
      </c>
      <c r="U1994" s="2">
        <v>0.96823599999999999</v>
      </c>
      <c r="V1994" s="2">
        <v>1</v>
      </c>
      <c r="W1994" s="2">
        <v>2008</v>
      </c>
    </row>
    <row r="1995" spans="1:23" ht="12.3" x14ac:dyDescent="0.4">
      <c r="A1995" s="2" t="s">
        <v>71</v>
      </c>
      <c r="B1995" s="2">
        <v>1</v>
      </c>
      <c r="C1995" s="4" t="s">
        <v>33</v>
      </c>
      <c r="D1995" s="4" t="s">
        <v>33</v>
      </c>
      <c r="E1995" s="4" t="s">
        <v>33</v>
      </c>
      <c r="F1995" s="4" t="s">
        <v>33</v>
      </c>
      <c r="G1995" s="2"/>
      <c r="I1995" s="2">
        <v>70.485799999999998</v>
      </c>
      <c r="J1995" s="2">
        <v>57</v>
      </c>
      <c r="K1995" s="2">
        <v>69.744600000000005</v>
      </c>
      <c r="L1995" s="2">
        <v>74</v>
      </c>
      <c r="M1995" s="2">
        <v>112.8163</v>
      </c>
      <c r="N1995" s="2">
        <v>17</v>
      </c>
      <c r="O1995" s="2">
        <v>111.949</v>
      </c>
      <c r="P1995" s="2">
        <v>30</v>
      </c>
      <c r="Q1995" s="2">
        <v>85.718100000000007</v>
      </c>
      <c r="R1995" s="2">
        <v>1</v>
      </c>
      <c r="S1995" s="2">
        <v>85.855999999999995</v>
      </c>
      <c r="T1995" s="2">
        <v>1</v>
      </c>
      <c r="U1995" s="2">
        <v>0.95485900000000001</v>
      </c>
      <c r="V1995" s="2">
        <v>2</v>
      </c>
      <c r="W1995" s="2">
        <v>2008</v>
      </c>
    </row>
    <row r="1996" spans="1:23" ht="12.3" x14ac:dyDescent="0.4">
      <c r="A1996" s="2" t="s">
        <v>65</v>
      </c>
      <c r="B1996" s="2">
        <v>1</v>
      </c>
      <c r="C1996" s="3" t="s">
        <v>33</v>
      </c>
      <c r="D1996" s="3" t="s">
        <v>33</v>
      </c>
      <c r="E1996" s="4" t="s">
        <v>33</v>
      </c>
      <c r="F1996" s="4" t="s">
        <v>33</v>
      </c>
      <c r="G1996" s="2"/>
      <c r="H1996" s="2"/>
      <c r="I1996" s="2">
        <v>64.998199999999997</v>
      </c>
      <c r="J1996" s="2">
        <v>250</v>
      </c>
      <c r="K1996" s="2">
        <v>65.5595</v>
      </c>
      <c r="L1996" s="2">
        <v>216</v>
      </c>
      <c r="M1996" s="2">
        <v>113.7163</v>
      </c>
      <c r="N1996" s="2">
        <v>10</v>
      </c>
      <c r="O1996" s="2">
        <v>116.1109</v>
      </c>
      <c r="P1996" s="2">
        <v>6</v>
      </c>
      <c r="Q1996" s="2">
        <v>91.734300000000005</v>
      </c>
      <c r="R1996" s="2">
        <v>8</v>
      </c>
      <c r="S1996" s="2">
        <v>89.335099999999997</v>
      </c>
      <c r="T1996" s="2">
        <v>4</v>
      </c>
      <c r="U1996" s="2">
        <v>0.95323599999999997</v>
      </c>
      <c r="V1996" s="2">
        <v>3</v>
      </c>
      <c r="W1996" s="2">
        <v>2008</v>
      </c>
    </row>
    <row r="1997" spans="1:23" ht="12.3" x14ac:dyDescent="0.4">
      <c r="A1997" s="2" t="s">
        <v>76</v>
      </c>
      <c r="B1997" s="2">
        <v>3</v>
      </c>
      <c r="C1997" s="3" t="s">
        <v>33</v>
      </c>
      <c r="D1997" s="4" t="s">
        <v>33</v>
      </c>
      <c r="E1997" s="2"/>
      <c r="F1997" s="2"/>
      <c r="G1997" s="2"/>
      <c r="H1997" s="2"/>
      <c r="I1997" s="2">
        <v>62.093600000000002</v>
      </c>
      <c r="J1997" s="2">
        <v>312</v>
      </c>
      <c r="K1997" s="2">
        <v>62.7376</v>
      </c>
      <c r="L1997" s="2">
        <v>306</v>
      </c>
      <c r="M1997" s="2">
        <v>108.68600000000001</v>
      </c>
      <c r="N1997" s="2">
        <v>55</v>
      </c>
      <c r="O1997" s="2">
        <v>112.3212</v>
      </c>
      <c r="P1997" s="2">
        <v>28</v>
      </c>
      <c r="Q1997" s="2">
        <v>86.642700000000005</v>
      </c>
      <c r="R1997" s="2">
        <v>2</v>
      </c>
      <c r="S1997" s="2">
        <v>87.367699999999999</v>
      </c>
      <c r="T1997" s="2">
        <v>2</v>
      </c>
      <c r="U1997" s="2">
        <v>0.94731100000000001</v>
      </c>
      <c r="V1997" s="2">
        <v>4</v>
      </c>
      <c r="W1997" s="2">
        <v>2008</v>
      </c>
    </row>
    <row r="1998" spans="1:23" ht="12.3" x14ac:dyDescent="0.4">
      <c r="A1998" s="2" t="s">
        <v>168</v>
      </c>
      <c r="B1998" s="2">
        <v>1</v>
      </c>
      <c r="C1998" s="3" t="s">
        <v>33</v>
      </c>
      <c r="D1998" s="3" t="s">
        <v>33</v>
      </c>
      <c r="E1998" s="3" t="s">
        <v>33</v>
      </c>
      <c r="F1998" s="4" t="s">
        <v>33</v>
      </c>
      <c r="G1998" s="2"/>
      <c r="H1998" s="2"/>
      <c r="I1998" s="2">
        <v>75.893000000000001</v>
      </c>
      <c r="J1998" s="2">
        <v>3</v>
      </c>
      <c r="K1998" s="2">
        <v>74.418700000000001</v>
      </c>
      <c r="L1998" s="2">
        <v>7</v>
      </c>
      <c r="M1998" s="2">
        <v>115.3951</v>
      </c>
      <c r="N1998" s="2">
        <v>3</v>
      </c>
      <c r="O1998" s="2">
        <v>118.7927</v>
      </c>
      <c r="P1998" s="2">
        <v>3</v>
      </c>
      <c r="Q1998" s="2">
        <v>94.904200000000003</v>
      </c>
      <c r="R1998" s="2">
        <v>33</v>
      </c>
      <c r="S1998" s="2">
        <v>93.24</v>
      </c>
      <c r="T1998" s="2">
        <v>23</v>
      </c>
      <c r="U1998" s="2">
        <v>0.94187799999999999</v>
      </c>
      <c r="V1998" s="2">
        <v>5</v>
      </c>
      <c r="W1998" s="2">
        <v>2008</v>
      </c>
    </row>
    <row r="1999" spans="1:23" ht="12.3" x14ac:dyDescent="0.4">
      <c r="A1999" s="2" t="s">
        <v>32</v>
      </c>
      <c r="B1999" s="2">
        <v>2</v>
      </c>
      <c r="C1999" s="3" t="s">
        <v>33</v>
      </c>
      <c r="D1999" s="25"/>
      <c r="E1999" s="2"/>
      <c r="F1999" s="2"/>
      <c r="G1999" s="2"/>
      <c r="H1999" s="2"/>
      <c r="I1999" s="2">
        <v>74.276799999999994</v>
      </c>
      <c r="J1999" s="2">
        <v>11</v>
      </c>
      <c r="K1999" s="2">
        <v>73.275199999999998</v>
      </c>
      <c r="L1999" s="2">
        <v>13</v>
      </c>
      <c r="M1999" s="2">
        <v>112.98390000000001</v>
      </c>
      <c r="N1999" s="2">
        <v>14</v>
      </c>
      <c r="O1999" s="2">
        <v>114.88890000000001</v>
      </c>
      <c r="P1999" s="2">
        <v>9</v>
      </c>
      <c r="Q1999" s="2">
        <v>93.064999999999998</v>
      </c>
      <c r="R1999" s="2">
        <v>20</v>
      </c>
      <c r="S1999" s="2">
        <v>90.842699999999994</v>
      </c>
      <c r="T1999" s="2">
        <v>10</v>
      </c>
      <c r="U1999" s="2">
        <v>0.93706299999999998</v>
      </c>
      <c r="V1999" s="2">
        <v>6</v>
      </c>
      <c r="W1999" s="2">
        <v>2008</v>
      </c>
    </row>
    <row r="2000" spans="1:23" ht="12.3" x14ac:dyDescent="0.4">
      <c r="A2000" s="2" t="s">
        <v>67</v>
      </c>
      <c r="B2000" s="2">
        <v>2</v>
      </c>
      <c r="C2000" s="3" t="s">
        <v>33</v>
      </c>
      <c r="D2000" s="4" t="s">
        <v>33</v>
      </c>
      <c r="E2000" s="4" t="s">
        <v>33</v>
      </c>
      <c r="F2000" s="2"/>
      <c r="G2000" s="2"/>
      <c r="H2000" s="2"/>
      <c r="I2000" s="2">
        <v>65.184100000000001</v>
      </c>
      <c r="J2000" s="2">
        <v>234</v>
      </c>
      <c r="K2000" s="2">
        <v>64.727699999999999</v>
      </c>
      <c r="L2000" s="2">
        <v>254</v>
      </c>
      <c r="M2000" s="2">
        <v>114.3155</v>
      </c>
      <c r="N2000" s="2">
        <v>8</v>
      </c>
      <c r="O2000" s="2">
        <v>118.67829999999999</v>
      </c>
      <c r="P2000" s="2">
        <v>4</v>
      </c>
      <c r="Q2000" s="2">
        <v>98.694000000000003</v>
      </c>
      <c r="R2000" s="2">
        <v>85</v>
      </c>
      <c r="S2000" s="2">
        <v>95.151799999999994</v>
      </c>
      <c r="T2000" s="2">
        <v>40</v>
      </c>
      <c r="U2000" s="2">
        <v>0.926956</v>
      </c>
      <c r="V2000" s="2">
        <v>7</v>
      </c>
      <c r="W2000" s="2">
        <v>2008</v>
      </c>
    </row>
    <row r="2001" spans="1:23" ht="12.3" x14ac:dyDescent="0.4">
      <c r="A2001" s="2" t="s">
        <v>62</v>
      </c>
      <c r="B2001" s="2">
        <v>2</v>
      </c>
      <c r="C2001" s="3" t="s">
        <v>33</v>
      </c>
      <c r="D2001" s="2"/>
      <c r="E2001" s="2"/>
      <c r="F2001" s="2"/>
      <c r="G2001" s="2"/>
      <c r="H2001" s="2"/>
      <c r="I2001" s="2">
        <v>62.196300000000001</v>
      </c>
      <c r="J2001" s="2">
        <v>311</v>
      </c>
      <c r="K2001" s="2">
        <v>62.246899999999997</v>
      </c>
      <c r="L2001" s="2">
        <v>317</v>
      </c>
      <c r="M2001" s="2">
        <v>111.1919</v>
      </c>
      <c r="N2001" s="2">
        <v>25</v>
      </c>
      <c r="O2001" s="2">
        <v>112.5181</v>
      </c>
      <c r="P2001" s="2">
        <v>26</v>
      </c>
      <c r="Q2001" s="2">
        <v>92.587400000000002</v>
      </c>
      <c r="R2001" s="2">
        <v>16</v>
      </c>
      <c r="S2001" s="2">
        <v>90.423599999999993</v>
      </c>
      <c r="T2001" s="2">
        <v>7</v>
      </c>
      <c r="U2001" s="2">
        <v>0.925118</v>
      </c>
      <c r="V2001" s="2">
        <v>8</v>
      </c>
      <c r="W2001" s="2">
        <v>2008</v>
      </c>
    </row>
    <row r="2002" spans="1:23" ht="12.3" x14ac:dyDescent="0.4">
      <c r="A2002" s="2" t="s">
        <v>86</v>
      </c>
      <c r="B2002" s="2">
        <v>3</v>
      </c>
      <c r="C2002" s="3" t="s">
        <v>33</v>
      </c>
      <c r="D2002" s="4" t="s">
        <v>33</v>
      </c>
      <c r="E2002" s="4" t="s">
        <v>33</v>
      </c>
      <c r="F2002" s="2"/>
      <c r="G2002" s="2"/>
      <c r="H2002" s="2"/>
      <c r="I2002" s="2">
        <v>66.996399999999994</v>
      </c>
      <c r="J2002" s="2">
        <v>172</v>
      </c>
      <c r="K2002" s="2">
        <v>67.271600000000007</v>
      </c>
      <c r="L2002" s="2">
        <v>148</v>
      </c>
      <c r="M2002" s="2">
        <v>106.4896</v>
      </c>
      <c r="N2002" s="2">
        <v>86</v>
      </c>
      <c r="O2002" s="2">
        <v>109.7418</v>
      </c>
      <c r="P2002" s="2">
        <v>49</v>
      </c>
      <c r="Q2002" s="2">
        <v>90.940899999999999</v>
      </c>
      <c r="R2002" s="2">
        <v>7</v>
      </c>
      <c r="S2002" s="2">
        <v>89.006799999999998</v>
      </c>
      <c r="T2002" s="2">
        <v>3</v>
      </c>
      <c r="U2002" s="2">
        <v>0.917458</v>
      </c>
      <c r="V2002" s="2">
        <v>9</v>
      </c>
      <c r="W2002" s="2">
        <v>2008</v>
      </c>
    </row>
    <row r="2003" spans="1:23" ht="12.3" x14ac:dyDescent="0.4">
      <c r="A2003" s="2" t="s">
        <v>52</v>
      </c>
      <c r="B2003" s="2">
        <v>3</v>
      </c>
      <c r="C2003" s="4" t="s">
        <v>33</v>
      </c>
      <c r="D2003" s="4" t="s">
        <v>33</v>
      </c>
      <c r="E2003" s="2"/>
      <c r="F2003" s="2"/>
      <c r="G2003" s="2"/>
      <c r="H2003" s="2"/>
      <c r="I2003" s="2">
        <v>64.048699999999997</v>
      </c>
      <c r="J2003" s="2">
        <v>281</v>
      </c>
      <c r="K2003" s="2">
        <v>64.982100000000003</v>
      </c>
      <c r="L2003" s="2">
        <v>244</v>
      </c>
      <c r="M2003" s="2">
        <v>109.1301</v>
      </c>
      <c r="N2003" s="2">
        <v>49</v>
      </c>
      <c r="O2003" s="2">
        <v>111.6589</v>
      </c>
      <c r="P2003" s="2">
        <v>35</v>
      </c>
      <c r="Q2003" s="2">
        <v>93.483599999999996</v>
      </c>
      <c r="R2003" s="2">
        <v>23</v>
      </c>
      <c r="S2003" s="2">
        <v>90.565700000000007</v>
      </c>
      <c r="T2003" s="2">
        <v>9</v>
      </c>
      <c r="U2003" s="2">
        <v>0.91741899999999998</v>
      </c>
      <c r="V2003" s="2">
        <v>10</v>
      </c>
      <c r="W2003" s="2">
        <v>2008</v>
      </c>
    </row>
    <row r="2004" spans="1:23" ht="12.3" x14ac:dyDescent="0.4">
      <c r="A2004" s="2" t="s">
        <v>239</v>
      </c>
      <c r="B2004" s="2">
        <v>4</v>
      </c>
      <c r="C2004" s="4" t="s">
        <v>33</v>
      </c>
      <c r="D2004" s="4" t="s">
        <v>33</v>
      </c>
      <c r="E2004" s="2"/>
      <c r="F2004" s="2"/>
      <c r="G2004" s="2"/>
      <c r="H2004" s="2"/>
      <c r="I2004" s="2">
        <v>59.148200000000003</v>
      </c>
      <c r="J2004" s="2">
        <v>336</v>
      </c>
      <c r="K2004" s="2">
        <v>59.683100000000003</v>
      </c>
      <c r="L2004" s="2">
        <v>334</v>
      </c>
      <c r="M2004" s="2">
        <v>112.2148</v>
      </c>
      <c r="N2004" s="2">
        <v>21</v>
      </c>
      <c r="O2004" s="2">
        <v>114.0761</v>
      </c>
      <c r="P2004" s="2">
        <v>14</v>
      </c>
      <c r="Q2004" s="2">
        <v>94.959199999999996</v>
      </c>
      <c r="R2004" s="2">
        <v>34</v>
      </c>
      <c r="S2004" s="2">
        <v>93.526700000000005</v>
      </c>
      <c r="T2004" s="2">
        <v>26</v>
      </c>
      <c r="U2004" s="2">
        <v>0.90755399999999997</v>
      </c>
      <c r="V2004" s="2">
        <v>11</v>
      </c>
      <c r="W2004" s="2">
        <v>2008</v>
      </c>
    </row>
    <row r="2005" spans="1:23" ht="12.3" x14ac:dyDescent="0.4">
      <c r="A2005" s="2" t="s">
        <v>205</v>
      </c>
      <c r="B2005" s="2">
        <v>5</v>
      </c>
      <c r="C2005" s="25"/>
      <c r="D2005" s="2"/>
      <c r="E2005" s="2"/>
      <c r="F2005" s="2"/>
      <c r="G2005" s="2"/>
      <c r="H2005" s="2"/>
      <c r="I2005" s="2">
        <v>62.811199999999999</v>
      </c>
      <c r="J2005" s="2">
        <v>301</v>
      </c>
      <c r="K2005" s="2">
        <v>63.919899999999998</v>
      </c>
      <c r="L2005" s="2">
        <v>283</v>
      </c>
      <c r="M2005" s="2">
        <v>115.0265</v>
      </c>
      <c r="N2005" s="2">
        <v>5</v>
      </c>
      <c r="O2005" s="2">
        <v>119.28449999999999</v>
      </c>
      <c r="P2005" s="2">
        <v>2</v>
      </c>
      <c r="Q2005" s="2">
        <v>97.043499999999995</v>
      </c>
      <c r="R2005" s="2">
        <v>60</v>
      </c>
      <c r="S2005" s="2">
        <v>97.801100000000005</v>
      </c>
      <c r="T2005" s="2">
        <v>80</v>
      </c>
      <c r="U2005" s="2">
        <v>0.90751199999999999</v>
      </c>
      <c r="V2005" s="2">
        <v>12</v>
      </c>
      <c r="W2005" s="2">
        <v>2008</v>
      </c>
    </row>
    <row r="2006" spans="1:23" ht="12.3" x14ac:dyDescent="0.4">
      <c r="A2006" s="2" t="s">
        <v>134</v>
      </c>
      <c r="B2006" s="2">
        <v>10</v>
      </c>
      <c r="C2006" s="4" t="s">
        <v>33</v>
      </c>
      <c r="D2006" s="4" t="s">
        <v>33</v>
      </c>
      <c r="E2006" s="4" t="s">
        <v>33</v>
      </c>
      <c r="F2006" s="2"/>
      <c r="G2006" s="2"/>
      <c r="H2006" s="2"/>
      <c r="I2006" s="2">
        <v>68.375399999999999</v>
      </c>
      <c r="J2006" s="2">
        <v>119</v>
      </c>
      <c r="K2006" s="2">
        <v>68.271500000000003</v>
      </c>
      <c r="L2006" s="2">
        <v>116</v>
      </c>
      <c r="M2006" s="2">
        <v>113.30889999999999</v>
      </c>
      <c r="N2006" s="2">
        <v>12</v>
      </c>
      <c r="O2006" s="2">
        <v>112.67610000000001</v>
      </c>
      <c r="P2006" s="2">
        <v>23</v>
      </c>
      <c r="Q2006" s="2">
        <v>92.409300000000002</v>
      </c>
      <c r="R2006" s="2">
        <v>15</v>
      </c>
      <c r="S2006" s="2">
        <v>92.483599999999996</v>
      </c>
      <c r="T2006" s="2">
        <v>19</v>
      </c>
      <c r="U2006" s="2">
        <v>0.90645299999999995</v>
      </c>
      <c r="V2006" s="2">
        <v>13</v>
      </c>
      <c r="W2006" s="2">
        <v>2008</v>
      </c>
    </row>
    <row r="2007" spans="1:23" ht="12.3" x14ac:dyDescent="0.4">
      <c r="A2007" s="2" t="s">
        <v>24</v>
      </c>
      <c r="B2007" s="2">
        <v>5</v>
      </c>
      <c r="C2007" s="2"/>
      <c r="D2007" s="2"/>
      <c r="E2007" s="2"/>
      <c r="F2007" s="2"/>
      <c r="G2007" s="2"/>
      <c r="H2007" s="2"/>
      <c r="I2007" s="2">
        <v>70.798900000000003</v>
      </c>
      <c r="J2007" s="2">
        <v>51</v>
      </c>
      <c r="K2007" s="2">
        <v>69.148899999999998</v>
      </c>
      <c r="L2007" s="2">
        <v>85</v>
      </c>
      <c r="M2007" s="2">
        <v>110.0735</v>
      </c>
      <c r="N2007" s="2">
        <v>40</v>
      </c>
      <c r="O2007" s="2">
        <v>111.6797</v>
      </c>
      <c r="P2007" s="2">
        <v>34</v>
      </c>
      <c r="Q2007" s="2">
        <v>95.589399999999998</v>
      </c>
      <c r="R2007" s="2">
        <v>44</v>
      </c>
      <c r="S2007" s="2">
        <v>92.126999999999995</v>
      </c>
      <c r="T2007" s="2">
        <v>16</v>
      </c>
      <c r="U2007" s="2">
        <v>0.90144299999999999</v>
      </c>
      <c r="V2007" s="2">
        <v>14</v>
      </c>
      <c r="W2007" s="2">
        <v>2008</v>
      </c>
    </row>
    <row r="2008" spans="1:23" ht="12.3" x14ac:dyDescent="0.4">
      <c r="A2008" s="2" t="s">
        <v>81</v>
      </c>
      <c r="B2008" s="2">
        <v>2</v>
      </c>
      <c r="C2008" s="3" t="s">
        <v>33</v>
      </c>
      <c r="D2008" s="4" t="s">
        <v>33</v>
      </c>
      <c r="E2008" s="2"/>
      <c r="F2008" s="2"/>
      <c r="G2008" s="2"/>
      <c r="H2008" s="2"/>
      <c r="I2008" s="2">
        <v>72.748400000000004</v>
      </c>
      <c r="J2008" s="2">
        <v>15</v>
      </c>
      <c r="K2008" s="2">
        <v>72.118600000000001</v>
      </c>
      <c r="L2008" s="2">
        <v>19</v>
      </c>
      <c r="M2008" s="2">
        <v>113.04389999999999</v>
      </c>
      <c r="N2008" s="2">
        <v>13</v>
      </c>
      <c r="O2008" s="2">
        <v>116.0628</v>
      </c>
      <c r="P2008" s="2">
        <v>7</v>
      </c>
      <c r="Q2008" s="2">
        <v>97.674199999999999</v>
      </c>
      <c r="R2008" s="2">
        <v>71</v>
      </c>
      <c r="S2008" s="2">
        <v>96.171400000000006</v>
      </c>
      <c r="T2008" s="2">
        <v>54</v>
      </c>
      <c r="U2008" s="2">
        <v>0.89678400000000003</v>
      </c>
      <c r="V2008" s="2">
        <v>15</v>
      </c>
      <c r="W2008" s="2">
        <v>2008</v>
      </c>
    </row>
    <row r="2009" spans="1:23" ht="12.3" x14ac:dyDescent="0.4">
      <c r="A2009" s="2" t="s">
        <v>39</v>
      </c>
      <c r="B2009" s="2">
        <v>6</v>
      </c>
      <c r="C2009" s="4" t="s">
        <v>33</v>
      </c>
      <c r="D2009" s="2"/>
      <c r="E2009" s="2"/>
      <c r="F2009" s="2"/>
      <c r="G2009" s="2"/>
      <c r="H2009" s="2"/>
      <c r="I2009" s="2">
        <v>69.122699999999995</v>
      </c>
      <c r="J2009" s="2">
        <v>94</v>
      </c>
      <c r="K2009" s="2">
        <v>68.579499999999996</v>
      </c>
      <c r="L2009" s="2">
        <v>109</v>
      </c>
      <c r="M2009" s="2">
        <v>109.1781</v>
      </c>
      <c r="N2009" s="2">
        <v>48</v>
      </c>
      <c r="O2009" s="2">
        <v>110.7711</v>
      </c>
      <c r="P2009" s="2">
        <v>41</v>
      </c>
      <c r="Q2009" s="2">
        <v>92.785300000000007</v>
      </c>
      <c r="R2009" s="2">
        <v>17</v>
      </c>
      <c r="S2009" s="2">
        <v>92.012299999999996</v>
      </c>
      <c r="T2009" s="2">
        <v>15</v>
      </c>
      <c r="U2009" s="2">
        <v>0.89414099999999996</v>
      </c>
      <c r="V2009" s="2">
        <v>16</v>
      </c>
      <c r="W2009" s="2">
        <v>2008</v>
      </c>
    </row>
    <row r="2010" spans="1:23" ht="12.3" x14ac:dyDescent="0.4">
      <c r="A2010" s="2" t="s">
        <v>50</v>
      </c>
      <c r="B2010" s="2">
        <v>3</v>
      </c>
      <c r="C2010" s="3" t="s">
        <v>33</v>
      </c>
      <c r="D2010" s="4" t="s">
        <v>33</v>
      </c>
      <c r="E2010" s="4" t="s">
        <v>33</v>
      </c>
      <c r="F2010" s="2"/>
      <c r="G2010" s="2"/>
      <c r="H2010" s="2"/>
      <c r="I2010" s="2">
        <v>65.205299999999994</v>
      </c>
      <c r="J2010" s="2">
        <v>233</v>
      </c>
      <c r="K2010" s="2">
        <v>65.322599999999994</v>
      </c>
      <c r="L2010" s="2">
        <v>227</v>
      </c>
      <c r="M2010" s="2">
        <v>115.1371</v>
      </c>
      <c r="N2010" s="2">
        <v>4</v>
      </c>
      <c r="O2010" s="2">
        <v>113.1885</v>
      </c>
      <c r="P2010" s="2">
        <v>19</v>
      </c>
      <c r="Q2010" s="2">
        <v>95.681299999999993</v>
      </c>
      <c r="R2010" s="2">
        <v>45</v>
      </c>
      <c r="S2010" s="2">
        <v>94.156800000000004</v>
      </c>
      <c r="T2010" s="2">
        <v>32</v>
      </c>
      <c r="U2010" s="2">
        <v>0.89255200000000001</v>
      </c>
      <c r="V2010" s="2">
        <v>17</v>
      </c>
      <c r="W2010" s="2">
        <v>2008</v>
      </c>
    </row>
    <row r="2011" spans="1:23" ht="12.3" x14ac:dyDescent="0.4">
      <c r="A2011" s="2" t="s">
        <v>58</v>
      </c>
      <c r="B2011" s="2">
        <v>5</v>
      </c>
      <c r="C2011" s="3" t="s">
        <v>33</v>
      </c>
      <c r="D2011" s="3" t="s">
        <v>33</v>
      </c>
      <c r="E2011" s="2"/>
      <c r="F2011" s="2"/>
      <c r="G2011" s="2"/>
      <c r="H2011" s="2"/>
      <c r="I2011" s="2">
        <v>64.303399999999996</v>
      </c>
      <c r="J2011" s="2">
        <v>272</v>
      </c>
      <c r="K2011" s="2">
        <v>65.028700000000001</v>
      </c>
      <c r="L2011" s="2">
        <v>241</v>
      </c>
      <c r="M2011" s="2">
        <v>110.345</v>
      </c>
      <c r="N2011" s="2">
        <v>36</v>
      </c>
      <c r="O2011" s="2">
        <v>112.5868</v>
      </c>
      <c r="P2011" s="2">
        <v>25</v>
      </c>
      <c r="Q2011" s="2">
        <v>96.484099999999998</v>
      </c>
      <c r="R2011" s="2">
        <v>53</v>
      </c>
      <c r="S2011" s="2">
        <v>94.313699999999997</v>
      </c>
      <c r="T2011" s="2">
        <v>34</v>
      </c>
      <c r="U2011" s="2">
        <v>0.88458899999999996</v>
      </c>
      <c r="V2011" s="2">
        <v>18</v>
      </c>
      <c r="W2011" s="2">
        <v>2008</v>
      </c>
    </row>
    <row r="2012" spans="1:23" ht="12.3" hidden="1" x14ac:dyDescent="0.4">
      <c r="A2012" s="2" t="s">
        <v>115</v>
      </c>
      <c r="B2012" s="2"/>
      <c r="C2012" s="2"/>
      <c r="D2012" s="2"/>
      <c r="E2012" s="2"/>
      <c r="F2012" s="2"/>
      <c r="G2012" s="2"/>
      <c r="H2012" s="2"/>
      <c r="I2012" s="2">
        <v>65.776300000000006</v>
      </c>
      <c r="J2012" s="2">
        <v>208</v>
      </c>
      <c r="K2012" s="2">
        <v>66.075299999999999</v>
      </c>
      <c r="L2012" s="2">
        <v>196</v>
      </c>
      <c r="M2012" s="2">
        <v>110.62649999999999</v>
      </c>
      <c r="N2012" s="2">
        <v>33</v>
      </c>
      <c r="O2012" s="2">
        <v>108.9084</v>
      </c>
      <c r="P2012" s="2">
        <v>59</v>
      </c>
      <c r="Q2012" s="2">
        <v>92.098399999999998</v>
      </c>
      <c r="R2012" s="2">
        <v>12</v>
      </c>
      <c r="S2012" s="2">
        <v>93.863799999999998</v>
      </c>
      <c r="T2012" s="2">
        <v>30</v>
      </c>
      <c r="U2012" s="2">
        <v>0.84678600000000004</v>
      </c>
      <c r="V2012" s="2">
        <v>31</v>
      </c>
      <c r="W2012" s="2">
        <v>2008</v>
      </c>
    </row>
    <row r="2013" spans="1:23" ht="12.3" x14ac:dyDescent="0.4">
      <c r="A2013" s="2" t="s">
        <v>121</v>
      </c>
      <c r="B2013" s="2">
        <v>6</v>
      </c>
      <c r="C2013" s="4" t="s">
        <v>33</v>
      </c>
      <c r="D2013" s="2"/>
      <c r="E2013" s="2"/>
      <c r="F2013" s="2"/>
      <c r="G2013" s="2"/>
      <c r="H2013" s="2"/>
      <c r="I2013" s="2">
        <v>65.843000000000004</v>
      </c>
      <c r="J2013" s="2">
        <v>203</v>
      </c>
      <c r="K2013" s="2">
        <v>67.923299999999998</v>
      </c>
      <c r="L2013" s="2">
        <v>132</v>
      </c>
      <c r="M2013" s="2">
        <v>104.0596</v>
      </c>
      <c r="N2013" s="2">
        <v>132</v>
      </c>
      <c r="O2013" s="2">
        <v>108.4965</v>
      </c>
      <c r="P2013" s="2">
        <v>64</v>
      </c>
      <c r="Q2013" s="2">
        <v>91.956000000000003</v>
      </c>
      <c r="R2013" s="2">
        <v>11</v>
      </c>
      <c r="S2013" s="2">
        <v>91.445700000000002</v>
      </c>
      <c r="T2013" s="2">
        <v>12</v>
      </c>
      <c r="U2013" s="2">
        <v>0.87719999999999998</v>
      </c>
      <c r="V2013" s="2">
        <v>19</v>
      </c>
      <c r="W2013" s="2">
        <v>2008</v>
      </c>
    </row>
    <row r="2014" spans="1:23" ht="12.3" hidden="1" x14ac:dyDescent="0.4">
      <c r="A2014" s="2" t="s">
        <v>159</v>
      </c>
      <c r="B2014" s="2"/>
      <c r="C2014" s="2"/>
      <c r="D2014" s="2"/>
      <c r="E2014" s="2"/>
      <c r="F2014" s="2"/>
      <c r="G2014" s="2"/>
      <c r="H2014" s="2"/>
      <c r="I2014" s="2">
        <v>68.152900000000002</v>
      </c>
      <c r="J2014" s="2">
        <v>129</v>
      </c>
      <c r="K2014" s="2">
        <v>67.668499999999995</v>
      </c>
      <c r="L2014" s="2">
        <v>139</v>
      </c>
      <c r="M2014" s="2">
        <v>100.5449</v>
      </c>
      <c r="N2014" s="2">
        <v>194</v>
      </c>
      <c r="O2014" s="2">
        <v>103.2505</v>
      </c>
      <c r="P2014" s="2">
        <v>151</v>
      </c>
      <c r="Q2014" s="2">
        <v>93.268000000000001</v>
      </c>
      <c r="R2014" s="2">
        <v>22</v>
      </c>
      <c r="S2014" s="2">
        <v>89.548500000000004</v>
      </c>
      <c r="T2014" s="2">
        <v>5</v>
      </c>
      <c r="U2014" s="2">
        <v>0.83717399999999997</v>
      </c>
      <c r="V2014" s="2">
        <v>33</v>
      </c>
      <c r="W2014" s="2">
        <v>2008</v>
      </c>
    </row>
    <row r="2015" spans="1:23" ht="12.3" x14ac:dyDescent="0.4">
      <c r="A2015" s="2" t="s">
        <v>18</v>
      </c>
      <c r="B2015" s="2">
        <v>7</v>
      </c>
      <c r="C2015" s="4" t="s">
        <v>33</v>
      </c>
      <c r="D2015" s="2"/>
      <c r="E2015" s="2"/>
      <c r="F2015" s="2"/>
      <c r="G2015" s="2"/>
      <c r="H2015" s="2"/>
      <c r="I2015" s="2">
        <v>59.973399999999998</v>
      </c>
      <c r="J2015" s="2">
        <v>330</v>
      </c>
      <c r="K2015" s="2">
        <v>60.948999999999998</v>
      </c>
      <c r="L2015" s="2">
        <v>327</v>
      </c>
      <c r="M2015" s="2">
        <v>112.8232</v>
      </c>
      <c r="N2015" s="2">
        <v>16</v>
      </c>
      <c r="O2015" s="2">
        <v>113.3087</v>
      </c>
      <c r="P2015" s="2">
        <v>18</v>
      </c>
      <c r="Q2015" s="2">
        <v>95.133899999999997</v>
      </c>
      <c r="R2015" s="2">
        <v>39</v>
      </c>
      <c r="S2015" s="2">
        <v>95.774500000000003</v>
      </c>
      <c r="T2015" s="2">
        <v>50</v>
      </c>
      <c r="U2015" s="2">
        <v>0.87362300000000004</v>
      </c>
      <c r="V2015" s="2">
        <v>20</v>
      </c>
      <c r="W2015" s="2">
        <v>2008</v>
      </c>
    </row>
    <row r="2016" spans="1:23" ht="12.3" hidden="1" x14ac:dyDescent="0.4">
      <c r="A2016" s="2" t="s">
        <v>136</v>
      </c>
      <c r="B2016" s="2"/>
      <c r="C2016" s="2"/>
      <c r="D2016" s="2"/>
      <c r="E2016" s="2"/>
      <c r="F2016" s="2"/>
      <c r="G2016" s="2"/>
      <c r="H2016" s="2"/>
      <c r="I2016" s="2">
        <v>63.85</v>
      </c>
      <c r="J2016" s="2">
        <v>287</v>
      </c>
      <c r="K2016" s="2">
        <v>62.920099999999998</v>
      </c>
      <c r="L2016" s="2">
        <v>301</v>
      </c>
      <c r="M2016" s="2">
        <v>103.7478</v>
      </c>
      <c r="N2016" s="2">
        <v>139</v>
      </c>
      <c r="O2016" s="2">
        <v>106.0835</v>
      </c>
      <c r="P2016" s="2">
        <v>106</v>
      </c>
      <c r="Q2016" s="2">
        <v>93.081400000000002</v>
      </c>
      <c r="R2016" s="2">
        <v>21</v>
      </c>
      <c r="S2016" s="2">
        <v>92.5321</v>
      </c>
      <c r="T2016" s="2">
        <v>20</v>
      </c>
      <c r="U2016" s="2">
        <v>0.82802699999999996</v>
      </c>
      <c r="V2016" s="2">
        <v>35</v>
      </c>
      <c r="W2016" s="2">
        <v>2008</v>
      </c>
    </row>
    <row r="2017" spans="1:23" ht="12.3" hidden="1" x14ac:dyDescent="0.4">
      <c r="A2017" s="2" t="s">
        <v>21</v>
      </c>
      <c r="B2017" s="2"/>
      <c r="C2017" s="2"/>
      <c r="D2017" s="2"/>
      <c r="E2017" s="2"/>
      <c r="F2017" s="2"/>
      <c r="G2017" s="2"/>
      <c r="H2017" s="2"/>
      <c r="I2017" s="2">
        <v>63.892800000000001</v>
      </c>
      <c r="J2017" s="2">
        <v>286</v>
      </c>
      <c r="K2017" s="2">
        <v>64.619200000000006</v>
      </c>
      <c r="L2017" s="2">
        <v>259</v>
      </c>
      <c r="M2017" s="2">
        <v>104.4879</v>
      </c>
      <c r="N2017" s="2">
        <v>126</v>
      </c>
      <c r="O2017" s="2">
        <v>107.4162</v>
      </c>
      <c r="P2017" s="2">
        <v>74</v>
      </c>
      <c r="Q2017" s="2">
        <v>95.581500000000005</v>
      </c>
      <c r="R2017" s="2">
        <v>43</v>
      </c>
      <c r="S2017" s="2">
        <v>93.812600000000003</v>
      </c>
      <c r="T2017" s="2">
        <v>29</v>
      </c>
      <c r="U2017" s="2">
        <v>0.82595600000000002</v>
      </c>
      <c r="V2017" s="2">
        <v>36</v>
      </c>
      <c r="W2017" s="2">
        <v>2008</v>
      </c>
    </row>
    <row r="2018" spans="1:23" ht="12.3" x14ac:dyDescent="0.4">
      <c r="A2018" s="2" t="s">
        <v>248</v>
      </c>
      <c r="B2018" s="2">
        <v>9</v>
      </c>
      <c r="C2018" s="3" t="s">
        <v>33</v>
      </c>
      <c r="D2018" s="2"/>
      <c r="E2018" s="2"/>
      <c r="F2018" s="2"/>
      <c r="G2018" s="2"/>
      <c r="H2018" s="2"/>
      <c r="I2018" s="2">
        <v>64.863900000000001</v>
      </c>
      <c r="J2018" s="2">
        <v>257</v>
      </c>
      <c r="K2018" s="2">
        <v>63.817799999999998</v>
      </c>
      <c r="L2018" s="2">
        <v>285</v>
      </c>
      <c r="M2018" s="2">
        <v>107.69410000000001</v>
      </c>
      <c r="N2018" s="2">
        <v>65</v>
      </c>
      <c r="O2018" s="2">
        <v>109.0287</v>
      </c>
      <c r="P2018" s="2">
        <v>58</v>
      </c>
      <c r="Q2018" s="2">
        <v>93.982500000000002</v>
      </c>
      <c r="R2018" s="2">
        <v>25</v>
      </c>
      <c r="S2018" s="2">
        <v>92.473399999999998</v>
      </c>
      <c r="T2018" s="2">
        <v>18</v>
      </c>
      <c r="U2018" s="2">
        <v>0.86920399999999998</v>
      </c>
      <c r="V2018" s="2">
        <v>21</v>
      </c>
      <c r="W2018" s="2">
        <v>2008</v>
      </c>
    </row>
    <row r="2019" spans="1:23" ht="12.3" x14ac:dyDescent="0.4">
      <c r="A2019" s="2" t="s">
        <v>42</v>
      </c>
      <c r="B2019" s="2">
        <v>6</v>
      </c>
      <c r="C2019" s="2"/>
      <c r="D2019" s="2"/>
      <c r="E2019" s="2"/>
      <c r="F2019" s="2"/>
      <c r="G2019" s="2"/>
      <c r="H2019" s="2"/>
      <c r="I2019" s="2">
        <v>65.715100000000007</v>
      </c>
      <c r="J2019" s="2">
        <v>210</v>
      </c>
      <c r="K2019" s="2">
        <v>66.793199999999999</v>
      </c>
      <c r="L2019" s="2">
        <v>166</v>
      </c>
      <c r="M2019" s="2">
        <v>104.0217</v>
      </c>
      <c r="N2019" s="2">
        <v>133</v>
      </c>
      <c r="O2019" s="2">
        <v>108.7276</v>
      </c>
      <c r="P2019" s="2">
        <v>60</v>
      </c>
      <c r="Q2019" s="2">
        <v>95.106399999999994</v>
      </c>
      <c r="R2019" s="2">
        <v>38</v>
      </c>
      <c r="S2019" s="2">
        <v>92.276600000000002</v>
      </c>
      <c r="T2019" s="2">
        <v>17</v>
      </c>
      <c r="U2019" s="2">
        <v>0.868371</v>
      </c>
      <c r="V2019" s="2">
        <v>22</v>
      </c>
      <c r="W2019" s="2">
        <v>2008</v>
      </c>
    </row>
    <row r="2020" spans="1:23" ht="12.3" x14ac:dyDescent="0.4">
      <c r="A2020" s="2" t="s">
        <v>43</v>
      </c>
      <c r="B2020" s="2">
        <v>10</v>
      </c>
      <c r="C2020" s="25"/>
      <c r="D2020" s="25"/>
      <c r="E2020" s="2"/>
      <c r="F2020" s="2"/>
      <c r="G2020" s="2"/>
      <c r="H2020" s="2"/>
      <c r="I2020" s="2">
        <v>64.665499999999994</v>
      </c>
      <c r="J2020" s="2">
        <v>265</v>
      </c>
      <c r="K2020" s="2">
        <v>65.012100000000004</v>
      </c>
      <c r="L2020" s="2">
        <v>243</v>
      </c>
      <c r="M2020" s="2">
        <v>109.4196</v>
      </c>
      <c r="N2020" s="2">
        <v>44</v>
      </c>
      <c r="O2020" s="2">
        <v>114.35420000000001</v>
      </c>
      <c r="P2020" s="2">
        <v>12</v>
      </c>
      <c r="Q2020" s="2">
        <v>102.2513</v>
      </c>
      <c r="R2020" s="2">
        <v>177</v>
      </c>
      <c r="S2020" s="2">
        <v>97.059399999999997</v>
      </c>
      <c r="T2020" s="2">
        <v>65</v>
      </c>
      <c r="U2020" s="2">
        <v>0.86826899999999996</v>
      </c>
      <c r="V2020" s="2">
        <v>23</v>
      </c>
      <c r="W2020" s="2">
        <v>2008</v>
      </c>
    </row>
    <row r="2021" spans="1:23" ht="12.3" x14ac:dyDescent="0.4">
      <c r="A2021" s="2" t="s">
        <v>148</v>
      </c>
      <c r="B2021" s="2">
        <v>11</v>
      </c>
      <c r="C2021" s="4" t="s">
        <v>33</v>
      </c>
      <c r="D2021" s="2"/>
      <c r="E2021" s="2"/>
      <c r="F2021" s="2"/>
      <c r="G2021" s="2"/>
      <c r="H2021" s="2"/>
      <c r="I2021" s="2">
        <v>72.370599999999996</v>
      </c>
      <c r="J2021" s="2">
        <v>22</v>
      </c>
      <c r="K2021" s="2">
        <v>71.789599999999993</v>
      </c>
      <c r="L2021" s="2">
        <v>24</v>
      </c>
      <c r="M2021" s="2">
        <v>108.0988</v>
      </c>
      <c r="N2021" s="2">
        <v>61</v>
      </c>
      <c r="O2021" s="2">
        <v>112.19889999999999</v>
      </c>
      <c r="P2021" s="2">
        <v>29</v>
      </c>
      <c r="Q2021" s="2">
        <v>94.865499999999997</v>
      </c>
      <c r="R2021" s="2">
        <v>31</v>
      </c>
      <c r="S2021" s="2">
        <v>95.297700000000006</v>
      </c>
      <c r="T2021" s="2">
        <v>42</v>
      </c>
      <c r="U2021" s="2">
        <v>0.86733199999999999</v>
      </c>
      <c r="V2021" s="2">
        <v>24</v>
      </c>
      <c r="W2021" s="2">
        <v>2008</v>
      </c>
    </row>
    <row r="2022" spans="1:23" ht="12.3" x14ac:dyDescent="0.4">
      <c r="A2022" s="2" t="s">
        <v>40</v>
      </c>
      <c r="B2022" s="2">
        <v>8</v>
      </c>
      <c r="C2022" s="2"/>
      <c r="D2022" s="2"/>
      <c r="E2022" s="2"/>
      <c r="F2022" s="2"/>
      <c r="G2022" s="2"/>
      <c r="H2022" s="2"/>
      <c r="I2022" s="2">
        <v>67.089100000000002</v>
      </c>
      <c r="J2022" s="2">
        <v>167</v>
      </c>
      <c r="K2022" s="2">
        <v>68.109499999999997</v>
      </c>
      <c r="L2022" s="2">
        <v>122</v>
      </c>
      <c r="M2022" s="2">
        <v>110.4868</v>
      </c>
      <c r="N2022" s="2">
        <v>34</v>
      </c>
      <c r="O2022" s="2">
        <v>111.81180000000001</v>
      </c>
      <c r="P2022" s="2">
        <v>33</v>
      </c>
      <c r="Q2022" s="2">
        <v>95.513499999999993</v>
      </c>
      <c r="R2022" s="2">
        <v>42</v>
      </c>
      <c r="S2022" s="2">
        <v>95.040999999999997</v>
      </c>
      <c r="T2022" s="2">
        <v>39</v>
      </c>
      <c r="U2022" s="2">
        <v>0.86632500000000001</v>
      </c>
      <c r="V2022" s="2">
        <v>25</v>
      </c>
      <c r="W2022" s="2">
        <v>2008</v>
      </c>
    </row>
    <row r="2023" spans="1:23" ht="12.3" x14ac:dyDescent="0.4">
      <c r="A2023" s="2" t="s">
        <v>47</v>
      </c>
      <c r="B2023" s="2">
        <v>7</v>
      </c>
      <c r="C2023" s="25"/>
      <c r="D2023" s="2"/>
      <c r="E2023" s="2"/>
      <c r="F2023" s="2"/>
      <c r="G2023" s="2"/>
      <c r="H2023" s="2"/>
      <c r="I2023" s="2">
        <v>67.944800000000001</v>
      </c>
      <c r="J2023" s="2">
        <v>136</v>
      </c>
      <c r="K2023" s="2">
        <v>68.030100000000004</v>
      </c>
      <c r="L2023" s="2">
        <v>125</v>
      </c>
      <c r="M2023" s="2">
        <v>110.73139999999999</v>
      </c>
      <c r="N2023" s="2">
        <v>31</v>
      </c>
      <c r="O2023" s="2">
        <v>112.39879999999999</v>
      </c>
      <c r="P2023" s="2">
        <v>27</v>
      </c>
      <c r="Q2023" s="2">
        <v>91.851799999999997</v>
      </c>
      <c r="R2023" s="2">
        <v>10</v>
      </c>
      <c r="S2023" s="2">
        <v>95.591300000000004</v>
      </c>
      <c r="T2023" s="2">
        <v>45</v>
      </c>
      <c r="U2023" s="2">
        <v>0.86560800000000004</v>
      </c>
      <c r="V2023" s="2">
        <v>26</v>
      </c>
      <c r="W2023" s="2">
        <v>2008</v>
      </c>
    </row>
    <row r="2024" spans="1:23" ht="12.3" hidden="1" x14ac:dyDescent="0.4">
      <c r="A2024" s="2" t="s">
        <v>164</v>
      </c>
      <c r="B2024" s="2"/>
      <c r="C2024" s="2"/>
      <c r="D2024" s="2"/>
      <c r="E2024" s="2"/>
      <c r="F2024" s="2"/>
      <c r="G2024" s="2"/>
      <c r="H2024" s="2"/>
      <c r="I2024" s="2">
        <v>62.812899999999999</v>
      </c>
      <c r="J2024" s="2">
        <v>300</v>
      </c>
      <c r="K2024" s="2">
        <v>63.448700000000002</v>
      </c>
      <c r="L2024" s="2">
        <v>295</v>
      </c>
      <c r="M2024" s="2">
        <v>104.6344</v>
      </c>
      <c r="N2024" s="2">
        <v>124</v>
      </c>
      <c r="O2024" s="2">
        <v>106.3877</v>
      </c>
      <c r="P2024" s="2">
        <v>98</v>
      </c>
      <c r="Q2024" s="2">
        <v>95.959299999999999</v>
      </c>
      <c r="R2024" s="2">
        <v>48</v>
      </c>
      <c r="S2024" s="2">
        <v>93.651700000000005</v>
      </c>
      <c r="T2024" s="2">
        <v>27</v>
      </c>
      <c r="U2024" s="2">
        <v>0.8125</v>
      </c>
      <c r="V2024" s="2">
        <v>43</v>
      </c>
      <c r="W2024" s="2">
        <v>2008</v>
      </c>
    </row>
    <row r="2025" spans="1:23" ht="12.3" x14ac:dyDescent="0.4">
      <c r="A2025" s="2" t="s">
        <v>56</v>
      </c>
      <c r="B2025" s="2">
        <v>5</v>
      </c>
      <c r="C2025" s="4" t="s">
        <v>33</v>
      </c>
      <c r="D2025" s="2"/>
      <c r="E2025" s="2"/>
      <c r="F2025" s="2"/>
      <c r="G2025" s="2"/>
      <c r="H2025" s="2"/>
      <c r="I2025" s="2">
        <v>71.404799999999994</v>
      </c>
      <c r="J2025" s="2">
        <v>39</v>
      </c>
      <c r="K2025" s="2">
        <v>71.175299999999993</v>
      </c>
      <c r="L2025" s="2">
        <v>34</v>
      </c>
      <c r="M2025" s="2">
        <v>112.86150000000001</v>
      </c>
      <c r="N2025" s="2">
        <v>15</v>
      </c>
      <c r="O2025" s="2">
        <v>114.8331</v>
      </c>
      <c r="P2025" s="2">
        <v>10</v>
      </c>
      <c r="Q2025" s="2">
        <v>98.167400000000001</v>
      </c>
      <c r="R2025" s="2">
        <v>79</v>
      </c>
      <c r="S2025" s="2">
        <v>97.819599999999994</v>
      </c>
      <c r="T2025" s="2">
        <v>81</v>
      </c>
      <c r="U2025" s="2">
        <v>0.86343000000000003</v>
      </c>
      <c r="V2025" s="2">
        <v>27</v>
      </c>
      <c r="W2025" s="2">
        <v>2008</v>
      </c>
    </row>
    <row r="2026" spans="1:23" ht="12.3" x14ac:dyDescent="0.4">
      <c r="A2026" s="2" t="s">
        <v>54</v>
      </c>
      <c r="B2026" s="2">
        <v>4</v>
      </c>
      <c r="C2026" s="25"/>
      <c r="D2026" s="2"/>
      <c r="E2026" s="2"/>
      <c r="F2026" s="2"/>
      <c r="G2026" s="2"/>
      <c r="H2026" s="2"/>
      <c r="I2026" s="2">
        <v>70.208799999999997</v>
      </c>
      <c r="J2026" s="2">
        <v>65</v>
      </c>
      <c r="K2026" s="2">
        <v>68.753500000000003</v>
      </c>
      <c r="L2026" s="2">
        <v>102</v>
      </c>
      <c r="M2026" s="2">
        <v>110.42789999999999</v>
      </c>
      <c r="N2026" s="2">
        <v>35</v>
      </c>
      <c r="O2026" s="2">
        <v>113.4128</v>
      </c>
      <c r="P2026" s="2">
        <v>17</v>
      </c>
      <c r="Q2026" s="2">
        <v>97.653599999999997</v>
      </c>
      <c r="R2026" s="2">
        <v>70</v>
      </c>
      <c r="S2026" s="2">
        <v>96.791200000000003</v>
      </c>
      <c r="T2026" s="2">
        <v>63</v>
      </c>
      <c r="U2026" s="2">
        <v>0.86086600000000002</v>
      </c>
      <c r="V2026" s="2">
        <v>28</v>
      </c>
      <c r="W2026" s="2">
        <v>2008</v>
      </c>
    </row>
    <row r="2027" spans="1:23" ht="12.3" x14ac:dyDescent="0.4">
      <c r="A2027" s="2" t="s">
        <v>46</v>
      </c>
      <c r="B2027" s="2">
        <v>4</v>
      </c>
      <c r="C2027" s="3" t="s">
        <v>33</v>
      </c>
      <c r="D2027" s="2"/>
      <c r="E2027" s="2"/>
      <c r="F2027" s="2"/>
      <c r="G2027" s="2"/>
      <c r="H2027" s="2"/>
      <c r="I2027" s="2">
        <v>65.592799999999997</v>
      </c>
      <c r="J2027" s="2">
        <v>220</v>
      </c>
      <c r="K2027" s="2">
        <v>65.295100000000005</v>
      </c>
      <c r="L2027" s="2">
        <v>229</v>
      </c>
      <c r="M2027" s="2">
        <v>111.2773</v>
      </c>
      <c r="N2027" s="2">
        <v>23</v>
      </c>
      <c r="O2027" s="2">
        <v>114.1934</v>
      </c>
      <c r="P2027" s="2">
        <v>13</v>
      </c>
      <c r="Q2027" s="2">
        <v>99.247299999999996</v>
      </c>
      <c r="R2027" s="2">
        <v>96</v>
      </c>
      <c r="S2027" s="2">
        <v>97.520099999999999</v>
      </c>
      <c r="T2027" s="2">
        <v>72</v>
      </c>
      <c r="U2027" s="2">
        <v>0.85997800000000002</v>
      </c>
      <c r="V2027" s="2">
        <v>29</v>
      </c>
      <c r="W2027" s="2">
        <v>2008</v>
      </c>
    </row>
    <row r="2028" spans="1:23" ht="12.3" hidden="1" x14ac:dyDescent="0.4">
      <c r="A2028" s="2" t="s">
        <v>99</v>
      </c>
      <c r="B2028" s="2"/>
      <c r="C2028" s="2"/>
      <c r="D2028" s="2"/>
      <c r="E2028" s="2"/>
      <c r="F2028" s="2"/>
      <c r="G2028" s="2"/>
      <c r="H2028" s="2"/>
      <c r="I2028" s="2">
        <v>61.225499999999997</v>
      </c>
      <c r="J2028" s="2">
        <v>322</v>
      </c>
      <c r="K2028" s="2">
        <v>62.824300000000001</v>
      </c>
      <c r="L2028" s="2">
        <v>303</v>
      </c>
      <c r="M2028" s="2">
        <v>107.6764</v>
      </c>
      <c r="N2028" s="2">
        <v>66</v>
      </c>
      <c r="O2028" s="2">
        <v>107.25149999999999</v>
      </c>
      <c r="P2028" s="2">
        <v>78</v>
      </c>
      <c r="Q2028" s="2">
        <v>99.4559</v>
      </c>
      <c r="R2028" s="2">
        <v>101</v>
      </c>
      <c r="S2028" s="2">
        <v>95.018000000000001</v>
      </c>
      <c r="T2028" s="2">
        <v>38</v>
      </c>
      <c r="U2028" s="2">
        <v>0.80103199999999997</v>
      </c>
      <c r="V2028" s="2">
        <v>47</v>
      </c>
      <c r="W2028" s="2">
        <v>2008</v>
      </c>
    </row>
    <row r="2029" spans="1:23" ht="12.3" x14ac:dyDescent="0.4">
      <c r="A2029" s="2" t="s">
        <v>229</v>
      </c>
      <c r="B2029" s="2">
        <v>7</v>
      </c>
      <c r="C2029" s="3" t="s">
        <v>33</v>
      </c>
      <c r="D2029" s="4" t="s">
        <v>33</v>
      </c>
      <c r="E2029" s="2"/>
      <c r="F2029" s="2"/>
      <c r="G2029" s="2"/>
      <c r="H2029" s="2"/>
      <c r="I2029" s="2">
        <v>66.319800000000001</v>
      </c>
      <c r="J2029" s="2">
        <v>192</v>
      </c>
      <c r="K2029" s="2">
        <v>65.476100000000002</v>
      </c>
      <c r="L2029" s="2">
        <v>220</v>
      </c>
      <c r="M2029" s="2">
        <v>110.97669999999999</v>
      </c>
      <c r="N2029" s="2">
        <v>28</v>
      </c>
      <c r="O2029" s="2">
        <v>110.10339999999999</v>
      </c>
      <c r="P2029" s="2">
        <v>44</v>
      </c>
      <c r="Q2029" s="2">
        <v>95.014799999999994</v>
      </c>
      <c r="R2029" s="2">
        <v>36</v>
      </c>
      <c r="S2029" s="2">
        <v>94.694800000000001</v>
      </c>
      <c r="T2029" s="2">
        <v>36</v>
      </c>
      <c r="U2029" s="2">
        <v>0.84989099999999995</v>
      </c>
      <c r="V2029" s="2">
        <v>30</v>
      </c>
      <c r="W2029" s="2">
        <v>2008</v>
      </c>
    </row>
    <row r="2030" spans="1:23" ht="12.3" hidden="1" x14ac:dyDescent="0.4">
      <c r="A2030" s="2" t="s">
        <v>137</v>
      </c>
      <c r="B2030" s="2"/>
      <c r="C2030" s="2"/>
      <c r="D2030" s="2"/>
      <c r="E2030" s="2"/>
      <c r="F2030" s="2"/>
      <c r="G2030" s="2"/>
      <c r="H2030" s="2"/>
      <c r="I2030" s="2">
        <v>64.781800000000004</v>
      </c>
      <c r="J2030" s="2">
        <v>262</v>
      </c>
      <c r="K2030" s="2">
        <v>64.822100000000006</v>
      </c>
      <c r="L2030" s="2">
        <v>249</v>
      </c>
      <c r="M2030" s="2">
        <v>103.09229999999999</v>
      </c>
      <c r="N2030" s="2">
        <v>153</v>
      </c>
      <c r="O2030" s="2">
        <v>102.37090000000001</v>
      </c>
      <c r="P2030" s="2">
        <v>166</v>
      </c>
      <c r="Q2030" s="2">
        <v>89.456999999999994</v>
      </c>
      <c r="R2030" s="2">
        <v>4</v>
      </c>
      <c r="S2030" s="2">
        <v>91.196899999999999</v>
      </c>
      <c r="T2030" s="2">
        <v>11</v>
      </c>
      <c r="U2030" s="2">
        <v>0.79070600000000002</v>
      </c>
      <c r="V2030" s="2">
        <v>49</v>
      </c>
      <c r="W2030" s="2">
        <v>2008</v>
      </c>
    </row>
    <row r="2031" spans="1:23" ht="12.3" hidden="1" x14ac:dyDescent="0.4">
      <c r="A2031" s="2" t="s">
        <v>44</v>
      </c>
      <c r="B2031" s="2"/>
      <c r="C2031" s="2"/>
      <c r="D2031" s="2"/>
      <c r="E2031" s="2"/>
      <c r="F2031" s="2"/>
      <c r="G2031" s="2"/>
      <c r="H2031" s="2"/>
      <c r="I2031" s="2">
        <v>61.910600000000002</v>
      </c>
      <c r="J2031" s="2">
        <v>314</v>
      </c>
      <c r="K2031" s="2">
        <v>62.372900000000001</v>
      </c>
      <c r="L2031" s="2">
        <v>313</v>
      </c>
      <c r="M2031" s="2">
        <v>101.0296</v>
      </c>
      <c r="N2031" s="2">
        <v>184</v>
      </c>
      <c r="O2031" s="2">
        <v>105.3976</v>
      </c>
      <c r="P2031" s="2">
        <v>113</v>
      </c>
      <c r="Q2031" s="2">
        <v>96.797600000000003</v>
      </c>
      <c r="R2031" s="2">
        <v>56</v>
      </c>
      <c r="S2031" s="2">
        <v>93.933999999999997</v>
      </c>
      <c r="T2031" s="2">
        <v>31</v>
      </c>
      <c r="U2031" s="2">
        <v>0.789879</v>
      </c>
      <c r="V2031" s="2">
        <v>50</v>
      </c>
      <c r="W2031" s="2">
        <v>2008</v>
      </c>
    </row>
    <row r="2032" spans="1:23" ht="12.3" hidden="1" x14ac:dyDescent="0.4">
      <c r="A2032" s="2" t="s">
        <v>92</v>
      </c>
      <c r="B2032" s="2"/>
      <c r="C2032" s="2"/>
      <c r="D2032" s="2"/>
      <c r="E2032" s="2"/>
      <c r="F2032" s="2"/>
      <c r="G2032" s="2"/>
      <c r="H2032" s="2"/>
      <c r="I2032" s="2">
        <v>71.726500000000001</v>
      </c>
      <c r="J2032" s="2">
        <v>32</v>
      </c>
      <c r="K2032" s="2">
        <v>69.988100000000003</v>
      </c>
      <c r="L2032" s="2">
        <v>59</v>
      </c>
      <c r="M2032" s="2">
        <v>107.39319999999999</v>
      </c>
      <c r="N2032" s="2">
        <v>69</v>
      </c>
      <c r="O2032" s="2">
        <v>112.6708</v>
      </c>
      <c r="P2032" s="2">
        <v>24</v>
      </c>
      <c r="Q2032" s="2">
        <v>105.3419</v>
      </c>
      <c r="R2032" s="2">
        <v>256</v>
      </c>
      <c r="S2032" s="2">
        <v>100.48520000000001</v>
      </c>
      <c r="T2032" s="2">
        <v>126</v>
      </c>
      <c r="U2032" s="2">
        <v>0.78856400000000004</v>
      </c>
      <c r="V2032" s="2">
        <v>51</v>
      </c>
      <c r="W2032" s="2">
        <v>2008</v>
      </c>
    </row>
    <row r="2033" spans="1:23" ht="12.3" x14ac:dyDescent="0.4">
      <c r="A2033" s="2" t="s">
        <v>96</v>
      </c>
      <c r="B2033" s="2">
        <v>8</v>
      </c>
      <c r="C2033" s="2"/>
      <c r="D2033" s="2"/>
      <c r="E2033" s="2"/>
      <c r="F2033" s="2"/>
      <c r="G2033" s="2"/>
      <c r="H2033" s="2"/>
      <c r="I2033" s="2">
        <v>69.926299999999998</v>
      </c>
      <c r="J2033" s="2">
        <v>72</v>
      </c>
      <c r="K2033" s="2">
        <v>69.700299999999999</v>
      </c>
      <c r="L2033" s="2">
        <v>76</v>
      </c>
      <c r="M2033" s="2">
        <v>105.48569999999999</v>
      </c>
      <c r="N2033" s="2">
        <v>106</v>
      </c>
      <c r="O2033" s="2">
        <v>104.72280000000001</v>
      </c>
      <c r="P2033" s="2">
        <v>124</v>
      </c>
      <c r="Q2033" s="2">
        <v>90.422499999999999</v>
      </c>
      <c r="R2033" s="2">
        <v>6</v>
      </c>
      <c r="S2033" s="2">
        <v>90.529700000000005</v>
      </c>
      <c r="T2033" s="2">
        <v>8</v>
      </c>
      <c r="U2033" s="2">
        <v>0.842221</v>
      </c>
      <c r="V2033" s="2">
        <v>32</v>
      </c>
      <c r="W2033" s="2">
        <v>2008</v>
      </c>
    </row>
    <row r="2034" spans="1:23" ht="12.3" hidden="1" x14ac:dyDescent="0.4">
      <c r="A2034" s="2" t="s">
        <v>23</v>
      </c>
      <c r="B2034" s="2"/>
      <c r="C2034" s="2"/>
      <c r="D2034" s="2"/>
      <c r="E2034" s="2"/>
      <c r="F2034" s="2"/>
      <c r="G2034" s="2"/>
      <c r="H2034" s="2"/>
      <c r="I2034" s="2">
        <v>72.5411</v>
      </c>
      <c r="J2034" s="2">
        <v>20</v>
      </c>
      <c r="K2034" s="2">
        <v>71.6965</v>
      </c>
      <c r="L2034" s="2">
        <v>25</v>
      </c>
      <c r="M2034" s="2">
        <v>107.3575</v>
      </c>
      <c r="N2034" s="2">
        <v>73</v>
      </c>
      <c r="O2034" s="2">
        <v>109.68049999999999</v>
      </c>
      <c r="P2034" s="2">
        <v>50</v>
      </c>
      <c r="Q2034" s="2">
        <v>101.57510000000001</v>
      </c>
      <c r="R2034" s="2">
        <v>155</v>
      </c>
      <c r="S2034" s="2">
        <v>98.001999999999995</v>
      </c>
      <c r="T2034" s="2">
        <v>84</v>
      </c>
      <c r="U2034" s="2">
        <v>0.78494299999999995</v>
      </c>
      <c r="V2034" s="2">
        <v>53</v>
      </c>
      <c r="W2034" s="2">
        <v>2008</v>
      </c>
    </row>
    <row r="2035" spans="1:23" ht="12.3" x14ac:dyDescent="0.4">
      <c r="A2035" s="2" t="s">
        <v>41</v>
      </c>
      <c r="B2035" s="2">
        <v>9</v>
      </c>
      <c r="C2035" s="25"/>
      <c r="D2035" s="25"/>
      <c r="E2035" s="2"/>
      <c r="F2035" s="2"/>
      <c r="G2035" s="2"/>
      <c r="H2035" s="2"/>
      <c r="I2035" s="2">
        <v>67.217299999999994</v>
      </c>
      <c r="J2035" s="2">
        <v>164</v>
      </c>
      <c r="K2035" s="2">
        <v>67.124600000000001</v>
      </c>
      <c r="L2035" s="2">
        <v>154</v>
      </c>
      <c r="M2035" s="2">
        <v>112.5175</v>
      </c>
      <c r="N2035" s="2">
        <v>20</v>
      </c>
      <c r="O2035" s="2">
        <v>117.79649999999999</v>
      </c>
      <c r="P2035" s="2">
        <v>5</v>
      </c>
      <c r="Q2035" s="2">
        <v>106.9744</v>
      </c>
      <c r="R2035" s="2">
        <v>288</v>
      </c>
      <c r="S2035" s="2">
        <v>102.47839999999999</v>
      </c>
      <c r="T2035" s="2">
        <v>172</v>
      </c>
      <c r="U2035" s="2">
        <v>0.83230199999999999</v>
      </c>
      <c r="V2035" s="2">
        <v>34</v>
      </c>
      <c r="W2035" s="2">
        <v>2008</v>
      </c>
    </row>
    <row r="2036" spans="1:23" ht="12.3" x14ac:dyDescent="0.4">
      <c r="A2036" s="2" t="s">
        <v>48</v>
      </c>
      <c r="B2036" s="2">
        <v>8</v>
      </c>
      <c r="C2036" s="4" t="s">
        <v>33</v>
      </c>
      <c r="D2036" s="2"/>
      <c r="E2036" s="2"/>
      <c r="F2036" s="2"/>
      <c r="G2036" s="2"/>
      <c r="H2036" s="2"/>
      <c r="I2036" s="2">
        <v>69.029799999999994</v>
      </c>
      <c r="J2036" s="2">
        <v>97</v>
      </c>
      <c r="K2036" s="2">
        <v>68.284599999999998</v>
      </c>
      <c r="L2036" s="2">
        <v>115</v>
      </c>
      <c r="M2036" s="2">
        <v>104.67619999999999</v>
      </c>
      <c r="N2036" s="2">
        <v>122</v>
      </c>
      <c r="O2036" s="2">
        <v>104.83540000000001</v>
      </c>
      <c r="P2036" s="2">
        <v>120</v>
      </c>
      <c r="Q2036" s="2">
        <v>93.591999999999999</v>
      </c>
      <c r="R2036" s="2">
        <v>24</v>
      </c>
      <c r="S2036" s="2">
        <v>91.679100000000005</v>
      </c>
      <c r="T2036" s="2">
        <v>14</v>
      </c>
      <c r="U2036" s="2">
        <v>0.82377299999999998</v>
      </c>
      <c r="V2036" s="2">
        <v>37</v>
      </c>
      <c r="W2036" s="2">
        <v>2008</v>
      </c>
    </row>
    <row r="2037" spans="1:23" ht="12.3" hidden="1" x14ac:dyDescent="0.4">
      <c r="A2037" s="2" t="s">
        <v>82</v>
      </c>
      <c r="B2037" s="2"/>
      <c r="C2037" s="2"/>
      <c r="D2037" s="2"/>
      <c r="E2037" s="2"/>
      <c r="F2037" s="2"/>
      <c r="G2037" s="2"/>
      <c r="H2037" s="2"/>
      <c r="I2037" s="2">
        <v>61.654899999999998</v>
      </c>
      <c r="J2037" s="2">
        <v>318</v>
      </c>
      <c r="K2037" s="2">
        <v>62.817799999999998</v>
      </c>
      <c r="L2037" s="2">
        <v>304</v>
      </c>
      <c r="M2037" s="2">
        <v>100.5762</v>
      </c>
      <c r="N2037" s="2">
        <v>193</v>
      </c>
      <c r="O2037" s="2">
        <v>103.5641</v>
      </c>
      <c r="P2037" s="2">
        <v>147</v>
      </c>
      <c r="Q2037" s="2">
        <v>96.120999999999995</v>
      </c>
      <c r="R2037" s="2">
        <v>50</v>
      </c>
      <c r="S2037" s="2">
        <v>92.844899999999996</v>
      </c>
      <c r="T2037" s="2">
        <v>21</v>
      </c>
      <c r="U2037" s="2">
        <v>0.77842199999999995</v>
      </c>
      <c r="V2037" s="2">
        <v>56</v>
      </c>
      <c r="W2037" s="2">
        <v>2008</v>
      </c>
    </row>
    <row r="2038" spans="1:23" ht="12.3" hidden="1" x14ac:dyDescent="0.4">
      <c r="A2038" s="2" t="s">
        <v>20</v>
      </c>
      <c r="B2038" s="2"/>
      <c r="C2038" s="2"/>
      <c r="D2038" s="2"/>
      <c r="E2038" s="2"/>
      <c r="F2038" s="2"/>
      <c r="G2038" s="2"/>
      <c r="H2038" s="2"/>
      <c r="I2038" s="2">
        <v>68.376099999999994</v>
      </c>
      <c r="J2038" s="2">
        <v>118</v>
      </c>
      <c r="K2038" s="2">
        <v>66.853800000000007</v>
      </c>
      <c r="L2038" s="2">
        <v>164</v>
      </c>
      <c r="M2038" s="2">
        <v>104.01990000000001</v>
      </c>
      <c r="N2038" s="2">
        <v>134</v>
      </c>
      <c r="O2038" s="2">
        <v>106.7761</v>
      </c>
      <c r="P2038" s="2">
        <v>88</v>
      </c>
      <c r="Q2038" s="2">
        <v>99.170299999999997</v>
      </c>
      <c r="R2038" s="2">
        <v>94</v>
      </c>
      <c r="S2038" s="2">
        <v>95.933899999999994</v>
      </c>
      <c r="T2038" s="2">
        <v>52</v>
      </c>
      <c r="U2038" s="2">
        <v>0.77405599999999997</v>
      </c>
      <c r="V2038" s="2">
        <v>57</v>
      </c>
      <c r="W2038" s="2">
        <v>2008</v>
      </c>
    </row>
    <row r="2039" spans="1:23" ht="12.3" hidden="1" x14ac:dyDescent="0.4">
      <c r="A2039" s="2" t="s">
        <v>73</v>
      </c>
      <c r="B2039" s="2"/>
      <c r="C2039" s="2"/>
      <c r="D2039" s="2"/>
      <c r="E2039" s="2"/>
      <c r="F2039" s="2"/>
      <c r="G2039" s="2"/>
      <c r="H2039" s="2"/>
      <c r="I2039" s="2">
        <v>71.670900000000003</v>
      </c>
      <c r="J2039" s="2">
        <v>34</v>
      </c>
      <c r="K2039" s="2">
        <v>71.05</v>
      </c>
      <c r="L2039" s="2">
        <v>39</v>
      </c>
      <c r="M2039" s="2">
        <v>106.4515</v>
      </c>
      <c r="N2039" s="2">
        <v>87</v>
      </c>
      <c r="O2039" s="2">
        <v>111.509</v>
      </c>
      <c r="P2039" s="2">
        <v>36</v>
      </c>
      <c r="Q2039" s="2">
        <v>99.917000000000002</v>
      </c>
      <c r="R2039" s="2">
        <v>112</v>
      </c>
      <c r="S2039" s="2">
        <v>100.24939999999999</v>
      </c>
      <c r="T2039" s="2">
        <v>122</v>
      </c>
      <c r="U2039" s="2">
        <v>0.77278599999999997</v>
      </c>
      <c r="V2039" s="2">
        <v>58</v>
      </c>
      <c r="W2039" s="2">
        <v>2008</v>
      </c>
    </row>
    <row r="2040" spans="1:23" ht="12.3" x14ac:dyDescent="0.4">
      <c r="A2040" s="2" t="s">
        <v>53</v>
      </c>
      <c r="B2040" s="2">
        <v>9</v>
      </c>
      <c r="C2040" s="2"/>
      <c r="D2040" s="2"/>
      <c r="E2040" s="2"/>
      <c r="F2040" s="2"/>
      <c r="G2040" s="2"/>
      <c r="H2040" s="2"/>
      <c r="I2040" s="2">
        <v>65.048599999999993</v>
      </c>
      <c r="J2040" s="2">
        <v>245</v>
      </c>
      <c r="K2040" s="2">
        <v>66.120400000000004</v>
      </c>
      <c r="L2040" s="2">
        <v>194</v>
      </c>
      <c r="M2040" s="2">
        <v>106.1494</v>
      </c>
      <c r="N2040" s="2">
        <v>91</v>
      </c>
      <c r="O2040" s="2">
        <v>106.7225</v>
      </c>
      <c r="P2040" s="2">
        <v>90</v>
      </c>
      <c r="Q2040" s="2">
        <v>94.171099999999996</v>
      </c>
      <c r="R2040" s="2">
        <v>26</v>
      </c>
      <c r="S2040" s="2">
        <v>93.373999999999995</v>
      </c>
      <c r="T2040" s="2">
        <v>24</v>
      </c>
      <c r="U2040" s="2">
        <v>0.82297200000000004</v>
      </c>
      <c r="V2040" s="2">
        <v>38</v>
      </c>
      <c r="W2040" s="2">
        <v>2008</v>
      </c>
    </row>
    <row r="2041" spans="1:23" ht="12.3" hidden="1" x14ac:dyDescent="0.4">
      <c r="A2041" s="2" t="s">
        <v>128</v>
      </c>
      <c r="B2041" s="2"/>
      <c r="C2041" s="2"/>
      <c r="D2041" s="2"/>
      <c r="E2041" s="2"/>
      <c r="F2041" s="2"/>
      <c r="G2041" s="2"/>
      <c r="H2041" s="2"/>
      <c r="I2041" s="2">
        <v>68.182299999999998</v>
      </c>
      <c r="J2041" s="2">
        <v>126</v>
      </c>
      <c r="K2041" s="2">
        <v>68.459100000000007</v>
      </c>
      <c r="L2041" s="2">
        <v>111</v>
      </c>
      <c r="M2041" s="2">
        <v>107.4722</v>
      </c>
      <c r="N2041" s="2">
        <v>68</v>
      </c>
      <c r="O2041" s="2">
        <v>109.2517</v>
      </c>
      <c r="P2041" s="2">
        <v>56</v>
      </c>
      <c r="Q2041" s="2">
        <v>96.056100000000001</v>
      </c>
      <c r="R2041" s="2">
        <v>49</v>
      </c>
      <c r="S2041" s="2">
        <v>98.342600000000004</v>
      </c>
      <c r="T2041" s="2">
        <v>91</v>
      </c>
      <c r="U2041" s="2">
        <v>0.770258</v>
      </c>
      <c r="V2041" s="2">
        <v>60</v>
      </c>
      <c r="W2041" s="2">
        <v>2008</v>
      </c>
    </row>
    <row r="2042" spans="1:23" ht="12.3" hidden="1" x14ac:dyDescent="0.4">
      <c r="A2042" s="2" t="s">
        <v>131</v>
      </c>
      <c r="B2042" s="2"/>
      <c r="C2042" s="2"/>
      <c r="D2042" s="2"/>
      <c r="E2042" s="2"/>
      <c r="F2042" s="2"/>
      <c r="G2042" s="2"/>
      <c r="H2042" s="2"/>
      <c r="I2042" s="2">
        <v>69.190899999999999</v>
      </c>
      <c r="J2042" s="2">
        <v>93</v>
      </c>
      <c r="K2042" s="2">
        <v>69.913499999999999</v>
      </c>
      <c r="L2042" s="2">
        <v>63</v>
      </c>
      <c r="M2042" s="2">
        <v>105.2649</v>
      </c>
      <c r="N2042" s="2">
        <v>112</v>
      </c>
      <c r="O2042" s="2">
        <v>107.3998</v>
      </c>
      <c r="P2042" s="2">
        <v>75</v>
      </c>
      <c r="Q2042" s="2">
        <v>101.9807</v>
      </c>
      <c r="R2042" s="2">
        <v>173</v>
      </c>
      <c r="S2042" s="2">
        <v>96.924800000000005</v>
      </c>
      <c r="T2042" s="2">
        <v>64</v>
      </c>
      <c r="U2042" s="2">
        <v>0.76497700000000002</v>
      </c>
      <c r="V2042" s="2">
        <v>61</v>
      </c>
      <c r="W2042" s="2">
        <v>2008</v>
      </c>
    </row>
    <row r="2043" spans="1:23" ht="12.3" hidden="1" x14ac:dyDescent="0.4">
      <c r="A2043" s="2" t="s">
        <v>72</v>
      </c>
      <c r="B2043" s="2"/>
      <c r="C2043" s="2"/>
      <c r="D2043" s="2"/>
      <c r="E2043" s="2"/>
      <c r="F2043" s="2"/>
      <c r="G2043" s="2"/>
      <c r="H2043" s="2"/>
      <c r="I2043" s="2">
        <v>67.0351</v>
      </c>
      <c r="J2043" s="2">
        <v>170</v>
      </c>
      <c r="K2043" s="2">
        <v>65.682900000000004</v>
      </c>
      <c r="L2043" s="2">
        <v>212</v>
      </c>
      <c r="M2043" s="2">
        <v>103.0142</v>
      </c>
      <c r="N2043" s="2">
        <v>155</v>
      </c>
      <c r="O2043" s="2">
        <v>108.01739999999999</v>
      </c>
      <c r="P2043" s="2">
        <v>67</v>
      </c>
      <c r="Q2043" s="2">
        <v>100.11539999999999</v>
      </c>
      <c r="R2043" s="2">
        <v>116</v>
      </c>
      <c r="S2043" s="2">
        <v>97.487899999999996</v>
      </c>
      <c r="T2043" s="2">
        <v>69</v>
      </c>
      <c r="U2043" s="2">
        <v>0.76485700000000001</v>
      </c>
      <c r="V2043" s="2">
        <v>62</v>
      </c>
      <c r="W2043" s="2">
        <v>2008</v>
      </c>
    </row>
    <row r="2044" spans="1:23" ht="12.3" hidden="1" x14ac:dyDescent="0.4">
      <c r="A2044" s="2" t="s">
        <v>90</v>
      </c>
      <c r="B2044" s="2"/>
      <c r="C2044" s="2"/>
      <c r="D2044" s="2"/>
      <c r="E2044" s="2"/>
      <c r="F2044" s="2"/>
      <c r="G2044" s="2"/>
      <c r="H2044" s="2"/>
      <c r="I2044" s="2">
        <v>65.396900000000002</v>
      </c>
      <c r="J2044" s="2">
        <v>228</v>
      </c>
      <c r="K2044" s="2">
        <v>66.640500000000003</v>
      </c>
      <c r="L2044" s="2">
        <v>170</v>
      </c>
      <c r="M2044" s="2">
        <v>105.9182</v>
      </c>
      <c r="N2044" s="2">
        <v>96</v>
      </c>
      <c r="O2044" s="2">
        <v>107.98309999999999</v>
      </c>
      <c r="P2044" s="2">
        <v>69</v>
      </c>
      <c r="Q2044" s="2">
        <v>97.764300000000006</v>
      </c>
      <c r="R2044" s="2">
        <v>73</v>
      </c>
      <c r="S2044" s="2">
        <v>97.509699999999995</v>
      </c>
      <c r="T2044" s="2">
        <v>70</v>
      </c>
      <c r="U2044" s="2">
        <v>0.763733</v>
      </c>
      <c r="V2044" s="2">
        <v>63</v>
      </c>
      <c r="W2044" s="2">
        <v>2008</v>
      </c>
    </row>
    <row r="2045" spans="1:23" ht="12.3" hidden="1" x14ac:dyDescent="0.4">
      <c r="A2045" s="2" t="s">
        <v>36</v>
      </c>
      <c r="B2045" s="2"/>
      <c r="C2045" s="2"/>
      <c r="D2045" s="2"/>
      <c r="E2045" s="2"/>
      <c r="F2045" s="2"/>
      <c r="G2045" s="2"/>
      <c r="H2045" s="2"/>
      <c r="I2045" s="2">
        <v>72.006600000000006</v>
      </c>
      <c r="J2045" s="2">
        <v>27</v>
      </c>
      <c r="K2045" s="2">
        <v>71.539699999999996</v>
      </c>
      <c r="L2045" s="2">
        <v>29</v>
      </c>
      <c r="M2045" s="2">
        <v>101.5993</v>
      </c>
      <c r="N2045" s="2">
        <v>173</v>
      </c>
      <c r="O2045" s="2">
        <v>105.3412</v>
      </c>
      <c r="P2045" s="2">
        <v>114</v>
      </c>
      <c r="Q2045" s="2">
        <v>96.1554</v>
      </c>
      <c r="R2045" s="2">
        <v>51</v>
      </c>
      <c r="S2045" s="2">
        <v>95.190600000000003</v>
      </c>
      <c r="T2045" s="2">
        <v>41</v>
      </c>
      <c r="U2045" s="2">
        <v>0.76227900000000004</v>
      </c>
      <c r="V2045" s="2">
        <v>64</v>
      </c>
      <c r="W2045" s="2">
        <v>2008</v>
      </c>
    </row>
    <row r="2046" spans="1:23" ht="12.3" hidden="1" x14ac:dyDescent="0.4">
      <c r="A2046" s="2" t="s">
        <v>57</v>
      </c>
      <c r="B2046" s="2"/>
      <c r="C2046" s="2"/>
      <c r="D2046" s="2"/>
      <c r="E2046" s="2"/>
      <c r="F2046" s="2"/>
      <c r="G2046" s="2"/>
      <c r="H2046" s="2"/>
      <c r="I2046" s="2">
        <v>68.905299999999997</v>
      </c>
      <c r="J2046" s="2">
        <v>100</v>
      </c>
      <c r="K2046" s="2">
        <v>69.769199999999998</v>
      </c>
      <c r="L2046" s="2">
        <v>73</v>
      </c>
      <c r="M2046" s="2">
        <v>110.77030000000001</v>
      </c>
      <c r="N2046" s="2">
        <v>30</v>
      </c>
      <c r="O2046" s="2">
        <v>115.4509</v>
      </c>
      <c r="P2046" s="2">
        <v>8</v>
      </c>
      <c r="Q2046" s="2">
        <v>108.4747</v>
      </c>
      <c r="R2046" s="2">
        <v>301</v>
      </c>
      <c r="S2046" s="2">
        <v>104.5596</v>
      </c>
      <c r="T2046" s="2">
        <v>216</v>
      </c>
      <c r="U2046" s="2">
        <v>0.75759200000000004</v>
      </c>
      <c r="V2046" s="2">
        <v>65</v>
      </c>
      <c r="W2046" s="2">
        <v>2008</v>
      </c>
    </row>
    <row r="2047" spans="1:23" ht="12.3" hidden="1" x14ac:dyDescent="0.4">
      <c r="A2047" s="2" t="s">
        <v>155</v>
      </c>
      <c r="B2047" s="2"/>
      <c r="C2047" s="2"/>
      <c r="D2047" s="2"/>
      <c r="E2047" s="2"/>
      <c r="F2047" s="2"/>
      <c r="G2047" s="2"/>
      <c r="H2047" s="2"/>
      <c r="I2047" s="2">
        <v>75.841200000000001</v>
      </c>
      <c r="J2047" s="2">
        <v>4</v>
      </c>
      <c r="K2047" s="2">
        <v>75.727400000000003</v>
      </c>
      <c r="L2047" s="2">
        <v>4</v>
      </c>
      <c r="M2047" s="2">
        <v>107.7067</v>
      </c>
      <c r="N2047" s="2">
        <v>64</v>
      </c>
      <c r="O2047" s="2">
        <v>108.5008</v>
      </c>
      <c r="P2047" s="2">
        <v>63</v>
      </c>
      <c r="Q2047" s="2">
        <v>100.395</v>
      </c>
      <c r="R2047" s="2">
        <v>125</v>
      </c>
      <c r="S2047" s="2">
        <v>98.363600000000005</v>
      </c>
      <c r="T2047" s="2">
        <v>92</v>
      </c>
      <c r="U2047" s="2">
        <v>0.75546800000000003</v>
      </c>
      <c r="V2047" s="2">
        <v>66</v>
      </c>
      <c r="W2047" s="2">
        <v>2008</v>
      </c>
    </row>
    <row r="2048" spans="1:23" ht="12.3" x14ac:dyDescent="0.4">
      <c r="A2048" s="2" t="s">
        <v>68</v>
      </c>
      <c r="B2048" s="2">
        <v>12</v>
      </c>
      <c r="C2048" s="4" t="s">
        <v>33</v>
      </c>
      <c r="D2048" s="4" t="s">
        <v>33</v>
      </c>
      <c r="E2048" s="2"/>
      <c r="F2048" s="2"/>
      <c r="G2048" s="2"/>
      <c r="H2048" s="2"/>
      <c r="I2048" s="2">
        <v>68.691900000000004</v>
      </c>
      <c r="J2048" s="2">
        <v>110</v>
      </c>
      <c r="K2048" s="2">
        <v>68.941500000000005</v>
      </c>
      <c r="L2048" s="2">
        <v>95</v>
      </c>
      <c r="M2048" s="2">
        <v>111.07850000000001</v>
      </c>
      <c r="N2048" s="2">
        <v>26</v>
      </c>
      <c r="O2048" s="2">
        <v>109.4072</v>
      </c>
      <c r="P2048" s="2">
        <v>54</v>
      </c>
      <c r="Q2048" s="2">
        <v>94.486800000000002</v>
      </c>
      <c r="R2048" s="2">
        <v>28</v>
      </c>
      <c r="S2048" s="2">
        <v>95.892200000000003</v>
      </c>
      <c r="T2048" s="2">
        <v>51</v>
      </c>
      <c r="U2048" s="2">
        <v>0.81999200000000005</v>
      </c>
      <c r="V2048" s="2">
        <v>39</v>
      </c>
      <c r="W2048" s="2">
        <v>2008</v>
      </c>
    </row>
    <row r="2049" spans="1:23" ht="12.3" hidden="1" x14ac:dyDescent="0.4">
      <c r="A2049" s="2" t="s">
        <v>37</v>
      </c>
      <c r="B2049" s="2"/>
      <c r="C2049" s="2"/>
      <c r="D2049" s="2"/>
      <c r="E2049" s="2"/>
      <c r="F2049" s="2"/>
      <c r="G2049" s="2"/>
      <c r="H2049" s="2"/>
      <c r="I2049" s="2">
        <v>67.728899999999996</v>
      </c>
      <c r="J2049" s="2">
        <v>146</v>
      </c>
      <c r="K2049" s="2">
        <v>66.895899999999997</v>
      </c>
      <c r="L2049" s="2">
        <v>162</v>
      </c>
      <c r="M2049" s="2">
        <v>114.7253</v>
      </c>
      <c r="N2049" s="2">
        <v>7</v>
      </c>
      <c r="O2049" s="2">
        <v>113.0784</v>
      </c>
      <c r="P2049" s="2">
        <v>21</v>
      </c>
      <c r="Q2049" s="2">
        <v>100.9406</v>
      </c>
      <c r="R2049" s="2">
        <v>139</v>
      </c>
      <c r="S2049" s="2">
        <v>102.9663</v>
      </c>
      <c r="T2049" s="2">
        <v>181</v>
      </c>
      <c r="U2049" s="2">
        <v>0.74598699999999996</v>
      </c>
      <c r="V2049" s="2">
        <v>68</v>
      </c>
      <c r="W2049" s="2">
        <v>2008</v>
      </c>
    </row>
    <row r="2050" spans="1:23" ht="12.3" hidden="1" x14ac:dyDescent="0.4">
      <c r="A2050" s="2" t="s">
        <v>64</v>
      </c>
      <c r="B2050" s="2"/>
      <c r="C2050" s="2"/>
      <c r="D2050" s="2"/>
      <c r="E2050" s="2"/>
      <c r="F2050" s="2"/>
      <c r="G2050" s="2"/>
      <c r="H2050" s="2"/>
      <c r="I2050" s="2">
        <v>62.041899999999998</v>
      </c>
      <c r="J2050" s="2">
        <v>313</v>
      </c>
      <c r="K2050" s="2">
        <v>62.814599999999999</v>
      </c>
      <c r="L2050" s="2">
        <v>305</v>
      </c>
      <c r="M2050" s="2">
        <v>108.70910000000001</v>
      </c>
      <c r="N2050" s="2">
        <v>53</v>
      </c>
      <c r="O2050" s="2">
        <v>109.8933</v>
      </c>
      <c r="P2050" s="2">
        <v>48</v>
      </c>
      <c r="Q2050" s="2">
        <v>101.90260000000001</v>
      </c>
      <c r="R2050" s="2">
        <v>168</v>
      </c>
      <c r="S2050" s="2">
        <v>100.0801</v>
      </c>
      <c r="T2050" s="2">
        <v>120</v>
      </c>
      <c r="U2050" s="2">
        <v>0.74567899999999998</v>
      </c>
      <c r="V2050" s="2">
        <v>69</v>
      </c>
      <c r="W2050" s="2">
        <v>2008</v>
      </c>
    </row>
    <row r="2051" spans="1:23" ht="12.3" hidden="1" x14ac:dyDescent="0.4">
      <c r="A2051" s="2" t="s">
        <v>61</v>
      </c>
      <c r="B2051" s="2"/>
      <c r="C2051" s="2"/>
      <c r="D2051" s="2"/>
      <c r="E2051" s="2"/>
      <c r="F2051" s="2"/>
      <c r="G2051" s="2"/>
      <c r="H2051" s="2"/>
      <c r="I2051" s="2">
        <v>70.422799999999995</v>
      </c>
      <c r="J2051" s="2">
        <v>59</v>
      </c>
      <c r="K2051" s="2">
        <v>69.887</v>
      </c>
      <c r="L2051" s="2">
        <v>66</v>
      </c>
      <c r="M2051" s="2">
        <v>102.2146</v>
      </c>
      <c r="N2051" s="2">
        <v>164</v>
      </c>
      <c r="O2051" s="2">
        <v>105.98399999999999</v>
      </c>
      <c r="P2051" s="2">
        <v>107</v>
      </c>
      <c r="Q2051" s="2">
        <v>97.704899999999995</v>
      </c>
      <c r="R2051" s="2">
        <v>72</v>
      </c>
      <c r="S2051" s="2">
        <v>96.541499999999999</v>
      </c>
      <c r="T2051" s="2">
        <v>60</v>
      </c>
      <c r="U2051" s="2">
        <v>0.74519000000000002</v>
      </c>
      <c r="V2051" s="2">
        <v>70</v>
      </c>
      <c r="W2051" s="2">
        <v>2008</v>
      </c>
    </row>
    <row r="2052" spans="1:23" ht="12.3" hidden="1" x14ac:dyDescent="0.4">
      <c r="A2052" s="2" t="s">
        <v>199</v>
      </c>
      <c r="B2052" s="2"/>
      <c r="C2052" s="2"/>
      <c r="D2052" s="2"/>
      <c r="E2052" s="2"/>
      <c r="F2052" s="2"/>
      <c r="G2052" s="2"/>
      <c r="H2052" s="2"/>
      <c r="I2052" s="2">
        <v>63.214199999999998</v>
      </c>
      <c r="J2052" s="2">
        <v>295</v>
      </c>
      <c r="K2052" s="2">
        <v>62.346499999999999</v>
      </c>
      <c r="L2052" s="2">
        <v>315</v>
      </c>
      <c r="M2052" s="2">
        <v>117.32640000000001</v>
      </c>
      <c r="N2052" s="2">
        <v>2</v>
      </c>
      <c r="O2052" s="2">
        <v>114.8</v>
      </c>
      <c r="P2052" s="2">
        <v>11</v>
      </c>
      <c r="Q2052" s="2">
        <v>102.4654</v>
      </c>
      <c r="R2052" s="2">
        <v>183</v>
      </c>
      <c r="S2052" s="2">
        <v>104.66240000000001</v>
      </c>
      <c r="T2052" s="2">
        <v>218</v>
      </c>
      <c r="U2052" s="2">
        <v>0.74329999999999996</v>
      </c>
      <c r="V2052" s="2">
        <v>71</v>
      </c>
      <c r="W2052" s="2">
        <v>2008</v>
      </c>
    </row>
    <row r="2053" spans="1:23" ht="12.3" hidden="1" x14ac:dyDescent="0.4">
      <c r="A2053" s="2" t="s">
        <v>75</v>
      </c>
      <c r="B2053" s="2"/>
      <c r="C2053" s="2"/>
      <c r="D2053" s="2"/>
      <c r="E2053" s="2"/>
      <c r="F2053" s="2"/>
      <c r="G2053" s="2"/>
      <c r="H2053" s="2"/>
      <c r="I2053" s="2">
        <v>65.245800000000003</v>
      </c>
      <c r="J2053" s="2">
        <v>231</v>
      </c>
      <c r="K2053" s="2">
        <v>66.248000000000005</v>
      </c>
      <c r="L2053" s="2">
        <v>188</v>
      </c>
      <c r="M2053" s="2">
        <v>104.9709</v>
      </c>
      <c r="N2053" s="2">
        <v>117</v>
      </c>
      <c r="O2053" s="2">
        <v>106.8139</v>
      </c>
      <c r="P2053" s="2">
        <v>86</v>
      </c>
      <c r="Q2053" s="2">
        <v>97.049599999999998</v>
      </c>
      <c r="R2053" s="2">
        <v>61</v>
      </c>
      <c r="S2053" s="2">
        <v>97.435199999999995</v>
      </c>
      <c r="T2053" s="2">
        <v>68</v>
      </c>
      <c r="U2053" s="2">
        <v>0.742089</v>
      </c>
      <c r="V2053" s="2">
        <v>72</v>
      </c>
      <c r="W2053" s="2">
        <v>2008</v>
      </c>
    </row>
    <row r="2054" spans="1:23" ht="12.3" hidden="1" x14ac:dyDescent="0.4">
      <c r="A2054" s="2" t="s">
        <v>70</v>
      </c>
      <c r="B2054" s="2"/>
      <c r="C2054" s="2"/>
      <c r="D2054" s="2"/>
      <c r="E2054" s="2"/>
      <c r="F2054" s="2"/>
      <c r="G2054" s="2"/>
      <c r="H2054" s="2"/>
      <c r="I2054" s="2">
        <v>62.785699999999999</v>
      </c>
      <c r="J2054" s="2">
        <v>303</v>
      </c>
      <c r="K2054" s="2">
        <v>63.640799999999999</v>
      </c>
      <c r="L2054" s="2">
        <v>289</v>
      </c>
      <c r="M2054" s="2">
        <v>107.35080000000001</v>
      </c>
      <c r="N2054" s="2">
        <v>74</v>
      </c>
      <c r="O2054" s="2">
        <v>108.4425</v>
      </c>
      <c r="P2054" s="2">
        <v>65</v>
      </c>
      <c r="Q2054" s="2">
        <v>99.562399999999997</v>
      </c>
      <c r="R2054" s="2">
        <v>105</v>
      </c>
      <c r="S2054" s="2">
        <v>98.973500000000001</v>
      </c>
      <c r="T2054" s="2">
        <v>98</v>
      </c>
      <c r="U2054" s="2">
        <v>0.74091499999999999</v>
      </c>
      <c r="V2054" s="2">
        <v>73</v>
      </c>
      <c r="W2054" s="2">
        <v>2008</v>
      </c>
    </row>
    <row r="2055" spans="1:23" ht="12.3" hidden="1" x14ac:dyDescent="0.4">
      <c r="A2055" s="2" t="s">
        <v>51</v>
      </c>
      <c r="B2055" s="2"/>
      <c r="C2055" s="2"/>
      <c r="D2055" s="2"/>
      <c r="E2055" s="2"/>
      <c r="F2055" s="2"/>
      <c r="G2055" s="2"/>
      <c r="H2055" s="2"/>
      <c r="I2055" s="2">
        <v>71.257499999999993</v>
      </c>
      <c r="J2055" s="2">
        <v>41</v>
      </c>
      <c r="K2055" s="2">
        <v>70.384100000000004</v>
      </c>
      <c r="L2055" s="2">
        <v>50</v>
      </c>
      <c r="M2055" s="2">
        <v>110.9152</v>
      </c>
      <c r="N2055" s="2">
        <v>29</v>
      </c>
      <c r="O2055" s="2">
        <v>110.94589999999999</v>
      </c>
      <c r="P2055" s="2">
        <v>39</v>
      </c>
      <c r="Q2055" s="2">
        <v>101.9709</v>
      </c>
      <c r="R2055" s="2">
        <v>170</v>
      </c>
      <c r="S2055" s="2">
        <v>101.3733</v>
      </c>
      <c r="T2055" s="2">
        <v>146</v>
      </c>
      <c r="U2055" s="2">
        <v>0.738402</v>
      </c>
      <c r="V2055" s="2">
        <v>74</v>
      </c>
      <c r="W2055" s="2">
        <v>2008</v>
      </c>
    </row>
    <row r="2056" spans="1:23" ht="12.3" hidden="1" x14ac:dyDescent="0.4">
      <c r="A2056" s="2" t="s">
        <v>167</v>
      </c>
      <c r="B2056" s="2"/>
      <c r="C2056" s="2"/>
      <c r="D2056" s="2"/>
      <c r="E2056" s="2"/>
      <c r="F2056" s="2"/>
      <c r="G2056" s="2"/>
      <c r="H2056" s="2"/>
      <c r="I2056" s="2">
        <v>59.232399999999998</v>
      </c>
      <c r="J2056" s="2">
        <v>335</v>
      </c>
      <c r="K2056" s="2">
        <v>59.673999999999999</v>
      </c>
      <c r="L2056" s="2">
        <v>335</v>
      </c>
      <c r="M2056" s="2">
        <v>104.173</v>
      </c>
      <c r="N2056" s="2">
        <v>130</v>
      </c>
      <c r="O2056" s="2">
        <v>106.9395</v>
      </c>
      <c r="P2056" s="2">
        <v>82</v>
      </c>
      <c r="Q2056" s="2">
        <v>100.59820000000001</v>
      </c>
      <c r="R2056" s="2">
        <v>130</v>
      </c>
      <c r="S2056" s="2">
        <v>97.746300000000005</v>
      </c>
      <c r="T2056" s="2">
        <v>78</v>
      </c>
      <c r="U2056" s="2">
        <v>0.73763500000000004</v>
      </c>
      <c r="V2056" s="2">
        <v>75</v>
      </c>
      <c r="W2056" s="2">
        <v>2008</v>
      </c>
    </row>
    <row r="2057" spans="1:23" ht="12.3" hidden="1" x14ac:dyDescent="0.4">
      <c r="A2057" s="2" t="s">
        <v>59</v>
      </c>
      <c r="B2057" s="2"/>
      <c r="C2057" s="2"/>
      <c r="D2057" s="2"/>
      <c r="E2057" s="2"/>
      <c r="F2057" s="2"/>
      <c r="G2057" s="2"/>
      <c r="H2057" s="2"/>
      <c r="I2057" s="2">
        <v>69.422499999999999</v>
      </c>
      <c r="J2057" s="2">
        <v>86</v>
      </c>
      <c r="K2057" s="2">
        <v>69.850200000000001</v>
      </c>
      <c r="L2057" s="2">
        <v>67</v>
      </c>
      <c r="M2057" s="2">
        <v>100.2702</v>
      </c>
      <c r="N2057" s="2">
        <v>199</v>
      </c>
      <c r="O2057" s="2">
        <v>106.2176</v>
      </c>
      <c r="P2057" s="2">
        <v>102</v>
      </c>
      <c r="Q2057" s="2">
        <v>101.3357</v>
      </c>
      <c r="R2057" s="2">
        <v>149</v>
      </c>
      <c r="S2057" s="2">
        <v>97.147800000000004</v>
      </c>
      <c r="T2057" s="2">
        <v>66</v>
      </c>
      <c r="U2057" s="2">
        <v>0.73622600000000005</v>
      </c>
      <c r="V2057" s="2">
        <v>76</v>
      </c>
      <c r="W2057" s="2">
        <v>2008</v>
      </c>
    </row>
    <row r="2058" spans="1:23" ht="12.3" x14ac:dyDescent="0.4">
      <c r="A2058" s="2" t="s">
        <v>158</v>
      </c>
      <c r="B2058" s="2">
        <v>11</v>
      </c>
      <c r="C2058" s="2"/>
      <c r="D2058" s="2"/>
      <c r="E2058" s="2"/>
      <c r="F2058" s="2"/>
      <c r="G2058" s="2"/>
      <c r="H2058" s="2"/>
      <c r="I2058" s="2">
        <v>70.931600000000003</v>
      </c>
      <c r="J2058" s="2">
        <v>49</v>
      </c>
      <c r="K2058" s="2">
        <v>71.796700000000001</v>
      </c>
      <c r="L2058" s="2">
        <v>23</v>
      </c>
      <c r="M2058" s="2">
        <v>110.2323</v>
      </c>
      <c r="N2058" s="2">
        <v>37</v>
      </c>
      <c r="O2058" s="2">
        <v>113.99039999999999</v>
      </c>
      <c r="P2058" s="2">
        <v>15</v>
      </c>
      <c r="Q2058" s="2">
        <v>101.56610000000001</v>
      </c>
      <c r="R2058" s="2">
        <v>154</v>
      </c>
      <c r="S2058" s="2">
        <v>99.945999999999998</v>
      </c>
      <c r="T2058" s="2">
        <v>116</v>
      </c>
      <c r="U2058" s="2">
        <v>0.81936699999999996</v>
      </c>
      <c r="V2058" s="2">
        <v>40</v>
      </c>
      <c r="W2058" s="2">
        <v>2008</v>
      </c>
    </row>
    <row r="2059" spans="1:23" ht="12.3" hidden="1" x14ac:dyDescent="0.4">
      <c r="A2059" s="2" t="s">
        <v>63</v>
      </c>
      <c r="B2059" s="2"/>
      <c r="C2059" s="2"/>
      <c r="D2059" s="2"/>
      <c r="E2059" s="2"/>
      <c r="F2059" s="2"/>
      <c r="G2059" s="2"/>
      <c r="H2059" s="2"/>
      <c r="I2059" s="2">
        <v>68.790599999999998</v>
      </c>
      <c r="J2059" s="2">
        <v>106</v>
      </c>
      <c r="K2059" s="2">
        <v>68.170299999999997</v>
      </c>
      <c r="L2059" s="2">
        <v>120</v>
      </c>
      <c r="M2059" s="2">
        <v>101.6936</v>
      </c>
      <c r="N2059" s="2">
        <v>171</v>
      </c>
      <c r="O2059" s="2">
        <v>103.0586</v>
      </c>
      <c r="P2059" s="2">
        <v>154</v>
      </c>
      <c r="Q2059" s="2">
        <v>97.083200000000005</v>
      </c>
      <c r="R2059" s="2">
        <v>63</v>
      </c>
      <c r="S2059" s="2">
        <v>94.384799999999998</v>
      </c>
      <c r="T2059" s="2">
        <v>35</v>
      </c>
      <c r="U2059" s="2">
        <v>0.73322500000000002</v>
      </c>
      <c r="V2059" s="2">
        <v>78</v>
      </c>
      <c r="W2059" s="2">
        <v>2008</v>
      </c>
    </row>
    <row r="2060" spans="1:23" ht="12.3" hidden="1" x14ac:dyDescent="0.4">
      <c r="A2060" s="2" t="s">
        <v>130</v>
      </c>
      <c r="B2060" s="2"/>
      <c r="C2060" s="2"/>
      <c r="D2060" s="2"/>
      <c r="E2060" s="2"/>
      <c r="F2060" s="2"/>
      <c r="G2060" s="2"/>
      <c r="H2060" s="2"/>
      <c r="I2060" s="2">
        <v>71.046000000000006</v>
      </c>
      <c r="J2060" s="2">
        <v>48</v>
      </c>
      <c r="K2060" s="2">
        <v>70.933899999999994</v>
      </c>
      <c r="L2060" s="2">
        <v>41</v>
      </c>
      <c r="M2060" s="2">
        <v>111.218</v>
      </c>
      <c r="N2060" s="2">
        <v>24</v>
      </c>
      <c r="O2060" s="2">
        <v>111.8135</v>
      </c>
      <c r="P2060" s="2">
        <v>32</v>
      </c>
      <c r="Q2060" s="2">
        <v>98.530299999999997</v>
      </c>
      <c r="R2060" s="2">
        <v>81</v>
      </c>
      <c r="S2060" s="2">
        <v>102.4554</v>
      </c>
      <c r="T2060" s="2">
        <v>171</v>
      </c>
      <c r="U2060" s="2">
        <v>0.73207</v>
      </c>
      <c r="V2060" s="2">
        <v>79</v>
      </c>
      <c r="W2060" s="2">
        <v>2008</v>
      </c>
    </row>
    <row r="2061" spans="1:23" ht="12.3" hidden="1" x14ac:dyDescent="0.4">
      <c r="A2061" s="2" t="s">
        <v>256</v>
      </c>
      <c r="B2061" s="2"/>
      <c r="C2061" s="2"/>
      <c r="D2061" s="2"/>
      <c r="E2061" s="2"/>
      <c r="F2061" s="2"/>
      <c r="G2061" s="2"/>
      <c r="H2061" s="2"/>
      <c r="I2061" s="2">
        <v>64.8245</v>
      </c>
      <c r="J2061" s="2">
        <v>259</v>
      </c>
      <c r="K2061" s="2">
        <v>65.014700000000005</v>
      </c>
      <c r="L2061" s="2">
        <v>242</v>
      </c>
      <c r="M2061" s="2">
        <v>109.3231</v>
      </c>
      <c r="N2061" s="2">
        <v>45</v>
      </c>
      <c r="O2061" s="2">
        <v>109.509</v>
      </c>
      <c r="P2061" s="2">
        <v>53</v>
      </c>
      <c r="Q2061" s="2">
        <v>98.165499999999994</v>
      </c>
      <c r="R2061" s="2">
        <v>78</v>
      </c>
      <c r="S2061" s="2">
        <v>100.7427</v>
      </c>
      <c r="T2061" s="2">
        <v>131</v>
      </c>
      <c r="U2061" s="2">
        <v>0.72302699999999998</v>
      </c>
      <c r="V2061" s="2">
        <v>80</v>
      </c>
      <c r="W2061" s="2">
        <v>2008</v>
      </c>
    </row>
    <row r="2062" spans="1:23" ht="12.3" hidden="1" x14ac:dyDescent="0.4">
      <c r="A2062" s="2" t="s">
        <v>69</v>
      </c>
      <c r="B2062" s="2"/>
      <c r="C2062" s="2"/>
      <c r="D2062" s="2"/>
      <c r="E2062" s="2"/>
      <c r="F2062" s="2"/>
      <c r="G2062" s="2"/>
      <c r="H2062" s="2"/>
      <c r="I2062" s="2">
        <v>66.274699999999996</v>
      </c>
      <c r="J2062" s="2">
        <v>194</v>
      </c>
      <c r="K2062" s="2">
        <v>65.548900000000003</v>
      </c>
      <c r="L2062" s="2">
        <v>218</v>
      </c>
      <c r="M2062" s="2">
        <v>103.7574</v>
      </c>
      <c r="N2062" s="2">
        <v>138</v>
      </c>
      <c r="O2062" s="2">
        <v>104.408</v>
      </c>
      <c r="P2062" s="2">
        <v>130</v>
      </c>
      <c r="Q2062" s="2">
        <v>96.273799999999994</v>
      </c>
      <c r="R2062" s="2">
        <v>52</v>
      </c>
      <c r="S2062" s="2">
        <v>96.392600000000002</v>
      </c>
      <c r="T2062" s="2">
        <v>58</v>
      </c>
      <c r="U2062" s="2">
        <v>0.71475299999999997</v>
      </c>
      <c r="V2062" s="2">
        <v>81</v>
      </c>
      <c r="W2062" s="2">
        <v>2008</v>
      </c>
    </row>
    <row r="2063" spans="1:23" ht="12.3" hidden="1" x14ac:dyDescent="0.4">
      <c r="A2063" s="2" t="s">
        <v>245</v>
      </c>
      <c r="B2063" s="2"/>
      <c r="C2063" s="2"/>
      <c r="D2063" s="2"/>
      <c r="E2063" s="2"/>
      <c r="F2063" s="2"/>
      <c r="G2063" s="2"/>
      <c r="H2063" s="2"/>
      <c r="I2063" s="2">
        <v>68.259799999999998</v>
      </c>
      <c r="J2063" s="2">
        <v>123</v>
      </c>
      <c r="K2063" s="2">
        <v>69.892799999999994</v>
      </c>
      <c r="L2063" s="2">
        <v>65</v>
      </c>
      <c r="M2063" s="2">
        <v>105.95050000000001</v>
      </c>
      <c r="N2063" s="2">
        <v>94</v>
      </c>
      <c r="O2063" s="2">
        <v>110.0812</v>
      </c>
      <c r="P2063" s="2">
        <v>45</v>
      </c>
      <c r="Q2063" s="2">
        <v>103.0064</v>
      </c>
      <c r="R2063" s="2">
        <v>195</v>
      </c>
      <c r="S2063" s="2">
        <v>101.70529999999999</v>
      </c>
      <c r="T2063" s="2">
        <v>154</v>
      </c>
      <c r="U2063" s="2">
        <v>0.71301899999999996</v>
      </c>
      <c r="V2063" s="2">
        <v>82</v>
      </c>
      <c r="W2063" s="2">
        <v>2008</v>
      </c>
    </row>
    <row r="2064" spans="1:23" ht="12.3" hidden="1" x14ac:dyDescent="0.4">
      <c r="A2064" s="2" t="s">
        <v>258</v>
      </c>
      <c r="B2064" s="2"/>
      <c r="C2064" s="2"/>
      <c r="D2064" s="2"/>
      <c r="E2064" s="2"/>
      <c r="F2064" s="2"/>
      <c r="G2064" s="2"/>
      <c r="H2064" s="2"/>
      <c r="I2064" s="2">
        <v>71.737700000000004</v>
      </c>
      <c r="J2064" s="2">
        <v>31</v>
      </c>
      <c r="K2064" s="2">
        <v>71.122699999999995</v>
      </c>
      <c r="L2064" s="2">
        <v>36</v>
      </c>
      <c r="M2064" s="2">
        <v>112.5603</v>
      </c>
      <c r="N2064" s="2">
        <v>19</v>
      </c>
      <c r="O2064" s="2">
        <v>113.16679999999999</v>
      </c>
      <c r="P2064" s="2">
        <v>20</v>
      </c>
      <c r="Q2064" s="2">
        <v>103.69499999999999</v>
      </c>
      <c r="R2064" s="2">
        <v>208</v>
      </c>
      <c r="S2064" s="2">
        <v>104.62139999999999</v>
      </c>
      <c r="T2064" s="2">
        <v>217</v>
      </c>
      <c r="U2064" s="2">
        <v>0.71154899999999999</v>
      </c>
      <c r="V2064" s="2">
        <v>83</v>
      </c>
      <c r="W2064" s="2">
        <v>2008</v>
      </c>
    </row>
    <row r="2065" spans="1:23" ht="12.3" hidden="1" x14ac:dyDescent="0.4">
      <c r="A2065" s="2" t="s">
        <v>87</v>
      </c>
      <c r="B2065" s="2"/>
      <c r="C2065" s="2"/>
      <c r="D2065" s="2"/>
      <c r="E2065" s="2"/>
      <c r="F2065" s="2"/>
      <c r="G2065" s="2"/>
      <c r="H2065" s="2"/>
      <c r="I2065" s="2">
        <v>71.1751</v>
      </c>
      <c r="J2065" s="2">
        <v>45</v>
      </c>
      <c r="K2065" s="2">
        <v>69.494100000000003</v>
      </c>
      <c r="L2065" s="2">
        <v>80</v>
      </c>
      <c r="M2065" s="2">
        <v>106.5198</v>
      </c>
      <c r="N2065" s="2">
        <v>84</v>
      </c>
      <c r="O2065" s="2">
        <v>109.55589999999999</v>
      </c>
      <c r="P2065" s="2">
        <v>52</v>
      </c>
      <c r="Q2065" s="2">
        <v>103.6169</v>
      </c>
      <c r="R2065" s="2">
        <v>207</v>
      </c>
      <c r="S2065" s="2">
        <v>101.28870000000001</v>
      </c>
      <c r="T2065" s="2">
        <v>141</v>
      </c>
      <c r="U2065" s="2">
        <v>0.71142000000000005</v>
      </c>
      <c r="V2065" s="2">
        <v>84</v>
      </c>
      <c r="W2065" s="2">
        <v>2008</v>
      </c>
    </row>
    <row r="2066" spans="1:23" ht="12.3" hidden="1" x14ac:dyDescent="0.4">
      <c r="A2066" s="2" t="s">
        <v>250</v>
      </c>
      <c r="B2066" s="2"/>
      <c r="C2066" s="2"/>
      <c r="D2066" s="2"/>
      <c r="E2066" s="2"/>
      <c r="F2066" s="2"/>
      <c r="G2066" s="2"/>
      <c r="H2066" s="2"/>
      <c r="I2066" s="2">
        <v>75.677099999999996</v>
      </c>
      <c r="J2066" s="2">
        <v>5</v>
      </c>
      <c r="K2066" s="2">
        <v>75.358199999999997</v>
      </c>
      <c r="L2066" s="2">
        <v>5</v>
      </c>
      <c r="M2066" s="2">
        <v>108.294</v>
      </c>
      <c r="N2066" s="2">
        <v>60</v>
      </c>
      <c r="O2066" s="2">
        <v>107.0244</v>
      </c>
      <c r="P2066" s="2">
        <v>81</v>
      </c>
      <c r="Q2066" s="2">
        <v>98.626800000000003</v>
      </c>
      <c r="R2066" s="2">
        <v>82</v>
      </c>
      <c r="S2066" s="2">
        <v>99.028800000000004</v>
      </c>
      <c r="T2066" s="2">
        <v>100</v>
      </c>
      <c r="U2066" s="2">
        <v>0.70949399999999996</v>
      </c>
      <c r="V2066" s="2">
        <v>85</v>
      </c>
      <c r="W2066" s="2">
        <v>2008</v>
      </c>
    </row>
    <row r="2067" spans="1:23" ht="12.3" x14ac:dyDescent="0.4">
      <c r="A2067" s="2" t="s">
        <v>262</v>
      </c>
      <c r="B2067" s="2">
        <v>10</v>
      </c>
      <c r="C2067" s="2"/>
      <c r="D2067" s="2"/>
      <c r="E2067" s="2"/>
      <c r="F2067" s="2"/>
      <c r="G2067" s="2"/>
      <c r="H2067" s="2"/>
      <c r="I2067" s="2">
        <v>67.921499999999995</v>
      </c>
      <c r="J2067" s="2">
        <v>138</v>
      </c>
      <c r="K2067" s="2">
        <v>67.218500000000006</v>
      </c>
      <c r="L2067" s="2">
        <v>150</v>
      </c>
      <c r="M2067" s="2">
        <v>110.14409999999999</v>
      </c>
      <c r="N2067" s="2">
        <v>39</v>
      </c>
      <c r="O2067" s="2">
        <v>107.3677</v>
      </c>
      <c r="P2067" s="2">
        <v>76</v>
      </c>
      <c r="Q2067" s="2">
        <v>92.293999999999997</v>
      </c>
      <c r="R2067" s="2">
        <v>13</v>
      </c>
      <c r="S2067" s="2">
        <v>94.212000000000003</v>
      </c>
      <c r="T2067" s="2">
        <v>33</v>
      </c>
      <c r="U2067" s="2">
        <v>0.81805000000000005</v>
      </c>
      <c r="V2067" s="2">
        <v>41</v>
      </c>
      <c r="W2067" s="2">
        <v>2008</v>
      </c>
    </row>
    <row r="2068" spans="1:23" ht="12.3" hidden="1" x14ac:dyDescent="0.4">
      <c r="A2068" s="2" t="s">
        <v>22</v>
      </c>
      <c r="B2068" s="2"/>
      <c r="C2068" s="2"/>
      <c r="D2068" s="2"/>
      <c r="E2068" s="2"/>
      <c r="F2068" s="2"/>
      <c r="G2068" s="2"/>
      <c r="H2068" s="2"/>
      <c r="I2068" s="2">
        <v>64.741799999999998</v>
      </c>
      <c r="J2068" s="2">
        <v>264</v>
      </c>
      <c r="K2068" s="2">
        <v>66.926299999999998</v>
      </c>
      <c r="L2068" s="2">
        <v>161</v>
      </c>
      <c r="M2068" s="2">
        <v>103.5248</v>
      </c>
      <c r="N2068" s="2">
        <v>142</v>
      </c>
      <c r="O2068" s="2">
        <v>106.9096</v>
      </c>
      <c r="P2068" s="2">
        <v>83</v>
      </c>
      <c r="Q2068" s="2">
        <v>99.748699999999999</v>
      </c>
      <c r="R2068" s="2">
        <v>108</v>
      </c>
      <c r="S2068" s="2">
        <v>99.027699999999996</v>
      </c>
      <c r="T2068" s="2">
        <v>99</v>
      </c>
      <c r="U2068" s="2">
        <v>0.70696899999999996</v>
      </c>
      <c r="V2068" s="2">
        <v>87</v>
      </c>
      <c r="W2068" s="2">
        <v>2008</v>
      </c>
    </row>
    <row r="2069" spans="1:23" ht="12.3" hidden="1" x14ac:dyDescent="0.4">
      <c r="A2069" s="2" t="s">
        <v>282</v>
      </c>
      <c r="B2069" s="2"/>
      <c r="C2069" s="2"/>
      <c r="D2069" s="2"/>
      <c r="E2069" s="2"/>
      <c r="F2069" s="2"/>
      <c r="G2069" s="2"/>
      <c r="H2069" s="2"/>
      <c r="I2069" s="2">
        <v>61.001300000000001</v>
      </c>
      <c r="J2069" s="2">
        <v>323</v>
      </c>
      <c r="K2069" s="2">
        <v>59.311300000000003</v>
      </c>
      <c r="L2069" s="2">
        <v>337</v>
      </c>
      <c r="M2069" s="2">
        <v>107.6109</v>
      </c>
      <c r="N2069" s="2">
        <v>67</v>
      </c>
      <c r="O2069" s="2">
        <v>107.05710000000001</v>
      </c>
      <c r="P2069" s="2">
        <v>80</v>
      </c>
      <c r="Q2069" s="2">
        <v>92.905100000000004</v>
      </c>
      <c r="R2069" s="2">
        <v>19</v>
      </c>
      <c r="S2069" s="2">
        <v>99.210700000000003</v>
      </c>
      <c r="T2069" s="2">
        <v>103</v>
      </c>
      <c r="U2069" s="2">
        <v>0.70585500000000001</v>
      </c>
      <c r="V2069" s="2">
        <v>88</v>
      </c>
      <c r="W2069" s="2">
        <v>2008</v>
      </c>
    </row>
    <row r="2070" spans="1:23" ht="12.3" hidden="1" x14ac:dyDescent="0.4">
      <c r="A2070" s="2" t="s">
        <v>97</v>
      </c>
      <c r="B2070" s="2"/>
      <c r="C2070" s="2"/>
      <c r="D2070" s="2"/>
      <c r="E2070" s="2"/>
      <c r="F2070" s="2"/>
      <c r="G2070" s="2"/>
      <c r="H2070" s="2"/>
      <c r="I2070" s="2">
        <v>65.529700000000005</v>
      </c>
      <c r="J2070" s="2">
        <v>224</v>
      </c>
      <c r="K2070" s="2">
        <v>65.784599999999998</v>
      </c>
      <c r="L2070" s="2">
        <v>209</v>
      </c>
      <c r="M2070" s="2">
        <v>101.34699999999999</v>
      </c>
      <c r="N2070" s="2">
        <v>178</v>
      </c>
      <c r="O2070" s="2">
        <v>102.7208</v>
      </c>
      <c r="P2070" s="2">
        <v>159</v>
      </c>
      <c r="Q2070" s="2">
        <v>95.287400000000005</v>
      </c>
      <c r="R2070" s="2">
        <v>40</v>
      </c>
      <c r="S2070" s="2">
        <v>95.407499999999999</v>
      </c>
      <c r="T2070" s="2">
        <v>43</v>
      </c>
      <c r="U2070" s="2">
        <v>0.70043299999999997</v>
      </c>
      <c r="V2070" s="2">
        <v>89</v>
      </c>
      <c r="W2070" s="2">
        <v>2008</v>
      </c>
    </row>
    <row r="2071" spans="1:23" ht="12.3" hidden="1" x14ac:dyDescent="0.4">
      <c r="A2071" s="2" t="s">
        <v>162</v>
      </c>
      <c r="B2071" s="2"/>
      <c r="C2071" s="2"/>
      <c r="D2071" s="2"/>
      <c r="E2071" s="2"/>
      <c r="F2071" s="2"/>
      <c r="G2071" s="2"/>
      <c r="H2071" s="2"/>
      <c r="I2071" s="2">
        <v>64.891599999999997</v>
      </c>
      <c r="J2071" s="2">
        <v>255</v>
      </c>
      <c r="K2071" s="2">
        <v>65.411000000000001</v>
      </c>
      <c r="L2071" s="2">
        <v>225</v>
      </c>
      <c r="M2071" s="2">
        <v>105.761</v>
      </c>
      <c r="N2071" s="2">
        <v>98</v>
      </c>
      <c r="O2071" s="2">
        <v>105.79940000000001</v>
      </c>
      <c r="P2071" s="2">
        <v>109</v>
      </c>
      <c r="Q2071" s="2">
        <v>98.660300000000007</v>
      </c>
      <c r="R2071" s="2">
        <v>84</v>
      </c>
      <c r="S2071" s="2">
        <v>98.311199999999999</v>
      </c>
      <c r="T2071" s="2">
        <v>89</v>
      </c>
      <c r="U2071" s="2">
        <v>0.69934499999999999</v>
      </c>
      <c r="V2071" s="2">
        <v>90</v>
      </c>
      <c r="W2071" s="2">
        <v>2008</v>
      </c>
    </row>
    <row r="2072" spans="1:23" ht="12.3" x14ac:dyDescent="0.4">
      <c r="A2072" s="2" t="s">
        <v>38</v>
      </c>
      <c r="B2072" s="2">
        <v>6</v>
      </c>
      <c r="C2072" s="4" t="s">
        <v>33</v>
      </c>
      <c r="D2072" s="2"/>
      <c r="E2072" s="2"/>
      <c r="F2072" s="2"/>
      <c r="G2072" s="2"/>
      <c r="H2072" s="2"/>
      <c r="I2072" s="2">
        <v>64.889300000000006</v>
      </c>
      <c r="J2072" s="2">
        <v>256</v>
      </c>
      <c r="K2072" s="2">
        <v>64.787599999999998</v>
      </c>
      <c r="L2072" s="2">
        <v>251</v>
      </c>
      <c r="M2072" s="2">
        <v>103.9473</v>
      </c>
      <c r="N2072" s="2">
        <v>135</v>
      </c>
      <c r="O2072" s="2">
        <v>106.61320000000001</v>
      </c>
      <c r="P2072" s="2">
        <v>94</v>
      </c>
      <c r="Q2072" s="2">
        <v>96.940600000000003</v>
      </c>
      <c r="R2072" s="2">
        <v>58</v>
      </c>
      <c r="S2072" s="2">
        <v>93.743200000000002</v>
      </c>
      <c r="T2072" s="2">
        <v>28</v>
      </c>
      <c r="U2072" s="2">
        <v>0.81449000000000005</v>
      </c>
      <c r="V2072" s="2">
        <v>42</v>
      </c>
      <c r="W2072" s="2">
        <v>2008</v>
      </c>
    </row>
    <row r="2073" spans="1:23" ht="12.3" hidden="1" x14ac:dyDescent="0.4">
      <c r="A2073" s="2" t="s">
        <v>49</v>
      </c>
      <c r="B2073" s="2"/>
      <c r="C2073" s="2"/>
      <c r="D2073" s="2"/>
      <c r="E2073" s="2"/>
      <c r="F2073" s="2"/>
      <c r="G2073" s="2"/>
      <c r="H2073" s="2"/>
      <c r="I2073" s="2">
        <v>68.864599999999996</v>
      </c>
      <c r="J2073" s="2">
        <v>103</v>
      </c>
      <c r="K2073" s="2">
        <v>67.974400000000003</v>
      </c>
      <c r="L2073" s="2">
        <v>130</v>
      </c>
      <c r="M2073" s="2">
        <v>107.8818</v>
      </c>
      <c r="N2073" s="2">
        <v>62</v>
      </c>
      <c r="O2073" s="2">
        <v>108.0526</v>
      </c>
      <c r="P2073" s="2">
        <v>66</v>
      </c>
      <c r="Q2073" s="2">
        <v>104.5252</v>
      </c>
      <c r="R2073" s="2">
        <v>228</v>
      </c>
      <c r="S2073" s="2">
        <v>100.8952</v>
      </c>
      <c r="T2073" s="2">
        <v>134</v>
      </c>
      <c r="U2073" s="2">
        <v>0.68743699999999996</v>
      </c>
      <c r="V2073" s="2">
        <v>92</v>
      </c>
      <c r="W2073" s="2">
        <v>2008</v>
      </c>
    </row>
    <row r="2074" spans="1:23" ht="12.3" x14ac:dyDescent="0.4">
      <c r="A2074" s="2" t="s">
        <v>91</v>
      </c>
      <c r="B2074" s="2">
        <v>11</v>
      </c>
      <c r="C2074" s="25"/>
      <c r="D2074" s="2"/>
      <c r="E2074" s="2"/>
      <c r="F2074" s="2"/>
      <c r="G2074" s="2"/>
      <c r="H2074" s="2"/>
      <c r="I2074" s="2">
        <v>65.145099999999999</v>
      </c>
      <c r="J2074" s="2">
        <v>237</v>
      </c>
      <c r="K2074" s="2">
        <v>65.198899999999995</v>
      </c>
      <c r="L2074" s="2">
        <v>233</v>
      </c>
      <c r="M2074" s="2">
        <v>112.07340000000001</v>
      </c>
      <c r="N2074" s="2">
        <v>22</v>
      </c>
      <c r="O2074" s="2">
        <v>112.9071</v>
      </c>
      <c r="P2074" s="2">
        <v>22</v>
      </c>
      <c r="Q2074" s="2">
        <v>102.3507</v>
      </c>
      <c r="R2074" s="2">
        <v>180</v>
      </c>
      <c r="S2074" s="2">
        <v>99.813800000000001</v>
      </c>
      <c r="T2074" s="2">
        <v>115</v>
      </c>
      <c r="U2074" s="2">
        <v>0.80494299999999996</v>
      </c>
      <c r="V2074" s="2">
        <v>44</v>
      </c>
      <c r="W2074" s="2">
        <v>2008</v>
      </c>
    </row>
    <row r="2075" spans="1:23" ht="12.3" hidden="1" x14ac:dyDescent="0.4">
      <c r="A2075" s="2" t="s">
        <v>120</v>
      </c>
      <c r="B2075" s="2"/>
      <c r="C2075" s="2"/>
      <c r="D2075" s="2"/>
      <c r="E2075" s="2"/>
      <c r="F2075" s="2"/>
      <c r="G2075" s="2"/>
      <c r="H2075" s="2"/>
      <c r="I2075" s="2">
        <v>68.172499999999999</v>
      </c>
      <c r="J2075" s="2">
        <v>127</v>
      </c>
      <c r="K2075" s="2">
        <v>67.841099999999997</v>
      </c>
      <c r="L2075" s="2">
        <v>135</v>
      </c>
      <c r="M2075" s="2">
        <v>105.33669999999999</v>
      </c>
      <c r="N2075" s="2">
        <v>111</v>
      </c>
      <c r="O2075" s="2">
        <v>107.2997</v>
      </c>
      <c r="P2075" s="2">
        <v>77</v>
      </c>
      <c r="Q2075" s="2">
        <v>104.81570000000001</v>
      </c>
      <c r="R2075" s="2">
        <v>243</v>
      </c>
      <c r="S2075" s="2">
        <v>100.52030000000001</v>
      </c>
      <c r="T2075" s="2">
        <v>127</v>
      </c>
      <c r="U2075" s="2">
        <v>0.67929899999999999</v>
      </c>
      <c r="V2075" s="2">
        <v>94</v>
      </c>
      <c r="W2075" s="2">
        <v>2008</v>
      </c>
    </row>
    <row r="2076" spans="1:23" ht="12.3" hidden="1" x14ac:dyDescent="0.4">
      <c r="A2076" s="2" t="s">
        <v>151</v>
      </c>
      <c r="B2076" s="2"/>
      <c r="C2076" s="2"/>
      <c r="D2076" s="2"/>
      <c r="E2076" s="2"/>
      <c r="F2076" s="2"/>
      <c r="G2076" s="2"/>
      <c r="H2076" s="2"/>
      <c r="I2076" s="2">
        <v>63.956000000000003</v>
      </c>
      <c r="J2076" s="2">
        <v>284</v>
      </c>
      <c r="K2076" s="2">
        <v>64.690899999999999</v>
      </c>
      <c r="L2076" s="2">
        <v>256</v>
      </c>
      <c r="M2076" s="2">
        <v>104.9316</v>
      </c>
      <c r="N2076" s="2">
        <v>119</v>
      </c>
      <c r="O2076" s="2">
        <v>106.334</v>
      </c>
      <c r="P2076" s="2">
        <v>100</v>
      </c>
      <c r="Q2076" s="2">
        <v>100.562</v>
      </c>
      <c r="R2076" s="2">
        <v>129</v>
      </c>
      <c r="S2076" s="2">
        <v>99.647400000000005</v>
      </c>
      <c r="T2076" s="2">
        <v>111</v>
      </c>
      <c r="U2076" s="2">
        <v>0.67850100000000002</v>
      </c>
      <c r="V2076" s="2">
        <v>95</v>
      </c>
      <c r="W2076" s="2">
        <v>2008</v>
      </c>
    </row>
    <row r="2077" spans="1:23" ht="12.3" x14ac:dyDescent="0.4">
      <c r="A2077" s="2" t="s">
        <v>60</v>
      </c>
      <c r="B2077" s="2">
        <v>7</v>
      </c>
      <c r="C2077" s="4" t="s">
        <v>33</v>
      </c>
      <c r="D2077" s="2"/>
      <c r="E2077" s="2"/>
      <c r="F2077" s="2"/>
      <c r="G2077" s="2"/>
      <c r="H2077" s="2"/>
      <c r="I2077" s="2">
        <v>68.061099999999996</v>
      </c>
      <c r="J2077" s="2">
        <v>130</v>
      </c>
      <c r="K2077" s="2">
        <v>66.975899999999996</v>
      </c>
      <c r="L2077" s="2">
        <v>160</v>
      </c>
      <c r="M2077" s="2">
        <v>107.3847</v>
      </c>
      <c r="N2077" s="2">
        <v>71</v>
      </c>
      <c r="O2077" s="2">
        <v>110.3429</v>
      </c>
      <c r="P2077" s="2">
        <v>43</v>
      </c>
      <c r="Q2077" s="2">
        <v>98.959199999999996</v>
      </c>
      <c r="R2077" s="2">
        <v>92</v>
      </c>
      <c r="S2077" s="2">
        <v>97.679199999999994</v>
      </c>
      <c r="T2077" s="2">
        <v>76</v>
      </c>
      <c r="U2077" s="2">
        <v>0.802485</v>
      </c>
      <c r="V2077" s="2">
        <v>45</v>
      </c>
      <c r="W2077" s="2">
        <v>2008</v>
      </c>
    </row>
    <row r="2078" spans="1:23" ht="12.3" x14ac:dyDescent="0.4">
      <c r="A2078" s="2" t="s">
        <v>80</v>
      </c>
      <c r="B2078" s="2">
        <v>9</v>
      </c>
      <c r="C2078" s="4" t="s">
        <v>33</v>
      </c>
      <c r="D2078" s="2"/>
      <c r="E2078" s="2"/>
      <c r="F2078" s="2"/>
      <c r="G2078" s="2"/>
      <c r="H2078" s="2"/>
      <c r="I2078" s="2">
        <v>69.215900000000005</v>
      </c>
      <c r="J2078" s="2">
        <v>92</v>
      </c>
      <c r="K2078" s="2">
        <v>68.398700000000005</v>
      </c>
      <c r="L2078" s="2">
        <v>112</v>
      </c>
      <c r="M2078" s="2">
        <v>106.20659999999999</v>
      </c>
      <c r="N2078" s="2">
        <v>90</v>
      </c>
      <c r="O2078" s="2">
        <v>107.94889999999999</v>
      </c>
      <c r="P2078" s="2">
        <v>70</v>
      </c>
      <c r="Q2078" s="2">
        <v>96.689599999999999</v>
      </c>
      <c r="R2078" s="2">
        <v>55</v>
      </c>
      <c r="S2078" s="2">
        <v>95.596500000000006</v>
      </c>
      <c r="T2078" s="2">
        <v>46</v>
      </c>
      <c r="U2078" s="2">
        <v>0.80178700000000003</v>
      </c>
      <c r="V2078" s="2">
        <v>46</v>
      </c>
      <c r="W2078" s="2">
        <v>2008</v>
      </c>
    </row>
    <row r="2079" spans="1:23" ht="12.3" hidden="1" x14ac:dyDescent="0.4">
      <c r="A2079" s="2" t="s">
        <v>34</v>
      </c>
      <c r="B2079" s="2"/>
      <c r="C2079" s="2"/>
      <c r="D2079" s="2"/>
      <c r="E2079" s="2"/>
      <c r="F2079" s="2"/>
      <c r="G2079" s="2"/>
      <c r="H2079" s="2"/>
      <c r="I2079" s="2">
        <v>64.903599999999997</v>
      </c>
      <c r="J2079" s="2">
        <v>254</v>
      </c>
      <c r="K2079" s="2">
        <v>65.048400000000001</v>
      </c>
      <c r="L2079" s="2">
        <v>239</v>
      </c>
      <c r="M2079" s="2">
        <v>98.674999999999997</v>
      </c>
      <c r="N2079" s="2">
        <v>226</v>
      </c>
      <c r="O2079" s="2">
        <v>102.6277</v>
      </c>
      <c r="P2079" s="2">
        <v>162</v>
      </c>
      <c r="Q2079" s="2">
        <v>102.9179</v>
      </c>
      <c r="R2079" s="2">
        <v>193</v>
      </c>
      <c r="S2079" s="2">
        <v>96.753</v>
      </c>
      <c r="T2079" s="2">
        <v>62</v>
      </c>
      <c r="U2079" s="2">
        <v>0.66326700000000005</v>
      </c>
      <c r="V2079" s="2">
        <v>98</v>
      </c>
      <c r="W2079" s="2">
        <v>2008</v>
      </c>
    </row>
    <row r="2080" spans="1:23" ht="12.3" hidden="1" x14ac:dyDescent="0.4">
      <c r="A2080" s="2" t="s">
        <v>127</v>
      </c>
      <c r="B2080" s="2"/>
      <c r="C2080" s="2"/>
      <c r="D2080" s="2"/>
      <c r="E2080" s="2"/>
      <c r="F2080" s="2"/>
      <c r="G2080" s="2"/>
      <c r="H2080" s="2"/>
      <c r="I2080" s="2">
        <v>66.050799999999995</v>
      </c>
      <c r="J2080" s="2">
        <v>198</v>
      </c>
      <c r="K2080" s="2">
        <v>65.837800000000001</v>
      </c>
      <c r="L2080" s="2">
        <v>208</v>
      </c>
      <c r="M2080" s="2">
        <v>106.979</v>
      </c>
      <c r="N2080" s="2">
        <v>77</v>
      </c>
      <c r="O2080" s="2">
        <v>106.4418</v>
      </c>
      <c r="P2080" s="2">
        <v>97</v>
      </c>
      <c r="Q2080" s="2">
        <v>100.8051</v>
      </c>
      <c r="R2080" s="2">
        <v>136</v>
      </c>
      <c r="S2080" s="2">
        <v>100.4787</v>
      </c>
      <c r="T2080" s="2">
        <v>125</v>
      </c>
      <c r="U2080" s="2">
        <v>0.659937</v>
      </c>
      <c r="V2080" s="2">
        <v>99</v>
      </c>
      <c r="W2080" s="2">
        <v>2008</v>
      </c>
    </row>
    <row r="2081" spans="1:23" ht="12.3" hidden="1" x14ac:dyDescent="0.4">
      <c r="A2081" s="2" t="s">
        <v>175</v>
      </c>
      <c r="B2081" s="2"/>
      <c r="C2081" s="2"/>
      <c r="D2081" s="2"/>
      <c r="E2081" s="2"/>
      <c r="F2081" s="2"/>
      <c r="G2081" s="2"/>
      <c r="H2081" s="2"/>
      <c r="I2081" s="2">
        <v>65.942800000000005</v>
      </c>
      <c r="J2081" s="2">
        <v>201</v>
      </c>
      <c r="K2081" s="2">
        <v>64.799700000000001</v>
      </c>
      <c r="L2081" s="2">
        <v>250</v>
      </c>
      <c r="M2081" s="2">
        <v>104.8396</v>
      </c>
      <c r="N2081" s="2">
        <v>121</v>
      </c>
      <c r="O2081" s="2">
        <v>106.7886</v>
      </c>
      <c r="P2081" s="2">
        <v>87</v>
      </c>
      <c r="Q2081" s="2">
        <v>101.9098</v>
      </c>
      <c r="R2081" s="2">
        <v>169</v>
      </c>
      <c r="S2081" s="2">
        <v>100.8823</v>
      </c>
      <c r="T2081" s="2">
        <v>132</v>
      </c>
      <c r="U2081" s="2">
        <v>0.65798299999999998</v>
      </c>
      <c r="V2081" s="2">
        <v>100</v>
      </c>
      <c r="W2081" s="2">
        <v>2008</v>
      </c>
    </row>
    <row r="2082" spans="1:23" ht="12.3" hidden="1" x14ac:dyDescent="0.4">
      <c r="A2082" s="2" t="s">
        <v>222</v>
      </c>
      <c r="B2082" s="2"/>
      <c r="C2082" s="2"/>
      <c r="D2082" s="2"/>
      <c r="E2082" s="2"/>
      <c r="F2082" s="2"/>
      <c r="G2082" s="2"/>
      <c r="H2082" s="2"/>
      <c r="I2082" s="2">
        <v>65.787899999999993</v>
      </c>
      <c r="J2082" s="2">
        <v>207</v>
      </c>
      <c r="K2082" s="2">
        <v>66.8142</v>
      </c>
      <c r="L2082" s="2">
        <v>165</v>
      </c>
      <c r="M2082" s="2">
        <v>100.0371</v>
      </c>
      <c r="N2082" s="2">
        <v>205</v>
      </c>
      <c r="O2082" s="2">
        <v>100.36790000000001</v>
      </c>
      <c r="P2082" s="2">
        <v>195</v>
      </c>
      <c r="Q2082" s="2">
        <v>96.985399999999998</v>
      </c>
      <c r="R2082" s="2">
        <v>59</v>
      </c>
      <c r="S2082" s="2">
        <v>94.916600000000003</v>
      </c>
      <c r="T2082" s="2">
        <v>37</v>
      </c>
      <c r="U2082" s="2">
        <v>0.65525199999999995</v>
      </c>
      <c r="V2082" s="2">
        <v>101</v>
      </c>
      <c r="W2082" s="2">
        <v>2008</v>
      </c>
    </row>
    <row r="2083" spans="1:23" ht="12.3" hidden="1" x14ac:dyDescent="0.4">
      <c r="A2083" s="2" t="s">
        <v>145</v>
      </c>
      <c r="B2083" s="2"/>
      <c r="C2083" s="2"/>
      <c r="D2083" s="2"/>
      <c r="E2083" s="2"/>
      <c r="F2083" s="2"/>
      <c r="G2083" s="2"/>
      <c r="H2083" s="2"/>
      <c r="I2083" s="2">
        <v>69.304000000000002</v>
      </c>
      <c r="J2083" s="2">
        <v>90</v>
      </c>
      <c r="K2083" s="2">
        <v>68.920900000000003</v>
      </c>
      <c r="L2083" s="2">
        <v>97</v>
      </c>
      <c r="M2083" s="2">
        <v>107.38549999999999</v>
      </c>
      <c r="N2083" s="2">
        <v>70</v>
      </c>
      <c r="O2083" s="2">
        <v>106.2154</v>
      </c>
      <c r="P2083" s="2">
        <v>103</v>
      </c>
      <c r="Q2083" s="2">
        <v>101.09569999999999</v>
      </c>
      <c r="R2083" s="2">
        <v>143</v>
      </c>
      <c r="S2083" s="2">
        <v>100.8946</v>
      </c>
      <c r="T2083" s="2">
        <v>133</v>
      </c>
      <c r="U2083" s="2">
        <v>0.643598</v>
      </c>
      <c r="V2083" s="2">
        <v>102</v>
      </c>
      <c r="W2083" s="2">
        <v>2008</v>
      </c>
    </row>
    <row r="2084" spans="1:23" ht="12.3" hidden="1" x14ac:dyDescent="0.4">
      <c r="A2084" s="2" t="s">
        <v>98</v>
      </c>
      <c r="B2084" s="2"/>
      <c r="C2084" s="2"/>
      <c r="D2084" s="2"/>
      <c r="E2084" s="2"/>
      <c r="F2084" s="2"/>
      <c r="G2084" s="2"/>
      <c r="H2084" s="2"/>
      <c r="I2084" s="2">
        <v>64.909099999999995</v>
      </c>
      <c r="J2084" s="2">
        <v>253</v>
      </c>
      <c r="K2084" s="2">
        <v>64.494399999999999</v>
      </c>
      <c r="L2084" s="2">
        <v>264</v>
      </c>
      <c r="M2084" s="2">
        <v>114.7411</v>
      </c>
      <c r="N2084" s="2">
        <v>6</v>
      </c>
      <c r="O2084" s="2">
        <v>113.6661</v>
      </c>
      <c r="P2084" s="2">
        <v>16</v>
      </c>
      <c r="Q2084" s="2">
        <v>106.06619999999999</v>
      </c>
      <c r="R2084" s="2">
        <v>273</v>
      </c>
      <c r="S2084" s="2">
        <v>108.25920000000001</v>
      </c>
      <c r="T2084" s="2">
        <v>293</v>
      </c>
      <c r="U2084" s="2">
        <v>0.63656199999999996</v>
      </c>
      <c r="V2084" s="2">
        <v>103</v>
      </c>
      <c r="W2084" s="2">
        <v>2008</v>
      </c>
    </row>
    <row r="2085" spans="1:23" ht="12.3" x14ac:dyDescent="0.4">
      <c r="A2085" s="2" t="s">
        <v>109</v>
      </c>
      <c r="B2085" s="2">
        <v>8</v>
      </c>
      <c r="C2085" s="4" t="s">
        <v>33</v>
      </c>
      <c r="D2085" s="2"/>
      <c r="E2085" s="2"/>
      <c r="F2085" s="2"/>
      <c r="G2085" s="2"/>
      <c r="H2085" s="2"/>
      <c r="I2085" s="2">
        <v>65.445300000000003</v>
      </c>
      <c r="J2085" s="2">
        <v>227</v>
      </c>
      <c r="K2085" s="2">
        <v>65.083799999999997</v>
      </c>
      <c r="L2085" s="2">
        <v>237</v>
      </c>
      <c r="M2085" s="2">
        <v>105.7488</v>
      </c>
      <c r="N2085" s="2">
        <v>99</v>
      </c>
      <c r="O2085" s="2">
        <v>109.9117</v>
      </c>
      <c r="P2085" s="2">
        <v>47</v>
      </c>
      <c r="Q2085" s="2">
        <v>95.034800000000004</v>
      </c>
      <c r="R2085" s="2">
        <v>37</v>
      </c>
      <c r="S2085" s="2">
        <v>97.637600000000006</v>
      </c>
      <c r="T2085" s="2">
        <v>73</v>
      </c>
      <c r="U2085" s="2">
        <v>0.79604699999999995</v>
      </c>
      <c r="V2085" s="2">
        <v>48</v>
      </c>
      <c r="W2085" s="2">
        <v>2008</v>
      </c>
    </row>
    <row r="2086" spans="1:23" ht="12.3" hidden="1" x14ac:dyDescent="0.4">
      <c r="A2086" s="2" t="s">
        <v>118</v>
      </c>
      <c r="B2086" s="2"/>
      <c r="C2086" s="2"/>
      <c r="D2086" s="2"/>
      <c r="E2086" s="2"/>
      <c r="F2086" s="2"/>
      <c r="G2086" s="2"/>
      <c r="H2086" s="2"/>
      <c r="I2086" s="2">
        <v>72.363399999999999</v>
      </c>
      <c r="J2086" s="2">
        <v>23</v>
      </c>
      <c r="K2086" s="2">
        <v>71.609300000000005</v>
      </c>
      <c r="L2086" s="2">
        <v>27</v>
      </c>
      <c r="M2086" s="2">
        <v>108.37479999999999</v>
      </c>
      <c r="N2086" s="2">
        <v>59</v>
      </c>
      <c r="O2086" s="2">
        <v>105.5333</v>
      </c>
      <c r="P2086" s="2">
        <v>111</v>
      </c>
      <c r="Q2086" s="2">
        <v>98.9268</v>
      </c>
      <c r="R2086" s="2">
        <v>91</v>
      </c>
      <c r="S2086" s="2">
        <v>100.5986</v>
      </c>
      <c r="T2086" s="2">
        <v>128</v>
      </c>
      <c r="U2086" s="2">
        <v>0.63429999999999997</v>
      </c>
      <c r="V2086" s="2">
        <v>105</v>
      </c>
      <c r="W2086" s="2">
        <v>2008</v>
      </c>
    </row>
    <row r="2087" spans="1:23" ht="12.3" hidden="1" x14ac:dyDescent="0.4">
      <c r="A2087" s="2" t="s">
        <v>95</v>
      </c>
      <c r="B2087" s="2"/>
      <c r="C2087" s="2"/>
      <c r="D2087" s="2"/>
      <c r="E2087" s="2"/>
      <c r="F2087" s="2"/>
      <c r="G2087" s="2"/>
      <c r="H2087" s="2"/>
      <c r="I2087" s="2">
        <v>68.156000000000006</v>
      </c>
      <c r="J2087" s="2">
        <v>128</v>
      </c>
      <c r="K2087" s="2">
        <v>65.915000000000006</v>
      </c>
      <c r="L2087" s="2">
        <v>203</v>
      </c>
      <c r="M2087" s="2">
        <v>103.3456</v>
      </c>
      <c r="N2087" s="2">
        <v>144</v>
      </c>
      <c r="O2087" s="2">
        <v>106.8926</v>
      </c>
      <c r="P2087" s="2">
        <v>85</v>
      </c>
      <c r="Q2087" s="2">
        <v>105.37860000000001</v>
      </c>
      <c r="R2087" s="2">
        <v>257</v>
      </c>
      <c r="S2087" s="2">
        <v>101.9117</v>
      </c>
      <c r="T2087" s="2">
        <v>161</v>
      </c>
      <c r="U2087" s="2">
        <v>0.63384700000000005</v>
      </c>
      <c r="V2087" s="2">
        <v>106</v>
      </c>
      <c r="W2087" s="2">
        <v>2008</v>
      </c>
    </row>
    <row r="2088" spans="1:23" ht="12.3" hidden="1" x14ac:dyDescent="0.4">
      <c r="A2088" s="2" t="s">
        <v>144</v>
      </c>
      <c r="B2088" s="2"/>
      <c r="C2088" s="2"/>
      <c r="D2088" s="2"/>
      <c r="E2088" s="2"/>
      <c r="F2088" s="2"/>
      <c r="G2088" s="2"/>
      <c r="H2088" s="2"/>
      <c r="I2088" s="2">
        <v>65.656999999999996</v>
      </c>
      <c r="J2088" s="2">
        <v>218</v>
      </c>
      <c r="K2088" s="2">
        <v>67.193200000000004</v>
      </c>
      <c r="L2088" s="2">
        <v>151</v>
      </c>
      <c r="M2088" s="2">
        <v>101.74339999999999</v>
      </c>
      <c r="N2088" s="2">
        <v>169</v>
      </c>
      <c r="O2088" s="2">
        <v>102.3227</v>
      </c>
      <c r="P2088" s="2">
        <v>167</v>
      </c>
      <c r="Q2088" s="2">
        <v>99.331500000000005</v>
      </c>
      <c r="R2088" s="2">
        <v>99</v>
      </c>
      <c r="S2088" s="2">
        <v>97.642899999999997</v>
      </c>
      <c r="T2088" s="2">
        <v>74</v>
      </c>
      <c r="U2088" s="2">
        <v>0.63143199999999999</v>
      </c>
      <c r="V2088" s="2">
        <v>107</v>
      </c>
      <c r="W2088" s="2">
        <v>2008</v>
      </c>
    </row>
    <row r="2089" spans="1:23" ht="12.3" hidden="1" x14ac:dyDescent="0.4">
      <c r="A2089" s="2" t="s">
        <v>177</v>
      </c>
      <c r="B2089" s="2"/>
      <c r="C2089" s="2"/>
      <c r="D2089" s="2"/>
      <c r="E2089" s="2"/>
      <c r="F2089" s="2"/>
      <c r="G2089" s="2"/>
      <c r="H2089" s="2"/>
      <c r="I2089" s="2">
        <v>66.8416</v>
      </c>
      <c r="J2089" s="2">
        <v>176</v>
      </c>
      <c r="K2089" s="2">
        <v>66.193399999999997</v>
      </c>
      <c r="L2089" s="2">
        <v>190</v>
      </c>
      <c r="M2089" s="2">
        <v>106.9182</v>
      </c>
      <c r="N2089" s="2">
        <v>79</v>
      </c>
      <c r="O2089" s="2">
        <v>105.94540000000001</v>
      </c>
      <c r="P2089" s="2">
        <v>108</v>
      </c>
      <c r="Q2089" s="2">
        <v>100.5164</v>
      </c>
      <c r="R2089" s="2">
        <v>128</v>
      </c>
      <c r="S2089" s="2">
        <v>101.1302</v>
      </c>
      <c r="T2089" s="2">
        <v>138</v>
      </c>
      <c r="U2089" s="2">
        <v>0.63063100000000005</v>
      </c>
      <c r="V2089" s="2">
        <v>108</v>
      </c>
      <c r="W2089" s="2">
        <v>2008</v>
      </c>
    </row>
    <row r="2090" spans="1:23" ht="12.3" hidden="1" x14ac:dyDescent="0.4">
      <c r="A2090" s="2" t="s">
        <v>171</v>
      </c>
      <c r="B2090" s="2"/>
      <c r="C2090" s="2"/>
      <c r="D2090" s="2"/>
      <c r="E2090" s="2"/>
      <c r="F2090" s="2"/>
      <c r="G2090" s="2"/>
      <c r="H2090" s="2"/>
      <c r="I2090" s="2">
        <v>60.064599999999999</v>
      </c>
      <c r="J2090" s="2">
        <v>329</v>
      </c>
      <c r="K2090" s="2">
        <v>60.788400000000003</v>
      </c>
      <c r="L2090" s="2">
        <v>329</v>
      </c>
      <c r="M2090" s="2">
        <v>102.81870000000001</v>
      </c>
      <c r="N2090" s="2">
        <v>157</v>
      </c>
      <c r="O2090" s="2">
        <v>102.60429999999999</v>
      </c>
      <c r="P2090" s="2">
        <v>163</v>
      </c>
      <c r="Q2090" s="2">
        <v>98.657600000000002</v>
      </c>
      <c r="R2090" s="2">
        <v>83</v>
      </c>
      <c r="S2090" s="2">
        <v>98.034199999999998</v>
      </c>
      <c r="T2090" s="2">
        <v>85</v>
      </c>
      <c r="U2090" s="2">
        <v>0.62807599999999997</v>
      </c>
      <c r="V2090" s="2">
        <v>109</v>
      </c>
      <c r="W2090" s="2">
        <v>2008</v>
      </c>
    </row>
    <row r="2091" spans="1:23" ht="12.3" hidden="1" x14ac:dyDescent="0.4">
      <c r="A2091" s="2" t="s">
        <v>104</v>
      </c>
      <c r="B2091" s="2"/>
      <c r="C2091" s="2"/>
      <c r="D2091" s="2"/>
      <c r="E2091" s="2"/>
      <c r="F2091" s="2"/>
      <c r="G2091" s="2"/>
      <c r="H2091" s="2"/>
      <c r="I2091" s="2">
        <v>67.256200000000007</v>
      </c>
      <c r="J2091" s="2">
        <v>162</v>
      </c>
      <c r="K2091" s="2">
        <v>66.357900000000001</v>
      </c>
      <c r="L2091" s="2">
        <v>182</v>
      </c>
      <c r="M2091" s="2">
        <v>103.2616</v>
      </c>
      <c r="N2091" s="2">
        <v>147</v>
      </c>
      <c r="O2091" s="2">
        <v>100.7801</v>
      </c>
      <c r="P2091" s="2">
        <v>186</v>
      </c>
      <c r="Q2091" s="2">
        <v>94.899500000000003</v>
      </c>
      <c r="R2091" s="2">
        <v>32</v>
      </c>
      <c r="S2091" s="2">
        <v>96.293199999999999</v>
      </c>
      <c r="T2091" s="2">
        <v>57</v>
      </c>
      <c r="U2091" s="2">
        <v>0.62802400000000003</v>
      </c>
      <c r="V2091" s="2">
        <v>110</v>
      </c>
      <c r="W2091" s="2">
        <v>2008</v>
      </c>
    </row>
    <row r="2092" spans="1:23" ht="12.3" hidden="1" x14ac:dyDescent="0.4">
      <c r="A2092" s="2" t="s">
        <v>219</v>
      </c>
      <c r="B2092" s="2"/>
      <c r="C2092" s="2"/>
      <c r="D2092" s="2"/>
      <c r="E2092" s="2"/>
      <c r="F2092" s="2"/>
      <c r="G2092" s="2"/>
      <c r="H2092" s="2"/>
      <c r="I2092" s="2">
        <v>72.600800000000007</v>
      </c>
      <c r="J2092" s="2">
        <v>19</v>
      </c>
      <c r="K2092" s="2">
        <v>72.209100000000007</v>
      </c>
      <c r="L2092" s="2">
        <v>18</v>
      </c>
      <c r="M2092" s="2">
        <v>104.4312</v>
      </c>
      <c r="N2092" s="2">
        <v>127</v>
      </c>
      <c r="O2092" s="2">
        <v>104.6255</v>
      </c>
      <c r="P2092" s="2">
        <v>125</v>
      </c>
      <c r="Q2092" s="2">
        <v>98.921099999999996</v>
      </c>
      <c r="R2092" s="2">
        <v>90</v>
      </c>
      <c r="S2092" s="2">
        <v>100.0476</v>
      </c>
      <c r="T2092" s="2">
        <v>118</v>
      </c>
      <c r="U2092" s="2">
        <v>0.62586600000000003</v>
      </c>
      <c r="V2092" s="2">
        <v>111</v>
      </c>
      <c r="W2092" s="2">
        <v>2008</v>
      </c>
    </row>
    <row r="2093" spans="1:23" ht="12.3" x14ac:dyDescent="0.4">
      <c r="A2093" s="2" t="s">
        <v>88</v>
      </c>
      <c r="B2093" s="2">
        <v>12</v>
      </c>
      <c r="C2093" s="2"/>
      <c r="D2093" s="2"/>
      <c r="E2093" s="2"/>
      <c r="F2093" s="2"/>
      <c r="G2093" s="2"/>
      <c r="H2093" s="2"/>
      <c r="I2093" s="2">
        <v>65.539599999999993</v>
      </c>
      <c r="J2093" s="2">
        <v>223</v>
      </c>
      <c r="K2093" s="2">
        <v>65.123900000000006</v>
      </c>
      <c r="L2093" s="2">
        <v>236</v>
      </c>
      <c r="M2093" s="2">
        <v>109.0386</v>
      </c>
      <c r="N2093" s="2">
        <v>51</v>
      </c>
      <c r="O2093" s="2">
        <v>111.1769</v>
      </c>
      <c r="P2093" s="2">
        <v>37</v>
      </c>
      <c r="Q2093" s="2">
        <v>102.7907</v>
      </c>
      <c r="R2093" s="2">
        <v>190</v>
      </c>
      <c r="S2093" s="2">
        <v>99.271100000000004</v>
      </c>
      <c r="T2093" s="2">
        <v>105</v>
      </c>
      <c r="U2093" s="2">
        <v>0.786269</v>
      </c>
      <c r="V2093" s="2">
        <v>52</v>
      </c>
      <c r="W2093" s="2">
        <v>2008</v>
      </c>
    </row>
    <row r="2094" spans="1:23" ht="12.3" hidden="1" x14ac:dyDescent="0.4">
      <c r="A2094" s="2" t="s">
        <v>55</v>
      </c>
      <c r="B2094" s="2"/>
      <c r="C2094" s="2"/>
      <c r="D2094" s="2"/>
      <c r="E2094" s="2"/>
      <c r="F2094" s="2"/>
      <c r="G2094" s="2"/>
      <c r="H2094" s="2"/>
      <c r="I2094" s="2">
        <v>65.961200000000005</v>
      </c>
      <c r="J2094" s="2">
        <v>200</v>
      </c>
      <c r="K2094" s="2">
        <v>64.214699999999993</v>
      </c>
      <c r="L2094" s="2">
        <v>273</v>
      </c>
      <c r="M2094" s="2">
        <v>101.6587</v>
      </c>
      <c r="N2094" s="2">
        <v>172</v>
      </c>
      <c r="O2094" s="2">
        <v>106.3412</v>
      </c>
      <c r="P2094" s="2">
        <v>99</v>
      </c>
      <c r="Q2094" s="2">
        <v>104.73909999999999</v>
      </c>
      <c r="R2094" s="2">
        <v>237</v>
      </c>
      <c r="S2094" s="2">
        <v>101.8849</v>
      </c>
      <c r="T2094" s="2">
        <v>160</v>
      </c>
      <c r="U2094" s="2">
        <v>0.62064900000000001</v>
      </c>
      <c r="V2094" s="2">
        <v>113</v>
      </c>
      <c r="W2094" s="2">
        <v>2008</v>
      </c>
    </row>
    <row r="2095" spans="1:23" ht="12.3" hidden="1" x14ac:dyDescent="0.4">
      <c r="A2095" s="2" t="s">
        <v>190</v>
      </c>
      <c r="B2095" s="2"/>
      <c r="C2095" s="2"/>
      <c r="D2095" s="2"/>
      <c r="E2095" s="2"/>
      <c r="F2095" s="2"/>
      <c r="G2095" s="2"/>
      <c r="H2095" s="2"/>
      <c r="I2095" s="2">
        <v>63.748899999999999</v>
      </c>
      <c r="J2095" s="2">
        <v>288</v>
      </c>
      <c r="K2095" s="2">
        <v>64.359499999999997</v>
      </c>
      <c r="L2095" s="2">
        <v>269</v>
      </c>
      <c r="M2095" s="2">
        <v>102.8805</v>
      </c>
      <c r="N2095" s="2">
        <v>156</v>
      </c>
      <c r="O2095" s="2">
        <v>105.6788</v>
      </c>
      <c r="P2095" s="2">
        <v>110</v>
      </c>
      <c r="Q2095" s="2">
        <v>98.880600000000001</v>
      </c>
      <c r="R2095" s="2">
        <v>89</v>
      </c>
      <c r="S2095" s="2">
        <v>101.2672</v>
      </c>
      <c r="T2095" s="2">
        <v>140</v>
      </c>
      <c r="U2095" s="2">
        <v>0.62019599999999997</v>
      </c>
      <c r="V2095" s="2">
        <v>114</v>
      </c>
      <c r="W2095" s="2">
        <v>2008</v>
      </c>
    </row>
    <row r="2096" spans="1:23" ht="12.3" x14ac:dyDescent="0.4">
      <c r="A2096" s="2" t="s">
        <v>78</v>
      </c>
      <c r="B2096" s="2">
        <v>12</v>
      </c>
      <c r="C2096" s="3" t="s">
        <v>33</v>
      </c>
      <c r="D2096" s="4" t="s">
        <v>33</v>
      </c>
      <c r="E2096" s="2"/>
      <c r="F2096" s="2"/>
      <c r="G2096" s="2"/>
      <c r="H2096" s="2"/>
      <c r="I2096" s="2">
        <v>69.0578</v>
      </c>
      <c r="J2096" s="2">
        <v>96</v>
      </c>
      <c r="K2096" s="2">
        <v>69.017200000000003</v>
      </c>
      <c r="L2096" s="2">
        <v>90</v>
      </c>
      <c r="M2096" s="2">
        <v>105.37779999999999</v>
      </c>
      <c r="N2096" s="2">
        <v>109</v>
      </c>
      <c r="O2096" s="2">
        <v>106.6808</v>
      </c>
      <c r="P2096" s="2">
        <v>91</v>
      </c>
      <c r="Q2096" s="2">
        <v>100.4832</v>
      </c>
      <c r="R2096" s="2">
        <v>126</v>
      </c>
      <c r="S2096" s="2">
        <v>95.487399999999994</v>
      </c>
      <c r="T2096" s="2">
        <v>44</v>
      </c>
      <c r="U2096" s="2">
        <v>0.78155399999999997</v>
      </c>
      <c r="V2096" s="2">
        <v>54</v>
      </c>
      <c r="W2096" s="2">
        <v>2008</v>
      </c>
    </row>
    <row r="2097" spans="1:23" ht="12.3" hidden="1" x14ac:dyDescent="0.4">
      <c r="A2097" s="2" t="s">
        <v>119</v>
      </c>
      <c r="B2097" s="2"/>
      <c r="C2097" s="2"/>
      <c r="D2097" s="2"/>
      <c r="E2097" s="2"/>
      <c r="F2097" s="2"/>
      <c r="G2097" s="2"/>
      <c r="H2097" s="2"/>
      <c r="I2097" s="2">
        <v>71.054199999999994</v>
      </c>
      <c r="J2097" s="2">
        <v>47</v>
      </c>
      <c r="K2097" s="2">
        <v>70.492199999999997</v>
      </c>
      <c r="L2097" s="2">
        <v>45</v>
      </c>
      <c r="M2097" s="2">
        <v>105.9277</v>
      </c>
      <c r="N2097" s="2">
        <v>95</v>
      </c>
      <c r="O2097" s="2">
        <v>108.61709999999999</v>
      </c>
      <c r="P2097" s="2">
        <v>61</v>
      </c>
      <c r="Q2097" s="2">
        <v>106.34</v>
      </c>
      <c r="R2097" s="2">
        <v>279</v>
      </c>
      <c r="S2097" s="2">
        <v>104.2097</v>
      </c>
      <c r="T2097" s="2">
        <v>206</v>
      </c>
      <c r="U2097" s="2">
        <v>0.61689000000000005</v>
      </c>
      <c r="V2097" s="2">
        <v>116</v>
      </c>
      <c r="W2097" s="2">
        <v>2008</v>
      </c>
    </row>
    <row r="2098" spans="1:23" ht="12.3" hidden="1" x14ac:dyDescent="0.4">
      <c r="A2098" s="2" t="s">
        <v>182</v>
      </c>
      <c r="B2098" s="2"/>
      <c r="C2098" s="2"/>
      <c r="D2098" s="2"/>
      <c r="E2098" s="2"/>
      <c r="F2098" s="2"/>
      <c r="G2098" s="2"/>
      <c r="H2098" s="2"/>
      <c r="I2098" s="2">
        <v>70.522000000000006</v>
      </c>
      <c r="J2098" s="2">
        <v>56</v>
      </c>
      <c r="K2098" s="2">
        <v>70.4114</v>
      </c>
      <c r="L2098" s="2">
        <v>49</v>
      </c>
      <c r="M2098" s="2">
        <v>109.1084</v>
      </c>
      <c r="N2098" s="2">
        <v>50</v>
      </c>
      <c r="O2098" s="2">
        <v>107.10890000000001</v>
      </c>
      <c r="P2098" s="2">
        <v>79</v>
      </c>
      <c r="Q2098" s="2">
        <v>100.09699999999999</v>
      </c>
      <c r="R2098" s="2">
        <v>115</v>
      </c>
      <c r="S2098" s="2">
        <v>102.83369999999999</v>
      </c>
      <c r="T2098" s="2">
        <v>180</v>
      </c>
      <c r="U2098" s="2">
        <v>0.615012</v>
      </c>
      <c r="V2098" s="2">
        <v>117</v>
      </c>
      <c r="W2098" s="2">
        <v>2008</v>
      </c>
    </row>
    <row r="2099" spans="1:23" ht="12.3" hidden="1" x14ac:dyDescent="0.4">
      <c r="A2099" s="2" t="s">
        <v>85</v>
      </c>
      <c r="B2099" s="2"/>
      <c r="C2099" s="2"/>
      <c r="D2099" s="2"/>
      <c r="E2099" s="2"/>
      <c r="F2099" s="2"/>
      <c r="G2099" s="2"/>
      <c r="H2099" s="2"/>
      <c r="I2099" s="2">
        <v>67.899500000000003</v>
      </c>
      <c r="J2099" s="2">
        <v>139</v>
      </c>
      <c r="K2099" s="2">
        <v>67.334500000000006</v>
      </c>
      <c r="L2099" s="2">
        <v>147</v>
      </c>
      <c r="M2099" s="2">
        <v>100.2597</v>
      </c>
      <c r="N2099" s="2">
        <v>200</v>
      </c>
      <c r="O2099" s="2">
        <v>103.08920000000001</v>
      </c>
      <c r="P2099" s="2">
        <v>153</v>
      </c>
      <c r="Q2099" s="2">
        <v>101.36879999999999</v>
      </c>
      <c r="R2099" s="2">
        <v>150</v>
      </c>
      <c r="S2099" s="2">
        <v>99.118200000000002</v>
      </c>
      <c r="T2099" s="2">
        <v>101</v>
      </c>
      <c r="U2099" s="2">
        <v>0.61105200000000004</v>
      </c>
      <c r="V2099" s="2">
        <v>118</v>
      </c>
      <c r="W2099" s="2">
        <v>2008</v>
      </c>
    </row>
    <row r="2100" spans="1:23" ht="12.3" hidden="1" x14ac:dyDescent="0.4">
      <c r="A2100" s="2" t="s">
        <v>216</v>
      </c>
      <c r="B2100" s="2"/>
      <c r="C2100" s="2"/>
      <c r="D2100" s="2"/>
      <c r="E2100" s="2"/>
      <c r="F2100" s="2"/>
      <c r="G2100" s="2"/>
      <c r="H2100" s="2"/>
      <c r="I2100" s="2">
        <v>59.823399999999999</v>
      </c>
      <c r="J2100" s="2">
        <v>332</v>
      </c>
      <c r="K2100" s="2">
        <v>60.847200000000001</v>
      </c>
      <c r="L2100" s="2">
        <v>328</v>
      </c>
      <c r="M2100" s="2">
        <v>101.4079</v>
      </c>
      <c r="N2100" s="2">
        <v>176</v>
      </c>
      <c r="O2100" s="2">
        <v>104.3723</v>
      </c>
      <c r="P2100" s="2">
        <v>132</v>
      </c>
      <c r="Q2100" s="2">
        <v>101.07550000000001</v>
      </c>
      <c r="R2100" s="2">
        <v>142</v>
      </c>
      <c r="S2100" s="2">
        <v>100.364</v>
      </c>
      <c r="T2100" s="2">
        <v>123</v>
      </c>
      <c r="U2100" s="2">
        <v>0.61072300000000002</v>
      </c>
      <c r="V2100" s="2">
        <v>119</v>
      </c>
      <c r="W2100" s="2">
        <v>2008</v>
      </c>
    </row>
    <row r="2101" spans="1:23" ht="12.3" hidden="1" x14ac:dyDescent="0.4">
      <c r="A2101" s="2" t="s">
        <v>17</v>
      </c>
      <c r="B2101" s="2"/>
      <c r="C2101" s="2"/>
      <c r="D2101" s="2"/>
      <c r="E2101" s="2"/>
      <c r="F2101" s="2"/>
      <c r="G2101" s="2"/>
      <c r="H2101" s="2"/>
      <c r="I2101" s="2">
        <v>67.7273</v>
      </c>
      <c r="J2101" s="2">
        <v>147</v>
      </c>
      <c r="K2101" s="2">
        <v>66.568799999999996</v>
      </c>
      <c r="L2101" s="2">
        <v>175</v>
      </c>
      <c r="M2101" s="2">
        <v>106.24120000000001</v>
      </c>
      <c r="N2101" s="2">
        <v>89</v>
      </c>
      <c r="O2101" s="2">
        <v>106.0986</v>
      </c>
      <c r="P2101" s="2">
        <v>105</v>
      </c>
      <c r="Q2101" s="2">
        <v>104.8052</v>
      </c>
      <c r="R2101" s="2">
        <v>241</v>
      </c>
      <c r="S2101" s="2">
        <v>102.10290000000001</v>
      </c>
      <c r="T2101" s="2">
        <v>163</v>
      </c>
      <c r="U2101" s="2">
        <v>0.60860599999999998</v>
      </c>
      <c r="V2101" s="2">
        <v>120</v>
      </c>
      <c r="W2101" s="2">
        <v>2008</v>
      </c>
    </row>
    <row r="2102" spans="1:23" ht="12.3" x14ac:dyDescent="0.4">
      <c r="A2102" s="2" t="s">
        <v>111</v>
      </c>
      <c r="B2102" s="2">
        <v>4</v>
      </c>
      <c r="C2102" s="2"/>
      <c r="D2102" s="2"/>
      <c r="E2102" s="2"/>
      <c r="F2102" s="2"/>
      <c r="G2102" s="2"/>
      <c r="H2102" s="2"/>
      <c r="I2102" s="2">
        <v>71.372</v>
      </c>
      <c r="J2102" s="2">
        <v>40</v>
      </c>
      <c r="K2102" s="2">
        <v>69.7072</v>
      </c>
      <c r="L2102" s="2">
        <v>75</v>
      </c>
      <c r="M2102" s="2">
        <v>110.18219999999999</v>
      </c>
      <c r="N2102" s="2">
        <v>38</v>
      </c>
      <c r="O2102" s="2">
        <v>110.4747</v>
      </c>
      <c r="P2102" s="2">
        <v>42</v>
      </c>
      <c r="Q2102" s="2">
        <v>101.6717</v>
      </c>
      <c r="R2102" s="2">
        <v>161</v>
      </c>
      <c r="S2102" s="2">
        <v>98.952600000000004</v>
      </c>
      <c r="T2102" s="2">
        <v>96</v>
      </c>
      <c r="U2102" s="2">
        <v>0.78017400000000003</v>
      </c>
      <c r="V2102" s="2">
        <v>55</v>
      </c>
      <c r="W2102" s="2">
        <v>2008</v>
      </c>
    </row>
    <row r="2103" spans="1:23" ht="12.3" hidden="1" x14ac:dyDescent="0.4">
      <c r="A2103" s="2" t="s">
        <v>146</v>
      </c>
      <c r="B2103" s="2"/>
      <c r="C2103" s="2"/>
      <c r="D2103" s="2"/>
      <c r="E2103" s="2"/>
      <c r="F2103" s="2"/>
      <c r="G2103" s="2"/>
      <c r="H2103" s="2"/>
      <c r="I2103" s="2">
        <v>65.090400000000002</v>
      </c>
      <c r="J2103" s="2">
        <v>242</v>
      </c>
      <c r="K2103" s="2">
        <v>65.868099999999998</v>
      </c>
      <c r="L2103" s="2">
        <v>205</v>
      </c>
      <c r="M2103" s="2">
        <v>96.148600000000002</v>
      </c>
      <c r="N2103" s="2">
        <v>266</v>
      </c>
      <c r="O2103" s="2">
        <v>99.062899999999999</v>
      </c>
      <c r="P2103" s="2">
        <v>216</v>
      </c>
      <c r="Q2103" s="2">
        <v>99.922799999999995</v>
      </c>
      <c r="R2103" s="2">
        <v>113</v>
      </c>
      <c r="S2103" s="2">
        <v>95.606899999999996</v>
      </c>
      <c r="T2103" s="2">
        <v>47</v>
      </c>
      <c r="U2103" s="2">
        <v>0.60069600000000001</v>
      </c>
      <c r="V2103" s="2">
        <v>122</v>
      </c>
      <c r="W2103" s="2">
        <v>2008</v>
      </c>
    </row>
    <row r="2104" spans="1:23" ht="12.3" hidden="1" x14ac:dyDescent="0.4">
      <c r="A2104" s="2" t="s">
        <v>129</v>
      </c>
      <c r="B2104" s="2"/>
      <c r="C2104" s="2"/>
      <c r="D2104" s="2"/>
      <c r="E2104" s="2"/>
      <c r="F2104" s="2"/>
      <c r="G2104" s="2"/>
      <c r="H2104" s="2"/>
      <c r="I2104" s="2">
        <v>62.349899999999998</v>
      </c>
      <c r="J2104" s="2">
        <v>309</v>
      </c>
      <c r="K2104" s="2">
        <v>62.340600000000002</v>
      </c>
      <c r="L2104" s="2">
        <v>316</v>
      </c>
      <c r="M2104" s="2">
        <v>98.218500000000006</v>
      </c>
      <c r="N2104" s="2">
        <v>234</v>
      </c>
      <c r="O2104" s="2">
        <v>102.82510000000001</v>
      </c>
      <c r="P2104" s="2">
        <v>156</v>
      </c>
      <c r="Q2104" s="2">
        <v>103.1146</v>
      </c>
      <c r="R2104" s="2">
        <v>198</v>
      </c>
      <c r="S2104" s="2">
        <v>99.290199999999999</v>
      </c>
      <c r="T2104" s="2">
        <v>106</v>
      </c>
      <c r="U2104" s="2">
        <v>0.59924100000000002</v>
      </c>
      <c r="V2104" s="2">
        <v>123</v>
      </c>
      <c r="W2104" s="2">
        <v>2008</v>
      </c>
    </row>
    <row r="2105" spans="1:23" ht="12.3" hidden="1" x14ac:dyDescent="0.4">
      <c r="A2105" s="2" t="s">
        <v>207</v>
      </c>
      <c r="B2105" s="2"/>
      <c r="C2105" s="2"/>
      <c r="D2105" s="2"/>
      <c r="E2105" s="2"/>
      <c r="F2105" s="2"/>
      <c r="G2105" s="2"/>
      <c r="H2105" s="2"/>
      <c r="I2105" s="2">
        <v>68.525800000000004</v>
      </c>
      <c r="J2105" s="2">
        <v>113</v>
      </c>
      <c r="K2105" s="2">
        <v>67.594200000000001</v>
      </c>
      <c r="L2105" s="2">
        <v>141</v>
      </c>
      <c r="M2105" s="2">
        <v>105.6194</v>
      </c>
      <c r="N2105" s="2">
        <v>102</v>
      </c>
      <c r="O2105" s="2">
        <v>109.2079</v>
      </c>
      <c r="P2105" s="2">
        <v>57</v>
      </c>
      <c r="Q2105" s="2">
        <v>109.7834</v>
      </c>
      <c r="R2105" s="2">
        <v>319</v>
      </c>
      <c r="S2105" s="2">
        <v>105.57899999999999</v>
      </c>
      <c r="T2105" s="2">
        <v>237</v>
      </c>
      <c r="U2105" s="2">
        <v>0.59595299999999995</v>
      </c>
      <c r="V2105" s="2">
        <v>124</v>
      </c>
      <c r="W2105" s="2">
        <v>2008</v>
      </c>
    </row>
    <row r="2106" spans="1:23" ht="12.3" hidden="1" x14ac:dyDescent="0.4">
      <c r="A2106" s="2" t="s">
        <v>267</v>
      </c>
      <c r="B2106" s="2"/>
      <c r="C2106" s="2"/>
      <c r="D2106" s="2"/>
      <c r="E2106" s="2"/>
      <c r="F2106" s="2"/>
      <c r="G2106" s="2"/>
      <c r="H2106" s="2"/>
      <c r="I2106" s="2">
        <v>63.896099999999997</v>
      </c>
      <c r="J2106" s="2">
        <v>285</v>
      </c>
      <c r="K2106" s="2">
        <v>66.207700000000003</v>
      </c>
      <c r="L2106" s="2">
        <v>189</v>
      </c>
      <c r="M2106" s="2">
        <v>100.0842</v>
      </c>
      <c r="N2106" s="2">
        <v>204</v>
      </c>
      <c r="O2106" s="2">
        <v>104.7711</v>
      </c>
      <c r="P2106" s="2">
        <v>123</v>
      </c>
      <c r="Q2106" s="2">
        <v>104.49120000000001</v>
      </c>
      <c r="R2106" s="2">
        <v>226</v>
      </c>
      <c r="S2106" s="2">
        <v>101.3086</v>
      </c>
      <c r="T2106" s="2">
        <v>145</v>
      </c>
      <c r="U2106" s="2">
        <v>0.59543299999999999</v>
      </c>
      <c r="V2106" s="2">
        <v>125</v>
      </c>
      <c r="W2106" s="2">
        <v>2008</v>
      </c>
    </row>
    <row r="2107" spans="1:23" ht="12.3" hidden="1" x14ac:dyDescent="0.4">
      <c r="A2107" s="2" t="s">
        <v>74</v>
      </c>
      <c r="B2107" s="2"/>
      <c r="C2107" s="2"/>
      <c r="D2107" s="2"/>
      <c r="E2107" s="2"/>
      <c r="F2107" s="2"/>
      <c r="G2107" s="2"/>
      <c r="H2107" s="2"/>
      <c r="I2107" s="2">
        <v>65.6233</v>
      </c>
      <c r="J2107" s="2">
        <v>219</v>
      </c>
      <c r="K2107" s="2">
        <v>67.183899999999994</v>
      </c>
      <c r="L2107" s="2">
        <v>152</v>
      </c>
      <c r="M2107" s="2">
        <v>105.1301</v>
      </c>
      <c r="N2107" s="2">
        <v>115</v>
      </c>
      <c r="O2107" s="2">
        <v>106.6477</v>
      </c>
      <c r="P2107" s="2">
        <v>92</v>
      </c>
      <c r="Q2107" s="2">
        <v>102.124</v>
      </c>
      <c r="R2107" s="2">
        <v>175</v>
      </c>
      <c r="S2107" s="2">
        <v>103.1979</v>
      </c>
      <c r="T2107" s="2">
        <v>190</v>
      </c>
      <c r="U2107" s="2">
        <v>0.59342499999999998</v>
      </c>
      <c r="V2107" s="2">
        <v>126</v>
      </c>
      <c r="W2107" s="2">
        <v>2008</v>
      </c>
    </row>
    <row r="2108" spans="1:23" ht="12.3" hidden="1" x14ac:dyDescent="0.4">
      <c r="A2108" s="2" t="s">
        <v>233</v>
      </c>
      <c r="B2108" s="2"/>
      <c r="C2108" s="2"/>
      <c r="D2108" s="2"/>
      <c r="E2108" s="2"/>
      <c r="F2108" s="2"/>
      <c r="G2108" s="2"/>
      <c r="H2108" s="2"/>
      <c r="I2108" s="2">
        <v>62.4465</v>
      </c>
      <c r="J2108" s="2">
        <v>307</v>
      </c>
      <c r="K2108" s="2">
        <v>62.6248</v>
      </c>
      <c r="L2108" s="2">
        <v>308</v>
      </c>
      <c r="M2108" s="2">
        <v>109.2067</v>
      </c>
      <c r="N2108" s="2">
        <v>47</v>
      </c>
      <c r="O2108" s="2">
        <v>106.5078</v>
      </c>
      <c r="P2108" s="2">
        <v>95</v>
      </c>
      <c r="Q2108" s="2">
        <v>101.667</v>
      </c>
      <c r="R2108" s="2">
        <v>159</v>
      </c>
      <c r="S2108" s="2">
        <v>103.1365</v>
      </c>
      <c r="T2108" s="2">
        <v>185</v>
      </c>
      <c r="U2108" s="2">
        <v>0.59143400000000002</v>
      </c>
      <c r="V2108" s="2">
        <v>127</v>
      </c>
      <c r="W2108" s="2">
        <v>2008</v>
      </c>
    </row>
    <row r="2109" spans="1:23" ht="12.3" hidden="1" x14ac:dyDescent="0.4">
      <c r="A2109" s="2" t="s">
        <v>230</v>
      </c>
      <c r="B2109" s="2"/>
      <c r="C2109" s="2"/>
      <c r="D2109" s="2"/>
      <c r="E2109" s="2"/>
      <c r="F2109" s="2"/>
      <c r="G2109" s="2"/>
      <c r="H2109" s="2"/>
      <c r="I2109" s="2">
        <v>63.438099999999999</v>
      </c>
      <c r="J2109" s="2">
        <v>293</v>
      </c>
      <c r="K2109" s="2">
        <v>64.834500000000006</v>
      </c>
      <c r="L2109" s="2">
        <v>248</v>
      </c>
      <c r="M2109" s="2">
        <v>101.54730000000001</v>
      </c>
      <c r="N2109" s="2">
        <v>175</v>
      </c>
      <c r="O2109" s="2">
        <v>106.4667</v>
      </c>
      <c r="P2109" s="2">
        <v>96</v>
      </c>
      <c r="Q2109" s="2">
        <v>104.8783</v>
      </c>
      <c r="R2109" s="2">
        <v>244</v>
      </c>
      <c r="S2109" s="2">
        <v>103.1957</v>
      </c>
      <c r="T2109" s="2">
        <v>189</v>
      </c>
      <c r="U2109" s="2">
        <v>0.58876300000000004</v>
      </c>
      <c r="V2109" s="2">
        <v>128</v>
      </c>
      <c r="W2109" s="2">
        <v>2008</v>
      </c>
    </row>
    <row r="2110" spans="1:23" ht="12.3" x14ac:dyDescent="0.4">
      <c r="A2110" s="2" t="s">
        <v>287</v>
      </c>
      <c r="B2110" s="2">
        <v>10</v>
      </c>
      <c r="C2110" s="2"/>
      <c r="D2110" s="2"/>
      <c r="E2110" s="2"/>
      <c r="F2110" s="2"/>
      <c r="G2110" s="2"/>
      <c r="H2110" s="2"/>
      <c r="I2110" s="2">
        <v>66.862899999999996</v>
      </c>
      <c r="J2110" s="2">
        <v>175</v>
      </c>
      <c r="K2110" s="2">
        <v>66.534999999999997</v>
      </c>
      <c r="L2110" s="2">
        <v>177</v>
      </c>
      <c r="M2110" s="2">
        <v>112.7932</v>
      </c>
      <c r="N2110" s="2">
        <v>18</v>
      </c>
      <c r="O2110" s="2">
        <v>110.8569</v>
      </c>
      <c r="P2110" s="2">
        <v>40</v>
      </c>
      <c r="Q2110" s="2">
        <v>97.214500000000001</v>
      </c>
      <c r="R2110" s="2">
        <v>64</v>
      </c>
      <c r="S2110" s="2">
        <v>99.782399999999996</v>
      </c>
      <c r="T2110" s="2">
        <v>113</v>
      </c>
      <c r="U2110" s="2">
        <v>0.77036199999999999</v>
      </c>
      <c r="V2110" s="2">
        <v>59</v>
      </c>
      <c r="W2110" s="2">
        <v>2008</v>
      </c>
    </row>
    <row r="2111" spans="1:23" ht="12.3" hidden="1" x14ac:dyDescent="0.4">
      <c r="A2111" s="2" t="s">
        <v>225</v>
      </c>
      <c r="B2111" s="2"/>
      <c r="C2111" s="2"/>
      <c r="D2111" s="2"/>
      <c r="E2111" s="2"/>
      <c r="F2111" s="2"/>
      <c r="G2111" s="2"/>
      <c r="H2111" s="2"/>
      <c r="I2111" s="2">
        <v>69.492400000000004</v>
      </c>
      <c r="J2111" s="2">
        <v>85</v>
      </c>
      <c r="K2111" s="2">
        <v>68.391099999999994</v>
      </c>
      <c r="L2111" s="2">
        <v>113</v>
      </c>
      <c r="M2111" s="2">
        <v>96.706000000000003</v>
      </c>
      <c r="N2111" s="2">
        <v>260</v>
      </c>
      <c r="O2111" s="2">
        <v>96.077100000000002</v>
      </c>
      <c r="P2111" s="2">
        <v>268</v>
      </c>
      <c r="Q2111" s="2">
        <v>88.924700000000001</v>
      </c>
      <c r="R2111" s="2">
        <v>3</v>
      </c>
      <c r="S2111" s="2">
        <v>93.468199999999996</v>
      </c>
      <c r="T2111" s="2">
        <v>25</v>
      </c>
      <c r="U2111" s="2">
        <v>0.57849600000000001</v>
      </c>
      <c r="V2111" s="2">
        <v>130</v>
      </c>
      <c r="W2111" s="2">
        <v>2008</v>
      </c>
    </row>
    <row r="2112" spans="1:23" ht="12.3" x14ac:dyDescent="0.4">
      <c r="A2112" s="2" t="s">
        <v>138</v>
      </c>
      <c r="B2112" s="2">
        <v>13</v>
      </c>
      <c r="C2112" s="2"/>
      <c r="D2112" s="2"/>
      <c r="E2112" s="2"/>
      <c r="F2112" s="2"/>
      <c r="G2112" s="2"/>
      <c r="H2112" s="2"/>
      <c r="I2112" s="2">
        <v>64.919399999999996</v>
      </c>
      <c r="J2112" s="2">
        <v>252</v>
      </c>
      <c r="K2112" s="2">
        <v>65.232600000000005</v>
      </c>
      <c r="L2112" s="2">
        <v>232</v>
      </c>
      <c r="M2112" s="2">
        <v>105.22490000000001</v>
      </c>
      <c r="N2112" s="2">
        <v>113</v>
      </c>
      <c r="O2112" s="2">
        <v>102.7894</v>
      </c>
      <c r="P2112" s="2">
        <v>157</v>
      </c>
      <c r="Q2112" s="2">
        <v>94.201800000000006</v>
      </c>
      <c r="R2112" s="2">
        <v>27</v>
      </c>
      <c r="S2112" s="2">
        <v>93.205399999999997</v>
      </c>
      <c r="T2112" s="2">
        <v>22</v>
      </c>
      <c r="U2112" s="2">
        <v>0.755023</v>
      </c>
      <c r="V2112" s="2">
        <v>67</v>
      </c>
      <c r="W2112" s="2">
        <v>2008</v>
      </c>
    </row>
    <row r="2113" spans="1:23" ht="12.3" hidden="1" x14ac:dyDescent="0.4">
      <c r="A2113" s="2" t="s">
        <v>103</v>
      </c>
      <c r="B2113" s="2"/>
      <c r="C2113" s="2"/>
      <c r="D2113" s="2"/>
      <c r="E2113" s="2"/>
      <c r="F2113" s="2"/>
      <c r="G2113" s="2"/>
      <c r="H2113" s="2"/>
      <c r="I2113" s="2">
        <v>66.807400000000001</v>
      </c>
      <c r="J2113" s="2">
        <v>177</v>
      </c>
      <c r="K2113" s="2">
        <v>65.159099999999995</v>
      </c>
      <c r="L2113" s="2">
        <v>235</v>
      </c>
      <c r="M2113" s="2">
        <v>102.25530000000001</v>
      </c>
      <c r="N2113" s="2">
        <v>163</v>
      </c>
      <c r="O2113" s="2">
        <v>103.74339999999999</v>
      </c>
      <c r="P2113" s="2">
        <v>145</v>
      </c>
      <c r="Q2113" s="2">
        <v>103.0949</v>
      </c>
      <c r="R2113" s="2">
        <v>197</v>
      </c>
      <c r="S2113" s="2">
        <v>101.0262</v>
      </c>
      <c r="T2113" s="2">
        <v>137</v>
      </c>
      <c r="U2113" s="2">
        <v>0.57571700000000003</v>
      </c>
      <c r="V2113" s="2">
        <v>132</v>
      </c>
      <c r="W2113" s="2">
        <v>2008</v>
      </c>
    </row>
    <row r="2114" spans="1:23" ht="12.3" x14ac:dyDescent="0.4">
      <c r="A2114" s="2" t="s">
        <v>147</v>
      </c>
      <c r="B2114" s="2">
        <v>12</v>
      </c>
      <c r="C2114" s="2"/>
      <c r="D2114" s="2"/>
      <c r="E2114" s="2"/>
      <c r="F2114" s="2"/>
      <c r="G2114" s="2"/>
      <c r="H2114" s="2"/>
      <c r="I2114" s="2">
        <v>62.957999999999998</v>
      </c>
      <c r="J2114" s="2">
        <v>299</v>
      </c>
      <c r="K2114" s="2">
        <v>63.191200000000002</v>
      </c>
      <c r="L2114" s="2">
        <v>297</v>
      </c>
      <c r="M2114" s="2">
        <v>109.9854</v>
      </c>
      <c r="N2114" s="2">
        <v>41</v>
      </c>
      <c r="O2114" s="2">
        <v>109.28870000000001</v>
      </c>
      <c r="P2114" s="2">
        <v>55</v>
      </c>
      <c r="Q2114" s="2">
        <v>97.944800000000001</v>
      </c>
      <c r="R2114" s="2">
        <v>76</v>
      </c>
      <c r="S2114" s="2">
        <v>100.0801</v>
      </c>
      <c r="T2114" s="2">
        <v>119</v>
      </c>
      <c r="U2114" s="2">
        <v>0.73346100000000003</v>
      </c>
      <c r="V2114" s="2">
        <v>77</v>
      </c>
      <c r="W2114" s="2">
        <v>2008</v>
      </c>
    </row>
    <row r="2115" spans="1:23" ht="12.3" hidden="1" x14ac:dyDescent="0.4">
      <c r="A2115" s="2" t="s">
        <v>198</v>
      </c>
      <c r="B2115" s="2"/>
      <c r="C2115" s="2"/>
      <c r="D2115" s="2"/>
      <c r="E2115" s="2"/>
      <c r="F2115" s="2"/>
      <c r="G2115" s="2"/>
      <c r="H2115" s="2"/>
      <c r="I2115" s="2">
        <v>74.662800000000004</v>
      </c>
      <c r="J2115" s="2">
        <v>10</v>
      </c>
      <c r="K2115" s="2">
        <v>73.587100000000007</v>
      </c>
      <c r="L2115" s="2">
        <v>10</v>
      </c>
      <c r="M2115" s="2">
        <v>103.47450000000001</v>
      </c>
      <c r="N2115" s="2">
        <v>143</v>
      </c>
      <c r="O2115" s="2">
        <v>100.3998</v>
      </c>
      <c r="P2115" s="2">
        <v>194</v>
      </c>
      <c r="Q2115" s="2">
        <v>95.930199999999999</v>
      </c>
      <c r="R2115" s="2">
        <v>47</v>
      </c>
      <c r="S2115" s="2">
        <v>97.861900000000006</v>
      </c>
      <c r="T2115" s="2">
        <v>82</v>
      </c>
      <c r="U2115" s="2">
        <v>0.57308199999999998</v>
      </c>
      <c r="V2115" s="2">
        <v>134</v>
      </c>
      <c r="W2115" s="2">
        <v>2008</v>
      </c>
    </row>
    <row r="2116" spans="1:23" ht="12.3" hidden="1" x14ac:dyDescent="0.4">
      <c r="A2116" s="2" t="s">
        <v>153</v>
      </c>
      <c r="B2116" s="2"/>
      <c r="C2116" s="2"/>
      <c r="D2116" s="2"/>
      <c r="E2116" s="2"/>
      <c r="F2116" s="2"/>
      <c r="G2116" s="2"/>
      <c r="H2116" s="2"/>
      <c r="I2116" s="2">
        <v>70.530900000000003</v>
      </c>
      <c r="J2116" s="2">
        <v>55</v>
      </c>
      <c r="K2116" s="2">
        <v>70.787700000000001</v>
      </c>
      <c r="L2116" s="2">
        <v>42</v>
      </c>
      <c r="M2116" s="2">
        <v>105.03060000000001</v>
      </c>
      <c r="N2116" s="2">
        <v>116</v>
      </c>
      <c r="O2116" s="2">
        <v>104.2325</v>
      </c>
      <c r="P2116" s="2">
        <v>138</v>
      </c>
      <c r="Q2116" s="2">
        <v>101.12560000000001</v>
      </c>
      <c r="R2116" s="2">
        <v>144</v>
      </c>
      <c r="S2116" s="2">
        <v>101.81659999999999</v>
      </c>
      <c r="T2116" s="2">
        <v>157</v>
      </c>
      <c r="U2116" s="2">
        <v>0.56701500000000005</v>
      </c>
      <c r="V2116" s="2">
        <v>135</v>
      </c>
      <c r="W2116" s="2">
        <v>2008</v>
      </c>
    </row>
    <row r="2117" spans="1:23" ht="12.3" hidden="1" x14ac:dyDescent="0.4">
      <c r="A2117" s="2" t="s">
        <v>169</v>
      </c>
      <c r="B2117" s="2"/>
      <c r="C2117" s="2"/>
      <c r="D2117" s="2"/>
      <c r="E2117" s="2"/>
      <c r="F2117" s="2"/>
      <c r="G2117" s="2"/>
      <c r="H2117" s="2"/>
      <c r="I2117" s="2">
        <v>70.639899999999997</v>
      </c>
      <c r="J2117" s="2">
        <v>53</v>
      </c>
      <c r="K2117" s="2">
        <v>70.229799999999997</v>
      </c>
      <c r="L2117" s="2">
        <v>53</v>
      </c>
      <c r="M2117" s="2">
        <v>104.3081</v>
      </c>
      <c r="N2117" s="2">
        <v>129</v>
      </c>
      <c r="O2117" s="2">
        <v>108.0016</v>
      </c>
      <c r="P2117" s="2">
        <v>68</v>
      </c>
      <c r="Q2117" s="2">
        <v>106.1698</v>
      </c>
      <c r="R2117" s="2">
        <v>275</v>
      </c>
      <c r="S2117" s="2">
        <v>105.5307</v>
      </c>
      <c r="T2117" s="2">
        <v>235</v>
      </c>
      <c r="U2117" s="2">
        <v>0.56615000000000004</v>
      </c>
      <c r="V2117" s="2">
        <v>136</v>
      </c>
      <c r="W2117" s="2">
        <v>2008</v>
      </c>
    </row>
    <row r="2118" spans="1:23" ht="12.3" hidden="1" x14ac:dyDescent="0.4">
      <c r="A2118" s="2" t="s">
        <v>194</v>
      </c>
      <c r="B2118" s="2"/>
      <c r="C2118" s="2"/>
      <c r="D2118" s="2"/>
      <c r="E2118" s="2"/>
      <c r="F2118" s="2"/>
      <c r="G2118" s="2"/>
      <c r="H2118" s="2"/>
      <c r="I2118" s="2">
        <v>71.462599999999995</v>
      </c>
      <c r="J2118" s="2">
        <v>38</v>
      </c>
      <c r="K2118" s="2">
        <v>71.612300000000005</v>
      </c>
      <c r="L2118" s="2">
        <v>26</v>
      </c>
      <c r="M2118" s="2">
        <v>106.80929999999999</v>
      </c>
      <c r="N2118" s="2">
        <v>83</v>
      </c>
      <c r="O2118" s="2">
        <v>104.8424</v>
      </c>
      <c r="P2118" s="2">
        <v>119</v>
      </c>
      <c r="Q2118" s="2">
        <v>101.7882</v>
      </c>
      <c r="R2118" s="2">
        <v>164</v>
      </c>
      <c r="S2118" s="2">
        <v>102.5249</v>
      </c>
      <c r="T2118" s="2">
        <v>174</v>
      </c>
      <c r="U2118" s="2">
        <v>0.56391100000000005</v>
      </c>
      <c r="V2118" s="2">
        <v>137</v>
      </c>
      <c r="W2118" s="2">
        <v>2008</v>
      </c>
    </row>
    <row r="2119" spans="1:23" ht="12.3" hidden="1" x14ac:dyDescent="0.4">
      <c r="A2119" s="2" t="s">
        <v>360</v>
      </c>
      <c r="B2119" s="2"/>
      <c r="C2119" s="2"/>
      <c r="D2119" s="2"/>
      <c r="E2119" s="2"/>
      <c r="F2119" s="2"/>
      <c r="G2119" s="2"/>
      <c r="H2119" s="2"/>
      <c r="I2119" s="2">
        <v>68.990600000000001</v>
      </c>
      <c r="J2119" s="2">
        <v>98</v>
      </c>
      <c r="K2119" s="2">
        <v>68.789199999999994</v>
      </c>
      <c r="L2119" s="2">
        <v>101</v>
      </c>
      <c r="M2119" s="2">
        <v>107.8361</v>
      </c>
      <c r="N2119" s="2">
        <v>63</v>
      </c>
      <c r="O2119" s="2">
        <v>104.36450000000001</v>
      </c>
      <c r="P2119" s="2">
        <v>133</v>
      </c>
      <c r="Q2119" s="2">
        <v>102.31910000000001</v>
      </c>
      <c r="R2119" s="2">
        <v>179</v>
      </c>
      <c r="S2119" s="2">
        <v>102.1476</v>
      </c>
      <c r="T2119" s="2">
        <v>165</v>
      </c>
      <c r="U2119" s="2">
        <v>0.56141700000000005</v>
      </c>
      <c r="V2119" s="2">
        <v>138</v>
      </c>
      <c r="W2119" s="2">
        <v>2008</v>
      </c>
    </row>
    <row r="2120" spans="1:23" ht="12.3" hidden="1" x14ac:dyDescent="0.4">
      <c r="A2120" s="2" t="s">
        <v>184</v>
      </c>
      <c r="B2120" s="2"/>
      <c r="C2120" s="2"/>
      <c r="D2120" s="2"/>
      <c r="E2120" s="2"/>
      <c r="F2120" s="2"/>
      <c r="G2120" s="2"/>
      <c r="H2120" s="2"/>
      <c r="I2120" s="2">
        <v>69.583299999999994</v>
      </c>
      <c r="J2120" s="2">
        <v>83</v>
      </c>
      <c r="K2120" s="2">
        <v>69.187399999999997</v>
      </c>
      <c r="L2120" s="2">
        <v>84</v>
      </c>
      <c r="M2120" s="2">
        <v>107.3587</v>
      </c>
      <c r="N2120" s="2">
        <v>72</v>
      </c>
      <c r="O2120" s="2">
        <v>104.0903</v>
      </c>
      <c r="P2120" s="2">
        <v>141</v>
      </c>
      <c r="Q2120" s="2">
        <v>100.71550000000001</v>
      </c>
      <c r="R2120" s="2">
        <v>134</v>
      </c>
      <c r="S2120" s="2">
        <v>102.15940000000001</v>
      </c>
      <c r="T2120" s="2">
        <v>166</v>
      </c>
      <c r="U2120" s="2">
        <v>0.55362599999999995</v>
      </c>
      <c r="V2120" s="2">
        <v>139</v>
      </c>
      <c r="W2120" s="2">
        <v>2008</v>
      </c>
    </row>
    <row r="2121" spans="1:23" ht="12.3" hidden="1" x14ac:dyDescent="0.4">
      <c r="A2121" s="2" t="s">
        <v>84</v>
      </c>
      <c r="B2121" s="2"/>
      <c r="C2121" s="2"/>
      <c r="D2121" s="2"/>
      <c r="E2121" s="2"/>
      <c r="F2121" s="2"/>
      <c r="G2121" s="2"/>
      <c r="H2121" s="2"/>
      <c r="I2121" s="2">
        <v>59.488199999999999</v>
      </c>
      <c r="J2121" s="2">
        <v>334</v>
      </c>
      <c r="K2121" s="2">
        <v>60.408099999999997</v>
      </c>
      <c r="L2121" s="2">
        <v>333</v>
      </c>
      <c r="M2121" s="2">
        <v>94.250699999999995</v>
      </c>
      <c r="N2121" s="2">
        <v>291</v>
      </c>
      <c r="O2121" s="2">
        <v>97.16</v>
      </c>
      <c r="P2121" s="2">
        <v>248</v>
      </c>
      <c r="Q2121" s="2">
        <v>97.639099999999999</v>
      </c>
      <c r="R2121" s="2">
        <v>69</v>
      </c>
      <c r="S2121" s="2">
        <v>95.664100000000005</v>
      </c>
      <c r="T2121" s="2">
        <v>48</v>
      </c>
      <c r="U2121" s="2">
        <v>0.544493</v>
      </c>
      <c r="V2121" s="2">
        <v>140</v>
      </c>
      <c r="W2121" s="2">
        <v>2008</v>
      </c>
    </row>
    <row r="2122" spans="1:23" ht="12.3" hidden="1" x14ac:dyDescent="0.4">
      <c r="A2122" s="2" t="s">
        <v>154</v>
      </c>
      <c r="B2122" s="2"/>
      <c r="C2122" s="2"/>
      <c r="D2122" s="2"/>
      <c r="E2122" s="2"/>
      <c r="F2122" s="2"/>
      <c r="G2122" s="2"/>
      <c r="H2122" s="2"/>
      <c r="I2122" s="2">
        <v>64.195700000000002</v>
      </c>
      <c r="J2122" s="2">
        <v>278</v>
      </c>
      <c r="K2122" s="2">
        <v>66.264799999999994</v>
      </c>
      <c r="L2122" s="2">
        <v>186</v>
      </c>
      <c r="M2122" s="2">
        <v>97.517200000000003</v>
      </c>
      <c r="N2122" s="2">
        <v>244</v>
      </c>
      <c r="O2122" s="2">
        <v>100.6823</v>
      </c>
      <c r="P2122" s="2">
        <v>191</v>
      </c>
      <c r="Q2122" s="2">
        <v>105.1151</v>
      </c>
      <c r="R2122" s="2">
        <v>250</v>
      </c>
      <c r="S2122" s="2">
        <v>99.173199999999994</v>
      </c>
      <c r="T2122" s="2">
        <v>102</v>
      </c>
      <c r="U2122" s="2">
        <v>0.54330999999999996</v>
      </c>
      <c r="V2122" s="2">
        <v>141</v>
      </c>
      <c r="W2122" s="2">
        <v>2008</v>
      </c>
    </row>
    <row r="2123" spans="1:23" ht="12.3" hidden="1" x14ac:dyDescent="0.4">
      <c r="A2123" s="2" t="s">
        <v>308</v>
      </c>
      <c r="B2123" s="2"/>
      <c r="C2123" s="2"/>
      <c r="D2123" s="2"/>
      <c r="E2123" s="2"/>
      <c r="F2123" s="2"/>
      <c r="G2123" s="2"/>
      <c r="H2123" s="2"/>
      <c r="I2123" s="2">
        <v>62.681399999999996</v>
      </c>
      <c r="J2123" s="2">
        <v>306</v>
      </c>
      <c r="K2123" s="2">
        <v>62.858600000000003</v>
      </c>
      <c r="L2123" s="2">
        <v>302</v>
      </c>
      <c r="M2123" s="2">
        <v>100.4782</v>
      </c>
      <c r="N2123" s="2">
        <v>196</v>
      </c>
      <c r="O2123" s="2">
        <v>101.2619</v>
      </c>
      <c r="P2123" s="2">
        <v>181</v>
      </c>
      <c r="Q2123" s="2">
        <v>100.7807</v>
      </c>
      <c r="R2123" s="2">
        <v>135</v>
      </c>
      <c r="S2123" s="2">
        <v>99.789000000000001</v>
      </c>
      <c r="T2123" s="2">
        <v>114</v>
      </c>
      <c r="U2123" s="2">
        <v>0.54202399999999995</v>
      </c>
      <c r="V2123" s="2">
        <v>142</v>
      </c>
      <c r="W2123" s="2">
        <v>2008</v>
      </c>
    </row>
    <row r="2124" spans="1:23" ht="12.3" hidden="1" x14ac:dyDescent="0.4">
      <c r="A2124" s="2" t="s">
        <v>113</v>
      </c>
      <c r="B2124" s="2"/>
      <c r="C2124" s="2"/>
      <c r="D2124" s="2"/>
      <c r="E2124" s="2"/>
      <c r="F2124" s="2"/>
      <c r="G2124" s="2"/>
      <c r="H2124" s="2"/>
      <c r="I2124" s="2">
        <v>67.573300000000003</v>
      </c>
      <c r="J2124" s="2">
        <v>152</v>
      </c>
      <c r="K2124" s="2">
        <v>66.888499999999993</v>
      </c>
      <c r="L2124" s="2">
        <v>163</v>
      </c>
      <c r="M2124" s="2">
        <v>105.7099</v>
      </c>
      <c r="N2124" s="2">
        <v>100</v>
      </c>
      <c r="O2124" s="2">
        <v>108.5317</v>
      </c>
      <c r="P2124" s="2">
        <v>62</v>
      </c>
      <c r="Q2124" s="2">
        <v>107.8929</v>
      </c>
      <c r="R2124" s="2">
        <v>293</v>
      </c>
      <c r="S2124" s="2">
        <v>106.974</v>
      </c>
      <c r="T2124" s="2">
        <v>266</v>
      </c>
      <c r="U2124" s="2">
        <v>0.54146799999999995</v>
      </c>
      <c r="V2124" s="2">
        <v>143</v>
      </c>
      <c r="W2124" s="2">
        <v>2008</v>
      </c>
    </row>
    <row r="2125" spans="1:23" ht="12.3" hidden="1" x14ac:dyDescent="0.4">
      <c r="A2125" s="2" t="s">
        <v>307</v>
      </c>
      <c r="B2125" s="2"/>
      <c r="C2125" s="2"/>
      <c r="D2125" s="2"/>
      <c r="E2125" s="2"/>
      <c r="F2125" s="2"/>
      <c r="G2125" s="2"/>
      <c r="H2125" s="2"/>
      <c r="I2125" s="2">
        <v>71.203900000000004</v>
      </c>
      <c r="J2125" s="2">
        <v>44</v>
      </c>
      <c r="K2125" s="2">
        <v>70.201499999999996</v>
      </c>
      <c r="L2125" s="2">
        <v>55</v>
      </c>
      <c r="M2125" s="2">
        <v>104.6645</v>
      </c>
      <c r="N2125" s="2">
        <v>123</v>
      </c>
      <c r="O2125" s="2">
        <v>100.9667</v>
      </c>
      <c r="P2125" s="2">
        <v>185</v>
      </c>
      <c r="Q2125" s="2">
        <v>94.686899999999994</v>
      </c>
      <c r="R2125" s="2">
        <v>29</v>
      </c>
      <c r="S2125" s="2">
        <v>99.598600000000005</v>
      </c>
      <c r="T2125" s="2">
        <v>109</v>
      </c>
      <c r="U2125" s="2">
        <v>0.53913999999999995</v>
      </c>
      <c r="V2125" s="2">
        <v>144</v>
      </c>
      <c r="W2125" s="2">
        <v>2008</v>
      </c>
    </row>
    <row r="2126" spans="1:23" ht="12.3" hidden="1" x14ac:dyDescent="0.4">
      <c r="A2126" s="2" t="s">
        <v>165</v>
      </c>
      <c r="B2126" s="2"/>
      <c r="C2126" s="2"/>
      <c r="D2126" s="2"/>
      <c r="E2126" s="2"/>
      <c r="F2126" s="2"/>
      <c r="G2126" s="2"/>
      <c r="H2126" s="2"/>
      <c r="I2126" s="2">
        <v>68.8429</v>
      </c>
      <c r="J2126" s="2">
        <v>104</v>
      </c>
      <c r="K2126" s="2">
        <v>68.263599999999997</v>
      </c>
      <c r="L2126" s="2">
        <v>117</v>
      </c>
      <c r="M2126" s="2">
        <v>110.66370000000001</v>
      </c>
      <c r="N2126" s="2">
        <v>32</v>
      </c>
      <c r="O2126" s="2">
        <v>109.59350000000001</v>
      </c>
      <c r="P2126" s="2">
        <v>51</v>
      </c>
      <c r="Q2126" s="2">
        <v>109.14190000000001</v>
      </c>
      <c r="R2126" s="2">
        <v>311</v>
      </c>
      <c r="S2126" s="2">
        <v>108.166</v>
      </c>
      <c r="T2126" s="2">
        <v>291</v>
      </c>
      <c r="U2126" s="2">
        <v>0.53762100000000002</v>
      </c>
      <c r="V2126" s="2">
        <v>145</v>
      </c>
      <c r="W2126" s="2">
        <v>2008</v>
      </c>
    </row>
    <row r="2127" spans="1:23" ht="12.3" hidden="1" x14ac:dyDescent="0.4">
      <c r="A2127" s="2" t="s">
        <v>192</v>
      </c>
      <c r="B2127" s="2"/>
      <c r="C2127" s="2"/>
      <c r="D2127" s="2"/>
      <c r="E2127" s="2"/>
      <c r="F2127" s="2"/>
      <c r="G2127" s="2"/>
      <c r="H2127" s="2"/>
      <c r="I2127" s="2">
        <v>61.364400000000003</v>
      </c>
      <c r="J2127" s="2">
        <v>321</v>
      </c>
      <c r="K2127" s="2">
        <v>62.511899999999997</v>
      </c>
      <c r="L2127" s="2">
        <v>310</v>
      </c>
      <c r="M2127" s="2">
        <v>100.2431</v>
      </c>
      <c r="N2127" s="2">
        <v>201</v>
      </c>
      <c r="O2127" s="2">
        <v>102.76949999999999</v>
      </c>
      <c r="P2127" s="2">
        <v>158</v>
      </c>
      <c r="Q2127" s="2">
        <v>103.4162</v>
      </c>
      <c r="R2127" s="2">
        <v>204</v>
      </c>
      <c r="S2127" s="2">
        <v>101.5172</v>
      </c>
      <c r="T2127" s="2">
        <v>150</v>
      </c>
      <c r="U2127" s="2">
        <v>0.53519000000000005</v>
      </c>
      <c r="V2127" s="2">
        <v>146</v>
      </c>
      <c r="W2127" s="2">
        <v>2008</v>
      </c>
    </row>
    <row r="2128" spans="1:23" ht="12.3" hidden="1" x14ac:dyDescent="0.4">
      <c r="A2128" s="2" t="s">
        <v>100</v>
      </c>
      <c r="B2128" s="2"/>
      <c r="C2128" s="2"/>
      <c r="D2128" s="2"/>
      <c r="E2128" s="2"/>
      <c r="F2128" s="2"/>
      <c r="G2128" s="2"/>
      <c r="H2128" s="2"/>
      <c r="I2128" s="2">
        <v>64.230900000000005</v>
      </c>
      <c r="J2128" s="2">
        <v>276</v>
      </c>
      <c r="K2128" s="2">
        <v>63.9221</v>
      </c>
      <c r="L2128" s="2">
        <v>282</v>
      </c>
      <c r="M2128" s="2">
        <v>97.319400000000002</v>
      </c>
      <c r="N2128" s="2">
        <v>250</v>
      </c>
      <c r="O2128" s="2">
        <v>99.448800000000006</v>
      </c>
      <c r="P2128" s="2">
        <v>206</v>
      </c>
      <c r="Q2128" s="2">
        <v>100.6863</v>
      </c>
      <c r="R2128" s="2">
        <v>133</v>
      </c>
      <c r="S2128" s="2">
        <v>98.29</v>
      </c>
      <c r="T2128" s="2">
        <v>88</v>
      </c>
      <c r="U2128" s="2">
        <v>0.53364800000000001</v>
      </c>
      <c r="V2128" s="2">
        <v>147</v>
      </c>
      <c r="W2128" s="2">
        <v>2008</v>
      </c>
    </row>
    <row r="2129" spans="1:23" ht="12.3" hidden="1" x14ac:dyDescent="0.4">
      <c r="A2129" s="2" t="s">
        <v>143</v>
      </c>
      <c r="B2129" s="2"/>
      <c r="C2129" s="2"/>
      <c r="D2129" s="2"/>
      <c r="E2129" s="2"/>
      <c r="F2129" s="2"/>
      <c r="G2129" s="2"/>
      <c r="H2129" s="2"/>
      <c r="I2129" s="2">
        <v>65.662099999999995</v>
      </c>
      <c r="J2129" s="2">
        <v>215</v>
      </c>
      <c r="K2129" s="2">
        <v>65.060699999999997</v>
      </c>
      <c r="L2129" s="2">
        <v>238</v>
      </c>
      <c r="M2129" s="2">
        <v>104.96129999999999</v>
      </c>
      <c r="N2129" s="2">
        <v>118</v>
      </c>
      <c r="O2129" s="2">
        <v>104.2719</v>
      </c>
      <c r="P2129" s="2">
        <v>137</v>
      </c>
      <c r="Q2129" s="2">
        <v>102.8852</v>
      </c>
      <c r="R2129" s="2">
        <v>192</v>
      </c>
      <c r="S2129" s="2">
        <v>103.1576</v>
      </c>
      <c r="T2129" s="2">
        <v>186</v>
      </c>
      <c r="U2129" s="2">
        <v>0.53085000000000004</v>
      </c>
      <c r="V2129" s="2">
        <v>148</v>
      </c>
      <c r="W2129" s="2">
        <v>2008</v>
      </c>
    </row>
    <row r="2130" spans="1:23" ht="12.3" hidden="1" x14ac:dyDescent="0.4">
      <c r="A2130" s="2" t="s">
        <v>197</v>
      </c>
      <c r="B2130" s="2"/>
      <c r="C2130" s="2"/>
      <c r="D2130" s="2"/>
      <c r="E2130" s="2"/>
      <c r="F2130" s="2"/>
      <c r="G2130" s="2"/>
      <c r="H2130" s="2"/>
      <c r="I2130" s="2">
        <v>64.071600000000004</v>
      </c>
      <c r="J2130" s="2">
        <v>280</v>
      </c>
      <c r="K2130" s="2">
        <v>64.293499999999995</v>
      </c>
      <c r="L2130" s="2">
        <v>271</v>
      </c>
      <c r="M2130" s="2">
        <v>103.2444</v>
      </c>
      <c r="N2130" s="2">
        <v>149</v>
      </c>
      <c r="O2130" s="2">
        <v>103.71850000000001</v>
      </c>
      <c r="P2130" s="2">
        <v>146</v>
      </c>
      <c r="Q2130" s="2">
        <v>102.8498</v>
      </c>
      <c r="R2130" s="2">
        <v>191</v>
      </c>
      <c r="S2130" s="2">
        <v>102.6555</v>
      </c>
      <c r="T2130" s="2">
        <v>179</v>
      </c>
      <c r="U2130" s="2">
        <v>0.52958099999999997</v>
      </c>
      <c r="V2130" s="2">
        <v>149</v>
      </c>
      <c r="W2130" s="2">
        <v>2008</v>
      </c>
    </row>
    <row r="2131" spans="1:23" ht="12.3" hidden="1" x14ac:dyDescent="0.4">
      <c r="A2131" s="2" t="s">
        <v>126</v>
      </c>
      <c r="B2131" s="2"/>
      <c r="C2131" s="2"/>
      <c r="D2131" s="2"/>
      <c r="E2131" s="2"/>
      <c r="F2131" s="2"/>
      <c r="G2131" s="2"/>
      <c r="H2131" s="2"/>
      <c r="I2131" s="2">
        <v>65.545599999999993</v>
      </c>
      <c r="J2131" s="2">
        <v>222</v>
      </c>
      <c r="K2131" s="2">
        <v>64.868200000000002</v>
      </c>
      <c r="L2131" s="2">
        <v>246</v>
      </c>
      <c r="M2131" s="2">
        <v>108.4756</v>
      </c>
      <c r="N2131" s="2">
        <v>58</v>
      </c>
      <c r="O2131" s="2">
        <v>104.8126</v>
      </c>
      <c r="P2131" s="2">
        <v>121</v>
      </c>
      <c r="Q2131" s="2">
        <v>101.23739999999999</v>
      </c>
      <c r="R2131" s="2">
        <v>146</v>
      </c>
      <c r="S2131" s="2">
        <v>103.86669999999999</v>
      </c>
      <c r="T2131" s="2">
        <v>202</v>
      </c>
      <c r="U2131" s="2">
        <v>0.52603900000000003</v>
      </c>
      <c r="V2131" s="2">
        <v>150</v>
      </c>
      <c r="W2131" s="2">
        <v>2008</v>
      </c>
    </row>
    <row r="2132" spans="1:23" ht="12.3" hidden="1" x14ac:dyDescent="0.4">
      <c r="A2132" s="2" t="s">
        <v>253</v>
      </c>
      <c r="B2132" s="2"/>
      <c r="C2132" s="2"/>
      <c r="D2132" s="2"/>
      <c r="E2132" s="2"/>
      <c r="F2132" s="2"/>
      <c r="G2132" s="2"/>
      <c r="H2132" s="2"/>
      <c r="I2132" s="2">
        <v>67.075599999999994</v>
      </c>
      <c r="J2132" s="2">
        <v>168</v>
      </c>
      <c r="K2132" s="2">
        <v>66.563900000000004</v>
      </c>
      <c r="L2132" s="2">
        <v>176</v>
      </c>
      <c r="M2132" s="2">
        <v>105.3407</v>
      </c>
      <c r="N2132" s="2">
        <v>110</v>
      </c>
      <c r="O2132" s="2">
        <v>104.0986</v>
      </c>
      <c r="P2132" s="2">
        <v>140</v>
      </c>
      <c r="Q2132" s="2">
        <v>102.36320000000001</v>
      </c>
      <c r="R2132" s="2">
        <v>181</v>
      </c>
      <c r="S2132" s="2">
        <v>103.1948</v>
      </c>
      <c r="T2132" s="2">
        <v>188</v>
      </c>
      <c r="U2132" s="2">
        <v>0.52505100000000005</v>
      </c>
      <c r="V2132" s="2">
        <v>151</v>
      </c>
      <c r="W2132" s="2">
        <v>2008</v>
      </c>
    </row>
    <row r="2133" spans="1:23" ht="12.3" hidden="1" x14ac:dyDescent="0.4">
      <c r="A2133" s="2" t="s">
        <v>266</v>
      </c>
      <c r="B2133" s="2"/>
      <c r="C2133" s="2"/>
      <c r="D2133" s="2"/>
      <c r="E2133" s="2"/>
      <c r="F2133" s="2"/>
      <c r="G2133" s="2"/>
      <c r="H2133" s="2"/>
      <c r="I2133" s="2">
        <v>72.375699999999995</v>
      </c>
      <c r="J2133" s="2">
        <v>21</v>
      </c>
      <c r="K2133" s="2">
        <v>71.165400000000005</v>
      </c>
      <c r="L2133" s="2">
        <v>35</v>
      </c>
      <c r="M2133" s="2">
        <v>106.4224</v>
      </c>
      <c r="N2133" s="2">
        <v>88</v>
      </c>
      <c r="O2133" s="2">
        <v>107.8511</v>
      </c>
      <c r="P2133" s="2">
        <v>71</v>
      </c>
      <c r="Q2133" s="2">
        <v>102.636</v>
      </c>
      <c r="R2133" s="2">
        <v>185</v>
      </c>
      <c r="S2133" s="2">
        <v>106.929</v>
      </c>
      <c r="T2133" s="2">
        <v>262</v>
      </c>
      <c r="U2133" s="2">
        <v>0.52466699999999999</v>
      </c>
      <c r="V2133" s="2">
        <v>152</v>
      </c>
      <c r="W2133" s="2">
        <v>2008</v>
      </c>
    </row>
    <row r="2134" spans="1:23" ht="12.3" hidden="1" x14ac:dyDescent="0.4">
      <c r="A2134" s="2" t="s">
        <v>228</v>
      </c>
      <c r="B2134" s="2"/>
      <c r="C2134" s="2"/>
      <c r="D2134" s="2"/>
      <c r="E2134" s="2"/>
      <c r="F2134" s="2"/>
      <c r="G2134" s="2"/>
      <c r="H2134" s="2"/>
      <c r="I2134" s="2">
        <v>64.820099999999996</v>
      </c>
      <c r="J2134" s="2">
        <v>260</v>
      </c>
      <c r="K2134" s="2">
        <v>63.614899999999999</v>
      </c>
      <c r="L2134" s="2">
        <v>290</v>
      </c>
      <c r="M2134" s="2">
        <v>103.2843</v>
      </c>
      <c r="N2134" s="2">
        <v>145</v>
      </c>
      <c r="O2134" s="2">
        <v>104.49209999999999</v>
      </c>
      <c r="P2134" s="2">
        <v>127</v>
      </c>
      <c r="Q2134" s="2">
        <v>106.2148</v>
      </c>
      <c r="R2134" s="2">
        <v>276</v>
      </c>
      <c r="S2134" s="2">
        <v>103.6075</v>
      </c>
      <c r="T2134" s="2">
        <v>196</v>
      </c>
      <c r="U2134" s="2">
        <v>0.52442299999999997</v>
      </c>
      <c r="V2134" s="2">
        <v>153</v>
      </c>
      <c r="W2134" s="2">
        <v>2008</v>
      </c>
    </row>
    <row r="2135" spans="1:23" ht="12.3" hidden="1" x14ac:dyDescent="0.4">
      <c r="A2135" s="2" t="s">
        <v>340</v>
      </c>
      <c r="B2135" s="2"/>
      <c r="C2135" s="2"/>
      <c r="D2135" s="2"/>
      <c r="E2135" s="2"/>
      <c r="F2135" s="2"/>
      <c r="G2135" s="2"/>
      <c r="H2135" s="2"/>
      <c r="I2135" s="2">
        <v>67.413300000000007</v>
      </c>
      <c r="J2135" s="2">
        <v>159</v>
      </c>
      <c r="K2135" s="2">
        <v>66.604299999999995</v>
      </c>
      <c r="L2135" s="2">
        <v>171</v>
      </c>
      <c r="M2135" s="2">
        <v>106.0681</v>
      </c>
      <c r="N2135" s="2">
        <v>92</v>
      </c>
      <c r="O2135" s="2">
        <v>106.7457</v>
      </c>
      <c r="P2135" s="2">
        <v>89</v>
      </c>
      <c r="Q2135" s="2">
        <v>104.69589999999999</v>
      </c>
      <c r="R2135" s="2">
        <v>234</v>
      </c>
      <c r="S2135" s="2">
        <v>105.872</v>
      </c>
      <c r="T2135" s="2">
        <v>243</v>
      </c>
      <c r="U2135" s="2">
        <v>0.52361199999999997</v>
      </c>
      <c r="V2135" s="2">
        <v>154</v>
      </c>
      <c r="W2135" s="2">
        <v>2008</v>
      </c>
    </row>
    <row r="2136" spans="1:23" ht="12.3" hidden="1" x14ac:dyDescent="0.4">
      <c r="A2136" s="2" t="s">
        <v>204</v>
      </c>
      <c r="B2136" s="2"/>
      <c r="C2136" s="2"/>
      <c r="D2136" s="2"/>
      <c r="E2136" s="2"/>
      <c r="F2136" s="2"/>
      <c r="G2136" s="2"/>
      <c r="H2136" s="2"/>
      <c r="I2136" s="2">
        <v>58.047400000000003</v>
      </c>
      <c r="J2136" s="2">
        <v>338</v>
      </c>
      <c r="K2136" s="2">
        <v>58.151899999999998</v>
      </c>
      <c r="L2136" s="2">
        <v>338</v>
      </c>
      <c r="M2136" s="2">
        <v>98.224800000000002</v>
      </c>
      <c r="N2136" s="2">
        <v>233</v>
      </c>
      <c r="O2136" s="2">
        <v>98.373699999999999</v>
      </c>
      <c r="P2136" s="2">
        <v>224</v>
      </c>
      <c r="Q2136" s="2">
        <v>97.839399999999998</v>
      </c>
      <c r="R2136" s="2">
        <v>74</v>
      </c>
      <c r="S2136" s="2">
        <v>97.706900000000005</v>
      </c>
      <c r="T2136" s="2">
        <v>77</v>
      </c>
      <c r="U2136" s="2">
        <v>0.51954500000000003</v>
      </c>
      <c r="V2136" s="2">
        <v>155</v>
      </c>
      <c r="W2136" s="2">
        <v>2008</v>
      </c>
    </row>
    <row r="2137" spans="1:23" ht="12.3" hidden="1" x14ac:dyDescent="0.4">
      <c r="A2137" s="2" t="s">
        <v>116</v>
      </c>
      <c r="B2137" s="2"/>
      <c r="C2137" s="2"/>
      <c r="D2137" s="2"/>
      <c r="E2137" s="2"/>
      <c r="F2137" s="2"/>
      <c r="G2137" s="2"/>
      <c r="H2137" s="2"/>
      <c r="I2137" s="2">
        <v>59.779499999999999</v>
      </c>
      <c r="J2137" s="2">
        <v>333</v>
      </c>
      <c r="K2137" s="2">
        <v>60.440800000000003</v>
      </c>
      <c r="L2137" s="2">
        <v>332</v>
      </c>
      <c r="M2137" s="2">
        <v>97.013499999999993</v>
      </c>
      <c r="N2137" s="2">
        <v>255</v>
      </c>
      <c r="O2137" s="2">
        <v>98.881</v>
      </c>
      <c r="P2137" s="2">
        <v>217</v>
      </c>
      <c r="Q2137" s="2">
        <v>101.5873</v>
      </c>
      <c r="R2137" s="2">
        <v>156</v>
      </c>
      <c r="S2137" s="2">
        <v>98.267300000000006</v>
      </c>
      <c r="T2137" s="2">
        <v>87</v>
      </c>
      <c r="U2137" s="2">
        <v>0.51789200000000002</v>
      </c>
      <c r="V2137" s="2">
        <v>156</v>
      </c>
      <c r="W2137" s="2">
        <v>2008</v>
      </c>
    </row>
    <row r="2138" spans="1:23" ht="12.3" hidden="1" x14ac:dyDescent="0.4">
      <c r="A2138" s="2" t="s">
        <v>236</v>
      </c>
      <c r="B2138" s="2"/>
      <c r="C2138" s="2"/>
      <c r="D2138" s="2"/>
      <c r="E2138" s="2"/>
      <c r="F2138" s="2"/>
      <c r="G2138" s="2"/>
      <c r="H2138" s="2"/>
      <c r="I2138" s="2">
        <v>65.818799999999996</v>
      </c>
      <c r="J2138" s="2">
        <v>205</v>
      </c>
      <c r="K2138" s="2">
        <v>67.235200000000006</v>
      </c>
      <c r="L2138" s="2">
        <v>149</v>
      </c>
      <c r="M2138" s="2">
        <v>104.36409999999999</v>
      </c>
      <c r="N2138" s="2">
        <v>128</v>
      </c>
      <c r="O2138" s="2">
        <v>104.4329</v>
      </c>
      <c r="P2138" s="2">
        <v>129</v>
      </c>
      <c r="Q2138" s="2">
        <v>105.27030000000001</v>
      </c>
      <c r="R2138" s="2">
        <v>255</v>
      </c>
      <c r="S2138" s="2">
        <v>103.86190000000001</v>
      </c>
      <c r="T2138" s="2">
        <v>201</v>
      </c>
      <c r="U2138" s="2">
        <v>0.51575899999999997</v>
      </c>
      <c r="V2138" s="2">
        <v>157</v>
      </c>
      <c r="W2138" s="2">
        <v>2008</v>
      </c>
    </row>
    <row r="2139" spans="1:23" ht="12.3" hidden="1" x14ac:dyDescent="0.4">
      <c r="A2139" s="2" t="s">
        <v>217</v>
      </c>
      <c r="B2139" s="2"/>
      <c r="C2139" s="2"/>
      <c r="D2139" s="2"/>
      <c r="E2139" s="2"/>
      <c r="F2139" s="2"/>
      <c r="G2139" s="2"/>
      <c r="H2139" s="2"/>
      <c r="I2139" s="2">
        <v>61.721899999999998</v>
      </c>
      <c r="J2139" s="2">
        <v>317</v>
      </c>
      <c r="K2139" s="2">
        <v>61.598700000000001</v>
      </c>
      <c r="L2139" s="2">
        <v>324</v>
      </c>
      <c r="M2139" s="2">
        <v>99.488399999999999</v>
      </c>
      <c r="N2139" s="2">
        <v>213</v>
      </c>
      <c r="O2139" s="2">
        <v>98.118499999999997</v>
      </c>
      <c r="P2139" s="2">
        <v>233</v>
      </c>
      <c r="Q2139" s="2">
        <v>98.707599999999999</v>
      </c>
      <c r="R2139" s="2">
        <v>87</v>
      </c>
      <c r="S2139" s="2">
        <v>97.664500000000004</v>
      </c>
      <c r="T2139" s="2">
        <v>75</v>
      </c>
      <c r="U2139" s="2">
        <v>0.51333099999999998</v>
      </c>
      <c r="V2139" s="2">
        <v>158</v>
      </c>
      <c r="W2139" s="2">
        <v>2008</v>
      </c>
    </row>
    <row r="2140" spans="1:23" ht="12.3" x14ac:dyDescent="0.4">
      <c r="A2140" s="2" t="s">
        <v>45</v>
      </c>
      <c r="B2140" s="2">
        <v>11</v>
      </c>
      <c r="C2140" s="2"/>
      <c r="D2140" s="2"/>
      <c r="E2140" s="2"/>
      <c r="F2140" s="2"/>
      <c r="G2140" s="2"/>
      <c r="H2140" s="2"/>
      <c r="I2140" s="2">
        <v>65.746499999999997</v>
      </c>
      <c r="J2140" s="2">
        <v>209</v>
      </c>
      <c r="K2140" s="2">
        <v>63.935699999999997</v>
      </c>
      <c r="L2140" s="2">
        <v>281</v>
      </c>
      <c r="M2140" s="2">
        <v>103.1138</v>
      </c>
      <c r="N2140" s="2">
        <v>151</v>
      </c>
      <c r="O2140" s="2">
        <v>104.46420000000001</v>
      </c>
      <c r="P2140" s="2">
        <v>128</v>
      </c>
      <c r="Q2140" s="2">
        <v>97.912199999999999</v>
      </c>
      <c r="R2140" s="2">
        <v>75</v>
      </c>
      <c r="S2140" s="2">
        <v>96.662199999999999</v>
      </c>
      <c r="T2140" s="2">
        <v>61</v>
      </c>
      <c r="U2140" s="2">
        <v>0.70943800000000001</v>
      </c>
      <c r="V2140" s="2">
        <v>86</v>
      </c>
      <c r="W2140" s="2">
        <v>2008</v>
      </c>
    </row>
    <row r="2141" spans="1:23" ht="12.3" hidden="1" x14ac:dyDescent="0.4">
      <c r="A2141" s="2" t="s">
        <v>254</v>
      </c>
      <c r="B2141" s="2"/>
      <c r="C2141" s="2"/>
      <c r="D2141" s="2"/>
      <c r="E2141" s="2"/>
      <c r="F2141" s="2"/>
      <c r="G2141" s="2"/>
      <c r="H2141" s="2"/>
      <c r="I2141" s="2">
        <v>67.498000000000005</v>
      </c>
      <c r="J2141" s="2">
        <v>156</v>
      </c>
      <c r="K2141" s="2">
        <v>67.594499999999996</v>
      </c>
      <c r="L2141" s="2">
        <v>140</v>
      </c>
      <c r="M2141" s="2">
        <v>105.8488</v>
      </c>
      <c r="N2141" s="2">
        <v>97</v>
      </c>
      <c r="O2141" s="2">
        <v>104.19670000000001</v>
      </c>
      <c r="P2141" s="2">
        <v>139</v>
      </c>
      <c r="Q2141" s="2">
        <v>101.32210000000001</v>
      </c>
      <c r="R2141" s="2">
        <v>148</v>
      </c>
      <c r="S2141" s="2">
        <v>103.73569999999999</v>
      </c>
      <c r="T2141" s="2">
        <v>199</v>
      </c>
      <c r="U2141" s="2">
        <v>0.51274399999999998</v>
      </c>
      <c r="V2141" s="2">
        <v>160</v>
      </c>
      <c r="W2141" s="2">
        <v>2008</v>
      </c>
    </row>
    <row r="2142" spans="1:23" ht="12.3" x14ac:dyDescent="0.4">
      <c r="A2142" s="2" t="s">
        <v>311</v>
      </c>
      <c r="B2142" s="2">
        <v>14</v>
      </c>
      <c r="C2142" s="2"/>
      <c r="D2142" s="2"/>
      <c r="E2142" s="2"/>
      <c r="F2142" s="2"/>
      <c r="G2142" s="2"/>
      <c r="H2142" s="2"/>
      <c r="I2142" s="2">
        <v>72.604699999999994</v>
      </c>
      <c r="J2142" s="2">
        <v>18</v>
      </c>
      <c r="K2142" s="2">
        <v>73.192899999999995</v>
      </c>
      <c r="L2142" s="2">
        <v>15</v>
      </c>
      <c r="M2142" s="2">
        <v>113.43210000000001</v>
      </c>
      <c r="N2142" s="2">
        <v>11</v>
      </c>
      <c r="O2142" s="2">
        <v>111.11960000000001</v>
      </c>
      <c r="P2142" s="2">
        <v>38</v>
      </c>
      <c r="Q2142" s="2">
        <v>100.2556</v>
      </c>
      <c r="R2142" s="2">
        <v>120</v>
      </c>
      <c r="S2142" s="2">
        <v>103.7128</v>
      </c>
      <c r="T2142" s="2">
        <v>198</v>
      </c>
      <c r="U2142" s="2">
        <v>0.68853699999999995</v>
      </c>
      <c r="V2142" s="2">
        <v>91</v>
      </c>
      <c r="W2142" s="2">
        <v>2008</v>
      </c>
    </row>
    <row r="2143" spans="1:23" ht="12.3" hidden="1" x14ac:dyDescent="0.4">
      <c r="A2143" s="2" t="s">
        <v>102</v>
      </c>
      <c r="B2143" s="2"/>
      <c r="C2143" s="2"/>
      <c r="D2143" s="2"/>
      <c r="E2143" s="2"/>
      <c r="F2143" s="2"/>
      <c r="G2143" s="2"/>
      <c r="H2143" s="2"/>
      <c r="I2143" s="2">
        <v>66.155699999999996</v>
      </c>
      <c r="J2143" s="2">
        <v>197</v>
      </c>
      <c r="K2143" s="2">
        <v>65.244299999999996</v>
      </c>
      <c r="L2143" s="2">
        <v>231</v>
      </c>
      <c r="M2143" s="2">
        <v>93.443799999999996</v>
      </c>
      <c r="N2143" s="2">
        <v>300</v>
      </c>
      <c r="O2143" s="2">
        <v>96.26</v>
      </c>
      <c r="P2143" s="2">
        <v>261</v>
      </c>
      <c r="Q2143" s="2">
        <v>100.1161</v>
      </c>
      <c r="R2143" s="2">
        <v>117</v>
      </c>
      <c r="S2143" s="2">
        <v>96.020099999999999</v>
      </c>
      <c r="T2143" s="2">
        <v>53</v>
      </c>
      <c r="U2143" s="2">
        <v>0.50717500000000004</v>
      </c>
      <c r="V2143" s="2">
        <v>162</v>
      </c>
      <c r="W2143" s="2">
        <v>2008</v>
      </c>
    </row>
    <row r="2144" spans="1:23" ht="12.3" hidden="1" x14ac:dyDescent="0.4">
      <c r="A2144" s="2" t="s">
        <v>83</v>
      </c>
      <c r="B2144" s="2"/>
      <c r="C2144" s="2"/>
      <c r="D2144" s="2"/>
      <c r="E2144" s="2"/>
      <c r="F2144" s="2"/>
      <c r="G2144" s="2"/>
      <c r="H2144" s="2"/>
      <c r="I2144" s="2">
        <v>67.494200000000006</v>
      </c>
      <c r="J2144" s="2">
        <v>157</v>
      </c>
      <c r="K2144" s="2">
        <v>68.176199999999994</v>
      </c>
      <c r="L2144" s="2">
        <v>119</v>
      </c>
      <c r="M2144" s="2">
        <v>106.82380000000001</v>
      </c>
      <c r="N2144" s="2">
        <v>82</v>
      </c>
      <c r="O2144" s="2">
        <v>106.29300000000001</v>
      </c>
      <c r="P2144" s="2">
        <v>101</v>
      </c>
      <c r="Q2144" s="2">
        <v>104.7671</v>
      </c>
      <c r="R2144" s="2">
        <v>238</v>
      </c>
      <c r="S2144" s="2">
        <v>106.0553</v>
      </c>
      <c r="T2144" s="2">
        <v>245</v>
      </c>
      <c r="U2144" s="2">
        <v>0.506436</v>
      </c>
      <c r="V2144" s="2">
        <v>163</v>
      </c>
      <c r="W2144" s="2">
        <v>2008</v>
      </c>
    </row>
    <row r="2145" spans="1:23" ht="12.3" hidden="1" x14ac:dyDescent="0.4">
      <c r="A2145" s="2" t="s">
        <v>249</v>
      </c>
      <c r="B2145" s="2"/>
      <c r="C2145" s="2"/>
      <c r="D2145" s="2"/>
      <c r="E2145" s="2"/>
      <c r="F2145" s="2"/>
      <c r="G2145" s="2"/>
      <c r="H2145" s="2"/>
      <c r="I2145" s="2">
        <v>64.280299999999997</v>
      </c>
      <c r="J2145" s="2">
        <v>273</v>
      </c>
      <c r="K2145" s="2">
        <v>63.506900000000002</v>
      </c>
      <c r="L2145" s="2">
        <v>293</v>
      </c>
      <c r="M2145" s="2">
        <v>99.929400000000001</v>
      </c>
      <c r="N2145" s="2">
        <v>207</v>
      </c>
      <c r="O2145" s="2">
        <v>100.9997</v>
      </c>
      <c r="P2145" s="2">
        <v>184</v>
      </c>
      <c r="Q2145" s="2">
        <v>104.2346</v>
      </c>
      <c r="R2145" s="2">
        <v>218</v>
      </c>
      <c r="S2145" s="2">
        <v>100.9962</v>
      </c>
      <c r="T2145" s="2">
        <v>136</v>
      </c>
      <c r="U2145" s="2">
        <v>0.50010100000000002</v>
      </c>
      <c r="V2145" s="2">
        <v>164</v>
      </c>
      <c r="W2145" s="2">
        <v>2008</v>
      </c>
    </row>
    <row r="2146" spans="1:23" ht="12.3" hidden="1" x14ac:dyDescent="0.4">
      <c r="A2146" s="2" t="s">
        <v>345</v>
      </c>
      <c r="B2146" s="2"/>
      <c r="C2146" s="2"/>
      <c r="D2146" s="2"/>
      <c r="E2146" s="2"/>
      <c r="F2146" s="2"/>
      <c r="G2146" s="2"/>
      <c r="H2146" s="2"/>
      <c r="I2146" s="2">
        <v>65.046800000000005</v>
      </c>
      <c r="J2146" s="2">
        <v>247</v>
      </c>
      <c r="K2146" s="2">
        <v>66.030799999999999</v>
      </c>
      <c r="L2146" s="2">
        <v>198</v>
      </c>
      <c r="M2146" s="2">
        <v>102.53400000000001</v>
      </c>
      <c r="N2146" s="2">
        <v>159</v>
      </c>
      <c r="O2146" s="2">
        <v>97.754000000000005</v>
      </c>
      <c r="P2146" s="2">
        <v>238</v>
      </c>
      <c r="Q2146" s="2">
        <v>92.843900000000005</v>
      </c>
      <c r="R2146" s="2">
        <v>18</v>
      </c>
      <c r="S2146" s="2">
        <v>97.869399999999999</v>
      </c>
      <c r="T2146" s="2">
        <v>83</v>
      </c>
      <c r="U2146" s="2">
        <v>0.49660900000000002</v>
      </c>
      <c r="V2146" s="2">
        <v>165</v>
      </c>
      <c r="W2146" s="2">
        <v>2008</v>
      </c>
    </row>
    <row r="2147" spans="1:23" ht="12.3" hidden="1" x14ac:dyDescent="0.4">
      <c r="A2147" s="2" t="s">
        <v>110</v>
      </c>
      <c r="B2147" s="2"/>
      <c r="C2147" s="2"/>
      <c r="D2147" s="2"/>
      <c r="E2147" s="2"/>
      <c r="F2147" s="2"/>
      <c r="G2147" s="2"/>
      <c r="H2147" s="2"/>
      <c r="I2147" s="2">
        <v>64.811300000000003</v>
      </c>
      <c r="J2147" s="2">
        <v>261</v>
      </c>
      <c r="K2147" s="2">
        <v>64.391300000000001</v>
      </c>
      <c r="L2147" s="2">
        <v>268</v>
      </c>
      <c r="M2147" s="2">
        <v>103.86660000000001</v>
      </c>
      <c r="N2147" s="2">
        <v>137</v>
      </c>
      <c r="O2147" s="2">
        <v>101.92140000000001</v>
      </c>
      <c r="P2147" s="2">
        <v>175</v>
      </c>
      <c r="Q2147" s="2">
        <v>101.8231</v>
      </c>
      <c r="R2147" s="2">
        <v>166</v>
      </c>
      <c r="S2147" s="2">
        <v>102.053</v>
      </c>
      <c r="T2147" s="2">
        <v>162</v>
      </c>
      <c r="U2147" s="2">
        <v>0.49629099999999998</v>
      </c>
      <c r="V2147" s="2">
        <v>166</v>
      </c>
      <c r="W2147" s="2">
        <v>2008</v>
      </c>
    </row>
    <row r="2148" spans="1:23" ht="12.3" hidden="1" x14ac:dyDescent="0.4">
      <c r="A2148" s="2" t="s">
        <v>166</v>
      </c>
      <c r="B2148" s="2"/>
      <c r="C2148" s="2"/>
      <c r="D2148" s="2"/>
      <c r="E2148" s="2"/>
      <c r="F2148" s="2"/>
      <c r="G2148" s="2"/>
      <c r="H2148" s="2"/>
      <c r="I2148" s="2">
        <v>72.662499999999994</v>
      </c>
      <c r="J2148" s="2">
        <v>16</v>
      </c>
      <c r="K2148" s="2">
        <v>73.834400000000002</v>
      </c>
      <c r="L2148" s="2">
        <v>9</v>
      </c>
      <c r="M2148" s="2">
        <v>101.2991</v>
      </c>
      <c r="N2148" s="2">
        <v>179</v>
      </c>
      <c r="O2148" s="2">
        <v>99.889099999999999</v>
      </c>
      <c r="P2148" s="2">
        <v>199</v>
      </c>
      <c r="Q2148" s="2">
        <v>101.1597</v>
      </c>
      <c r="R2148" s="2">
        <v>145</v>
      </c>
      <c r="S2148" s="2">
        <v>100.3801</v>
      </c>
      <c r="T2148" s="2">
        <v>124</v>
      </c>
      <c r="U2148" s="2">
        <v>0.48590699999999998</v>
      </c>
      <c r="V2148" s="2">
        <v>167</v>
      </c>
      <c r="W2148" s="2">
        <v>2008</v>
      </c>
    </row>
    <row r="2149" spans="1:23" ht="12.3" hidden="1" x14ac:dyDescent="0.4">
      <c r="A2149" s="2" t="s">
        <v>220</v>
      </c>
      <c r="B2149" s="2"/>
      <c r="C2149" s="2"/>
      <c r="D2149" s="2"/>
      <c r="E2149" s="2"/>
      <c r="F2149" s="2"/>
      <c r="G2149" s="2"/>
      <c r="H2149" s="2"/>
      <c r="I2149" s="2">
        <v>70.018900000000002</v>
      </c>
      <c r="J2149" s="2">
        <v>69</v>
      </c>
      <c r="K2149" s="2">
        <v>70.545000000000002</v>
      </c>
      <c r="L2149" s="2">
        <v>44</v>
      </c>
      <c r="M2149" s="2">
        <v>102.6164</v>
      </c>
      <c r="N2149" s="2">
        <v>158</v>
      </c>
      <c r="O2149" s="2">
        <v>99.588899999999995</v>
      </c>
      <c r="P2149" s="2">
        <v>202</v>
      </c>
      <c r="Q2149" s="2">
        <v>99.480199999999996</v>
      </c>
      <c r="R2149" s="2">
        <v>102</v>
      </c>
      <c r="S2149" s="2">
        <v>100.08839999999999</v>
      </c>
      <c r="T2149" s="2">
        <v>121</v>
      </c>
      <c r="U2149" s="2">
        <v>0.48562100000000002</v>
      </c>
      <c r="V2149" s="2">
        <v>168</v>
      </c>
      <c r="W2149" s="2">
        <v>2008</v>
      </c>
    </row>
    <row r="2150" spans="1:23" ht="12.3" hidden="1" x14ac:dyDescent="0.4">
      <c r="A2150" s="2" t="s">
        <v>122</v>
      </c>
      <c r="B2150" s="2"/>
      <c r="C2150" s="2"/>
      <c r="D2150" s="2"/>
      <c r="E2150" s="2"/>
      <c r="F2150" s="2"/>
      <c r="G2150" s="2"/>
      <c r="H2150" s="2"/>
      <c r="I2150" s="2">
        <v>67.257199999999997</v>
      </c>
      <c r="J2150" s="2">
        <v>161</v>
      </c>
      <c r="K2150" s="2">
        <v>68.687700000000007</v>
      </c>
      <c r="L2150" s="2">
        <v>104</v>
      </c>
      <c r="M2150" s="2">
        <v>97.403800000000004</v>
      </c>
      <c r="N2150" s="2">
        <v>246</v>
      </c>
      <c r="O2150" s="2">
        <v>98.239000000000004</v>
      </c>
      <c r="P2150" s="2">
        <v>228</v>
      </c>
      <c r="Q2150" s="2">
        <v>101.5412</v>
      </c>
      <c r="R2150" s="2">
        <v>152</v>
      </c>
      <c r="S2150" s="2">
        <v>98.943299999999994</v>
      </c>
      <c r="T2150" s="2">
        <v>95</v>
      </c>
      <c r="U2150" s="2">
        <v>0.47947200000000001</v>
      </c>
      <c r="V2150" s="2">
        <v>169</v>
      </c>
      <c r="W2150" s="2">
        <v>2008</v>
      </c>
    </row>
    <row r="2151" spans="1:23" ht="12.3" hidden="1" x14ac:dyDescent="0.4">
      <c r="A2151" s="2" t="s">
        <v>232</v>
      </c>
      <c r="B2151" s="2"/>
      <c r="C2151" s="2"/>
      <c r="D2151" s="2"/>
      <c r="E2151" s="2"/>
      <c r="F2151" s="2"/>
      <c r="G2151" s="2"/>
      <c r="H2151" s="2"/>
      <c r="I2151" s="2">
        <v>65.131699999999995</v>
      </c>
      <c r="J2151" s="2">
        <v>239</v>
      </c>
      <c r="K2151" s="2">
        <v>64.644400000000005</v>
      </c>
      <c r="L2151" s="2">
        <v>258</v>
      </c>
      <c r="M2151" s="2">
        <v>97.396900000000002</v>
      </c>
      <c r="N2151" s="2">
        <v>247</v>
      </c>
      <c r="O2151" s="2">
        <v>99.479299999999995</v>
      </c>
      <c r="P2151" s="2">
        <v>205</v>
      </c>
      <c r="Q2151" s="2">
        <v>104.4269</v>
      </c>
      <c r="R2151" s="2">
        <v>225</v>
      </c>
      <c r="S2151" s="2">
        <v>100.69029999999999</v>
      </c>
      <c r="T2151" s="2">
        <v>129</v>
      </c>
      <c r="U2151" s="2">
        <v>0.46527099999999999</v>
      </c>
      <c r="V2151" s="2">
        <v>170</v>
      </c>
      <c r="W2151" s="2">
        <v>2008</v>
      </c>
    </row>
    <row r="2152" spans="1:23" ht="12.3" hidden="1" x14ac:dyDescent="0.4">
      <c r="A2152" s="2" t="s">
        <v>108</v>
      </c>
      <c r="B2152" s="2"/>
      <c r="C2152" s="2"/>
      <c r="D2152" s="2"/>
      <c r="E2152" s="2"/>
      <c r="F2152" s="2"/>
      <c r="G2152" s="2"/>
      <c r="H2152" s="2"/>
      <c r="I2152" s="2">
        <v>74.118499999999997</v>
      </c>
      <c r="J2152" s="2">
        <v>13</v>
      </c>
      <c r="K2152" s="2">
        <v>73.452600000000004</v>
      </c>
      <c r="L2152" s="2">
        <v>12</v>
      </c>
      <c r="M2152" s="2">
        <v>103.9079</v>
      </c>
      <c r="N2152" s="2">
        <v>136</v>
      </c>
      <c r="O2152" s="2">
        <v>101.9331</v>
      </c>
      <c r="P2152" s="2">
        <v>174</v>
      </c>
      <c r="Q2152" s="2">
        <v>103.2346</v>
      </c>
      <c r="R2152" s="2">
        <v>202</v>
      </c>
      <c r="S2152" s="2">
        <v>103.1814</v>
      </c>
      <c r="T2152" s="2">
        <v>187</v>
      </c>
      <c r="U2152" s="2">
        <v>0.465063</v>
      </c>
      <c r="V2152" s="2">
        <v>171</v>
      </c>
      <c r="W2152" s="2">
        <v>2008</v>
      </c>
    </row>
    <row r="2153" spans="1:23" ht="12.3" hidden="1" x14ac:dyDescent="0.4">
      <c r="A2153" s="2" t="s">
        <v>178</v>
      </c>
      <c r="B2153" s="2"/>
      <c r="C2153" s="2"/>
      <c r="D2153" s="2"/>
      <c r="E2153" s="2"/>
      <c r="F2153" s="2"/>
      <c r="G2153" s="2"/>
      <c r="H2153" s="2"/>
      <c r="I2153" s="2">
        <v>60.900399999999998</v>
      </c>
      <c r="J2153" s="2">
        <v>325</v>
      </c>
      <c r="K2153" s="2">
        <v>61.4758</v>
      </c>
      <c r="L2153" s="2">
        <v>326</v>
      </c>
      <c r="M2153" s="2">
        <v>100.19159999999999</v>
      </c>
      <c r="N2153" s="2">
        <v>202</v>
      </c>
      <c r="O2153" s="2">
        <v>100.1563</v>
      </c>
      <c r="P2153" s="2">
        <v>196</v>
      </c>
      <c r="Q2153" s="2">
        <v>98.714200000000005</v>
      </c>
      <c r="R2153" s="2">
        <v>88</v>
      </c>
      <c r="S2153" s="2">
        <v>101.51560000000001</v>
      </c>
      <c r="T2153" s="2">
        <v>149</v>
      </c>
      <c r="U2153" s="2">
        <v>0.46131899999999998</v>
      </c>
      <c r="V2153" s="2">
        <v>172</v>
      </c>
      <c r="W2153" s="2">
        <v>2008</v>
      </c>
    </row>
    <row r="2154" spans="1:23" ht="12.3" hidden="1" x14ac:dyDescent="0.4">
      <c r="A2154" s="2" t="s">
        <v>105</v>
      </c>
      <c r="B2154" s="2"/>
      <c r="C2154" s="2"/>
      <c r="D2154" s="2"/>
      <c r="E2154" s="2"/>
      <c r="F2154" s="2"/>
      <c r="G2154" s="2"/>
      <c r="H2154" s="2"/>
      <c r="I2154" s="2">
        <v>67.667699999999996</v>
      </c>
      <c r="J2154" s="2">
        <v>150</v>
      </c>
      <c r="K2154" s="2">
        <v>67.106800000000007</v>
      </c>
      <c r="L2154" s="2">
        <v>155</v>
      </c>
      <c r="M2154" s="2">
        <v>105.6691</v>
      </c>
      <c r="N2154" s="2">
        <v>101</v>
      </c>
      <c r="O2154" s="2">
        <v>105.4843</v>
      </c>
      <c r="P2154" s="2">
        <v>112</v>
      </c>
      <c r="Q2154" s="2">
        <v>105.21980000000001</v>
      </c>
      <c r="R2154" s="2">
        <v>253</v>
      </c>
      <c r="S2154" s="2">
        <v>106.9405</v>
      </c>
      <c r="T2154" s="2">
        <v>263</v>
      </c>
      <c r="U2154" s="2">
        <v>0.46066400000000002</v>
      </c>
      <c r="V2154" s="2">
        <v>173</v>
      </c>
      <c r="W2154" s="2">
        <v>2008</v>
      </c>
    </row>
    <row r="2155" spans="1:23" ht="12.3" hidden="1" x14ac:dyDescent="0.4">
      <c r="A2155" s="2" t="s">
        <v>161</v>
      </c>
      <c r="B2155" s="2"/>
      <c r="C2155" s="2"/>
      <c r="D2155" s="2"/>
      <c r="E2155" s="2"/>
      <c r="F2155" s="2"/>
      <c r="G2155" s="2"/>
      <c r="H2155" s="2"/>
      <c r="I2155" s="2">
        <v>65.971999999999994</v>
      </c>
      <c r="J2155" s="2">
        <v>199</v>
      </c>
      <c r="K2155" s="2">
        <v>65.3874</v>
      </c>
      <c r="L2155" s="2">
        <v>226</v>
      </c>
      <c r="M2155" s="2">
        <v>98.932900000000004</v>
      </c>
      <c r="N2155" s="2">
        <v>221</v>
      </c>
      <c r="O2155" s="2">
        <v>99.249700000000004</v>
      </c>
      <c r="P2155" s="2">
        <v>212</v>
      </c>
      <c r="Q2155" s="2">
        <v>101.68980000000001</v>
      </c>
      <c r="R2155" s="2">
        <v>162</v>
      </c>
      <c r="S2155" s="2">
        <v>100.9225</v>
      </c>
      <c r="T2155" s="2">
        <v>135</v>
      </c>
      <c r="U2155" s="2">
        <v>0.452096</v>
      </c>
      <c r="V2155" s="2">
        <v>174</v>
      </c>
      <c r="W2155" s="2">
        <v>2008</v>
      </c>
    </row>
    <row r="2156" spans="1:23" ht="12.3" x14ac:dyDescent="0.4">
      <c r="A2156" s="2" t="s">
        <v>196</v>
      </c>
      <c r="B2156" s="2">
        <v>13</v>
      </c>
      <c r="C2156" s="4" t="s">
        <v>33</v>
      </c>
      <c r="D2156" s="2"/>
      <c r="E2156" s="2"/>
      <c r="F2156" s="2"/>
      <c r="G2156" s="2"/>
      <c r="H2156" s="2"/>
      <c r="I2156" s="2">
        <v>69.734200000000001</v>
      </c>
      <c r="J2156" s="2">
        <v>78</v>
      </c>
      <c r="K2156" s="2">
        <v>68.659800000000004</v>
      </c>
      <c r="L2156" s="2">
        <v>107</v>
      </c>
      <c r="M2156" s="2">
        <v>108.8561</v>
      </c>
      <c r="N2156" s="2">
        <v>52</v>
      </c>
      <c r="O2156" s="2">
        <v>106.1652</v>
      </c>
      <c r="P2156" s="2">
        <v>104</v>
      </c>
      <c r="Q2156" s="2">
        <v>100.29819999999999</v>
      </c>
      <c r="R2156" s="2">
        <v>122</v>
      </c>
      <c r="S2156" s="2">
        <v>99.343299999999999</v>
      </c>
      <c r="T2156" s="2">
        <v>107</v>
      </c>
      <c r="U2156" s="2">
        <v>0.68217099999999997</v>
      </c>
      <c r="V2156" s="2">
        <v>93</v>
      </c>
      <c r="W2156" s="2">
        <v>2008</v>
      </c>
    </row>
    <row r="2157" spans="1:23" ht="12.3" hidden="1" x14ac:dyDescent="0.4">
      <c r="A2157" s="2" t="s">
        <v>247</v>
      </c>
      <c r="B2157" s="2"/>
      <c r="C2157" s="2"/>
      <c r="D2157" s="2"/>
      <c r="E2157" s="2"/>
      <c r="F2157" s="2"/>
      <c r="G2157" s="2"/>
      <c r="H2157" s="2"/>
      <c r="I2157" s="2">
        <v>65.698599999999999</v>
      </c>
      <c r="J2157" s="2">
        <v>212</v>
      </c>
      <c r="K2157" s="2">
        <v>65.538300000000007</v>
      </c>
      <c r="L2157" s="2">
        <v>219</v>
      </c>
      <c r="M2157" s="2">
        <v>98.454499999999996</v>
      </c>
      <c r="N2157" s="2">
        <v>228</v>
      </c>
      <c r="O2157" s="2">
        <v>96.985900000000001</v>
      </c>
      <c r="P2157" s="2">
        <v>251</v>
      </c>
      <c r="Q2157" s="2">
        <v>97.281199999999998</v>
      </c>
      <c r="R2157" s="2">
        <v>65</v>
      </c>
      <c r="S2157" s="2">
        <v>98.962500000000006</v>
      </c>
      <c r="T2157" s="2">
        <v>97</v>
      </c>
      <c r="U2157" s="2">
        <v>0.44225500000000001</v>
      </c>
      <c r="V2157" s="2">
        <v>176</v>
      </c>
      <c r="W2157" s="2">
        <v>2008</v>
      </c>
    </row>
    <row r="2158" spans="1:23" ht="12.3" hidden="1" x14ac:dyDescent="0.4">
      <c r="A2158" s="2" t="s">
        <v>339</v>
      </c>
      <c r="B2158" s="2"/>
      <c r="C2158" s="2"/>
      <c r="D2158" s="2"/>
      <c r="E2158" s="2"/>
      <c r="F2158" s="2"/>
      <c r="G2158" s="2"/>
      <c r="H2158" s="2"/>
      <c r="I2158" s="2">
        <v>65.114699999999999</v>
      </c>
      <c r="J2158" s="2">
        <v>241</v>
      </c>
      <c r="K2158" s="2">
        <v>65.188500000000005</v>
      </c>
      <c r="L2158" s="2">
        <v>234</v>
      </c>
      <c r="M2158" s="2">
        <v>103.5977</v>
      </c>
      <c r="N2158" s="2">
        <v>141</v>
      </c>
      <c r="O2158" s="2">
        <v>102.19840000000001</v>
      </c>
      <c r="P2158" s="2">
        <v>170</v>
      </c>
      <c r="Q2158" s="2">
        <v>100.29340000000001</v>
      </c>
      <c r="R2158" s="2">
        <v>121</v>
      </c>
      <c r="S2158" s="2">
        <v>104.3229</v>
      </c>
      <c r="T2158" s="2">
        <v>209</v>
      </c>
      <c r="U2158" s="2">
        <v>0.44112099999999999</v>
      </c>
      <c r="V2158" s="2">
        <v>177</v>
      </c>
      <c r="W2158" s="2">
        <v>2008</v>
      </c>
    </row>
    <row r="2159" spans="1:23" ht="12.3" hidden="1" x14ac:dyDescent="0.4">
      <c r="A2159" s="2" t="s">
        <v>183</v>
      </c>
      <c r="B2159" s="2"/>
      <c r="C2159" s="2"/>
      <c r="D2159" s="2"/>
      <c r="E2159" s="2"/>
      <c r="F2159" s="2"/>
      <c r="G2159" s="2"/>
      <c r="H2159" s="2"/>
      <c r="I2159" s="2">
        <v>68.794799999999995</v>
      </c>
      <c r="J2159" s="2">
        <v>105</v>
      </c>
      <c r="K2159" s="2">
        <v>69.982600000000005</v>
      </c>
      <c r="L2159" s="2">
        <v>60</v>
      </c>
      <c r="M2159" s="2">
        <v>104.8948</v>
      </c>
      <c r="N2159" s="2">
        <v>120</v>
      </c>
      <c r="O2159" s="2">
        <v>102.926</v>
      </c>
      <c r="P2159" s="2">
        <v>155</v>
      </c>
      <c r="Q2159" s="2">
        <v>104.093</v>
      </c>
      <c r="R2159" s="2">
        <v>215</v>
      </c>
      <c r="S2159" s="2">
        <v>105.10769999999999</v>
      </c>
      <c r="T2159" s="2">
        <v>231</v>
      </c>
      <c r="U2159" s="2">
        <v>0.43998599999999999</v>
      </c>
      <c r="V2159" s="2">
        <v>178</v>
      </c>
      <c r="W2159" s="2">
        <v>2008</v>
      </c>
    </row>
    <row r="2160" spans="1:23" ht="12.3" hidden="1" x14ac:dyDescent="0.4">
      <c r="A2160" s="2" t="s">
        <v>273</v>
      </c>
      <c r="B2160" s="2"/>
      <c r="C2160" s="2"/>
      <c r="D2160" s="2"/>
      <c r="E2160" s="2"/>
      <c r="F2160" s="2"/>
      <c r="G2160" s="2"/>
      <c r="H2160" s="2"/>
      <c r="I2160" s="2">
        <v>69.258700000000005</v>
      </c>
      <c r="J2160" s="2">
        <v>91</v>
      </c>
      <c r="K2160" s="2">
        <v>70.226299999999995</v>
      </c>
      <c r="L2160" s="2">
        <v>54</v>
      </c>
      <c r="M2160" s="2">
        <v>105.4237</v>
      </c>
      <c r="N2160" s="2">
        <v>107</v>
      </c>
      <c r="O2160" s="2">
        <v>105.1433</v>
      </c>
      <c r="P2160" s="2">
        <v>116</v>
      </c>
      <c r="Q2160" s="2">
        <v>103.7764</v>
      </c>
      <c r="R2160" s="2">
        <v>209</v>
      </c>
      <c r="S2160" s="2">
        <v>107.4883</v>
      </c>
      <c r="T2160" s="2">
        <v>275</v>
      </c>
      <c r="U2160" s="2">
        <v>0.436921</v>
      </c>
      <c r="V2160" s="2">
        <v>179</v>
      </c>
      <c r="W2160" s="2">
        <v>2008</v>
      </c>
    </row>
    <row r="2161" spans="1:23" ht="12.3" hidden="1" x14ac:dyDescent="0.4">
      <c r="A2161" s="2" t="s">
        <v>331</v>
      </c>
      <c r="B2161" s="2"/>
      <c r="C2161" s="2"/>
      <c r="D2161" s="2"/>
      <c r="E2161" s="2"/>
      <c r="F2161" s="2"/>
      <c r="G2161" s="2"/>
      <c r="H2161" s="2"/>
      <c r="I2161" s="2">
        <v>64.086200000000005</v>
      </c>
      <c r="J2161" s="2">
        <v>279</v>
      </c>
      <c r="K2161" s="2">
        <v>64.149199999999993</v>
      </c>
      <c r="L2161" s="2">
        <v>275</v>
      </c>
      <c r="M2161" s="2">
        <v>103.2611</v>
      </c>
      <c r="N2161" s="2">
        <v>148</v>
      </c>
      <c r="O2161" s="2">
        <v>103.23909999999999</v>
      </c>
      <c r="P2161" s="2">
        <v>152</v>
      </c>
      <c r="Q2161" s="2">
        <v>105.4395</v>
      </c>
      <c r="R2161" s="2">
        <v>259</v>
      </c>
      <c r="S2161" s="2">
        <v>105.64579999999999</v>
      </c>
      <c r="T2161" s="2">
        <v>239</v>
      </c>
      <c r="U2161" s="2">
        <v>0.43413200000000002</v>
      </c>
      <c r="V2161" s="2">
        <v>180</v>
      </c>
      <c r="W2161" s="2">
        <v>2008</v>
      </c>
    </row>
    <row r="2162" spans="1:23" ht="12.3" hidden="1" x14ac:dyDescent="0.4">
      <c r="A2162" s="2" t="s">
        <v>235</v>
      </c>
      <c r="B2162" s="2"/>
      <c r="C2162" s="2"/>
      <c r="D2162" s="2"/>
      <c r="E2162" s="2"/>
      <c r="F2162" s="2"/>
      <c r="G2162" s="2"/>
      <c r="H2162" s="2"/>
      <c r="I2162" s="2">
        <v>69.112399999999994</v>
      </c>
      <c r="J2162" s="2">
        <v>95</v>
      </c>
      <c r="K2162" s="2">
        <v>68.992999999999995</v>
      </c>
      <c r="L2162" s="2">
        <v>93</v>
      </c>
      <c r="M2162" s="2">
        <v>99.678700000000006</v>
      </c>
      <c r="N2162" s="2">
        <v>212</v>
      </c>
      <c r="O2162" s="2">
        <v>102.634</v>
      </c>
      <c r="P2162" s="2">
        <v>161</v>
      </c>
      <c r="Q2162" s="2">
        <v>105.0057</v>
      </c>
      <c r="R2162" s="2">
        <v>247</v>
      </c>
      <c r="S2162" s="2">
        <v>105.0821</v>
      </c>
      <c r="T2162" s="2">
        <v>229</v>
      </c>
      <c r="U2162" s="2">
        <v>0.43264200000000003</v>
      </c>
      <c r="V2162" s="2">
        <v>181</v>
      </c>
      <c r="W2162" s="2">
        <v>2008</v>
      </c>
    </row>
    <row r="2163" spans="1:23" ht="12.3" hidden="1" x14ac:dyDescent="0.4">
      <c r="A2163" s="2" t="s">
        <v>281</v>
      </c>
      <c r="B2163" s="2"/>
      <c r="C2163" s="2"/>
      <c r="D2163" s="2"/>
      <c r="E2163" s="2"/>
      <c r="F2163" s="2"/>
      <c r="G2163" s="2"/>
      <c r="H2163" s="2"/>
      <c r="I2163" s="2">
        <v>67.513199999999998</v>
      </c>
      <c r="J2163" s="2">
        <v>153</v>
      </c>
      <c r="K2163" s="2">
        <v>65.692499999999995</v>
      </c>
      <c r="L2163" s="2">
        <v>211</v>
      </c>
      <c r="M2163" s="2">
        <v>108.6968</v>
      </c>
      <c r="N2163" s="2">
        <v>54</v>
      </c>
      <c r="O2163" s="2">
        <v>104.2766</v>
      </c>
      <c r="P2163" s="2">
        <v>136</v>
      </c>
      <c r="Q2163" s="2">
        <v>104.8141</v>
      </c>
      <c r="R2163" s="2">
        <v>242</v>
      </c>
      <c r="S2163" s="2">
        <v>106.77970000000001</v>
      </c>
      <c r="T2163" s="2">
        <v>259</v>
      </c>
      <c r="U2163" s="2">
        <v>0.43222300000000002</v>
      </c>
      <c r="V2163" s="2">
        <v>182</v>
      </c>
      <c r="W2163" s="2">
        <v>2008</v>
      </c>
    </row>
    <row r="2164" spans="1:23" ht="12.3" hidden="1" x14ac:dyDescent="0.4">
      <c r="A2164" s="2" t="s">
        <v>142</v>
      </c>
      <c r="B2164" s="2"/>
      <c r="C2164" s="2"/>
      <c r="D2164" s="2"/>
      <c r="E2164" s="2"/>
      <c r="F2164" s="2"/>
      <c r="G2164" s="2"/>
      <c r="H2164" s="2"/>
      <c r="I2164" s="2">
        <v>68.300899999999999</v>
      </c>
      <c r="J2164" s="2">
        <v>121</v>
      </c>
      <c r="K2164" s="2">
        <v>67.992500000000007</v>
      </c>
      <c r="L2164" s="2">
        <v>127</v>
      </c>
      <c r="M2164" s="2">
        <v>97.668199999999999</v>
      </c>
      <c r="N2164" s="2">
        <v>240</v>
      </c>
      <c r="O2164" s="2">
        <v>99.304000000000002</v>
      </c>
      <c r="P2164" s="2">
        <v>209</v>
      </c>
      <c r="Q2164" s="2">
        <v>99.564499999999995</v>
      </c>
      <c r="R2164" s="2">
        <v>106</v>
      </c>
      <c r="S2164" s="2">
        <v>101.7346</v>
      </c>
      <c r="T2164" s="2">
        <v>156</v>
      </c>
      <c r="U2164" s="2">
        <v>0.430923</v>
      </c>
      <c r="V2164" s="2">
        <v>183</v>
      </c>
      <c r="W2164" s="2">
        <v>2008</v>
      </c>
    </row>
    <row r="2165" spans="1:23" ht="12.3" hidden="1" x14ac:dyDescent="0.4">
      <c r="A2165" s="2" t="s">
        <v>300</v>
      </c>
      <c r="B2165" s="2"/>
      <c r="C2165" s="2"/>
      <c r="D2165" s="2"/>
      <c r="E2165" s="2"/>
      <c r="F2165" s="2"/>
      <c r="G2165" s="2"/>
      <c r="H2165" s="2"/>
      <c r="I2165" s="2">
        <v>74.747</v>
      </c>
      <c r="J2165" s="2">
        <v>9</v>
      </c>
      <c r="K2165" s="2">
        <v>75.221699999999998</v>
      </c>
      <c r="L2165" s="2">
        <v>6</v>
      </c>
      <c r="M2165" s="2">
        <v>100.8976</v>
      </c>
      <c r="N2165" s="2">
        <v>186</v>
      </c>
      <c r="O2165" s="2">
        <v>100.6348</v>
      </c>
      <c r="P2165" s="2">
        <v>192</v>
      </c>
      <c r="Q2165" s="2">
        <v>96.863900000000001</v>
      </c>
      <c r="R2165" s="2">
        <v>57</v>
      </c>
      <c r="S2165" s="2">
        <v>103.11060000000001</v>
      </c>
      <c r="T2165" s="2">
        <v>184</v>
      </c>
      <c r="U2165" s="2">
        <v>0.43057699999999999</v>
      </c>
      <c r="V2165" s="2">
        <v>184</v>
      </c>
      <c r="W2165" s="2">
        <v>2008</v>
      </c>
    </row>
    <row r="2166" spans="1:23" ht="12.3" hidden="1" x14ac:dyDescent="0.4">
      <c r="A2166" s="2" t="s">
        <v>123</v>
      </c>
      <c r="B2166" s="2"/>
      <c r="C2166" s="2"/>
      <c r="D2166" s="2"/>
      <c r="E2166" s="2"/>
      <c r="F2166" s="2"/>
      <c r="G2166" s="2"/>
      <c r="H2166" s="2"/>
      <c r="I2166" s="2">
        <v>67.513000000000005</v>
      </c>
      <c r="J2166" s="2">
        <v>154</v>
      </c>
      <c r="K2166" s="2">
        <v>66.388900000000007</v>
      </c>
      <c r="L2166" s="2">
        <v>181</v>
      </c>
      <c r="M2166" s="2">
        <v>91.376400000000004</v>
      </c>
      <c r="N2166" s="2">
        <v>321</v>
      </c>
      <c r="O2166" s="2">
        <v>94.0886</v>
      </c>
      <c r="P2166" s="2">
        <v>295</v>
      </c>
      <c r="Q2166" s="2">
        <v>100.6814</v>
      </c>
      <c r="R2166" s="2">
        <v>132</v>
      </c>
      <c r="S2166" s="2">
        <v>96.519499999999994</v>
      </c>
      <c r="T2166" s="2">
        <v>59</v>
      </c>
      <c r="U2166" s="2">
        <v>0.42718499999999998</v>
      </c>
      <c r="V2166" s="2">
        <v>185</v>
      </c>
      <c r="W2166" s="2">
        <v>2008</v>
      </c>
    </row>
    <row r="2167" spans="1:23" ht="12.3" hidden="1" x14ac:dyDescent="0.4">
      <c r="A2167" s="2" t="s">
        <v>330</v>
      </c>
      <c r="B2167" s="2"/>
      <c r="C2167" s="2"/>
      <c r="D2167" s="2"/>
      <c r="E2167" s="2"/>
      <c r="F2167" s="2"/>
      <c r="G2167" s="2"/>
      <c r="H2167" s="2"/>
      <c r="I2167" s="2">
        <v>64.347700000000003</v>
      </c>
      <c r="J2167" s="2">
        <v>270</v>
      </c>
      <c r="K2167" s="2">
        <v>63.400700000000001</v>
      </c>
      <c r="L2167" s="2">
        <v>296</v>
      </c>
      <c r="M2167" s="2">
        <v>104.5355</v>
      </c>
      <c r="N2167" s="2">
        <v>125</v>
      </c>
      <c r="O2167" s="2">
        <v>101.94410000000001</v>
      </c>
      <c r="P2167" s="2">
        <v>173</v>
      </c>
      <c r="Q2167" s="2">
        <v>101.61669999999999</v>
      </c>
      <c r="R2167" s="2">
        <v>158</v>
      </c>
      <c r="S2167" s="2">
        <v>104.73439999999999</v>
      </c>
      <c r="T2167" s="2">
        <v>220</v>
      </c>
      <c r="U2167" s="2">
        <v>0.422985</v>
      </c>
      <c r="V2167" s="2">
        <v>186</v>
      </c>
      <c r="W2167" s="2">
        <v>2008</v>
      </c>
    </row>
    <row r="2168" spans="1:23" ht="12.3" hidden="1" x14ac:dyDescent="0.4">
      <c r="A2168" s="2" t="s">
        <v>257</v>
      </c>
      <c r="B2168" s="2"/>
      <c r="C2168" s="2"/>
      <c r="D2168" s="2"/>
      <c r="E2168" s="2"/>
      <c r="F2168" s="2"/>
      <c r="G2168" s="2"/>
      <c r="H2168" s="2"/>
      <c r="I2168" s="2">
        <v>61.805</v>
      </c>
      <c r="J2168" s="2">
        <v>316</v>
      </c>
      <c r="K2168" s="2">
        <v>62.358499999999999</v>
      </c>
      <c r="L2168" s="2">
        <v>314</v>
      </c>
      <c r="M2168" s="2">
        <v>98.444000000000003</v>
      </c>
      <c r="N2168" s="2">
        <v>229</v>
      </c>
      <c r="O2168" s="2">
        <v>99.346199999999996</v>
      </c>
      <c r="P2168" s="2">
        <v>207</v>
      </c>
      <c r="Q2168" s="2">
        <v>101.3916</v>
      </c>
      <c r="R2168" s="2">
        <v>151</v>
      </c>
      <c r="S2168" s="2">
        <v>102.1934</v>
      </c>
      <c r="T2168" s="2">
        <v>167</v>
      </c>
      <c r="U2168" s="2">
        <v>0.41946899999999998</v>
      </c>
      <c r="V2168" s="2">
        <v>187</v>
      </c>
      <c r="W2168" s="2">
        <v>2008</v>
      </c>
    </row>
    <row r="2169" spans="1:23" ht="12.3" hidden="1" x14ac:dyDescent="0.4">
      <c r="A2169" s="2" t="s">
        <v>93</v>
      </c>
      <c r="B2169" s="2"/>
      <c r="C2169" s="2"/>
      <c r="D2169" s="2"/>
      <c r="E2169" s="2"/>
      <c r="F2169" s="2"/>
      <c r="G2169" s="2"/>
      <c r="H2169" s="2"/>
      <c r="I2169" s="2">
        <v>68.944699999999997</v>
      </c>
      <c r="J2169" s="2">
        <v>99</v>
      </c>
      <c r="K2169" s="2">
        <v>70.250399999999999</v>
      </c>
      <c r="L2169" s="2">
        <v>52</v>
      </c>
      <c r="M2169" s="2">
        <v>97.570099999999996</v>
      </c>
      <c r="N2169" s="2">
        <v>243</v>
      </c>
      <c r="O2169" s="2">
        <v>99.263599999999997</v>
      </c>
      <c r="P2169" s="2">
        <v>211</v>
      </c>
      <c r="Q2169" s="2">
        <v>104.7273</v>
      </c>
      <c r="R2169" s="2">
        <v>235</v>
      </c>
      <c r="S2169" s="2">
        <v>102.1117</v>
      </c>
      <c r="T2169" s="2">
        <v>164</v>
      </c>
      <c r="U2169" s="2">
        <v>0.41937999999999998</v>
      </c>
      <c r="V2169" s="2">
        <v>188</v>
      </c>
      <c r="W2169" s="2">
        <v>2008</v>
      </c>
    </row>
    <row r="2170" spans="1:23" ht="12.3" hidden="1" x14ac:dyDescent="0.4">
      <c r="A2170" s="2" t="s">
        <v>213</v>
      </c>
      <c r="B2170" s="2"/>
      <c r="C2170" s="2"/>
      <c r="D2170" s="2"/>
      <c r="E2170" s="2"/>
      <c r="F2170" s="2"/>
      <c r="G2170" s="2"/>
      <c r="H2170" s="2"/>
      <c r="I2170" s="2">
        <v>71.707599999999999</v>
      </c>
      <c r="J2170" s="2">
        <v>33</v>
      </c>
      <c r="K2170" s="2">
        <v>73.2346</v>
      </c>
      <c r="L2170" s="2">
        <v>14</v>
      </c>
      <c r="M2170" s="2">
        <v>96.873199999999997</v>
      </c>
      <c r="N2170" s="2">
        <v>257</v>
      </c>
      <c r="O2170" s="2">
        <v>99.699200000000005</v>
      </c>
      <c r="P2170" s="2">
        <v>201</v>
      </c>
      <c r="Q2170" s="2">
        <v>101.79389999999999</v>
      </c>
      <c r="R2170" s="2">
        <v>165</v>
      </c>
      <c r="S2170" s="2">
        <v>102.5996</v>
      </c>
      <c r="T2170" s="2">
        <v>177</v>
      </c>
      <c r="U2170" s="2">
        <v>0.41829699999999997</v>
      </c>
      <c r="V2170" s="2">
        <v>189</v>
      </c>
      <c r="W2170" s="2">
        <v>2008</v>
      </c>
    </row>
    <row r="2171" spans="1:23" ht="12.3" hidden="1" x14ac:dyDescent="0.4">
      <c r="A2171" s="2" t="s">
        <v>306</v>
      </c>
      <c r="B2171" s="2"/>
      <c r="C2171" s="2"/>
      <c r="D2171" s="2"/>
      <c r="E2171" s="2"/>
      <c r="F2171" s="2"/>
      <c r="G2171" s="2"/>
      <c r="H2171" s="2"/>
      <c r="I2171" s="2">
        <v>64.000600000000006</v>
      </c>
      <c r="J2171" s="2">
        <v>282</v>
      </c>
      <c r="K2171" s="2">
        <v>63.5852</v>
      </c>
      <c r="L2171" s="2">
        <v>292</v>
      </c>
      <c r="M2171" s="2">
        <v>96.726200000000006</v>
      </c>
      <c r="N2171" s="2">
        <v>259</v>
      </c>
      <c r="O2171" s="2">
        <v>95.7517</v>
      </c>
      <c r="P2171" s="2">
        <v>274</v>
      </c>
      <c r="Q2171" s="2">
        <v>100.66459999999999</v>
      </c>
      <c r="R2171" s="2">
        <v>131</v>
      </c>
      <c r="S2171" s="2">
        <v>98.592799999999997</v>
      </c>
      <c r="T2171" s="2">
        <v>94</v>
      </c>
      <c r="U2171" s="2">
        <v>0.41671799999999998</v>
      </c>
      <c r="V2171" s="2">
        <v>190</v>
      </c>
      <c r="W2171" s="2">
        <v>2008</v>
      </c>
    </row>
    <row r="2172" spans="1:23" ht="12.3" hidden="1" x14ac:dyDescent="0.4">
      <c r="A2172" s="2" t="s">
        <v>337</v>
      </c>
      <c r="B2172" s="2"/>
      <c r="C2172" s="2"/>
      <c r="D2172" s="2"/>
      <c r="E2172" s="2"/>
      <c r="F2172" s="2"/>
      <c r="G2172" s="2"/>
      <c r="H2172" s="2"/>
      <c r="I2172" s="2">
        <v>69.372900000000001</v>
      </c>
      <c r="J2172" s="2">
        <v>87</v>
      </c>
      <c r="K2172" s="2">
        <v>68.108199999999997</v>
      </c>
      <c r="L2172" s="2">
        <v>123</v>
      </c>
      <c r="M2172" s="2">
        <v>101.3484</v>
      </c>
      <c r="N2172" s="2">
        <v>177</v>
      </c>
      <c r="O2172" s="2">
        <v>99.541499999999999</v>
      </c>
      <c r="P2172" s="2">
        <v>203</v>
      </c>
      <c r="Q2172" s="2">
        <v>99.300299999999993</v>
      </c>
      <c r="R2172" s="2">
        <v>98</v>
      </c>
      <c r="S2172" s="2">
        <v>102.57470000000001</v>
      </c>
      <c r="T2172" s="2">
        <v>176</v>
      </c>
      <c r="U2172" s="2">
        <v>0.41454999999999997</v>
      </c>
      <c r="V2172" s="2">
        <v>191</v>
      </c>
      <c r="W2172" s="2">
        <v>2008</v>
      </c>
    </row>
    <row r="2173" spans="1:23" ht="12.3" hidden="1" x14ac:dyDescent="0.4">
      <c r="A2173" s="2" t="s">
        <v>156</v>
      </c>
      <c r="B2173" s="2"/>
      <c r="C2173" s="2"/>
      <c r="D2173" s="2"/>
      <c r="E2173" s="2"/>
      <c r="F2173" s="2"/>
      <c r="G2173" s="2"/>
      <c r="H2173" s="2"/>
      <c r="I2173" s="2">
        <v>65.172300000000007</v>
      </c>
      <c r="J2173" s="2">
        <v>235</v>
      </c>
      <c r="K2173" s="2">
        <v>64.656199999999998</v>
      </c>
      <c r="L2173" s="2">
        <v>257</v>
      </c>
      <c r="M2173" s="2">
        <v>105.5562</v>
      </c>
      <c r="N2173" s="2">
        <v>105</v>
      </c>
      <c r="O2173" s="2">
        <v>104.032</v>
      </c>
      <c r="P2173" s="2">
        <v>142</v>
      </c>
      <c r="Q2173" s="2">
        <v>103.6087</v>
      </c>
      <c r="R2173" s="2">
        <v>206</v>
      </c>
      <c r="S2173" s="2">
        <v>107.2313</v>
      </c>
      <c r="T2173" s="2">
        <v>270</v>
      </c>
      <c r="U2173" s="2">
        <v>0.41378700000000002</v>
      </c>
      <c r="V2173" s="2">
        <v>192</v>
      </c>
      <c r="W2173" s="2">
        <v>2008</v>
      </c>
    </row>
    <row r="2174" spans="1:23" ht="12.3" hidden="1" x14ac:dyDescent="0.4">
      <c r="A2174" s="2" t="s">
        <v>211</v>
      </c>
      <c r="B2174" s="2"/>
      <c r="C2174" s="2"/>
      <c r="D2174" s="2"/>
      <c r="E2174" s="2"/>
      <c r="F2174" s="2"/>
      <c r="G2174" s="2"/>
      <c r="H2174" s="2"/>
      <c r="I2174" s="2">
        <v>73.537899999999993</v>
      </c>
      <c r="J2174" s="2">
        <v>14</v>
      </c>
      <c r="K2174" s="2">
        <v>71.854100000000003</v>
      </c>
      <c r="L2174" s="2">
        <v>22</v>
      </c>
      <c r="M2174" s="2">
        <v>103.0822</v>
      </c>
      <c r="N2174" s="2">
        <v>154</v>
      </c>
      <c r="O2174" s="2">
        <v>101.6259</v>
      </c>
      <c r="P2174" s="2">
        <v>179</v>
      </c>
      <c r="Q2174" s="2">
        <v>101.9021</v>
      </c>
      <c r="R2174" s="2">
        <v>167</v>
      </c>
      <c r="S2174" s="2">
        <v>104.7919</v>
      </c>
      <c r="T2174" s="2">
        <v>222</v>
      </c>
      <c r="U2174" s="2">
        <v>0.41270499999999999</v>
      </c>
      <c r="V2174" s="2">
        <v>193</v>
      </c>
      <c r="W2174" s="2">
        <v>2008</v>
      </c>
    </row>
    <row r="2175" spans="1:23" ht="12.3" hidden="1" x14ac:dyDescent="0.4">
      <c r="A2175" s="2" t="s">
        <v>125</v>
      </c>
      <c r="B2175" s="2"/>
      <c r="C2175" s="2"/>
      <c r="D2175" s="2"/>
      <c r="E2175" s="2"/>
      <c r="F2175" s="2"/>
      <c r="G2175" s="2"/>
      <c r="H2175" s="2"/>
      <c r="I2175" s="2">
        <v>66.684100000000001</v>
      </c>
      <c r="J2175" s="2">
        <v>182</v>
      </c>
      <c r="K2175" s="2">
        <v>66.055400000000006</v>
      </c>
      <c r="L2175" s="2">
        <v>197</v>
      </c>
      <c r="M2175" s="2">
        <v>96.146799999999999</v>
      </c>
      <c r="N2175" s="2">
        <v>267</v>
      </c>
      <c r="O2175" s="2">
        <v>94.2774</v>
      </c>
      <c r="P2175" s="2">
        <v>290</v>
      </c>
      <c r="Q2175" s="2">
        <v>94.710899999999995</v>
      </c>
      <c r="R2175" s="2">
        <v>30</v>
      </c>
      <c r="S2175" s="2">
        <v>97.379199999999997</v>
      </c>
      <c r="T2175" s="2">
        <v>67</v>
      </c>
      <c r="U2175" s="2">
        <v>0.40799400000000002</v>
      </c>
      <c r="V2175" s="2">
        <v>194</v>
      </c>
      <c r="W2175" s="2">
        <v>2008</v>
      </c>
    </row>
    <row r="2176" spans="1:23" ht="12.3" hidden="1" x14ac:dyDescent="0.4">
      <c r="A2176" s="2" t="s">
        <v>170</v>
      </c>
      <c r="B2176" s="2"/>
      <c r="C2176" s="2"/>
      <c r="D2176" s="2"/>
      <c r="E2176" s="2"/>
      <c r="F2176" s="2"/>
      <c r="G2176" s="2"/>
      <c r="H2176" s="2"/>
      <c r="I2176" s="2">
        <v>65.048199999999994</v>
      </c>
      <c r="J2176" s="2">
        <v>246</v>
      </c>
      <c r="K2176" s="2">
        <v>65.447800000000001</v>
      </c>
      <c r="L2176" s="2">
        <v>221</v>
      </c>
      <c r="M2176" s="2">
        <v>100.99120000000001</v>
      </c>
      <c r="N2176" s="2">
        <v>185</v>
      </c>
      <c r="O2176" s="2">
        <v>98.344700000000003</v>
      </c>
      <c r="P2176" s="2">
        <v>225</v>
      </c>
      <c r="Q2176" s="2">
        <v>99.787899999999993</v>
      </c>
      <c r="R2176" s="2">
        <v>110</v>
      </c>
      <c r="S2176" s="2">
        <v>101.6168</v>
      </c>
      <c r="T2176" s="2">
        <v>152</v>
      </c>
      <c r="U2176" s="2">
        <v>0.406995</v>
      </c>
      <c r="V2176" s="2">
        <v>195</v>
      </c>
      <c r="W2176" s="2">
        <v>2008</v>
      </c>
    </row>
    <row r="2177" spans="1:23" ht="12.3" hidden="1" x14ac:dyDescent="0.4">
      <c r="A2177" s="2" t="s">
        <v>124</v>
      </c>
      <c r="B2177" s="2"/>
      <c r="C2177" s="2"/>
      <c r="D2177" s="2"/>
      <c r="E2177" s="2"/>
      <c r="F2177" s="2"/>
      <c r="G2177" s="2"/>
      <c r="H2177" s="2"/>
      <c r="I2177" s="2">
        <v>61.507800000000003</v>
      </c>
      <c r="J2177" s="2">
        <v>320</v>
      </c>
      <c r="K2177" s="2">
        <v>62.430199999999999</v>
      </c>
      <c r="L2177" s="2">
        <v>312</v>
      </c>
      <c r="M2177" s="2">
        <v>98.6267</v>
      </c>
      <c r="N2177" s="2">
        <v>227</v>
      </c>
      <c r="O2177" s="2">
        <v>103.9311</v>
      </c>
      <c r="P2177" s="2">
        <v>143</v>
      </c>
      <c r="Q2177" s="2">
        <v>110.8723</v>
      </c>
      <c r="R2177" s="2">
        <v>330</v>
      </c>
      <c r="S2177" s="2">
        <v>107.50449999999999</v>
      </c>
      <c r="T2177" s="2">
        <v>277</v>
      </c>
      <c r="U2177" s="2">
        <v>0.40401700000000002</v>
      </c>
      <c r="V2177" s="2">
        <v>196</v>
      </c>
      <c r="W2177" s="2">
        <v>2008</v>
      </c>
    </row>
    <row r="2178" spans="1:23" ht="12.3" hidden="1" x14ac:dyDescent="0.4">
      <c r="A2178" s="2" t="s">
        <v>117</v>
      </c>
      <c r="B2178" s="2"/>
      <c r="C2178" s="2"/>
      <c r="D2178" s="2"/>
      <c r="E2178" s="2"/>
      <c r="F2178" s="2"/>
      <c r="G2178" s="2"/>
      <c r="H2178" s="2"/>
      <c r="I2178" s="2">
        <v>65.353099999999998</v>
      </c>
      <c r="J2178" s="2">
        <v>229</v>
      </c>
      <c r="K2178" s="2">
        <v>65.257900000000006</v>
      </c>
      <c r="L2178" s="2">
        <v>230</v>
      </c>
      <c r="M2178" s="2">
        <v>97.935699999999997</v>
      </c>
      <c r="N2178" s="2">
        <v>236</v>
      </c>
      <c r="O2178" s="2">
        <v>96.126999999999995</v>
      </c>
      <c r="P2178" s="2">
        <v>266</v>
      </c>
      <c r="Q2178" s="2">
        <v>99.991200000000006</v>
      </c>
      <c r="R2178" s="2">
        <v>114</v>
      </c>
      <c r="S2178" s="2">
        <v>99.692999999999998</v>
      </c>
      <c r="T2178" s="2">
        <v>112</v>
      </c>
      <c r="U2178" s="2">
        <v>0.39678099999999999</v>
      </c>
      <c r="V2178" s="2">
        <v>197</v>
      </c>
      <c r="W2178" s="2">
        <v>2008</v>
      </c>
    </row>
    <row r="2179" spans="1:23" ht="12.3" hidden="1" x14ac:dyDescent="0.4">
      <c r="A2179" s="2" t="s">
        <v>322</v>
      </c>
      <c r="B2179" s="2"/>
      <c r="C2179" s="2"/>
      <c r="D2179" s="2"/>
      <c r="E2179" s="2"/>
      <c r="F2179" s="2"/>
      <c r="G2179" s="2"/>
      <c r="H2179" s="2"/>
      <c r="I2179" s="2">
        <v>67.216999999999999</v>
      </c>
      <c r="J2179" s="2">
        <v>165</v>
      </c>
      <c r="K2179" s="2">
        <v>67.543599999999998</v>
      </c>
      <c r="L2179" s="2">
        <v>143</v>
      </c>
      <c r="M2179" s="2">
        <v>97.9208</v>
      </c>
      <c r="N2179" s="2">
        <v>237</v>
      </c>
      <c r="O2179" s="2">
        <v>98.624899999999997</v>
      </c>
      <c r="P2179" s="2">
        <v>221</v>
      </c>
      <c r="Q2179" s="2">
        <v>104.7749</v>
      </c>
      <c r="R2179" s="2">
        <v>239</v>
      </c>
      <c r="S2179" s="2">
        <v>102.41630000000001</v>
      </c>
      <c r="T2179" s="2">
        <v>170</v>
      </c>
      <c r="U2179" s="2">
        <v>0.39321899999999999</v>
      </c>
      <c r="V2179" s="2">
        <v>198</v>
      </c>
      <c r="W2179" s="2">
        <v>2008</v>
      </c>
    </row>
    <row r="2180" spans="1:23" ht="12.3" hidden="1" x14ac:dyDescent="0.4">
      <c r="A2180" s="2" t="s">
        <v>150</v>
      </c>
      <c r="B2180" s="2"/>
      <c r="C2180" s="2"/>
      <c r="D2180" s="2"/>
      <c r="E2180" s="2"/>
      <c r="F2180" s="2"/>
      <c r="G2180" s="2"/>
      <c r="H2180" s="2"/>
      <c r="I2180" s="2">
        <v>60.722299999999997</v>
      </c>
      <c r="J2180" s="2">
        <v>326</v>
      </c>
      <c r="K2180" s="2">
        <v>61.898699999999998</v>
      </c>
      <c r="L2180" s="2">
        <v>321</v>
      </c>
      <c r="M2180" s="2">
        <v>96.425399999999996</v>
      </c>
      <c r="N2180" s="2">
        <v>263</v>
      </c>
      <c r="O2180" s="2">
        <v>98.433700000000002</v>
      </c>
      <c r="P2180" s="2">
        <v>223</v>
      </c>
      <c r="Q2180" s="2">
        <v>104.2773</v>
      </c>
      <c r="R2180" s="2">
        <v>219</v>
      </c>
      <c r="S2180" s="2">
        <v>102.26</v>
      </c>
      <c r="T2180" s="2">
        <v>169</v>
      </c>
      <c r="U2180" s="2">
        <v>0.39208599999999999</v>
      </c>
      <c r="V2180" s="2">
        <v>199</v>
      </c>
      <c r="W2180" s="2">
        <v>2008</v>
      </c>
    </row>
    <row r="2181" spans="1:23" ht="12.3" hidden="1" x14ac:dyDescent="0.4">
      <c r="A2181" s="2" t="s">
        <v>89</v>
      </c>
      <c r="B2181" s="2"/>
      <c r="C2181" s="2"/>
      <c r="D2181" s="2"/>
      <c r="E2181" s="2"/>
      <c r="F2181" s="2"/>
      <c r="G2181" s="2"/>
      <c r="H2181" s="2"/>
      <c r="I2181" s="2">
        <v>64.775000000000006</v>
      </c>
      <c r="J2181" s="2">
        <v>263</v>
      </c>
      <c r="K2181" s="2">
        <v>65.438000000000002</v>
      </c>
      <c r="L2181" s="2">
        <v>222</v>
      </c>
      <c r="M2181" s="2">
        <v>97.367900000000006</v>
      </c>
      <c r="N2181" s="2">
        <v>249</v>
      </c>
      <c r="O2181" s="2">
        <v>99.311099999999996</v>
      </c>
      <c r="P2181" s="2">
        <v>208</v>
      </c>
      <c r="Q2181" s="2">
        <v>103.8712</v>
      </c>
      <c r="R2181" s="2">
        <v>210</v>
      </c>
      <c r="S2181" s="2">
        <v>103.2223</v>
      </c>
      <c r="T2181" s="2">
        <v>191</v>
      </c>
      <c r="U2181" s="2">
        <v>0.390735</v>
      </c>
      <c r="V2181" s="2">
        <v>200</v>
      </c>
      <c r="W2181" s="2">
        <v>2008</v>
      </c>
    </row>
    <row r="2182" spans="1:23" ht="12.3" hidden="1" x14ac:dyDescent="0.4">
      <c r="A2182" s="2" t="s">
        <v>316</v>
      </c>
      <c r="B2182" s="2"/>
      <c r="C2182" s="2"/>
      <c r="D2182" s="2"/>
      <c r="E2182" s="2"/>
      <c r="F2182" s="2"/>
      <c r="G2182" s="2"/>
      <c r="H2182" s="2"/>
      <c r="I2182" s="2">
        <v>69.708200000000005</v>
      </c>
      <c r="J2182" s="2">
        <v>79</v>
      </c>
      <c r="K2182" s="2">
        <v>69.647400000000005</v>
      </c>
      <c r="L2182" s="2">
        <v>77</v>
      </c>
      <c r="M2182" s="2">
        <v>102.4815</v>
      </c>
      <c r="N2182" s="2">
        <v>160</v>
      </c>
      <c r="O2182" s="2">
        <v>101.0872</v>
      </c>
      <c r="P2182" s="2">
        <v>182</v>
      </c>
      <c r="Q2182" s="2">
        <v>101.6023</v>
      </c>
      <c r="R2182" s="2">
        <v>157</v>
      </c>
      <c r="S2182" s="2">
        <v>105.0994</v>
      </c>
      <c r="T2182" s="2">
        <v>230</v>
      </c>
      <c r="U2182" s="2">
        <v>0.389928</v>
      </c>
      <c r="V2182" s="2">
        <v>201</v>
      </c>
      <c r="W2182" s="2">
        <v>2008</v>
      </c>
    </row>
    <row r="2183" spans="1:23" ht="12.3" hidden="1" x14ac:dyDescent="0.4">
      <c r="A2183" s="2" t="s">
        <v>106</v>
      </c>
      <c r="B2183" s="2"/>
      <c r="C2183" s="2"/>
      <c r="D2183" s="2"/>
      <c r="E2183" s="2"/>
      <c r="F2183" s="2"/>
      <c r="G2183" s="2"/>
      <c r="H2183" s="2"/>
      <c r="I2183" s="2">
        <v>66.301299999999998</v>
      </c>
      <c r="J2183" s="2">
        <v>193</v>
      </c>
      <c r="K2183" s="2">
        <v>66.3005</v>
      </c>
      <c r="L2183" s="2">
        <v>184</v>
      </c>
      <c r="M2183" s="2">
        <v>100.59829999999999</v>
      </c>
      <c r="N2183" s="2">
        <v>191</v>
      </c>
      <c r="O2183" s="2">
        <v>104.8036</v>
      </c>
      <c r="P2183" s="2">
        <v>122</v>
      </c>
      <c r="Q2183" s="2">
        <v>109.5205</v>
      </c>
      <c r="R2183" s="2">
        <v>314</v>
      </c>
      <c r="S2183" s="2">
        <v>109.0733</v>
      </c>
      <c r="T2183" s="2">
        <v>304</v>
      </c>
      <c r="U2183" s="2">
        <v>0.38717200000000002</v>
      </c>
      <c r="V2183" s="2">
        <v>202</v>
      </c>
      <c r="W2183" s="2">
        <v>2008</v>
      </c>
    </row>
    <row r="2184" spans="1:23" ht="12.3" hidden="1" x14ac:dyDescent="0.4">
      <c r="A2184" s="2" t="s">
        <v>243</v>
      </c>
      <c r="B2184" s="2"/>
      <c r="C2184" s="2"/>
      <c r="D2184" s="2"/>
      <c r="E2184" s="2"/>
      <c r="F2184" s="2"/>
      <c r="G2184" s="2"/>
      <c r="H2184" s="2"/>
      <c r="I2184" s="2">
        <v>67.936400000000006</v>
      </c>
      <c r="J2184" s="2">
        <v>137</v>
      </c>
      <c r="K2184" s="2">
        <v>68.743499999999997</v>
      </c>
      <c r="L2184" s="2">
        <v>103</v>
      </c>
      <c r="M2184" s="2">
        <v>96.133499999999998</v>
      </c>
      <c r="N2184" s="2">
        <v>268</v>
      </c>
      <c r="O2184" s="2">
        <v>97.502600000000001</v>
      </c>
      <c r="P2184" s="2">
        <v>241</v>
      </c>
      <c r="Q2184" s="2">
        <v>100.1729</v>
      </c>
      <c r="R2184" s="2">
        <v>119</v>
      </c>
      <c r="S2184" s="2">
        <v>101.5998</v>
      </c>
      <c r="T2184" s="2">
        <v>151</v>
      </c>
      <c r="U2184" s="2">
        <v>0.38381799999999999</v>
      </c>
      <c r="V2184" s="2">
        <v>203</v>
      </c>
      <c r="W2184" s="2">
        <v>2008</v>
      </c>
    </row>
    <row r="2185" spans="1:23" ht="12.3" hidden="1" x14ac:dyDescent="0.4">
      <c r="A2185" s="2" t="s">
        <v>174</v>
      </c>
      <c r="B2185" s="2"/>
      <c r="C2185" s="2"/>
      <c r="D2185" s="2"/>
      <c r="E2185" s="2"/>
      <c r="F2185" s="2"/>
      <c r="G2185" s="2"/>
      <c r="H2185" s="2"/>
      <c r="I2185" s="2">
        <v>65.688599999999994</v>
      </c>
      <c r="J2185" s="2">
        <v>213</v>
      </c>
      <c r="K2185" s="2">
        <v>66.333699999999993</v>
      </c>
      <c r="L2185" s="2">
        <v>183</v>
      </c>
      <c r="M2185" s="2">
        <v>94.583699999999993</v>
      </c>
      <c r="N2185" s="2">
        <v>287</v>
      </c>
      <c r="O2185" s="2">
        <v>97.2654</v>
      </c>
      <c r="P2185" s="2">
        <v>246</v>
      </c>
      <c r="Q2185" s="2">
        <v>99.515299999999996</v>
      </c>
      <c r="R2185" s="2">
        <v>104</v>
      </c>
      <c r="S2185" s="2">
        <v>101.4276</v>
      </c>
      <c r="T2185" s="2">
        <v>148</v>
      </c>
      <c r="U2185" s="2">
        <v>0.38180900000000001</v>
      </c>
      <c r="V2185" s="2">
        <v>204</v>
      </c>
      <c r="W2185" s="2">
        <v>2008</v>
      </c>
    </row>
    <row r="2186" spans="1:23" ht="12.3" hidden="1" x14ac:dyDescent="0.4">
      <c r="A2186" s="2" t="s">
        <v>181</v>
      </c>
      <c r="B2186" s="2"/>
      <c r="C2186" s="2"/>
      <c r="D2186" s="2"/>
      <c r="E2186" s="2"/>
      <c r="F2186" s="2"/>
      <c r="G2186" s="2"/>
      <c r="H2186" s="2"/>
      <c r="I2186" s="2">
        <v>66.179000000000002</v>
      </c>
      <c r="J2186" s="2">
        <v>196</v>
      </c>
      <c r="K2186" s="2">
        <v>65.567899999999995</v>
      </c>
      <c r="L2186" s="2">
        <v>215</v>
      </c>
      <c r="M2186" s="2">
        <v>108.48050000000001</v>
      </c>
      <c r="N2186" s="2">
        <v>57</v>
      </c>
      <c r="O2186" s="2">
        <v>102.2711</v>
      </c>
      <c r="P2186" s="2">
        <v>168</v>
      </c>
      <c r="Q2186" s="2">
        <v>104.02849999999999</v>
      </c>
      <c r="R2186" s="2">
        <v>213</v>
      </c>
      <c r="S2186" s="2">
        <v>106.7576</v>
      </c>
      <c r="T2186" s="2">
        <v>258</v>
      </c>
      <c r="U2186" s="2">
        <v>0.37901200000000002</v>
      </c>
      <c r="V2186" s="2">
        <v>205</v>
      </c>
      <c r="W2186" s="2">
        <v>2008</v>
      </c>
    </row>
    <row r="2187" spans="1:23" ht="12.3" hidden="1" x14ac:dyDescent="0.4">
      <c r="A2187" s="2" t="s">
        <v>221</v>
      </c>
      <c r="B2187" s="2"/>
      <c r="C2187" s="2"/>
      <c r="D2187" s="2"/>
      <c r="E2187" s="2"/>
      <c r="F2187" s="2"/>
      <c r="G2187" s="2"/>
      <c r="H2187" s="2"/>
      <c r="I2187" s="2">
        <v>62.257899999999999</v>
      </c>
      <c r="J2187" s="2">
        <v>310</v>
      </c>
      <c r="K2187" s="2">
        <v>62.034500000000001</v>
      </c>
      <c r="L2187" s="2">
        <v>319</v>
      </c>
      <c r="M2187" s="2">
        <v>103.7355</v>
      </c>
      <c r="N2187" s="2">
        <v>140</v>
      </c>
      <c r="O2187" s="2">
        <v>104.3927</v>
      </c>
      <c r="P2187" s="2">
        <v>131</v>
      </c>
      <c r="Q2187" s="2">
        <v>108.89230000000001</v>
      </c>
      <c r="R2187" s="2">
        <v>307</v>
      </c>
      <c r="S2187" s="2">
        <v>108.98139999999999</v>
      </c>
      <c r="T2187" s="2">
        <v>302</v>
      </c>
      <c r="U2187" s="2">
        <v>0.37878800000000001</v>
      </c>
      <c r="V2187" s="2">
        <v>206</v>
      </c>
      <c r="W2187" s="2">
        <v>2008</v>
      </c>
    </row>
    <row r="2188" spans="1:23" ht="12.3" hidden="1" x14ac:dyDescent="0.4">
      <c r="A2188" s="2" t="s">
        <v>214</v>
      </c>
      <c r="B2188" s="2"/>
      <c r="C2188" s="2"/>
      <c r="D2188" s="2"/>
      <c r="E2188" s="2"/>
      <c r="F2188" s="2"/>
      <c r="G2188" s="2"/>
      <c r="H2188" s="2"/>
      <c r="I2188" s="2">
        <v>69.318299999999994</v>
      </c>
      <c r="J2188" s="2">
        <v>89</v>
      </c>
      <c r="K2188" s="2">
        <v>67.676100000000005</v>
      </c>
      <c r="L2188" s="2">
        <v>138</v>
      </c>
      <c r="M2188" s="2">
        <v>102.0699</v>
      </c>
      <c r="N2188" s="2">
        <v>165</v>
      </c>
      <c r="O2188" s="2">
        <v>101.6926</v>
      </c>
      <c r="P2188" s="2">
        <v>178</v>
      </c>
      <c r="Q2188" s="2">
        <v>103.16119999999999</v>
      </c>
      <c r="R2188" s="2">
        <v>200</v>
      </c>
      <c r="S2188" s="2">
        <v>106.16719999999999</v>
      </c>
      <c r="T2188" s="2">
        <v>248</v>
      </c>
      <c r="U2188" s="2">
        <v>0.37867000000000001</v>
      </c>
      <c r="V2188" s="2">
        <v>207</v>
      </c>
      <c r="W2188" s="2">
        <v>2008</v>
      </c>
    </row>
    <row r="2189" spans="1:23" ht="12.3" hidden="1" x14ac:dyDescent="0.4">
      <c r="A2189" s="2" t="s">
        <v>112</v>
      </c>
      <c r="B2189" s="2"/>
      <c r="C2189" s="2"/>
      <c r="D2189" s="2"/>
      <c r="E2189" s="2"/>
      <c r="F2189" s="2"/>
      <c r="G2189" s="2"/>
      <c r="H2189" s="2"/>
      <c r="I2189" s="2">
        <v>68.479799999999997</v>
      </c>
      <c r="J2189" s="2">
        <v>117</v>
      </c>
      <c r="K2189" s="2">
        <v>68.164000000000001</v>
      </c>
      <c r="L2189" s="2">
        <v>121</v>
      </c>
      <c r="M2189" s="2">
        <v>99.062299999999993</v>
      </c>
      <c r="N2189" s="2">
        <v>219</v>
      </c>
      <c r="O2189" s="2">
        <v>96.456999999999994</v>
      </c>
      <c r="P2189" s="2">
        <v>258</v>
      </c>
      <c r="Q2189" s="2">
        <v>99.795299999999997</v>
      </c>
      <c r="R2189" s="2">
        <v>111</v>
      </c>
      <c r="S2189" s="2">
        <v>100.7385</v>
      </c>
      <c r="T2189" s="2">
        <v>130</v>
      </c>
      <c r="U2189" s="2">
        <v>0.37766899999999998</v>
      </c>
      <c r="V2189" s="2">
        <v>208</v>
      </c>
      <c r="W2189" s="2">
        <v>2008</v>
      </c>
    </row>
    <row r="2190" spans="1:23" ht="12.3" hidden="1" x14ac:dyDescent="0.4">
      <c r="A2190" s="2" t="s">
        <v>328</v>
      </c>
      <c r="B2190" s="2"/>
      <c r="C2190" s="2"/>
      <c r="D2190" s="2"/>
      <c r="E2190" s="2"/>
      <c r="F2190" s="2"/>
      <c r="G2190" s="2"/>
      <c r="H2190" s="2"/>
      <c r="I2190" s="2">
        <v>67.503299999999996</v>
      </c>
      <c r="J2190" s="2">
        <v>155</v>
      </c>
      <c r="K2190" s="2">
        <v>65.8489</v>
      </c>
      <c r="L2190" s="2">
        <v>206</v>
      </c>
      <c r="M2190" s="2">
        <v>94.888599999999997</v>
      </c>
      <c r="N2190" s="2">
        <v>282</v>
      </c>
      <c r="O2190" s="2">
        <v>94.930099999999996</v>
      </c>
      <c r="P2190" s="2">
        <v>283</v>
      </c>
      <c r="Q2190" s="2">
        <v>94.965599999999995</v>
      </c>
      <c r="R2190" s="2">
        <v>35</v>
      </c>
      <c r="S2190" s="2">
        <v>99.212299999999999</v>
      </c>
      <c r="T2190" s="2">
        <v>104</v>
      </c>
      <c r="U2190" s="2">
        <v>0.375805</v>
      </c>
      <c r="V2190" s="2">
        <v>209</v>
      </c>
      <c r="W2190" s="2">
        <v>2008</v>
      </c>
    </row>
    <row r="2191" spans="1:23" ht="12.3" hidden="1" x14ac:dyDescent="0.4">
      <c r="A2191" s="2" t="s">
        <v>279</v>
      </c>
      <c r="B2191" s="2"/>
      <c r="C2191" s="2"/>
      <c r="D2191" s="2"/>
      <c r="E2191" s="2"/>
      <c r="F2191" s="2"/>
      <c r="G2191" s="2"/>
      <c r="H2191" s="2"/>
      <c r="I2191" s="2">
        <v>62.793799999999997</v>
      </c>
      <c r="J2191" s="2">
        <v>302</v>
      </c>
      <c r="K2191" s="2">
        <v>62.987499999999997</v>
      </c>
      <c r="L2191" s="2">
        <v>299</v>
      </c>
      <c r="M2191" s="2">
        <v>103.0951</v>
      </c>
      <c r="N2191" s="2">
        <v>152</v>
      </c>
      <c r="O2191" s="2">
        <v>104.8826</v>
      </c>
      <c r="P2191" s="2">
        <v>118</v>
      </c>
      <c r="Q2191" s="2">
        <v>109.67319999999999</v>
      </c>
      <c r="R2191" s="2">
        <v>317</v>
      </c>
      <c r="S2191" s="2">
        <v>109.7886</v>
      </c>
      <c r="T2191" s="2">
        <v>310</v>
      </c>
      <c r="U2191" s="2">
        <v>0.37151400000000001</v>
      </c>
      <c r="V2191" s="2">
        <v>210</v>
      </c>
      <c r="W2191" s="2">
        <v>2008</v>
      </c>
    </row>
    <row r="2192" spans="1:23" ht="12.3" hidden="1" x14ac:dyDescent="0.4">
      <c r="A2192" s="2" t="s">
        <v>292</v>
      </c>
      <c r="B2192" s="2"/>
      <c r="C2192" s="2"/>
      <c r="D2192" s="2"/>
      <c r="E2192" s="2"/>
      <c r="F2192" s="2"/>
      <c r="G2192" s="2"/>
      <c r="H2192" s="2"/>
      <c r="I2192" s="2">
        <v>62.740499999999997</v>
      </c>
      <c r="J2192" s="2">
        <v>304</v>
      </c>
      <c r="K2192" s="2">
        <v>64.729100000000003</v>
      </c>
      <c r="L2192" s="2">
        <v>253</v>
      </c>
      <c r="M2192" s="2">
        <v>94.811400000000006</v>
      </c>
      <c r="N2192" s="2">
        <v>284</v>
      </c>
      <c r="O2192" s="2">
        <v>97.016199999999998</v>
      </c>
      <c r="P2192" s="2">
        <v>250</v>
      </c>
      <c r="Q2192" s="2">
        <v>105.1283</v>
      </c>
      <c r="R2192" s="2">
        <v>251</v>
      </c>
      <c r="S2192" s="2">
        <v>101.6529</v>
      </c>
      <c r="T2192" s="2">
        <v>153</v>
      </c>
      <c r="U2192" s="2">
        <v>0.36891200000000002</v>
      </c>
      <c r="V2192" s="2">
        <v>211</v>
      </c>
      <c r="W2192" s="2">
        <v>2008</v>
      </c>
    </row>
    <row r="2193" spans="1:23" ht="12.3" hidden="1" x14ac:dyDescent="0.4">
      <c r="A2193" s="2" t="s">
        <v>343</v>
      </c>
      <c r="B2193" s="2"/>
      <c r="C2193" s="2"/>
      <c r="D2193" s="2"/>
      <c r="E2193" s="2"/>
      <c r="F2193" s="2"/>
      <c r="G2193" s="2"/>
      <c r="H2193" s="2"/>
      <c r="I2193" s="2">
        <v>71.125</v>
      </c>
      <c r="J2193" s="2">
        <v>46</v>
      </c>
      <c r="K2193" s="2">
        <v>70.939499999999995</v>
      </c>
      <c r="L2193" s="2">
        <v>40</v>
      </c>
      <c r="M2193" s="2">
        <v>101.57210000000001</v>
      </c>
      <c r="N2193" s="2">
        <v>174</v>
      </c>
      <c r="O2193" s="2">
        <v>99.248099999999994</v>
      </c>
      <c r="P2193" s="2">
        <v>213</v>
      </c>
      <c r="Q2193" s="2">
        <v>100.4913</v>
      </c>
      <c r="R2193" s="2">
        <v>127</v>
      </c>
      <c r="S2193" s="2">
        <v>104.0317</v>
      </c>
      <c r="T2193" s="2">
        <v>204</v>
      </c>
      <c r="U2193" s="2">
        <v>0.36787799999999998</v>
      </c>
      <c r="V2193" s="2">
        <v>212</v>
      </c>
      <c r="W2193" s="2">
        <v>2008</v>
      </c>
    </row>
    <row r="2194" spans="1:23" ht="12.3" hidden="1" x14ac:dyDescent="0.4">
      <c r="A2194" s="2" t="s">
        <v>297</v>
      </c>
      <c r="B2194" s="2"/>
      <c r="C2194" s="2"/>
      <c r="D2194" s="2"/>
      <c r="E2194" s="2"/>
      <c r="F2194" s="2"/>
      <c r="G2194" s="2"/>
      <c r="H2194" s="2"/>
      <c r="I2194" s="2">
        <v>66.732900000000001</v>
      </c>
      <c r="J2194" s="2">
        <v>180</v>
      </c>
      <c r="K2194" s="2">
        <v>65.557400000000001</v>
      </c>
      <c r="L2194" s="2">
        <v>217</v>
      </c>
      <c r="M2194" s="2">
        <v>106.4941</v>
      </c>
      <c r="N2194" s="2">
        <v>85</v>
      </c>
      <c r="O2194" s="2">
        <v>100.6913</v>
      </c>
      <c r="P2194" s="2">
        <v>190</v>
      </c>
      <c r="Q2194" s="2">
        <v>97.393500000000003</v>
      </c>
      <c r="R2194" s="2">
        <v>67</v>
      </c>
      <c r="S2194" s="2">
        <v>105.5539</v>
      </c>
      <c r="T2194" s="2">
        <v>236</v>
      </c>
      <c r="U2194" s="2">
        <v>0.36763800000000002</v>
      </c>
      <c r="V2194" s="2">
        <v>213</v>
      </c>
      <c r="W2194" s="2">
        <v>2008</v>
      </c>
    </row>
    <row r="2195" spans="1:23" ht="12.3" hidden="1" x14ac:dyDescent="0.4">
      <c r="A2195" s="2" t="s">
        <v>135</v>
      </c>
      <c r="B2195" s="2"/>
      <c r="C2195" s="2"/>
      <c r="D2195" s="2"/>
      <c r="E2195" s="2"/>
      <c r="F2195" s="2"/>
      <c r="G2195" s="2"/>
      <c r="H2195" s="2"/>
      <c r="I2195" s="2">
        <v>67.759299999999996</v>
      </c>
      <c r="J2195" s="2">
        <v>144</v>
      </c>
      <c r="K2195" s="2">
        <v>68.664400000000001</v>
      </c>
      <c r="L2195" s="2">
        <v>106</v>
      </c>
      <c r="M2195" s="2">
        <v>95.536600000000007</v>
      </c>
      <c r="N2195" s="2">
        <v>273</v>
      </c>
      <c r="O2195" s="2">
        <v>93.183000000000007</v>
      </c>
      <c r="P2195" s="2">
        <v>307</v>
      </c>
      <c r="Q2195" s="2">
        <v>91.814800000000005</v>
      </c>
      <c r="R2195" s="2">
        <v>9</v>
      </c>
      <c r="S2195" s="2">
        <v>97.796899999999994</v>
      </c>
      <c r="T2195" s="2">
        <v>79</v>
      </c>
      <c r="U2195" s="2">
        <v>0.36452600000000002</v>
      </c>
      <c r="V2195" s="2">
        <v>214</v>
      </c>
      <c r="W2195" s="2">
        <v>2008</v>
      </c>
    </row>
    <row r="2196" spans="1:23" ht="12.3" hidden="1" x14ac:dyDescent="0.4">
      <c r="A2196" s="2" t="s">
        <v>203</v>
      </c>
      <c r="B2196" s="2"/>
      <c r="C2196" s="2"/>
      <c r="D2196" s="2"/>
      <c r="E2196" s="2"/>
      <c r="F2196" s="2"/>
      <c r="G2196" s="2"/>
      <c r="H2196" s="2"/>
      <c r="I2196" s="2">
        <v>64.328299999999999</v>
      </c>
      <c r="J2196" s="2">
        <v>271</v>
      </c>
      <c r="K2196" s="2">
        <v>64.555999999999997</v>
      </c>
      <c r="L2196" s="2">
        <v>263</v>
      </c>
      <c r="M2196" s="2">
        <v>97.632400000000004</v>
      </c>
      <c r="N2196" s="2">
        <v>241</v>
      </c>
      <c r="O2196" s="2">
        <v>96.474100000000007</v>
      </c>
      <c r="P2196" s="2">
        <v>257</v>
      </c>
      <c r="Q2196" s="2">
        <v>100.88720000000001</v>
      </c>
      <c r="R2196" s="2">
        <v>137</v>
      </c>
      <c r="S2196" s="2">
        <v>101.29770000000001</v>
      </c>
      <c r="T2196" s="2">
        <v>143</v>
      </c>
      <c r="U2196" s="2">
        <v>0.36330000000000001</v>
      </c>
      <c r="V2196" s="2">
        <v>215</v>
      </c>
      <c r="W2196" s="2">
        <v>2008</v>
      </c>
    </row>
    <row r="2197" spans="1:23" ht="12.3" hidden="1" x14ac:dyDescent="0.4">
      <c r="A2197" s="2" t="s">
        <v>234</v>
      </c>
      <c r="B2197" s="2"/>
      <c r="C2197" s="2"/>
      <c r="D2197" s="2"/>
      <c r="E2197" s="2"/>
      <c r="F2197" s="2"/>
      <c r="G2197" s="2"/>
      <c r="H2197" s="2"/>
      <c r="I2197" s="2">
        <v>63.109699999999997</v>
      </c>
      <c r="J2197" s="2">
        <v>296</v>
      </c>
      <c r="K2197" s="2">
        <v>64.088999999999999</v>
      </c>
      <c r="L2197" s="2">
        <v>276</v>
      </c>
      <c r="M2197" s="2">
        <v>107.3364</v>
      </c>
      <c r="N2197" s="2">
        <v>75</v>
      </c>
      <c r="O2197" s="2">
        <v>104.35890000000001</v>
      </c>
      <c r="P2197" s="2">
        <v>134</v>
      </c>
      <c r="Q2197" s="2">
        <v>106.8079</v>
      </c>
      <c r="R2197" s="2">
        <v>285</v>
      </c>
      <c r="S2197" s="2">
        <v>109.58410000000001</v>
      </c>
      <c r="T2197" s="2">
        <v>307</v>
      </c>
      <c r="U2197" s="2">
        <v>0.363118</v>
      </c>
      <c r="V2197" s="2">
        <v>216</v>
      </c>
      <c r="W2197" s="2">
        <v>2008</v>
      </c>
    </row>
    <row r="2198" spans="1:23" ht="12.3" hidden="1" x14ac:dyDescent="0.4">
      <c r="A2198" s="2" t="s">
        <v>218</v>
      </c>
      <c r="B2198" s="2"/>
      <c r="C2198" s="2"/>
      <c r="D2198" s="2"/>
      <c r="E2198" s="2"/>
      <c r="F2198" s="2"/>
      <c r="G2198" s="2"/>
      <c r="H2198" s="2"/>
      <c r="I2198" s="2">
        <v>70.391300000000001</v>
      </c>
      <c r="J2198" s="2">
        <v>61</v>
      </c>
      <c r="K2198" s="2">
        <v>71.115399999999994</v>
      </c>
      <c r="L2198" s="2">
        <v>37</v>
      </c>
      <c r="M2198" s="2">
        <v>101.2787</v>
      </c>
      <c r="N2198" s="2">
        <v>180</v>
      </c>
      <c r="O2198" s="2">
        <v>101.0749</v>
      </c>
      <c r="P2198" s="2">
        <v>183</v>
      </c>
      <c r="Q2198" s="2">
        <v>105.20529999999999</v>
      </c>
      <c r="R2198" s="2">
        <v>252</v>
      </c>
      <c r="S2198" s="2">
        <v>106.2569</v>
      </c>
      <c r="T2198" s="2">
        <v>251</v>
      </c>
      <c r="U2198" s="2">
        <v>0.36009000000000002</v>
      </c>
      <c r="V2198" s="2">
        <v>217</v>
      </c>
      <c r="W2198" s="2">
        <v>2008</v>
      </c>
    </row>
    <row r="2199" spans="1:23" ht="12.3" hidden="1" x14ac:dyDescent="0.4">
      <c r="A2199" s="2" t="s">
        <v>315</v>
      </c>
      <c r="B2199" s="2"/>
      <c r="C2199" s="2"/>
      <c r="D2199" s="2"/>
      <c r="E2199" s="2"/>
      <c r="F2199" s="2"/>
      <c r="G2199" s="2"/>
      <c r="H2199" s="2"/>
      <c r="I2199" s="2">
        <v>64.556600000000003</v>
      </c>
      <c r="J2199" s="2">
        <v>266</v>
      </c>
      <c r="K2199" s="2">
        <v>63.827399999999997</v>
      </c>
      <c r="L2199" s="2">
        <v>284</v>
      </c>
      <c r="M2199" s="2">
        <v>101.8562</v>
      </c>
      <c r="N2199" s="2">
        <v>166</v>
      </c>
      <c r="O2199" s="2">
        <v>98.534300000000002</v>
      </c>
      <c r="P2199" s="2">
        <v>222</v>
      </c>
      <c r="Q2199" s="2">
        <v>102.63930000000001</v>
      </c>
      <c r="R2199" s="2">
        <v>186</v>
      </c>
      <c r="S2199" s="2">
        <v>103.61109999999999</v>
      </c>
      <c r="T2199" s="2">
        <v>197</v>
      </c>
      <c r="U2199" s="2">
        <v>0.35944799999999999</v>
      </c>
      <c r="V2199" s="2">
        <v>218</v>
      </c>
      <c r="W2199" s="2">
        <v>2008</v>
      </c>
    </row>
    <row r="2200" spans="1:23" ht="12.3" hidden="1" x14ac:dyDescent="0.4">
      <c r="A2200" s="2" t="s">
        <v>215</v>
      </c>
      <c r="B2200" s="2"/>
      <c r="C2200" s="2"/>
      <c r="D2200" s="2"/>
      <c r="E2200" s="2"/>
      <c r="F2200" s="2"/>
      <c r="G2200" s="2"/>
      <c r="H2200" s="2"/>
      <c r="I2200" s="2">
        <v>69.739900000000006</v>
      </c>
      <c r="J2200" s="2">
        <v>77</v>
      </c>
      <c r="K2200" s="2">
        <v>68.984499999999997</v>
      </c>
      <c r="L2200" s="2">
        <v>94</v>
      </c>
      <c r="M2200" s="2">
        <v>99.932199999999995</v>
      </c>
      <c r="N2200" s="2">
        <v>206</v>
      </c>
      <c r="O2200" s="2">
        <v>96.0929</v>
      </c>
      <c r="P2200" s="2">
        <v>267</v>
      </c>
      <c r="Q2200" s="2">
        <v>99.185699999999997</v>
      </c>
      <c r="R2200" s="2">
        <v>95</v>
      </c>
      <c r="S2200" s="2">
        <v>101.1443</v>
      </c>
      <c r="T2200" s="2">
        <v>139</v>
      </c>
      <c r="U2200" s="2">
        <v>0.356825</v>
      </c>
      <c r="V2200" s="2">
        <v>219</v>
      </c>
      <c r="W2200" s="2">
        <v>2008</v>
      </c>
    </row>
    <row r="2201" spans="1:23" ht="12.3" hidden="1" x14ac:dyDescent="0.4">
      <c r="A2201" s="2" t="s">
        <v>346</v>
      </c>
      <c r="B2201" s="2"/>
      <c r="C2201" s="2"/>
      <c r="D2201" s="2"/>
      <c r="E2201" s="2"/>
      <c r="F2201" s="2"/>
      <c r="G2201" s="2"/>
      <c r="H2201" s="2"/>
      <c r="I2201" s="2">
        <v>64.926699999999997</v>
      </c>
      <c r="J2201" s="2">
        <v>251</v>
      </c>
      <c r="K2201" s="2">
        <v>63.967700000000001</v>
      </c>
      <c r="L2201" s="2">
        <v>279</v>
      </c>
      <c r="M2201" s="2">
        <v>105.61669999999999</v>
      </c>
      <c r="N2201" s="2">
        <v>103</v>
      </c>
      <c r="O2201" s="2">
        <v>101.9055</v>
      </c>
      <c r="P2201" s="2">
        <v>176</v>
      </c>
      <c r="Q2201" s="2">
        <v>105.0239</v>
      </c>
      <c r="R2201" s="2">
        <v>249</v>
      </c>
      <c r="S2201" s="2">
        <v>107.2991</v>
      </c>
      <c r="T2201" s="2">
        <v>272</v>
      </c>
      <c r="U2201" s="2">
        <v>0.35592400000000002</v>
      </c>
      <c r="V2201" s="2">
        <v>220</v>
      </c>
      <c r="W2201" s="2">
        <v>2008</v>
      </c>
    </row>
    <row r="2202" spans="1:23" ht="12.3" hidden="1" x14ac:dyDescent="0.4">
      <c r="A2202" s="2" t="s">
        <v>355</v>
      </c>
      <c r="B2202" s="2"/>
      <c r="C2202" s="2"/>
      <c r="D2202" s="2"/>
      <c r="E2202" s="2"/>
      <c r="F2202" s="2"/>
      <c r="G2202" s="2"/>
      <c r="H2202" s="2"/>
      <c r="I2202" s="2">
        <v>64.828800000000001</v>
      </c>
      <c r="J2202" s="2">
        <v>258</v>
      </c>
      <c r="K2202" s="2">
        <v>62.491199999999999</v>
      </c>
      <c r="L2202" s="2">
        <v>311</v>
      </c>
      <c r="M2202" s="2">
        <v>106.0149</v>
      </c>
      <c r="N2202" s="2">
        <v>93</v>
      </c>
      <c r="O2202" s="2">
        <v>102.7184</v>
      </c>
      <c r="P2202" s="2">
        <v>160</v>
      </c>
      <c r="Q2202" s="2">
        <v>104.5826</v>
      </c>
      <c r="R2202" s="2">
        <v>229</v>
      </c>
      <c r="S2202" s="2">
        <v>108.32559999999999</v>
      </c>
      <c r="T2202" s="2">
        <v>294</v>
      </c>
      <c r="U2202" s="2">
        <v>0.35177799999999998</v>
      </c>
      <c r="V2202" s="2">
        <v>221</v>
      </c>
      <c r="W2202" s="2">
        <v>2008</v>
      </c>
    </row>
    <row r="2203" spans="1:23" ht="12.3" hidden="1" x14ac:dyDescent="0.4">
      <c r="A2203" s="2" t="s">
        <v>237</v>
      </c>
      <c r="B2203" s="2"/>
      <c r="C2203" s="2"/>
      <c r="D2203" s="2"/>
      <c r="E2203" s="2"/>
      <c r="F2203" s="2"/>
      <c r="G2203" s="2"/>
      <c r="H2203" s="2"/>
      <c r="I2203" s="2">
        <v>67.048199999999994</v>
      </c>
      <c r="J2203" s="2">
        <v>169</v>
      </c>
      <c r="K2203" s="2">
        <v>66.489099999999993</v>
      </c>
      <c r="L2203" s="2">
        <v>179</v>
      </c>
      <c r="M2203" s="2">
        <v>100.7197</v>
      </c>
      <c r="N2203" s="2">
        <v>188</v>
      </c>
      <c r="O2203" s="2">
        <v>101.86620000000001</v>
      </c>
      <c r="P2203" s="2">
        <v>177</v>
      </c>
      <c r="Q2203" s="2">
        <v>106.8747</v>
      </c>
      <c r="R2203" s="2">
        <v>286</v>
      </c>
      <c r="S2203" s="2">
        <v>107.4896</v>
      </c>
      <c r="T2203" s="2">
        <v>276</v>
      </c>
      <c r="U2203" s="2">
        <v>0.35025000000000001</v>
      </c>
      <c r="V2203" s="2">
        <v>222</v>
      </c>
      <c r="W2203" s="2">
        <v>2008</v>
      </c>
    </row>
    <row r="2204" spans="1:23" ht="12.3" hidden="1" x14ac:dyDescent="0.4">
      <c r="A2204" s="2" t="s">
        <v>200</v>
      </c>
      <c r="B2204" s="2"/>
      <c r="C2204" s="2"/>
      <c r="D2204" s="2"/>
      <c r="E2204" s="2"/>
      <c r="F2204" s="2"/>
      <c r="G2204" s="2"/>
      <c r="H2204" s="2"/>
      <c r="I2204" s="2">
        <v>70.057199999999995</v>
      </c>
      <c r="J2204" s="2">
        <v>67</v>
      </c>
      <c r="K2204" s="2">
        <v>69.835800000000006</v>
      </c>
      <c r="L2204" s="2">
        <v>69</v>
      </c>
      <c r="M2204" s="2">
        <v>103.2363</v>
      </c>
      <c r="N2204" s="2">
        <v>150</v>
      </c>
      <c r="O2204" s="2">
        <v>102.40770000000001</v>
      </c>
      <c r="P2204" s="2">
        <v>165</v>
      </c>
      <c r="Q2204" s="2">
        <v>105.4836</v>
      </c>
      <c r="R2204" s="2">
        <v>261</v>
      </c>
      <c r="S2204" s="2">
        <v>108.1824</v>
      </c>
      <c r="T2204" s="2">
        <v>292</v>
      </c>
      <c r="U2204" s="2">
        <v>0.34731899999999999</v>
      </c>
      <c r="V2204" s="2">
        <v>223</v>
      </c>
      <c r="W2204" s="2">
        <v>2008</v>
      </c>
    </row>
    <row r="2205" spans="1:23" ht="12.3" hidden="1" x14ac:dyDescent="0.4">
      <c r="A2205" s="2" t="s">
        <v>268</v>
      </c>
      <c r="B2205" s="2"/>
      <c r="C2205" s="2"/>
      <c r="D2205" s="2"/>
      <c r="E2205" s="2"/>
      <c r="F2205" s="2"/>
      <c r="G2205" s="2"/>
      <c r="H2205" s="2"/>
      <c r="I2205" s="2">
        <v>69.819599999999994</v>
      </c>
      <c r="J2205" s="2">
        <v>73</v>
      </c>
      <c r="K2205" s="2">
        <v>69.91</v>
      </c>
      <c r="L2205" s="2">
        <v>64</v>
      </c>
      <c r="M2205" s="2">
        <v>106.87860000000001</v>
      </c>
      <c r="N2205" s="2">
        <v>80</v>
      </c>
      <c r="O2205" s="2">
        <v>103.5167</v>
      </c>
      <c r="P2205" s="2">
        <v>148</v>
      </c>
      <c r="Q2205" s="2">
        <v>108.46420000000001</v>
      </c>
      <c r="R2205" s="2">
        <v>300</v>
      </c>
      <c r="S2205" s="2">
        <v>109.4629</v>
      </c>
      <c r="T2205" s="2">
        <v>306</v>
      </c>
      <c r="U2205" s="2">
        <v>0.344725</v>
      </c>
      <c r="V2205" s="2">
        <v>224</v>
      </c>
      <c r="W2205" s="2">
        <v>2008</v>
      </c>
    </row>
    <row r="2206" spans="1:23" ht="12.3" hidden="1" x14ac:dyDescent="0.4">
      <c r="A2206" s="2" t="s">
        <v>186</v>
      </c>
      <c r="B2206" s="2"/>
      <c r="C2206" s="2"/>
      <c r="D2206" s="2"/>
      <c r="E2206" s="2"/>
      <c r="F2206" s="2"/>
      <c r="G2206" s="2"/>
      <c r="H2206" s="2"/>
      <c r="I2206" s="2">
        <v>65.673699999999997</v>
      </c>
      <c r="J2206" s="2">
        <v>214</v>
      </c>
      <c r="K2206" s="2">
        <v>66.185900000000004</v>
      </c>
      <c r="L2206" s="2">
        <v>191</v>
      </c>
      <c r="M2206" s="2">
        <v>90.421000000000006</v>
      </c>
      <c r="N2206" s="2">
        <v>327</v>
      </c>
      <c r="O2206" s="2">
        <v>92.890500000000003</v>
      </c>
      <c r="P2206" s="2">
        <v>310</v>
      </c>
      <c r="Q2206" s="2">
        <v>101.7488</v>
      </c>
      <c r="R2206" s="2">
        <v>163</v>
      </c>
      <c r="S2206" s="2">
        <v>98.522599999999997</v>
      </c>
      <c r="T2206" s="2">
        <v>93</v>
      </c>
      <c r="U2206" s="2">
        <v>0.33694400000000002</v>
      </c>
      <c r="V2206" s="2">
        <v>225</v>
      </c>
      <c r="W2206" s="2">
        <v>2008</v>
      </c>
    </row>
    <row r="2207" spans="1:23" ht="12.3" hidden="1" x14ac:dyDescent="0.4">
      <c r="A2207" s="2" t="s">
        <v>241</v>
      </c>
      <c r="B2207" s="2"/>
      <c r="C2207" s="2"/>
      <c r="D2207" s="2"/>
      <c r="E2207" s="2"/>
      <c r="F2207" s="2"/>
      <c r="G2207" s="2"/>
      <c r="H2207" s="2"/>
      <c r="I2207" s="2">
        <v>68.875</v>
      </c>
      <c r="J2207" s="2">
        <v>102</v>
      </c>
      <c r="K2207" s="2">
        <v>67.780100000000004</v>
      </c>
      <c r="L2207" s="2">
        <v>137</v>
      </c>
      <c r="M2207" s="2">
        <v>94.956699999999998</v>
      </c>
      <c r="N2207" s="2">
        <v>279</v>
      </c>
      <c r="O2207" s="2">
        <v>93.73</v>
      </c>
      <c r="P2207" s="2">
        <v>299</v>
      </c>
      <c r="Q2207" s="2">
        <v>99.626400000000004</v>
      </c>
      <c r="R2207" s="2">
        <v>107</v>
      </c>
      <c r="S2207" s="2">
        <v>99.4328</v>
      </c>
      <c r="T2207" s="2">
        <v>108</v>
      </c>
      <c r="U2207" s="2">
        <v>0.33643200000000001</v>
      </c>
      <c r="V2207" s="2">
        <v>226</v>
      </c>
      <c r="W2207" s="2">
        <v>2008</v>
      </c>
    </row>
    <row r="2208" spans="1:23" ht="12.3" hidden="1" x14ac:dyDescent="0.4">
      <c r="A2208" s="2" t="s">
        <v>79</v>
      </c>
      <c r="B2208" s="2"/>
      <c r="C2208" s="2"/>
      <c r="D2208" s="2"/>
      <c r="E2208" s="2"/>
      <c r="F2208" s="2"/>
      <c r="G2208" s="2"/>
      <c r="H2208" s="2"/>
      <c r="I2208" s="2">
        <v>74.9251</v>
      </c>
      <c r="J2208" s="2">
        <v>7</v>
      </c>
      <c r="K2208" s="2">
        <v>74.389799999999994</v>
      </c>
      <c r="L2208" s="2">
        <v>8</v>
      </c>
      <c r="M2208" s="2">
        <v>95.987399999999994</v>
      </c>
      <c r="N2208" s="2">
        <v>270</v>
      </c>
      <c r="O2208" s="2">
        <v>98.259799999999998</v>
      </c>
      <c r="P2208" s="2">
        <v>227</v>
      </c>
      <c r="Q2208" s="2">
        <v>105.42059999999999</v>
      </c>
      <c r="R2208" s="2">
        <v>258</v>
      </c>
      <c r="S2208" s="2">
        <v>104.38800000000001</v>
      </c>
      <c r="T2208" s="2">
        <v>211</v>
      </c>
      <c r="U2208" s="2">
        <v>0.332756</v>
      </c>
      <c r="V2208" s="2">
        <v>227</v>
      </c>
      <c r="W2208" s="2">
        <v>2008</v>
      </c>
    </row>
    <row r="2209" spans="1:23" ht="12.3" hidden="1" x14ac:dyDescent="0.4">
      <c r="A2209" s="2" t="s">
        <v>259</v>
      </c>
      <c r="B2209" s="2"/>
      <c r="C2209" s="2"/>
      <c r="D2209" s="2"/>
      <c r="E2209" s="2"/>
      <c r="F2209" s="2"/>
      <c r="G2209" s="2"/>
      <c r="H2209" s="2"/>
      <c r="I2209" s="2">
        <v>74.826400000000007</v>
      </c>
      <c r="J2209" s="2">
        <v>8</v>
      </c>
      <c r="K2209" s="2">
        <v>73.526200000000003</v>
      </c>
      <c r="L2209" s="2">
        <v>11</v>
      </c>
      <c r="M2209" s="2">
        <v>94.761200000000002</v>
      </c>
      <c r="N2209" s="2">
        <v>285</v>
      </c>
      <c r="O2209" s="2">
        <v>99.072500000000005</v>
      </c>
      <c r="P2209" s="2">
        <v>215</v>
      </c>
      <c r="Q2209" s="2">
        <v>104.735</v>
      </c>
      <c r="R2209" s="2">
        <v>236</v>
      </c>
      <c r="S2209" s="2">
        <v>105.2547</v>
      </c>
      <c r="T2209" s="2">
        <v>233</v>
      </c>
      <c r="U2209" s="2">
        <v>0.33267400000000003</v>
      </c>
      <c r="V2209" s="2">
        <v>228</v>
      </c>
      <c r="W2209" s="2">
        <v>2008</v>
      </c>
    </row>
    <row r="2210" spans="1:23" ht="12.3" hidden="1" x14ac:dyDescent="0.4">
      <c r="A2210" s="2" t="s">
        <v>206</v>
      </c>
      <c r="B2210" s="2"/>
      <c r="C2210" s="2"/>
      <c r="D2210" s="2"/>
      <c r="E2210" s="2"/>
      <c r="F2210" s="2"/>
      <c r="G2210" s="2"/>
      <c r="H2210" s="2"/>
      <c r="I2210" s="2">
        <v>66.418899999999994</v>
      </c>
      <c r="J2210" s="2">
        <v>188</v>
      </c>
      <c r="K2210" s="2">
        <v>66.994900000000001</v>
      </c>
      <c r="L2210" s="2">
        <v>159</v>
      </c>
      <c r="M2210" s="2">
        <v>100.52979999999999</v>
      </c>
      <c r="N2210" s="2">
        <v>195</v>
      </c>
      <c r="O2210" s="2">
        <v>102.4727</v>
      </c>
      <c r="P2210" s="2">
        <v>164</v>
      </c>
      <c r="Q2210" s="2">
        <v>109.4076</v>
      </c>
      <c r="R2210" s="2">
        <v>313</v>
      </c>
      <c r="S2210" s="2">
        <v>108.9012</v>
      </c>
      <c r="T2210" s="2">
        <v>300</v>
      </c>
      <c r="U2210" s="2">
        <v>0.33187499999999998</v>
      </c>
      <c r="V2210" s="2">
        <v>229</v>
      </c>
      <c r="W2210" s="2">
        <v>2008</v>
      </c>
    </row>
    <row r="2211" spans="1:23" ht="12.3" hidden="1" x14ac:dyDescent="0.4">
      <c r="A2211" s="2" t="s">
        <v>295</v>
      </c>
      <c r="B2211" s="2"/>
      <c r="C2211" s="2"/>
      <c r="D2211" s="2"/>
      <c r="E2211" s="2"/>
      <c r="F2211" s="2"/>
      <c r="G2211" s="2"/>
      <c r="H2211" s="2"/>
      <c r="I2211" s="2">
        <v>68.704300000000003</v>
      </c>
      <c r="J2211" s="2">
        <v>109</v>
      </c>
      <c r="K2211" s="2">
        <v>68.545000000000002</v>
      </c>
      <c r="L2211" s="2">
        <v>110</v>
      </c>
      <c r="M2211" s="2">
        <v>102.4794</v>
      </c>
      <c r="N2211" s="2">
        <v>161</v>
      </c>
      <c r="O2211" s="2">
        <v>100.7784</v>
      </c>
      <c r="P2211" s="2">
        <v>187</v>
      </c>
      <c r="Q2211" s="2">
        <v>106.7525</v>
      </c>
      <c r="R2211" s="2">
        <v>284</v>
      </c>
      <c r="S2211" s="2">
        <v>107.346</v>
      </c>
      <c r="T2211" s="2">
        <v>273</v>
      </c>
      <c r="U2211" s="2">
        <v>0.32606400000000002</v>
      </c>
      <c r="V2211" s="2">
        <v>230</v>
      </c>
      <c r="W2211" s="2">
        <v>2008</v>
      </c>
    </row>
    <row r="2212" spans="1:23" ht="12.3" hidden="1" x14ac:dyDescent="0.4">
      <c r="A2212" s="2" t="s">
        <v>107</v>
      </c>
      <c r="B2212" s="2"/>
      <c r="C2212" s="2"/>
      <c r="D2212" s="2"/>
      <c r="E2212" s="2"/>
      <c r="F2212" s="2"/>
      <c r="G2212" s="2"/>
      <c r="H2212" s="2"/>
      <c r="I2212" s="2">
        <v>67.7256</v>
      </c>
      <c r="J2212" s="2">
        <v>148</v>
      </c>
      <c r="K2212" s="2">
        <v>66.593999999999994</v>
      </c>
      <c r="L2212" s="2">
        <v>174</v>
      </c>
      <c r="M2212" s="2">
        <v>93.513599999999997</v>
      </c>
      <c r="N2212" s="2">
        <v>299</v>
      </c>
      <c r="O2212" s="2">
        <v>96.238699999999994</v>
      </c>
      <c r="P2212" s="2">
        <v>262</v>
      </c>
      <c r="Q2212" s="2">
        <v>100.3366</v>
      </c>
      <c r="R2212" s="2">
        <v>123</v>
      </c>
      <c r="S2212" s="2">
        <v>102.53230000000001</v>
      </c>
      <c r="T2212" s="2">
        <v>175</v>
      </c>
      <c r="U2212" s="2">
        <v>0.32552799999999998</v>
      </c>
      <c r="V2212" s="2">
        <v>231</v>
      </c>
      <c r="W2212" s="2">
        <v>2008</v>
      </c>
    </row>
    <row r="2213" spans="1:23" ht="12.3" hidden="1" x14ac:dyDescent="0.4">
      <c r="A2213" s="2" t="s">
        <v>286</v>
      </c>
      <c r="B2213" s="2"/>
      <c r="C2213" s="2"/>
      <c r="D2213" s="2"/>
      <c r="E2213" s="2"/>
      <c r="F2213" s="2"/>
      <c r="G2213" s="2"/>
      <c r="H2213" s="2"/>
      <c r="I2213" s="2">
        <v>56.878</v>
      </c>
      <c r="J2213" s="2">
        <v>339</v>
      </c>
      <c r="K2213" s="2">
        <v>56.832799999999999</v>
      </c>
      <c r="L2213" s="2">
        <v>340</v>
      </c>
      <c r="M2213" s="2">
        <v>97.263000000000005</v>
      </c>
      <c r="N2213" s="2">
        <v>251</v>
      </c>
      <c r="O2213" s="2">
        <v>97.522000000000006</v>
      </c>
      <c r="P2213" s="2">
        <v>240</v>
      </c>
      <c r="Q2213" s="2">
        <v>104.6156</v>
      </c>
      <c r="R2213" s="2">
        <v>230</v>
      </c>
      <c r="S2213" s="2">
        <v>103.91160000000001</v>
      </c>
      <c r="T2213" s="2">
        <v>203</v>
      </c>
      <c r="U2213" s="2">
        <v>0.32523299999999999</v>
      </c>
      <c r="V2213" s="2">
        <v>232</v>
      </c>
      <c r="W2213" s="2">
        <v>2008</v>
      </c>
    </row>
    <row r="2214" spans="1:23" ht="12.3" hidden="1" x14ac:dyDescent="0.4">
      <c r="A2214" s="2" t="s">
        <v>317</v>
      </c>
      <c r="B2214" s="2"/>
      <c r="C2214" s="2"/>
      <c r="D2214" s="2"/>
      <c r="E2214" s="2"/>
      <c r="F2214" s="2"/>
      <c r="G2214" s="2"/>
      <c r="H2214" s="2"/>
      <c r="I2214" s="2">
        <v>67.787099999999995</v>
      </c>
      <c r="J2214" s="2">
        <v>143</v>
      </c>
      <c r="K2214" s="2">
        <v>69.143500000000003</v>
      </c>
      <c r="L2214" s="2">
        <v>86</v>
      </c>
      <c r="M2214" s="2">
        <v>93.611500000000007</v>
      </c>
      <c r="N2214" s="2">
        <v>298</v>
      </c>
      <c r="O2214" s="2">
        <v>96.155500000000004</v>
      </c>
      <c r="P2214" s="2">
        <v>265</v>
      </c>
      <c r="Q2214" s="2">
        <v>104.3845</v>
      </c>
      <c r="R2214" s="2">
        <v>223</v>
      </c>
      <c r="S2214" s="2">
        <v>102.5048</v>
      </c>
      <c r="T2214" s="2">
        <v>173</v>
      </c>
      <c r="U2214" s="2">
        <v>0.32402399999999998</v>
      </c>
      <c r="V2214" s="2">
        <v>233</v>
      </c>
      <c r="W2214" s="2">
        <v>2008</v>
      </c>
    </row>
    <row r="2215" spans="1:23" ht="12.3" hidden="1" x14ac:dyDescent="0.4">
      <c r="A2215" s="2" t="s">
        <v>347</v>
      </c>
      <c r="B2215" s="2"/>
      <c r="C2215" s="2"/>
      <c r="D2215" s="2"/>
      <c r="E2215" s="2"/>
      <c r="F2215" s="2"/>
      <c r="G2215" s="2"/>
      <c r="H2215" s="2"/>
      <c r="I2215" s="2">
        <v>68.045100000000005</v>
      </c>
      <c r="J2215" s="2">
        <v>131</v>
      </c>
      <c r="K2215" s="2">
        <v>66.495099999999994</v>
      </c>
      <c r="L2215" s="2">
        <v>178</v>
      </c>
      <c r="M2215" s="2">
        <v>91.778400000000005</v>
      </c>
      <c r="N2215" s="2">
        <v>316</v>
      </c>
      <c r="O2215" s="2">
        <v>93.436800000000005</v>
      </c>
      <c r="P2215" s="2">
        <v>303</v>
      </c>
      <c r="Q2215" s="2">
        <v>101.0711</v>
      </c>
      <c r="R2215" s="2">
        <v>141</v>
      </c>
      <c r="S2215" s="2">
        <v>99.610900000000001</v>
      </c>
      <c r="T2215" s="2">
        <v>110</v>
      </c>
      <c r="U2215" s="2">
        <v>0.32391300000000001</v>
      </c>
      <c r="V2215" s="2">
        <v>234</v>
      </c>
      <c r="W2215" s="2">
        <v>2008</v>
      </c>
    </row>
    <row r="2216" spans="1:23" ht="12.3" hidden="1" x14ac:dyDescent="0.4">
      <c r="A2216" s="2" t="s">
        <v>202</v>
      </c>
      <c r="B2216" s="2"/>
      <c r="C2216" s="2"/>
      <c r="D2216" s="2"/>
      <c r="E2216" s="2"/>
      <c r="F2216" s="2"/>
      <c r="G2216" s="2"/>
      <c r="H2216" s="2"/>
      <c r="I2216" s="2">
        <v>66.649500000000003</v>
      </c>
      <c r="J2216" s="2">
        <v>185</v>
      </c>
      <c r="K2216" s="2">
        <v>64.464500000000001</v>
      </c>
      <c r="L2216" s="2">
        <v>266</v>
      </c>
      <c r="M2216" s="2">
        <v>107.1904</v>
      </c>
      <c r="N2216" s="2">
        <v>76</v>
      </c>
      <c r="O2216" s="2">
        <v>104.5205</v>
      </c>
      <c r="P2216" s="2">
        <v>126</v>
      </c>
      <c r="Q2216" s="2">
        <v>106.9618</v>
      </c>
      <c r="R2216" s="2">
        <v>287</v>
      </c>
      <c r="S2216" s="2">
        <v>111.578</v>
      </c>
      <c r="T2216" s="2">
        <v>325</v>
      </c>
      <c r="U2216" s="2">
        <v>0.32051400000000002</v>
      </c>
      <c r="V2216" s="2">
        <v>235</v>
      </c>
      <c r="W2216" s="2">
        <v>2008</v>
      </c>
    </row>
    <row r="2217" spans="1:23" ht="12.3" hidden="1" x14ac:dyDescent="0.4">
      <c r="A2217" s="2" t="s">
        <v>274</v>
      </c>
      <c r="B2217" s="2"/>
      <c r="C2217" s="2"/>
      <c r="D2217" s="2"/>
      <c r="E2217" s="2"/>
      <c r="F2217" s="2"/>
      <c r="G2217" s="2"/>
      <c r="H2217" s="2"/>
      <c r="I2217" s="2">
        <v>68.481700000000004</v>
      </c>
      <c r="J2217" s="2">
        <v>116</v>
      </c>
      <c r="K2217" s="2">
        <v>67.935500000000005</v>
      </c>
      <c r="L2217" s="2">
        <v>131</v>
      </c>
      <c r="M2217" s="2">
        <v>105.38</v>
      </c>
      <c r="N2217" s="2">
        <v>108</v>
      </c>
      <c r="O2217" s="2">
        <v>104.2876</v>
      </c>
      <c r="P2217" s="2">
        <v>135</v>
      </c>
      <c r="Q2217" s="2">
        <v>106.45959999999999</v>
      </c>
      <c r="R2217" s="2">
        <v>281</v>
      </c>
      <c r="S2217" s="2">
        <v>111.3383</v>
      </c>
      <c r="T2217" s="2">
        <v>323</v>
      </c>
      <c r="U2217" s="2">
        <v>0.32031199999999999</v>
      </c>
      <c r="V2217" s="2">
        <v>236</v>
      </c>
      <c r="W2217" s="2">
        <v>2008</v>
      </c>
    </row>
    <row r="2218" spans="1:23" ht="12.3" hidden="1" x14ac:dyDescent="0.4">
      <c r="A2218" s="2" t="s">
        <v>356</v>
      </c>
      <c r="B2218" s="2"/>
      <c r="C2218" s="2"/>
      <c r="D2218" s="2"/>
      <c r="E2218" s="2"/>
      <c r="F2218" s="2"/>
      <c r="G2218" s="2"/>
      <c r="H2218" s="2"/>
      <c r="I2218" s="2">
        <v>71.638199999999998</v>
      </c>
      <c r="J2218" s="2">
        <v>35</v>
      </c>
      <c r="K2218" s="2">
        <v>71.057199999999995</v>
      </c>
      <c r="L2218" s="2">
        <v>38</v>
      </c>
      <c r="M2218" s="2">
        <v>103.279</v>
      </c>
      <c r="N2218" s="2">
        <v>146</v>
      </c>
      <c r="O2218" s="2">
        <v>103.86239999999999</v>
      </c>
      <c r="P2218" s="2">
        <v>144</v>
      </c>
      <c r="Q2218" s="2">
        <v>110.1785</v>
      </c>
      <c r="R2218" s="2">
        <v>322</v>
      </c>
      <c r="S2218" s="2">
        <v>111.06059999999999</v>
      </c>
      <c r="T2218" s="2">
        <v>321</v>
      </c>
      <c r="U2218" s="2">
        <v>0.31634899999999999</v>
      </c>
      <c r="V2218" s="2">
        <v>237</v>
      </c>
      <c r="W2218" s="2">
        <v>2008</v>
      </c>
    </row>
    <row r="2219" spans="1:23" ht="12.3" hidden="1" x14ac:dyDescent="0.4">
      <c r="A2219" s="2" t="s">
        <v>293</v>
      </c>
      <c r="B2219" s="2"/>
      <c r="C2219" s="2"/>
      <c r="D2219" s="2"/>
      <c r="E2219" s="2"/>
      <c r="F2219" s="2"/>
      <c r="G2219" s="2"/>
      <c r="H2219" s="2"/>
      <c r="I2219" s="2">
        <v>66.355000000000004</v>
      </c>
      <c r="J2219" s="2">
        <v>191</v>
      </c>
      <c r="K2219" s="2">
        <v>67.337100000000007</v>
      </c>
      <c r="L2219" s="2">
        <v>146</v>
      </c>
      <c r="M2219" s="2">
        <v>97.582700000000003</v>
      </c>
      <c r="N2219" s="2">
        <v>242</v>
      </c>
      <c r="O2219" s="2">
        <v>98.209299999999999</v>
      </c>
      <c r="P2219" s="2">
        <v>231</v>
      </c>
      <c r="Q2219" s="2">
        <v>103.2192</v>
      </c>
      <c r="R2219" s="2">
        <v>201</v>
      </c>
      <c r="S2219" s="2">
        <v>105.0275</v>
      </c>
      <c r="T2219" s="2">
        <v>227</v>
      </c>
      <c r="U2219" s="2">
        <v>0.31607000000000002</v>
      </c>
      <c r="V2219" s="2">
        <v>238</v>
      </c>
      <c r="W2219" s="2">
        <v>2008</v>
      </c>
    </row>
    <row r="2220" spans="1:23" ht="12.3" hidden="1" x14ac:dyDescent="0.4">
      <c r="A2220" s="2" t="s">
        <v>160</v>
      </c>
      <c r="B2220" s="2"/>
      <c r="C2220" s="2"/>
      <c r="D2220" s="2"/>
      <c r="E2220" s="2"/>
      <c r="F2220" s="2"/>
      <c r="G2220" s="2"/>
      <c r="H2220" s="2"/>
      <c r="I2220" s="2">
        <v>66.563699999999997</v>
      </c>
      <c r="J2220" s="2">
        <v>186</v>
      </c>
      <c r="K2220" s="2">
        <v>66.751800000000003</v>
      </c>
      <c r="L2220" s="2">
        <v>167</v>
      </c>
      <c r="M2220" s="2">
        <v>100.4576</v>
      </c>
      <c r="N2220" s="2">
        <v>197</v>
      </c>
      <c r="O2220" s="2">
        <v>98.7941</v>
      </c>
      <c r="P2220" s="2">
        <v>218</v>
      </c>
      <c r="Q2220" s="2">
        <v>104.92700000000001</v>
      </c>
      <c r="R2220" s="2">
        <v>245</v>
      </c>
      <c r="S2220" s="2">
        <v>105.7221</v>
      </c>
      <c r="T2220" s="2">
        <v>240</v>
      </c>
      <c r="U2220" s="2">
        <v>0.314442</v>
      </c>
      <c r="V2220" s="2">
        <v>239</v>
      </c>
      <c r="W2220" s="2">
        <v>2008</v>
      </c>
    </row>
    <row r="2221" spans="1:23" ht="12.3" hidden="1" x14ac:dyDescent="0.4">
      <c r="A2221" s="2" t="s">
        <v>326</v>
      </c>
      <c r="B2221" s="2"/>
      <c r="C2221" s="2"/>
      <c r="D2221" s="2"/>
      <c r="E2221" s="2"/>
      <c r="F2221" s="2"/>
      <c r="G2221" s="2"/>
      <c r="H2221" s="2"/>
      <c r="I2221" s="2">
        <v>65.003200000000007</v>
      </c>
      <c r="J2221" s="2">
        <v>249</v>
      </c>
      <c r="K2221" s="2">
        <v>66.029700000000005</v>
      </c>
      <c r="L2221" s="2">
        <v>199</v>
      </c>
      <c r="M2221" s="2">
        <v>97.069699999999997</v>
      </c>
      <c r="N2221" s="2">
        <v>253</v>
      </c>
      <c r="O2221" s="2">
        <v>94.724900000000005</v>
      </c>
      <c r="P2221" s="2">
        <v>287</v>
      </c>
      <c r="Q2221" s="2">
        <v>98.997699999999995</v>
      </c>
      <c r="R2221" s="2">
        <v>93</v>
      </c>
      <c r="S2221" s="2">
        <v>101.4181</v>
      </c>
      <c r="T2221" s="2">
        <v>147</v>
      </c>
      <c r="U2221" s="2">
        <v>0.31320799999999999</v>
      </c>
      <c r="V2221" s="2">
        <v>240</v>
      </c>
      <c r="W2221" s="2">
        <v>2008</v>
      </c>
    </row>
    <row r="2222" spans="1:23" ht="12.3" hidden="1" x14ac:dyDescent="0.4">
      <c r="A2222" s="2" t="s">
        <v>101</v>
      </c>
      <c r="B2222" s="2"/>
      <c r="C2222" s="2"/>
      <c r="D2222" s="2"/>
      <c r="E2222" s="2"/>
      <c r="F2222" s="2"/>
      <c r="G2222" s="2"/>
      <c r="H2222" s="2"/>
      <c r="I2222" s="2">
        <v>61.8245</v>
      </c>
      <c r="J2222" s="2">
        <v>315</v>
      </c>
      <c r="K2222" s="2">
        <v>62.631999999999998</v>
      </c>
      <c r="L2222" s="2">
        <v>307</v>
      </c>
      <c r="M2222" s="2">
        <v>92.5655</v>
      </c>
      <c r="N2222" s="2">
        <v>309</v>
      </c>
      <c r="O2222" s="2">
        <v>94.546199999999999</v>
      </c>
      <c r="P2222" s="2">
        <v>288</v>
      </c>
      <c r="Q2222" s="2">
        <v>102.5605</v>
      </c>
      <c r="R2222" s="2">
        <v>184</v>
      </c>
      <c r="S2222" s="2">
        <v>101.2893</v>
      </c>
      <c r="T2222" s="2">
        <v>142</v>
      </c>
      <c r="U2222" s="2">
        <v>0.31168400000000002</v>
      </c>
      <c r="V2222" s="2">
        <v>241</v>
      </c>
      <c r="W2222" s="2">
        <v>2008</v>
      </c>
    </row>
    <row r="2223" spans="1:23" ht="12.3" hidden="1" x14ac:dyDescent="0.4">
      <c r="A2223" s="2" t="s">
        <v>139</v>
      </c>
      <c r="B2223" s="2"/>
      <c r="C2223" s="2"/>
      <c r="D2223" s="2"/>
      <c r="E2223" s="2"/>
      <c r="F2223" s="2"/>
      <c r="G2223" s="2"/>
      <c r="H2223" s="2"/>
      <c r="I2223" s="2">
        <v>67.962699999999998</v>
      </c>
      <c r="J2223" s="2">
        <v>135</v>
      </c>
      <c r="K2223" s="2">
        <v>67.569100000000006</v>
      </c>
      <c r="L2223" s="2">
        <v>142</v>
      </c>
      <c r="M2223" s="2">
        <v>101.7381</v>
      </c>
      <c r="N2223" s="2">
        <v>170</v>
      </c>
      <c r="O2223" s="2">
        <v>101.3888</v>
      </c>
      <c r="P2223" s="2">
        <v>180</v>
      </c>
      <c r="Q2223" s="2">
        <v>104.29949999999999</v>
      </c>
      <c r="R2223" s="2">
        <v>220</v>
      </c>
      <c r="S2223" s="2">
        <v>108.6759</v>
      </c>
      <c r="T2223" s="2">
        <v>297</v>
      </c>
      <c r="U2223" s="2">
        <v>0.31041299999999999</v>
      </c>
      <c r="V2223" s="2">
        <v>242</v>
      </c>
      <c r="W2223" s="2">
        <v>2008</v>
      </c>
    </row>
    <row r="2224" spans="1:23" ht="12.3" hidden="1" x14ac:dyDescent="0.4">
      <c r="A2224" s="2" t="s">
        <v>280</v>
      </c>
      <c r="B2224" s="2"/>
      <c r="C2224" s="2"/>
      <c r="D2224" s="2"/>
      <c r="E2224" s="2"/>
      <c r="F2224" s="2"/>
      <c r="G2224" s="2"/>
      <c r="H2224" s="2"/>
      <c r="I2224" s="2">
        <v>69.939800000000005</v>
      </c>
      <c r="J2224" s="2">
        <v>71</v>
      </c>
      <c r="K2224" s="2">
        <v>69.840100000000007</v>
      </c>
      <c r="L2224" s="2">
        <v>68</v>
      </c>
      <c r="M2224" s="2">
        <v>106.8764</v>
      </c>
      <c r="N2224" s="2">
        <v>81</v>
      </c>
      <c r="O2224" s="2">
        <v>105.2608</v>
      </c>
      <c r="P2224" s="2">
        <v>115</v>
      </c>
      <c r="Q2224" s="2">
        <v>109.0421</v>
      </c>
      <c r="R2224" s="2">
        <v>310</v>
      </c>
      <c r="S2224" s="2">
        <v>112.92149999999999</v>
      </c>
      <c r="T2224" s="2">
        <v>333</v>
      </c>
      <c r="U2224" s="2">
        <v>0.30833899999999997</v>
      </c>
      <c r="V2224" s="2">
        <v>243</v>
      </c>
      <c r="W2224" s="2">
        <v>2008</v>
      </c>
    </row>
    <row r="2225" spans="1:23" ht="12.3" hidden="1" x14ac:dyDescent="0.4">
      <c r="A2225" s="2" t="s">
        <v>263</v>
      </c>
      <c r="B2225" s="2"/>
      <c r="C2225" s="2"/>
      <c r="D2225" s="2"/>
      <c r="E2225" s="2"/>
      <c r="F2225" s="2"/>
      <c r="G2225" s="2"/>
      <c r="H2225" s="2"/>
      <c r="I2225" s="2">
        <v>78.812799999999996</v>
      </c>
      <c r="J2225" s="2">
        <v>2</v>
      </c>
      <c r="K2225" s="2">
        <v>79.743399999999994</v>
      </c>
      <c r="L2225" s="2">
        <v>2</v>
      </c>
      <c r="M2225" s="2">
        <v>105.6142</v>
      </c>
      <c r="N2225" s="2">
        <v>104</v>
      </c>
      <c r="O2225" s="2">
        <v>104.9448</v>
      </c>
      <c r="P2225" s="2">
        <v>117</v>
      </c>
      <c r="Q2225" s="2">
        <v>108.7097</v>
      </c>
      <c r="R2225" s="2">
        <v>304</v>
      </c>
      <c r="S2225" s="2">
        <v>112.5902</v>
      </c>
      <c r="T2225" s="2">
        <v>331</v>
      </c>
      <c r="U2225" s="2">
        <v>0.30817099999999997</v>
      </c>
      <c r="V2225" s="2">
        <v>244</v>
      </c>
      <c r="W2225" s="2">
        <v>2008</v>
      </c>
    </row>
    <row r="2226" spans="1:23" ht="12.3" hidden="1" x14ac:dyDescent="0.4">
      <c r="A2226" s="2" t="s">
        <v>289</v>
      </c>
      <c r="B2226" s="2"/>
      <c r="C2226" s="2"/>
      <c r="D2226" s="2"/>
      <c r="E2226" s="2"/>
      <c r="F2226" s="2"/>
      <c r="G2226" s="2"/>
      <c r="H2226" s="2"/>
      <c r="I2226" s="2">
        <v>63.748100000000001</v>
      </c>
      <c r="J2226" s="2">
        <v>289</v>
      </c>
      <c r="K2226" s="2">
        <v>63.6768</v>
      </c>
      <c r="L2226" s="2">
        <v>287</v>
      </c>
      <c r="M2226" s="2">
        <v>94.893199999999993</v>
      </c>
      <c r="N2226" s="2">
        <v>281</v>
      </c>
      <c r="O2226" s="2">
        <v>94.806700000000006</v>
      </c>
      <c r="P2226" s="2">
        <v>284</v>
      </c>
      <c r="Q2226" s="2">
        <v>100.3656</v>
      </c>
      <c r="R2226" s="2">
        <v>124</v>
      </c>
      <c r="S2226" s="2">
        <v>101.8275</v>
      </c>
      <c r="T2226" s="2">
        <v>158</v>
      </c>
      <c r="U2226" s="2">
        <v>0.30543100000000001</v>
      </c>
      <c r="V2226" s="2">
        <v>245</v>
      </c>
      <c r="W2226" s="2">
        <v>2008</v>
      </c>
    </row>
    <row r="2227" spans="1:23" ht="12.3" hidden="1" x14ac:dyDescent="0.4">
      <c r="A2227" s="2" t="s">
        <v>66</v>
      </c>
      <c r="B2227" s="2"/>
      <c r="C2227" s="2"/>
      <c r="D2227" s="2"/>
      <c r="E2227" s="2"/>
      <c r="F2227" s="2"/>
      <c r="G2227" s="2"/>
      <c r="H2227" s="2"/>
      <c r="I2227" s="2">
        <v>68.616399999999999</v>
      </c>
      <c r="J2227" s="2">
        <v>111</v>
      </c>
      <c r="K2227" s="2">
        <v>68.325599999999994</v>
      </c>
      <c r="L2227" s="2">
        <v>114</v>
      </c>
      <c r="M2227" s="2">
        <v>102.32259999999999</v>
      </c>
      <c r="N2227" s="2">
        <v>162</v>
      </c>
      <c r="O2227" s="2">
        <v>100.15130000000001</v>
      </c>
      <c r="P2227" s="2">
        <v>197</v>
      </c>
      <c r="Q2227" s="2">
        <v>106.3783</v>
      </c>
      <c r="R2227" s="2">
        <v>280</v>
      </c>
      <c r="S2227" s="2">
        <v>107.6872</v>
      </c>
      <c r="T2227" s="2">
        <v>281</v>
      </c>
      <c r="U2227" s="2">
        <v>0.30273600000000001</v>
      </c>
      <c r="V2227" s="2">
        <v>246</v>
      </c>
      <c r="W2227" s="2">
        <v>2008</v>
      </c>
    </row>
    <row r="2228" spans="1:23" ht="12.3" hidden="1" x14ac:dyDescent="0.4">
      <c r="A2228" s="2" t="s">
        <v>114</v>
      </c>
      <c r="B2228" s="2"/>
      <c r="C2228" s="2"/>
      <c r="D2228" s="2"/>
      <c r="E2228" s="2"/>
      <c r="F2228" s="2"/>
      <c r="G2228" s="2"/>
      <c r="H2228" s="2"/>
      <c r="I2228" s="2">
        <v>71.890699999999995</v>
      </c>
      <c r="J2228" s="2">
        <v>29</v>
      </c>
      <c r="K2228" s="2">
        <v>71.591800000000006</v>
      </c>
      <c r="L2228" s="2">
        <v>28</v>
      </c>
      <c r="M2228" s="2">
        <v>101.80500000000001</v>
      </c>
      <c r="N2228" s="2">
        <v>167</v>
      </c>
      <c r="O2228" s="2">
        <v>99.075599999999994</v>
      </c>
      <c r="P2228" s="2">
        <v>214</v>
      </c>
      <c r="Q2228" s="2">
        <v>103.8832</v>
      </c>
      <c r="R2228" s="2">
        <v>211</v>
      </c>
      <c r="S2228" s="2">
        <v>106.62439999999999</v>
      </c>
      <c r="T2228" s="2">
        <v>257</v>
      </c>
      <c r="U2228" s="2">
        <v>0.30060199999999998</v>
      </c>
      <c r="V2228" s="2">
        <v>247</v>
      </c>
      <c r="W2228" s="2">
        <v>2008</v>
      </c>
    </row>
    <row r="2229" spans="1:23" ht="12.3" hidden="1" x14ac:dyDescent="0.4">
      <c r="A2229" s="2" t="s">
        <v>358</v>
      </c>
      <c r="B2229" s="2"/>
      <c r="C2229" s="2"/>
      <c r="D2229" s="2"/>
      <c r="E2229" s="2"/>
      <c r="F2229" s="2"/>
      <c r="G2229" s="2"/>
      <c r="H2229" s="2"/>
      <c r="I2229" s="2">
        <v>67.965100000000007</v>
      </c>
      <c r="J2229" s="2">
        <v>134</v>
      </c>
      <c r="K2229" s="2">
        <v>69.805800000000005</v>
      </c>
      <c r="L2229" s="2">
        <v>70</v>
      </c>
      <c r="M2229" s="2">
        <v>99.822299999999998</v>
      </c>
      <c r="N2229" s="2">
        <v>210</v>
      </c>
      <c r="O2229" s="2">
        <v>98.231800000000007</v>
      </c>
      <c r="P2229" s="2">
        <v>230</v>
      </c>
      <c r="Q2229" s="2">
        <v>103.3045</v>
      </c>
      <c r="R2229" s="2">
        <v>203</v>
      </c>
      <c r="S2229" s="2">
        <v>105.8301</v>
      </c>
      <c r="T2229" s="2">
        <v>241</v>
      </c>
      <c r="U2229" s="2">
        <v>0.29800599999999999</v>
      </c>
      <c r="V2229" s="2">
        <v>248</v>
      </c>
      <c r="W2229" s="2">
        <v>2008</v>
      </c>
    </row>
    <row r="2230" spans="1:23" ht="12.3" hidden="1" x14ac:dyDescent="0.4">
      <c r="A2230" s="2" t="s">
        <v>152</v>
      </c>
      <c r="B2230" s="2"/>
      <c r="C2230" s="2"/>
      <c r="D2230" s="2"/>
      <c r="E2230" s="2"/>
      <c r="F2230" s="2"/>
      <c r="G2230" s="2"/>
      <c r="H2230" s="2"/>
      <c r="I2230" s="2">
        <v>63.091000000000001</v>
      </c>
      <c r="J2230" s="2">
        <v>297</v>
      </c>
      <c r="K2230" s="2">
        <v>63.490699999999997</v>
      </c>
      <c r="L2230" s="2">
        <v>294</v>
      </c>
      <c r="M2230" s="2">
        <v>96.889399999999995</v>
      </c>
      <c r="N2230" s="2">
        <v>256</v>
      </c>
      <c r="O2230" s="2">
        <v>97.363</v>
      </c>
      <c r="P2230" s="2">
        <v>244</v>
      </c>
      <c r="Q2230" s="2">
        <v>104.0883</v>
      </c>
      <c r="R2230" s="2">
        <v>214</v>
      </c>
      <c r="S2230" s="2">
        <v>104.959</v>
      </c>
      <c r="T2230" s="2">
        <v>225</v>
      </c>
      <c r="U2230" s="2">
        <v>0.29652099999999998</v>
      </c>
      <c r="V2230" s="2">
        <v>249</v>
      </c>
      <c r="W2230" s="2">
        <v>2008</v>
      </c>
    </row>
    <row r="2231" spans="1:23" ht="12.3" hidden="1" x14ac:dyDescent="0.4">
      <c r="A2231" s="2" t="s">
        <v>246</v>
      </c>
      <c r="B2231" s="2"/>
      <c r="C2231" s="2"/>
      <c r="D2231" s="2"/>
      <c r="E2231" s="2"/>
      <c r="F2231" s="2"/>
      <c r="G2231" s="2"/>
      <c r="H2231" s="2"/>
      <c r="I2231" s="2">
        <v>65.050399999999996</v>
      </c>
      <c r="J2231" s="2">
        <v>244</v>
      </c>
      <c r="K2231" s="2">
        <v>64.557000000000002</v>
      </c>
      <c r="L2231" s="2">
        <v>261</v>
      </c>
      <c r="M2231" s="2">
        <v>97.161799999999999</v>
      </c>
      <c r="N2231" s="2">
        <v>252</v>
      </c>
      <c r="O2231" s="2">
        <v>96.841700000000003</v>
      </c>
      <c r="P2231" s="2">
        <v>256</v>
      </c>
      <c r="Q2231" s="2">
        <v>105.59229999999999</v>
      </c>
      <c r="R2231" s="2">
        <v>266</v>
      </c>
      <c r="S2231" s="2">
        <v>104.5371</v>
      </c>
      <c r="T2231" s="2">
        <v>214</v>
      </c>
      <c r="U2231" s="2">
        <v>0.29331400000000002</v>
      </c>
      <c r="V2231" s="2">
        <v>250</v>
      </c>
      <c r="W2231" s="2">
        <v>2008</v>
      </c>
    </row>
    <row r="2232" spans="1:23" ht="12.3" hidden="1" x14ac:dyDescent="0.4">
      <c r="A2232" s="2" t="s">
        <v>314</v>
      </c>
      <c r="B2232" s="2"/>
      <c r="C2232" s="2"/>
      <c r="D2232" s="2"/>
      <c r="E2232" s="2"/>
      <c r="F2232" s="2"/>
      <c r="G2232" s="2"/>
      <c r="H2232" s="2"/>
      <c r="I2232" s="2">
        <v>64.506699999999995</v>
      </c>
      <c r="J2232" s="2">
        <v>268</v>
      </c>
      <c r="K2232" s="2">
        <v>64.488399999999999</v>
      </c>
      <c r="L2232" s="2">
        <v>265</v>
      </c>
      <c r="M2232" s="2">
        <v>90.677999999999997</v>
      </c>
      <c r="N2232" s="2">
        <v>326</v>
      </c>
      <c r="O2232" s="2">
        <v>89.1233</v>
      </c>
      <c r="P2232" s="2">
        <v>332</v>
      </c>
      <c r="Q2232" s="2">
        <v>95.351799999999997</v>
      </c>
      <c r="R2232" s="2">
        <v>41</v>
      </c>
      <c r="S2232" s="2">
        <v>96.235799999999998</v>
      </c>
      <c r="T2232" s="2">
        <v>55</v>
      </c>
      <c r="U2232" s="2">
        <v>0.29256300000000002</v>
      </c>
      <c r="V2232" s="2">
        <v>251</v>
      </c>
      <c r="W2232" s="2">
        <v>2008</v>
      </c>
    </row>
    <row r="2233" spans="1:23" ht="12.3" hidden="1" x14ac:dyDescent="0.4">
      <c r="A2233" s="2" t="s">
        <v>348</v>
      </c>
      <c r="B2233" s="2"/>
      <c r="C2233" s="2"/>
      <c r="D2233" s="2"/>
      <c r="E2233" s="2"/>
      <c r="F2233" s="2"/>
      <c r="G2233" s="2"/>
      <c r="H2233" s="2"/>
      <c r="I2233" s="2">
        <v>72.129099999999994</v>
      </c>
      <c r="J2233" s="2">
        <v>26</v>
      </c>
      <c r="K2233" s="2">
        <v>73.052199999999999</v>
      </c>
      <c r="L2233" s="2">
        <v>16</v>
      </c>
      <c r="M2233" s="2">
        <v>98.360799999999998</v>
      </c>
      <c r="N2233" s="2">
        <v>232</v>
      </c>
      <c r="O2233" s="2">
        <v>102.2122</v>
      </c>
      <c r="P2233" s="2">
        <v>169</v>
      </c>
      <c r="Q2233" s="2">
        <v>111.358</v>
      </c>
      <c r="R2233" s="2">
        <v>331</v>
      </c>
      <c r="S2233" s="2">
        <v>110.6297</v>
      </c>
      <c r="T2233" s="2">
        <v>319</v>
      </c>
      <c r="U2233" s="2">
        <v>0.28698299999999999</v>
      </c>
      <c r="V2233" s="2">
        <v>252</v>
      </c>
      <c r="W2233" s="2">
        <v>2008</v>
      </c>
    </row>
    <row r="2234" spans="1:23" ht="12.3" hidden="1" x14ac:dyDescent="0.4">
      <c r="A2234" s="2" t="s">
        <v>187</v>
      </c>
      <c r="B2234" s="2"/>
      <c r="C2234" s="2"/>
      <c r="D2234" s="2"/>
      <c r="E2234" s="2"/>
      <c r="F2234" s="2"/>
      <c r="G2234" s="2"/>
      <c r="H2234" s="2"/>
      <c r="I2234" s="2">
        <v>65.1494</v>
      </c>
      <c r="J2234" s="2">
        <v>236</v>
      </c>
      <c r="K2234" s="2">
        <v>65.746300000000005</v>
      </c>
      <c r="L2234" s="2">
        <v>210</v>
      </c>
      <c r="M2234" s="2">
        <v>95.156800000000004</v>
      </c>
      <c r="N2234" s="2">
        <v>277</v>
      </c>
      <c r="O2234" s="2">
        <v>95.027100000000004</v>
      </c>
      <c r="P2234" s="2">
        <v>281</v>
      </c>
      <c r="Q2234" s="2">
        <v>103.0604</v>
      </c>
      <c r="R2234" s="2">
        <v>196</v>
      </c>
      <c r="S2234" s="2">
        <v>103.1083</v>
      </c>
      <c r="T2234" s="2">
        <v>183</v>
      </c>
      <c r="U2234" s="2">
        <v>0.28118300000000002</v>
      </c>
      <c r="V2234" s="2">
        <v>253</v>
      </c>
      <c r="W2234" s="2">
        <v>2008</v>
      </c>
    </row>
    <row r="2235" spans="1:23" ht="12.3" hidden="1" x14ac:dyDescent="0.4">
      <c r="A2235" s="2" t="s">
        <v>285</v>
      </c>
      <c r="B2235" s="2"/>
      <c r="C2235" s="2"/>
      <c r="D2235" s="2"/>
      <c r="E2235" s="2"/>
      <c r="F2235" s="2"/>
      <c r="G2235" s="2"/>
      <c r="H2235" s="2"/>
      <c r="I2235" s="2">
        <v>67.831199999999995</v>
      </c>
      <c r="J2235" s="2">
        <v>141</v>
      </c>
      <c r="K2235" s="2">
        <v>67.872699999999995</v>
      </c>
      <c r="L2235" s="2">
        <v>133</v>
      </c>
      <c r="M2235" s="2">
        <v>98.075900000000004</v>
      </c>
      <c r="N2235" s="2">
        <v>235</v>
      </c>
      <c r="O2235" s="2">
        <v>98.043499999999995</v>
      </c>
      <c r="P2235" s="2">
        <v>234</v>
      </c>
      <c r="Q2235" s="2">
        <v>107.0646</v>
      </c>
      <c r="R2235" s="2">
        <v>289</v>
      </c>
      <c r="S2235" s="2">
        <v>106.38339999999999</v>
      </c>
      <c r="T2235" s="2">
        <v>252</v>
      </c>
      <c r="U2235" s="2">
        <v>0.281136</v>
      </c>
      <c r="V2235" s="2">
        <v>254</v>
      </c>
      <c r="W2235" s="2">
        <v>2008</v>
      </c>
    </row>
    <row r="2236" spans="1:23" ht="12.3" hidden="1" x14ac:dyDescent="0.4">
      <c r="A2236" s="2" t="s">
        <v>354</v>
      </c>
      <c r="B2236" s="2"/>
      <c r="C2236" s="2"/>
      <c r="D2236" s="2"/>
      <c r="E2236" s="2"/>
      <c r="F2236" s="2"/>
      <c r="G2236" s="2"/>
      <c r="H2236" s="2"/>
      <c r="I2236" s="2">
        <v>79.823599999999999</v>
      </c>
      <c r="J2236" s="2">
        <v>1</v>
      </c>
      <c r="K2236" s="2">
        <v>80.069500000000005</v>
      </c>
      <c r="L2236" s="2">
        <v>1</v>
      </c>
      <c r="M2236" s="2">
        <v>99.916399999999996</v>
      </c>
      <c r="N2236" s="2">
        <v>208</v>
      </c>
      <c r="O2236" s="2">
        <v>99.942300000000003</v>
      </c>
      <c r="P2236" s="2">
        <v>198</v>
      </c>
      <c r="Q2236" s="2">
        <v>104.6326</v>
      </c>
      <c r="R2236" s="2">
        <v>231</v>
      </c>
      <c r="S2236" s="2">
        <v>108.4494</v>
      </c>
      <c r="T2236" s="2">
        <v>295</v>
      </c>
      <c r="U2236" s="2">
        <v>0.28101300000000001</v>
      </c>
      <c r="V2236" s="2">
        <v>255</v>
      </c>
      <c r="W2236" s="2">
        <v>2008</v>
      </c>
    </row>
    <row r="2237" spans="1:23" ht="12.3" hidden="1" x14ac:dyDescent="0.4">
      <c r="A2237" s="2" t="s">
        <v>191</v>
      </c>
      <c r="B2237" s="2"/>
      <c r="C2237" s="2"/>
      <c r="D2237" s="2"/>
      <c r="E2237" s="2"/>
      <c r="F2237" s="2"/>
      <c r="G2237" s="2"/>
      <c r="H2237" s="2"/>
      <c r="I2237" s="2">
        <v>67.185299999999998</v>
      </c>
      <c r="J2237" s="2">
        <v>166</v>
      </c>
      <c r="K2237" s="2">
        <v>67.849199999999996</v>
      </c>
      <c r="L2237" s="2">
        <v>134</v>
      </c>
      <c r="M2237" s="2">
        <v>99.4</v>
      </c>
      <c r="N2237" s="2">
        <v>215</v>
      </c>
      <c r="O2237" s="2">
        <v>98.003799999999998</v>
      </c>
      <c r="P2237" s="2">
        <v>235</v>
      </c>
      <c r="Q2237" s="2">
        <v>108.9978</v>
      </c>
      <c r="R2237" s="2">
        <v>309</v>
      </c>
      <c r="S2237" s="2">
        <v>106.41200000000001</v>
      </c>
      <c r="T2237" s="2">
        <v>253</v>
      </c>
      <c r="U2237" s="2">
        <v>0.27956999999999999</v>
      </c>
      <c r="V2237" s="2">
        <v>256</v>
      </c>
      <c r="W2237" s="2">
        <v>2008</v>
      </c>
    </row>
    <row r="2238" spans="1:23" ht="12.3" hidden="1" x14ac:dyDescent="0.4">
      <c r="A2238" s="2" t="s">
        <v>271</v>
      </c>
      <c r="B2238" s="2"/>
      <c r="C2238" s="2"/>
      <c r="D2238" s="2"/>
      <c r="E2238" s="2"/>
      <c r="F2238" s="2"/>
      <c r="G2238" s="2"/>
      <c r="H2238" s="2"/>
      <c r="I2238" s="2">
        <v>63.024999999999999</v>
      </c>
      <c r="J2238" s="2">
        <v>298</v>
      </c>
      <c r="K2238" s="2">
        <v>63.686100000000003</v>
      </c>
      <c r="L2238" s="2">
        <v>286</v>
      </c>
      <c r="M2238" s="2">
        <v>98.414400000000001</v>
      </c>
      <c r="N2238" s="2">
        <v>230</v>
      </c>
      <c r="O2238" s="2">
        <v>96.406999999999996</v>
      </c>
      <c r="P2238" s="2">
        <v>260</v>
      </c>
      <c r="Q2238" s="2">
        <v>101.9799</v>
      </c>
      <c r="R2238" s="2">
        <v>171</v>
      </c>
      <c r="S2238" s="2">
        <v>104.68559999999999</v>
      </c>
      <c r="T2238" s="2">
        <v>219</v>
      </c>
      <c r="U2238" s="2">
        <v>0.27940700000000002</v>
      </c>
      <c r="V2238" s="2">
        <v>257</v>
      </c>
      <c r="W2238" s="2">
        <v>2008</v>
      </c>
    </row>
    <row r="2239" spans="1:23" ht="12.3" hidden="1" x14ac:dyDescent="0.4">
      <c r="A2239" s="2" t="s">
        <v>132</v>
      </c>
      <c r="B2239" s="2"/>
      <c r="C2239" s="2"/>
      <c r="D2239" s="2"/>
      <c r="E2239" s="2"/>
      <c r="F2239" s="2"/>
      <c r="G2239" s="2"/>
      <c r="H2239" s="2"/>
      <c r="I2239" s="2">
        <v>60.458199999999998</v>
      </c>
      <c r="J2239" s="2">
        <v>328</v>
      </c>
      <c r="K2239" s="2">
        <v>61.6768</v>
      </c>
      <c r="L2239" s="2">
        <v>323</v>
      </c>
      <c r="M2239" s="2">
        <v>96.633200000000002</v>
      </c>
      <c r="N2239" s="2">
        <v>262</v>
      </c>
      <c r="O2239" s="2">
        <v>99.302499999999995</v>
      </c>
      <c r="P2239" s="2">
        <v>210</v>
      </c>
      <c r="Q2239" s="2">
        <v>109.2317</v>
      </c>
      <c r="R2239" s="2">
        <v>312</v>
      </c>
      <c r="S2239" s="2">
        <v>107.9025</v>
      </c>
      <c r="T2239" s="2">
        <v>285</v>
      </c>
      <c r="U2239" s="2">
        <v>0.27784900000000001</v>
      </c>
      <c r="V2239" s="2">
        <v>258</v>
      </c>
      <c r="W2239" s="2">
        <v>2008</v>
      </c>
    </row>
    <row r="2240" spans="1:23" ht="12.3" hidden="1" x14ac:dyDescent="0.4">
      <c r="A2240" s="2" t="s">
        <v>163</v>
      </c>
      <c r="B2240" s="2"/>
      <c r="C2240" s="2"/>
      <c r="D2240" s="2"/>
      <c r="E2240" s="2"/>
      <c r="F2240" s="2"/>
      <c r="G2240" s="2"/>
      <c r="H2240" s="2"/>
      <c r="I2240" s="2">
        <v>68.230400000000003</v>
      </c>
      <c r="J2240" s="2">
        <v>124</v>
      </c>
      <c r="K2240" s="2">
        <v>67.995400000000004</v>
      </c>
      <c r="L2240" s="2">
        <v>126</v>
      </c>
      <c r="M2240" s="2">
        <v>105.20229999999999</v>
      </c>
      <c r="N2240" s="2">
        <v>114</v>
      </c>
      <c r="O2240" s="2">
        <v>102.0797</v>
      </c>
      <c r="P2240" s="2">
        <v>172</v>
      </c>
      <c r="Q2240" s="2">
        <v>107.74339999999999</v>
      </c>
      <c r="R2240" s="2">
        <v>292</v>
      </c>
      <c r="S2240" s="2">
        <v>111.0213</v>
      </c>
      <c r="T2240" s="2">
        <v>320</v>
      </c>
      <c r="U2240" s="2">
        <v>0.27575100000000002</v>
      </c>
      <c r="V2240" s="2">
        <v>259</v>
      </c>
      <c r="W2240" s="2">
        <v>2008</v>
      </c>
    </row>
    <row r="2241" spans="1:23" ht="12.3" hidden="1" x14ac:dyDescent="0.4">
      <c r="A2241" s="2" t="s">
        <v>210</v>
      </c>
      <c r="B2241" s="2"/>
      <c r="C2241" s="2"/>
      <c r="D2241" s="2"/>
      <c r="E2241" s="2"/>
      <c r="F2241" s="2"/>
      <c r="G2241" s="2"/>
      <c r="H2241" s="2"/>
      <c r="I2241" s="2">
        <v>65.659400000000005</v>
      </c>
      <c r="J2241" s="2">
        <v>216</v>
      </c>
      <c r="K2241" s="2">
        <v>66.013400000000004</v>
      </c>
      <c r="L2241" s="2">
        <v>201</v>
      </c>
      <c r="M2241" s="2">
        <v>89.218800000000002</v>
      </c>
      <c r="N2241" s="2">
        <v>332</v>
      </c>
      <c r="O2241" s="2">
        <v>89.500100000000003</v>
      </c>
      <c r="P2241" s="2">
        <v>330</v>
      </c>
      <c r="Q2241" s="2">
        <v>97.307000000000002</v>
      </c>
      <c r="R2241" s="2">
        <v>66</v>
      </c>
      <c r="S2241" s="2">
        <v>97.509900000000002</v>
      </c>
      <c r="T2241" s="2">
        <v>71</v>
      </c>
      <c r="U2241" s="2">
        <v>0.271758</v>
      </c>
      <c r="V2241" s="2">
        <v>260</v>
      </c>
      <c r="W2241" s="2">
        <v>2008</v>
      </c>
    </row>
    <row r="2242" spans="1:23" ht="12.3" hidden="1" x14ac:dyDescent="0.4">
      <c r="A2242" s="2" t="s">
        <v>209</v>
      </c>
      <c r="B2242" s="2"/>
      <c r="C2242" s="2"/>
      <c r="D2242" s="2"/>
      <c r="E2242" s="2"/>
      <c r="F2242" s="2"/>
      <c r="G2242" s="2"/>
      <c r="H2242" s="2"/>
      <c r="I2242" s="2">
        <v>70.408900000000003</v>
      </c>
      <c r="J2242" s="2">
        <v>60</v>
      </c>
      <c r="K2242" s="2">
        <v>71.480999999999995</v>
      </c>
      <c r="L2242" s="2">
        <v>30</v>
      </c>
      <c r="M2242" s="2">
        <v>92.986800000000002</v>
      </c>
      <c r="N2242" s="2">
        <v>306</v>
      </c>
      <c r="O2242" s="2">
        <v>95.3489</v>
      </c>
      <c r="P2242" s="2">
        <v>275</v>
      </c>
      <c r="Q2242" s="2">
        <v>106.5076</v>
      </c>
      <c r="R2242" s="2">
        <v>282</v>
      </c>
      <c r="S2242" s="2">
        <v>104.0484</v>
      </c>
      <c r="T2242" s="2">
        <v>205</v>
      </c>
      <c r="U2242" s="2">
        <v>0.26813500000000001</v>
      </c>
      <c r="V2242" s="2">
        <v>261</v>
      </c>
      <c r="W2242" s="2">
        <v>2008</v>
      </c>
    </row>
    <row r="2243" spans="1:23" ht="12.3" hidden="1" x14ac:dyDescent="0.4">
      <c r="A2243" s="2" t="s">
        <v>149</v>
      </c>
      <c r="B2243" s="2"/>
      <c r="C2243" s="2"/>
      <c r="D2243" s="2"/>
      <c r="E2243" s="2"/>
      <c r="F2243" s="2"/>
      <c r="G2243" s="2"/>
      <c r="H2243" s="2"/>
      <c r="I2243" s="2">
        <v>65.658199999999994</v>
      </c>
      <c r="J2243" s="2">
        <v>217</v>
      </c>
      <c r="K2243" s="2">
        <v>67.138099999999994</v>
      </c>
      <c r="L2243" s="2">
        <v>153</v>
      </c>
      <c r="M2243" s="2">
        <v>91.024600000000007</v>
      </c>
      <c r="N2243" s="2">
        <v>324</v>
      </c>
      <c r="O2243" s="2">
        <v>93.321899999999999</v>
      </c>
      <c r="P2243" s="2">
        <v>305</v>
      </c>
      <c r="Q2243" s="2">
        <v>107.7115</v>
      </c>
      <c r="R2243" s="2">
        <v>291</v>
      </c>
      <c r="S2243" s="2">
        <v>101.8608</v>
      </c>
      <c r="T2243" s="2">
        <v>159</v>
      </c>
      <c r="U2243" s="2">
        <v>0.267596</v>
      </c>
      <c r="V2243" s="2">
        <v>262</v>
      </c>
      <c r="W2243" s="2">
        <v>2008</v>
      </c>
    </row>
    <row r="2244" spans="1:23" ht="12.3" hidden="1" x14ac:dyDescent="0.4">
      <c r="A2244" s="2" t="s">
        <v>260</v>
      </c>
      <c r="B2244" s="2"/>
      <c r="C2244" s="2"/>
      <c r="D2244" s="2"/>
      <c r="E2244" s="2"/>
      <c r="F2244" s="2"/>
      <c r="G2244" s="2"/>
      <c r="H2244" s="2"/>
      <c r="I2244" s="2">
        <v>68.789299999999997</v>
      </c>
      <c r="J2244" s="2">
        <v>107</v>
      </c>
      <c r="K2244" s="2">
        <v>67.988</v>
      </c>
      <c r="L2244" s="2">
        <v>129</v>
      </c>
      <c r="M2244" s="2">
        <v>92.197900000000004</v>
      </c>
      <c r="N2244" s="2">
        <v>312</v>
      </c>
      <c r="O2244" s="2">
        <v>91.641099999999994</v>
      </c>
      <c r="P2244" s="2">
        <v>324</v>
      </c>
      <c r="Q2244" s="2">
        <v>101.6711</v>
      </c>
      <c r="R2244" s="2">
        <v>160</v>
      </c>
      <c r="S2244" s="2">
        <v>100.0406</v>
      </c>
      <c r="T2244" s="2">
        <v>117</v>
      </c>
      <c r="U2244" s="2">
        <v>0.26727099999999998</v>
      </c>
      <c r="V2244" s="2">
        <v>263</v>
      </c>
      <c r="W2244" s="2">
        <v>2008</v>
      </c>
    </row>
    <row r="2245" spans="1:23" ht="12.3" hidden="1" x14ac:dyDescent="0.4">
      <c r="A2245" s="2" t="s">
        <v>278</v>
      </c>
      <c r="B2245" s="2"/>
      <c r="C2245" s="2"/>
      <c r="D2245" s="2"/>
      <c r="E2245" s="2"/>
      <c r="F2245" s="2"/>
      <c r="G2245" s="2"/>
      <c r="H2245" s="2"/>
      <c r="I2245" s="2">
        <v>67.889600000000002</v>
      </c>
      <c r="J2245" s="2">
        <v>140</v>
      </c>
      <c r="K2245" s="2">
        <v>68.063199999999995</v>
      </c>
      <c r="L2245" s="2">
        <v>124</v>
      </c>
      <c r="M2245" s="2">
        <v>97.913300000000007</v>
      </c>
      <c r="N2245" s="2">
        <v>238</v>
      </c>
      <c r="O2245" s="2">
        <v>97.482600000000005</v>
      </c>
      <c r="P2245" s="2">
        <v>242</v>
      </c>
      <c r="Q2245" s="2">
        <v>105.5508</v>
      </c>
      <c r="R2245" s="2">
        <v>265</v>
      </c>
      <c r="S2245" s="2">
        <v>106.59059999999999</v>
      </c>
      <c r="T2245" s="2">
        <v>256</v>
      </c>
      <c r="U2245" s="2">
        <v>0.263629</v>
      </c>
      <c r="V2245" s="2">
        <v>264</v>
      </c>
      <c r="W2245" s="2">
        <v>2008</v>
      </c>
    </row>
    <row r="2246" spans="1:23" ht="12.3" hidden="1" x14ac:dyDescent="0.4">
      <c r="A2246" s="2" t="s">
        <v>298</v>
      </c>
      <c r="B2246" s="2"/>
      <c r="C2246" s="2"/>
      <c r="D2246" s="2"/>
      <c r="E2246" s="2"/>
      <c r="F2246" s="2"/>
      <c r="G2246" s="2"/>
      <c r="H2246" s="2"/>
      <c r="I2246" s="2">
        <v>67.7</v>
      </c>
      <c r="J2246" s="2">
        <v>149</v>
      </c>
      <c r="K2246" s="2">
        <v>66.102800000000002</v>
      </c>
      <c r="L2246" s="2">
        <v>195</v>
      </c>
      <c r="M2246" s="2">
        <v>94.941599999999994</v>
      </c>
      <c r="N2246" s="2">
        <v>280</v>
      </c>
      <c r="O2246" s="2">
        <v>92.915599999999998</v>
      </c>
      <c r="P2246" s="2">
        <v>309</v>
      </c>
      <c r="Q2246" s="2">
        <v>99.508799999999994</v>
      </c>
      <c r="R2246" s="2">
        <v>103</v>
      </c>
      <c r="S2246" s="2">
        <v>101.7269</v>
      </c>
      <c r="T2246" s="2">
        <v>155</v>
      </c>
      <c r="U2246" s="2">
        <v>0.26078299999999999</v>
      </c>
      <c r="V2246" s="2">
        <v>265</v>
      </c>
      <c r="W2246" s="2">
        <v>2008</v>
      </c>
    </row>
    <row r="2247" spans="1:23" ht="12.3" hidden="1" x14ac:dyDescent="0.4">
      <c r="A2247" s="2" t="s">
        <v>173</v>
      </c>
      <c r="B2247" s="2"/>
      <c r="C2247" s="2"/>
      <c r="D2247" s="2"/>
      <c r="E2247" s="2"/>
      <c r="F2247" s="2"/>
      <c r="G2247" s="2"/>
      <c r="H2247" s="2"/>
      <c r="I2247" s="2">
        <v>67.661199999999994</v>
      </c>
      <c r="J2247" s="2">
        <v>151</v>
      </c>
      <c r="K2247" s="2">
        <v>67.470200000000006</v>
      </c>
      <c r="L2247" s="2">
        <v>144</v>
      </c>
      <c r="M2247" s="2">
        <v>97.0227</v>
      </c>
      <c r="N2247" s="2">
        <v>254</v>
      </c>
      <c r="O2247" s="2">
        <v>97.204099999999997</v>
      </c>
      <c r="P2247" s="2">
        <v>247</v>
      </c>
      <c r="Q2247" s="2">
        <v>105.8753</v>
      </c>
      <c r="R2247" s="2">
        <v>269</v>
      </c>
      <c r="S2247" s="2">
        <v>106.43729999999999</v>
      </c>
      <c r="T2247" s="2">
        <v>255</v>
      </c>
      <c r="U2247" s="2">
        <v>0.26046599999999998</v>
      </c>
      <c r="V2247" s="2">
        <v>266</v>
      </c>
      <c r="W2247" s="2">
        <v>2008</v>
      </c>
    </row>
    <row r="2248" spans="1:23" ht="12.3" hidden="1" x14ac:dyDescent="0.4">
      <c r="A2248" s="2" t="s">
        <v>157</v>
      </c>
      <c r="B2248" s="2"/>
      <c r="C2248" s="2"/>
      <c r="D2248" s="2"/>
      <c r="E2248" s="2"/>
      <c r="F2248" s="2"/>
      <c r="G2248" s="2"/>
      <c r="H2248" s="2"/>
      <c r="I2248" s="2">
        <v>64.508799999999994</v>
      </c>
      <c r="J2248" s="2">
        <v>267</v>
      </c>
      <c r="K2248" s="2">
        <v>65.604500000000002</v>
      </c>
      <c r="L2248" s="2">
        <v>214</v>
      </c>
      <c r="M2248" s="2">
        <v>96.652600000000007</v>
      </c>
      <c r="N2248" s="2">
        <v>261</v>
      </c>
      <c r="O2248" s="2">
        <v>99.529399999999995</v>
      </c>
      <c r="P2248" s="2">
        <v>204</v>
      </c>
      <c r="Q2248" s="2">
        <v>112.4966</v>
      </c>
      <c r="R2248" s="2">
        <v>336</v>
      </c>
      <c r="S2248" s="2">
        <v>109.0489</v>
      </c>
      <c r="T2248" s="2">
        <v>303</v>
      </c>
      <c r="U2248" s="2">
        <v>0.25913700000000001</v>
      </c>
      <c r="V2248" s="2">
        <v>267</v>
      </c>
      <c r="W2248" s="2">
        <v>2008</v>
      </c>
    </row>
    <row r="2249" spans="1:23" ht="12.3" hidden="1" x14ac:dyDescent="0.4">
      <c r="A2249" s="2" t="s">
        <v>265</v>
      </c>
      <c r="B2249" s="2"/>
      <c r="C2249" s="2"/>
      <c r="D2249" s="2"/>
      <c r="E2249" s="2"/>
      <c r="F2249" s="2"/>
      <c r="G2249" s="2"/>
      <c r="H2249" s="2"/>
      <c r="I2249" s="2">
        <v>56.852899999999998</v>
      </c>
      <c r="J2249" s="2">
        <v>340</v>
      </c>
      <c r="K2249" s="2">
        <v>56.9758</v>
      </c>
      <c r="L2249" s="2">
        <v>339</v>
      </c>
      <c r="M2249" s="2">
        <v>101.1352</v>
      </c>
      <c r="N2249" s="2">
        <v>183</v>
      </c>
      <c r="O2249" s="2">
        <v>100.753</v>
      </c>
      <c r="P2249" s="2">
        <v>188</v>
      </c>
      <c r="Q2249" s="2">
        <v>108.8065</v>
      </c>
      <c r="R2249" s="2">
        <v>305</v>
      </c>
      <c r="S2249" s="2">
        <v>110.5504</v>
      </c>
      <c r="T2249" s="2">
        <v>318</v>
      </c>
      <c r="U2249" s="2">
        <v>0.255936</v>
      </c>
      <c r="V2249" s="2">
        <v>268</v>
      </c>
      <c r="W2249" s="2">
        <v>2008</v>
      </c>
    </row>
    <row r="2250" spans="1:23" ht="12.3" hidden="1" x14ac:dyDescent="0.4">
      <c r="A2250" s="2" t="s">
        <v>276</v>
      </c>
      <c r="B2250" s="2"/>
      <c r="C2250" s="2"/>
      <c r="D2250" s="2"/>
      <c r="E2250" s="2"/>
      <c r="F2250" s="2"/>
      <c r="G2250" s="2"/>
      <c r="H2250" s="2"/>
      <c r="I2250" s="2">
        <v>66.773600000000002</v>
      </c>
      <c r="J2250" s="2">
        <v>178</v>
      </c>
      <c r="K2250" s="2">
        <v>65.417500000000004</v>
      </c>
      <c r="L2250" s="2">
        <v>223</v>
      </c>
      <c r="M2250" s="2">
        <v>95.179400000000001</v>
      </c>
      <c r="N2250" s="2">
        <v>276</v>
      </c>
      <c r="O2250" s="2">
        <v>95.125399999999999</v>
      </c>
      <c r="P2250" s="2">
        <v>279</v>
      </c>
      <c r="Q2250" s="2">
        <v>104.30719999999999</v>
      </c>
      <c r="R2250" s="2">
        <v>221</v>
      </c>
      <c r="S2250" s="2">
        <v>104.3942</v>
      </c>
      <c r="T2250" s="2">
        <v>212</v>
      </c>
      <c r="U2250" s="2">
        <v>0.255546</v>
      </c>
      <c r="V2250" s="2">
        <v>269</v>
      </c>
      <c r="W2250" s="2">
        <v>2008</v>
      </c>
    </row>
    <row r="2251" spans="1:23" ht="12.3" hidden="1" x14ac:dyDescent="0.4">
      <c r="A2251" s="2" t="s">
        <v>193</v>
      </c>
      <c r="B2251" s="2"/>
      <c r="C2251" s="2"/>
      <c r="D2251" s="2"/>
      <c r="E2251" s="2"/>
      <c r="F2251" s="2"/>
      <c r="G2251" s="2"/>
      <c r="H2251" s="2"/>
      <c r="I2251" s="2">
        <v>66.656999999999996</v>
      </c>
      <c r="J2251" s="2">
        <v>184</v>
      </c>
      <c r="K2251" s="2">
        <v>66.594499999999996</v>
      </c>
      <c r="L2251" s="2">
        <v>173</v>
      </c>
      <c r="M2251" s="2">
        <v>99.398300000000006</v>
      </c>
      <c r="N2251" s="2">
        <v>216</v>
      </c>
      <c r="O2251" s="2">
        <v>100.59820000000001</v>
      </c>
      <c r="P2251" s="2">
        <v>193</v>
      </c>
      <c r="Q2251" s="2">
        <v>111.46169999999999</v>
      </c>
      <c r="R2251" s="2">
        <v>332</v>
      </c>
      <c r="S2251" s="2">
        <v>110.4337</v>
      </c>
      <c r="T2251" s="2">
        <v>315</v>
      </c>
      <c r="U2251" s="2">
        <v>0.254884</v>
      </c>
      <c r="V2251" s="2">
        <v>270</v>
      </c>
      <c r="W2251" s="2">
        <v>2008</v>
      </c>
    </row>
    <row r="2252" spans="1:23" ht="12.3" hidden="1" x14ac:dyDescent="0.4">
      <c r="A2252" s="2" t="s">
        <v>172</v>
      </c>
      <c r="B2252" s="2"/>
      <c r="C2252" s="2"/>
      <c r="D2252" s="2"/>
      <c r="E2252" s="2"/>
      <c r="F2252" s="2"/>
      <c r="G2252" s="2"/>
      <c r="H2252" s="2"/>
      <c r="I2252" s="2">
        <v>65.714399999999998</v>
      </c>
      <c r="J2252" s="2">
        <v>211</v>
      </c>
      <c r="K2252" s="2">
        <v>65.985200000000006</v>
      </c>
      <c r="L2252" s="2">
        <v>202</v>
      </c>
      <c r="M2252" s="2">
        <v>104.1664</v>
      </c>
      <c r="N2252" s="2">
        <v>131</v>
      </c>
      <c r="O2252" s="2">
        <v>103.3856</v>
      </c>
      <c r="P2252" s="2">
        <v>150</v>
      </c>
      <c r="Q2252" s="2">
        <v>113.2625</v>
      </c>
      <c r="R2252" s="2">
        <v>338</v>
      </c>
      <c r="S2252" s="2">
        <v>113.5988</v>
      </c>
      <c r="T2252" s="2">
        <v>335</v>
      </c>
      <c r="U2252" s="2">
        <v>0.25286599999999998</v>
      </c>
      <c r="V2252" s="2">
        <v>271</v>
      </c>
      <c r="W2252" s="2">
        <v>2008</v>
      </c>
    </row>
    <row r="2253" spans="1:23" ht="12.3" hidden="1" x14ac:dyDescent="0.4">
      <c r="A2253" s="2" t="s">
        <v>189</v>
      </c>
      <c r="B2253" s="2"/>
      <c r="C2253" s="2"/>
      <c r="D2253" s="2"/>
      <c r="E2253" s="2"/>
      <c r="F2253" s="2"/>
      <c r="G2253" s="2"/>
      <c r="H2253" s="2"/>
      <c r="I2253" s="2">
        <v>66.703400000000002</v>
      </c>
      <c r="J2253" s="2">
        <v>181</v>
      </c>
      <c r="K2253" s="2">
        <v>66.405500000000004</v>
      </c>
      <c r="L2253" s="2">
        <v>180</v>
      </c>
      <c r="M2253" s="2">
        <v>94.368099999999998</v>
      </c>
      <c r="N2253" s="2">
        <v>289</v>
      </c>
      <c r="O2253" s="2">
        <v>93.787999999999997</v>
      </c>
      <c r="P2253" s="2">
        <v>298</v>
      </c>
      <c r="Q2253" s="2">
        <v>104.4002</v>
      </c>
      <c r="R2253" s="2">
        <v>224</v>
      </c>
      <c r="S2253" s="2">
        <v>103.3961</v>
      </c>
      <c r="T2253" s="2">
        <v>193</v>
      </c>
      <c r="U2253" s="2">
        <v>0.24571399999999999</v>
      </c>
      <c r="V2253" s="2">
        <v>272</v>
      </c>
      <c r="W2253" s="2">
        <v>2008</v>
      </c>
    </row>
    <row r="2254" spans="1:23" ht="12.3" hidden="1" x14ac:dyDescent="0.4">
      <c r="A2254" s="2" t="s">
        <v>290</v>
      </c>
      <c r="B2254" s="2"/>
      <c r="C2254" s="2"/>
      <c r="D2254" s="2"/>
      <c r="E2254" s="2"/>
      <c r="F2254" s="2"/>
      <c r="G2254" s="2"/>
      <c r="H2254" s="2"/>
      <c r="I2254" s="2">
        <v>65.218900000000005</v>
      </c>
      <c r="J2254" s="2">
        <v>232</v>
      </c>
      <c r="K2254" s="2">
        <v>64.261899999999997</v>
      </c>
      <c r="L2254" s="2">
        <v>272</v>
      </c>
      <c r="M2254" s="2">
        <v>96.031000000000006</v>
      </c>
      <c r="N2254" s="2">
        <v>269</v>
      </c>
      <c r="O2254" s="2">
        <v>96.863699999999994</v>
      </c>
      <c r="P2254" s="2">
        <v>255</v>
      </c>
      <c r="Q2254" s="2">
        <v>106.30200000000001</v>
      </c>
      <c r="R2254" s="2">
        <v>278</v>
      </c>
      <c r="S2254" s="2">
        <v>106.9629</v>
      </c>
      <c r="T2254" s="2">
        <v>265</v>
      </c>
      <c r="U2254" s="2">
        <v>0.24222199999999999</v>
      </c>
      <c r="V2254" s="2">
        <v>273</v>
      </c>
      <c r="W2254" s="2">
        <v>2008</v>
      </c>
    </row>
    <row r="2255" spans="1:23" ht="12.3" hidden="1" x14ac:dyDescent="0.4">
      <c r="A2255" s="2" t="s">
        <v>77</v>
      </c>
      <c r="B2255" s="2"/>
      <c r="C2255" s="2"/>
      <c r="D2255" s="2"/>
      <c r="E2255" s="2"/>
      <c r="F2255" s="2"/>
      <c r="G2255" s="2"/>
      <c r="H2255" s="2"/>
      <c r="I2255" s="2">
        <v>70.045699999999997</v>
      </c>
      <c r="J2255" s="2">
        <v>68</v>
      </c>
      <c r="K2255" s="2">
        <v>70.010999999999996</v>
      </c>
      <c r="L2255" s="2">
        <v>58</v>
      </c>
      <c r="M2255" s="2">
        <v>96.243399999999994</v>
      </c>
      <c r="N2255" s="2">
        <v>265</v>
      </c>
      <c r="O2255" s="2">
        <v>95.878100000000003</v>
      </c>
      <c r="P2255" s="2">
        <v>273</v>
      </c>
      <c r="Q2255" s="2">
        <v>105.9945</v>
      </c>
      <c r="R2255" s="2">
        <v>272</v>
      </c>
      <c r="S2255" s="2">
        <v>106.15300000000001</v>
      </c>
      <c r="T2255" s="2">
        <v>247</v>
      </c>
      <c r="U2255" s="2">
        <v>0.23672000000000001</v>
      </c>
      <c r="V2255" s="2">
        <v>274</v>
      </c>
      <c r="W2255" s="2">
        <v>2008</v>
      </c>
    </row>
    <row r="2256" spans="1:23" ht="12.3" hidden="1" x14ac:dyDescent="0.4">
      <c r="A2256" s="2" t="s">
        <v>362</v>
      </c>
      <c r="B2256" s="2"/>
      <c r="C2256" s="2"/>
      <c r="D2256" s="2"/>
      <c r="E2256" s="2"/>
      <c r="F2256" s="2"/>
      <c r="G2256" s="2"/>
      <c r="H2256" s="2"/>
      <c r="I2256" s="2">
        <v>65.591300000000004</v>
      </c>
      <c r="J2256" s="2">
        <v>221</v>
      </c>
      <c r="K2256" s="2">
        <v>66.266199999999998</v>
      </c>
      <c r="L2256" s="2">
        <v>185</v>
      </c>
      <c r="M2256" s="2">
        <v>99.777799999999999</v>
      </c>
      <c r="N2256" s="2">
        <v>211</v>
      </c>
      <c r="O2256" s="2">
        <v>96.974400000000003</v>
      </c>
      <c r="P2256" s="2">
        <v>253</v>
      </c>
      <c r="Q2256" s="2">
        <v>108.39919999999999</v>
      </c>
      <c r="R2256" s="2">
        <v>298</v>
      </c>
      <c r="S2256" s="2">
        <v>107.50449999999999</v>
      </c>
      <c r="T2256" s="2">
        <v>278</v>
      </c>
      <c r="U2256" s="2">
        <v>0.234067</v>
      </c>
      <c r="V2256" s="2">
        <v>275</v>
      </c>
      <c r="W2256" s="2">
        <v>2008</v>
      </c>
    </row>
    <row r="2257" spans="1:23" ht="12.3" hidden="1" x14ac:dyDescent="0.4">
      <c r="A2257" s="2" t="s">
        <v>324</v>
      </c>
      <c r="B2257" s="2"/>
      <c r="C2257" s="2"/>
      <c r="D2257" s="2"/>
      <c r="E2257" s="2"/>
      <c r="F2257" s="2"/>
      <c r="G2257" s="2"/>
      <c r="H2257" s="2"/>
      <c r="I2257" s="2">
        <v>62.377000000000002</v>
      </c>
      <c r="J2257" s="2">
        <v>308</v>
      </c>
      <c r="K2257" s="2">
        <v>61.813800000000001</v>
      </c>
      <c r="L2257" s="2">
        <v>322</v>
      </c>
      <c r="M2257" s="2">
        <v>100.3827</v>
      </c>
      <c r="N2257" s="2">
        <v>198</v>
      </c>
      <c r="O2257" s="2">
        <v>97.324399999999997</v>
      </c>
      <c r="P2257" s="2">
        <v>245</v>
      </c>
      <c r="Q2257" s="2">
        <v>105.5236</v>
      </c>
      <c r="R2257" s="2">
        <v>264</v>
      </c>
      <c r="S2257" s="2">
        <v>107.93129999999999</v>
      </c>
      <c r="T2257" s="2">
        <v>288</v>
      </c>
      <c r="U2257" s="2">
        <v>0.23332700000000001</v>
      </c>
      <c r="V2257" s="2">
        <v>276</v>
      </c>
      <c r="W2257" s="2">
        <v>2008</v>
      </c>
    </row>
    <row r="2258" spans="1:23" ht="12.3" hidden="1" x14ac:dyDescent="0.4">
      <c r="A2258" s="2" t="s">
        <v>224</v>
      </c>
      <c r="B2258" s="2"/>
      <c r="C2258" s="2"/>
      <c r="D2258" s="2"/>
      <c r="E2258" s="2"/>
      <c r="F2258" s="2"/>
      <c r="G2258" s="2"/>
      <c r="H2258" s="2"/>
      <c r="I2258" s="2">
        <v>69.511399999999995</v>
      </c>
      <c r="J2258" s="2">
        <v>84</v>
      </c>
      <c r="K2258" s="2">
        <v>69.265500000000003</v>
      </c>
      <c r="L2258" s="2">
        <v>83</v>
      </c>
      <c r="M2258" s="2">
        <v>97.4148</v>
      </c>
      <c r="N2258" s="2">
        <v>245</v>
      </c>
      <c r="O2258" s="2">
        <v>97.960800000000006</v>
      </c>
      <c r="P2258" s="2">
        <v>237</v>
      </c>
      <c r="Q2258" s="2">
        <v>109.54349999999999</v>
      </c>
      <c r="R2258" s="2">
        <v>315</v>
      </c>
      <c r="S2258" s="2">
        <v>108.74120000000001</v>
      </c>
      <c r="T2258" s="2">
        <v>298</v>
      </c>
      <c r="U2258" s="2">
        <v>0.23136200000000001</v>
      </c>
      <c r="V2258" s="2">
        <v>277</v>
      </c>
      <c r="W2258" s="2">
        <v>2008</v>
      </c>
    </row>
    <row r="2259" spans="1:23" ht="12.3" hidden="1" x14ac:dyDescent="0.4">
      <c r="A2259" s="2" t="s">
        <v>310</v>
      </c>
      <c r="B2259" s="2"/>
      <c r="C2259" s="2"/>
      <c r="D2259" s="2"/>
      <c r="E2259" s="2"/>
      <c r="F2259" s="2"/>
      <c r="G2259" s="2"/>
      <c r="H2259" s="2"/>
      <c r="I2259" s="2">
        <v>66.372600000000006</v>
      </c>
      <c r="J2259" s="2">
        <v>190</v>
      </c>
      <c r="K2259" s="2">
        <v>66.259799999999998</v>
      </c>
      <c r="L2259" s="2">
        <v>187</v>
      </c>
      <c r="M2259" s="2">
        <v>98.985399999999998</v>
      </c>
      <c r="N2259" s="2">
        <v>220</v>
      </c>
      <c r="O2259" s="2">
        <v>96.423299999999998</v>
      </c>
      <c r="P2259" s="2">
        <v>259</v>
      </c>
      <c r="Q2259" s="2">
        <v>105.0056</v>
      </c>
      <c r="R2259" s="2">
        <v>246</v>
      </c>
      <c r="S2259" s="2">
        <v>107.0471</v>
      </c>
      <c r="T2259" s="2">
        <v>269</v>
      </c>
      <c r="U2259" s="2">
        <v>0.23111899999999999</v>
      </c>
      <c r="V2259" s="2">
        <v>278</v>
      </c>
      <c r="W2259" s="2">
        <v>2008</v>
      </c>
    </row>
    <row r="2260" spans="1:23" ht="12.3" hidden="1" x14ac:dyDescent="0.4">
      <c r="A2260" s="2" t="s">
        <v>352</v>
      </c>
      <c r="B2260" s="2"/>
      <c r="C2260" s="2"/>
      <c r="D2260" s="2"/>
      <c r="E2260" s="2"/>
      <c r="F2260" s="2"/>
      <c r="G2260" s="2"/>
      <c r="H2260" s="2"/>
      <c r="I2260" s="2">
        <v>67.741699999999994</v>
      </c>
      <c r="J2260" s="2">
        <v>145</v>
      </c>
      <c r="K2260" s="2">
        <v>67.989800000000002</v>
      </c>
      <c r="L2260" s="2">
        <v>128</v>
      </c>
      <c r="M2260" s="2">
        <v>84.062200000000004</v>
      </c>
      <c r="N2260" s="2">
        <v>338</v>
      </c>
      <c r="O2260" s="2">
        <v>88.200699999999998</v>
      </c>
      <c r="P2260" s="2">
        <v>334</v>
      </c>
      <c r="Q2260" s="2">
        <v>98.480099999999993</v>
      </c>
      <c r="R2260" s="2">
        <v>80</v>
      </c>
      <c r="S2260" s="2">
        <v>98.104900000000001</v>
      </c>
      <c r="T2260" s="2">
        <v>86</v>
      </c>
      <c r="U2260" s="2">
        <v>0.22725799999999999</v>
      </c>
      <c r="V2260" s="2">
        <v>279</v>
      </c>
      <c r="W2260" s="2">
        <v>2008</v>
      </c>
    </row>
    <row r="2261" spans="1:23" ht="12.3" hidden="1" x14ac:dyDescent="0.4">
      <c r="A2261" s="2" t="s">
        <v>320</v>
      </c>
      <c r="B2261" s="2"/>
      <c r="C2261" s="2"/>
      <c r="D2261" s="2"/>
      <c r="E2261" s="2"/>
      <c r="F2261" s="2"/>
      <c r="G2261" s="2"/>
      <c r="H2261" s="2"/>
      <c r="I2261" s="2">
        <v>69.688400000000001</v>
      </c>
      <c r="J2261" s="2">
        <v>81</v>
      </c>
      <c r="K2261" s="2">
        <v>70.290599999999998</v>
      </c>
      <c r="L2261" s="2">
        <v>51</v>
      </c>
      <c r="M2261" s="2">
        <v>99.404300000000006</v>
      </c>
      <c r="N2261" s="2">
        <v>214</v>
      </c>
      <c r="O2261" s="2">
        <v>95.932500000000005</v>
      </c>
      <c r="P2261" s="2">
        <v>272</v>
      </c>
      <c r="Q2261" s="2">
        <v>101.24939999999999</v>
      </c>
      <c r="R2261" s="2">
        <v>147</v>
      </c>
      <c r="S2261" s="2">
        <v>106.9513</v>
      </c>
      <c r="T2261" s="2">
        <v>264</v>
      </c>
      <c r="U2261" s="2">
        <v>0.222634</v>
      </c>
      <c r="V2261" s="2">
        <v>280</v>
      </c>
      <c r="W2261" s="2">
        <v>2008</v>
      </c>
    </row>
    <row r="2262" spans="1:23" ht="12.3" hidden="1" x14ac:dyDescent="0.4">
      <c r="A2262" s="2" t="s">
        <v>318</v>
      </c>
      <c r="B2262" s="2"/>
      <c r="C2262" s="2"/>
      <c r="D2262" s="2"/>
      <c r="E2262" s="2"/>
      <c r="F2262" s="2"/>
      <c r="G2262" s="2"/>
      <c r="H2262" s="2"/>
      <c r="I2262" s="2">
        <v>74.241799999999998</v>
      </c>
      <c r="J2262" s="2">
        <v>12</v>
      </c>
      <c r="K2262" s="2">
        <v>72.073499999999996</v>
      </c>
      <c r="L2262" s="2">
        <v>20</v>
      </c>
      <c r="M2262" s="2">
        <v>100.58320000000001</v>
      </c>
      <c r="N2262" s="2">
        <v>192</v>
      </c>
      <c r="O2262" s="2">
        <v>96.878299999999996</v>
      </c>
      <c r="P2262" s="2">
        <v>254</v>
      </c>
      <c r="Q2262" s="2">
        <v>104.8</v>
      </c>
      <c r="R2262" s="2">
        <v>240</v>
      </c>
      <c r="S2262" s="2">
        <v>108.021</v>
      </c>
      <c r="T2262" s="2">
        <v>290</v>
      </c>
      <c r="U2262" s="2">
        <v>0.222353</v>
      </c>
      <c r="V2262" s="2">
        <v>281</v>
      </c>
      <c r="W2262" s="2">
        <v>2008</v>
      </c>
    </row>
    <row r="2263" spans="1:23" ht="12.3" hidden="1" x14ac:dyDescent="0.4">
      <c r="A2263" s="2" t="s">
        <v>255</v>
      </c>
      <c r="B2263" s="2"/>
      <c r="C2263" s="2"/>
      <c r="D2263" s="2"/>
      <c r="E2263" s="2"/>
      <c r="F2263" s="2"/>
      <c r="G2263" s="2"/>
      <c r="H2263" s="2"/>
      <c r="I2263" s="2">
        <v>68.593500000000006</v>
      </c>
      <c r="J2263" s="2">
        <v>112</v>
      </c>
      <c r="K2263" s="2">
        <v>68.898099999999999</v>
      </c>
      <c r="L2263" s="2">
        <v>99</v>
      </c>
      <c r="M2263" s="2">
        <v>99.397099999999995</v>
      </c>
      <c r="N2263" s="2">
        <v>217</v>
      </c>
      <c r="O2263" s="2">
        <v>98.129000000000005</v>
      </c>
      <c r="P2263" s="2">
        <v>232</v>
      </c>
      <c r="Q2263" s="2">
        <v>108.08159999999999</v>
      </c>
      <c r="R2263" s="2">
        <v>295</v>
      </c>
      <c r="S2263" s="2">
        <v>109.44159999999999</v>
      </c>
      <c r="T2263" s="2">
        <v>305</v>
      </c>
      <c r="U2263" s="2">
        <v>0.22187899999999999</v>
      </c>
      <c r="V2263" s="2">
        <v>282</v>
      </c>
      <c r="W2263" s="2">
        <v>2008</v>
      </c>
    </row>
    <row r="2264" spans="1:23" ht="12.3" hidden="1" x14ac:dyDescent="0.4">
      <c r="A2264" s="2" t="s">
        <v>334</v>
      </c>
      <c r="B2264" s="2"/>
      <c r="C2264" s="2"/>
      <c r="D2264" s="2"/>
      <c r="E2264" s="2"/>
      <c r="F2264" s="2"/>
      <c r="G2264" s="2"/>
      <c r="H2264" s="2"/>
      <c r="I2264" s="2">
        <v>65.518299999999996</v>
      </c>
      <c r="J2264" s="2">
        <v>225</v>
      </c>
      <c r="K2264" s="2">
        <v>64.560100000000006</v>
      </c>
      <c r="L2264" s="2">
        <v>260</v>
      </c>
      <c r="M2264" s="2">
        <v>101.1648</v>
      </c>
      <c r="N2264" s="2">
        <v>182</v>
      </c>
      <c r="O2264" s="2">
        <v>98.234499999999997</v>
      </c>
      <c r="P2264" s="2">
        <v>229</v>
      </c>
      <c r="Q2264" s="2">
        <v>109.9834</v>
      </c>
      <c r="R2264" s="2">
        <v>320</v>
      </c>
      <c r="S2264" s="2">
        <v>109.6052</v>
      </c>
      <c r="T2264" s="2">
        <v>308</v>
      </c>
      <c r="U2264" s="2">
        <v>0.22104699999999999</v>
      </c>
      <c r="V2264" s="2">
        <v>283</v>
      </c>
      <c r="W2264" s="2">
        <v>2008</v>
      </c>
    </row>
    <row r="2265" spans="1:23" ht="12.3" hidden="1" x14ac:dyDescent="0.4">
      <c r="A2265" s="2" t="s">
        <v>185</v>
      </c>
      <c r="B2265" s="2"/>
      <c r="C2265" s="2"/>
      <c r="D2265" s="2"/>
      <c r="E2265" s="2"/>
      <c r="F2265" s="2"/>
      <c r="G2265" s="2"/>
      <c r="H2265" s="2"/>
      <c r="I2265" s="2">
        <v>65.030600000000007</v>
      </c>
      <c r="J2265" s="2">
        <v>248</v>
      </c>
      <c r="K2265" s="2">
        <v>64.413600000000002</v>
      </c>
      <c r="L2265" s="2">
        <v>267</v>
      </c>
      <c r="M2265" s="2">
        <v>92.184399999999997</v>
      </c>
      <c r="N2265" s="2">
        <v>313</v>
      </c>
      <c r="O2265" s="2">
        <v>94.141499999999994</v>
      </c>
      <c r="P2265" s="2">
        <v>293</v>
      </c>
      <c r="Q2265" s="2">
        <v>104.0012</v>
      </c>
      <c r="R2265" s="2">
        <v>212</v>
      </c>
      <c r="S2265" s="2">
        <v>105.1088</v>
      </c>
      <c r="T2265" s="2">
        <v>232</v>
      </c>
      <c r="U2265" s="2">
        <v>0.21972700000000001</v>
      </c>
      <c r="V2265" s="2">
        <v>284</v>
      </c>
      <c r="W2265" s="2">
        <v>2008</v>
      </c>
    </row>
    <row r="2266" spans="1:23" ht="12.3" hidden="1" x14ac:dyDescent="0.4">
      <c r="A2266" s="2" t="s">
        <v>335</v>
      </c>
      <c r="B2266" s="2"/>
      <c r="C2266" s="2"/>
      <c r="D2266" s="2"/>
      <c r="E2266" s="2"/>
      <c r="F2266" s="2"/>
      <c r="G2266" s="2"/>
      <c r="H2266" s="2"/>
      <c r="I2266" s="2">
        <v>69.339699999999993</v>
      </c>
      <c r="J2266" s="2">
        <v>88</v>
      </c>
      <c r="K2266" s="2">
        <v>68.664900000000003</v>
      </c>
      <c r="L2266" s="2">
        <v>105</v>
      </c>
      <c r="M2266" s="2">
        <v>95.864599999999996</v>
      </c>
      <c r="N2266" s="2">
        <v>271</v>
      </c>
      <c r="O2266" s="2">
        <v>93.5077</v>
      </c>
      <c r="P2266" s="2">
        <v>302</v>
      </c>
      <c r="Q2266" s="2">
        <v>104.5111</v>
      </c>
      <c r="R2266" s="2">
        <v>227</v>
      </c>
      <c r="S2266" s="2">
        <v>104.4468</v>
      </c>
      <c r="T2266" s="2">
        <v>213</v>
      </c>
      <c r="U2266" s="2">
        <v>0.218865</v>
      </c>
      <c r="V2266" s="2">
        <v>285</v>
      </c>
      <c r="W2266" s="2">
        <v>2008</v>
      </c>
    </row>
    <row r="2267" spans="1:23" ht="12.3" x14ac:dyDescent="0.4">
      <c r="A2267" s="2" t="s">
        <v>240</v>
      </c>
      <c r="B2267" s="2">
        <v>13</v>
      </c>
      <c r="C2267" s="2"/>
      <c r="D2267" s="2"/>
      <c r="E2267" s="2"/>
      <c r="F2267" s="2"/>
      <c r="G2267" s="2"/>
      <c r="H2267" s="2"/>
      <c r="I2267" s="2">
        <v>63.688600000000001</v>
      </c>
      <c r="J2267" s="2">
        <v>291</v>
      </c>
      <c r="K2267" s="2">
        <v>63.138500000000001</v>
      </c>
      <c r="L2267" s="2">
        <v>298</v>
      </c>
      <c r="M2267" s="2">
        <v>101.76130000000001</v>
      </c>
      <c r="N2267" s="2">
        <v>168</v>
      </c>
      <c r="O2267" s="2">
        <v>97.460499999999996</v>
      </c>
      <c r="P2267" s="2">
        <v>243</v>
      </c>
      <c r="Q2267" s="2">
        <v>92.325000000000003</v>
      </c>
      <c r="R2267" s="2">
        <v>14</v>
      </c>
      <c r="S2267" s="2">
        <v>91.6691</v>
      </c>
      <c r="T2267" s="2">
        <v>13</v>
      </c>
      <c r="U2267" s="2">
        <v>0.66918699999999998</v>
      </c>
      <c r="V2267" s="2">
        <v>96</v>
      </c>
      <c r="W2267" s="2">
        <v>2008</v>
      </c>
    </row>
    <row r="2268" spans="1:23" ht="12.3" hidden="1" x14ac:dyDescent="0.4">
      <c r="A2268" s="2" t="s">
        <v>367</v>
      </c>
      <c r="B2268" s="2"/>
      <c r="C2268" s="2"/>
      <c r="D2268" s="2"/>
      <c r="E2268" s="2"/>
      <c r="F2268" s="2"/>
      <c r="G2268" s="2"/>
      <c r="H2268" s="2"/>
      <c r="I2268" s="2">
        <v>67.492800000000003</v>
      </c>
      <c r="J2268" s="2">
        <v>158</v>
      </c>
      <c r="K2268" s="2">
        <v>65.311700000000002</v>
      </c>
      <c r="L2268" s="2">
        <v>228</v>
      </c>
      <c r="M2268" s="2">
        <v>91.398499999999999</v>
      </c>
      <c r="N2268" s="2">
        <v>320</v>
      </c>
      <c r="O2268" s="2">
        <v>92.775099999999995</v>
      </c>
      <c r="P2268" s="2">
        <v>311</v>
      </c>
      <c r="Q2268" s="2">
        <v>104.10890000000001</v>
      </c>
      <c r="R2268" s="2">
        <v>217</v>
      </c>
      <c r="S2268" s="2">
        <v>103.7709</v>
      </c>
      <c r="T2268" s="2">
        <v>200</v>
      </c>
      <c r="U2268" s="2">
        <v>0.21617800000000001</v>
      </c>
      <c r="V2268" s="2">
        <v>287</v>
      </c>
      <c r="W2268" s="2">
        <v>2008</v>
      </c>
    </row>
    <row r="2269" spans="1:23" ht="12.3" hidden="1" x14ac:dyDescent="0.4">
      <c r="A2269" s="2" t="s">
        <v>364</v>
      </c>
      <c r="B2269" s="2"/>
      <c r="C2269" s="2"/>
      <c r="D2269" s="2"/>
      <c r="E2269" s="2"/>
      <c r="F2269" s="2"/>
      <c r="G2269" s="2"/>
      <c r="H2269" s="2"/>
      <c r="I2269" s="2">
        <v>68.013599999999997</v>
      </c>
      <c r="J2269" s="2">
        <v>132</v>
      </c>
      <c r="K2269" s="2">
        <v>66.699799999999996</v>
      </c>
      <c r="L2269" s="2">
        <v>168</v>
      </c>
      <c r="M2269" s="2">
        <v>93.226799999999997</v>
      </c>
      <c r="N2269" s="2">
        <v>303</v>
      </c>
      <c r="O2269" s="2">
        <v>92.541700000000006</v>
      </c>
      <c r="P2269" s="2">
        <v>316</v>
      </c>
      <c r="Q2269" s="2">
        <v>100.1322</v>
      </c>
      <c r="R2269" s="2">
        <v>118</v>
      </c>
      <c r="S2269" s="2">
        <v>103.5762</v>
      </c>
      <c r="T2269" s="2">
        <v>195</v>
      </c>
      <c r="U2269" s="2">
        <v>0.21493100000000001</v>
      </c>
      <c r="V2269" s="2">
        <v>288</v>
      </c>
      <c r="W2269" s="2">
        <v>2008</v>
      </c>
    </row>
    <row r="2270" spans="1:23" ht="12.3" hidden="1" x14ac:dyDescent="0.4">
      <c r="A2270" s="2" t="s">
        <v>201</v>
      </c>
      <c r="B2270" s="2"/>
      <c r="C2270" s="2"/>
      <c r="D2270" s="2"/>
      <c r="E2270" s="2"/>
      <c r="F2270" s="2"/>
      <c r="G2270" s="2"/>
      <c r="H2270" s="2"/>
      <c r="I2270" s="2">
        <v>64.220600000000005</v>
      </c>
      <c r="J2270" s="2">
        <v>277</v>
      </c>
      <c r="K2270" s="2">
        <v>64.001999999999995</v>
      </c>
      <c r="L2270" s="2">
        <v>277</v>
      </c>
      <c r="M2270" s="2">
        <v>98.393500000000003</v>
      </c>
      <c r="N2270" s="2">
        <v>231</v>
      </c>
      <c r="O2270" s="2">
        <v>94.049499999999995</v>
      </c>
      <c r="P2270" s="2">
        <v>296</v>
      </c>
      <c r="Q2270" s="2">
        <v>105.98260000000001</v>
      </c>
      <c r="R2270" s="2">
        <v>271</v>
      </c>
      <c r="S2270" s="2">
        <v>105.6384</v>
      </c>
      <c r="T2270" s="2">
        <v>238</v>
      </c>
      <c r="U2270" s="2">
        <v>0.208117</v>
      </c>
      <c r="V2270" s="2">
        <v>289</v>
      </c>
      <c r="W2270" s="2">
        <v>2008</v>
      </c>
    </row>
    <row r="2271" spans="1:23" ht="12.3" hidden="1" x14ac:dyDescent="0.4">
      <c r="A2271" s="2" t="s">
        <v>140</v>
      </c>
      <c r="B2271" s="2"/>
      <c r="C2271" s="2"/>
      <c r="D2271" s="2"/>
      <c r="E2271" s="2"/>
      <c r="F2271" s="2"/>
      <c r="G2271" s="2"/>
      <c r="H2271" s="2"/>
      <c r="I2271" s="2">
        <v>66.997</v>
      </c>
      <c r="J2271" s="2">
        <v>171</v>
      </c>
      <c r="K2271" s="2">
        <v>66.1648</v>
      </c>
      <c r="L2271" s="2">
        <v>192</v>
      </c>
      <c r="M2271" s="2">
        <v>91.735600000000005</v>
      </c>
      <c r="N2271" s="2">
        <v>317</v>
      </c>
      <c r="O2271" s="2">
        <v>94.003699999999995</v>
      </c>
      <c r="P2271" s="2">
        <v>297</v>
      </c>
      <c r="Q2271" s="2">
        <v>105.2543</v>
      </c>
      <c r="R2271" s="2">
        <v>254</v>
      </c>
      <c r="S2271" s="2">
        <v>106.13500000000001</v>
      </c>
      <c r="T2271" s="2">
        <v>246</v>
      </c>
      <c r="U2271" s="2">
        <v>0.19847699999999999</v>
      </c>
      <c r="V2271" s="2">
        <v>290</v>
      </c>
      <c r="W2271" s="2">
        <v>2008</v>
      </c>
    </row>
    <row r="2272" spans="1:23" ht="12.3" hidden="1" x14ac:dyDescent="0.4">
      <c r="A2272" s="2" t="s">
        <v>301</v>
      </c>
      <c r="B2272" s="2"/>
      <c r="C2272" s="2"/>
      <c r="D2272" s="2"/>
      <c r="E2272" s="2"/>
      <c r="F2272" s="2"/>
      <c r="G2272" s="2"/>
      <c r="H2272" s="2"/>
      <c r="I2272" s="2">
        <v>66.9268</v>
      </c>
      <c r="J2272" s="2">
        <v>174</v>
      </c>
      <c r="K2272" s="2">
        <v>67.103899999999996</v>
      </c>
      <c r="L2272" s="2">
        <v>156</v>
      </c>
      <c r="M2272" s="2">
        <v>94.026700000000005</v>
      </c>
      <c r="N2272" s="2">
        <v>296</v>
      </c>
      <c r="O2272" s="2">
        <v>94.746499999999997</v>
      </c>
      <c r="P2272" s="2">
        <v>286</v>
      </c>
      <c r="Q2272" s="2">
        <v>103.1498</v>
      </c>
      <c r="R2272" s="2">
        <v>199</v>
      </c>
      <c r="S2272" s="2">
        <v>107.0333</v>
      </c>
      <c r="T2272" s="2">
        <v>268</v>
      </c>
      <c r="U2272" s="2">
        <v>0.197459</v>
      </c>
      <c r="V2272" s="2">
        <v>291</v>
      </c>
      <c r="W2272" s="2">
        <v>2008</v>
      </c>
    </row>
    <row r="2273" spans="1:23" ht="12.3" x14ac:dyDescent="0.4">
      <c r="A2273" s="2" t="s">
        <v>19</v>
      </c>
      <c r="B2273" s="2">
        <v>14</v>
      </c>
      <c r="C2273" s="2"/>
      <c r="D2273" s="2"/>
      <c r="E2273" s="2"/>
      <c r="F2273" s="2"/>
      <c r="G2273" s="2"/>
      <c r="H2273" s="2"/>
      <c r="I2273" s="2">
        <v>66.756600000000006</v>
      </c>
      <c r="J2273" s="2">
        <v>179</v>
      </c>
      <c r="K2273" s="2">
        <v>65.877200000000002</v>
      </c>
      <c r="L2273" s="2">
        <v>204</v>
      </c>
      <c r="M2273" s="2">
        <v>101.2043</v>
      </c>
      <c r="N2273" s="2">
        <v>181</v>
      </c>
      <c r="O2273" s="2">
        <v>102.1974</v>
      </c>
      <c r="P2273" s="2">
        <v>171</v>
      </c>
      <c r="Q2273" s="2">
        <v>99.7834</v>
      </c>
      <c r="R2273" s="2">
        <v>109</v>
      </c>
      <c r="S2273" s="2">
        <v>96.238600000000005</v>
      </c>
      <c r="T2273" s="2">
        <v>56</v>
      </c>
      <c r="U2273" s="2">
        <v>0.66615899999999995</v>
      </c>
      <c r="V2273" s="2">
        <v>97</v>
      </c>
      <c r="W2273" s="2">
        <v>2008</v>
      </c>
    </row>
    <row r="2274" spans="1:23" ht="12.3" hidden="1" x14ac:dyDescent="0.4">
      <c r="A2274" s="2" t="s">
        <v>208</v>
      </c>
      <c r="B2274" s="2"/>
      <c r="C2274" s="2"/>
      <c r="D2274" s="2"/>
      <c r="E2274" s="2"/>
      <c r="F2274" s="2"/>
      <c r="G2274" s="2"/>
      <c r="H2274" s="2"/>
      <c r="I2274" s="2">
        <v>56.8277</v>
      </c>
      <c r="J2274" s="2">
        <v>341</v>
      </c>
      <c r="K2274" s="2">
        <v>56.404899999999998</v>
      </c>
      <c r="L2274" s="2">
        <v>341</v>
      </c>
      <c r="M2274" s="2">
        <v>99.915700000000001</v>
      </c>
      <c r="N2274" s="2">
        <v>209</v>
      </c>
      <c r="O2274" s="2">
        <v>97.0899</v>
      </c>
      <c r="P2274" s="2">
        <v>249</v>
      </c>
      <c r="Q2274" s="2">
        <v>108.2427</v>
      </c>
      <c r="R2274" s="2">
        <v>297</v>
      </c>
      <c r="S2274" s="2">
        <v>109.9496</v>
      </c>
      <c r="T2274" s="2">
        <v>312</v>
      </c>
      <c r="U2274" s="2">
        <v>0.19303300000000001</v>
      </c>
      <c r="V2274" s="2">
        <v>293</v>
      </c>
      <c r="W2274" s="2">
        <v>2008</v>
      </c>
    </row>
    <row r="2275" spans="1:23" ht="12.3" hidden="1" x14ac:dyDescent="0.4">
      <c r="A2275" s="2" t="s">
        <v>319</v>
      </c>
      <c r="B2275" s="2"/>
      <c r="C2275" s="2"/>
      <c r="D2275" s="2"/>
      <c r="E2275" s="2"/>
      <c r="F2275" s="2"/>
      <c r="G2275" s="2"/>
      <c r="H2275" s="2"/>
      <c r="I2275" s="2">
        <v>71.507099999999994</v>
      </c>
      <c r="J2275" s="2">
        <v>37</v>
      </c>
      <c r="K2275" s="2">
        <v>69.769499999999994</v>
      </c>
      <c r="L2275" s="2">
        <v>72</v>
      </c>
      <c r="M2275" s="2">
        <v>98.889700000000005</v>
      </c>
      <c r="N2275" s="2">
        <v>222</v>
      </c>
      <c r="O2275" s="2">
        <v>95.278000000000006</v>
      </c>
      <c r="P2275" s="2">
        <v>278</v>
      </c>
      <c r="Q2275" s="2">
        <v>105.0202</v>
      </c>
      <c r="R2275" s="2">
        <v>248</v>
      </c>
      <c r="S2275" s="2">
        <v>107.9079</v>
      </c>
      <c r="T2275" s="2">
        <v>286</v>
      </c>
      <c r="U2275" s="2">
        <v>0.19286300000000001</v>
      </c>
      <c r="V2275" s="2">
        <v>294</v>
      </c>
      <c r="W2275" s="2">
        <v>2008</v>
      </c>
    </row>
    <row r="2276" spans="1:23" ht="12.3" hidden="1" x14ac:dyDescent="0.4">
      <c r="A2276" s="2" t="s">
        <v>195</v>
      </c>
      <c r="B2276" s="2"/>
      <c r="C2276" s="2"/>
      <c r="D2276" s="2"/>
      <c r="E2276" s="2"/>
      <c r="F2276" s="2"/>
      <c r="G2276" s="2"/>
      <c r="H2276" s="2"/>
      <c r="I2276" s="2">
        <v>65.800799999999995</v>
      </c>
      <c r="J2276" s="2">
        <v>206</v>
      </c>
      <c r="K2276" s="2">
        <v>66.138400000000004</v>
      </c>
      <c r="L2276" s="2">
        <v>193</v>
      </c>
      <c r="M2276" s="2">
        <v>93.367500000000007</v>
      </c>
      <c r="N2276" s="2">
        <v>302</v>
      </c>
      <c r="O2276" s="2">
        <v>93.076300000000003</v>
      </c>
      <c r="P2276" s="2">
        <v>308</v>
      </c>
      <c r="Q2276" s="2">
        <v>108.4014</v>
      </c>
      <c r="R2276" s="2">
        <v>299</v>
      </c>
      <c r="S2276" s="2">
        <v>105.4786</v>
      </c>
      <c r="T2276" s="2">
        <v>234</v>
      </c>
      <c r="U2276" s="2">
        <v>0.191774</v>
      </c>
      <c r="V2276" s="2">
        <v>295</v>
      </c>
      <c r="W2276" s="2">
        <v>2008</v>
      </c>
    </row>
    <row r="2277" spans="1:23" ht="12.3" hidden="1" x14ac:dyDescent="0.4">
      <c r="A2277" s="2" t="s">
        <v>283</v>
      </c>
      <c r="B2277" s="2"/>
      <c r="C2277" s="2"/>
      <c r="D2277" s="2"/>
      <c r="E2277" s="2"/>
      <c r="F2277" s="2"/>
      <c r="G2277" s="2"/>
      <c r="H2277" s="2"/>
      <c r="I2277" s="2">
        <v>66.677000000000007</v>
      </c>
      <c r="J2277" s="2">
        <v>183</v>
      </c>
      <c r="K2277" s="2">
        <v>65.843999999999994</v>
      </c>
      <c r="L2277" s="2">
        <v>207</v>
      </c>
      <c r="M2277" s="2">
        <v>93.109800000000007</v>
      </c>
      <c r="N2277" s="2">
        <v>304</v>
      </c>
      <c r="O2277" s="2">
        <v>94.755700000000004</v>
      </c>
      <c r="P2277" s="2">
        <v>285</v>
      </c>
      <c r="Q2277" s="2">
        <v>109.76</v>
      </c>
      <c r="R2277" s="2">
        <v>318</v>
      </c>
      <c r="S2277" s="2">
        <v>107.3965</v>
      </c>
      <c r="T2277" s="2">
        <v>274</v>
      </c>
      <c r="U2277" s="2">
        <v>0.19153000000000001</v>
      </c>
      <c r="V2277" s="2">
        <v>296</v>
      </c>
      <c r="W2277" s="2">
        <v>2008</v>
      </c>
    </row>
    <row r="2278" spans="1:23" ht="12.3" hidden="1" x14ac:dyDescent="0.4">
      <c r="A2278" s="2" t="s">
        <v>304</v>
      </c>
      <c r="B2278" s="2"/>
      <c r="C2278" s="2"/>
      <c r="D2278" s="2"/>
      <c r="E2278" s="2"/>
      <c r="F2278" s="2"/>
      <c r="G2278" s="2"/>
      <c r="H2278" s="2"/>
      <c r="I2278" s="2">
        <v>65.910700000000006</v>
      </c>
      <c r="J2278" s="2">
        <v>202</v>
      </c>
      <c r="K2278" s="2">
        <v>65.630499999999998</v>
      </c>
      <c r="L2278" s="2">
        <v>213</v>
      </c>
      <c r="M2278" s="2">
        <v>94.821399999999997</v>
      </c>
      <c r="N2278" s="2">
        <v>283</v>
      </c>
      <c r="O2278" s="2">
        <v>95.990200000000002</v>
      </c>
      <c r="P2278" s="2">
        <v>270</v>
      </c>
      <c r="Q2278" s="2">
        <v>108.54219999999999</v>
      </c>
      <c r="R2278" s="2">
        <v>302</v>
      </c>
      <c r="S2278" s="2">
        <v>108.9289</v>
      </c>
      <c r="T2278" s="2">
        <v>301</v>
      </c>
      <c r="U2278" s="2">
        <v>0.189362</v>
      </c>
      <c r="V2278" s="2">
        <v>297</v>
      </c>
      <c r="W2278" s="2">
        <v>2008</v>
      </c>
    </row>
    <row r="2279" spans="1:23" ht="12.3" hidden="1" x14ac:dyDescent="0.4">
      <c r="A2279" s="2" t="s">
        <v>368</v>
      </c>
      <c r="B2279" s="2"/>
      <c r="C2279" s="2"/>
      <c r="D2279" s="2"/>
      <c r="E2279" s="2"/>
      <c r="F2279" s="2"/>
      <c r="G2279" s="2"/>
      <c r="H2279" s="2"/>
      <c r="I2279" s="2">
        <v>60.4773</v>
      </c>
      <c r="J2279" s="2">
        <v>327</v>
      </c>
      <c r="K2279" s="2">
        <v>60.699599999999997</v>
      </c>
      <c r="L2279" s="2">
        <v>330</v>
      </c>
      <c r="M2279" s="2">
        <v>91.86</v>
      </c>
      <c r="N2279" s="2">
        <v>315</v>
      </c>
      <c r="O2279" s="2">
        <v>95.039100000000005</v>
      </c>
      <c r="P2279" s="2">
        <v>280</v>
      </c>
      <c r="Q2279" s="2">
        <v>112.9532</v>
      </c>
      <c r="R2279" s="2">
        <v>337</v>
      </c>
      <c r="S2279" s="2">
        <v>107.9472</v>
      </c>
      <c r="T2279" s="2">
        <v>289</v>
      </c>
      <c r="U2279" s="2">
        <v>0.18776899999999999</v>
      </c>
      <c r="V2279" s="2">
        <v>298</v>
      </c>
      <c r="W2279" s="2">
        <v>2008</v>
      </c>
    </row>
    <row r="2280" spans="1:23" ht="12.3" hidden="1" x14ac:dyDescent="0.4">
      <c r="A2280" s="2" t="s">
        <v>284</v>
      </c>
      <c r="B2280" s="2"/>
      <c r="C2280" s="2"/>
      <c r="D2280" s="2"/>
      <c r="E2280" s="2"/>
      <c r="F2280" s="2"/>
      <c r="G2280" s="2"/>
      <c r="H2280" s="2"/>
      <c r="I2280" s="2">
        <v>64.240899999999996</v>
      </c>
      <c r="J2280" s="2">
        <v>275</v>
      </c>
      <c r="K2280" s="2">
        <v>63.6068</v>
      </c>
      <c r="L2280" s="2">
        <v>291</v>
      </c>
      <c r="M2280" s="2">
        <v>91.625799999999998</v>
      </c>
      <c r="N2280" s="2">
        <v>318</v>
      </c>
      <c r="O2280" s="2">
        <v>93.363200000000006</v>
      </c>
      <c r="P2280" s="2">
        <v>304</v>
      </c>
      <c r="Q2280" s="2">
        <v>105.5025</v>
      </c>
      <c r="R2280" s="2">
        <v>262</v>
      </c>
      <c r="S2280" s="2">
        <v>106.1677</v>
      </c>
      <c r="T2280" s="2">
        <v>249</v>
      </c>
      <c r="U2280" s="2">
        <v>0.185728</v>
      </c>
      <c r="V2280" s="2">
        <v>299</v>
      </c>
      <c r="W2280" s="2">
        <v>2008</v>
      </c>
    </row>
    <row r="2281" spans="1:23" ht="12.3" hidden="1" x14ac:dyDescent="0.4">
      <c r="A2281" s="2" t="s">
        <v>223</v>
      </c>
      <c r="B2281" s="2"/>
      <c r="C2281" s="2"/>
      <c r="D2281" s="2"/>
      <c r="E2281" s="2"/>
      <c r="F2281" s="2"/>
      <c r="G2281" s="2"/>
      <c r="H2281" s="2"/>
      <c r="I2281" s="2">
        <v>69.8108</v>
      </c>
      <c r="J2281" s="2">
        <v>74</v>
      </c>
      <c r="K2281" s="2">
        <v>70.440700000000007</v>
      </c>
      <c r="L2281" s="2">
        <v>47</v>
      </c>
      <c r="M2281" s="2">
        <v>95.286199999999994</v>
      </c>
      <c r="N2281" s="2">
        <v>275</v>
      </c>
      <c r="O2281" s="2">
        <v>94.257300000000001</v>
      </c>
      <c r="P2281" s="2">
        <v>291</v>
      </c>
      <c r="Q2281" s="2">
        <v>110.1807</v>
      </c>
      <c r="R2281" s="2">
        <v>323</v>
      </c>
      <c r="S2281" s="2">
        <v>107.24939999999999</v>
      </c>
      <c r="T2281" s="2">
        <v>271</v>
      </c>
      <c r="U2281" s="2">
        <v>0.18467700000000001</v>
      </c>
      <c r="V2281" s="2">
        <v>300</v>
      </c>
      <c r="W2281" s="2">
        <v>2008</v>
      </c>
    </row>
    <row r="2282" spans="1:23" ht="12.3" hidden="1" x14ac:dyDescent="0.4">
      <c r="A2282" s="2" t="s">
        <v>294</v>
      </c>
      <c r="B2282" s="2"/>
      <c r="C2282" s="2"/>
      <c r="D2282" s="2"/>
      <c r="E2282" s="2"/>
      <c r="F2282" s="2"/>
      <c r="G2282" s="2"/>
      <c r="H2282" s="2"/>
      <c r="I2282" s="2">
        <v>61.6374</v>
      </c>
      <c r="J2282" s="2">
        <v>319</v>
      </c>
      <c r="K2282" s="2">
        <v>61.550899999999999</v>
      </c>
      <c r="L2282" s="2">
        <v>325</v>
      </c>
      <c r="M2282" s="2">
        <v>94.275999999999996</v>
      </c>
      <c r="N2282" s="2">
        <v>290</v>
      </c>
      <c r="O2282" s="2">
        <v>94.387100000000004</v>
      </c>
      <c r="P2282" s="2">
        <v>289</v>
      </c>
      <c r="Q2282" s="2">
        <v>110.1808</v>
      </c>
      <c r="R2282" s="2">
        <v>324</v>
      </c>
      <c r="S2282" s="2">
        <v>107.5702</v>
      </c>
      <c r="T2282" s="2">
        <v>280</v>
      </c>
      <c r="U2282" s="2">
        <v>0.18190300000000001</v>
      </c>
      <c r="V2282" s="2">
        <v>301</v>
      </c>
      <c r="W2282" s="2">
        <v>2008</v>
      </c>
    </row>
    <row r="2283" spans="1:23" ht="12.3" hidden="1" x14ac:dyDescent="0.4">
      <c r="A2283" s="2" t="s">
        <v>336</v>
      </c>
      <c r="B2283" s="2"/>
      <c r="C2283" s="2"/>
      <c r="D2283" s="2"/>
      <c r="E2283" s="2"/>
      <c r="F2283" s="2"/>
      <c r="G2283" s="2"/>
      <c r="H2283" s="2"/>
      <c r="I2283" s="2">
        <v>64.246799999999993</v>
      </c>
      <c r="J2283" s="2">
        <v>274</v>
      </c>
      <c r="K2283" s="2">
        <v>63.946899999999999</v>
      </c>
      <c r="L2283" s="2">
        <v>280</v>
      </c>
      <c r="M2283" s="2">
        <v>94.226200000000006</v>
      </c>
      <c r="N2283" s="2">
        <v>292</v>
      </c>
      <c r="O2283" s="2">
        <v>91.959800000000001</v>
      </c>
      <c r="P2283" s="2">
        <v>319</v>
      </c>
      <c r="Q2283" s="2">
        <v>102.7311</v>
      </c>
      <c r="R2283" s="2">
        <v>187</v>
      </c>
      <c r="S2283" s="2">
        <v>104.84739999999999</v>
      </c>
      <c r="T2283" s="2">
        <v>223</v>
      </c>
      <c r="U2283" s="2">
        <v>0.18119399999999999</v>
      </c>
      <c r="V2283" s="2">
        <v>302</v>
      </c>
      <c r="W2283" s="2">
        <v>2008</v>
      </c>
    </row>
    <row r="2284" spans="1:23" ht="12.3" hidden="1" x14ac:dyDescent="0.4">
      <c r="A2284" s="2" t="s">
        <v>344</v>
      </c>
      <c r="B2284" s="2"/>
      <c r="C2284" s="2"/>
      <c r="D2284" s="2"/>
      <c r="E2284" s="2"/>
      <c r="F2284" s="2"/>
      <c r="G2284" s="2"/>
      <c r="H2284" s="2"/>
      <c r="I2284" s="2">
        <v>69.604200000000006</v>
      </c>
      <c r="J2284" s="2">
        <v>82</v>
      </c>
      <c r="K2284" s="2">
        <v>69.012200000000007</v>
      </c>
      <c r="L2284" s="2">
        <v>91</v>
      </c>
      <c r="M2284" s="2">
        <v>100.18129999999999</v>
      </c>
      <c r="N2284" s="2">
        <v>203</v>
      </c>
      <c r="O2284" s="2">
        <v>98.308899999999994</v>
      </c>
      <c r="P2284" s="2">
        <v>226</v>
      </c>
      <c r="Q2284" s="2">
        <v>112.0658</v>
      </c>
      <c r="R2284" s="2">
        <v>334</v>
      </c>
      <c r="S2284" s="2">
        <v>112.1148</v>
      </c>
      <c r="T2284" s="2">
        <v>328</v>
      </c>
      <c r="U2284" s="2">
        <v>0.18076100000000001</v>
      </c>
      <c r="V2284" s="2">
        <v>303</v>
      </c>
      <c r="W2284" s="2">
        <v>2008</v>
      </c>
    </row>
    <row r="2285" spans="1:23" ht="12.3" hidden="1" x14ac:dyDescent="0.4">
      <c r="A2285" s="2" t="s">
        <v>277</v>
      </c>
      <c r="B2285" s="2"/>
      <c r="C2285" s="2"/>
      <c r="D2285" s="2"/>
      <c r="E2285" s="2"/>
      <c r="F2285" s="2"/>
      <c r="G2285" s="2"/>
      <c r="H2285" s="2"/>
      <c r="I2285" s="2">
        <v>69.801100000000005</v>
      </c>
      <c r="J2285" s="2">
        <v>76</v>
      </c>
      <c r="K2285" s="2">
        <v>69.075000000000003</v>
      </c>
      <c r="L2285" s="2">
        <v>88</v>
      </c>
      <c r="M2285" s="2">
        <v>94.194800000000001</v>
      </c>
      <c r="N2285" s="2">
        <v>294</v>
      </c>
      <c r="O2285" s="2">
        <v>91.810599999999994</v>
      </c>
      <c r="P2285" s="2">
        <v>321</v>
      </c>
      <c r="Q2285" s="2">
        <v>102.97580000000001</v>
      </c>
      <c r="R2285" s="2">
        <v>194</v>
      </c>
      <c r="S2285" s="2">
        <v>104.90770000000001</v>
      </c>
      <c r="T2285" s="2">
        <v>224</v>
      </c>
      <c r="U2285" s="2">
        <v>0.17747399999999999</v>
      </c>
      <c r="V2285" s="2">
        <v>304</v>
      </c>
      <c r="W2285" s="2">
        <v>2008</v>
      </c>
    </row>
    <row r="2286" spans="1:23" ht="12.3" hidden="1" x14ac:dyDescent="0.4">
      <c r="A2286" s="2" t="s">
        <v>327</v>
      </c>
      <c r="B2286" s="2"/>
      <c r="C2286" s="2"/>
      <c r="D2286" s="2"/>
      <c r="E2286" s="2"/>
      <c r="F2286" s="2"/>
      <c r="G2286" s="2"/>
      <c r="H2286" s="2"/>
      <c r="I2286" s="2">
        <v>66.441299999999998</v>
      </c>
      <c r="J2286" s="2">
        <v>187</v>
      </c>
      <c r="K2286" s="2">
        <v>66.642600000000002</v>
      </c>
      <c r="L2286" s="2">
        <v>169</v>
      </c>
      <c r="M2286" s="2">
        <v>93.073400000000007</v>
      </c>
      <c r="N2286" s="2">
        <v>305</v>
      </c>
      <c r="O2286" s="2">
        <v>91.6584</v>
      </c>
      <c r="P2286" s="2">
        <v>323</v>
      </c>
      <c r="Q2286" s="2">
        <v>104.0932</v>
      </c>
      <c r="R2286" s="2">
        <v>216</v>
      </c>
      <c r="S2286" s="2">
        <v>104.9632</v>
      </c>
      <c r="T2286" s="2">
        <v>226</v>
      </c>
      <c r="U2286" s="2">
        <v>0.17383100000000001</v>
      </c>
      <c r="V2286" s="2">
        <v>305</v>
      </c>
      <c r="W2286" s="2">
        <v>2008</v>
      </c>
    </row>
    <row r="2287" spans="1:23" ht="12.3" hidden="1" x14ac:dyDescent="0.4">
      <c r="A2287" s="2" t="s">
        <v>361</v>
      </c>
      <c r="B2287" s="2"/>
      <c r="C2287" s="2"/>
      <c r="D2287" s="2"/>
      <c r="E2287" s="2"/>
      <c r="F2287" s="2"/>
      <c r="G2287" s="2"/>
      <c r="H2287" s="2"/>
      <c r="I2287" s="2">
        <v>71.8887</v>
      </c>
      <c r="J2287" s="2">
        <v>30</v>
      </c>
      <c r="K2287" s="2">
        <v>69.962199999999996</v>
      </c>
      <c r="L2287" s="2">
        <v>61</v>
      </c>
      <c r="M2287" s="2">
        <v>94.681299999999993</v>
      </c>
      <c r="N2287" s="2">
        <v>286</v>
      </c>
      <c r="O2287" s="2">
        <v>93.706599999999995</v>
      </c>
      <c r="P2287" s="2">
        <v>301</v>
      </c>
      <c r="Q2287" s="2">
        <v>103.5993</v>
      </c>
      <c r="R2287" s="2">
        <v>205</v>
      </c>
      <c r="S2287" s="2">
        <v>107.53100000000001</v>
      </c>
      <c r="T2287" s="2">
        <v>279</v>
      </c>
      <c r="U2287" s="2">
        <v>0.17043900000000001</v>
      </c>
      <c r="V2287" s="2">
        <v>306</v>
      </c>
      <c r="W2287" s="2">
        <v>2008</v>
      </c>
    </row>
    <row r="2288" spans="1:23" ht="12.3" hidden="1" x14ac:dyDescent="0.4">
      <c r="A2288" s="2" t="s">
        <v>188</v>
      </c>
      <c r="B2288" s="2"/>
      <c r="C2288" s="2"/>
      <c r="D2288" s="2"/>
      <c r="E2288" s="2"/>
      <c r="F2288" s="2"/>
      <c r="G2288" s="2"/>
      <c r="H2288" s="2"/>
      <c r="I2288" s="2">
        <v>65.116299999999995</v>
      </c>
      <c r="J2288" s="2">
        <v>240</v>
      </c>
      <c r="K2288" s="2">
        <v>64.556399999999996</v>
      </c>
      <c r="L2288" s="2">
        <v>262</v>
      </c>
      <c r="M2288" s="2">
        <v>95.332999999999998</v>
      </c>
      <c r="N2288" s="2">
        <v>274</v>
      </c>
      <c r="O2288" s="2">
        <v>96.213300000000004</v>
      </c>
      <c r="P2288" s="2">
        <v>264</v>
      </c>
      <c r="Q2288" s="2">
        <v>108.96899999999999</v>
      </c>
      <c r="R2288" s="2">
        <v>308</v>
      </c>
      <c r="S2288" s="2">
        <v>110.52889999999999</v>
      </c>
      <c r="T2288" s="2">
        <v>317</v>
      </c>
      <c r="U2288" s="2">
        <v>0.16866</v>
      </c>
      <c r="V2288" s="2">
        <v>307</v>
      </c>
      <c r="W2288" s="2">
        <v>2008</v>
      </c>
    </row>
    <row r="2289" spans="1:23" ht="12.3" hidden="1" x14ac:dyDescent="0.4">
      <c r="A2289" s="2" t="s">
        <v>251</v>
      </c>
      <c r="B2289" s="2"/>
      <c r="C2289" s="2"/>
      <c r="D2289" s="2"/>
      <c r="E2289" s="2"/>
      <c r="F2289" s="2"/>
      <c r="G2289" s="2"/>
      <c r="H2289" s="2"/>
      <c r="I2289" s="2">
        <v>63.324800000000003</v>
      </c>
      <c r="J2289" s="2">
        <v>294</v>
      </c>
      <c r="K2289" s="2">
        <v>62.188099999999999</v>
      </c>
      <c r="L2289" s="2">
        <v>318</v>
      </c>
      <c r="M2289" s="2">
        <v>92.378799999999998</v>
      </c>
      <c r="N2289" s="2">
        <v>310</v>
      </c>
      <c r="O2289" s="2">
        <v>92.665099999999995</v>
      </c>
      <c r="P2289" s="2">
        <v>313</v>
      </c>
      <c r="Q2289" s="2">
        <v>104.3122</v>
      </c>
      <c r="R2289" s="2">
        <v>222</v>
      </c>
      <c r="S2289" s="2">
        <v>106.8008</v>
      </c>
      <c r="T2289" s="2">
        <v>260</v>
      </c>
      <c r="U2289" s="2">
        <v>0.163463</v>
      </c>
      <c r="V2289" s="2">
        <v>308</v>
      </c>
      <c r="W2289" s="2">
        <v>2008</v>
      </c>
    </row>
    <row r="2290" spans="1:23" ht="12.3" hidden="1" x14ac:dyDescent="0.4">
      <c r="A2290" s="2" t="s">
        <v>312</v>
      </c>
      <c r="B2290" s="2"/>
      <c r="C2290" s="2"/>
      <c r="D2290" s="2"/>
      <c r="E2290" s="2"/>
      <c r="F2290" s="2"/>
      <c r="G2290" s="2"/>
      <c r="H2290" s="2"/>
      <c r="I2290" s="2">
        <v>72.276499999999999</v>
      </c>
      <c r="J2290" s="2">
        <v>25</v>
      </c>
      <c r="K2290" s="2">
        <v>71.475200000000001</v>
      </c>
      <c r="L2290" s="2">
        <v>31</v>
      </c>
      <c r="M2290" s="2">
        <v>95.078299999999999</v>
      </c>
      <c r="N2290" s="2">
        <v>278</v>
      </c>
      <c r="O2290" s="2">
        <v>92.631</v>
      </c>
      <c r="P2290" s="2">
        <v>314</v>
      </c>
      <c r="Q2290" s="2">
        <v>102.2042</v>
      </c>
      <c r="R2290" s="2">
        <v>176</v>
      </c>
      <c r="S2290" s="2">
        <v>106.84950000000001</v>
      </c>
      <c r="T2290" s="2">
        <v>261</v>
      </c>
      <c r="U2290" s="2">
        <v>0.16216900000000001</v>
      </c>
      <c r="V2290" s="2">
        <v>309</v>
      </c>
      <c r="W2290" s="2">
        <v>2008</v>
      </c>
    </row>
    <row r="2291" spans="1:23" ht="12.3" hidden="1" x14ac:dyDescent="0.4">
      <c r="A2291" s="2" t="s">
        <v>296</v>
      </c>
      <c r="B2291" s="2"/>
      <c r="C2291" s="2"/>
      <c r="D2291" s="2"/>
      <c r="E2291" s="2"/>
      <c r="F2291" s="2"/>
      <c r="G2291" s="2"/>
      <c r="H2291" s="2"/>
      <c r="I2291" s="2">
        <v>68.2774</v>
      </c>
      <c r="J2291" s="2">
        <v>122</v>
      </c>
      <c r="K2291" s="2">
        <v>68.820099999999996</v>
      </c>
      <c r="L2291" s="2">
        <v>100</v>
      </c>
      <c r="M2291" s="2">
        <v>95.654399999999995</v>
      </c>
      <c r="N2291" s="2">
        <v>272</v>
      </c>
      <c r="O2291" s="2">
        <v>95.330699999999993</v>
      </c>
      <c r="P2291" s="2">
        <v>276</v>
      </c>
      <c r="Q2291" s="2">
        <v>105.86</v>
      </c>
      <c r="R2291" s="2">
        <v>268</v>
      </c>
      <c r="S2291" s="2">
        <v>109.9952</v>
      </c>
      <c r="T2291" s="2">
        <v>313</v>
      </c>
      <c r="U2291" s="2">
        <v>0.161722</v>
      </c>
      <c r="V2291" s="2">
        <v>310</v>
      </c>
      <c r="W2291" s="2">
        <v>2008</v>
      </c>
    </row>
    <row r="2292" spans="1:23" ht="12.3" hidden="1" x14ac:dyDescent="0.4">
      <c r="A2292" s="2" t="s">
        <v>369</v>
      </c>
      <c r="B2292" s="2"/>
      <c r="C2292" s="2"/>
      <c r="D2292" s="2"/>
      <c r="E2292" s="2"/>
      <c r="F2292" s="2"/>
      <c r="G2292" s="2"/>
      <c r="H2292" s="2"/>
      <c r="I2292" s="2">
        <v>69.810400000000001</v>
      </c>
      <c r="J2292" s="2">
        <v>75</v>
      </c>
      <c r="K2292" s="2">
        <v>69.045400000000001</v>
      </c>
      <c r="L2292" s="2">
        <v>89</v>
      </c>
      <c r="M2292" s="2">
        <v>93.392899999999997</v>
      </c>
      <c r="N2292" s="2">
        <v>301</v>
      </c>
      <c r="O2292" s="2">
        <v>94.122799999999998</v>
      </c>
      <c r="P2292" s="2">
        <v>294</v>
      </c>
      <c r="Q2292" s="2">
        <v>104.67059999999999</v>
      </c>
      <c r="R2292" s="2">
        <v>232</v>
      </c>
      <c r="S2292" s="2">
        <v>108.77290000000001</v>
      </c>
      <c r="T2292" s="2">
        <v>299</v>
      </c>
      <c r="U2292" s="2">
        <v>0.159277</v>
      </c>
      <c r="V2292" s="2">
        <v>311</v>
      </c>
      <c r="W2292" s="2">
        <v>2008</v>
      </c>
    </row>
    <row r="2293" spans="1:23" ht="12.3" hidden="1" x14ac:dyDescent="0.4">
      <c r="A2293" s="2" t="s">
        <v>288</v>
      </c>
      <c r="B2293" s="2"/>
      <c r="C2293" s="2"/>
      <c r="D2293" s="2"/>
      <c r="E2293" s="2"/>
      <c r="F2293" s="2"/>
      <c r="G2293" s="2"/>
      <c r="H2293" s="2"/>
      <c r="I2293" s="2">
        <v>71.9452</v>
      </c>
      <c r="J2293" s="2">
        <v>28</v>
      </c>
      <c r="K2293" s="2">
        <v>72.043400000000005</v>
      </c>
      <c r="L2293" s="2">
        <v>21</v>
      </c>
      <c r="M2293" s="2">
        <v>96.757800000000003</v>
      </c>
      <c r="N2293" s="2">
        <v>258</v>
      </c>
      <c r="O2293" s="2">
        <v>96.237799999999993</v>
      </c>
      <c r="P2293" s="2">
        <v>263</v>
      </c>
      <c r="Q2293" s="2">
        <v>104.6729</v>
      </c>
      <c r="R2293" s="2">
        <v>233</v>
      </c>
      <c r="S2293" s="2">
        <v>111.40479999999999</v>
      </c>
      <c r="T2293" s="2">
        <v>324</v>
      </c>
      <c r="U2293" s="2">
        <v>0.156698</v>
      </c>
      <c r="V2293" s="2">
        <v>312</v>
      </c>
      <c r="W2293" s="2">
        <v>2008</v>
      </c>
    </row>
    <row r="2294" spans="1:23" ht="12.3" hidden="1" x14ac:dyDescent="0.4">
      <c r="A2294" s="2" t="s">
        <v>305</v>
      </c>
      <c r="B2294" s="2"/>
      <c r="C2294" s="2"/>
      <c r="D2294" s="2"/>
      <c r="E2294" s="2"/>
      <c r="F2294" s="2"/>
      <c r="G2294" s="2"/>
      <c r="H2294" s="2"/>
      <c r="I2294" s="2">
        <v>70.620999999999995</v>
      </c>
      <c r="J2294" s="2">
        <v>54</v>
      </c>
      <c r="K2294" s="2">
        <v>69.932599999999994</v>
      </c>
      <c r="L2294" s="2">
        <v>62</v>
      </c>
      <c r="M2294" s="2">
        <v>99.345299999999995</v>
      </c>
      <c r="N2294" s="2">
        <v>218</v>
      </c>
      <c r="O2294" s="2">
        <v>98.701300000000003</v>
      </c>
      <c r="P2294" s="2">
        <v>220</v>
      </c>
      <c r="Q2294" s="2">
        <v>113.3352</v>
      </c>
      <c r="R2294" s="2">
        <v>340</v>
      </c>
      <c r="S2294" s="2">
        <v>114.52500000000001</v>
      </c>
      <c r="T2294" s="2">
        <v>337</v>
      </c>
      <c r="U2294" s="2">
        <v>0.15316399999999999</v>
      </c>
      <c r="V2294" s="2">
        <v>313</v>
      </c>
      <c r="W2294" s="2">
        <v>2008</v>
      </c>
    </row>
    <row r="2295" spans="1:23" ht="12.3" hidden="1" x14ac:dyDescent="0.4">
      <c r="A2295" s="2" t="s">
        <v>272</v>
      </c>
      <c r="B2295" s="2"/>
      <c r="C2295" s="2"/>
      <c r="D2295" s="2"/>
      <c r="E2295" s="2"/>
      <c r="F2295" s="2"/>
      <c r="G2295" s="2"/>
      <c r="H2295" s="2"/>
      <c r="I2295" s="2">
        <v>70.349000000000004</v>
      </c>
      <c r="J2295" s="2">
        <v>63</v>
      </c>
      <c r="K2295" s="2">
        <v>69.500900000000001</v>
      </c>
      <c r="L2295" s="2">
        <v>79</v>
      </c>
      <c r="M2295" s="2">
        <v>91.162899999999993</v>
      </c>
      <c r="N2295" s="2">
        <v>322</v>
      </c>
      <c r="O2295" s="2">
        <v>89.146299999999997</v>
      </c>
      <c r="P2295" s="2">
        <v>331</v>
      </c>
      <c r="Q2295" s="2">
        <v>96.553299999999993</v>
      </c>
      <c r="R2295" s="2">
        <v>54</v>
      </c>
      <c r="S2295" s="2">
        <v>103.45950000000001</v>
      </c>
      <c r="T2295" s="2">
        <v>194</v>
      </c>
      <c r="U2295" s="2">
        <v>0.15285699999999999</v>
      </c>
      <c r="V2295" s="2">
        <v>314</v>
      </c>
      <c r="W2295" s="2">
        <v>2008</v>
      </c>
    </row>
    <row r="2296" spans="1:23" ht="12.3" hidden="1" x14ac:dyDescent="0.4">
      <c r="A2296" s="2" t="s">
        <v>338</v>
      </c>
      <c r="B2296" s="2"/>
      <c r="C2296" s="2"/>
      <c r="D2296" s="2"/>
      <c r="E2296" s="2"/>
      <c r="F2296" s="2"/>
      <c r="G2296" s="2"/>
      <c r="H2296" s="2"/>
      <c r="I2296" s="2">
        <v>66.381399999999999</v>
      </c>
      <c r="J2296" s="2">
        <v>189</v>
      </c>
      <c r="K2296" s="2">
        <v>64.742599999999996</v>
      </c>
      <c r="L2296" s="2">
        <v>252</v>
      </c>
      <c r="M2296" s="2">
        <v>91.489800000000002</v>
      </c>
      <c r="N2296" s="2">
        <v>319</v>
      </c>
      <c r="O2296" s="2">
        <v>89.878799999999998</v>
      </c>
      <c r="P2296" s="2">
        <v>326</v>
      </c>
      <c r="Q2296" s="2">
        <v>98.704300000000003</v>
      </c>
      <c r="R2296" s="2">
        <v>86</v>
      </c>
      <c r="S2296" s="2">
        <v>104.3854</v>
      </c>
      <c r="T2296" s="2">
        <v>210</v>
      </c>
      <c r="U2296" s="2">
        <v>0.151779</v>
      </c>
      <c r="V2296" s="2">
        <v>315</v>
      </c>
      <c r="W2296" s="2">
        <v>2008</v>
      </c>
    </row>
    <row r="2297" spans="1:23" ht="12.3" hidden="1" x14ac:dyDescent="0.4">
      <c r="A2297" s="2" t="s">
        <v>176</v>
      </c>
      <c r="B2297" s="2"/>
      <c r="C2297" s="2"/>
      <c r="D2297" s="2"/>
      <c r="E2297" s="2"/>
      <c r="F2297" s="2"/>
      <c r="G2297" s="2"/>
      <c r="H2297" s="2"/>
      <c r="I2297" s="2">
        <v>59.957700000000003</v>
      </c>
      <c r="J2297" s="2">
        <v>331</v>
      </c>
      <c r="K2297" s="2">
        <v>60.569000000000003</v>
      </c>
      <c r="L2297" s="2">
        <v>331</v>
      </c>
      <c r="M2297" s="2">
        <v>93.8142</v>
      </c>
      <c r="N2297" s="2">
        <v>297</v>
      </c>
      <c r="O2297" s="2">
        <v>92.734300000000005</v>
      </c>
      <c r="P2297" s="2">
        <v>312</v>
      </c>
      <c r="Q2297" s="2">
        <v>106.24769999999999</v>
      </c>
      <c r="R2297" s="2">
        <v>277</v>
      </c>
      <c r="S2297" s="2">
        <v>107.705</v>
      </c>
      <c r="T2297" s="2">
        <v>282</v>
      </c>
      <c r="U2297" s="2">
        <v>0.15173500000000001</v>
      </c>
      <c r="V2297" s="2">
        <v>316</v>
      </c>
      <c r="W2297" s="2">
        <v>2008</v>
      </c>
    </row>
    <row r="2298" spans="1:23" ht="12.3" hidden="1" x14ac:dyDescent="0.4">
      <c r="A2298" s="2" t="s">
        <v>303</v>
      </c>
      <c r="B2298" s="2"/>
      <c r="C2298" s="2"/>
      <c r="D2298" s="2"/>
      <c r="E2298" s="2"/>
      <c r="F2298" s="2"/>
      <c r="G2298" s="2"/>
      <c r="H2298" s="2"/>
      <c r="I2298" s="2">
        <v>74.971100000000007</v>
      </c>
      <c r="J2298" s="2">
        <v>6</v>
      </c>
      <c r="K2298" s="2">
        <v>76.375500000000002</v>
      </c>
      <c r="L2298" s="2">
        <v>3</v>
      </c>
      <c r="M2298" s="2">
        <v>98.829300000000003</v>
      </c>
      <c r="N2298" s="2">
        <v>223</v>
      </c>
      <c r="O2298" s="2">
        <v>94.994699999999995</v>
      </c>
      <c r="P2298" s="2">
        <v>282</v>
      </c>
      <c r="Q2298" s="2">
        <v>107.9128</v>
      </c>
      <c r="R2298" s="2">
        <v>294</v>
      </c>
      <c r="S2298" s="2">
        <v>110.3308</v>
      </c>
      <c r="T2298" s="2">
        <v>314</v>
      </c>
      <c r="U2298" s="2">
        <v>0.151728</v>
      </c>
      <c r="V2298" s="2">
        <v>317</v>
      </c>
      <c r="W2298" s="2">
        <v>2008</v>
      </c>
    </row>
    <row r="2299" spans="1:23" ht="12.3" hidden="1" x14ac:dyDescent="0.4">
      <c r="A2299" s="2" t="s">
        <v>370</v>
      </c>
      <c r="B2299" s="2"/>
      <c r="C2299" s="2"/>
      <c r="D2299" s="2"/>
      <c r="E2299" s="2"/>
      <c r="F2299" s="2"/>
      <c r="G2299" s="2"/>
      <c r="H2299" s="2"/>
      <c r="I2299" s="2">
        <v>67.3292</v>
      </c>
      <c r="J2299" s="2">
        <v>160</v>
      </c>
      <c r="K2299" s="2">
        <v>67.041499999999999</v>
      </c>
      <c r="L2299" s="2">
        <v>158</v>
      </c>
      <c r="M2299" s="2">
        <v>97.754900000000006</v>
      </c>
      <c r="N2299" s="2">
        <v>239</v>
      </c>
      <c r="O2299" s="2">
        <v>95.294700000000006</v>
      </c>
      <c r="P2299" s="2">
        <v>277</v>
      </c>
      <c r="Q2299" s="2">
        <v>110.7803</v>
      </c>
      <c r="R2299" s="2">
        <v>329</v>
      </c>
      <c r="S2299" s="2">
        <v>111.1692</v>
      </c>
      <c r="T2299" s="2">
        <v>322</v>
      </c>
      <c r="U2299" s="2">
        <v>0.14530399999999999</v>
      </c>
      <c r="V2299" s="2">
        <v>318</v>
      </c>
      <c r="W2299" s="2">
        <v>2008</v>
      </c>
    </row>
    <row r="2300" spans="1:23" ht="12.3" hidden="1" x14ac:dyDescent="0.4">
      <c r="A2300" s="2" t="s">
        <v>332</v>
      </c>
      <c r="B2300" s="2"/>
      <c r="C2300" s="2"/>
      <c r="D2300" s="2"/>
      <c r="E2300" s="2"/>
      <c r="F2300" s="2"/>
      <c r="G2300" s="2"/>
      <c r="H2300" s="2"/>
      <c r="I2300" s="2">
        <v>63.507100000000001</v>
      </c>
      <c r="J2300" s="2">
        <v>292</v>
      </c>
      <c r="K2300" s="2">
        <v>62.603099999999998</v>
      </c>
      <c r="L2300" s="2">
        <v>309</v>
      </c>
      <c r="M2300" s="2">
        <v>97.379199999999997</v>
      </c>
      <c r="N2300" s="2">
        <v>248</v>
      </c>
      <c r="O2300" s="2">
        <v>96.005700000000004</v>
      </c>
      <c r="P2300" s="2">
        <v>269</v>
      </c>
      <c r="Q2300" s="2">
        <v>110.405</v>
      </c>
      <c r="R2300" s="2">
        <v>326</v>
      </c>
      <c r="S2300" s="2">
        <v>112.1896</v>
      </c>
      <c r="T2300" s="2">
        <v>329</v>
      </c>
      <c r="U2300" s="2">
        <v>0.14288899999999999</v>
      </c>
      <c r="V2300" s="2">
        <v>319</v>
      </c>
      <c r="W2300" s="2">
        <v>2008</v>
      </c>
    </row>
    <row r="2301" spans="1:23" ht="12.3" hidden="1" x14ac:dyDescent="0.4">
      <c r="A2301" s="2" t="s">
        <v>264</v>
      </c>
      <c r="B2301" s="2"/>
      <c r="C2301" s="2"/>
      <c r="D2301" s="2"/>
      <c r="E2301" s="2"/>
      <c r="F2301" s="2"/>
      <c r="G2301" s="2"/>
      <c r="H2301" s="2"/>
      <c r="I2301" s="2">
        <v>62.6997</v>
      </c>
      <c r="J2301" s="2">
        <v>305</v>
      </c>
      <c r="K2301" s="2">
        <v>62.973199999999999</v>
      </c>
      <c r="L2301" s="2">
        <v>300</v>
      </c>
      <c r="M2301" s="2">
        <v>98.689599999999999</v>
      </c>
      <c r="N2301" s="2">
        <v>225</v>
      </c>
      <c r="O2301" s="2">
        <v>95.942300000000003</v>
      </c>
      <c r="P2301" s="2">
        <v>271</v>
      </c>
      <c r="Q2301" s="2">
        <v>109.5861</v>
      </c>
      <c r="R2301" s="2">
        <v>316</v>
      </c>
      <c r="S2301" s="2">
        <v>112.7419</v>
      </c>
      <c r="T2301" s="2">
        <v>332</v>
      </c>
      <c r="U2301" s="2">
        <v>0.13522000000000001</v>
      </c>
      <c r="V2301" s="2">
        <v>320</v>
      </c>
      <c r="W2301" s="2">
        <v>2008</v>
      </c>
    </row>
    <row r="2302" spans="1:23" ht="12.3" hidden="1" x14ac:dyDescent="0.4">
      <c r="A2302" s="2" t="s">
        <v>309</v>
      </c>
      <c r="B2302" s="2"/>
      <c r="C2302" s="2"/>
      <c r="D2302" s="2"/>
      <c r="E2302" s="2"/>
      <c r="F2302" s="2"/>
      <c r="G2302" s="2"/>
      <c r="H2302" s="2"/>
      <c r="I2302" s="2">
        <v>68.506900000000002</v>
      </c>
      <c r="J2302" s="2">
        <v>115</v>
      </c>
      <c r="K2302" s="2">
        <v>68.650700000000001</v>
      </c>
      <c r="L2302" s="2">
        <v>108</v>
      </c>
      <c r="M2302" s="2">
        <v>91.073099999999997</v>
      </c>
      <c r="N2302" s="2">
        <v>323</v>
      </c>
      <c r="O2302" s="2">
        <v>91.734300000000005</v>
      </c>
      <c r="P2302" s="2">
        <v>322</v>
      </c>
      <c r="Q2302" s="2">
        <v>105.4496</v>
      </c>
      <c r="R2302" s="2">
        <v>260</v>
      </c>
      <c r="S2302" s="2">
        <v>107.8151</v>
      </c>
      <c r="T2302" s="2">
        <v>283</v>
      </c>
      <c r="U2302" s="2">
        <v>0.134995</v>
      </c>
      <c r="V2302" s="2">
        <v>321</v>
      </c>
      <c r="W2302" s="2">
        <v>2008</v>
      </c>
    </row>
    <row r="2303" spans="1:23" ht="12.3" hidden="1" x14ac:dyDescent="0.4">
      <c r="A2303" s="2" t="s">
        <v>357</v>
      </c>
      <c r="B2303" s="2"/>
      <c r="C2303" s="2"/>
      <c r="D2303" s="2"/>
      <c r="E2303" s="2"/>
      <c r="F2303" s="2"/>
      <c r="G2303" s="2"/>
      <c r="H2303" s="2"/>
      <c r="I2303" s="2">
        <v>64.362099999999998</v>
      </c>
      <c r="J2303" s="2">
        <v>269</v>
      </c>
      <c r="K2303" s="2">
        <v>64.331100000000006</v>
      </c>
      <c r="L2303" s="2">
        <v>270</v>
      </c>
      <c r="M2303" s="2">
        <v>96.259100000000004</v>
      </c>
      <c r="N2303" s="2">
        <v>264</v>
      </c>
      <c r="O2303" s="2">
        <v>97.620500000000007</v>
      </c>
      <c r="P2303" s="2">
        <v>239</v>
      </c>
      <c r="Q2303" s="2">
        <v>113.3219</v>
      </c>
      <c r="R2303" s="2">
        <v>339</v>
      </c>
      <c r="S2303" s="2">
        <v>114.8017</v>
      </c>
      <c r="T2303" s="2">
        <v>339</v>
      </c>
      <c r="U2303" s="2">
        <v>0.13419500000000001</v>
      </c>
      <c r="V2303" s="2">
        <v>322</v>
      </c>
      <c r="W2303" s="2">
        <v>2008</v>
      </c>
    </row>
    <row r="2304" spans="1:23" ht="12.3" hidden="1" x14ac:dyDescent="0.4">
      <c r="A2304" s="2" t="s">
        <v>231</v>
      </c>
      <c r="B2304" s="2"/>
      <c r="C2304" s="2"/>
      <c r="D2304" s="2"/>
      <c r="E2304" s="2"/>
      <c r="F2304" s="2"/>
      <c r="G2304" s="2"/>
      <c r="H2304" s="2"/>
      <c r="I2304" s="2">
        <v>67.830799999999996</v>
      </c>
      <c r="J2304" s="2">
        <v>142</v>
      </c>
      <c r="K2304" s="2">
        <v>66.603300000000004</v>
      </c>
      <c r="L2304" s="2">
        <v>172</v>
      </c>
      <c r="M2304" s="2">
        <v>82.651899999999998</v>
      </c>
      <c r="N2304" s="2">
        <v>339</v>
      </c>
      <c r="O2304" s="2">
        <v>86.09</v>
      </c>
      <c r="P2304" s="2">
        <v>340</v>
      </c>
      <c r="Q2304" s="2">
        <v>101.98009999999999</v>
      </c>
      <c r="R2304" s="2">
        <v>172</v>
      </c>
      <c r="S2304" s="2">
        <v>101.3052</v>
      </c>
      <c r="T2304" s="2">
        <v>144</v>
      </c>
      <c r="U2304" s="2">
        <v>0.13336100000000001</v>
      </c>
      <c r="V2304" s="2">
        <v>323</v>
      </c>
      <c r="W2304" s="2">
        <v>2008</v>
      </c>
    </row>
    <row r="2305" spans="1:23" ht="12.3" hidden="1" x14ac:dyDescent="0.4">
      <c r="A2305" s="2" t="s">
        <v>275</v>
      </c>
      <c r="B2305" s="2"/>
      <c r="C2305" s="2"/>
      <c r="D2305" s="2"/>
      <c r="E2305" s="2"/>
      <c r="F2305" s="2"/>
      <c r="G2305" s="2"/>
      <c r="H2305" s="2"/>
      <c r="I2305" s="2">
        <v>69.697999999999993</v>
      </c>
      <c r="J2305" s="2">
        <v>80</v>
      </c>
      <c r="K2305" s="2">
        <v>69.085099999999997</v>
      </c>
      <c r="L2305" s="2">
        <v>87</v>
      </c>
      <c r="M2305" s="2">
        <v>100.6186</v>
      </c>
      <c r="N2305" s="2">
        <v>190</v>
      </c>
      <c r="O2305" s="2">
        <v>96.977500000000006</v>
      </c>
      <c r="P2305" s="2">
        <v>252</v>
      </c>
      <c r="Q2305" s="2">
        <v>110.2285</v>
      </c>
      <c r="R2305" s="2">
        <v>325</v>
      </c>
      <c r="S2305" s="2">
        <v>114.12130000000001</v>
      </c>
      <c r="T2305" s="2">
        <v>336</v>
      </c>
      <c r="U2305" s="2">
        <v>0.13331100000000001</v>
      </c>
      <c r="V2305" s="2">
        <v>324</v>
      </c>
      <c r="W2305" s="2">
        <v>2008</v>
      </c>
    </row>
    <row r="2306" spans="1:23" ht="12.3" hidden="1" x14ac:dyDescent="0.4">
      <c r="A2306" s="2" t="s">
        <v>359</v>
      </c>
      <c r="B2306" s="2"/>
      <c r="C2306" s="2"/>
      <c r="D2306" s="2"/>
      <c r="E2306" s="2"/>
      <c r="F2306" s="2"/>
      <c r="G2306" s="2"/>
      <c r="H2306" s="2"/>
      <c r="I2306" s="2">
        <v>70.326499999999996</v>
      </c>
      <c r="J2306" s="2">
        <v>64</v>
      </c>
      <c r="K2306" s="2">
        <v>68.939700000000002</v>
      </c>
      <c r="L2306" s="2">
        <v>96</v>
      </c>
      <c r="M2306" s="2">
        <v>94.0321</v>
      </c>
      <c r="N2306" s="2">
        <v>295</v>
      </c>
      <c r="O2306" s="2">
        <v>97.961500000000001</v>
      </c>
      <c r="P2306" s="2">
        <v>236</v>
      </c>
      <c r="Q2306" s="2">
        <v>110.5501</v>
      </c>
      <c r="R2306" s="2">
        <v>328</v>
      </c>
      <c r="S2306" s="2">
        <v>115.43940000000001</v>
      </c>
      <c r="T2306" s="2">
        <v>340</v>
      </c>
      <c r="U2306" s="2">
        <v>0.13147600000000001</v>
      </c>
      <c r="V2306" s="2">
        <v>325</v>
      </c>
      <c r="W2306" s="2">
        <v>2008</v>
      </c>
    </row>
    <row r="2307" spans="1:23" ht="12.3" hidden="1" x14ac:dyDescent="0.4">
      <c r="A2307" s="2" t="s">
        <v>365</v>
      </c>
      <c r="B2307" s="2"/>
      <c r="C2307" s="2"/>
      <c r="D2307" s="2"/>
      <c r="E2307" s="2"/>
      <c r="F2307" s="2"/>
      <c r="G2307" s="2"/>
      <c r="H2307" s="2"/>
      <c r="I2307" s="2">
        <v>67.989000000000004</v>
      </c>
      <c r="J2307" s="2">
        <v>133</v>
      </c>
      <c r="K2307" s="2">
        <v>67.095399999999998</v>
      </c>
      <c r="L2307" s="2">
        <v>157</v>
      </c>
      <c r="M2307" s="2">
        <v>90.263599999999997</v>
      </c>
      <c r="N2307" s="2">
        <v>328</v>
      </c>
      <c r="O2307" s="2">
        <v>89.506500000000003</v>
      </c>
      <c r="P2307" s="2">
        <v>329</v>
      </c>
      <c r="Q2307" s="2">
        <v>99.343000000000004</v>
      </c>
      <c r="R2307" s="2">
        <v>100</v>
      </c>
      <c r="S2307" s="2">
        <v>106.2187</v>
      </c>
      <c r="T2307" s="2">
        <v>250</v>
      </c>
      <c r="U2307" s="2">
        <v>0.122531</v>
      </c>
      <c r="V2307" s="2">
        <v>326</v>
      </c>
      <c r="W2307" s="2">
        <v>2008</v>
      </c>
    </row>
    <row r="2308" spans="1:23" ht="12.3" hidden="1" x14ac:dyDescent="0.4">
      <c r="A2308" s="2" t="s">
        <v>313</v>
      </c>
      <c r="B2308" s="2" t="e">
        <v>#N/A</v>
      </c>
      <c r="C2308" s="2"/>
      <c r="D2308" s="2"/>
      <c r="E2308" s="2"/>
      <c r="F2308" s="2"/>
      <c r="G2308" s="2"/>
      <c r="H2308" s="2"/>
      <c r="I2308" s="2">
        <v>58.985999999999997</v>
      </c>
      <c r="J2308" s="2">
        <v>337</v>
      </c>
      <c r="K2308" s="2">
        <v>59.372799999999998</v>
      </c>
      <c r="L2308" s="2">
        <v>336</v>
      </c>
      <c r="M2308" s="2">
        <v>94.384</v>
      </c>
      <c r="N2308" s="2">
        <v>288</v>
      </c>
      <c r="O2308" s="2">
        <v>92.194400000000002</v>
      </c>
      <c r="P2308" s="2">
        <v>318</v>
      </c>
      <c r="Q2308" s="2">
        <v>101.99550000000001</v>
      </c>
      <c r="R2308" s="2">
        <v>174</v>
      </c>
      <c r="S2308" s="2">
        <v>109.8049</v>
      </c>
      <c r="T2308" s="2">
        <v>311</v>
      </c>
      <c r="U2308" s="2">
        <v>0.118129</v>
      </c>
      <c r="V2308" s="2">
        <v>327</v>
      </c>
      <c r="W2308" s="2">
        <v>2008</v>
      </c>
    </row>
    <row r="2309" spans="1:23" ht="12.3" hidden="1" x14ac:dyDescent="0.4">
      <c r="A2309" s="2" t="s">
        <v>94</v>
      </c>
      <c r="B2309" s="2"/>
      <c r="C2309" s="2"/>
      <c r="D2309" s="2"/>
      <c r="E2309" s="2"/>
      <c r="F2309" s="2"/>
      <c r="G2309" s="2"/>
      <c r="H2309" s="2"/>
      <c r="I2309" s="2">
        <v>65.8232</v>
      </c>
      <c r="J2309" s="2">
        <v>204</v>
      </c>
      <c r="K2309" s="2">
        <v>65.416700000000006</v>
      </c>
      <c r="L2309" s="2">
        <v>224</v>
      </c>
      <c r="M2309" s="2">
        <v>92.353399999999993</v>
      </c>
      <c r="N2309" s="2">
        <v>311</v>
      </c>
      <c r="O2309" s="2">
        <v>92.607900000000001</v>
      </c>
      <c r="P2309" s="2">
        <v>315</v>
      </c>
      <c r="Q2309" s="2">
        <v>108.8901</v>
      </c>
      <c r="R2309" s="2">
        <v>306</v>
      </c>
      <c r="S2309" s="2">
        <v>110.4751</v>
      </c>
      <c r="T2309" s="2">
        <v>316</v>
      </c>
      <c r="U2309" s="2">
        <v>0.116214</v>
      </c>
      <c r="V2309" s="2">
        <v>328</v>
      </c>
      <c r="W2309" s="2">
        <v>2008</v>
      </c>
    </row>
    <row r="2310" spans="1:23" ht="12.3" hidden="1" x14ac:dyDescent="0.4">
      <c r="A2310" s="2" t="s">
        <v>351</v>
      </c>
      <c r="B2310" s="2" t="e">
        <v>#N/A</v>
      </c>
      <c r="C2310" s="2"/>
      <c r="D2310" s="2"/>
      <c r="E2310" s="2"/>
      <c r="F2310" s="2"/>
      <c r="G2310" s="2"/>
      <c r="H2310" s="2"/>
      <c r="I2310" s="2">
        <v>65.472200000000001</v>
      </c>
      <c r="J2310" s="2">
        <v>226</v>
      </c>
      <c r="K2310" s="2">
        <v>64.171499999999995</v>
      </c>
      <c r="L2310" s="2">
        <v>274</v>
      </c>
      <c r="M2310" s="2">
        <v>89.885099999999994</v>
      </c>
      <c r="N2310" s="2">
        <v>330</v>
      </c>
      <c r="O2310" s="2">
        <v>88.225399999999993</v>
      </c>
      <c r="P2310" s="2">
        <v>333</v>
      </c>
      <c r="Q2310" s="2">
        <v>98.027000000000001</v>
      </c>
      <c r="R2310" s="2">
        <v>77</v>
      </c>
      <c r="S2310" s="2">
        <v>105.8419</v>
      </c>
      <c r="T2310" s="2">
        <v>242</v>
      </c>
      <c r="U2310" s="2">
        <v>0.109721</v>
      </c>
      <c r="V2310" s="2">
        <v>329</v>
      </c>
      <c r="W2310" s="2">
        <v>2008</v>
      </c>
    </row>
    <row r="2311" spans="1:23" ht="12.3" hidden="1" x14ac:dyDescent="0.4">
      <c r="A2311" s="2" t="s">
        <v>342</v>
      </c>
      <c r="B2311" s="2" t="e">
        <v>#N/A</v>
      </c>
      <c r="C2311" s="2"/>
      <c r="D2311" s="2"/>
      <c r="E2311" s="2"/>
      <c r="F2311" s="2"/>
      <c r="G2311" s="2"/>
      <c r="H2311" s="2"/>
      <c r="I2311" s="2">
        <v>72.650000000000006</v>
      </c>
      <c r="J2311" s="2">
        <v>17</v>
      </c>
      <c r="K2311" s="2">
        <v>71.343599999999995</v>
      </c>
      <c r="L2311" s="2">
        <v>32</v>
      </c>
      <c r="M2311" s="2">
        <v>89.9589</v>
      </c>
      <c r="N2311" s="2">
        <v>329</v>
      </c>
      <c r="O2311" s="2">
        <v>89.774199999999993</v>
      </c>
      <c r="P2311" s="2">
        <v>327</v>
      </c>
      <c r="Q2311" s="2">
        <v>105.655</v>
      </c>
      <c r="R2311" s="2">
        <v>267</v>
      </c>
      <c r="S2311" s="2">
        <v>109.6544</v>
      </c>
      <c r="T2311" s="2">
        <v>309</v>
      </c>
      <c r="U2311" s="2">
        <v>9.1089000000000003E-2</v>
      </c>
      <c r="V2311" s="2">
        <v>330</v>
      </c>
      <c r="W2311" s="2">
        <v>2008</v>
      </c>
    </row>
    <row r="2312" spans="1:23" ht="12.3" hidden="1" x14ac:dyDescent="0.4">
      <c r="A2312" s="2" t="s">
        <v>371</v>
      </c>
      <c r="B2312" s="2" t="e">
        <v>#N/A</v>
      </c>
      <c r="C2312" s="2"/>
      <c r="D2312" s="2"/>
      <c r="E2312" s="2"/>
      <c r="F2312" s="2"/>
      <c r="G2312" s="2"/>
      <c r="H2312" s="2"/>
      <c r="I2312" s="2">
        <v>70.846199999999996</v>
      </c>
      <c r="J2312" s="2">
        <v>50</v>
      </c>
      <c r="K2312" s="2">
        <v>70.623800000000003</v>
      </c>
      <c r="L2312" s="2">
        <v>43</v>
      </c>
      <c r="M2312" s="2">
        <v>77.304000000000002</v>
      </c>
      <c r="N2312" s="2">
        <v>341</v>
      </c>
      <c r="O2312" s="2">
        <v>86.727500000000006</v>
      </c>
      <c r="P2312" s="2">
        <v>336</v>
      </c>
      <c r="Q2312" s="2">
        <v>112.2771</v>
      </c>
      <c r="R2312" s="2">
        <v>335</v>
      </c>
      <c r="S2312" s="2">
        <v>106.035</v>
      </c>
      <c r="T2312" s="2">
        <v>244</v>
      </c>
      <c r="U2312" s="2">
        <v>9.0176999999999993E-2</v>
      </c>
      <c r="V2312" s="2">
        <v>331</v>
      </c>
      <c r="W2312" s="2">
        <v>2008</v>
      </c>
    </row>
    <row r="2313" spans="1:23" ht="12.3" hidden="1" x14ac:dyDescent="0.4">
      <c r="A2313" s="2" t="s">
        <v>179</v>
      </c>
      <c r="B2313" s="2" t="e">
        <v>#N/A</v>
      </c>
      <c r="C2313" s="2"/>
      <c r="D2313" s="2"/>
      <c r="E2313" s="2"/>
      <c r="F2313" s="2"/>
      <c r="G2313" s="2"/>
      <c r="H2313" s="2"/>
      <c r="I2313" s="2">
        <v>63.9756</v>
      </c>
      <c r="J2313" s="2">
        <v>283</v>
      </c>
      <c r="K2313" s="2">
        <v>63.672400000000003</v>
      </c>
      <c r="L2313" s="2">
        <v>288</v>
      </c>
      <c r="M2313" s="2">
        <v>92.887200000000007</v>
      </c>
      <c r="N2313" s="2">
        <v>307</v>
      </c>
      <c r="O2313" s="2">
        <v>93.719399999999993</v>
      </c>
      <c r="P2313" s="2">
        <v>300</v>
      </c>
      <c r="Q2313" s="2">
        <v>117.3258</v>
      </c>
      <c r="R2313" s="2">
        <v>341</v>
      </c>
      <c r="S2313" s="2">
        <v>114.601</v>
      </c>
      <c r="T2313" s="2">
        <v>338</v>
      </c>
      <c r="U2313" s="2">
        <v>9.0032000000000001E-2</v>
      </c>
      <c r="V2313" s="2">
        <v>332</v>
      </c>
      <c r="W2313" s="2">
        <v>2008</v>
      </c>
    </row>
    <row r="2314" spans="1:23" ht="12.3" hidden="1" x14ac:dyDescent="0.4">
      <c r="A2314" s="2" t="s">
        <v>242</v>
      </c>
      <c r="B2314" s="2" t="e">
        <v>#N/A</v>
      </c>
      <c r="C2314" s="2"/>
      <c r="D2314" s="2"/>
      <c r="E2314" s="2"/>
      <c r="F2314" s="2"/>
      <c r="G2314" s="2"/>
      <c r="H2314" s="2"/>
      <c r="I2314" s="2">
        <v>66.225999999999999</v>
      </c>
      <c r="J2314" s="2">
        <v>195</v>
      </c>
      <c r="K2314" s="2">
        <v>64.875600000000006</v>
      </c>
      <c r="L2314" s="2">
        <v>245</v>
      </c>
      <c r="M2314" s="2">
        <v>86.037000000000006</v>
      </c>
      <c r="N2314" s="2">
        <v>335</v>
      </c>
      <c r="O2314" s="2">
        <v>86.447400000000002</v>
      </c>
      <c r="P2314" s="2">
        <v>338</v>
      </c>
      <c r="Q2314" s="2">
        <v>106.1651</v>
      </c>
      <c r="R2314" s="2">
        <v>274</v>
      </c>
      <c r="S2314" s="2">
        <v>106.4311</v>
      </c>
      <c r="T2314" s="2">
        <v>254</v>
      </c>
      <c r="U2314" s="2">
        <v>8.3818000000000004E-2</v>
      </c>
      <c r="V2314" s="2">
        <v>333</v>
      </c>
      <c r="W2314" s="2">
        <v>2008</v>
      </c>
    </row>
    <row r="2315" spans="1:23" ht="12.3" hidden="1" x14ac:dyDescent="0.4">
      <c r="A2315" s="2" t="s">
        <v>329</v>
      </c>
      <c r="B2315" s="2" t="e">
        <v>#N/A</v>
      </c>
      <c r="C2315" s="2"/>
      <c r="D2315" s="2"/>
      <c r="E2315" s="2"/>
      <c r="F2315" s="2"/>
      <c r="G2315" s="2"/>
      <c r="H2315" s="2"/>
      <c r="I2315" s="2">
        <v>70.478700000000003</v>
      </c>
      <c r="J2315" s="2">
        <v>58</v>
      </c>
      <c r="K2315" s="2">
        <v>69.790099999999995</v>
      </c>
      <c r="L2315" s="2">
        <v>71</v>
      </c>
      <c r="M2315" s="2">
        <v>92.128</v>
      </c>
      <c r="N2315" s="2">
        <v>314</v>
      </c>
      <c r="O2315" s="2">
        <v>91.879300000000001</v>
      </c>
      <c r="P2315" s="2">
        <v>320</v>
      </c>
      <c r="Q2315" s="2">
        <v>107.10380000000001</v>
      </c>
      <c r="R2315" s="2">
        <v>290</v>
      </c>
      <c r="S2315" s="2">
        <v>113.306</v>
      </c>
      <c r="T2315" s="2">
        <v>334</v>
      </c>
      <c r="U2315" s="2">
        <v>8.2368999999999998E-2</v>
      </c>
      <c r="V2315" s="2">
        <v>334</v>
      </c>
      <c r="W2315" s="2">
        <v>2008</v>
      </c>
    </row>
    <row r="2316" spans="1:23" ht="12.3" hidden="1" x14ac:dyDescent="0.4">
      <c r="A2316" s="2" t="s">
        <v>291</v>
      </c>
      <c r="B2316" s="2" t="e">
        <v>#N/A</v>
      </c>
      <c r="C2316" s="2"/>
      <c r="D2316" s="2"/>
      <c r="E2316" s="2"/>
      <c r="F2316" s="2"/>
      <c r="G2316" s="2"/>
      <c r="H2316" s="2"/>
      <c r="I2316" s="2">
        <v>70.362099999999998</v>
      </c>
      <c r="J2316" s="2">
        <v>62</v>
      </c>
      <c r="K2316" s="2">
        <v>70.196100000000001</v>
      </c>
      <c r="L2316" s="2">
        <v>56</v>
      </c>
      <c r="M2316" s="2">
        <v>86.753900000000002</v>
      </c>
      <c r="N2316" s="2">
        <v>334</v>
      </c>
      <c r="O2316" s="2">
        <v>90.313199999999995</v>
      </c>
      <c r="P2316" s="2">
        <v>325</v>
      </c>
      <c r="Q2316" s="2">
        <v>110.5428</v>
      </c>
      <c r="R2316" s="2">
        <v>327</v>
      </c>
      <c r="S2316" s="2">
        <v>111.9729</v>
      </c>
      <c r="T2316" s="2">
        <v>327</v>
      </c>
      <c r="U2316" s="2">
        <v>7.7829999999999996E-2</v>
      </c>
      <c r="V2316" s="2">
        <v>335</v>
      </c>
      <c r="W2316" s="2">
        <v>2008</v>
      </c>
    </row>
    <row r="2317" spans="1:23" ht="12.3" hidden="1" x14ac:dyDescent="0.4">
      <c r="A2317" s="2" t="s">
        <v>325</v>
      </c>
      <c r="B2317" s="2" t="e">
        <v>#N/A</v>
      </c>
      <c r="C2317" s="2"/>
      <c r="D2317" s="2"/>
      <c r="E2317" s="2"/>
      <c r="F2317" s="2"/>
      <c r="G2317" s="2"/>
      <c r="H2317" s="2"/>
      <c r="I2317" s="2">
        <v>69.959199999999996</v>
      </c>
      <c r="J2317" s="2">
        <v>70</v>
      </c>
      <c r="K2317" s="2">
        <v>69.405299999999997</v>
      </c>
      <c r="L2317" s="2">
        <v>81</v>
      </c>
      <c r="M2317" s="2">
        <v>89.036699999999996</v>
      </c>
      <c r="N2317" s="2">
        <v>333</v>
      </c>
      <c r="O2317" s="2">
        <v>87.263300000000001</v>
      </c>
      <c r="P2317" s="2">
        <v>335</v>
      </c>
      <c r="Q2317" s="2">
        <v>105.88290000000001</v>
      </c>
      <c r="R2317" s="2">
        <v>270</v>
      </c>
      <c r="S2317" s="2">
        <v>108.5954</v>
      </c>
      <c r="T2317" s="2">
        <v>296</v>
      </c>
      <c r="U2317" s="2">
        <v>7.4810000000000001E-2</v>
      </c>
      <c r="V2317" s="2">
        <v>336</v>
      </c>
      <c r="W2317" s="2">
        <v>2008</v>
      </c>
    </row>
    <row r="2318" spans="1:23" ht="12.3" hidden="1" x14ac:dyDescent="0.4">
      <c r="A2318" s="2" t="s">
        <v>363</v>
      </c>
      <c r="B2318" s="2" t="e">
        <v>#N/A</v>
      </c>
      <c r="C2318" s="2"/>
      <c r="D2318" s="2"/>
      <c r="E2318" s="2"/>
      <c r="F2318" s="2"/>
      <c r="G2318" s="2"/>
      <c r="H2318" s="2"/>
      <c r="I2318" s="2">
        <v>68.218199999999996</v>
      </c>
      <c r="J2318" s="2">
        <v>125</v>
      </c>
      <c r="K2318" s="2">
        <v>66.022599999999997</v>
      </c>
      <c r="L2318" s="2">
        <v>200</v>
      </c>
      <c r="M2318" s="2">
        <v>85.809700000000007</v>
      </c>
      <c r="N2318" s="2">
        <v>336</v>
      </c>
      <c r="O2318" s="2">
        <v>86.648300000000006</v>
      </c>
      <c r="P2318" s="2">
        <v>337</v>
      </c>
      <c r="Q2318" s="2">
        <v>106.5157</v>
      </c>
      <c r="R2318" s="2">
        <v>283</v>
      </c>
      <c r="S2318" s="2">
        <v>107.9088</v>
      </c>
      <c r="T2318" s="2">
        <v>287</v>
      </c>
      <c r="U2318" s="2">
        <v>7.4231000000000005E-2</v>
      </c>
      <c r="V2318" s="2">
        <v>337</v>
      </c>
      <c r="W2318" s="2">
        <v>2008</v>
      </c>
    </row>
    <row r="2319" spans="1:23" ht="12.3" hidden="1" x14ac:dyDescent="0.4">
      <c r="A2319" s="2" t="s">
        <v>261</v>
      </c>
      <c r="B2319" s="2" t="e">
        <v>#N/A</v>
      </c>
      <c r="C2319" s="2"/>
      <c r="D2319" s="2"/>
      <c r="E2319" s="2"/>
      <c r="F2319" s="2"/>
      <c r="G2319" s="2"/>
      <c r="H2319" s="2"/>
      <c r="I2319" s="2">
        <v>70.783799999999999</v>
      </c>
      <c r="J2319" s="2">
        <v>52</v>
      </c>
      <c r="K2319" s="2">
        <v>69.575299999999999</v>
      </c>
      <c r="L2319" s="2">
        <v>78</v>
      </c>
      <c r="M2319" s="2">
        <v>94.197699999999998</v>
      </c>
      <c r="N2319" s="2">
        <v>293</v>
      </c>
      <c r="O2319" s="2">
        <v>94.148799999999994</v>
      </c>
      <c r="P2319" s="2">
        <v>292</v>
      </c>
      <c r="Q2319" s="2">
        <v>109.99639999999999</v>
      </c>
      <c r="R2319" s="2">
        <v>321</v>
      </c>
      <c r="S2319" s="2">
        <v>117.2514</v>
      </c>
      <c r="T2319" s="2">
        <v>341</v>
      </c>
      <c r="U2319" s="2">
        <v>7.4219999999999994E-2</v>
      </c>
      <c r="V2319" s="2">
        <v>338</v>
      </c>
      <c r="W2319" s="2">
        <v>2008</v>
      </c>
    </row>
    <row r="2320" spans="1:23" ht="12.3" hidden="1" x14ac:dyDescent="0.4">
      <c r="A2320" s="2" t="s">
        <v>302</v>
      </c>
      <c r="B2320" s="2" t="e">
        <v>#N/A</v>
      </c>
      <c r="C2320" s="2"/>
      <c r="D2320" s="2"/>
      <c r="E2320" s="2"/>
      <c r="F2320" s="2"/>
      <c r="G2320" s="2"/>
      <c r="H2320" s="2"/>
      <c r="I2320" s="2">
        <v>70.102900000000005</v>
      </c>
      <c r="J2320" s="2">
        <v>66</v>
      </c>
      <c r="K2320" s="2">
        <v>70.478800000000007</v>
      </c>
      <c r="L2320" s="2">
        <v>46</v>
      </c>
      <c r="M2320" s="2">
        <v>89.754800000000003</v>
      </c>
      <c r="N2320" s="2">
        <v>331</v>
      </c>
      <c r="O2320" s="2">
        <v>89.528899999999993</v>
      </c>
      <c r="P2320" s="2">
        <v>328</v>
      </c>
      <c r="Q2320" s="2">
        <v>111.4796</v>
      </c>
      <c r="R2320" s="2">
        <v>333</v>
      </c>
      <c r="S2320" s="2">
        <v>111.6507</v>
      </c>
      <c r="T2320" s="2">
        <v>326</v>
      </c>
      <c r="U2320" s="2">
        <v>7.3144000000000001E-2</v>
      </c>
      <c r="V2320" s="2">
        <v>339</v>
      </c>
      <c r="W2320" s="2">
        <v>2008</v>
      </c>
    </row>
    <row r="2321" spans="1:23" ht="12.3" hidden="1" x14ac:dyDescent="0.4">
      <c r="A2321" s="2" t="s">
        <v>321</v>
      </c>
      <c r="B2321" s="2" t="e">
        <v>#N/A</v>
      </c>
      <c r="C2321" s="2"/>
      <c r="D2321" s="2"/>
      <c r="E2321" s="2"/>
      <c r="F2321" s="2"/>
      <c r="G2321" s="2"/>
      <c r="H2321" s="2"/>
      <c r="I2321" s="2">
        <v>68.5137</v>
      </c>
      <c r="J2321" s="2">
        <v>114</v>
      </c>
      <c r="K2321" s="2">
        <v>69.393500000000003</v>
      </c>
      <c r="L2321" s="2">
        <v>82</v>
      </c>
      <c r="M2321" s="2">
        <v>85.670100000000005</v>
      </c>
      <c r="N2321" s="2">
        <v>337</v>
      </c>
      <c r="O2321" s="2">
        <v>86.379599999999996</v>
      </c>
      <c r="P2321" s="2">
        <v>339</v>
      </c>
      <c r="Q2321" s="2">
        <v>108.6825</v>
      </c>
      <c r="R2321" s="2">
        <v>303</v>
      </c>
      <c r="S2321" s="2">
        <v>112.38500000000001</v>
      </c>
      <c r="T2321" s="2">
        <v>330</v>
      </c>
      <c r="U2321" s="2">
        <v>4.6240000000000003E-2</v>
      </c>
      <c r="V2321" s="2">
        <v>340</v>
      </c>
      <c r="W2321" s="2">
        <v>2008</v>
      </c>
    </row>
    <row r="2322" spans="1:23" ht="12.3" hidden="1" x14ac:dyDescent="0.4">
      <c r="A2322" s="2" t="s">
        <v>366</v>
      </c>
      <c r="B2322" s="2" t="e">
        <v>#N/A</v>
      </c>
      <c r="C2322" s="2"/>
      <c r="D2322" s="2"/>
      <c r="E2322" s="2"/>
      <c r="F2322" s="2"/>
      <c r="G2322" s="2"/>
      <c r="H2322" s="2"/>
      <c r="I2322" s="2">
        <v>71.233599999999996</v>
      </c>
      <c r="J2322" s="2">
        <v>42</v>
      </c>
      <c r="K2322" s="2">
        <v>71.267200000000003</v>
      </c>
      <c r="L2322" s="2">
        <v>33</v>
      </c>
      <c r="M2322" s="2">
        <v>78.290000000000006</v>
      </c>
      <c r="N2322" s="2">
        <v>340</v>
      </c>
      <c r="O2322" s="2">
        <v>77.726299999999995</v>
      </c>
      <c r="P2322" s="2">
        <v>341</v>
      </c>
      <c r="Q2322" s="2">
        <v>108.1473</v>
      </c>
      <c r="R2322" s="2">
        <v>296</v>
      </c>
      <c r="S2322" s="2">
        <v>107.0241</v>
      </c>
      <c r="T2322" s="2">
        <v>267</v>
      </c>
      <c r="U2322" s="2">
        <v>2.4641E-2</v>
      </c>
      <c r="V2322" s="2">
        <v>341</v>
      </c>
      <c r="W2322" s="2">
        <v>2008</v>
      </c>
    </row>
    <row r="2323" spans="1:23" ht="12.3" x14ac:dyDescent="0.4">
      <c r="A2323" s="2" t="s">
        <v>333</v>
      </c>
      <c r="B2323" s="2">
        <v>14</v>
      </c>
      <c r="C2323" s="25"/>
      <c r="D2323" s="25"/>
      <c r="E2323" s="2"/>
      <c r="F2323" s="2"/>
      <c r="G2323" s="2"/>
      <c r="H2323" s="2"/>
      <c r="I2323" s="2">
        <v>68.882099999999994</v>
      </c>
      <c r="J2323" s="2">
        <v>101</v>
      </c>
      <c r="K2323" s="2">
        <v>69.010000000000005</v>
      </c>
      <c r="L2323" s="2">
        <v>92</v>
      </c>
      <c r="M2323" s="2">
        <v>111.05200000000001</v>
      </c>
      <c r="N2323" s="2">
        <v>27</v>
      </c>
      <c r="O2323" s="2">
        <v>109.9731</v>
      </c>
      <c r="P2323" s="2">
        <v>46</v>
      </c>
      <c r="Q2323" s="2">
        <v>99.279700000000005</v>
      </c>
      <c r="R2323" s="2">
        <v>97</v>
      </c>
      <c r="S2323" s="2">
        <v>104.7877</v>
      </c>
      <c r="T2323" s="2">
        <v>221</v>
      </c>
      <c r="U2323" s="2">
        <v>0.63539699999999999</v>
      </c>
      <c r="V2323" s="2">
        <v>104</v>
      </c>
      <c r="W2323" s="2">
        <v>2008</v>
      </c>
    </row>
    <row r="2324" spans="1:23" ht="12.3" x14ac:dyDescent="0.4">
      <c r="A2324" s="2" t="s">
        <v>269</v>
      </c>
      <c r="B2324" s="2">
        <v>16</v>
      </c>
      <c r="C2324" s="25"/>
      <c r="D2324" s="25"/>
      <c r="E2324" s="25"/>
      <c r="F2324" s="2"/>
      <c r="G2324" s="2"/>
      <c r="H2324" s="2"/>
      <c r="I2324" s="2">
        <v>66.967699999999994</v>
      </c>
      <c r="J2324" s="2">
        <v>173</v>
      </c>
      <c r="K2324" s="2">
        <v>68.220100000000002</v>
      </c>
      <c r="L2324" s="2">
        <v>118</v>
      </c>
      <c r="M2324" s="2">
        <v>109.31959999999999</v>
      </c>
      <c r="N2324" s="2">
        <v>46</v>
      </c>
      <c r="O2324" s="2">
        <v>106.8994</v>
      </c>
      <c r="P2324" s="2">
        <v>84</v>
      </c>
      <c r="Q2324" s="2">
        <v>101.0322</v>
      </c>
      <c r="R2324" s="2">
        <v>140</v>
      </c>
      <c r="S2324" s="2">
        <v>102.2469</v>
      </c>
      <c r="T2324" s="2">
        <v>168</v>
      </c>
      <c r="U2324" s="2">
        <v>0.62521199999999999</v>
      </c>
      <c r="V2324" s="2">
        <v>112</v>
      </c>
      <c r="W2324" s="2">
        <v>2008</v>
      </c>
    </row>
    <row r="2325" spans="1:23" ht="12.3" x14ac:dyDescent="0.4">
      <c r="A2325" s="2" t="s">
        <v>133</v>
      </c>
      <c r="B2325" s="2">
        <v>13</v>
      </c>
      <c r="C2325" s="3" t="s">
        <v>33</v>
      </c>
      <c r="D2325" s="25"/>
      <c r="E2325" s="25"/>
      <c r="F2325" s="25"/>
      <c r="G2325" s="2"/>
      <c r="H2325" s="2"/>
      <c r="I2325" s="2">
        <v>65.301100000000005</v>
      </c>
      <c r="J2325" s="2">
        <v>230</v>
      </c>
      <c r="K2325" s="2">
        <v>64.852800000000002</v>
      </c>
      <c r="L2325" s="2">
        <v>247</v>
      </c>
      <c r="M2325" s="2">
        <v>98.719099999999997</v>
      </c>
      <c r="N2325" s="2">
        <v>224</v>
      </c>
      <c r="O2325" s="2">
        <v>99.826899999999995</v>
      </c>
      <c r="P2325" s="2">
        <v>200</v>
      </c>
      <c r="Q2325" s="2">
        <v>95.806399999999996</v>
      </c>
      <c r="R2325" s="2">
        <v>46</v>
      </c>
      <c r="S2325" s="2">
        <v>95.672799999999995</v>
      </c>
      <c r="T2325" s="2">
        <v>49</v>
      </c>
      <c r="U2325" s="2">
        <v>0.61982199999999998</v>
      </c>
      <c r="V2325" s="2">
        <v>115</v>
      </c>
      <c r="W2325" s="2">
        <v>2008</v>
      </c>
    </row>
    <row r="2326" spans="1:23" ht="12.3" x14ac:dyDescent="0.4">
      <c r="A2326" s="2" t="s">
        <v>252</v>
      </c>
      <c r="B2326" s="2">
        <v>15</v>
      </c>
      <c r="C2326" s="25"/>
      <c r="D2326" s="25"/>
      <c r="E2326" s="25"/>
      <c r="F2326" s="25"/>
      <c r="G2326" s="25"/>
      <c r="H2326" s="25"/>
      <c r="I2326" s="2">
        <v>65.053399999999996</v>
      </c>
      <c r="J2326" s="2">
        <v>243</v>
      </c>
      <c r="K2326" s="2">
        <v>65.038600000000002</v>
      </c>
      <c r="L2326" s="2">
        <v>240</v>
      </c>
      <c r="M2326" s="2">
        <v>113.8252</v>
      </c>
      <c r="N2326" s="2">
        <v>9</v>
      </c>
      <c r="O2326" s="2">
        <v>111.94670000000001</v>
      </c>
      <c r="P2326" s="2">
        <v>31</v>
      </c>
      <c r="Q2326" s="2">
        <v>105.52209999999999</v>
      </c>
      <c r="R2326" s="2">
        <v>263</v>
      </c>
      <c r="S2326" s="2">
        <v>107.8308</v>
      </c>
      <c r="T2326" s="2">
        <v>284</v>
      </c>
      <c r="U2326" s="2">
        <v>0.60606099999999996</v>
      </c>
      <c r="V2326" s="2">
        <v>121</v>
      </c>
      <c r="W2326" s="2">
        <v>2008</v>
      </c>
    </row>
    <row r="2327" spans="1:23" ht="12.3" x14ac:dyDescent="0.4">
      <c r="A2327" s="2" t="s">
        <v>212</v>
      </c>
      <c r="B2327" s="2">
        <v>14</v>
      </c>
      <c r="C2327" s="25"/>
      <c r="D2327" s="25"/>
      <c r="E2327" s="25"/>
      <c r="F2327" s="2"/>
      <c r="G2327" s="2"/>
      <c r="H2327" s="2"/>
      <c r="I2327" s="2">
        <v>72.355699999999999</v>
      </c>
      <c r="J2327" s="2">
        <v>24</v>
      </c>
      <c r="K2327" s="2">
        <v>72.414100000000005</v>
      </c>
      <c r="L2327" s="2">
        <v>17</v>
      </c>
      <c r="M2327" s="2">
        <v>109.9851</v>
      </c>
      <c r="N2327" s="2">
        <v>42</v>
      </c>
      <c r="O2327" s="2">
        <v>106.64319999999999</v>
      </c>
      <c r="P2327" s="2">
        <v>93</v>
      </c>
      <c r="Q2327" s="2">
        <v>102.7667</v>
      </c>
      <c r="R2327" s="2">
        <v>189</v>
      </c>
      <c r="S2327" s="2">
        <v>103.3789</v>
      </c>
      <c r="T2327" s="2">
        <v>192</v>
      </c>
      <c r="U2327" s="2">
        <v>0.58843900000000005</v>
      </c>
      <c r="V2327" s="2">
        <v>129</v>
      </c>
      <c r="W2327" s="2">
        <v>2008</v>
      </c>
    </row>
    <row r="2328" spans="1:23" ht="12.3" x14ac:dyDescent="0.4">
      <c r="A2328" s="2" t="s">
        <v>244</v>
      </c>
      <c r="B2328" s="2">
        <v>15</v>
      </c>
      <c r="C2328" s="25"/>
      <c r="D2328" s="25"/>
      <c r="E2328" s="2"/>
      <c r="F2328" s="2"/>
      <c r="G2328" s="2"/>
      <c r="H2328" s="2"/>
      <c r="I2328" s="2">
        <v>71.511099999999999</v>
      </c>
      <c r="J2328" s="2">
        <v>36</v>
      </c>
      <c r="K2328" s="2">
        <v>70.426000000000002</v>
      </c>
      <c r="L2328" s="2">
        <v>48</v>
      </c>
      <c r="M2328" s="2">
        <v>109.7821</v>
      </c>
      <c r="N2328" s="2">
        <v>43</v>
      </c>
      <c r="O2328" s="2">
        <v>107.4327</v>
      </c>
      <c r="P2328" s="2">
        <v>73</v>
      </c>
      <c r="Q2328" s="2">
        <v>102.43819999999999</v>
      </c>
      <c r="R2328" s="2">
        <v>182</v>
      </c>
      <c r="S2328" s="2">
        <v>104.5431</v>
      </c>
      <c r="T2328" s="2">
        <v>215</v>
      </c>
      <c r="U2328" s="2">
        <v>0.57775100000000001</v>
      </c>
      <c r="V2328" s="2">
        <v>131</v>
      </c>
      <c r="W2328" s="2">
        <v>2008</v>
      </c>
    </row>
    <row r="2329" spans="1:23" ht="12.3" x14ac:dyDescent="0.4">
      <c r="A2329" s="2" t="s">
        <v>226</v>
      </c>
      <c r="B2329" s="2">
        <v>15</v>
      </c>
      <c r="C2329" s="2"/>
      <c r="D2329" s="2"/>
      <c r="E2329" s="2"/>
      <c r="F2329" s="2"/>
      <c r="G2329" s="2"/>
      <c r="H2329" s="2"/>
      <c r="I2329" s="2">
        <v>60.916400000000003</v>
      </c>
      <c r="J2329" s="2">
        <v>324</v>
      </c>
      <c r="K2329" s="2">
        <v>61.920900000000003</v>
      </c>
      <c r="L2329" s="2">
        <v>320</v>
      </c>
      <c r="M2329" s="2">
        <v>106.95359999999999</v>
      </c>
      <c r="N2329" s="2">
        <v>78</v>
      </c>
      <c r="O2329" s="2">
        <v>107.8497</v>
      </c>
      <c r="P2329" s="2">
        <v>72</v>
      </c>
      <c r="Q2329" s="2">
        <v>101.55540000000001</v>
      </c>
      <c r="R2329" s="2">
        <v>153</v>
      </c>
      <c r="S2329" s="2">
        <v>105.0294</v>
      </c>
      <c r="T2329" s="2">
        <v>228</v>
      </c>
      <c r="U2329" s="2">
        <v>0.5756</v>
      </c>
      <c r="V2329" s="2">
        <v>133</v>
      </c>
      <c r="W2329" s="2">
        <v>2008</v>
      </c>
    </row>
    <row r="2330" spans="1:23" ht="12.3" x14ac:dyDescent="0.4">
      <c r="A2330" s="2" t="s">
        <v>349</v>
      </c>
      <c r="B2330" s="2">
        <v>16</v>
      </c>
      <c r="C2330" s="25"/>
      <c r="D2330" s="25"/>
      <c r="E2330" s="2"/>
      <c r="F2330" s="2"/>
      <c r="G2330" s="2"/>
      <c r="H2330" s="2"/>
      <c r="I2330" s="2">
        <v>68.343400000000003</v>
      </c>
      <c r="J2330" s="2">
        <v>120</v>
      </c>
      <c r="K2330" s="2">
        <v>67.788200000000003</v>
      </c>
      <c r="L2330" s="2">
        <v>136</v>
      </c>
      <c r="M2330" s="2">
        <v>100.7011</v>
      </c>
      <c r="N2330" s="2">
        <v>189</v>
      </c>
      <c r="O2330" s="2">
        <v>98.769800000000004</v>
      </c>
      <c r="P2330" s="2">
        <v>219</v>
      </c>
      <c r="Q2330" s="2">
        <v>97.054199999999994</v>
      </c>
      <c r="R2330" s="2">
        <v>62</v>
      </c>
      <c r="S2330" s="2">
        <v>98.3215</v>
      </c>
      <c r="T2330" s="2">
        <v>90</v>
      </c>
      <c r="U2330" s="2">
        <v>0.51307499999999995</v>
      </c>
      <c r="V2330" s="2">
        <v>159</v>
      </c>
      <c r="W2330" s="2">
        <v>2008</v>
      </c>
    </row>
    <row r="2331" spans="1:23" ht="12.3" x14ac:dyDescent="0.4">
      <c r="A2331" s="2" t="s">
        <v>227</v>
      </c>
      <c r="B2331" s="2">
        <v>15</v>
      </c>
      <c r="C2331" s="25"/>
      <c r="D2331" s="2"/>
      <c r="E2331" s="2"/>
      <c r="F2331" s="2"/>
      <c r="G2331" s="2"/>
      <c r="H2331" s="2"/>
      <c r="I2331" s="2">
        <v>67.232200000000006</v>
      </c>
      <c r="J2331" s="2">
        <v>163</v>
      </c>
      <c r="K2331" s="2">
        <v>67.453699999999998</v>
      </c>
      <c r="L2331" s="2">
        <v>145</v>
      </c>
      <c r="M2331" s="2">
        <v>108.6632</v>
      </c>
      <c r="N2331" s="2">
        <v>56</v>
      </c>
      <c r="O2331" s="2">
        <v>103.44970000000001</v>
      </c>
      <c r="P2331" s="2">
        <v>149</v>
      </c>
      <c r="Q2331" s="2">
        <v>102.7603</v>
      </c>
      <c r="R2331" s="2">
        <v>188</v>
      </c>
      <c r="S2331" s="2">
        <v>103.02119999999999</v>
      </c>
      <c r="T2331" s="2">
        <v>182</v>
      </c>
      <c r="U2331" s="2">
        <v>0.51192899999999997</v>
      </c>
      <c r="V2331" s="2">
        <v>161</v>
      </c>
      <c r="W2331" s="2">
        <v>2008</v>
      </c>
    </row>
    <row r="2332" spans="1:23" ht="12.3" x14ac:dyDescent="0.4">
      <c r="A2332" s="2" t="s">
        <v>270</v>
      </c>
      <c r="B2332" s="2">
        <v>16</v>
      </c>
      <c r="C2332" s="25"/>
      <c r="D2332" s="25"/>
      <c r="E2332" s="25"/>
      <c r="F2332" s="25"/>
      <c r="G2332" s="25"/>
      <c r="H2332" s="2"/>
      <c r="I2332" s="2">
        <v>71.203999999999994</v>
      </c>
      <c r="J2332" s="2">
        <v>43</v>
      </c>
      <c r="K2332" s="2">
        <v>70.147800000000004</v>
      </c>
      <c r="L2332" s="2">
        <v>57</v>
      </c>
      <c r="M2332" s="2">
        <v>100.8066</v>
      </c>
      <c r="N2332" s="2">
        <v>187</v>
      </c>
      <c r="O2332" s="2">
        <v>100.7145</v>
      </c>
      <c r="P2332" s="2">
        <v>189</v>
      </c>
      <c r="Q2332" s="2">
        <v>97.602000000000004</v>
      </c>
      <c r="R2332" s="2">
        <v>68</v>
      </c>
      <c r="S2332" s="2">
        <v>102.6367</v>
      </c>
      <c r="T2332" s="2">
        <v>178</v>
      </c>
      <c r="U2332" s="2">
        <v>0.44585900000000001</v>
      </c>
      <c r="V2332" s="2">
        <v>175</v>
      </c>
      <c r="W2332" s="2">
        <v>2008</v>
      </c>
    </row>
    <row r="2333" spans="1:23" ht="12.3" x14ac:dyDescent="0.4">
      <c r="A2333" s="2" t="s">
        <v>341</v>
      </c>
      <c r="B2333" s="2">
        <v>16</v>
      </c>
      <c r="C2333" s="25"/>
      <c r="D2333" s="25"/>
      <c r="E2333" s="25"/>
      <c r="F2333" s="2"/>
      <c r="G2333" s="2"/>
      <c r="H2333" s="2"/>
      <c r="I2333" s="2">
        <v>63.731699999999996</v>
      </c>
      <c r="J2333" s="2">
        <v>290</v>
      </c>
      <c r="K2333" s="2">
        <v>63.997599999999998</v>
      </c>
      <c r="L2333" s="2">
        <v>278</v>
      </c>
      <c r="M2333" s="2">
        <v>90.7727</v>
      </c>
      <c r="N2333" s="2">
        <v>325</v>
      </c>
      <c r="O2333" s="2">
        <v>93.313199999999995</v>
      </c>
      <c r="P2333" s="2">
        <v>306</v>
      </c>
      <c r="Q2333" s="2">
        <v>102.30589999999999</v>
      </c>
      <c r="R2333" s="2">
        <v>178</v>
      </c>
      <c r="S2333" s="2">
        <v>104.2839</v>
      </c>
      <c r="T2333" s="2">
        <v>208</v>
      </c>
      <c r="U2333" s="2">
        <v>0.21784200000000001</v>
      </c>
      <c r="V2333" s="2">
        <v>286</v>
      </c>
      <c r="W2333" s="2">
        <v>2008</v>
      </c>
    </row>
    <row r="2334" spans="1:23" ht="12.3" x14ac:dyDescent="0.4">
      <c r="A2334" s="2" t="s">
        <v>299</v>
      </c>
      <c r="B2334" s="2">
        <v>16</v>
      </c>
      <c r="C2334" s="25"/>
      <c r="D2334" s="25"/>
      <c r="E2334" s="25"/>
      <c r="F2334" s="2"/>
      <c r="G2334" s="2"/>
      <c r="H2334" s="2"/>
      <c r="I2334" s="2">
        <v>65.141099999999994</v>
      </c>
      <c r="J2334" s="2">
        <v>238</v>
      </c>
      <c r="K2334" s="2">
        <v>64.698800000000006</v>
      </c>
      <c r="L2334" s="2">
        <v>255</v>
      </c>
      <c r="M2334" s="2">
        <v>92.817999999999998</v>
      </c>
      <c r="N2334" s="2">
        <v>308</v>
      </c>
      <c r="O2334" s="2">
        <v>92.2821</v>
      </c>
      <c r="P2334" s="2">
        <v>317</v>
      </c>
      <c r="Q2334" s="2">
        <v>100.9277</v>
      </c>
      <c r="R2334" s="2">
        <v>138</v>
      </c>
      <c r="S2334" s="2">
        <v>104.2745</v>
      </c>
      <c r="T2334" s="2">
        <v>207</v>
      </c>
      <c r="U2334" s="2">
        <v>0.19702</v>
      </c>
      <c r="V2334" s="2">
        <v>292</v>
      </c>
      <c r="W2334" s="2">
        <v>2008</v>
      </c>
    </row>
    <row r="2335" spans="1:23" ht="12.3" x14ac:dyDescent="0.4">
      <c r="A2335" s="2" t="s">
        <v>168</v>
      </c>
      <c r="B2335" s="2">
        <v>1</v>
      </c>
      <c r="C2335" s="3" t="s">
        <v>33</v>
      </c>
      <c r="D2335" s="4" t="s">
        <v>33</v>
      </c>
      <c r="E2335" s="4" t="s">
        <v>33</v>
      </c>
      <c r="F2335" s="2"/>
      <c r="G2335" s="2"/>
      <c r="H2335" s="2"/>
      <c r="I2335" s="2">
        <v>73.9268</v>
      </c>
      <c r="J2335" s="2">
        <v>10</v>
      </c>
      <c r="K2335" s="2">
        <v>72.983199999999997</v>
      </c>
      <c r="L2335" s="2">
        <v>9</v>
      </c>
      <c r="M2335" s="2">
        <v>116.3077</v>
      </c>
      <c r="N2335" s="2">
        <v>2</v>
      </c>
      <c r="O2335" s="2">
        <v>118.08580000000001</v>
      </c>
      <c r="P2335" s="2">
        <v>4</v>
      </c>
      <c r="Q2335" s="2">
        <v>91.968299999999999</v>
      </c>
      <c r="R2335" s="2">
        <v>10</v>
      </c>
      <c r="S2335" s="2">
        <v>90.4833</v>
      </c>
      <c r="T2335" s="2">
        <v>8</v>
      </c>
      <c r="U2335" s="2">
        <v>0.955291</v>
      </c>
      <c r="V2335" s="2">
        <v>1</v>
      </c>
      <c r="W2335" s="2">
        <v>2007</v>
      </c>
    </row>
    <row r="2336" spans="1:23" ht="12.3" x14ac:dyDescent="0.4">
      <c r="A2336" s="2" t="s">
        <v>21</v>
      </c>
      <c r="B2336" s="2">
        <v>1</v>
      </c>
      <c r="C2336" s="3" t="s">
        <v>33</v>
      </c>
      <c r="D2336" s="3" t="s">
        <v>33</v>
      </c>
      <c r="E2336" s="4" t="s">
        <v>33</v>
      </c>
      <c r="F2336" s="4" t="s">
        <v>33</v>
      </c>
      <c r="G2336" s="4" t="s">
        <v>33</v>
      </c>
      <c r="H2336" s="2"/>
      <c r="I2336" s="2">
        <v>65.146199999999993</v>
      </c>
      <c r="J2336" s="2">
        <v>233</v>
      </c>
      <c r="K2336" s="2">
        <v>65.392200000000003</v>
      </c>
      <c r="L2336" s="2">
        <v>218</v>
      </c>
      <c r="M2336" s="2">
        <v>113.20829999999999</v>
      </c>
      <c r="N2336" s="2">
        <v>14</v>
      </c>
      <c r="O2336" s="2">
        <v>116.5324</v>
      </c>
      <c r="P2336" s="2">
        <v>7</v>
      </c>
      <c r="Q2336" s="2">
        <v>92.444299999999998</v>
      </c>
      <c r="R2336" s="2">
        <v>13</v>
      </c>
      <c r="S2336" s="2">
        <v>89.683000000000007</v>
      </c>
      <c r="T2336" s="2">
        <v>5</v>
      </c>
      <c r="U2336" s="2">
        <v>0.95310099999999998</v>
      </c>
      <c r="V2336" s="2">
        <v>2</v>
      </c>
      <c r="W2336" s="2">
        <v>2007</v>
      </c>
    </row>
    <row r="2337" spans="1:23" ht="12.3" x14ac:dyDescent="0.4">
      <c r="A2337" s="2" t="s">
        <v>35</v>
      </c>
      <c r="B2337" s="2">
        <v>1</v>
      </c>
      <c r="C2337" s="3" t="s">
        <v>33</v>
      </c>
      <c r="D2337" s="4" t="s">
        <v>33</v>
      </c>
      <c r="E2337" s="4" t="s">
        <v>33</v>
      </c>
      <c r="F2337" s="2"/>
      <c r="G2337" s="2"/>
      <c r="H2337" s="2"/>
      <c r="I2337" s="2">
        <v>69.486400000000003</v>
      </c>
      <c r="J2337" s="2">
        <v>79</v>
      </c>
      <c r="K2337" s="2">
        <v>69.596500000000006</v>
      </c>
      <c r="L2337" s="2">
        <v>65</v>
      </c>
      <c r="M2337" s="2">
        <v>111.56480000000001</v>
      </c>
      <c r="N2337" s="2">
        <v>25</v>
      </c>
      <c r="O2337" s="2">
        <v>112.3509</v>
      </c>
      <c r="P2337" s="2">
        <v>30</v>
      </c>
      <c r="Q2337" s="2">
        <v>86.624600000000001</v>
      </c>
      <c r="R2337" s="2">
        <v>1</v>
      </c>
      <c r="S2337" s="2">
        <v>87.437799999999996</v>
      </c>
      <c r="T2337" s="2">
        <v>1</v>
      </c>
      <c r="U2337" s="2">
        <v>0.94700200000000001</v>
      </c>
      <c r="V2337" s="2">
        <v>3</v>
      </c>
      <c r="W2337" s="2">
        <v>2007</v>
      </c>
    </row>
    <row r="2338" spans="1:23" ht="12.3" x14ac:dyDescent="0.4">
      <c r="A2338" s="2" t="s">
        <v>62</v>
      </c>
      <c r="B2338" s="2">
        <v>2</v>
      </c>
      <c r="C2338" s="3" t="s">
        <v>33</v>
      </c>
      <c r="D2338" s="3" t="s">
        <v>33</v>
      </c>
      <c r="E2338" s="4" t="s">
        <v>33</v>
      </c>
      <c r="F2338" s="4" t="s">
        <v>33</v>
      </c>
      <c r="G2338" s="2"/>
      <c r="H2338" s="2"/>
      <c r="I2338" s="2">
        <v>59.715200000000003</v>
      </c>
      <c r="J2338" s="2">
        <v>328</v>
      </c>
      <c r="K2338" s="2">
        <v>60.222299999999997</v>
      </c>
      <c r="L2338" s="2">
        <v>327</v>
      </c>
      <c r="M2338" s="2">
        <v>115.3203</v>
      </c>
      <c r="N2338" s="2">
        <v>6</v>
      </c>
      <c r="O2338" s="2">
        <v>118.5962</v>
      </c>
      <c r="P2338" s="2">
        <v>2</v>
      </c>
      <c r="Q2338" s="2">
        <v>95.349400000000003</v>
      </c>
      <c r="R2338" s="2">
        <v>37</v>
      </c>
      <c r="S2338" s="2">
        <v>92.455600000000004</v>
      </c>
      <c r="T2338" s="2">
        <v>14</v>
      </c>
      <c r="U2338" s="2">
        <v>0.94601000000000002</v>
      </c>
      <c r="V2338" s="2">
        <v>4</v>
      </c>
      <c r="W2338" s="2">
        <v>2007</v>
      </c>
    </row>
    <row r="2339" spans="1:23" ht="12.3" x14ac:dyDescent="0.4">
      <c r="A2339" s="2" t="s">
        <v>37</v>
      </c>
      <c r="B2339" s="2">
        <v>1</v>
      </c>
      <c r="C2339" s="3" t="s">
        <v>33</v>
      </c>
      <c r="D2339" s="4" t="s">
        <v>33</v>
      </c>
      <c r="E2339" s="4" t="s">
        <v>33</v>
      </c>
      <c r="F2339" s="4" t="s">
        <v>33</v>
      </c>
      <c r="G2339" s="4" t="s">
        <v>33</v>
      </c>
      <c r="H2339" s="4" t="s">
        <v>33</v>
      </c>
      <c r="I2339" s="2">
        <v>67.157700000000006</v>
      </c>
      <c r="J2339" s="2">
        <v>155</v>
      </c>
      <c r="K2339" s="2">
        <v>66.382000000000005</v>
      </c>
      <c r="L2339" s="2">
        <v>178</v>
      </c>
      <c r="M2339" s="2">
        <v>117.7637</v>
      </c>
      <c r="N2339" s="2">
        <v>1</v>
      </c>
      <c r="O2339" s="2">
        <v>118.38339999999999</v>
      </c>
      <c r="P2339" s="2">
        <v>3</v>
      </c>
      <c r="Q2339" s="2">
        <v>91.511300000000006</v>
      </c>
      <c r="R2339" s="2">
        <v>7</v>
      </c>
      <c r="S2339" s="2">
        <v>92.692499999999995</v>
      </c>
      <c r="T2339" s="2">
        <v>18</v>
      </c>
      <c r="U2339" s="2">
        <v>0.94339399999999995</v>
      </c>
      <c r="V2339" s="2">
        <v>5</v>
      </c>
      <c r="W2339" s="2">
        <v>2007</v>
      </c>
    </row>
    <row r="2340" spans="1:23" ht="12.3" x14ac:dyDescent="0.4">
      <c r="A2340" s="2" t="s">
        <v>248</v>
      </c>
      <c r="B2340" s="2">
        <v>3</v>
      </c>
      <c r="C2340" s="3" t="s">
        <v>33</v>
      </c>
      <c r="D2340" s="3" t="s">
        <v>33</v>
      </c>
      <c r="E2340" s="25"/>
      <c r="F2340" s="25"/>
      <c r="G2340" s="2"/>
      <c r="H2340" s="2"/>
      <c r="I2340" s="2">
        <v>65.730599999999995</v>
      </c>
      <c r="J2340" s="2">
        <v>214</v>
      </c>
      <c r="K2340" s="2">
        <v>65.616500000000002</v>
      </c>
      <c r="L2340" s="2">
        <v>209</v>
      </c>
      <c r="M2340" s="2">
        <v>114.7877</v>
      </c>
      <c r="N2340" s="2">
        <v>8</v>
      </c>
      <c r="O2340" s="2">
        <v>116.82429999999999</v>
      </c>
      <c r="P2340" s="2">
        <v>6</v>
      </c>
      <c r="Q2340" s="2">
        <v>89.453299999999999</v>
      </c>
      <c r="R2340" s="2">
        <v>3</v>
      </c>
      <c r="S2340" s="2">
        <v>92.521799999999999</v>
      </c>
      <c r="T2340" s="2">
        <v>15</v>
      </c>
      <c r="U2340" s="2">
        <v>0.93596199999999996</v>
      </c>
      <c r="V2340" s="2">
        <v>6</v>
      </c>
      <c r="W2340" s="2">
        <v>2007</v>
      </c>
    </row>
    <row r="2341" spans="1:23" ht="12.3" x14ac:dyDescent="0.4">
      <c r="A2341" s="2" t="s">
        <v>76</v>
      </c>
      <c r="B2341" s="2">
        <v>2</v>
      </c>
      <c r="C2341" s="2"/>
      <c r="D2341" s="2"/>
      <c r="E2341" s="2"/>
      <c r="F2341" s="2"/>
      <c r="G2341" s="2"/>
      <c r="H2341" s="2"/>
      <c r="I2341" s="2">
        <v>63.119500000000002</v>
      </c>
      <c r="J2341" s="2">
        <v>292</v>
      </c>
      <c r="K2341" s="2">
        <v>64.251900000000006</v>
      </c>
      <c r="L2341" s="2">
        <v>268</v>
      </c>
      <c r="M2341" s="2">
        <v>110.9032</v>
      </c>
      <c r="N2341" s="2">
        <v>31</v>
      </c>
      <c r="O2341" s="2">
        <v>112.63039999999999</v>
      </c>
      <c r="P2341" s="2">
        <v>29</v>
      </c>
      <c r="Q2341" s="2">
        <v>90.682900000000004</v>
      </c>
      <c r="R2341" s="2">
        <v>5</v>
      </c>
      <c r="S2341" s="2">
        <v>89.367800000000003</v>
      </c>
      <c r="T2341" s="2">
        <v>3</v>
      </c>
      <c r="U2341" s="2">
        <v>0.93465799999999999</v>
      </c>
      <c r="V2341" s="2">
        <v>7</v>
      </c>
      <c r="W2341" s="2">
        <v>2007</v>
      </c>
    </row>
    <row r="2342" spans="1:23" ht="12.3" x14ac:dyDescent="0.4">
      <c r="A2342" s="2" t="s">
        <v>71</v>
      </c>
      <c r="B2342" s="2">
        <v>2</v>
      </c>
      <c r="C2342" s="3" t="s">
        <v>33</v>
      </c>
      <c r="D2342" s="4" t="s">
        <v>33</v>
      </c>
      <c r="E2342" s="4" t="s">
        <v>33</v>
      </c>
      <c r="F2342" s="2"/>
      <c r="G2342" s="2"/>
      <c r="H2342" s="2"/>
      <c r="I2342" s="2">
        <v>70.782700000000006</v>
      </c>
      <c r="J2342" s="2">
        <v>49</v>
      </c>
      <c r="K2342" s="2">
        <v>69.438699999999997</v>
      </c>
      <c r="L2342" s="2">
        <v>69</v>
      </c>
      <c r="M2342" s="2">
        <v>112.5087</v>
      </c>
      <c r="N2342" s="2">
        <v>18</v>
      </c>
      <c r="O2342" s="2">
        <v>112.6549</v>
      </c>
      <c r="P2342" s="2">
        <v>28</v>
      </c>
      <c r="Q2342" s="2">
        <v>88.045299999999997</v>
      </c>
      <c r="R2342" s="2">
        <v>2</v>
      </c>
      <c r="S2342" s="2">
        <v>90.278400000000005</v>
      </c>
      <c r="T2342" s="2">
        <v>6</v>
      </c>
      <c r="U2342" s="2">
        <v>0.92733500000000002</v>
      </c>
      <c r="V2342" s="2">
        <v>8</v>
      </c>
      <c r="W2342" s="2">
        <v>2007</v>
      </c>
    </row>
    <row r="2343" spans="1:23" ht="12.3" x14ac:dyDescent="0.4">
      <c r="A2343" s="2" t="s">
        <v>65</v>
      </c>
      <c r="B2343" s="2">
        <v>2</v>
      </c>
      <c r="C2343" s="4" t="s">
        <v>33</v>
      </c>
      <c r="D2343" s="4" t="s">
        <v>33</v>
      </c>
      <c r="E2343" s="4" t="s">
        <v>33</v>
      </c>
      <c r="F2343" s="4" t="s">
        <v>33</v>
      </c>
      <c r="G2343" s="2"/>
      <c r="H2343" s="2"/>
      <c r="I2343" s="2">
        <v>64.4495</v>
      </c>
      <c r="J2343" s="2">
        <v>258</v>
      </c>
      <c r="K2343" s="2">
        <v>64.299800000000005</v>
      </c>
      <c r="L2343" s="2">
        <v>266</v>
      </c>
      <c r="M2343" s="2">
        <v>111.1692</v>
      </c>
      <c r="N2343" s="2">
        <v>29</v>
      </c>
      <c r="O2343" s="2">
        <v>113.0406</v>
      </c>
      <c r="P2343" s="2">
        <v>25</v>
      </c>
      <c r="Q2343" s="2">
        <v>93.773099999999999</v>
      </c>
      <c r="R2343" s="2">
        <v>19</v>
      </c>
      <c r="S2343" s="2">
        <v>91.944000000000003</v>
      </c>
      <c r="T2343" s="2">
        <v>13</v>
      </c>
      <c r="U2343" s="2">
        <v>0.91494200000000003</v>
      </c>
      <c r="V2343" s="2">
        <v>9</v>
      </c>
      <c r="W2343" s="2">
        <v>2007</v>
      </c>
    </row>
    <row r="2344" spans="1:23" ht="12.3" x14ac:dyDescent="0.4">
      <c r="A2344" s="2" t="s">
        <v>36</v>
      </c>
      <c r="B2344" s="2">
        <v>4</v>
      </c>
      <c r="C2344" s="4" t="s">
        <v>33</v>
      </c>
      <c r="D2344" s="2"/>
      <c r="E2344" s="2"/>
      <c r="F2344" s="2"/>
      <c r="G2344" s="2"/>
      <c r="H2344" s="2"/>
      <c r="I2344" s="2">
        <v>73.519400000000005</v>
      </c>
      <c r="J2344" s="2">
        <v>12</v>
      </c>
      <c r="K2344" s="2">
        <v>72.929100000000005</v>
      </c>
      <c r="L2344" s="2">
        <v>10</v>
      </c>
      <c r="M2344" s="2">
        <v>107.89239999999999</v>
      </c>
      <c r="N2344" s="2">
        <v>65</v>
      </c>
      <c r="O2344" s="2">
        <v>109.9813</v>
      </c>
      <c r="P2344" s="2">
        <v>54</v>
      </c>
      <c r="Q2344" s="2">
        <v>91.718100000000007</v>
      </c>
      <c r="R2344" s="2">
        <v>9</v>
      </c>
      <c r="S2344" s="2">
        <v>90.312299999999993</v>
      </c>
      <c r="T2344" s="2">
        <v>7</v>
      </c>
      <c r="U2344" s="2">
        <v>0.90601500000000001</v>
      </c>
      <c r="V2344" s="2">
        <v>10</v>
      </c>
      <c r="W2344" s="2">
        <v>2007</v>
      </c>
    </row>
    <row r="2345" spans="1:23" ht="12.3" x14ac:dyDescent="0.4">
      <c r="A2345" s="2" t="s">
        <v>32</v>
      </c>
      <c r="B2345" s="2">
        <v>6</v>
      </c>
      <c r="C2345" s="2"/>
      <c r="D2345" s="2"/>
      <c r="E2345" s="2"/>
      <c r="F2345" s="2"/>
      <c r="G2345" s="2"/>
      <c r="H2345" s="2"/>
      <c r="I2345" s="2">
        <v>65.953400000000002</v>
      </c>
      <c r="J2345" s="2">
        <v>208</v>
      </c>
      <c r="K2345" s="2">
        <v>65.564499999999995</v>
      </c>
      <c r="L2345" s="2">
        <v>211</v>
      </c>
      <c r="M2345" s="2">
        <v>105.5341</v>
      </c>
      <c r="N2345" s="2">
        <v>108</v>
      </c>
      <c r="O2345" s="2">
        <v>110.2039</v>
      </c>
      <c r="P2345" s="2">
        <v>49</v>
      </c>
      <c r="Q2345" s="2">
        <v>92.008700000000005</v>
      </c>
      <c r="R2345" s="2">
        <v>11</v>
      </c>
      <c r="S2345" s="2">
        <v>90.5274</v>
      </c>
      <c r="T2345" s="2">
        <v>9</v>
      </c>
      <c r="U2345" s="2">
        <v>0.90566500000000005</v>
      </c>
      <c r="V2345" s="2">
        <v>11</v>
      </c>
      <c r="W2345" s="2">
        <v>2007</v>
      </c>
    </row>
    <row r="2346" spans="1:23" ht="12.3" x14ac:dyDescent="0.4">
      <c r="A2346" s="2" t="s">
        <v>46</v>
      </c>
      <c r="B2346" s="2">
        <v>3</v>
      </c>
      <c r="C2346" s="3" t="s">
        <v>33</v>
      </c>
      <c r="D2346" s="3" t="s">
        <v>33</v>
      </c>
      <c r="E2346" s="2"/>
      <c r="F2346" s="2"/>
      <c r="G2346" s="2"/>
      <c r="H2346" s="2"/>
      <c r="I2346" s="2">
        <v>62.7363</v>
      </c>
      <c r="J2346" s="2">
        <v>296</v>
      </c>
      <c r="K2346" s="2">
        <v>62.915999999999997</v>
      </c>
      <c r="L2346" s="2">
        <v>300</v>
      </c>
      <c r="M2346" s="2">
        <v>112.2623</v>
      </c>
      <c r="N2346" s="2">
        <v>19</v>
      </c>
      <c r="O2346" s="2">
        <v>115.1422</v>
      </c>
      <c r="P2346" s="2">
        <v>12</v>
      </c>
      <c r="Q2346" s="2">
        <v>98.346800000000002</v>
      </c>
      <c r="R2346" s="2">
        <v>79</v>
      </c>
      <c r="S2346" s="2">
        <v>94.6952</v>
      </c>
      <c r="T2346" s="2">
        <v>35</v>
      </c>
      <c r="U2346" s="2">
        <v>0.90450299999999995</v>
      </c>
      <c r="V2346" s="2">
        <v>12</v>
      </c>
      <c r="W2346" s="2">
        <v>2007</v>
      </c>
    </row>
    <row r="2347" spans="1:23" ht="12.3" x14ac:dyDescent="0.4">
      <c r="A2347" s="2" t="s">
        <v>86</v>
      </c>
      <c r="B2347" s="2">
        <v>6</v>
      </c>
      <c r="C2347" s="4" t="s">
        <v>33</v>
      </c>
      <c r="D2347" s="2"/>
      <c r="E2347" s="2"/>
      <c r="F2347" s="2"/>
      <c r="G2347" s="2"/>
      <c r="H2347" s="2"/>
      <c r="I2347" s="2">
        <v>65.959100000000007</v>
      </c>
      <c r="J2347" s="2">
        <v>207</v>
      </c>
      <c r="K2347" s="2">
        <v>64.927199999999999</v>
      </c>
      <c r="L2347" s="2">
        <v>238</v>
      </c>
      <c r="M2347" s="2">
        <v>107.075</v>
      </c>
      <c r="N2347" s="2">
        <v>80</v>
      </c>
      <c r="O2347" s="2">
        <v>111.0924</v>
      </c>
      <c r="P2347" s="2">
        <v>41</v>
      </c>
      <c r="Q2347" s="2">
        <v>95.086799999999997</v>
      </c>
      <c r="R2347" s="2">
        <v>33</v>
      </c>
      <c r="S2347" s="2">
        <v>92.724599999999995</v>
      </c>
      <c r="T2347" s="2">
        <v>19</v>
      </c>
      <c r="U2347" s="2">
        <v>0.88878500000000005</v>
      </c>
      <c r="V2347" s="2">
        <v>13</v>
      </c>
      <c r="W2347" s="2">
        <v>2007</v>
      </c>
    </row>
    <row r="2348" spans="1:23" ht="12.3" x14ac:dyDescent="0.4">
      <c r="A2348" s="2" t="s">
        <v>45</v>
      </c>
      <c r="B2348" s="2">
        <v>8</v>
      </c>
      <c r="C2348" s="3" t="s">
        <v>33</v>
      </c>
      <c r="D2348" s="2"/>
      <c r="E2348" s="2"/>
      <c r="F2348" s="2"/>
      <c r="G2348" s="2"/>
      <c r="H2348" s="2"/>
      <c r="I2348" s="2">
        <v>67.864000000000004</v>
      </c>
      <c r="J2348" s="2">
        <v>119</v>
      </c>
      <c r="K2348" s="2">
        <v>67.465299999999999</v>
      </c>
      <c r="L2348" s="2">
        <v>129</v>
      </c>
      <c r="M2348" s="2">
        <v>107.6178</v>
      </c>
      <c r="N2348" s="2">
        <v>69</v>
      </c>
      <c r="O2348" s="2">
        <v>113.31399999999999</v>
      </c>
      <c r="P2348" s="2">
        <v>21</v>
      </c>
      <c r="Q2348" s="2">
        <v>98.558499999999995</v>
      </c>
      <c r="R2348" s="2">
        <v>85</v>
      </c>
      <c r="S2348" s="2">
        <v>94.742999999999995</v>
      </c>
      <c r="T2348" s="2">
        <v>37</v>
      </c>
      <c r="U2348" s="2">
        <v>0.88679799999999998</v>
      </c>
      <c r="V2348" s="2">
        <v>14</v>
      </c>
      <c r="W2348" s="2">
        <v>2007</v>
      </c>
    </row>
    <row r="2349" spans="1:23" ht="12.3" x14ac:dyDescent="0.4">
      <c r="A2349" s="2" t="s">
        <v>67</v>
      </c>
      <c r="B2349" s="2">
        <v>4</v>
      </c>
      <c r="C2349" s="3" t="s">
        <v>33</v>
      </c>
      <c r="D2349" s="2"/>
      <c r="E2349" s="2"/>
      <c r="F2349" s="2"/>
      <c r="G2349" s="2"/>
      <c r="H2349" s="2"/>
      <c r="I2349" s="2">
        <v>69.614900000000006</v>
      </c>
      <c r="J2349" s="2">
        <v>73</v>
      </c>
      <c r="K2349" s="2">
        <v>68.4709</v>
      </c>
      <c r="L2349" s="2">
        <v>99</v>
      </c>
      <c r="M2349" s="2">
        <v>114.5988</v>
      </c>
      <c r="N2349" s="2">
        <v>9</v>
      </c>
      <c r="O2349" s="2">
        <v>118.97369999999999</v>
      </c>
      <c r="P2349" s="2">
        <v>1</v>
      </c>
      <c r="Q2349" s="2">
        <v>100.2649</v>
      </c>
      <c r="R2349" s="2">
        <v>122</v>
      </c>
      <c r="S2349" s="2">
        <v>99.514600000000002</v>
      </c>
      <c r="T2349" s="2">
        <v>99</v>
      </c>
      <c r="U2349" s="2">
        <v>0.88633899999999999</v>
      </c>
      <c r="V2349" s="2">
        <v>15</v>
      </c>
      <c r="W2349" s="2">
        <v>2007</v>
      </c>
    </row>
    <row r="2350" spans="1:23" ht="12.3" x14ac:dyDescent="0.4">
      <c r="A2350" s="2" t="s">
        <v>82</v>
      </c>
      <c r="B2350" s="2">
        <v>4</v>
      </c>
      <c r="C2350" s="3" t="s">
        <v>33</v>
      </c>
      <c r="D2350" s="4" t="s">
        <v>33</v>
      </c>
      <c r="E2350" s="2"/>
      <c r="F2350" s="2"/>
      <c r="G2350" s="2"/>
      <c r="H2350" s="2"/>
      <c r="I2350" s="2">
        <v>60.414900000000003</v>
      </c>
      <c r="J2350" s="2">
        <v>325</v>
      </c>
      <c r="K2350" s="2">
        <v>61.757599999999996</v>
      </c>
      <c r="L2350" s="2">
        <v>315</v>
      </c>
      <c r="M2350" s="2">
        <v>104.3302</v>
      </c>
      <c r="N2350" s="2">
        <v>133</v>
      </c>
      <c r="O2350" s="2">
        <v>106.803</v>
      </c>
      <c r="P2350" s="2">
        <v>92</v>
      </c>
      <c r="Q2350" s="2">
        <v>94.465500000000006</v>
      </c>
      <c r="R2350" s="2">
        <v>24</v>
      </c>
      <c r="S2350" s="2">
        <v>89.369500000000002</v>
      </c>
      <c r="T2350" s="2">
        <v>4</v>
      </c>
      <c r="U2350" s="2">
        <v>0.885884</v>
      </c>
      <c r="V2350" s="2">
        <v>16</v>
      </c>
      <c r="W2350" s="2">
        <v>2007</v>
      </c>
    </row>
    <row r="2351" spans="1:23" ht="12.3" x14ac:dyDescent="0.4">
      <c r="A2351" s="2" t="s">
        <v>78</v>
      </c>
      <c r="B2351" s="2">
        <v>9</v>
      </c>
      <c r="C2351" s="2"/>
      <c r="D2351" s="2"/>
      <c r="E2351" s="2"/>
      <c r="F2351" s="2"/>
      <c r="G2351" s="2"/>
      <c r="H2351" s="2"/>
      <c r="I2351" s="2">
        <v>66.653999999999996</v>
      </c>
      <c r="J2351" s="2">
        <v>176</v>
      </c>
      <c r="K2351" s="2">
        <v>66.816299999999998</v>
      </c>
      <c r="L2351" s="2">
        <v>164</v>
      </c>
      <c r="M2351" s="2">
        <v>107.80840000000001</v>
      </c>
      <c r="N2351" s="2">
        <v>66</v>
      </c>
      <c r="O2351" s="2">
        <v>111.0917</v>
      </c>
      <c r="P2351" s="2">
        <v>42</v>
      </c>
      <c r="Q2351" s="2">
        <v>96.927000000000007</v>
      </c>
      <c r="R2351" s="2">
        <v>59</v>
      </c>
      <c r="S2351" s="2">
        <v>93.025800000000004</v>
      </c>
      <c r="T2351" s="2">
        <v>21</v>
      </c>
      <c r="U2351" s="2">
        <v>0.88503600000000004</v>
      </c>
      <c r="V2351" s="2">
        <v>17</v>
      </c>
      <c r="W2351" s="2">
        <v>2007</v>
      </c>
    </row>
    <row r="2352" spans="1:23" ht="12.3" x14ac:dyDescent="0.4">
      <c r="A2352" s="2" t="s">
        <v>56</v>
      </c>
      <c r="B2352" s="2">
        <v>6</v>
      </c>
      <c r="C2352" s="2"/>
      <c r="D2352" s="2"/>
      <c r="E2352" s="2"/>
      <c r="F2352" s="2"/>
      <c r="G2352" s="2"/>
      <c r="H2352" s="2"/>
      <c r="I2352" s="2">
        <v>70.406000000000006</v>
      </c>
      <c r="J2352" s="2">
        <v>59</v>
      </c>
      <c r="K2352" s="2">
        <v>71.079700000000003</v>
      </c>
      <c r="L2352" s="2">
        <v>34</v>
      </c>
      <c r="M2352" s="2">
        <v>115.5459</v>
      </c>
      <c r="N2352" s="2">
        <v>4</v>
      </c>
      <c r="O2352" s="2">
        <v>117.3749</v>
      </c>
      <c r="P2352" s="2">
        <v>5</v>
      </c>
      <c r="Q2352" s="2">
        <v>96.417400000000001</v>
      </c>
      <c r="R2352" s="2">
        <v>52</v>
      </c>
      <c r="S2352" s="2">
        <v>98.623099999999994</v>
      </c>
      <c r="T2352" s="2">
        <v>87</v>
      </c>
      <c r="U2352" s="2">
        <v>0.88098299999999996</v>
      </c>
      <c r="V2352" s="2">
        <v>18</v>
      </c>
      <c r="W2352" s="2">
        <v>2007</v>
      </c>
    </row>
    <row r="2353" spans="1:23" ht="12.3" x14ac:dyDescent="0.4">
      <c r="A2353" s="2" t="s">
        <v>58</v>
      </c>
      <c r="B2353" s="2">
        <v>9</v>
      </c>
      <c r="C2353" s="3" t="s">
        <v>33</v>
      </c>
      <c r="D2353" s="2"/>
      <c r="E2353" s="2"/>
      <c r="F2353" s="2"/>
      <c r="G2353" s="2"/>
      <c r="H2353" s="2"/>
      <c r="I2353" s="2">
        <v>60.942799999999998</v>
      </c>
      <c r="J2353" s="2">
        <v>321</v>
      </c>
      <c r="K2353" s="2">
        <v>62.113900000000001</v>
      </c>
      <c r="L2353" s="2">
        <v>310</v>
      </c>
      <c r="M2353" s="2">
        <v>106.9186</v>
      </c>
      <c r="N2353" s="2">
        <v>83</v>
      </c>
      <c r="O2353" s="2">
        <v>108.8565</v>
      </c>
      <c r="P2353" s="2">
        <v>68</v>
      </c>
      <c r="Q2353" s="2">
        <v>93.254199999999997</v>
      </c>
      <c r="R2353" s="2">
        <v>16</v>
      </c>
      <c r="S2353" s="2">
        <v>91.506399999999999</v>
      </c>
      <c r="T2353" s="2">
        <v>12</v>
      </c>
      <c r="U2353" s="2">
        <v>0.88044599999999995</v>
      </c>
      <c r="V2353" s="2">
        <v>19</v>
      </c>
      <c r="W2353" s="2">
        <v>2007</v>
      </c>
    </row>
    <row r="2354" spans="1:23" ht="12.3" hidden="1" x14ac:dyDescent="0.4">
      <c r="A2354" s="2" t="s">
        <v>97</v>
      </c>
      <c r="B2354" s="2"/>
      <c r="C2354" s="2"/>
      <c r="D2354" s="2"/>
      <c r="E2354" s="2"/>
      <c r="F2354" s="2"/>
      <c r="G2354" s="2"/>
      <c r="H2354" s="2"/>
      <c r="I2354" s="2">
        <v>62.649299999999997</v>
      </c>
      <c r="J2354" s="2">
        <v>297</v>
      </c>
      <c r="K2354" s="2">
        <v>62.458300000000001</v>
      </c>
      <c r="L2354" s="2">
        <v>310</v>
      </c>
      <c r="M2354" s="2">
        <v>106.2171</v>
      </c>
      <c r="N2354" s="2">
        <v>84</v>
      </c>
      <c r="O2354" s="2">
        <v>108.4532</v>
      </c>
      <c r="P2354" s="2">
        <v>61</v>
      </c>
      <c r="Q2354" s="2">
        <v>95.340999999999994</v>
      </c>
      <c r="R2354" s="2">
        <v>44</v>
      </c>
      <c r="S2354" s="2">
        <v>93.321600000000004</v>
      </c>
      <c r="T2354" s="2">
        <v>28</v>
      </c>
      <c r="U2354" s="2">
        <v>0.84916499999999995</v>
      </c>
      <c r="V2354" s="2">
        <v>32</v>
      </c>
      <c r="W2354" s="2">
        <v>2009</v>
      </c>
    </row>
    <row r="2355" spans="1:23" ht="12.3" x14ac:dyDescent="0.4">
      <c r="A2355" s="2" t="s">
        <v>41</v>
      </c>
      <c r="B2355" s="2">
        <v>3</v>
      </c>
      <c r="C2355" s="4" t="s">
        <v>33</v>
      </c>
      <c r="D2355" s="4" t="s">
        <v>33</v>
      </c>
      <c r="E2355" s="4" t="s">
        <v>33</v>
      </c>
      <c r="F2355" s="2"/>
      <c r="G2355" s="2"/>
      <c r="H2355" s="2"/>
      <c r="I2355" s="2">
        <v>67.273899999999998</v>
      </c>
      <c r="J2355" s="2">
        <v>146</v>
      </c>
      <c r="K2355" s="2">
        <v>66.999899999999997</v>
      </c>
      <c r="L2355" s="2">
        <v>154</v>
      </c>
      <c r="M2355" s="2">
        <v>112.64530000000001</v>
      </c>
      <c r="N2355" s="2">
        <v>16</v>
      </c>
      <c r="O2355" s="2">
        <v>115.7993</v>
      </c>
      <c r="P2355" s="2">
        <v>10</v>
      </c>
      <c r="Q2355" s="2">
        <v>97.821899999999999</v>
      </c>
      <c r="R2355" s="2">
        <v>72</v>
      </c>
      <c r="S2355" s="2">
        <v>97.504199999999997</v>
      </c>
      <c r="T2355" s="2">
        <v>62</v>
      </c>
      <c r="U2355" s="2">
        <v>0.87842299999999995</v>
      </c>
      <c r="V2355" s="2">
        <v>20</v>
      </c>
      <c r="W2355" s="2">
        <v>2007</v>
      </c>
    </row>
    <row r="2356" spans="1:23" ht="12.3" hidden="1" x14ac:dyDescent="0.4">
      <c r="A2356" s="2" t="s">
        <v>62</v>
      </c>
      <c r="B2356" s="2"/>
      <c r="C2356" s="2"/>
      <c r="D2356" s="2"/>
      <c r="E2356" s="2"/>
      <c r="F2356" s="2"/>
      <c r="G2356" s="2"/>
      <c r="H2356" s="2"/>
      <c r="I2356" s="2">
        <v>64.528999999999996</v>
      </c>
      <c r="J2356" s="2">
        <v>256</v>
      </c>
      <c r="K2356" s="2">
        <v>63.9831</v>
      </c>
      <c r="L2356" s="2">
        <v>271</v>
      </c>
      <c r="M2356" s="2">
        <v>105.2988</v>
      </c>
      <c r="N2356" s="2">
        <v>96</v>
      </c>
      <c r="O2356" s="2">
        <v>107.41030000000001</v>
      </c>
      <c r="P2356" s="2">
        <v>75</v>
      </c>
      <c r="Q2356" s="2">
        <v>96.348600000000005</v>
      </c>
      <c r="R2356" s="2">
        <v>62</v>
      </c>
      <c r="S2356" s="2">
        <v>92.962699999999998</v>
      </c>
      <c r="T2356" s="2">
        <v>22</v>
      </c>
      <c r="U2356" s="2">
        <v>0.84040800000000004</v>
      </c>
      <c r="V2356" s="2">
        <v>34</v>
      </c>
      <c r="W2356" s="2">
        <v>2009</v>
      </c>
    </row>
    <row r="2357" spans="1:23" ht="12.3" x14ac:dyDescent="0.4">
      <c r="A2357" s="2" t="s">
        <v>40</v>
      </c>
      <c r="B2357" s="2">
        <v>7</v>
      </c>
      <c r="C2357" s="4" t="s">
        <v>33</v>
      </c>
      <c r="D2357" s="2"/>
      <c r="E2357" s="2"/>
      <c r="F2357" s="2"/>
      <c r="G2357" s="2"/>
      <c r="H2357" s="2"/>
      <c r="I2357" s="2">
        <v>64.052899999999994</v>
      </c>
      <c r="J2357" s="2">
        <v>266</v>
      </c>
      <c r="K2357" s="2">
        <v>65.596500000000006</v>
      </c>
      <c r="L2357" s="2">
        <v>210</v>
      </c>
      <c r="M2357" s="2">
        <v>110.2021</v>
      </c>
      <c r="N2357" s="2">
        <v>39</v>
      </c>
      <c r="O2357" s="2">
        <v>113.8082</v>
      </c>
      <c r="P2357" s="2">
        <v>19</v>
      </c>
      <c r="Q2357" s="2">
        <v>96.804900000000004</v>
      </c>
      <c r="R2357" s="2">
        <v>56</v>
      </c>
      <c r="S2357" s="2">
        <v>95.917599999999993</v>
      </c>
      <c r="T2357" s="2">
        <v>47</v>
      </c>
      <c r="U2357" s="2">
        <v>0.87726599999999999</v>
      </c>
      <c r="V2357" s="2">
        <v>21</v>
      </c>
      <c r="W2357" s="2">
        <v>2007</v>
      </c>
    </row>
    <row r="2358" spans="1:23" ht="12.3" x14ac:dyDescent="0.4">
      <c r="A2358" s="2" t="s">
        <v>18</v>
      </c>
      <c r="B2358" s="2">
        <v>5</v>
      </c>
      <c r="C2358" s="4" t="s">
        <v>33</v>
      </c>
      <c r="D2358" s="4" t="s">
        <v>33</v>
      </c>
      <c r="E2358" s="2"/>
      <c r="F2358" s="2"/>
      <c r="G2358" s="2"/>
      <c r="H2358" s="2"/>
      <c r="I2358" s="2">
        <v>58.582700000000003</v>
      </c>
      <c r="J2358" s="2">
        <v>332</v>
      </c>
      <c r="K2358" s="2">
        <v>59.301499999999997</v>
      </c>
      <c r="L2358" s="2">
        <v>329</v>
      </c>
      <c r="M2358" s="2">
        <v>115.084</v>
      </c>
      <c r="N2358" s="2">
        <v>7</v>
      </c>
      <c r="O2358" s="2">
        <v>115.33929999999999</v>
      </c>
      <c r="P2358" s="2">
        <v>11</v>
      </c>
      <c r="Q2358" s="2">
        <v>94.912300000000002</v>
      </c>
      <c r="R2358" s="2">
        <v>30</v>
      </c>
      <c r="S2358" s="2">
        <v>97.239800000000002</v>
      </c>
      <c r="T2358" s="2">
        <v>60</v>
      </c>
      <c r="U2358" s="2">
        <v>0.87685999999999997</v>
      </c>
      <c r="V2358" s="2">
        <v>22</v>
      </c>
      <c r="W2358" s="2">
        <v>2007</v>
      </c>
    </row>
    <row r="2359" spans="1:23" ht="12.3" x14ac:dyDescent="0.4">
      <c r="A2359" s="2" t="s">
        <v>90</v>
      </c>
      <c r="B2359" s="2">
        <v>10</v>
      </c>
      <c r="C2359" s="2"/>
      <c r="D2359" s="2"/>
      <c r="E2359" s="2"/>
      <c r="F2359" s="2"/>
      <c r="G2359" s="2"/>
      <c r="H2359" s="2"/>
      <c r="I2359" s="2">
        <v>62.305900000000001</v>
      </c>
      <c r="J2359" s="2">
        <v>305</v>
      </c>
      <c r="K2359" s="2">
        <v>63.665599999999998</v>
      </c>
      <c r="L2359" s="2">
        <v>287</v>
      </c>
      <c r="M2359" s="2">
        <v>107.7688</v>
      </c>
      <c r="N2359" s="2">
        <v>67</v>
      </c>
      <c r="O2359" s="2">
        <v>112.0902</v>
      </c>
      <c r="P2359" s="2">
        <v>32</v>
      </c>
      <c r="Q2359" s="2">
        <v>97.056600000000003</v>
      </c>
      <c r="R2359" s="2">
        <v>62</v>
      </c>
      <c r="S2359" s="2">
        <v>94.8733</v>
      </c>
      <c r="T2359" s="2">
        <v>39</v>
      </c>
      <c r="U2359" s="2">
        <v>0.871888</v>
      </c>
      <c r="V2359" s="2">
        <v>23</v>
      </c>
      <c r="W2359" s="2">
        <v>2007</v>
      </c>
    </row>
    <row r="2360" spans="1:23" ht="12.3" x14ac:dyDescent="0.4">
      <c r="A2360" s="2" t="s">
        <v>239</v>
      </c>
      <c r="B2360" s="2">
        <v>3</v>
      </c>
      <c r="C2360" s="3" t="s">
        <v>33</v>
      </c>
      <c r="D2360" s="25"/>
      <c r="E2360" s="2"/>
      <c r="F2360" s="2"/>
      <c r="G2360" s="2"/>
      <c r="H2360" s="2"/>
      <c r="I2360" s="2">
        <v>61.380600000000001</v>
      </c>
      <c r="J2360" s="2">
        <v>319</v>
      </c>
      <c r="K2360" s="2">
        <v>60.848999999999997</v>
      </c>
      <c r="L2360" s="2">
        <v>322</v>
      </c>
      <c r="M2360" s="2">
        <v>106.2136</v>
      </c>
      <c r="N2360" s="2">
        <v>95</v>
      </c>
      <c r="O2360" s="2">
        <v>108.6062</v>
      </c>
      <c r="P2360" s="2">
        <v>71</v>
      </c>
      <c r="Q2360" s="2">
        <v>94.4345</v>
      </c>
      <c r="R2360" s="2">
        <v>23</v>
      </c>
      <c r="S2360" s="2">
        <v>92.665599999999998</v>
      </c>
      <c r="T2360" s="2">
        <v>17</v>
      </c>
      <c r="U2360" s="2">
        <v>0.86121400000000004</v>
      </c>
      <c r="V2360" s="2">
        <v>24</v>
      </c>
      <c r="W2360" s="2">
        <v>2007</v>
      </c>
    </row>
    <row r="2361" spans="1:23" ht="12.3" hidden="1" x14ac:dyDescent="0.4">
      <c r="A2361" s="2" t="s">
        <v>56</v>
      </c>
      <c r="B2361" s="2"/>
      <c r="C2361" s="2"/>
      <c r="D2361" s="2"/>
      <c r="E2361" s="2"/>
      <c r="F2361" s="2"/>
      <c r="G2361" s="2"/>
      <c r="H2361" s="2"/>
      <c r="I2361" s="2">
        <v>68.249399999999994</v>
      </c>
      <c r="J2361" s="2">
        <v>105</v>
      </c>
      <c r="K2361" s="2">
        <v>68.108000000000004</v>
      </c>
      <c r="L2361" s="2">
        <v>100</v>
      </c>
      <c r="M2361" s="2">
        <v>110.63590000000001</v>
      </c>
      <c r="N2361" s="2">
        <v>24</v>
      </c>
      <c r="O2361" s="2">
        <v>114.39279999999999</v>
      </c>
      <c r="P2361" s="2">
        <v>14</v>
      </c>
      <c r="Q2361" s="2">
        <v>103.32980000000001</v>
      </c>
      <c r="R2361" s="2">
        <v>221</v>
      </c>
      <c r="S2361" s="2">
        <v>99.700100000000006</v>
      </c>
      <c r="T2361" s="2">
        <v>130</v>
      </c>
      <c r="U2361" s="2">
        <v>0.82933400000000002</v>
      </c>
      <c r="V2361" s="2">
        <v>39</v>
      </c>
      <c r="W2361" s="2">
        <v>2009</v>
      </c>
    </row>
    <row r="2362" spans="1:23" ht="12.3" hidden="1" x14ac:dyDescent="0.4">
      <c r="A2362" s="2" t="s">
        <v>37</v>
      </c>
      <c r="B2362" s="2"/>
      <c r="C2362" s="2"/>
      <c r="D2362" s="2"/>
      <c r="E2362" s="2"/>
      <c r="F2362" s="2"/>
      <c r="G2362" s="2"/>
      <c r="H2362" s="2"/>
      <c r="I2362" s="2">
        <v>68.833299999999994</v>
      </c>
      <c r="J2362" s="2">
        <v>85</v>
      </c>
      <c r="K2362" s="2">
        <v>66.668199999999999</v>
      </c>
      <c r="L2362" s="2">
        <v>157</v>
      </c>
      <c r="M2362" s="2">
        <v>112.6553</v>
      </c>
      <c r="N2362" s="2">
        <v>12</v>
      </c>
      <c r="O2362" s="2">
        <v>113.40430000000001</v>
      </c>
      <c r="P2362" s="2">
        <v>16</v>
      </c>
      <c r="Q2362" s="2">
        <v>98.544899999999998</v>
      </c>
      <c r="R2362" s="2">
        <v>103</v>
      </c>
      <c r="S2362" s="2">
        <v>99.059299999999993</v>
      </c>
      <c r="T2362" s="2">
        <v>118</v>
      </c>
      <c r="U2362" s="2">
        <v>0.82567299999999999</v>
      </c>
      <c r="V2362" s="2">
        <v>40</v>
      </c>
      <c r="W2362" s="2">
        <v>2009</v>
      </c>
    </row>
    <row r="2363" spans="1:23" ht="12.3" hidden="1" x14ac:dyDescent="0.4">
      <c r="A2363" s="2" t="s">
        <v>115</v>
      </c>
      <c r="B2363" s="2"/>
      <c r="C2363" s="2"/>
      <c r="D2363" s="2"/>
      <c r="E2363" s="2"/>
      <c r="F2363" s="2"/>
      <c r="G2363" s="2"/>
      <c r="H2363" s="2"/>
      <c r="I2363" s="2">
        <v>66.343800000000002</v>
      </c>
      <c r="J2363" s="2">
        <v>167</v>
      </c>
      <c r="K2363" s="2">
        <v>65.6203</v>
      </c>
      <c r="L2363" s="2">
        <v>201</v>
      </c>
      <c r="M2363" s="2">
        <v>110.1386</v>
      </c>
      <c r="N2363" s="2">
        <v>27</v>
      </c>
      <c r="O2363" s="2">
        <v>110.4327</v>
      </c>
      <c r="P2363" s="2">
        <v>39</v>
      </c>
      <c r="Q2363" s="2">
        <v>97.9572</v>
      </c>
      <c r="R2363" s="2">
        <v>93</v>
      </c>
      <c r="S2363" s="2">
        <v>96.651600000000002</v>
      </c>
      <c r="T2363" s="2">
        <v>65</v>
      </c>
      <c r="U2363" s="2">
        <v>0.82242700000000002</v>
      </c>
      <c r="V2363" s="2">
        <v>41</v>
      </c>
      <c r="W2363" s="2">
        <v>2009</v>
      </c>
    </row>
    <row r="2364" spans="1:23" ht="12.3" hidden="1" x14ac:dyDescent="0.4">
      <c r="A2364" s="2" t="s">
        <v>239</v>
      </c>
      <c r="B2364" s="2"/>
      <c r="C2364" s="2"/>
      <c r="D2364" s="2"/>
      <c r="E2364" s="2"/>
      <c r="F2364" s="2"/>
      <c r="G2364" s="2"/>
      <c r="H2364" s="2"/>
      <c r="I2364" s="2">
        <v>58.516100000000002</v>
      </c>
      <c r="J2364" s="2">
        <v>342</v>
      </c>
      <c r="K2364" s="2">
        <v>58.545299999999997</v>
      </c>
      <c r="L2364" s="2">
        <v>341</v>
      </c>
      <c r="M2364" s="2">
        <v>100.854</v>
      </c>
      <c r="N2364" s="2">
        <v>179</v>
      </c>
      <c r="O2364" s="2">
        <v>103.3004</v>
      </c>
      <c r="P2364" s="2">
        <v>134</v>
      </c>
      <c r="Q2364" s="2">
        <v>93.7958</v>
      </c>
      <c r="R2364" s="2">
        <v>24</v>
      </c>
      <c r="S2364" s="2">
        <v>90.485600000000005</v>
      </c>
      <c r="T2364" s="2">
        <v>8</v>
      </c>
      <c r="U2364" s="2">
        <v>0.82100700000000004</v>
      </c>
      <c r="V2364" s="2">
        <v>42</v>
      </c>
      <c r="W2364" s="2">
        <v>2009</v>
      </c>
    </row>
    <row r="2365" spans="1:23" ht="12.3" x14ac:dyDescent="0.4">
      <c r="A2365" s="2" t="s">
        <v>92</v>
      </c>
      <c r="B2365" s="2">
        <v>10</v>
      </c>
      <c r="C2365" s="25"/>
      <c r="D2365" s="2"/>
      <c r="E2365" s="2"/>
      <c r="F2365" s="2"/>
      <c r="G2365" s="2"/>
      <c r="H2365" s="2"/>
      <c r="I2365" s="2">
        <v>70.211100000000002</v>
      </c>
      <c r="J2365" s="2">
        <v>62</v>
      </c>
      <c r="K2365" s="2">
        <v>68.340999999999994</v>
      </c>
      <c r="L2365" s="2">
        <v>105</v>
      </c>
      <c r="M2365" s="2">
        <v>111.526</v>
      </c>
      <c r="N2365" s="2">
        <v>26</v>
      </c>
      <c r="O2365" s="2">
        <v>114.6063</v>
      </c>
      <c r="P2365" s="2">
        <v>15</v>
      </c>
      <c r="Q2365" s="2">
        <v>98.372799999999998</v>
      </c>
      <c r="R2365" s="2">
        <v>80</v>
      </c>
      <c r="S2365" s="2">
        <v>97.820499999999996</v>
      </c>
      <c r="T2365" s="2">
        <v>67</v>
      </c>
      <c r="U2365" s="2">
        <v>0.86071600000000004</v>
      </c>
      <c r="V2365" s="2">
        <v>25</v>
      </c>
      <c r="W2365" s="2">
        <v>2007</v>
      </c>
    </row>
    <row r="2366" spans="1:23" ht="12.3" x14ac:dyDescent="0.4">
      <c r="A2366" s="2" t="s">
        <v>50</v>
      </c>
      <c r="B2366" s="2">
        <v>9</v>
      </c>
      <c r="C2366" s="4" t="s">
        <v>33</v>
      </c>
      <c r="D2366" s="2"/>
      <c r="E2366" s="2"/>
      <c r="F2366" s="2"/>
      <c r="G2366" s="2"/>
      <c r="H2366" s="2"/>
      <c r="I2366" s="2">
        <v>66.208200000000005</v>
      </c>
      <c r="J2366" s="2">
        <v>197</v>
      </c>
      <c r="K2366" s="2">
        <v>67.458699999999993</v>
      </c>
      <c r="L2366" s="2">
        <v>130</v>
      </c>
      <c r="M2366" s="2">
        <v>115.3751</v>
      </c>
      <c r="N2366" s="2">
        <v>5</v>
      </c>
      <c r="O2366" s="2">
        <v>115.08320000000001</v>
      </c>
      <c r="P2366" s="2">
        <v>13</v>
      </c>
      <c r="Q2366" s="2">
        <v>98.071100000000001</v>
      </c>
      <c r="R2366" s="2">
        <v>74</v>
      </c>
      <c r="S2366" s="2">
        <v>98.236800000000002</v>
      </c>
      <c r="T2366" s="2">
        <v>80</v>
      </c>
      <c r="U2366" s="2">
        <v>0.86058500000000004</v>
      </c>
      <c r="V2366" s="2">
        <v>26</v>
      </c>
      <c r="W2366" s="2">
        <v>2007</v>
      </c>
    </row>
    <row r="2367" spans="1:23" ht="12.3" x14ac:dyDescent="0.4">
      <c r="A2367" s="2" t="s">
        <v>39</v>
      </c>
      <c r="B2367" s="2">
        <v>8</v>
      </c>
      <c r="C2367" s="25"/>
      <c r="D2367" s="2"/>
      <c r="E2367" s="2"/>
      <c r="F2367" s="2"/>
      <c r="G2367" s="2"/>
      <c r="H2367" s="2"/>
      <c r="I2367" s="2">
        <v>67.830600000000004</v>
      </c>
      <c r="J2367" s="2">
        <v>122</v>
      </c>
      <c r="K2367" s="2">
        <v>68.751400000000004</v>
      </c>
      <c r="L2367" s="2">
        <v>89</v>
      </c>
      <c r="M2367" s="2">
        <v>106.4606</v>
      </c>
      <c r="N2367" s="2">
        <v>90</v>
      </c>
      <c r="O2367" s="2">
        <v>110.6636</v>
      </c>
      <c r="P2367" s="2">
        <v>45</v>
      </c>
      <c r="Q2367" s="2">
        <v>95.365799999999993</v>
      </c>
      <c r="R2367" s="2">
        <v>38</v>
      </c>
      <c r="S2367" s="2">
        <v>94.593199999999996</v>
      </c>
      <c r="T2367" s="2">
        <v>34</v>
      </c>
      <c r="U2367" s="2">
        <v>0.85869099999999998</v>
      </c>
      <c r="V2367" s="2">
        <v>27</v>
      </c>
      <c r="W2367" s="2">
        <v>2007</v>
      </c>
    </row>
    <row r="2368" spans="1:23" ht="12.3" hidden="1" x14ac:dyDescent="0.4">
      <c r="A2368" s="2" t="s">
        <v>60</v>
      </c>
      <c r="B2368" s="2"/>
      <c r="C2368" s="2"/>
      <c r="D2368" s="2"/>
      <c r="E2368" s="2"/>
      <c r="F2368" s="2"/>
      <c r="G2368" s="2"/>
      <c r="H2368" s="2"/>
      <c r="I2368" s="2">
        <v>66.179299999999998</v>
      </c>
      <c r="J2368" s="2">
        <v>176</v>
      </c>
      <c r="K2368" s="2">
        <v>64.943200000000004</v>
      </c>
      <c r="L2368" s="2">
        <v>238</v>
      </c>
      <c r="M2368" s="2">
        <v>107.9097</v>
      </c>
      <c r="N2368" s="2">
        <v>60</v>
      </c>
      <c r="O2368" s="2">
        <v>109.2046</v>
      </c>
      <c r="P2368" s="2">
        <v>52</v>
      </c>
      <c r="Q2368" s="2">
        <v>98.559600000000003</v>
      </c>
      <c r="R2368" s="2">
        <v>104</v>
      </c>
      <c r="S2368" s="2">
        <v>96.149199999999993</v>
      </c>
      <c r="T2368" s="2">
        <v>60</v>
      </c>
      <c r="U2368" s="2">
        <v>0.81217499999999998</v>
      </c>
      <c r="V2368" s="2">
        <v>46</v>
      </c>
      <c r="W2368" s="2">
        <v>2009</v>
      </c>
    </row>
    <row r="2369" spans="1:23" ht="12.3" x14ac:dyDescent="0.4">
      <c r="A2369" s="2" t="s">
        <v>43</v>
      </c>
      <c r="B2369" s="2">
        <v>8</v>
      </c>
      <c r="C2369" s="25"/>
      <c r="D2369" s="2"/>
      <c r="E2369" s="2"/>
      <c r="F2369" s="2"/>
      <c r="G2369" s="2"/>
      <c r="H2369" s="2"/>
      <c r="I2369" s="2">
        <v>69.067300000000003</v>
      </c>
      <c r="J2369" s="2">
        <v>91</v>
      </c>
      <c r="K2369" s="2">
        <v>69.057000000000002</v>
      </c>
      <c r="L2369" s="2">
        <v>78</v>
      </c>
      <c r="M2369" s="2">
        <v>112.9722</v>
      </c>
      <c r="N2369" s="2">
        <v>15</v>
      </c>
      <c r="O2369" s="2">
        <v>116.083</v>
      </c>
      <c r="P2369" s="2">
        <v>9</v>
      </c>
      <c r="Q2369" s="2">
        <v>104.1438</v>
      </c>
      <c r="R2369" s="2">
        <v>206</v>
      </c>
      <c r="S2369" s="2">
        <v>99.773600000000002</v>
      </c>
      <c r="T2369" s="2">
        <v>108</v>
      </c>
      <c r="U2369" s="2">
        <v>0.85082999999999998</v>
      </c>
      <c r="V2369" s="2">
        <v>28</v>
      </c>
      <c r="W2369" s="2">
        <v>2007</v>
      </c>
    </row>
    <row r="2370" spans="1:23" ht="12.3" x14ac:dyDescent="0.4">
      <c r="A2370" s="2" t="s">
        <v>121</v>
      </c>
      <c r="B2370" s="2">
        <v>9</v>
      </c>
      <c r="C2370" s="3" t="s">
        <v>33</v>
      </c>
      <c r="D2370" s="2"/>
      <c r="E2370" s="2"/>
      <c r="F2370" s="2"/>
      <c r="G2370" s="2"/>
      <c r="H2370" s="2"/>
      <c r="I2370" s="2">
        <v>66.320300000000003</v>
      </c>
      <c r="J2370" s="2">
        <v>193</v>
      </c>
      <c r="K2370" s="2">
        <v>67.866200000000006</v>
      </c>
      <c r="L2370" s="2">
        <v>117</v>
      </c>
      <c r="M2370" s="2">
        <v>105.273</v>
      </c>
      <c r="N2370" s="2">
        <v>114</v>
      </c>
      <c r="O2370" s="2">
        <v>107.5194</v>
      </c>
      <c r="P2370" s="2">
        <v>83</v>
      </c>
      <c r="Q2370" s="2">
        <v>95.29</v>
      </c>
      <c r="R2370" s="2">
        <v>36</v>
      </c>
      <c r="S2370" s="2">
        <v>92.662099999999995</v>
      </c>
      <c r="T2370" s="2">
        <v>16</v>
      </c>
      <c r="U2370" s="2">
        <v>0.84686099999999997</v>
      </c>
      <c r="V2370" s="2">
        <v>31</v>
      </c>
      <c r="W2370" s="2">
        <v>2007</v>
      </c>
    </row>
    <row r="2371" spans="1:23" ht="12.3" x14ac:dyDescent="0.4">
      <c r="A2371" s="2" t="s">
        <v>44</v>
      </c>
      <c r="B2371" s="2">
        <v>12</v>
      </c>
      <c r="C2371" s="2"/>
      <c r="D2371" s="2"/>
      <c r="E2371" s="2"/>
      <c r="F2371" s="2"/>
      <c r="G2371" s="2"/>
      <c r="H2371" s="2"/>
      <c r="I2371" s="2">
        <v>62.406999999999996</v>
      </c>
      <c r="J2371" s="2">
        <v>301</v>
      </c>
      <c r="K2371" s="2">
        <v>62.819099999999999</v>
      </c>
      <c r="L2371" s="2">
        <v>301</v>
      </c>
      <c r="M2371" s="2">
        <v>102.9468</v>
      </c>
      <c r="N2371" s="2">
        <v>156</v>
      </c>
      <c r="O2371" s="2">
        <v>103.11069999999999</v>
      </c>
      <c r="P2371" s="2">
        <v>151</v>
      </c>
      <c r="Q2371" s="2">
        <v>91.516800000000003</v>
      </c>
      <c r="R2371" s="2">
        <v>8</v>
      </c>
      <c r="S2371" s="2">
        <v>88.963999999999999</v>
      </c>
      <c r="T2371" s="2">
        <v>2</v>
      </c>
      <c r="U2371" s="2">
        <v>0.84515099999999999</v>
      </c>
      <c r="V2371" s="2">
        <v>33</v>
      </c>
      <c r="W2371" s="2">
        <v>2007</v>
      </c>
    </row>
    <row r="2372" spans="1:23" ht="12.3" hidden="1" x14ac:dyDescent="0.4">
      <c r="A2372" s="2" t="s">
        <v>158</v>
      </c>
      <c r="B2372" s="2"/>
      <c r="C2372" s="2"/>
      <c r="D2372" s="2"/>
      <c r="E2372" s="2"/>
      <c r="F2372" s="2"/>
      <c r="G2372" s="2"/>
      <c r="H2372" s="2"/>
      <c r="I2372" s="2">
        <v>68.616100000000003</v>
      </c>
      <c r="J2372" s="2">
        <v>98</v>
      </c>
      <c r="K2372" s="2">
        <v>66.893799999999999</v>
      </c>
      <c r="L2372" s="2">
        <v>147</v>
      </c>
      <c r="M2372" s="2">
        <v>109.7324</v>
      </c>
      <c r="N2372" s="2">
        <v>33</v>
      </c>
      <c r="O2372" s="2">
        <v>112.8972</v>
      </c>
      <c r="P2372" s="2">
        <v>20</v>
      </c>
      <c r="Q2372" s="2">
        <v>103.2393</v>
      </c>
      <c r="R2372" s="2">
        <v>218</v>
      </c>
      <c r="S2372" s="2">
        <v>99.971500000000006</v>
      </c>
      <c r="T2372" s="2">
        <v>137</v>
      </c>
      <c r="U2372" s="2">
        <v>0.80191599999999996</v>
      </c>
      <c r="V2372" s="2">
        <v>50</v>
      </c>
      <c r="W2372" s="2">
        <v>2009</v>
      </c>
    </row>
    <row r="2373" spans="1:23" ht="12.3" hidden="1" x14ac:dyDescent="0.4">
      <c r="A2373" s="2" t="s">
        <v>69</v>
      </c>
      <c r="B2373" s="2"/>
      <c r="C2373" s="2"/>
      <c r="D2373" s="2"/>
      <c r="E2373" s="2"/>
      <c r="F2373" s="2"/>
      <c r="G2373" s="2"/>
      <c r="H2373" s="2"/>
      <c r="I2373" s="2">
        <v>64.946799999999996</v>
      </c>
      <c r="J2373" s="2">
        <v>236</v>
      </c>
      <c r="K2373" s="2">
        <v>64.569999999999993</v>
      </c>
      <c r="L2373" s="2">
        <v>252</v>
      </c>
      <c r="M2373" s="2">
        <v>102.85680000000001</v>
      </c>
      <c r="N2373" s="2">
        <v>145</v>
      </c>
      <c r="O2373" s="2">
        <v>105.3151</v>
      </c>
      <c r="P2373" s="2">
        <v>99</v>
      </c>
      <c r="Q2373" s="2">
        <v>94.459100000000007</v>
      </c>
      <c r="R2373" s="2">
        <v>31</v>
      </c>
      <c r="S2373" s="2">
        <v>93.411000000000001</v>
      </c>
      <c r="T2373" s="2">
        <v>29</v>
      </c>
      <c r="U2373" s="2">
        <v>0.79889399999999999</v>
      </c>
      <c r="V2373" s="2">
        <v>51</v>
      </c>
      <c r="W2373" s="2">
        <v>2009</v>
      </c>
    </row>
    <row r="2374" spans="1:23" ht="12.3" x14ac:dyDescent="0.4">
      <c r="A2374" s="2" t="s">
        <v>80</v>
      </c>
      <c r="B2374" s="2">
        <v>12</v>
      </c>
      <c r="C2374" s="2"/>
      <c r="D2374" s="2"/>
      <c r="E2374" s="2"/>
      <c r="F2374" s="2"/>
      <c r="G2374" s="2"/>
      <c r="H2374" s="2"/>
      <c r="I2374" s="2">
        <v>67.692700000000002</v>
      </c>
      <c r="J2374" s="2">
        <v>127</v>
      </c>
      <c r="K2374" s="2">
        <v>67.363600000000005</v>
      </c>
      <c r="L2374" s="2">
        <v>133</v>
      </c>
      <c r="M2374" s="2">
        <v>105.17959999999999</v>
      </c>
      <c r="N2374" s="2">
        <v>115</v>
      </c>
      <c r="O2374" s="2">
        <v>107.47069999999999</v>
      </c>
      <c r="P2374" s="2">
        <v>84</v>
      </c>
      <c r="Q2374" s="2">
        <v>96.941199999999995</v>
      </c>
      <c r="R2374" s="2">
        <v>60</v>
      </c>
      <c r="S2374" s="2">
        <v>93.120900000000006</v>
      </c>
      <c r="T2374" s="2">
        <v>22</v>
      </c>
      <c r="U2374" s="2">
        <v>0.83864399999999995</v>
      </c>
      <c r="V2374" s="2">
        <v>37</v>
      </c>
      <c r="W2374" s="2">
        <v>2007</v>
      </c>
    </row>
    <row r="2375" spans="1:23" ht="12.3" hidden="1" x14ac:dyDescent="0.4">
      <c r="A2375" s="2" t="s">
        <v>159</v>
      </c>
      <c r="B2375" s="2"/>
      <c r="C2375" s="2"/>
      <c r="D2375" s="2"/>
      <c r="E2375" s="2"/>
      <c r="F2375" s="2"/>
      <c r="G2375" s="2"/>
      <c r="H2375" s="2"/>
      <c r="I2375" s="2">
        <v>67.700699999999998</v>
      </c>
      <c r="J2375" s="2">
        <v>122</v>
      </c>
      <c r="K2375" s="2">
        <v>66.389499999999998</v>
      </c>
      <c r="L2375" s="2">
        <v>169</v>
      </c>
      <c r="M2375" s="2">
        <v>104.6289</v>
      </c>
      <c r="N2375" s="2">
        <v>112</v>
      </c>
      <c r="O2375" s="2">
        <v>109.327</v>
      </c>
      <c r="P2375" s="2">
        <v>49</v>
      </c>
      <c r="Q2375" s="2">
        <v>101.36320000000001</v>
      </c>
      <c r="R2375" s="2">
        <v>174</v>
      </c>
      <c r="S2375" s="2">
        <v>97.0749</v>
      </c>
      <c r="T2375" s="2">
        <v>70</v>
      </c>
      <c r="U2375" s="2">
        <v>0.79687699999999995</v>
      </c>
      <c r="V2375" s="2">
        <v>53</v>
      </c>
      <c r="W2375" s="2">
        <v>2009</v>
      </c>
    </row>
    <row r="2376" spans="1:23" ht="12.3" hidden="1" x14ac:dyDescent="0.4">
      <c r="A2376" s="2" t="s">
        <v>128</v>
      </c>
      <c r="B2376" s="2"/>
      <c r="C2376" s="2"/>
      <c r="D2376" s="2"/>
      <c r="E2376" s="2"/>
      <c r="F2376" s="2"/>
      <c r="G2376" s="2"/>
      <c r="H2376" s="2"/>
      <c r="I2376" s="2">
        <v>67.1053</v>
      </c>
      <c r="J2376" s="2">
        <v>139</v>
      </c>
      <c r="K2376" s="2">
        <v>67.6935</v>
      </c>
      <c r="L2376" s="2">
        <v>113</v>
      </c>
      <c r="M2376" s="2">
        <v>107.1994</v>
      </c>
      <c r="N2376" s="2">
        <v>75</v>
      </c>
      <c r="O2376" s="2">
        <v>107.8484</v>
      </c>
      <c r="P2376" s="2">
        <v>69</v>
      </c>
      <c r="Q2376" s="2">
        <v>96.928100000000001</v>
      </c>
      <c r="R2376" s="2">
        <v>77</v>
      </c>
      <c r="S2376" s="2">
        <v>95.781599999999997</v>
      </c>
      <c r="T2376" s="2">
        <v>57</v>
      </c>
      <c r="U2376" s="2">
        <v>0.79649700000000001</v>
      </c>
      <c r="V2376" s="2">
        <v>54</v>
      </c>
      <c r="W2376" s="2">
        <v>2009</v>
      </c>
    </row>
    <row r="2377" spans="1:23" ht="12.3" hidden="1" x14ac:dyDescent="0.4">
      <c r="A2377" s="2" t="s">
        <v>148</v>
      </c>
      <c r="B2377" s="2"/>
      <c r="C2377" s="2"/>
      <c r="D2377" s="2"/>
      <c r="E2377" s="2"/>
      <c r="F2377" s="2"/>
      <c r="G2377" s="2"/>
      <c r="H2377" s="2"/>
      <c r="I2377" s="2">
        <v>69.283799999999999</v>
      </c>
      <c r="J2377" s="2">
        <v>77</v>
      </c>
      <c r="K2377" s="2">
        <v>68.450299999999999</v>
      </c>
      <c r="L2377" s="2">
        <v>87</v>
      </c>
      <c r="M2377" s="2">
        <v>107.8032</v>
      </c>
      <c r="N2377" s="2">
        <v>65</v>
      </c>
      <c r="O2377" s="2">
        <v>107.2311</v>
      </c>
      <c r="P2377" s="2">
        <v>78</v>
      </c>
      <c r="Q2377" s="2">
        <v>95.196799999999996</v>
      </c>
      <c r="R2377" s="2">
        <v>42</v>
      </c>
      <c r="S2377" s="2">
        <v>95.346500000000006</v>
      </c>
      <c r="T2377" s="2">
        <v>48</v>
      </c>
      <c r="U2377" s="2">
        <v>0.79427599999999998</v>
      </c>
      <c r="V2377" s="2">
        <v>55</v>
      </c>
      <c r="W2377" s="2">
        <v>2009</v>
      </c>
    </row>
    <row r="2378" spans="1:23" ht="12.3" hidden="1" x14ac:dyDescent="0.4">
      <c r="A2378" s="2" t="s">
        <v>164</v>
      </c>
      <c r="B2378" s="2"/>
      <c r="C2378" s="2"/>
      <c r="D2378" s="2"/>
      <c r="E2378" s="2"/>
      <c r="F2378" s="2"/>
      <c r="G2378" s="2"/>
      <c r="H2378" s="2"/>
      <c r="I2378" s="2">
        <v>64.142899999999997</v>
      </c>
      <c r="J2378" s="2">
        <v>267</v>
      </c>
      <c r="K2378" s="2">
        <v>64.871300000000005</v>
      </c>
      <c r="L2378" s="2">
        <v>241</v>
      </c>
      <c r="M2378" s="2">
        <v>107.59520000000001</v>
      </c>
      <c r="N2378" s="2">
        <v>71</v>
      </c>
      <c r="O2378" s="2">
        <v>106.5097</v>
      </c>
      <c r="P2378" s="2">
        <v>86</v>
      </c>
      <c r="Q2378" s="2">
        <v>95.482500000000002</v>
      </c>
      <c r="R2378" s="2">
        <v>47</v>
      </c>
      <c r="S2378" s="2">
        <v>94.781300000000002</v>
      </c>
      <c r="T2378" s="2">
        <v>40</v>
      </c>
      <c r="U2378" s="2">
        <v>0.79275799999999996</v>
      </c>
      <c r="V2378" s="2">
        <v>56</v>
      </c>
      <c r="W2378" s="2">
        <v>2009</v>
      </c>
    </row>
    <row r="2379" spans="1:23" ht="12.3" hidden="1" x14ac:dyDescent="0.4">
      <c r="A2379" s="2" t="s">
        <v>113</v>
      </c>
      <c r="B2379" s="2"/>
      <c r="C2379" s="2"/>
      <c r="D2379" s="2"/>
      <c r="E2379" s="2"/>
      <c r="F2379" s="2"/>
      <c r="G2379" s="2"/>
      <c r="H2379" s="2"/>
      <c r="I2379" s="2">
        <v>69.775599999999997</v>
      </c>
      <c r="J2379" s="2">
        <v>63</v>
      </c>
      <c r="K2379" s="2">
        <v>68.958699999999993</v>
      </c>
      <c r="L2379" s="2">
        <v>68</v>
      </c>
      <c r="M2379" s="2">
        <v>103.4778</v>
      </c>
      <c r="N2379" s="2">
        <v>134</v>
      </c>
      <c r="O2379" s="2">
        <v>105.15089999999999</v>
      </c>
      <c r="P2379" s="2">
        <v>100</v>
      </c>
      <c r="Q2379" s="2">
        <v>94.375100000000003</v>
      </c>
      <c r="R2379" s="2">
        <v>29</v>
      </c>
      <c r="S2379" s="2">
        <v>93.665899999999993</v>
      </c>
      <c r="T2379" s="2">
        <v>34</v>
      </c>
      <c r="U2379" s="2">
        <v>0.79085899999999998</v>
      </c>
      <c r="V2379" s="2">
        <v>57</v>
      </c>
      <c r="W2379" s="2">
        <v>2009</v>
      </c>
    </row>
    <row r="2380" spans="1:23" ht="12.3" hidden="1" x14ac:dyDescent="0.4">
      <c r="A2380" s="2" t="s">
        <v>52</v>
      </c>
      <c r="B2380" s="2"/>
      <c r="C2380" s="2"/>
      <c r="D2380" s="2"/>
      <c r="E2380" s="2"/>
      <c r="F2380" s="2"/>
      <c r="G2380" s="2"/>
      <c r="H2380" s="2"/>
      <c r="I2380" s="2">
        <v>67.787899999999993</v>
      </c>
      <c r="J2380" s="2">
        <v>117</v>
      </c>
      <c r="K2380" s="2">
        <v>68.713399999999993</v>
      </c>
      <c r="L2380" s="2">
        <v>76</v>
      </c>
      <c r="M2380" s="2">
        <v>107.4661</v>
      </c>
      <c r="N2380" s="2">
        <v>74</v>
      </c>
      <c r="O2380" s="2">
        <v>110.4049</v>
      </c>
      <c r="P2380" s="2">
        <v>40</v>
      </c>
      <c r="Q2380" s="2">
        <v>101.75149999999999</v>
      </c>
      <c r="R2380" s="2">
        <v>184</v>
      </c>
      <c r="S2380" s="2">
        <v>98.469899999999996</v>
      </c>
      <c r="T2380" s="2">
        <v>96</v>
      </c>
      <c r="U2380" s="2">
        <v>0.78845600000000005</v>
      </c>
      <c r="V2380" s="2">
        <v>58</v>
      </c>
      <c r="W2380" s="2">
        <v>2009</v>
      </c>
    </row>
    <row r="2381" spans="1:23" ht="12.3" hidden="1" x14ac:dyDescent="0.4">
      <c r="A2381" s="2" t="s">
        <v>45</v>
      </c>
      <c r="B2381" s="2"/>
      <c r="C2381" s="2"/>
      <c r="D2381" s="2"/>
      <c r="E2381" s="2"/>
      <c r="F2381" s="2"/>
      <c r="G2381" s="2"/>
      <c r="H2381" s="2"/>
      <c r="I2381" s="2">
        <v>70.931799999999996</v>
      </c>
      <c r="J2381" s="2">
        <v>34</v>
      </c>
      <c r="K2381" s="2">
        <v>68.173000000000002</v>
      </c>
      <c r="L2381" s="2">
        <v>97</v>
      </c>
      <c r="M2381" s="2">
        <v>105.2131</v>
      </c>
      <c r="N2381" s="2">
        <v>99</v>
      </c>
      <c r="O2381" s="2">
        <v>104.90170000000001</v>
      </c>
      <c r="P2381" s="2">
        <v>105</v>
      </c>
      <c r="Q2381" s="2">
        <v>93.365600000000001</v>
      </c>
      <c r="R2381" s="2">
        <v>19</v>
      </c>
      <c r="S2381" s="2">
        <v>93.660799999999995</v>
      </c>
      <c r="T2381" s="2">
        <v>33</v>
      </c>
      <c r="U2381" s="2">
        <v>0.78641700000000003</v>
      </c>
      <c r="V2381" s="2">
        <v>59</v>
      </c>
      <c r="W2381" s="2">
        <v>2009</v>
      </c>
    </row>
    <row r="2382" spans="1:23" ht="12.3" x14ac:dyDescent="0.4">
      <c r="A2382" s="2" t="s">
        <v>159</v>
      </c>
      <c r="B2382" s="2">
        <v>5</v>
      </c>
      <c r="C2382" s="3" t="s">
        <v>33</v>
      </c>
      <c r="D2382" s="2"/>
      <c r="E2382" s="2"/>
      <c r="F2382" s="2"/>
      <c r="G2382" s="2"/>
      <c r="H2382" s="2"/>
      <c r="I2382" s="2">
        <v>65.590999999999994</v>
      </c>
      <c r="J2382" s="2">
        <v>219</v>
      </c>
      <c r="K2382" s="2">
        <v>64.434700000000007</v>
      </c>
      <c r="L2382" s="2">
        <v>259</v>
      </c>
      <c r="M2382" s="2">
        <v>108.6478</v>
      </c>
      <c r="N2382" s="2">
        <v>52</v>
      </c>
      <c r="O2382" s="2">
        <v>110.0334</v>
      </c>
      <c r="P2382" s="2">
        <v>53</v>
      </c>
      <c r="Q2382" s="2">
        <v>98.402100000000004</v>
      </c>
      <c r="R2382" s="2">
        <v>82</v>
      </c>
      <c r="S2382" s="2">
        <v>95.525199999999998</v>
      </c>
      <c r="T2382" s="2">
        <v>43</v>
      </c>
      <c r="U2382" s="2">
        <v>0.83562400000000003</v>
      </c>
      <c r="V2382" s="2">
        <v>38</v>
      </c>
      <c r="W2382" s="2">
        <v>2007</v>
      </c>
    </row>
    <row r="2383" spans="1:23" ht="12.3" x14ac:dyDescent="0.4">
      <c r="A2383" s="2" t="s">
        <v>81</v>
      </c>
      <c r="B2383" s="2">
        <v>5</v>
      </c>
      <c r="C2383" s="3" t="s">
        <v>33</v>
      </c>
      <c r="D2383" s="4" t="s">
        <v>33</v>
      </c>
      <c r="E2383" s="2"/>
      <c r="F2383" s="2"/>
      <c r="G2383" s="2"/>
      <c r="H2383" s="2"/>
      <c r="I2383" s="2">
        <v>73.163600000000002</v>
      </c>
      <c r="J2383" s="2">
        <v>15</v>
      </c>
      <c r="K2383" s="2">
        <v>72.471999999999994</v>
      </c>
      <c r="L2383" s="2">
        <v>19</v>
      </c>
      <c r="M2383" s="2">
        <v>107.3875</v>
      </c>
      <c r="N2383" s="2">
        <v>74</v>
      </c>
      <c r="O2383" s="2">
        <v>111.0303</v>
      </c>
      <c r="P2383" s="2">
        <v>43</v>
      </c>
      <c r="Q2383" s="2">
        <v>100.6241</v>
      </c>
      <c r="R2383" s="2">
        <v>133</v>
      </c>
      <c r="S2383" s="2">
        <v>96.422399999999996</v>
      </c>
      <c r="T2383" s="2">
        <v>52</v>
      </c>
      <c r="U2383" s="2">
        <v>0.83510399999999996</v>
      </c>
      <c r="V2383" s="2">
        <v>39</v>
      </c>
      <c r="W2383" s="2">
        <v>2007</v>
      </c>
    </row>
    <row r="2384" spans="1:23" ht="12.3" hidden="1" x14ac:dyDescent="0.4">
      <c r="A2384" s="2" t="s">
        <v>90</v>
      </c>
      <c r="B2384" s="2"/>
      <c r="C2384" s="2"/>
      <c r="D2384" s="2"/>
      <c r="E2384" s="2"/>
      <c r="F2384" s="2"/>
      <c r="G2384" s="2"/>
      <c r="H2384" s="2"/>
      <c r="I2384" s="2">
        <v>67.552899999999994</v>
      </c>
      <c r="J2384" s="2">
        <v>129</v>
      </c>
      <c r="K2384" s="2">
        <v>68.794899999999998</v>
      </c>
      <c r="L2384" s="2">
        <v>74</v>
      </c>
      <c r="M2384" s="2">
        <v>108.61969999999999</v>
      </c>
      <c r="N2384" s="2">
        <v>50</v>
      </c>
      <c r="O2384" s="2">
        <v>110.0842</v>
      </c>
      <c r="P2384" s="2">
        <v>42</v>
      </c>
      <c r="Q2384" s="2">
        <v>96.709100000000007</v>
      </c>
      <c r="R2384" s="2">
        <v>70</v>
      </c>
      <c r="S2384" s="2">
        <v>98.838200000000001</v>
      </c>
      <c r="T2384" s="2">
        <v>113</v>
      </c>
      <c r="U2384" s="2">
        <v>0.77543399999999996</v>
      </c>
      <c r="V2384" s="2">
        <v>62</v>
      </c>
      <c r="W2384" s="2">
        <v>2009</v>
      </c>
    </row>
    <row r="2385" spans="1:23" ht="12.3" x14ac:dyDescent="0.4">
      <c r="A2385" s="2" t="s">
        <v>145</v>
      </c>
      <c r="B2385" s="2">
        <v>7</v>
      </c>
      <c r="C2385" s="4" t="s">
        <v>33</v>
      </c>
      <c r="D2385" s="2"/>
      <c r="E2385" s="2"/>
      <c r="F2385" s="2"/>
      <c r="G2385" s="2"/>
      <c r="H2385" s="2"/>
      <c r="I2385" s="2">
        <v>67.429299999999998</v>
      </c>
      <c r="J2385" s="2">
        <v>138</v>
      </c>
      <c r="K2385" s="2">
        <v>67.192400000000006</v>
      </c>
      <c r="L2385" s="2">
        <v>144</v>
      </c>
      <c r="M2385" s="2">
        <v>114.471</v>
      </c>
      <c r="N2385" s="2">
        <v>10</v>
      </c>
      <c r="O2385" s="2">
        <v>116.18899999999999</v>
      </c>
      <c r="P2385" s="2">
        <v>8</v>
      </c>
      <c r="Q2385" s="2">
        <v>99.092799999999997</v>
      </c>
      <c r="R2385" s="2">
        <v>94</v>
      </c>
      <c r="S2385" s="2">
        <v>100.9284</v>
      </c>
      <c r="T2385" s="2">
        <v>135</v>
      </c>
      <c r="U2385" s="2">
        <v>0.83469499999999996</v>
      </c>
      <c r="V2385" s="2">
        <v>40</v>
      </c>
      <c r="W2385" s="2">
        <v>2007</v>
      </c>
    </row>
    <row r="2386" spans="1:23" ht="12.3" x14ac:dyDescent="0.4">
      <c r="A2386" s="2" t="s">
        <v>96</v>
      </c>
      <c r="B2386" s="2">
        <v>8</v>
      </c>
      <c r="C2386" s="2"/>
      <c r="D2386" s="2"/>
      <c r="E2386" s="2"/>
      <c r="F2386" s="2"/>
      <c r="G2386" s="2"/>
      <c r="H2386" s="2"/>
      <c r="I2386" s="2">
        <v>68.297600000000003</v>
      </c>
      <c r="J2386" s="2">
        <v>104</v>
      </c>
      <c r="K2386" s="2">
        <v>68.625600000000006</v>
      </c>
      <c r="L2386" s="2">
        <v>97</v>
      </c>
      <c r="M2386" s="2">
        <v>112.18040000000001</v>
      </c>
      <c r="N2386" s="2">
        <v>22</v>
      </c>
      <c r="O2386" s="2">
        <v>114.7617</v>
      </c>
      <c r="P2386" s="2">
        <v>14</v>
      </c>
      <c r="Q2386" s="2">
        <v>100.9316</v>
      </c>
      <c r="R2386" s="2">
        <v>140</v>
      </c>
      <c r="S2386" s="2">
        <v>99.854799999999997</v>
      </c>
      <c r="T2386" s="2">
        <v>111</v>
      </c>
      <c r="U2386" s="2">
        <v>0.83203400000000005</v>
      </c>
      <c r="V2386" s="2">
        <v>41</v>
      </c>
      <c r="W2386" s="2">
        <v>2007</v>
      </c>
    </row>
    <row r="2387" spans="1:23" ht="12.3" hidden="1" x14ac:dyDescent="0.4">
      <c r="A2387" s="2" t="s">
        <v>109</v>
      </c>
      <c r="B2387" s="2"/>
      <c r="C2387" s="2"/>
      <c r="D2387" s="2"/>
      <c r="E2387" s="2"/>
      <c r="F2387" s="2"/>
      <c r="G2387" s="2"/>
      <c r="H2387" s="2"/>
      <c r="I2387" s="2">
        <v>66.206500000000005</v>
      </c>
      <c r="J2387" s="2">
        <v>173</v>
      </c>
      <c r="K2387" s="2">
        <v>66.589600000000004</v>
      </c>
      <c r="L2387" s="2">
        <v>160</v>
      </c>
      <c r="M2387" s="2">
        <v>103.30719999999999</v>
      </c>
      <c r="N2387" s="2">
        <v>137</v>
      </c>
      <c r="O2387" s="2">
        <v>104.577</v>
      </c>
      <c r="P2387" s="2">
        <v>113</v>
      </c>
      <c r="Q2387" s="2">
        <v>96.231200000000001</v>
      </c>
      <c r="R2387" s="2">
        <v>58</v>
      </c>
      <c r="S2387" s="2">
        <v>94.184799999999996</v>
      </c>
      <c r="T2387" s="2">
        <v>37</v>
      </c>
      <c r="U2387" s="2">
        <v>0.769173</v>
      </c>
      <c r="V2387" s="2">
        <v>65</v>
      </c>
      <c r="W2387" s="2">
        <v>2009</v>
      </c>
    </row>
    <row r="2388" spans="1:23" ht="12.3" hidden="1" x14ac:dyDescent="0.4">
      <c r="A2388" s="2" t="s">
        <v>262</v>
      </c>
      <c r="B2388" s="2"/>
      <c r="C2388" s="2"/>
      <c r="D2388" s="2"/>
      <c r="E2388" s="2"/>
      <c r="F2388" s="2"/>
      <c r="G2388" s="2"/>
      <c r="H2388" s="2"/>
      <c r="I2388" s="2">
        <v>66.477500000000006</v>
      </c>
      <c r="J2388" s="2">
        <v>161</v>
      </c>
      <c r="K2388" s="2">
        <v>66.405199999999994</v>
      </c>
      <c r="L2388" s="2">
        <v>166</v>
      </c>
      <c r="M2388" s="2">
        <v>109.5223</v>
      </c>
      <c r="N2388" s="2">
        <v>38</v>
      </c>
      <c r="O2388" s="2">
        <v>108.3801</v>
      </c>
      <c r="P2388" s="2">
        <v>63</v>
      </c>
      <c r="Q2388" s="2">
        <v>97.279499999999999</v>
      </c>
      <c r="R2388" s="2">
        <v>84</v>
      </c>
      <c r="S2388" s="2">
        <v>97.625</v>
      </c>
      <c r="T2388" s="2">
        <v>81</v>
      </c>
      <c r="U2388" s="2">
        <v>0.76885800000000004</v>
      </c>
      <c r="V2388" s="2">
        <v>66</v>
      </c>
      <c r="W2388" s="2">
        <v>2009</v>
      </c>
    </row>
    <row r="2389" spans="1:23" ht="12.3" hidden="1" x14ac:dyDescent="0.4">
      <c r="A2389" s="2" t="s">
        <v>124</v>
      </c>
      <c r="B2389" s="2"/>
      <c r="C2389" s="2"/>
      <c r="D2389" s="2"/>
      <c r="E2389" s="2"/>
      <c r="F2389" s="2"/>
      <c r="G2389" s="2"/>
      <c r="H2389" s="2"/>
      <c r="I2389" s="2">
        <v>60.026400000000002</v>
      </c>
      <c r="J2389" s="2">
        <v>334</v>
      </c>
      <c r="K2389" s="2">
        <v>61.051600000000001</v>
      </c>
      <c r="L2389" s="2">
        <v>327</v>
      </c>
      <c r="M2389" s="2">
        <v>105.7435</v>
      </c>
      <c r="N2389" s="2">
        <v>91</v>
      </c>
      <c r="O2389" s="2">
        <v>110.0197</v>
      </c>
      <c r="P2389" s="2">
        <v>43</v>
      </c>
      <c r="Q2389" s="2">
        <v>100.4161</v>
      </c>
      <c r="R2389" s="2">
        <v>148</v>
      </c>
      <c r="S2389" s="2">
        <v>99.122799999999998</v>
      </c>
      <c r="T2389" s="2">
        <v>120</v>
      </c>
      <c r="U2389" s="2">
        <v>0.768428</v>
      </c>
      <c r="V2389" s="2">
        <v>67</v>
      </c>
      <c r="W2389" s="2">
        <v>2009</v>
      </c>
    </row>
    <row r="2390" spans="1:23" ht="12.3" hidden="1" x14ac:dyDescent="0.4">
      <c r="A2390" s="2" t="s">
        <v>258</v>
      </c>
      <c r="B2390" s="2"/>
      <c r="C2390" s="2"/>
      <c r="D2390" s="2"/>
      <c r="E2390" s="2"/>
      <c r="F2390" s="2"/>
      <c r="G2390" s="2"/>
      <c r="H2390" s="2"/>
      <c r="I2390" s="2">
        <v>69.353800000000007</v>
      </c>
      <c r="J2390" s="2">
        <v>71</v>
      </c>
      <c r="K2390" s="2">
        <v>68.9392</v>
      </c>
      <c r="L2390" s="2">
        <v>70</v>
      </c>
      <c r="M2390" s="2">
        <v>112.2491</v>
      </c>
      <c r="N2390" s="2">
        <v>13</v>
      </c>
      <c r="O2390" s="2">
        <v>111.4096</v>
      </c>
      <c r="P2390" s="2">
        <v>34</v>
      </c>
      <c r="Q2390" s="2">
        <v>102.08839999999999</v>
      </c>
      <c r="R2390" s="2">
        <v>194</v>
      </c>
      <c r="S2390" s="2">
        <v>100.4042</v>
      </c>
      <c r="T2390" s="2">
        <v>144</v>
      </c>
      <c r="U2390" s="2">
        <v>0.76783100000000004</v>
      </c>
      <c r="V2390" s="2">
        <v>68</v>
      </c>
      <c r="W2390" s="2">
        <v>2009</v>
      </c>
    </row>
    <row r="2391" spans="1:23" ht="12.3" hidden="1" x14ac:dyDescent="0.4">
      <c r="A2391" s="2" t="s">
        <v>17</v>
      </c>
      <c r="B2391" s="2"/>
      <c r="C2391" s="2"/>
      <c r="D2391" s="2"/>
      <c r="E2391" s="2"/>
      <c r="F2391" s="2"/>
      <c r="G2391" s="2"/>
      <c r="H2391" s="2"/>
      <c r="I2391" s="2">
        <v>73.996499999999997</v>
      </c>
      <c r="J2391" s="2">
        <v>9</v>
      </c>
      <c r="K2391" s="2">
        <v>73.406000000000006</v>
      </c>
      <c r="L2391" s="2">
        <v>9</v>
      </c>
      <c r="M2391" s="2">
        <v>105.7766</v>
      </c>
      <c r="N2391" s="2">
        <v>89</v>
      </c>
      <c r="O2391" s="2">
        <v>106.2291</v>
      </c>
      <c r="P2391" s="2">
        <v>89</v>
      </c>
      <c r="Q2391" s="2">
        <v>95.421300000000002</v>
      </c>
      <c r="R2391" s="2">
        <v>46</v>
      </c>
      <c r="S2391" s="2">
        <v>95.853700000000003</v>
      </c>
      <c r="T2391" s="2">
        <v>58</v>
      </c>
      <c r="U2391" s="2">
        <v>0.76529000000000003</v>
      </c>
      <c r="V2391" s="2">
        <v>69</v>
      </c>
      <c r="W2391" s="2">
        <v>2009</v>
      </c>
    </row>
    <row r="2392" spans="1:23" ht="12.3" hidden="1" x14ac:dyDescent="0.4">
      <c r="A2392" s="2" t="s">
        <v>194</v>
      </c>
      <c r="B2392" s="2"/>
      <c r="C2392" s="2"/>
      <c r="D2392" s="2"/>
      <c r="E2392" s="2"/>
      <c r="F2392" s="2"/>
      <c r="G2392" s="2"/>
      <c r="H2392" s="2"/>
      <c r="I2392" s="2">
        <v>70.656899999999993</v>
      </c>
      <c r="J2392" s="2">
        <v>40</v>
      </c>
      <c r="K2392" s="2">
        <v>69.909499999999994</v>
      </c>
      <c r="L2392" s="2">
        <v>47</v>
      </c>
      <c r="M2392" s="2">
        <v>107.542</v>
      </c>
      <c r="N2392" s="2">
        <v>72</v>
      </c>
      <c r="O2392" s="2">
        <v>107.82170000000001</v>
      </c>
      <c r="P2392" s="2">
        <v>71</v>
      </c>
      <c r="Q2392" s="2">
        <v>94.683300000000003</v>
      </c>
      <c r="R2392" s="2">
        <v>35</v>
      </c>
      <c r="S2392" s="2">
        <v>97.400700000000001</v>
      </c>
      <c r="T2392" s="2">
        <v>74</v>
      </c>
      <c r="U2392" s="2">
        <v>0.76294899999999999</v>
      </c>
      <c r="V2392" s="2">
        <v>70</v>
      </c>
      <c r="W2392" s="2">
        <v>2009</v>
      </c>
    </row>
    <row r="2393" spans="1:23" ht="12.3" hidden="1" x14ac:dyDescent="0.4">
      <c r="A2393" s="2" t="s">
        <v>130</v>
      </c>
      <c r="B2393" s="2"/>
      <c r="C2393" s="2"/>
      <c r="D2393" s="2"/>
      <c r="E2393" s="2"/>
      <c r="F2393" s="2"/>
      <c r="G2393" s="2"/>
      <c r="H2393" s="2"/>
      <c r="I2393" s="2">
        <v>70.269400000000005</v>
      </c>
      <c r="J2393" s="2">
        <v>47</v>
      </c>
      <c r="K2393" s="2">
        <v>69.882800000000003</v>
      </c>
      <c r="L2393" s="2">
        <v>49</v>
      </c>
      <c r="M2393" s="2">
        <v>108.3801</v>
      </c>
      <c r="N2393" s="2">
        <v>54</v>
      </c>
      <c r="O2393" s="2">
        <v>108.21129999999999</v>
      </c>
      <c r="P2393" s="2">
        <v>64</v>
      </c>
      <c r="Q2393" s="2">
        <v>97.368899999999996</v>
      </c>
      <c r="R2393" s="2">
        <v>85</v>
      </c>
      <c r="S2393" s="2">
        <v>97.763499999999993</v>
      </c>
      <c r="T2393" s="2">
        <v>83</v>
      </c>
      <c r="U2393" s="2">
        <v>0.76271800000000001</v>
      </c>
      <c r="V2393" s="2">
        <v>71</v>
      </c>
      <c r="W2393" s="2">
        <v>2009</v>
      </c>
    </row>
    <row r="2394" spans="1:23" ht="12.3" hidden="1" x14ac:dyDescent="0.4">
      <c r="A2394" s="2" t="s">
        <v>136</v>
      </c>
      <c r="B2394" s="2"/>
      <c r="C2394" s="2"/>
      <c r="D2394" s="2"/>
      <c r="E2394" s="2"/>
      <c r="F2394" s="2"/>
      <c r="G2394" s="2"/>
      <c r="H2394" s="2"/>
      <c r="I2394" s="2">
        <v>63.506599999999999</v>
      </c>
      <c r="J2394" s="2">
        <v>281</v>
      </c>
      <c r="K2394" s="2">
        <v>63.227600000000002</v>
      </c>
      <c r="L2394" s="2">
        <v>292</v>
      </c>
      <c r="M2394" s="2">
        <v>101.009</v>
      </c>
      <c r="N2394" s="2">
        <v>176</v>
      </c>
      <c r="O2394" s="2">
        <v>100.8819</v>
      </c>
      <c r="P2394" s="2">
        <v>182</v>
      </c>
      <c r="Q2394" s="2">
        <v>93.621300000000005</v>
      </c>
      <c r="R2394" s="2">
        <v>21</v>
      </c>
      <c r="S2394" s="2">
        <v>91.348399999999998</v>
      </c>
      <c r="T2394" s="2">
        <v>12</v>
      </c>
      <c r="U2394" s="2">
        <v>0.75797300000000001</v>
      </c>
      <c r="V2394" s="2">
        <v>72</v>
      </c>
      <c r="W2394" s="2">
        <v>2009</v>
      </c>
    </row>
    <row r="2395" spans="1:23" ht="12.3" x14ac:dyDescent="0.4">
      <c r="A2395" s="2" t="s">
        <v>109</v>
      </c>
      <c r="B2395" s="2">
        <v>7</v>
      </c>
      <c r="C2395" s="4" t="s">
        <v>33</v>
      </c>
      <c r="D2395" s="4" t="s">
        <v>33</v>
      </c>
      <c r="E2395" s="2"/>
      <c r="F2395" s="2"/>
      <c r="G2395" s="2"/>
      <c r="H2395" s="2"/>
      <c r="I2395" s="2">
        <v>66.799899999999994</v>
      </c>
      <c r="J2395" s="2">
        <v>167</v>
      </c>
      <c r="K2395" s="2">
        <v>66.048299999999998</v>
      </c>
      <c r="L2395" s="2">
        <v>194</v>
      </c>
      <c r="M2395" s="2">
        <v>110.652</v>
      </c>
      <c r="N2395" s="2">
        <v>35</v>
      </c>
      <c r="O2395" s="2">
        <v>109.7692</v>
      </c>
      <c r="P2395" s="2">
        <v>58</v>
      </c>
      <c r="Q2395" s="2">
        <v>98.549700000000001</v>
      </c>
      <c r="R2395" s="2">
        <v>84</v>
      </c>
      <c r="S2395" s="2">
        <v>95.803600000000003</v>
      </c>
      <c r="T2395" s="2">
        <v>46</v>
      </c>
      <c r="U2395" s="2">
        <v>0.82705799999999996</v>
      </c>
      <c r="V2395" s="2">
        <v>44</v>
      </c>
      <c r="W2395" s="2">
        <v>2007</v>
      </c>
    </row>
    <row r="2396" spans="1:23" ht="12.3" hidden="1" x14ac:dyDescent="0.4">
      <c r="A2396" s="2" t="s">
        <v>219</v>
      </c>
      <c r="B2396" s="2"/>
      <c r="C2396" s="2"/>
      <c r="D2396" s="2"/>
      <c r="E2396" s="2"/>
      <c r="F2396" s="2"/>
      <c r="G2396" s="2"/>
      <c r="H2396" s="2"/>
      <c r="I2396" s="2">
        <v>71.768000000000001</v>
      </c>
      <c r="J2396" s="2">
        <v>23</v>
      </c>
      <c r="K2396" s="2">
        <v>71.421300000000002</v>
      </c>
      <c r="L2396" s="2">
        <v>19</v>
      </c>
      <c r="M2396" s="2">
        <v>103.9795</v>
      </c>
      <c r="N2396" s="2">
        <v>124</v>
      </c>
      <c r="O2396" s="2">
        <v>104.6262</v>
      </c>
      <c r="P2396" s="2">
        <v>111</v>
      </c>
      <c r="Q2396" s="2">
        <v>98.791399999999996</v>
      </c>
      <c r="R2396" s="2">
        <v>107</v>
      </c>
      <c r="S2396" s="2">
        <v>95.138000000000005</v>
      </c>
      <c r="T2396" s="2">
        <v>46</v>
      </c>
      <c r="U2396" s="2">
        <v>0.74899300000000002</v>
      </c>
      <c r="V2396" s="2">
        <v>74</v>
      </c>
      <c r="W2396" s="2">
        <v>2009</v>
      </c>
    </row>
    <row r="2397" spans="1:23" ht="12.3" hidden="1" x14ac:dyDescent="0.4">
      <c r="A2397" s="2" t="s">
        <v>120</v>
      </c>
      <c r="B2397" s="2"/>
      <c r="C2397" s="2"/>
      <c r="D2397" s="2"/>
      <c r="E2397" s="2"/>
      <c r="F2397" s="2"/>
      <c r="G2397" s="2"/>
      <c r="H2397" s="2"/>
      <c r="I2397" s="2">
        <v>73.075000000000003</v>
      </c>
      <c r="J2397" s="2">
        <v>10</v>
      </c>
      <c r="K2397" s="2">
        <v>73.011200000000002</v>
      </c>
      <c r="L2397" s="2">
        <v>11</v>
      </c>
      <c r="M2397" s="2">
        <v>106.9937</v>
      </c>
      <c r="N2397" s="2">
        <v>76</v>
      </c>
      <c r="O2397" s="2">
        <v>110.4588</v>
      </c>
      <c r="P2397" s="2">
        <v>38</v>
      </c>
      <c r="Q2397" s="2">
        <v>104.1202</v>
      </c>
      <c r="R2397" s="2">
        <v>232</v>
      </c>
      <c r="S2397" s="2">
        <v>100.45180000000001</v>
      </c>
      <c r="T2397" s="2">
        <v>145</v>
      </c>
      <c r="U2397" s="2">
        <v>0.748776</v>
      </c>
      <c r="V2397" s="2">
        <v>75</v>
      </c>
      <c r="W2397" s="2">
        <v>2009</v>
      </c>
    </row>
    <row r="2398" spans="1:23" ht="12.3" x14ac:dyDescent="0.4">
      <c r="A2398" s="2" t="s">
        <v>240</v>
      </c>
      <c r="B2398" s="2">
        <v>11</v>
      </c>
      <c r="C2398" s="4" t="s">
        <v>33</v>
      </c>
      <c r="D2398" s="2"/>
      <c r="E2398" s="2"/>
      <c r="F2398" s="2"/>
      <c r="G2398" s="2"/>
      <c r="H2398" s="2"/>
      <c r="I2398" s="2">
        <v>66.481200000000001</v>
      </c>
      <c r="J2398" s="2">
        <v>184</v>
      </c>
      <c r="K2398" s="2">
        <v>63.134</v>
      </c>
      <c r="L2398" s="2">
        <v>297</v>
      </c>
      <c r="M2398" s="2">
        <v>111.1078</v>
      </c>
      <c r="N2398" s="2">
        <v>30</v>
      </c>
      <c r="O2398" s="2">
        <v>111.95610000000001</v>
      </c>
      <c r="P2398" s="2">
        <v>33</v>
      </c>
      <c r="Q2398" s="2">
        <v>94.3566</v>
      </c>
      <c r="R2398" s="2">
        <v>21</v>
      </c>
      <c r="S2398" s="2">
        <v>97.822699999999998</v>
      </c>
      <c r="T2398" s="2">
        <v>68</v>
      </c>
      <c r="U2398" s="2">
        <v>0.82519299999999995</v>
      </c>
      <c r="V2398" s="2">
        <v>45</v>
      </c>
      <c r="W2398" s="2">
        <v>2007</v>
      </c>
    </row>
    <row r="2399" spans="1:23" ht="12.3" hidden="1" x14ac:dyDescent="0.4">
      <c r="A2399" s="2" t="s">
        <v>230</v>
      </c>
      <c r="B2399" s="2"/>
      <c r="C2399" s="2"/>
      <c r="D2399" s="2"/>
      <c r="E2399" s="2"/>
      <c r="F2399" s="2"/>
      <c r="G2399" s="2"/>
      <c r="H2399" s="2"/>
      <c r="I2399" s="2">
        <v>61.798400000000001</v>
      </c>
      <c r="J2399" s="2">
        <v>316</v>
      </c>
      <c r="K2399" s="2">
        <v>62.470300000000002</v>
      </c>
      <c r="L2399" s="2">
        <v>308</v>
      </c>
      <c r="M2399" s="2">
        <v>105.77200000000001</v>
      </c>
      <c r="N2399" s="2">
        <v>90</v>
      </c>
      <c r="O2399" s="2">
        <v>108.82550000000001</v>
      </c>
      <c r="P2399" s="2">
        <v>56</v>
      </c>
      <c r="Q2399" s="2">
        <v>100.0699</v>
      </c>
      <c r="R2399" s="2">
        <v>142</v>
      </c>
      <c r="S2399" s="2">
        <v>99.047799999999995</v>
      </c>
      <c r="T2399" s="2">
        <v>117</v>
      </c>
      <c r="U2399" s="2">
        <v>0.74699599999999999</v>
      </c>
      <c r="V2399" s="2">
        <v>77</v>
      </c>
      <c r="W2399" s="2">
        <v>2009</v>
      </c>
    </row>
    <row r="2400" spans="1:23" ht="12.3" hidden="1" x14ac:dyDescent="0.4">
      <c r="A2400" s="2" t="s">
        <v>236</v>
      </c>
      <c r="B2400" s="2"/>
      <c r="C2400" s="2"/>
      <c r="D2400" s="2"/>
      <c r="E2400" s="2"/>
      <c r="F2400" s="2"/>
      <c r="G2400" s="2"/>
      <c r="H2400" s="2"/>
      <c r="I2400" s="2">
        <v>64.896500000000003</v>
      </c>
      <c r="J2400" s="2">
        <v>241</v>
      </c>
      <c r="K2400" s="2">
        <v>65.909300000000002</v>
      </c>
      <c r="L2400" s="2">
        <v>186</v>
      </c>
      <c r="M2400" s="2">
        <v>110.9177</v>
      </c>
      <c r="N2400" s="2">
        <v>23</v>
      </c>
      <c r="O2400" s="2">
        <v>112.8082</v>
      </c>
      <c r="P2400" s="2">
        <v>23</v>
      </c>
      <c r="Q2400" s="2">
        <v>101.15940000000001</v>
      </c>
      <c r="R2400" s="2">
        <v>167</v>
      </c>
      <c r="S2400" s="2">
        <v>102.82210000000001</v>
      </c>
      <c r="T2400" s="2">
        <v>192</v>
      </c>
      <c r="U2400" s="2">
        <v>0.74382000000000004</v>
      </c>
      <c r="V2400" s="2">
        <v>78</v>
      </c>
      <c r="W2400" s="2">
        <v>2009</v>
      </c>
    </row>
    <row r="2401" spans="1:23" ht="12.3" hidden="1" x14ac:dyDescent="0.4">
      <c r="A2401" s="2" t="s">
        <v>119</v>
      </c>
      <c r="B2401" s="2"/>
      <c r="C2401" s="2"/>
      <c r="D2401" s="2"/>
      <c r="E2401" s="2"/>
      <c r="F2401" s="2"/>
      <c r="G2401" s="2"/>
      <c r="H2401" s="2"/>
      <c r="I2401" s="2">
        <v>69.484700000000004</v>
      </c>
      <c r="J2401" s="2">
        <v>69</v>
      </c>
      <c r="K2401" s="2">
        <v>69.191599999999994</v>
      </c>
      <c r="L2401" s="2">
        <v>60</v>
      </c>
      <c r="M2401" s="2">
        <v>105.0013</v>
      </c>
      <c r="N2401" s="2">
        <v>105</v>
      </c>
      <c r="O2401" s="2">
        <v>109.03530000000001</v>
      </c>
      <c r="P2401" s="2">
        <v>54</v>
      </c>
      <c r="Q2401" s="2">
        <v>102.8532</v>
      </c>
      <c r="R2401" s="2">
        <v>208</v>
      </c>
      <c r="S2401" s="2">
        <v>99.737300000000005</v>
      </c>
      <c r="T2401" s="2">
        <v>132</v>
      </c>
      <c r="U2401" s="2">
        <v>0.73594800000000005</v>
      </c>
      <c r="V2401" s="2">
        <v>79</v>
      </c>
      <c r="W2401" s="2">
        <v>2009</v>
      </c>
    </row>
    <row r="2402" spans="1:23" ht="12.3" hidden="1" x14ac:dyDescent="0.4">
      <c r="A2402" s="2" t="s">
        <v>55</v>
      </c>
      <c r="B2402" s="2"/>
      <c r="C2402" s="2"/>
      <c r="D2402" s="2"/>
      <c r="E2402" s="2"/>
      <c r="F2402" s="2"/>
      <c r="G2402" s="2"/>
      <c r="H2402" s="2"/>
      <c r="I2402" s="2">
        <v>65.859399999999994</v>
      </c>
      <c r="J2402" s="2">
        <v>188</v>
      </c>
      <c r="K2402" s="2">
        <v>64.069299999999998</v>
      </c>
      <c r="L2402" s="2">
        <v>268</v>
      </c>
      <c r="M2402" s="2">
        <v>109.4769</v>
      </c>
      <c r="N2402" s="2">
        <v>40</v>
      </c>
      <c r="O2402" s="2">
        <v>112.7807</v>
      </c>
      <c r="P2402" s="2">
        <v>24</v>
      </c>
      <c r="Q2402" s="2">
        <v>104.5364</v>
      </c>
      <c r="R2402" s="2">
        <v>246</v>
      </c>
      <c r="S2402" s="2">
        <v>103.2189</v>
      </c>
      <c r="T2402" s="2">
        <v>206</v>
      </c>
      <c r="U2402" s="2">
        <v>0.73474399999999995</v>
      </c>
      <c r="V2402" s="2">
        <v>80</v>
      </c>
      <c r="W2402" s="2">
        <v>2009</v>
      </c>
    </row>
    <row r="2403" spans="1:23" ht="12.3" hidden="1" x14ac:dyDescent="0.4">
      <c r="A2403" s="2" t="s">
        <v>134</v>
      </c>
      <c r="B2403" s="2"/>
      <c r="C2403" s="2"/>
      <c r="D2403" s="2"/>
      <c r="E2403" s="2"/>
      <c r="F2403" s="2"/>
      <c r="G2403" s="2"/>
      <c r="H2403" s="2"/>
      <c r="I2403" s="2">
        <v>70.271100000000004</v>
      </c>
      <c r="J2403" s="2">
        <v>46</v>
      </c>
      <c r="K2403" s="2">
        <v>70.648799999999994</v>
      </c>
      <c r="L2403" s="2">
        <v>28</v>
      </c>
      <c r="M2403" s="2">
        <v>110.0153</v>
      </c>
      <c r="N2403" s="2">
        <v>28</v>
      </c>
      <c r="O2403" s="2">
        <v>101.499</v>
      </c>
      <c r="P2403" s="2">
        <v>164</v>
      </c>
      <c r="Q2403" s="2">
        <v>92.349000000000004</v>
      </c>
      <c r="R2403" s="2">
        <v>12</v>
      </c>
      <c r="S2403" s="2">
        <v>93.044799999999995</v>
      </c>
      <c r="T2403" s="2">
        <v>23</v>
      </c>
      <c r="U2403" s="2">
        <v>0.73108300000000004</v>
      </c>
      <c r="V2403" s="2">
        <v>81</v>
      </c>
      <c r="W2403" s="2">
        <v>2009</v>
      </c>
    </row>
    <row r="2404" spans="1:23" ht="12.3" hidden="1" x14ac:dyDescent="0.4">
      <c r="A2404" s="2" t="s">
        <v>111</v>
      </c>
      <c r="B2404" s="2"/>
      <c r="C2404" s="2"/>
      <c r="D2404" s="2"/>
      <c r="E2404" s="2"/>
      <c r="F2404" s="2"/>
      <c r="G2404" s="2"/>
      <c r="H2404" s="2"/>
      <c r="I2404" s="2">
        <v>67.643100000000004</v>
      </c>
      <c r="J2404" s="2">
        <v>124</v>
      </c>
      <c r="K2404" s="2">
        <v>66.397900000000007</v>
      </c>
      <c r="L2404" s="2">
        <v>167</v>
      </c>
      <c r="M2404" s="2">
        <v>104.1478</v>
      </c>
      <c r="N2404" s="2">
        <v>122</v>
      </c>
      <c r="O2404" s="2">
        <v>105.9816</v>
      </c>
      <c r="P2404" s="2">
        <v>94</v>
      </c>
      <c r="Q2404" s="2">
        <v>96.840699999999998</v>
      </c>
      <c r="R2404" s="2">
        <v>74</v>
      </c>
      <c r="S2404" s="2">
        <v>97.183000000000007</v>
      </c>
      <c r="T2404" s="2">
        <v>72</v>
      </c>
      <c r="U2404" s="2">
        <v>0.73040799999999995</v>
      </c>
      <c r="V2404" s="2">
        <v>82</v>
      </c>
      <c r="W2404" s="2">
        <v>2009</v>
      </c>
    </row>
    <row r="2405" spans="1:23" ht="12.3" x14ac:dyDescent="0.4">
      <c r="A2405" s="2" t="s">
        <v>47</v>
      </c>
      <c r="B2405" s="2">
        <v>10</v>
      </c>
      <c r="C2405" s="25"/>
      <c r="D2405" s="2"/>
      <c r="E2405" s="2"/>
      <c r="F2405" s="2"/>
      <c r="G2405" s="2"/>
      <c r="H2405" s="2"/>
      <c r="I2405" s="2">
        <v>69.4238</v>
      </c>
      <c r="J2405" s="2">
        <v>82</v>
      </c>
      <c r="K2405" s="2">
        <v>68.130799999999994</v>
      </c>
      <c r="L2405" s="2">
        <v>107</v>
      </c>
      <c r="M2405" s="2">
        <v>112.1884</v>
      </c>
      <c r="N2405" s="2">
        <v>21</v>
      </c>
      <c r="O2405" s="2">
        <v>113.11539999999999</v>
      </c>
      <c r="P2405" s="2">
        <v>23</v>
      </c>
      <c r="Q2405" s="2">
        <v>99.366299999999995</v>
      </c>
      <c r="R2405" s="2">
        <v>99</v>
      </c>
      <c r="S2405" s="2">
        <v>99.572100000000006</v>
      </c>
      <c r="T2405" s="2">
        <v>100</v>
      </c>
      <c r="U2405" s="2">
        <v>0.81253299999999995</v>
      </c>
      <c r="V2405" s="2">
        <v>47</v>
      </c>
      <c r="W2405" s="2">
        <v>2007</v>
      </c>
    </row>
    <row r="2406" spans="1:23" ht="12.3" hidden="1" x14ac:dyDescent="0.4">
      <c r="A2406" s="2" t="s">
        <v>250</v>
      </c>
      <c r="B2406" s="2"/>
      <c r="C2406" s="2"/>
      <c r="D2406" s="2"/>
      <c r="E2406" s="2"/>
      <c r="F2406" s="2"/>
      <c r="G2406" s="2"/>
      <c r="H2406" s="2"/>
      <c r="I2406" s="2">
        <v>70.257800000000003</v>
      </c>
      <c r="J2406" s="2">
        <v>48</v>
      </c>
      <c r="K2406" s="2">
        <v>69.7928</v>
      </c>
      <c r="L2406" s="2">
        <v>51</v>
      </c>
      <c r="M2406" s="2">
        <v>110.31570000000001</v>
      </c>
      <c r="N2406" s="2">
        <v>26</v>
      </c>
      <c r="O2406" s="2">
        <v>113.70010000000001</v>
      </c>
      <c r="P2406" s="2">
        <v>15</v>
      </c>
      <c r="Q2406" s="2">
        <v>104.4753</v>
      </c>
      <c r="R2406" s="2">
        <v>244</v>
      </c>
      <c r="S2406" s="2">
        <v>104.79949999999999</v>
      </c>
      <c r="T2406" s="2">
        <v>243</v>
      </c>
      <c r="U2406" s="2">
        <v>0.71857899999999997</v>
      </c>
      <c r="V2406" s="2">
        <v>84</v>
      </c>
      <c r="W2406" s="2">
        <v>2009</v>
      </c>
    </row>
    <row r="2407" spans="1:23" ht="12.3" hidden="1" x14ac:dyDescent="0.4">
      <c r="A2407" s="2" t="s">
        <v>220</v>
      </c>
      <c r="B2407" s="2"/>
      <c r="C2407" s="2"/>
      <c r="D2407" s="2"/>
      <c r="E2407" s="2"/>
      <c r="F2407" s="2"/>
      <c r="G2407" s="2"/>
      <c r="H2407" s="2"/>
      <c r="I2407" s="2">
        <v>69.323899999999995</v>
      </c>
      <c r="J2407" s="2">
        <v>73</v>
      </c>
      <c r="K2407" s="2">
        <v>69.830299999999994</v>
      </c>
      <c r="L2407" s="2">
        <v>50</v>
      </c>
      <c r="M2407" s="2">
        <v>109.56140000000001</v>
      </c>
      <c r="N2407" s="2">
        <v>36</v>
      </c>
      <c r="O2407" s="2">
        <v>106.8506</v>
      </c>
      <c r="P2407" s="2">
        <v>82</v>
      </c>
      <c r="Q2407" s="2">
        <v>94.363100000000003</v>
      </c>
      <c r="R2407" s="2">
        <v>28</v>
      </c>
      <c r="S2407" s="2">
        <v>98.772999999999996</v>
      </c>
      <c r="T2407" s="2">
        <v>109</v>
      </c>
      <c r="U2407" s="2">
        <v>0.71176799999999996</v>
      </c>
      <c r="V2407" s="2">
        <v>85</v>
      </c>
      <c r="W2407" s="2">
        <v>2009</v>
      </c>
    </row>
    <row r="2408" spans="1:23" ht="12.3" x14ac:dyDescent="0.4">
      <c r="A2408" s="2" t="s">
        <v>190</v>
      </c>
      <c r="B2408" s="2">
        <v>12</v>
      </c>
      <c r="C2408" s="2"/>
      <c r="D2408" s="2"/>
      <c r="E2408" s="2"/>
      <c r="F2408" s="2"/>
      <c r="G2408" s="2"/>
      <c r="H2408" s="2"/>
      <c r="I2408" s="2">
        <v>65.192800000000005</v>
      </c>
      <c r="J2408" s="2">
        <v>227</v>
      </c>
      <c r="K2408" s="2">
        <v>67.319400000000002</v>
      </c>
      <c r="L2408" s="2">
        <v>137</v>
      </c>
      <c r="M2408" s="2">
        <v>107.2243</v>
      </c>
      <c r="N2408" s="2">
        <v>79</v>
      </c>
      <c r="O2408" s="2">
        <v>107.34</v>
      </c>
      <c r="P2408" s="2">
        <v>85</v>
      </c>
      <c r="Q2408" s="2">
        <v>94.813999999999993</v>
      </c>
      <c r="R2408" s="2">
        <v>28</v>
      </c>
      <c r="S2408" s="2">
        <v>94.723500000000001</v>
      </c>
      <c r="T2408" s="2">
        <v>36</v>
      </c>
      <c r="U2408" s="2">
        <v>0.80813599999999997</v>
      </c>
      <c r="V2408" s="2">
        <v>48</v>
      </c>
      <c r="W2408" s="2">
        <v>2007</v>
      </c>
    </row>
    <row r="2409" spans="1:23" ht="12.3" x14ac:dyDescent="0.4">
      <c r="A2409" s="2" t="s">
        <v>137</v>
      </c>
      <c r="B2409" s="2">
        <v>11</v>
      </c>
      <c r="C2409" s="3" t="s">
        <v>33</v>
      </c>
      <c r="D2409" s="2"/>
      <c r="E2409" s="2"/>
      <c r="F2409" s="2"/>
      <c r="G2409" s="2"/>
      <c r="H2409" s="2"/>
      <c r="I2409" s="2">
        <v>65.147999999999996</v>
      </c>
      <c r="J2409" s="2">
        <v>232</v>
      </c>
      <c r="K2409" s="2">
        <v>66.006200000000007</v>
      </c>
      <c r="L2409" s="2">
        <v>196</v>
      </c>
      <c r="M2409" s="2">
        <v>114.1977</v>
      </c>
      <c r="N2409" s="2">
        <v>11</v>
      </c>
      <c r="O2409" s="2">
        <v>114.0138</v>
      </c>
      <c r="P2409" s="2">
        <v>18</v>
      </c>
      <c r="Q2409" s="2">
        <v>98.840400000000002</v>
      </c>
      <c r="R2409" s="2">
        <v>91</v>
      </c>
      <c r="S2409" s="2">
        <v>100.6247</v>
      </c>
      <c r="T2409" s="2">
        <v>124</v>
      </c>
      <c r="U2409" s="2">
        <v>0.80792699999999995</v>
      </c>
      <c r="V2409" s="2">
        <v>49</v>
      </c>
      <c r="W2409" s="2">
        <v>2007</v>
      </c>
    </row>
    <row r="2410" spans="1:23" ht="12.3" hidden="1" x14ac:dyDescent="0.4">
      <c r="A2410" s="2" t="s">
        <v>147</v>
      </c>
      <c r="B2410" s="2"/>
      <c r="C2410" s="2"/>
      <c r="D2410" s="2"/>
      <c r="E2410" s="2"/>
      <c r="F2410" s="2"/>
      <c r="G2410" s="2"/>
      <c r="H2410" s="2"/>
      <c r="I2410" s="2">
        <v>63.192399999999999</v>
      </c>
      <c r="J2410" s="2">
        <v>289</v>
      </c>
      <c r="K2410" s="2">
        <v>63.261099999999999</v>
      </c>
      <c r="L2410" s="2">
        <v>290</v>
      </c>
      <c r="M2410" s="2">
        <v>103.88939999999999</v>
      </c>
      <c r="N2410" s="2">
        <v>126</v>
      </c>
      <c r="O2410" s="2">
        <v>101.7456</v>
      </c>
      <c r="P2410" s="2">
        <v>157</v>
      </c>
      <c r="Q2410" s="2">
        <v>94.736599999999996</v>
      </c>
      <c r="R2410" s="2">
        <v>38</v>
      </c>
      <c r="S2410" s="2">
        <v>94.835599999999999</v>
      </c>
      <c r="T2410" s="2">
        <v>42</v>
      </c>
      <c r="U2410" s="2">
        <v>0.691855</v>
      </c>
      <c r="V2410" s="2">
        <v>88</v>
      </c>
      <c r="W2410" s="2">
        <v>2009</v>
      </c>
    </row>
    <row r="2411" spans="1:23" ht="12.3" hidden="1" x14ac:dyDescent="0.4">
      <c r="A2411" s="2" t="s">
        <v>34</v>
      </c>
      <c r="B2411" s="2"/>
      <c r="C2411" s="2"/>
      <c r="D2411" s="2"/>
      <c r="E2411" s="2"/>
      <c r="F2411" s="2"/>
      <c r="G2411" s="2"/>
      <c r="H2411" s="2"/>
      <c r="I2411" s="2">
        <v>65.1755</v>
      </c>
      <c r="J2411" s="2">
        <v>219</v>
      </c>
      <c r="K2411" s="2">
        <v>64.396900000000002</v>
      </c>
      <c r="L2411" s="2">
        <v>261</v>
      </c>
      <c r="M2411" s="2">
        <v>103.2144</v>
      </c>
      <c r="N2411" s="2">
        <v>140</v>
      </c>
      <c r="O2411" s="2">
        <v>106.5552</v>
      </c>
      <c r="P2411" s="2">
        <v>83</v>
      </c>
      <c r="Q2411" s="2">
        <v>102.1927</v>
      </c>
      <c r="R2411" s="2">
        <v>196</v>
      </c>
      <c r="S2411" s="2">
        <v>99.586100000000002</v>
      </c>
      <c r="T2411" s="2">
        <v>127</v>
      </c>
      <c r="U2411" s="2">
        <v>0.68522000000000005</v>
      </c>
      <c r="V2411" s="2">
        <v>89</v>
      </c>
      <c r="W2411" s="2">
        <v>2009</v>
      </c>
    </row>
    <row r="2412" spans="1:23" ht="12.3" hidden="1" x14ac:dyDescent="0.4">
      <c r="A2412" s="2" t="s">
        <v>171</v>
      </c>
      <c r="B2412" s="2"/>
      <c r="C2412" s="2"/>
      <c r="D2412" s="2"/>
      <c r="E2412" s="2"/>
      <c r="F2412" s="2"/>
      <c r="G2412" s="2"/>
      <c r="H2412" s="2"/>
      <c r="I2412" s="2">
        <v>61.7622</v>
      </c>
      <c r="J2412" s="2">
        <v>317</v>
      </c>
      <c r="K2412" s="2">
        <v>62.8401</v>
      </c>
      <c r="L2412" s="2">
        <v>303</v>
      </c>
      <c r="M2412" s="2">
        <v>97.218500000000006</v>
      </c>
      <c r="N2412" s="2">
        <v>246</v>
      </c>
      <c r="O2412" s="2">
        <v>99.357600000000005</v>
      </c>
      <c r="P2412" s="2">
        <v>214</v>
      </c>
      <c r="Q2412" s="2">
        <v>92.178700000000006</v>
      </c>
      <c r="R2412" s="2">
        <v>11</v>
      </c>
      <c r="S2412" s="2">
        <v>93.178200000000004</v>
      </c>
      <c r="T2412" s="2">
        <v>25</v>
      </c>
      <c r="U2412" s="2">
        <v>0.67665299999999995</v>
      </c>
      <c r="V2412" s="2">
        <v>90</v>
      </c>
      <c r="W2412" s="2">
        <v>2009</v>
      </c>
    </row>
    <row r="2413" spans="1:23" ht="12.3" x14ac:dyDescent="0.4">
      <c r="A2413" s="2" t="s">
        <v>42</v>
      </c>
      <c r="B2413" s="2">
        <v>5</v>
      </c>
      <c r="C2413" s="4" t="s">
        <v>33</v>
      </c>
      <c r="D2413" s="4" t="s">
        <v>33</v>
      </c>
      <c r="E2413" s="2"/>
      <c r="F2413" s="2"/>
      <c r="G2413" s="2"/>
      <c r="H2413" s="2"/>
      <c r="I2413" s="2">
        <v>67.268000000000001</v>
      </c>
      <c r="J2413" s="2">
        <v>149</v>
      </c>
      <c r="K2413" s="2">
        <v>67.775199999999998</v>
      </c>
      <c r="L2413" s="2">
        <v>121</v>
      </c>
      <c r="M2413" s="2">
        <v>104.4746</v>
      </c>
      <c r="N2413" s="2">
        <v>127</v>
      </c>
      <c r="O2413" s="2">
        <v>109.04949999999999</v>
      </c>
      <c r="P2413" s="2">
        <v>65</v>
      </c>
      <c r="Q2413" s="2">
        <v>95.037099999999995</v>
      </c>
      <c r="R2413" s="2">
        <v>31</v>
      </c>
      <c r="S2413" s="2">
        <v>96.358099999999993</v>
      </c>
      <c r="T2413" s="2">
        <v>51</v>
      </c>
      <c r="U2413" s="2">
        <v>0.80579199999999995</v>
      </c>
      <c r="V2413" s="2">
        <v>50</v>
      </c>
      <c r="W2413" s="2">
        <v>2007</v>
      </c>
    </row>
    <row r="2414" spans="1:23" ht="12.3" hidden="1" x14ac:dyDescent="0.4">
      <c r="A2414" s="2" t="s">
        <v>138</v>
      </c>
      <c r="B2414" s="2"/>
      <c r="C2414" s="2"/>
      <c r="D2414" s="2"/>
      <c r="E2414" s="2"/>
      <c r="F2414" s="2"/>
      <c r="G2414" s="2"/>
      <c r="H2414" s="2"/>
      <c r="I2414" s="2">
        <v>67.965000000000003</v>
      </c>
      <c r="J2414" s="2">
        <v>111</v>
      </c>
      <c r="K2414" s="2">
        <v>68.536699999999996</v>
      </c>
      <c r="L2414" s="2">
        <v>84</v>
      </c>
      <c r="M2414" s="2">
        <v>102.4585</v>
      </c>
      <c r="N2414" s="2">
        <v>154</v>
      </c>
      <c r="O2414" s="2">
        <v>100.379</v>
      </c>
      <c r="P2414" s="2">
        <v>195</v>
      </c>
      <c r="Q2414" s="2">
        <v>96.589699999999993</v>
      </c>
      <c r="R2414" s="2">
        <v>68</v>
      </c>
      <c r="S2414" s="2">
        <v>94.360699999999994</v>
      </c>
      <c r="T2414" s="2">
        <v>39</v>
      </c>
      <c r="U2414" s="2">
        <v>0.670628</v>
      </c>
      <c r="V2414" s="2">
        <v>92</v>
      </c>
      <c r="W2414" s="2">
        <v>2009</v>
      </c>
    </row>
    <row r="2415" spans="1:23" ht="12.3" hidden="1" x14ac:dyDescent="0.4">
      <c r="A2415" s="2" t="s">
        <v>84</v>
      </c>
      <c r="B2415" s="2"/>
      <c r="C2415" s="2"/>
      <c r="D2415" s="2"/>
      <c r="E2415" s="2"/>
      <c r="F2415" s="2"/>
      <c r="G2415" s="2"/>
      <c r="H2415" s="2"/>
      <c r="I2415" s="2">
        <v>56.748399999999997</v>
      </c>
      <c r="J2415" s="2">
        <v>344</v>
      </c>
      <c r="K2415" s="2">
        <v>58.429000000000002</v>
      </c>
      <c r="L2415" s="2">
        <v>343</v>
      </c>
      <c r="M2415" s="2">
        <v>104.7758</v>
      </c>
      <c r="N2415" s="2">
        <v>109</v>
      </c>
      <c r="O2415" s="2">
        <v>106.0279</v>
      </c>
      <c r="P2415" s="2">
        <v>93</v>
      </c>
      <c r="Q2415" s="2">
        <v>103.1707</v>
      </c>
      <c r="R2415" s="2">
        <v>215</v>
      </c>
      <c r="S2415" s="2">
        <v>99.689400000000006</v>
      </c>
      <c r="T2415" s="2">
        <v>129</v>
      </c>
      <c r="U2415" s="2">
        <v>0.670157</v>
      </c>
      <c r="V2415" s="2">
        <v>93</v>
      </c>
      <c r="W2415" s="2">
        <v>2009</v>
      </c>
    </row>
    <row r="2416" spans="1:23" ht="12.3" hidden="1" x14ac:dyDescent="0.4">
      <c r="A2416" s="2" t="s">
        <v>59</v>
      </c>
      <c r="B2416" s="2"/>
      <c r="C2416" s="2"/>
      <c r="D2416" s="2"/>
      <c r="E2416" s="2"/>
      <c r="F2416" s="2"/>
      <c r="G2416" s="2"/>
      <c r="H2416" s="2"/>
      <c r="I2416" s="2">
        <v>72.811300000000003</v>
      </c>
      <c r="J2416" s="2">
        <v>12</v>
      </c>
      <c r="K2416" s="2">
        <v>72.170500000000004</v>
      </c>
      <c r="L2416" s="2">
        <v>15</v>
      </c>
      <c r="M2416" s="2">
        <v>102.9461</v>
      </c>
      <c r="N2416" s="2">
        <v>144</v>
      </c>
      <c r="O2416" s="2">
        <v>108.559</v>
      </c>
      <c r="P2416" s="2">
        <v>59</v>
      </c>
      <c r="Q2416" s="2">
        <v>106.9829</v>
      </c>
      <c r="R2416" s="2">
        <v>289</v>
      </c>
      <c r="S2416" s="2">
        <v>102.1254</v>
      </c>
      <c r="T2416" s="2">
        <v>176</v>
      </c>
      <c r="U2416" s="2">
        <v>0.66875600000000002</v>
      </c>
      <c r="V2416" s="2">
        <v>94</v>
      </c>
      <c r="W2416" s="2">
        <v>2009</v>
      </c>
    </row>
    <row r="2417" spans="1:23" ht="12.3" hidden="1" x14ac:dyDescent="0.4">
      <c r="A2417" s="2" t="s">
        <v>49</v>
      </c>
      <c r="B2417" s="2"/>
      <c r="C2417" s="2"/>
      <c r="D2417" s="2"/>
      <c r="E2417" s="2"/>
      <c r="F2417" s="2"/>
      <c r="G2417" s="2"/>
      <c r="H2417" s="2"/>
      <c r="I2417" s="2">
        <v>70.219800000000006</v>
      </c>
      <c r="J2417" s="2">
        <v>51</v>
      </c>
      <c r="K2417" s="2">
        <v>68.665199999999999</v>
      </c>
      <c r="L2417" s="2">
        <v>78</v>
      </c>
      <c r="M2417" s="2">
        <v>102.63890000000001</v>
      </c>
      <c r="N2417" s="2">
        <v>150</v>
      </c>
      <c r="O2417" s="2">
        <v>104.77</v>
      </c>
      <c r="P2417" s="2">
        <v>108</v>
      </c>
      <c r="Q2417" s="2">
        <v>100.279</v>
      </c>
      <c r="R2417" s="2">
        <v>146</v>
      </c>
      <c r="S2417" s="2">
        <v>98.650800000000004</v>
      </c>
      <c r="T2417" s="2">
        <v>106</v>
      </c>
      <c r="U2417" s="2">
        <v>0.66642999999999997</v>
      </c>
      <c r="V2417" s="2">
        <v>95</v>
      </c>
      <c r="W2417" s="2">
        <v>2009</v>
      </c>
    </row>
    <row r="2418" spans="1:23" ht="12.3" hidden="1" x14ac:dyDescent="0.4">
      <c r="A2418" s="2" t="s">
        <v>308</v>
      </c>
      <c r="B2418" s="2"/>
      <c r="C2418" s="2"/>
      <c r="D2418" s="2"/>
      <c r="E2418" s="2"/>
      <c r="F2418" s="2"/>
      <c r="G2418" s="2"/>
      <c r="H2418" s="2"/>
      <c r="I2418" s="2">
        <v>60.173299999999998</v>
      </c>
      <c r="J2418" s="2">
        <v>332</v>
      </c>
      <c r="K2418" s="2">
        <v>61.027200000000001</v>
      </c>
      <c r="L2418" s="2">
        <v>328</v>
      </c>
      <c r="M2418" s="2">
        <v>102.50539999999999</v>
      </c>
      <c r="N2418" s="2">
        <v>153</v>
      </c>
      <c r="O2418" s="2">
        <v>104.3805</v>
      </c>
      <c r="P2418" s="2">
        <v>119</v>
      </c>
      <c r="Q2418" s="2">
        <v>98.162099999999995</v>
      </c>
      <c r="R2418" s="2">
        <v>96</v>
      </c>
      <c r="S2418" s="2">
        <v>98.303899999999999</v>
      </c>
      <c r="T2418" s="2">
        <v>94</v>
      </c>
      <c r="U2418" s="2">
        <v>0.66591199999999995</v>
      </c>
      <c r="V2418" s="2">
        <v>96</v>
      </c>
      <c r="W2418" s="2">
        <v>2009</v>
      </c>
    </row>
    <row r="2419" spans="1:23" ht="12.3" hidden="1" x14ac:dyDescent="0.4">
      <c r="A2419" s="2" t="s">
        <v>92</v>
      </c>
      <c r="B2419" s="2"/>
      <c r="C2419" s="2"/>
      <c r="D2419" s="2"/>
      <c r="E2419" s="2"/>
      <c r="F2419" s="2"/>
      <c r="G2419" s="2"/>
      <c r="H2419" s="2"/>
      <c r="I2419" s="2">
        <v>72.844399999999993</v>
      </c>
      <c r="J2419" s="2">
        <v>11</v>
      </c>
      <c r="K2419" s="2">
        <v>71.410799999999995</v>
      </c>
      <c r="L2419" s="2">
        <v>20</v>
      </c>
      <c r="M2419" s="2">
        <v>96.241799999999998</v>
      </c>
      <c r="N2419" s="2">
        <v>267</v>
      </c>
      <c r="O2419" s="2">
        <v>98.728099999999998</v>
      </c>
      <c r="P2419" s="2">
        <v>219</v>
      </c>
      <c r="Q2419" s="2">
        <v>96.5672</v>
      </c>
      <c r="R2419" s="2">
        <v>67</v>
      </c>
      <c r="S2419" s="2">
        <v>93.222700000000003</v>
      </c>
      <c r="T2419" s="2">
        <v>27</v>
      </c>
      <c r="U2419" s="2">
        <v>0.65922700000000001</v>
      </c>
      <c r="V2419" s="2">
        <v>97</v>
      </c>
      <c r="W2419" s="2">
        <v>2009</v>
      </c>
    </row>
    <row r="2420" spans="1:23" ht="12.3" hidden="1" x14ac:dyDescent="0.4">
      <c r="A2420" s="2" t="s">
        <v>51</v>
      </c>
      <c r="B2420" s="2"/>
      <c r="C2420" s="2"/>
      <c r="D2420" s="2"/>
      <c r="E2420" s="2"/>
      <c r="F2420" s="2"/>
      <c r="G2420" s="2"/>
      <c r="H2420" s="2"/>
      <c r="I2420" s="2">
        <v>68.179299999999998</v>
      </c>
      <c r="J2420" s="2">
        <v>107</v>
      </c>
      <c r="K2420" s="2">
        <v>67.069900000000004</v>
      </c>
      <c r="L2420" s="2">
        <v>141</v>
      </c>
      <c r="M2420" s="2">
        <v>106.4239</v>
      </c>
      <c r="N2420" s="2">
        <v>81</v>
      </c>
      <c r="O2420" s="2">
        <v>109.77370000000001</v>
      </c>
      <c r="P2420" s="2">
        <v>46</v>
      </c>
      <c r="Q2420" s="2">
        <v>105.4481</v>
      </c>
      <c r="R2420" s="2">
        <v>259</v>
      </c>
      <c r="S2420" s="2">
        <v>103.93980000000001</v>
      </c>
      <c r="T2420" s="2">
        <v>221</v>
      </c>
      <c r="U2420" s="2">
        <v>0.65203500000000003</v>
      </c>
      <c r="V2420" s="2">
        <v>98</v>
      </c>
      <c r="W2420" s="2">
        <v>2009</v>
      </c>
    </row>
    <row r="2421" spans="1:23" ht="12.3" hidden="1" x14ac:dyDescent="0.4">
      <c r="A2421" s="2" t="s">
        <v>167</v>
      </c>
      <c r="B2421" s="2"/>
      <c r="C2421" s="2"/>
      <c r="D2421" s="2"/>
      <c r="E2421" s="2"/>
      <c r="F2421" s="2"/>
      <c r="G2421" s="2"/>
      <c r="H2421" s="2"/>
      <c r="I2421" s="2">
        <v>61.584400000000002</v>
      </c>
      <c r="J2421" s="2">
        <v>320</v>
      </c>
      <c r="K2421" s="2">
        <v>61.772399999999998</v>
      </c>
      <c r="L2421" s="2">
        <v>319</v>
      </c>
      <c r="M2421" s="2">
        <v>98.893699999999995</v>
      </c>
      <c r="N2421" s="2">
        <v>214</v>
      </c>
      <c r="O2421" s="2">
        <v>101.223</v>
      </c>
      <c r="P2421" s="2">
        <v>172</v>
      </c>
      <c r="Q2421" s="2">
        <v>94.480099999999993</v>
      </c>
      <c r="R2421" s="2">
        <v>32</v>
      </c>
      <c r="S2421" s="2">
        <v>95.856399999999994</v>
      </c>
      <c r="T2421" s="2">
        <v>59</v>
      </c>
      <c r="U2421" s="2">
        <v>0.65168700000000002</v>
      </c>
      <c r="V2421" s="2">
        <v>99</v>
      </c>
      <c r="W2421" s="2">
        <v>2009</v>
      </c>
    </row>
    <row r="2422" spans="1:23" ht="12.3" hidden="1" x14ac:dyDescent="0.4">
      <c r="A2422" s="2" t="s">
        <v>145</v>
      </c>
      <c r="B2422" s="2"/>
      <c r="C2422" s="2"/>
      <c r="D2422" s="2"/>
      <c r="E2422" s="2"/>
      <c r="F2422" s="2"/>
      <c r="G2422" s="2"/>
      <c r="H2422" s="2"/>
      <c r="I2422" s="2">
        <v>66.674000000000007</v>
      </c>
      <c r="J2422" s="2">
        <v>154</v>
      </c>
      <c r="K2422" s="2">
        <v>67.566400000000002</v>
      </c>
      <c r="L2422" s="2">
        <v>118</v>
      </c>
      <c r="M2422" s="2">
        <v>104.1373</v>
      </c>
      <c r="N2422" s="2">
        <v>123</v>
      </c>
      <c r="O2422" s="2">
        <v>103.9774</v>
      </c>
      <c r="P2422" s="2">
        <v>125</v>
      </c>
      <c r="Q2422" s="2">
        <v>99.781899999999993</v>
      </c>
      <c r="R2422" s="2">
        <v>133</v>
      </c>
      <c r="S2422" s="2">
        <v>98.500200000000007</v>
      </c>
      <c r="T2422" s="2">
        <v>100</v>
      </c>
      <c r="U2422" s="2">
        <v>0.65074799999999999</v>
      </c>
      <c r="V2422" s="2">
        <v>100</v>
      </c>
      <c r="W2422" s="2">
        <v>2009</v>
      </c>
    </row>
    <row r="2423" spans="1:23" ht="12.3" hidden="1" x14ac:dyDescent="0.4">
      <c r="A2423" s="2" t="s">
        <v>91</v>
      </c>
      <c r="B2423" s="2"/>
      <c r="C2423" s="2"/>
      <c r="D2423" s="2"/>
      <c r="E2423" s="2"/>
      <c r="F2423" s="2"/>
      <c r="G2423" s="2"/>
      <c r="H2423" s="2"/>
      <c r="I2423" s="2">
        <v>65.241299999999995</v>
      </c>
      <c r="J2423" s="2">
        <v>217</v>
      </c>
      <c r="K2423" s="2">
        <v>65.118200000000002</v>
      </c>
      <c r="L2423" s="2">
        <v>228</v>
      </c>
      <c r="M2423" s="2">
        <v>102.6186</v>
      </c>
      <c r="N2423" s="2">
        <v>151</v>
      </c>
      <c r="O2423" s="2">
        <v>103.9267</v>
      </c>
      <c r="P2423" s="2">
        <v>128</v>
      </c>
      <c r="Q2423" s="2">
        <v>99.529700000000005</v>
      </c>
      <c r="R2423" s="2">
        <v>123</v>
      </c>
      <c r="S2423" s="2">
        <v>98.614000000000004</v>
      </c>
      <c r="T2423" s="2">
        <v>104</v>
      </c>
      <c r="U2423" s="2">
        <v>0.64644299999999999</v>
      </c>
      <c r="V2423" s="2">
        <v>101</v>
      </c>
      <c r="W2423" s="2">
        <v>2009</v>
      </c>
    </row>
    <row r="2424" spans="1:23" ht="12.3" hidden="1" x14ac:dyDescent="0.4">
      <c r="A2424" s="2" t="s">
        <v>190</v>
      </c>
      <c r="B2424" s="2"/>
      <c r="C2424" s="2"/>
      <c r="D2424" s="2"/>
      <c r="E2424" s="2"/>
      <c r="F2424" s="2"/>
      <c r="G2424" s="2"/>
      <c r="H2424" s="2"/>
      <c r="I2424" s="2">
        <v>62.119100000000003</v>
      </c>
      <c r="J2424" s="2">
        <v>314</v>
      </c>
      <c r="K2424" s="2">
        <v>62.330399999999997</v>
      </c>
      <c r="L2424" s="2">
        <v>314</v>
      </c>
      <c r="M2424" s="2">
        <v>104.9323</v>
      </c>
      <c r="N2424" s="2">
        <v>107</v>
      </c>
      <c r="O2424" s="2">
        <v>104.1373</v>
      </c>
      <c r="P2424" s="2">
        <v>122</v>
      </c>
      <c r="Q2424" s="2">
        <v>97.058499999999995</v>
      </c>
      <c r="R2424" s="2">
        <v>79</v>
      </c>
      <c r="S2424" s="2">
        <v>98.858099999999993</v>
      </c>
      <c r="T2424" s="2">
        <v>114</v>
      </c>
      <c r="U2424" s="2">
        <v>0.64526499999999998</v>
      </c>
      <c r="V2424" s="2">
        <v>102</v>
      </c>
      <c r="W2424" s="2">
        <v>2009</v>
      </c>
    </row>
    <row r="2425" spans="1:23" ht="12.3" x14ac:dyDescent="0.4">
      <c r="A2425" s="2" t="s">
        <v>95</v>
      </c>
      <c r="B2425" s="2">
        <v>7</v>
      </c>
      <c r="C2425" s="4" t="s">
        <v>33</v>
      </c>
      <c r="D2425" s="2"/>
      <c r="E2425" s="2"/>
      <c r="F2425" s="2"/>
      <c r="G2425" s="2"/>
      <c r="H2425" s="2"/>
      <c r="I2425" s="2">
        <v>66.2363</v>
      </c>
      <c r="J2425" s="2">
        <v>196</v>
      </c>
      <c r="K2425" s="2">
        <v>64.754400000000004</v>
      </c>
      <c r="L2425" s="2">
        <v>246</v>
      </c>
      <c r="M2425" s="2">
        <v>111.86660000000001</v>
      </c>
      <c r="N2425" s="2">
        <v>23</v>
      </c>
      <c r="O2425" s="2">
        <v>114.03570000000001</v>
      </c>
      <c r="P2425" s="2">
        <v>17</v>
      </c>
      <c r="Q2425" s="2">
        <v>104.72929999999999</v>
      </c>
      <c r="R2425" s="2">
        <v>223</v>
      </c>
      <c r="S2425" s="2">
        <v>100.7944</v>
      </c>
      <c r="T2425" s="2">
        <v>131</v>
      </c>
      <c r="U2425" s="2">
        <v>0.80524899999999999</v>
      </c>
      <c r="V2425" s="2">
        <v>51</v>
      </c>
      <c r="W2425" s="2">
        <v>2007</v>
      </c>
    </row>
    <row r="2426" spans="1:23" ht="12.3" hidden="1" x14ac:dyDescent="0.4">
      <c r="A2426" s="2" t="s">
        <v>169</v>
      </c>
      <c r="B2426" s="2"/>
      <c r="C2426" s="2"/>
      <c r="D2426" s="2"/>
      <c r="E2426" s="2"/>
      <c r="F2426" s="2"/>
      <c r="G2426" s="2"/>
      <c r="H2426" s="2"/>
      <c r="I2426" s="2">
        <v>67.756600000000006</v>
      </c>
      <c r="J2426" s="2">
        <v>119</v>
      </c>
      <c r="K2426" s="2">
        <v>68.175299999999993</v>
      </c>
      <c r="L2426" s="2">
        <v>96</v>
      </c>
      <c r="M2426" s="2">
        <v>103.4606</v>
      </c>
      <c r="N2426" s="2">
        <v>135</v>
      </c>
      <c r="O2426" s="2">
        <v>103.2611</v>
      </c>
      <c r="P2426" s="2">
        <v>135</v>
      </c>
      <c r="Q2426" s="2">
        <v>100.0222</v>
      </c>
      <c r="R2426" s="2">
        <v>140</v>
      </c>
      <c r="S2426" s="2">
        <v>98.216800000000006</v>
      </c>
      <c r="T2426" s="2">
        <v>91</v>
      </c>
      <c r="U2426" s="2">
        <v>0.64013699999999996</v>
      </c>
      <c r="V2426" s="2">
        <v>104</v>
      </c>
      <c r="W2426" s="2">
        <v>2009</v>
      </c>
    </row>
    <row r="2427" spans="1:23" ht="12.3" hidden="1" x14ac:dyDescent="0.4">
      <c r="A2427" s="2" t="s">
        <v>165</v>
      </c>
      <c r="B2427" s="2"/>
      <c r="C2427" s="2"/>
      <c r="D2427" s="2"/>
      <c r="E2427" s="2"/>
      <c r="F2427" s="2"/>
      <c r="G2427" s="2"/>
      <c r="H2427" s="2"/>
      <c r="I2427" s="2">
        <v>65.038899999999998</v>
      </c>
      <c r="J2427" s="2">
        <v>230</v>
      </c>
      <c r="K2427" s="2">
        <v>65.581100000000006</v>
      </c>
      <c r="L2427" s="2">
        <v>205</v>
      </c>
      <c r="M2427" s="2">
        <v>113.238</v>
      </c>
      <c r="N2427" s="2">
        <v>10</v>
      </c>
      <c r="O2427" s="2">
        <v>111.99339999999999</v>
      </c>
      <c r="P2427" s="2">
        <v>31</v>
      </c>
      <c r="Q2427" s="2">
        <v>107.5033</v>
      </c>
      <c r="R2427" s="2">
        <v>297</v>
      </c>
      <c r="S2427" s="2">
        <v>106.8472</v>
      </c>
      <c r="T2427" s="2">
        <v>277</v>
      </c>
      <c r="U2427" s="2">
        <v>0.63203699999999996</v>
      </c>
      <c r="V2427" s="2">
        <v>105</v>
      </c>
      <c r="W2427" s="2">
        <v>2009</v>
      </c>
    </row>
    <row r="2428" spans="1:23" ht="12.3" x14ac:dyDescent="0.4">
      <c r="A2428" s="2" t="s">
        <v>134</v>
      </c>
      <c r="B2428" s="2">
        <v>13</v>
      </c>
      <c r="C2428" s="2"/>
      <c r="D2428" s="2"/>
      <c r="E2428" s="2"/>
      <c r="F2428" s="2"/>
      <c r="G2428" s="2"/>
      <c r="H2428" s="2"/>
      <c r="I2428" s="2">
        <v>72.322199999999995</v>
      </c>
      <c r="J2428" s="2">
        <v>23</v>
      </c>
      <c r="K2428" s="2">
        <v>72.708299999999994</v>
      </c>
      <c r="L2428" s="2">
        <v>13</v>
      </c>
      <c r="M2428" s="2">
        <v>110.748</v>
      </c>
      <c r="N2428" s="2">
        <v>34</v>
      </c>
      <c r="O2428" s="2">
        <v>110.2953</v>
      </c>
      <c r="P2428" s="2">
        <v>47</v>
      </c>
      <c r="Q2428" s="2">
        <v>95.092600000000004</v>
      </c>
      <c r="R2428" s="2">
        <v>34</v>
      </c>
      <c r="S2428" s="2">
        <v>97.524799999999999</v>
      </c>
      <c r="T2428" s="2">
        <v>63</v>
      </c>
      <c r="U2428" s="2">
        <v>0.80457400000000001</v>
      </c>
      <c r="V2428" s="2">
        <v>53</v>
      </c>
      <c r="W2428" s="2">
        <v>2007</v>
      </c>
    </row>
    <row r="2429" spans="1:23" ht="12.3" hidden="1" x14ac:dyDescent="0.4">
      <c r="A2429" s="2" t="s">
        <v>290</v>
      </c>
      <c r="B2429" s="2"/>
      <c r="C2429" s="2"/>
      <c r="D2429" s="2"/>
      <c r="E2429" s="2"/>
      <c r="F2429" s="2"/>
      <c r="G2429" s="2"/>
      <c r="H2429" s="2"/>
      <c r="I2429" s="2">
        <v>65.636300000000006</v>
      </c>
      <c r="J2429" s="2">
        <v>198</v>
      </c>
      <c r="K2429" s="2">
        <v>65.405600000000007</v>
      </c>
      <c r="L2429" s="2">
        <v>216</v>
      </c>
      <c r="M2429" s="2">
        <v>105.2602</v>
      </c>
      <c r="N2429" s="2">
        <v>97</v>
      </c>
      <c r="O2429" s="2">
        <v>104.8535</v>
      </c>
      <c r="P2429" s="2">
        <v>106</v>
      </c>
      <c r="Q2429" s="2">
        <v>100.5722</v>
      </c>
      <c r="R2429" s="2">
        <v>151</v>
      </c>
      <c r="S2429" s="2">
        <v>100.2565</v>
      </c>
      <c r="T2429" s="2">
        <v>143</v>
      </c>
      <c r="U2429" s="2">
        <v>0.62611099999999997</v>
      </c>
      <c r="V2429" s="2">
        <v>107</v>
      </c>
      <c r="W2429" s="2">
        <v>2009</v>
      </c>
    </row>
    <row r="2430" spans="1:23" ht="12.3" hidden="1" x14ac:dyDescent="0.4">
      <c r="A2430" s="2" t="s">
        <v>100</v>
      </c>
      <c r="B2430" s="2"/>
      <c r="C2430" s="2"/>
      <c r="D2430" s="2"/>
      <c r="E2430" s="2"/>
      <c r="F2430" s="2"/>
      <c r="G2430" s="2"/>
      <c r="H2430" s="2"/>
      <c r="I2430" s="2">
        <v>65.350899999999996</v>
      </c>
      <c r="J2430" s="2">
        <v>211</v>
      </c>
      <c r="K2430" s="2">
        <v>64.6023</v>
      </c>
      <c r="L2430" s="2">
        <v>249</v>
      </c>
      <c r="M2430" s="2">
        <v>105.38849999999999</v>
      </c>
      <c r="N2430" s="2">
        <v>95</v>
      </c>
      <c r="O2430" s="2">
        <v>105.4367</v>
      </c>
      <c r="P2430" s="2">
        <v>95</v>
      </c>
      <c r="Q2430" s="2">
        <v>101.8644</v>
      </c>
      <c r="R2430" s="2">
        <v>186</v>
      </c>
      <c r="S2430" s="2">
        <v>100.8274</v>
      </c>
      <c r="T2430" s="2">
        <v>154</v>
      </c>
      <c r="U2430" s="2">
        <v>0.62575800000000004</v>
      </c>
      <c r="V2430" s="2">
        <v>108</v>
      </c>
      <c r="W2430" s="2">
        <v>2009</v>
      </c>
    </row>
    <row r="2431" spans="1:23" ht="12.3" x14ac:dyDescent="0.4">
      <c r="A2431" s="2" t="s">
        <v>111</v>
      </c>
      <c r="B2431" s="2">
        <v>6</v>
      </c>
      <c r="C2431" s="4" t="s">
        <v>33</v>
      </c>
      <c r="D2431" s="4" t="s">
        <v>33</v>
      </c>
      <c r="E2431" s="2"/>
      <c r="F2431" s="2"/>
      <c r="G2431" s="2"/>
      <c r="H2431" s="2"/>
      <c r="I2431" s="2">
        <v>68.407700000000006</v>
      </c>
      <c r="J2431" s="2">
        <v>102</v>
      </c>
      <c r="K2431" s="2">
        <v>67.471699999999998</v>
      </c>
      <c r="L2431" s="2">
        <v>128</v>
      </c>
      <c r="M2431" s="2">
        <v>109.4825</v>
      </c>
      <c r="N2431" s="2">
        <v>43</v>
      </c>
      <c r="O2431" s="2">
        <v>112.9542</v>
      </c>
      <c r="P2431" s="2">
        <v>27</v>
      </c>
      <c r="Q2431" s="2">
        <v>103.0196</v>
      </c>
      <c r="R2431" s="2">
        <v>188</v>
      </c>
      <c r="S2431" s="2">
        <v>100.5202</v>
      </c>
      <c r="T2431" s="2">
        <v>119</v>
      </c>
      <c r="U2431" s="2">
        <v>0.79268300000000003</v>
      </c>
      <c r="V2431" s="2">
        <v>58</v>
      </c>
      <c r="W2431" s="2">
        <v>2007</v>
      </c>
    </row>
    <row r="2432" spans="1:23" ht="12.3" hidden="1" x14ac:dyDescent="0.4">
      <c r="A2432" s="2" t="s">
        <v>170</v>
      </c>
      <c r="B2432" s="2"/>
      <c r="C2432" s="2"/>
      <c r="D2432" s="2"/>
      <c r="E2432" s="2"/>
      <c r="F2432" s="2"/>
      <c r="G2432" s="2"/>
      <c r="H2432" s="2"/>
      <c r="I2432" s="2">
        <v>66.487799999999993</v>
      </c>
      <c r="J2432" s="2">
        <v>159</v>
      </c>
      <c r="K2432" s="2">
        <v>68.1601</v>
      </c>
      <c r="L2432" s="2">
        <v>99</v>
      </c>
      <c r="M2432" s="2">
        <v>104.7564</v>
      </c>
      <c r="N2432" s="2">
        <v>110</v>
      </c>
      <c r="O2432" s="2">
        <v>102.15470000000001</v>
      </c>
      <c r="P2432" s="2">
        <v>151</v>
      </c>
      <c r="Q2432" s="2">
        <v>98.877200000000002</v>
      </c>
      <c r="R2432" s="2">
        <v>110</v>
      </c>
      <c r="S2432" s="2">
        <v>97.717699999999994</v>
      </c>
      <c r="T2432" s="2">
        <v>82</v>
      </c>
      <c r="U2432" s="2">
        <v>0.62496200000000002</v>
      </c>
      <c r="V2432" s="2">
        <v>110</v>
      </c>
      <c r="W2432" s="2">
        <v>2009</v>
      </c>
    </row>
    <row r="2433" spans="1:23" ht="12.3" hidden="1" x14ac:dyDescent="0.4">
      <c r="A2433" s="2" t="s">
        <v>87</v>
      </c>
      <c r="B2433" s="2"/>
      <c r="C2433" s="2"/>
      <c r="D2433" s="2"/>
      <c r="E2433" s="2"/>
      <c r="F2433" s="2"/>
      <c r="G2433" s="2"/>
      <c r="H2433" s="2"/>
      <c r="I2433" s="2">
        <v>70.530799999999999</v>
      </c>
      <c r="J2433" s="2">
        <v>41</v>
      </c>
      <c r="K2433" s="2">
        <v>68.192999999999998</v>
      </c>
      <c r="L2433" s="2">
        <v>95</v>
      </c>
      <c r="M2433" s="2">
        <v>97.9666</v>
      </c>
      <c r="N2433" s="2">
        <v>229</v>
      </c>
      <c r="O2433" s="2">
        <v>100.99209999999999</v>
      </c>
      <c r="P2433" s="2">
        <v>177</v>
      </c>
      <c r="Q2433" s="2">
        <v>101.75230000000001</v>
      </c>
      <c r="R2433" s="2">
        <v>185</v>
      </c>
      <c r="S2433" s="2">
        <v>96.6143</v>
      </c>
      <c r="T2433" s="2">
        <v>64</v>
      </c>
      <c r="U2433" s="2">
        <v>0.62472000000000005</v>
      </c>
      <c r="V2433" s="2">
        <v>111</v>
      </c>
      <c r="W2433" s="2">
        <v>2009</v>
      </c>
    </row>
    <row r="2434" spans="1:23" ht="12.3" hidden="1" x14ac:dyDescent="0.4">
      <c r="A2434" s="2" t="s">
        <v>93</v>
      </c>
      <c r="B2434" s="2"/>
      <c r="C2434" s="2"/>
      <c r="D2434" s="2"/>
      <c r="E2434" s="2"/>
      <c r="F2434" s="2"/>
      <c r="G2434" s="2"/>
      <c r="H2434" s="2"/>
      <c r="I2434" s="2">
        <v>69.811499999999995</v>
      </c>
      <c r="J2434" s="2">
        <v>61</v>
      </c>
      <c r="K2434" s="2">
        <v>70.222999999999999</v>
      </c>
      <c r="L2434" s="2">
        <v>39</v>
      </c>
      <c r="M2434" s="2">
        <v>104.3548</v>
      </c>
      <c r="N2434" s="2">
        <v>119</v>
      </c>
      <c r="O2434" s="2">
        <v>106.48569999999999</v>
      </c>
      <c r="P2434" s="2">
        <v>87</v>
      </c>
      <c r="Q2434" s="2">
        <v>106.8293</v>
      </c>
      <c r="R2434" s="2">
        <v>287</v>
      </c>
      <c r="S2434" s="2">
        <v>102.1735</v>
      </c>
      <c r="T2434" s="2">
        <v>177</v>
      </c>
      <c r="U2434" s="2">
        <v>0.61665899999999996</v>
      </c>
      <c r="V2434" s="2">
        <v>112</v>
      </c>
      <c r="W2434" s="2">
        <v>2009</v>
      </c>
    </row>
    <row r="2435" spans="1:23" ht="12.3" x14ac:dyDescent="0.4">
      <c r="A2435" s="2" t="s">
        <v>87</v>
      </c>
      <c r="B2435" s="2">
        <v>4</v>
      </c>
      <c r="C2435" s="4" t="s">
        <v>33</v>
      </c>
      <c r="D2435" s="2"/>
      <c r="E2435" s="2"/>
      <c r="F2435" s="2"/>
      <c r="G2435" s="2"/>
      <c r="H2435" s="2"/>
      <c r="I2435" s="2">
        <v>70.538899999999998</v>
      </c>
      <c r="J2435" s="2">
        <v>54</v>
      </c>
      <c r="K2435" s="2">
        <v>69.022300000000001</v>
      </c>
      <c r="L2435" s="2">
        <v>80</v>
      </c>
      <c r="M2435" s="2">
        <v>108.9795</v>
      </c>
      <c r="N2435" s="2">
        <v>48</v>
      </c>
      <c r="O2435" s="2">
        <v>109.6875</v>
      </c>
      <c r="P2435" s="2">
        <v>59</v>
      </c>
      <c r="Q2435" s="2">
        <v>101.8036</v>
      </c>
      <c r="R2435" s="2">
        <v>159</v>
      </c>
      <c r="S2435" s="2">
        <v>97.9833</v>
      </c>
      <c r="T2435" s="2">
        <v>71</v>
      </c>
      <c r="U2435" s="2">
        <v>0.78543700000000005</v>
      </c>
      <c r="V2435" s="2">
        <v>60</v>
      </c>
      <c r="W2435" s="2">
        <v>2007</v>
      </c>
    </row>
    <row r="2436" spans="1:23" ht="12.3" hidden="1" x14ac:dyDescent="0.4">
      <c r="A2436" s="2" t="s">
        <v>292</v>
      </c>
      <c r="B2436" s="2"/>
      <c r="C2436" s="2"/>
      <c r="D2436" s="2"/>
      <c r="E2436" s="2"/>
      <c r="F2436" s="2"/>
      <c r="G2436" s="2"/>
      <c r="H2436" s="2"/>
      <c r="I2436" s="2">
        <v>66.419799999999995</v>
      </c>
      <c r="J2436" s="2">
        <v>164</v>
      </c>
      <c r="K2436" s="2">
        <v>67.173299999999998</v>
      </c>
      <c r="L2436" s="2">
        <v>133</v>
      </c>
      <c r="M2436" s="2">
        <v>99.943100000000001</v>
      </c>
      <c r="N2436" s="2">
        <v>199</v>
      </c>
      <c r="O2436" s="2">
        <v>102.4922</v>
      </c>
      <c r="P2436" s="2">
        <v>146</v>
      </c>
      <c r="Q2436" s="2">
        <v>98.3566</v>
      </c>
      <c r="R2436" s="2">
        <v>101</v>
      </c>
      <c r="S2436" s="2">
        <v>98.538200000000003</v>
      </c>
      <c r="T2436" s="2">
        <v>102</v>
      </c>
      <c r="U2436" s="2">
        <v>0.61121899999999996</v>
      </c>
      <c r="V2436" s="2">
        <v>114</v>
      </c>
      <c r="W2436" s="2">
        <v>2009</v>
      </c>
    </row>
    <row r="2437" spans="1:23" ht="12.3" hidden="1" x14ac:dyDescent="0.4">
      <c r="A2437" s="2" t="s">
        <v>245</v>
      </c>
      <c r="B2437" s="2"/>
      <c r="C2437" s="2"/>
      <c r="D2437" s="2"/>
      <c r="E2437" s="2"/>
      <c r="F2437" s="2"/>
      <c r="G2437" s="2"/>
      <c r="H2437" s="2"/>
      <c r="I2437" s="2">
        <v>65.072999999999993</v>
      </c>
      <c r="J2437" s="2">
        <v>226</v>
      </c>
      <c r="K2437" s="2">
        <v>65.331500000000005</v>
      </c>
      <c r="L2437" s="2">
        <v>219</v>
      </c>
      <c r="M2437" s="2">
        <v>102.2662</v>
      </c>
      <c r="N2437" s="2">
        <v>156</v>
      </c>
      <c r="O2437" s="2">
        <v>104.4061</v>
      </c>
      <c r="P2437" s="2">
        <v>117</v>
      </c>
      <c r="Q2437" s="2">
        <v>101.26479999999999</v>
      </c>
      <c r="R2437" s="2">
        <v>172</v>
      </c>
      <c r="S2437" s="2">
        <v>100.4995</v>
      </c>
      <c r="T2437" s="2">
        <v>146</v>
      </c>
      <c r="U2437" s="2">
        <v>0.60791399999999995</v>
      </c>
      <c r="V2437" s="2">
        <v>115</v>
      </c>
      <c r="W2437" s="2">
        <v>2009</v>
      </c>
    </row>
    <row r="2438" spans="1:23" ht="12.3" x14ac:dyDescent="0.4">
      <c r="A2438" s="2" t="s">
        <v>52</v>
      </c>
      <c r="B2438" s="2">
        <v>11</v>
      </c>
      <c r="C2438" s="2"/>
      <c r="D2438" s="2"/>
      <c r="E2438" s="2"/>
      <c r="F2438" s="2"/>
      <c r="G2438" s="2"/>
      <c r="H2438" s="2"/>
      <c r="I2438" s="2">
        <v>66.122699999999995</v>
      </c>
      <c r="J2438" s="2">
        <v>202</v>
      </c>
      <c r="K2438" s="2">
        <v>66.753399999999999</v>
      </c>
      <c r="L2438" s="2">
        <v>167</v>
      </c>
      <c r="M2438" s="2">
        <v>103.42100000000001</v>
      </c>
      <c r="N2438" s="2">
        <v>151</v>
      </c>
      <c r="O2438" s="2">
        <v>107.2025</v>
      </c>
      <c r="P2438" s="2">
        <v>88</v>
      </c>
      <c r="Q2438" s="2">
        <v>99.186300000000003</v>
      </c>
      <c r="R2438" s="2">
        <v>97</v>
      </c>
      <c r="S2438" s="2">
        <v>96.177899999999994</v>
      </c>
      <c r="T2438" s="2">
        <v>50</v>
      </c>
      <c r="U2438" s="2">
        <v>0.77695099999999995</v>
      </c>
      <c r="V2438" s="2">
        <v>63</v>
      </c>
      <c r="W2438" s="2">
        <v>2007</v>
      </c>
    </row>
    <row r="2439" spans="1:23" ht="12.3" hidden="1" x14ac:dyDescent="0.4">
      <c r="A2439" s="2" t="s">
        <v>126</v>
      </c>
      <c r="B2439" s="2"/>
      <c r="C2439" s="2"/>
      <c r="D2439" s="2"/>
      <c r="E2439" s="2"/>
      <c r="F2439" s="2"/>
      <c r="G2439" s="2"/>
      <c r="H2439" s="2"/>
      <c r="I2439" s="2">
        <v>59.916400000000003</v>
      </c>
      <c r="J2439" s="2">
        <v>335</v>
      </c>
      <c r="K2439" s="2">
        <v>58.926699999999997</v>
      </c>
      <c r="L2439" s="2">
        <v>338</v>
      </c>
      <c r="M2439" s="2">
        <v>108.6523</v>
      </c>
      <c r="N2439" s="2">
        <v>49</v>
      </c>
      <c r="O2439" s="2">
        <v>107.2269</v>
      </c>
      <c r="P2439" s="2">
        <v>79</v>
      </c>
      <c r="Q2439" s="2">
        <v>101.8897</v>
      </c>
      <c r="R2439" s="2">
        <v>187</v>
      </c>
      <c r="S2439" s="2">
        <v>103.68219999999999</v>
      </c>
      <c r="T2439" s="2">
        <v>212</v>
      </c>
      <c r="U2439" s="2">
        <v>0.59546200000000005</v>
      </c>
      <c r="V2439" s="2">
        <v>117</v>
      </c>
      <c r="W2439" s="2">
        <v>2009</v>
      </c>
    </row>
    <row r="2440" spans="1:23" ht="12.3" hidden="1" x14ac:dyDescent="0.4">
      <c r="A2440" s="2" t="s">
        <v>149</v>
      </c>
      <c r="B2440" s="2"/>
      <c r="C2440" s="2"/>
      <c r="D2440" s="2"/>
      <c r="E2440" s="2"/>
      <c r="F2440" s="2"/>
      <c r="G2440" s="2"/>
      <c r="H2440" s="2"/>
      <c r="I2440" s="2">
        <v>58.9681</v>
      </c>
      <c r="J2440" s="2">
        <v>339</v>
      </c>
      <c r="K2440" s="2">
        <v>59.2117</v>
      </c>
      <c r="L2440" s="2">
        <v>337</v>
      </c>
      <c r="M2440" s="2">
        <v>98.575999999999993</v>
      </c>
      <c r="N2440" s="2">
        <v>224</v>
      </c>
      <c r="O2440" s="2">
        <v>102.48350000000001</v>
      </c>
      <c r="P2440" s="2">
        <v>147</v>
      </c>
      <c r="Q2440" s="2">
        <v>106.25320000000001</v>
      </c>
      <c r="R2440" s="2">
        <v>274</v>
      </c>
      <c r="S2440" s="2">
        <v>99.108099999999993</v>
      </c>
      <c r="T2440" s="2">
        <v>119</v>
      </c>
      <c r="U2440" s="2">
        <v>0.595113</v>
      </c>
      <c r="V2440" s="2">
        <v>118</v>
      </c>
      <c r="W2440" s="2">
        <v>2009</v>
      </c>
    </row>
    <row r="2441" spans="1:23" ht="12.3" hidden="1" x14ac:dyDescent="0.4">
      <c r="A2441" s="2" t="s">
        <v>213</v>
      </c>
      <c r="B2441" s="2"/>
      <c r="C2441" s="2"/>
      <c r="D2441" s="2"/>
      <c r="E2441" s="2"/>
      <c r="F2441" s="2"/>
      <c r="G2441" s="2"/>
      <c r="H2441" s="2"/>
      <c r="I2441" s="2">
        <v>65.064499999999995</v>
      </c>
      <c r="J2441" s="2">
        <v>228</v>
      </c>
      <c r="K2441" s="2">
        <v>65.283100000000005</v>
      </c>
      <c r="L2441" s="2">
        <v>222</v>
      </c>
      <c r="M2441" s="2">
        <v>98.963999999999999</v>
      </c>
      <c r="N2441" s="2">
        <v>211</v>
      </c>
      <c r="O2441" s="2">
        <v>100.4727</v>
      </c>
      <c r="P2441" s="2">
        <v>194</v>
      </c>
      <c r="Q2441" s="2">
        <v>94.5976</v>
      </c>
      <c r="R2441" s="2">
        <v>33</v>
      </c>
      <c r="S2441" s="2">
        <v>97.177599999999998</v>
      </c>
      <c r="T2441" s="2">
        <v>71</v>
      </c>
      <c r="U2441" s="2">
        <v>0.59470999999999996</v>
      </c>
      <c r="V2441" s="2">
        <v>119</v>
      </c>
      <c r="W2441" s="2">
        <v>2009</v>
      </c>
    </row>
    <row r="2442" spans="1:23" ht="12.3" hidden="1" x14ac:dyDescent="0.4">
      <c r="A2442" s="2" t="s">
        <v>146</v>
      </c>
      <c r="B2442" s="2"/>
      <c r="C2442" s="2"/>
      <c r="D2442" s="2"/>
      <c r="E2442" s="2"/>
      <c r="F2442" s="2"/>
      <c r="G2442" s="2"/>
      <c r="H2442" s="2"/>
      <c r="I2442" s="2">
        <v>65.446899999999999</v>
      </c>
      <c r="J2442" s="2">
        <v>206</v>
      </c>
      <c r="K2442" s="2">
        <v>64.923599999999993</v>
      </c>
      <c r="L2442" s="2">
        <v>239</v>
      </c>
      <c r="M2442" s="2">
        <v>98.950299999999999</v>
      </c>
      <c r="N2442" s="2">
        <v>212</v>
      </c>
      <c r="O2442" s="2">
        <v>100.21120000000001</v>
      </c>
      <c r="P2442" s="2">
        <v>197</v>
      </c>
      <c r="Q2442" s="2">
        <v>99.785300000000007</v>
      </c>
      <c r="R2442" s="2">
        <v>135</v>
      </c>
      <c r="S2442" s="2">
        <v>97.257900000000006</v>
      </c>
      <c r="T2442" s="2">
        <v>73</v>
      </c>
      <c r="U2442" s="2">
        <v>0.58516299999999999</v>
      </c>
      <c r="V2442" s="2">
        <v>120</v>
      </c>
      <c r="W2442" s="2">
        <v>2009</v>
      </c>
    </row>
    <row r="2443" spans="1:23" ht="12.3" hidden="1" x14ac:dyDescent="0.4">
      <c r="A2443" s="2" t="s">
        <v>225</v>
      </c>
      <c r="B2443" s="2"/>
      <c r="C2443" s="2"/>
      <c r="D2443" s="2"/>
      <c r="E2443" s="2"/>
      <c r="F2443" s="2"/>
      <c r="G2443" s="2"/>
      <c r="H2443" s="2"/>
      <c r="I2443" s="2">
        <v>68.832499999999996</v>
      </c>
      <c r="J2443" s="2">
        <v>86</v>
      </c>
      <c r="K2443" s="2">
        <v>67.087000000000003</v>
      </c>
      <c r="L2443" s="2">
        <v>139</v>
      </c>
      <c r="M2443" s="2">
        <v>106.3737</v>
      </c>
      <c r="N2443" s="2">
        <v>82</v>
      </c>
      <c r="O2443" s="2">
        <v>106.1461</v>
      </c>
      <c r="P2443" s="2">
        <v>90</v>
      </c>
      <c r="Q2443" s="2">
        <v>102.0089</v>
      </c>
      <c r="R2443" s="2">
        <v>191</v>
      </c>
      <c r="S2443" s="2">
        <v>103.0214</v>
      </c>
      <c r="T2443" s="2">
        <v>196</v>
      </c>
      <c r="U2443" s="2">
        <v>0.585067</v>
      </c>
      <c r="V2443" s="2">
        <v>121</v>
      </c>
      <c r="W2443" s="2">
        <v>2009</v>
      </c>
    </row>
    <row r="2444" spans="1:23" ht="12.3" hidden="1" x14ac:dyDescent="0.4">
      <c r="A2444" s="2" t="s">
        <v>102</v>
      </c>
      <c r="B2444" s="2"/>
      <c r="C2444" s="2"/>
      <c r="D2444" s="2"/>
      <c r="E2444" s="2"/>
      <c r="F2444" s="2"/>
      <c r="G2444" s="2"/>
      <c r="H2444" s="2"/>
      <c r="I2444" s="2">
        <v>66.616299999999995</v>
      </c>
      <c r="J2444" s="2">
        <v>156</v>
      </c>
      <c r="K2444" s="2">
        <v>66.003500000000003</v>
      </c>
      <c r="L2444" s="2">
        <v>181</v>
      </c>
      <c r="M2444" s="2">
        <v>98.8078</v>
      </c>
      <c r="N2444" s="2">
        <v>219</v>
      </c>
      <c r="O2444" s="2">
        <v>100.4933</v>
      </c>
      <c r="P2444" s="2">
        <v>192</v>
      </c>
      <c r="Q2444" s="2">
        <v>100.5629</v>
      </c>
      <c r="R2444" s="2">
        <v>150</v>
      </c>
      <c r="S2444" s="2">
        <v>97.582700000000003</v>
      </c>
      <c r="T2444" s="2">
        <v>79</v>
      </c>
      <c r="U2444" s="2">
        <v>0.58370500000000003</v>
      </c>
      <c r="V2444" s="2">
        <v>122</v>
      </c>
      <c r="W2444" s="2">
        <v>2009</v>
      </c>
    </row>
    <row r="2445" spans="1:23" ht="12.3" hidden="1" x14ac:dyDescent="0.4">
      <c r="A2445" s="2" t="s">
        <v>214</v>
      </c>
      <c r="B2445" s="2"/>
      <c r="C2445" s="2"/>
      <c r="D2445" s="2"/>
      <c r="E2445" s="2"/>
      <c r="F2445" s="2"/>
      <c r="G2445" s="2"/>
      <c r="H2445" s="2"/>
      <c r="I2445" s="2">
        <v>68.129199999999997</v>
      </c>
      <c r="J2445" s="2">
        <v>109</v>
      </c>
      <c r="K2445" s="2">
        <v>67.181299999999993</v>
      </c>
      <c r="L2445" s="2">
        <v>131</v>
      </c>
      <c r="M2445" s="2">
        <v>108.0307</v>
      </c>
      <c r="N2445" s="2">
        <v>58</v>
      </c>
      <c r="O2445" s="2">
        <v>107.23260000000001</v>
      </c>
      <c r="P2445" s="2">
        <v>77</v>
      </c>
      <c r="Q2445" s="2">
        <v>99.499600000000001</v>
      </c>
      <c r="R2445" s="2">
        <v>120</v>
      </c>
      <c r="S2445" s="2">
        <v>104.1461</v>
      </c>
      <c r="T2445" s="2">
        <v>224</v>
      </c>
      <c r="U2445" s="2">
        <v>0.58318800000000004</v>
      </c>
      <c r="V2445" s="2">
        <v>123</v>
      </c>
      <c r="W2445" s="2">
        <v>2009</v>
      </c>
    </row>
    <row r="2446" spans="1:23" ht="12.3" hidden="1" x14ac:dyDescent="0.4">
      <c r="A2446" s="2" t="s">
        <v>192</v>
      </c>
      <c r="B2446" s="2"/>
      <c r="C2446" s="2"/>
      <c r="D2446" s="2"/>
      <c r="E2446" s="2"/>
      <c r="F2446" s="2"/>
      <c r="G2446" s="2"/>
      <c r="H2446" s="2"/>
      <c r="I2446" s="2">
        <v>62.594799999999999</v>
      </c>
      <c r="J2446" s="2">
        <v>300</v>
      </c>
      <c r="K2446" s="2">
        <v>63.398200000000003</v>
      </c>
      <c r="L2446" s="2">
        <v>287</v>
      </c>
      <c r="M2446" s="2">
        <v>99.486000000000004</v>
      </c>
      <c r="N2446" s="2">
        <v>208</v>
      </c>
      <c r="O2446" s="2">
        <v>101.2602</v>
      </c>
      <c r="P2446" s="2">
        <v>168</v>
      </c>
      <c r="Q2446" s="2">
        <v>99.721000000000004</v>
      </c>
      <c r="R2446" s="2">
        <v>130</v>
      </c>
      <c r="S2446" s="2">
        <v>98.488200000000006</v>
      </c>
      <c r="T2446" s="2">
        <v>98</v>
      </c>
      <c r="U2446" s="2">
        <v>0.57913099999999995</v>
      </c>
      <c r="V2446" s="2">
        <v>124</v>
      </c>
      <c r="W2446" s="2">
        <v>2009</v>
      </c>
    </row>
    <row r="2447" spans="1:23" ht="12.3" hidden="1" x14ac:dyDescent="0.4">
      <c r="A2447" s="2" t="s">
        <v>144</v>
      </c>
      <c r="B2447" s="2"/>
      <c r="C2447" s="2"/>
      <c r="D2447" s="2"/>
      <c r="E2447" s="2"/>
      <c r="F2447" s="2"/>
      <c r="G2447" s="2"/>
      <c r="H2447" s="2"/>
      <c r="I2447" s="2">
        <v>65.242800000000003</v>
      </c>
      <c r="J2447" s="2">
        <v>216</v>
      </c>
      <c r="K2447" s="2">
        <v>65.847800000000007</v>
      </c>
      <c r="L2447" s="2">
        <v>193</v>
      </c>
      <c r="M2447" s="2">
        <v>102.2313</v>
      </c>
      <c r="N2447" s="2">
        <v>158</v>
      </c>
      <c r="O2447" s="2">
        <v>104.7897</v>
      </c>
      <c r="P2447" s="2">
        <v>107</v>
      </c>
      <c r="Q2447" s="2">
        <v>101.235</v>
      </c>
      <c r="R2447" s="2">
        <v>170</v>
      </c>
      <c r="S2447" s="2">
        <v>101.9379</v>
      </c>
      <c r="T2447" s="2">
        <v>173</v>
      </c>
      <c r="U2447" s="2">
        <v>0.57866700000000004</v>
      </c>
      <c r="V2447" s="2">
        <v>125</v>
      </c>
      <c r="W2447" s="2">
        <v>2009</v>
      </c>
    </row>
    <row r="2448" spans="1:23" ht="12.3" hidden="1" x14ac:dyDescent="0.4">
      <c r="A2448" s="2" t="s">
        <v>53</v>
      </c>
      <c r="B2448" s="2"/>
      <c r="C2448" s="2"/>
      <c r="D2448" s="2"/>
      <c r="E2448" s="2"/>
      <c r="F2448" s="2"/>
      <c r="G2448" s="2"/>
      <c r="H2448" s="2"/>
      <c r="I2448" s="2">
        <v>65.994799999999998</v>
      </c>
      <c r="J2448" s="2">
        <v>180</v>
      </c>
      <c r="K2448" s="2">
        <v>66.739400000000003</v>
      </c>
      <c r="L2448" s="2">
        <v>154</v>
      </c>
      <c r="M2448" s="2">
        <v>100.8182</v>
      </c>
      <c r="N2448" s="2">
        <v>180</v>
      </c>
      <c r="O2448" s="2">
        <v>101.5719</v>
      </c>
      <c r="P2448" s="2">
        <v>161</v>
      </c>
      <c r="Q2448" s="2">
        <v>95.921300000000002</v>
      </c>
      <c r="R2448" s="2">
        <v>52</v>
      </c>
      <c r="S2448" s="2">
        <v>98.864599999999996</v>
      </c>
      <c r="T2448" s="2">
        <v>115</v>
      </c>
      <c r="U2448" s="2">
        <v>0.57704999999999995</v>
      </c>
      <c r="V2448" s="2">
        <v>126</v>
      </c>
      <c r="W2448" s="2">
        <v>2009</v>
      </c>
    </row>
    <row r="2449" spans="1:23" ht="12.3" hidden="1" x14ac:dyDescent="0.4">
      <c r="A2449" s="2" t="s">
        <v>142</v>
      </c>
      <c r="B2449" s="2"/>
      <c r="C2449" s="2"/>
      <c r="D2449" s="2"/>
      <c r="E2449" s="2"/>
      <c r="F2449" s="2"/>
      <c r="G2449" s="2"/>
      <c r="H2449" s="2"/>
      <c r="I2449" s="2">
        <v>63.572400000000002</v>
      </c>
      <c r="J2449" s="2">
        <v>279</v>
      </c>
      <c r="K2449" s="2">
        <v>64.195499999999996</v>
      </c>
      <c r="L2449" s="2">
        <v>266</v>
      </c>
      <c r="M2449" s="2">
        <v>98.7697</v>
      </c>
      <c r="N2449" s="2">
        <v>221</v>
      </c>
      <c r="O2449" s="2">
        <v>101.59010000000001</v>
      </c>
      <c r="P2449" s="2">
        <v>160</v>
      </c>
      <c r="Q2449" s="2">
        <v>101.1103</v>
      </c>
      <c r="R2449" s="2">
        <v>165</v>
      </c>
      <c r="S2449" s="2">
        <v>99.024299999999997</v>
      </c>
      <c r="T2449" s="2">
        <v>116</v>
      </c>
      <c r="U2449" s="2">
        <v>0.57301899999999995</v>
      </c>
      <c r="V2449" s="2">
        <v>127</v>
      </c>
      <c r="W2449" s="2">
        <v>2009</v>
      </c>
    </row>
    <row r="2450" spans="1:23" ht="12.3" hidden="1" x14ac:dyDescent="0.4">
      <c r="A2450" s="2" t="s">
        <v>210</v>
      </c>
      <c r="B2450" s="2"/>
      <c r="C2450" s="2"/>
      <c r="D2450" s="2"/>
      <c r="E2450" s="2"/>
      <c r="F2450" s="2"/>
      <c r="G2450" s="2"/>
      <c r="H2450" s="2"/>
      <c r="I2450" s="2">
        <v>63.4983</v>
      </c>
      <c r="J2450" s="2">
        <v>282</v>
      </c>
      <c r="K2450" s="2">
        <v>63.759</v>
      </c>
      <c r="L2450" s="2">
        <v>276</v>
      </c>
      <c r="M2450" s="2">
        <v>96.697900000000004</v>
      </c>
      <c r="N2450" s="2">
        <v>255</v>
      </c>
      <c r="O2450" s="2">
        <v>97.136200000000002</v>
      </c>
      <c r="P2450" s="2">
        <v>245</v>
      </c>
      <c r="Q2450" s="2">
        <v>95.649799999999999</v>
      </c>
      <c r="R2450" s="2">
        <v>49</v>
      </c>
      <c r="S2450" s="2">
        <v>94.806299999999993</v>
      </c>
      <c r="T2450" s="2">
        <v>41</v>
      </c>
      <c r="U2450" s="2">
        <v>0.56934899999999999</v>
      </c>
      <c r="V2450" s="2">
        <v>128</v>
      </c>
      <c r="W2450" s="2">
        <v>2009</v>
      </c>
    </row>
    <row r="2451" spans="1:23" ht="12.3" hidden="1" x14ac:dyDescent="0.4">
      <c r="A2451" s="2" t="s">
        <v>280</v>
      </c>
      <c r="B2451" s="2"/>
      <c r="C2451" s="2"/>
      <c r="D2451" s="2"/>
      <c r="E2451" s="2"/>
      <c r="F2451" s="2"/>
      <c r="G2451" s="2"/>
      <c r="H2451" s="2"/>
      <c r="I2451" s="2">
        <v>69.438900000000004</v>
      </c>
      <c r="J2451" s="2">
        <v>70</v>
      </c>
      <c r="K2451" s="2">
        <v>68.870400000000004</v>
      </c>
      <c r="L2451" s="2">
        <v>71</v>
      </c>
      <c r="M2451" s="2">
        <v>109.83580000000001</v>
      </c>
      <c r="N2451" s="2">
        <v>32</v>
      </c>
      <c r="O2451" s="2">
        <v>106.5104</v>
      </c>
      <c r="P2451" s="2">
        <v>85</v>
      </c>
      <c r="Q2451" s="2">
        <v>101.4401</v>
      </c>
      <c r="R2451" s="2">
        <v>175</v>
      </c>
      <c r="S2451" s="2">
        <v>103.977</v>
      </c>
      <c r="T2451" s="2">
        <v>223</v>
      </c>
      <c r="U2451" s="2">
        <v>0.56877200000000006</v>
      </c>
      <c r="V2451" s="2">
        <v>129</v>
      </c>
      <c r="W2451" s="2">
        <v>2009</v>
      </c>
    </row>
    <row r="2452" spans="1:23" ht="12.3" hidden="1" x14ac:dyDescent="0.4">
      <c r="A2452" s="2" t="s">
        <v>118</v>
      </c>
      <c r="B2452" s="2"/>
      <c r="C2452" s="2"/>
      <c r="D2452" s="2"/>
      <c r="E2452" s="2"/>
      <c r="F2452" s="2"/>
      <c r="G2452" s="2"/>
      <c r="H2452" s="2"/>
      <c r="I2452" s="2">
        <v>70.229600000000005</v>
      </c>
      <c r="J2452" s="2">
        <v>50</v>
      </c>
      <c r="K2452" s="2">
        <v>70.348699999999994</v>
      </c>
      <c r="L2452" s="2">
        <v>35</v>
      </c>
      <c r="M2452" s="2">
        <v>107.9579</v>
      </c>
      <c r="N2452" s="2">
        <v>59</v>
      </c>
      <c r="O2452" s="2">
        <v>107.1763</v>
      </c>
      <c r="P2452" s="2">
        <v>80</v>
      </c>
      <c r="Q2452" s="2">
        <v>105.41160000000001</v>
      </c>
      <c r="R2452" s="2">
        <v>258</v>
      </c>
      <c r="S2452" s="2">
        <v>104.9678</v>
      </c>
      <c r="T2452" s="2">
        <v>248</v>
      </c>
      <c r="U2452" s="2">
        <v>0.55957599999999996</v>
      </c>
      <c r="V2452" s="2">
        <v>130</v>
      </c>
      <c r="W2452" s="2">
        <v>2009</v>
      </c>
    </row>
    <row r="2453" spans="1:23" ht="12.3" hidden="1" x14ac:dyDescent="0.4">
      <c r="A2453" s="2" t="s">
        <v>200</v>
      </c>
      <c r="B2453" s="2"/>
      <c r="C2453" s="2"/>
      <c r="D2453" s="2"/>
      <c r="E2453" s="2"/>
      <c r="F2453" s="2"/>
      <c r="G2453" s="2"/>
      <c r="H2453" s="2"/>
      <c r="I2453" s="2">
        <v>67.090800000000002</v>
      </c>
      <c r="J2453" s="2">
        <v>140</v>
      </c>
      <c r="K2453" s="2">
        <v>67.444999999999993</v>
      </c>
      <c r="L2453" s="2">
        <v>124</v>
      </c>
      <c r="M2453" s="2">
        <v>104.5924</v>
      </c>
      <c r="N2453" s="2">
        <v>114</v>
      </c>
      <c r="O2453" s="2">
        <v>104.4057</v>
      </c>
      <c r="P2453" s="2">
        <v>118</v>
      </c>
      <c r="Q2453" s="2">
        <v>100.8326</v>
      </c>
      <c r="R2453" s="2">
        <v>161</v>
      </c>
      <c r="S2453" s="2">
        <v>102.2551</v>
      </c>
      <c r="T2453" s="2">
        <v>179</v>
      </c>
      <c r="U2453" s="2">
        <v>0.55955600000000005</v>
      </c>
      <c r="V2453" s="2">
        <v>131</v>
      </c>
      <c r="W2453" s="2">
        <v>2009</v>
      </c>
    </row>
    <row r="2454" spans="1:23" ht="12.3" hidden="1" x14ac:dyDescent="0.4">
      <c r="A2454" s="2" t="s">
        <v>217</v>
      </c>
      <c r="B2454" s="2"/>
      <c r="C2454" s="2"/>
      <c r="D2454" s="2"/>
      <c r="E2454" s="2"/>
      <c r="F2454" s="2"/>
      <c r="G2454" s="2"/>
      <c r="H2454" s="2"/>
      <c r="I2454" s="2">
        <v>64.975700000000003</v>
      </c>
      <c r="J2454" s="2">
        <v>233</v>
      </c>
      <c r="K2454" s="2">
        <v>65.304599999999994</v>
      </c>
      <c r="L2454" s="2">
        <v>221</v>
      </c>
      <c r="M2454" s="2">
        <v>99.231300000000005</v>
      </c>
      <c r="N2454" s="2">
        <v>210</v>
      </c>
      <c r="O2454" s="2">
        <v>100.2223</v>
      </c>
      <c r="P2454" s="2">
        <v>196</v>
      </c>
      <c r="Q2454" s="2">
        <v>99.055800000000005</v>
      </c>
      <c r="R2454" s="2">
        <v>115</v>
      </c>
      <c r="S2454" s="2">
        <v>98.171000000000006</v>
      </c>
      <c r="T2454" s="2">
        <v>90</v>
      </c>
      <c r="U2454" s="2">
        <v>0.55917499999999998</v>
      </c>
      <c r="V2454" s="2">
        <v>132</v>
      </c>
      <c r="W2454" s="2">
        <v>2009</v>
      </c>
    </row>
    <row r="2455" spans="1:23" ht="12.3" hidden="1" x14ac:dyDescent="0.4">
      <c r="A2455" s="2" t="s">
        <v>349</v>
      </c>
      <c r="B2455" s="2"/>
      <c r="C2455" s="2"/>
      <c r="D2455" s="2"/>
      <c r="E2455" s="2"/>
      <c r="F2455" s="2"/>
      <c r="G2455" s="2"/>
      <c r="H2455" s="2"/>
      <c r="I2455" s="2">
        <v>65.396699999999996</v>
      </c>
      <c r="J2455" s="2">
        <v>208</v>
      </c>
      <c r="K2455" s="2">
        <v>65.046999999999997</v>
      </c>
      <c r="L2455" s="2">
        <v>233</v>
      </c>
      <c r="M2455" s="2">
        <v>103.7617</v>
      </c>
      <c r="N2455" s="2">
        <v>128</v>
      </c>
      <c r="O2455" s="2">
        <v>100.7439</v>
      </c>
      <c r="P2455" s="2">
        <v>187</v>
      </c>
      <c r="Q2455" s="2">
        <v>95.748500000000007</v>
      </c>
      <c r="R2455" s="2">
        <v>50</v>
      </c>
      <c r="S2455" s="2">
        <v>98.7761</v>
      </c>
      <c r="T2455" s="2">
        <v>110</v>
      </c>
      <c r="U2455" s="2">
        <v>0.55647000000000002</v>
      </c>
      <c r="V2455" s="2">
        <v>133</v>
      </c>
      <c r="W2455" s="2">
        <v>2009</v>
      </c>
    </row>
    <row r="2456" spans="1:23" ht="12.3" x14ac:dyDescent="0.4">
      <c r="A2456" s="2" t="s">
        <v>59</v>
      </c>
      <c r="B2456" s="2">
        <v>10</v>
      </c>
      <c r="C2456" s="2"/>
      <c r="D2456" s="2"/>
      <c r="E2456" s="2"/>
      <c r="F2456" s="2"/>
      <c r="G2456" s="2"/>
      <c r="H2456" s="2"/>
      <c r="I2456" s="2">
        <v>66.527000000000001</v>
      </c>
      <c r="J2456" s="2">
        <v>183</v>
      </c>
      <c r="K2456" s="2">
        <v>65.695700000000002</v>
      </c>
      <c r="L2456" s="2">
        <v>206</v>
      </c>
      <c r="M2456" s="2">
        <v>106.4256</v>
      </c>
      <c r="N2456" s="2">
        <v>92</v>
      </c>
      <c r="O2456" s="2">
        <v>108.9379</v>
      </c>
      <c r="P2456" s="2">
        <v>67</v>
      </c>
      <c r="Q2456" s="2">
        <v>102.6934</v>
      </c>
      <c r="R2456" s="2">
        <v>176</v>
      </c>
      <c r="S2456" s="2">
        <v>98.928299999999993</v>
      </c>
      <c r="T2456" s="2">
        <v>90</v>
      </c>
      <c r="U2456" s="2">
        <v>0.75183199999999994</v>
      </c>
      <c r="V2456" s="2">
        <v>71</v>
      </c>
      <c r="W2456" s="2">
        <v>2007</v>
      </c>
    </row>
    <row r="2457" spans="1:23" ht="12.3" hidden="1" x14ac:dyDescent="0.4">
      <c r="A2457" s="2" t="s">
        <v>155</v>
      </c>
      <c r="B2457" s="2"/>
      <c r="C2457" s="2"/>
      <c r="D2457" s="2"/>
      <c r="E2457" s="2"/>
      <c r="F2457" s="2"/>
      <c r="G2457" s="2"/>
      <c r="H2457" s="2"/>
      <c r="I2457" s="2">
        <v>69.825000000000003</v>
      </c>
      <c r="J2457" s="2">
        <v>60</v>
      </c>
      <c r="K2457" s="2">
        <v>69.609899999999996</v>
      </c>
      <c r="L2457" s="2">
        <v>53</v>
      </c>
      <c r="M2457" s="2">
        <v>100.9747</v>
      </c>
      <c r="N2457" s="2">
        <v>177</v>
      </c>
      <c r="O2457" s="2">
        <v>104.01949999999999</v>
      </c>
      <c r="P2457" s="2">
        <v>124</v>
      </c>
      <c r="Q2457" s="2">
        <v>104.67400000000001</v>
      </c>
      <c r="R2457" s="2">
        <v>247</v>
      </c>
      <c r="S2457" s="2">
        <v>102.2038</v>
      </c>
      <c r="T2457" s="2">
        <v>178</v>
      </c>
      <c r="U2457" s="2">
        <v>0.55045200000000005</v>
      </c>
      <c r="V2457" s="2">
        <v>135</v>
      </c>
      <c r="W2457" s="2">
        <v>2009</v>
      </c>
    </row>
    <row r="2458" spans="1:23" ht="12.3" hidden="1" x14ac:dyDescent="0.4">
      <c r="A2458" s="2" t="s">
        <v>244</v>
      </c>
      <c r="B2458" s="2"/>
      <c r="C2458" s="2"/>
      <c r="D2458" s="2"/>
      <c r="E2458" s="2"/>
      <c r="F2458" s="2"/>
      <c r="G2458" s="2"/>
      <c r="H2458" s="2"/>
      <c r="I2458" s="2">
        <v>70.209100000000007</v>
      </c>
      <c r="J2458" s="2">
        <v>52</v>
      </c>
      <c r="K2458" s="2">
        <v>69.0959</v>
      </c>
      <c r="L2458" s="2">
        <v>63</v>
      </c>
      <c r="M2458" s="2">
        <v>108.56319999999999</v>
      </c>
      <c r="N2458" s="2">
        <v>52</v>
      </c>
      <c r="O2458" s="2">
        <v>104.3022</v>
      </c>
      <c r="P2458" s="2">
        <v>121</v>
      </c>
      <c r="Q2458" s="2">
        <v>99.509399999999999</v>
      </c>
      <c r="R2458" s="2">
        <v>122</v>
      </c>
      <c r="S2458" s="2">
        <v>102.5574</v>
      </c>
      <c r="T2458" s="2">
        <v>184</v>
      </c>
      <c r="U2458" s="2">
        <v>0.54834799999999995</v>
      </c>
      <c r="V2458" s="2">
        <v>136</v>
      </c>
      <c r="W2458" s="2">
        <v>2009</v>
      </c>
    </row>
    <row r="2459" spans="1:23" ht="12.3" x14ac:dyDescent="0.4">
      <c r="A2459" s="2" t="s">
        <v>178</v>
      </c>
      <c r="B2459" s="2">
        <v>13</v>
      </c>
      <c r="C2459" s="2"/>
      <c r="D2459" s="2"/>
      <c r="E2459" s="2"/>
      <c r="F2459" s="2"/>
      <c r="G2459" s="2"/>
      <c r="H2459" s="2"/>
      <c r="I2459" s="2">
        <v>62.359499999999997</v>
      </c>
      <c r="J2459" s="2">
        <v>304</v>
      </c>
      <c r="K2459" s="2">
        <v>63.395699999999998</v>
      </c>
      <c r="L2459" s="2">
        <v>293</v>
      </c>
      <c r="M2459" s="2">
        <v>101.68049999999999</v>
      </c>
      <c r="N2459" s="2">
        <v>178</v>
      </c>
      <c r="O2459" s="2">
        <v>101.3128</v>
      </c>
      <c r="P2459" s="2">
        <v>178</v>
      </c>
      <c r="Q2459" s="2">
        <v>90.711399999999998</v>
      </c>
      <c r="R2459" s="2">
        <v>6</v>
      </c>
      <c r="S2459" s="2">
        <v>93.212299999999999</v>
      </c>
      <c r="T2459" s="2">
        <v>24</v>
      </c>
      <c r="U2459" s="2">
        <v>0.72278699999999996</v>
      </c>
      <c r="V2459" s="2">
        <v>80</v>
      </c>
      <c r="W2459" s="2">
        <v>2007</v>
      </c>
    </row>
    <row r="2460" spans="1:23" ht="12.3" hidden="1" x14ac:dyDescent="0.4">
      <c r="A2460" s="2" t="s">
        <v>80</v>
      </c>
      <c r="B2460" s="2"/>
      <c r="C2460" s="2"/>
      <c r="D2460" s="2"/>
      <c r="E2460" s="2"/>
      <c r="F2460" s="2"/>
      <c r="G2460" s="2"/>
      <c r="H2460" s="2"/>
      <c r="I2460" s="2">
        <v>71.738399999999999</v>
      </c>
      <c r="J2460" s="2">
        <v>24</v>
      </c>
      <c r="K2460" s="2">
        <v>69.915800000000004</v>
      </c>
      <c r="L2460" s="2">
        <v>46</v>
      </c>
      <c r="M2460" s="2">
        <v>102.3754</v>
      </c>
      <c r="N2460" s="2">
        <v>155</v>
      </c>
      <c r="O2460" s="2">
        <v>102.9957</v>
      </c>
      <c r="P2460" s="2">
        <v>137</v>
      </c>
      <c r="Q2460" s="2">
        <v>102.0121</v>
      </c>
      <c r="R2460" s="2">
        <v>192</v>
      </c>
      <c r="S2460" s="2">
        <v>101.4302</v>
      </c>
      <c r="T2460" s="2">
        <v>168</v>
      </c>
      <c r="U2460" s="2">
        <v>0.54391900000000004</v>
      </c>
      <c r="V2460" s="2">
        <v>138</v>
      </c>
      <c r="W2460" s="2">
        <v>2009</v>
      </c>
    </row>
    <row r="2461" spans="1:23" ht="12.3" hidden="1" x14ac:dyDescent="0.4">
      <c r="A2461" s="2" t="s">
        <v>63</v>
      </c>
      <c r="B2461" s="2"/>
      <c r="C2461" s="2"/>
      <c r="D2461" s="2"/>
      <c r="E2461" s="2"/>
      <c r="F2461" s="2"/>
      <c r="G2461" s="2"/>
      <c r="H2461" s="2"/>
      <c r="I2461" s="2">
        <v>66.736699999999999</v>
      </c>
      <c r="J2461" s="2">
        <v>149</v>
      </c>
      <c r="K2461" s="2">
        <v>66.431899999999999</v>
      </c>
      <c r="L2461" s="2">
        <v>164</v>
      </c>
      <c r="M2461" s="2">
        <v>100.9203</v>
      </c>
      <c r="N2461" s="2">
        <v>178</v>
      </c>
      <c r="O2461" s="2">
        <v>102.6551</v>
      </c>
      <c r="P2461" s="2">
        <v>144</v>
      </c>
      <c r="Q2461" s="2">
        <v>103.2654</v>
      </c>
      <c r="R2461" s="2">
        <v>219</v>
      </c>
      <c r="S2461" s="2">
        <v>101.2136</v>
      </c>
      <c r="T2461" s="2">
        <v>163</v>
      </c>
      <c r="U2461" s="2">
        <v>0.54056899999999997</v>
      </c>
      <c r="V2461" s="2">
        <v>139</v>
      </c>
      <c r="W2461" s="2">
        <v>2009</v>
      </c>
    </row>
    <row r="2462" spans="1:23" ht="12.3" hidden="1" x14ac:dyDescent="0.4">
      <c r="A2462" s="2" t="s">
        <v>116</v>
      </c>
      <c r="B2462" s="2"/>
      <c r="C2462" s="2"/>
      <c r="D2462" s="2"/>
      <c r="E2462" s="2"/>
      <c r="F2462" s="2"/>
      <c r="G2462" s="2"/>
      <c r="H2462" s="2"/>
      <c r="I2462" s="2">
        <v>60.859499999999997</v>
      </c>
      <c r="J2462" s="2">
        <v>328</v>
      </c>
      <c r="K2462" s="2">
        <v>61.0242</v>
      </c>
      <c r="L2462" s="2">
        <v>329</v>
      </c>
      <c r="M2462" s="2">
        <v>99.821299999999994</v>
      </c>
      <c r="N2462" s="2">
        <v>201</v>
      </c>
      <c r="O2462" s="2">
        <v>100.1574</v>
      </c>
      <c r="P2462" s="2">
        <v>199</v>
      </c>
      <c r="Q2462" s="2">
        <v>99.245599999999996</v>
      </c>
      <c r="R2462" s="2">
        <v>116</v>
      </c>
      <c r="S2462" s="2">
        <v>98.792400000000001</v>
      </c>
      <c r="T2462" s="2">
        <v>111</v>
      </c>
      <c r="U2462" s="2">
        <v>0.53937199999999996</v>
      </c>
      <c r="V2462" s="2">
        <v>140</v>
      </c>
      <c r="W2462" s="2">
        <v>2009</v>
      </c>
    </row>
    <row r="2463" spans="1:23" ht="12.3" hidden="1" x14ac:dyDescent="0.4">
      <c r="A2463" s="2" t="s">
        <v>177</v>
      </c>
      <c r="B2463" s="2"/>
      <c r="C2463" s="2"/>
      <c r="D2463" s="2"/>
      <c r="E2463" s="2"/>
      <c r="F2463" s="2"/>
      <c r="G2463" s="2"/>
      <c r="H2463" s="2"/>
      <c r="I2463" s="2">
        <v>67.111099999999993</v>
      </c>
      <c r="J2463" s="2">
        <v>138</v>
      </c>
      <c r="K2463" s="2">
        <v>67.060500000000005</v>
      </c>
      <c r="L2463" s="2">
        <v>142</v>
      </c>
      <c r="M2463" s="2">
        <v>104.7483</v>
      </c>
      <c r="N2463" s="2">
        <v>111</v>
      </c>
      <c r="O2463" s="2">
        <v>104.443</v>
      </c>
      <c r="P2463" s="2">
        <v>115</v>
      </c>
      <c r="Q2463" s="2">
        <v>104.08710000000001</v>
      </c>
      <c r="R2463" s="2">
        <v>231</v>
      </c>
      <c r="S2463" s="2">
        <v>103.05800000000001</v>
      </c>
      <c r="T2463" s="2">
        <v>197</v>
      </c>
      <c r="U2463" s="2">
        <v>0.538304</v>
      </c>
      <c r="V2463" s="2">
        <v>141</v>
      </c>
      <c r="W2463" s="2">
        <v>2009</v>
      </c>
    </row>
    <row r="2464" spans="1:23" ht="12.3" hidden="1" x14ac:dyDescent="0.4">
      <c r="A2464" s="2" t="s">
        <v>212</v>
      </c>
      <c r="B2464" s="2"/>
      <c r="C2464" s="2"/>
      <c r="D2464" s="2"/>
      <c r="E2464" s="2"/>
      <c r="F2464" s="2"/>
      <c r="G2464" s="2"/>
      <c r="H2464" s="2"/>
      <c r="I2464" s="2">
        <v>69.285200000000003</v>
      </c>
      <c r="J2464" s="2">
        <v>76</v>
      </c>
      <c r="K2464" s="2">
        <v>69.558400000000006</v>
      </c>
      <c r="L2464" s="2">
        <v>55</v>
      </c>
      <c r="M2464" s="2">
        <v>102.5735</v>
      </c>
      <c r="N2464" s="2">
        <v>152</v>
      </c>
      <c r="O2464" s="2">
        <v>102.08280000000001</v>
      </c>
      <c r="P2464" s="2">
        <v>154</v>
      </c>
      <c r="Q2464" s="2">
        <v>102.2452</v>
      </c>
      <c r="R2464" s="2">
        <v>199</v>
      </c>
      <c r="S2464" s="2">
        <v>100.9225</v>
      </c>
      <c r="T2464" s="2">
        <v>156</v>
      </c>
      <c r="U2464" s="2">
        <v>0.53281599999999996</v>
      </c>
      <c r="V2464" s="2">
        <v>142</v>
      </c>
      <c r="W2464" s="2">
        <v>2009</v>
      </c>
    </row>
    <row r="2465" spans="1:23" ht="12.3" hidden="1" x14ac:dyDescent="0.4">
      <c r="A2465" s="2" t="s">
        <v>205</v>
      </c>
      <c r="B2465" s="2"/>
      <c r="C2465" s="2"/>
      <c r="D2465" s="2"/>
      <c r="E2465" s="2"/>
      <c r="F2465" s="2"/>
      <c r="G2465" s="2"/>
      <c r="H2465" s="2"/>
      <c r="I2465" s="2">
        <v>62.606000000000002</v>
      </c>
      <c r="J2465" s="2">
        <v>299</v>
      </c>
      <c r="K2465" s="2">
        <v>63.854199999999999</v>
      </c>
      <c r="L2465" s="2">
        <v>274</v>
      </c>
      <c r="M2465" s="2">
        <v>101.43219999999999</v>
      </c>
      <c r="N2465" s="2">
        <v>170</v>
      </c>
      <c r="O2465" s="2">
        <v>99.365300000000005</v>
      </c>
      <c r="P2465" s="2">
        <v>213</v>
      </c>
      <c r="Q2465" s="2">
        <v>99.457999999999998</v>
      </c>
      <c r="R2465" s="2">
        <v>119</v>
      </c>
      <c r="S2465" s="2">
        <v>98.290499999999994</v>
      </c>
      <c r="T2465" s="2">
        <v>93</v>
      </c>
      <c r="U2465" s="2">
        <v>0.531227</v>
      </c>
      <c r="V2465" s="2">
        <v>143</v>
      </c>
      <c r="W2465" s="2">
        <v>2009</v>
      </c>
    </row>
    <row r="2466" spans="1:23" ht="12.3" hidden="1" x14ac:dyDescent="0.4">
      <c r="A2466" s="2" t="s">
        <v>270</v>
      </c>
      <c r="B2466" s="2"/>
      <c r="C2466" s="2"/>
      <c r="D2466" s="2"/>
      <c r="E2466" s="2"/>
      <c r="F2466" s="2"/>
      <c r="G2466" s="2"/>
      <c r="H2466" s="2"/>
      <c r="I2466" s="2">
        <v>70.167599999999993</v>
      </c>
      <c r="J2466" s="2">
        <v>54</v>
      </c>
      <c r="K2466" s="2">
        <v>69.925399999999996</v>
      </c>
      <c r="L2466" s="2">
        <v>45</v>
      </c>
      <c r="M2466" s="2">
        <v>109.15089999999999</v>
      </c>
      <c r="N2466" s="2">
        <v>42</v>
      </c>
      <c r="O2466" s="2">
        <v>108.0363</v>
      </c>
      <c r="P2466" s="2">
        <v>65</v>
      </c>
      <c r="Q2466" s="2">
        <v>105.77030000000001</v>
      </c>
      <c r="R2466" s="2">
        <v>264</v>
      </c>
      <c r="S2466" s="2">
        <v>106.8764</v>
      </c>
      <c r="T2466" s="2">
        <v>279</v>
      </c>
      <c r="U2466" s="2">
        <v>0.53099399999999997</v>
      </c>
      <c r="V2466" s="2">
        <v>144</v>
      </c>
      <c r="W2466" s="2">
        <v>2009</v>
      </c>
    </row>
    <row r="2467" spans="1:23" ht="12.3" hidden="1" x14ac:dyDescent="0.4">
      <c r="A2467" s="2" t="s">
        <v>105</v>
      </c>
      <c r="B2467" s="2"/>
      <c r="C2467" s="2"/>
      <c r="D2467" s="2"/>
      <c r="E2467" s="2"/>
      <c r="F2467" s="2"/>
      <c r="G2467" s="2"/>
      <c r="H2467" s="2"/>
      <c r="I2467" s="2">
        <v>68.942300000000003</v>
      </c>
      <c r="J2467" s="2">
        <v>81</v>
      </c>
      <c r="K2467" s="2">
        <v>67.466300000000004</v>
      </c>
      <c r="L2467" s="2">
        <v>123</v>
      </c>
      <c r="M2467" s="2">
        <v>111.24850000000001</v>
      </c>
      <c r="N2467" s="2">
        <v>22</v>
      </c>
      <c r="O2467" s="2">
        <v>106.5543</v>
      </c>
      <c r="P2467" s="2">
        <v>84</v>
      </c>
      <c r="Q2467" s="2">
        <v>104.1652</v>
      </c>
      <c r="R2467" s="2">
        <v>234</v>
      </c>
      <c r="S2467" s="2">
        <v>105.6343</v>
      </c>
      <c r="T2467" s="2">
        <v>261</v>
      </c>
      <c r="U2467" s="2">
        <v>0.52490999999999999</v>
      </c>
      <c r="V2467" s="2">
        <v>145</v>
      </c>
      <c r="W2467" s="2">
        <v>2009</v>
      </c>
    </row>
    <row r="2468" spans="1:23" ht="12.3" hidden="1" x14ac:dyDescent="0.4">
      <c r="A2468" s="2" t="s">
        <v>181</v>
      </c>
      <c r="B2468" s="2"/>
      <c r="C2468" s="2"/>
      <c r="D2468" s="2"/>
      <c r="E2468" s="2"/>
      <c r="F2468" s="2"/>
      <c r="G2468" s="2"/>
      <c r="H2468" s="2"/>
      <c r="I2468" s="2">
        <v>63.994799999999998</v>
      </c>
      <c r="J2468" s="2">
        <v>269</v>
      </c>
      <c r="K2468" s="2">
        <v>63.226300000000002</v>
      </c>
      <c r="L2468" s="2">
        <v>293</v>
      </c>
      <c r="M2468" s="2">
        <v>104.99460000000001</v>
      </c>
      <c r="N2468" s="2">
        <v>106</v>
      </c>
      <c r="O2468" s="2">
        <v>100.97</v>
      </c>
      <c r="P2468" s="2">
        <v>178</v>
      </c>
      <c r="Q2468" s="2">
        <v>99.292900000000003</v>
      </c>
      <c r="R2468" s="2">
        <v>117</v>
      </c>
      <c r="S2468" s="2">
        <v>100.1237</v>
      </c>
      <c r="T2468" s="2">
        <v>139</v>
      </c>
      <c r="U2468" s="2">
        <v>0.52417899999999995</v>
      </c>
      <c r="V2468" s="2">
        <v>146</v>
      </c>
      <c r="W2468" s="2">
        <v>2009</v>
      </c>
    </row>
    <row r="2469" spans="1:23" ht="12.3" hidden="1" x14ac:dyDescent="0.4">
      <c r="A2469" s="2" t="s">
        <v>175</v>
      </c>
      <c r="B2469" s="2"/>
      <c r="C2469" s="2"/>
      <c r="D2469" s="2"/>
      <c r="E2469" s="2"/>
      <c r="F2469" s="2"/>
      <c r="G2469" s="2"/>
      <c r="H2469" s="2"/>
      <c r="I2469" s="2">
        <v>63.606499999999997</v>
      </c>
      <c r="J2469" s="2">
        <v>278</v>
      </c>
      <c r="K2469" s="2">
        <v>63.286700000000003</v>
      </c>
      <c r="L2469" s="2">
        <v>289</v>
      </c>
      <c r="M2469" s="2">
        <v>102.8105</v>
      </c>
      <c r="N2469" s="2">
        <v>146</v>
      </c>
      <c r="O2469" s="2">
        <v>105.3313</v>
      </c>
      <c r="P2469" s="2">
        <v>97</v>
      </c>
      <c r="Q2469" s="2">
        <v>106.62350000000001</v>
      </c>
      <c r="R2469" s="2">
        <v>281</v>
      </c>
      <c r="S2469" s="2">
        <v>104.5449</v>
      </c>
      <c r="T2469" s="2">
        <v>236</v>
      </c>
      <c r="U2469" s="2">
        <v>0.52153000000000005</v>
      </c>
      <c r="V2469" s="2">
        <v>147</v>
      </c>
      <c r="W2469" s="2">
        <v>2009</v>
      </c>
    </row>
    <row r="2470" spans="1:23" ht="12.3" hidden="1" x14ac:dyDescent="0.4">
      <c r="A2470" s="2" t="s">
        <v>184</v>
      </c>
      <c r="B2470" s="2"/>
      <c r="C2470" s="2"/>
      <c r="D2470" s="2"/>
      <c r="E2470" s="2"/>
      <c r="F2470" s="2"/>
      <c r="G2470" s="2"/>
      <c r="H2470" s="2"/>
      <c r="I2470" s="2">
        <v>69.302599999999998</v>
      </c>
      <c r="J2470" s="2">
        <v>75</v>
      </c>
      <c r="K2470" s="2">
        <v>69.375399999999999</v>
      </c>
      <c r="L2470" s="2">
        <v>59</v>
      </c>
      <c r="M2470" s="2">
        <v>109.2397</v>
      </c>
      <c r="N2470" s="2">
        <v>41</v>
      </c>
      <c r="O2470" s="2">
        <v>107.6739</v>
      </c>
      <c r="P2470" s="2">
        <v>73</v>
      </c>
      <c r="Q2470" s="2">
        <v>106.3402</v>
      </c>
      <c r="R2470" s="2">
        <v>276</v>
      </c>
      <c r="S2470" s="2">
        <v>106.875</v>
      </c>
      <c r="T2470" s="2">
        <v>278</v>
      </c>
      <c r="U2470" s="2">
        <v>0.52139899999999995</v>
      </c>
      <c r="V2470" s="2">
        <v>148</v>
      </c>
      <c r="W2470" s="2">
        <v>2009</v>
      </c>
    </row>
    <row r="2471" spans="1:23" ht="12.3" hidden="1" x14ac:dyDescent="0.4">
      <c r="A2471" s="2" t="s">
        <v>276</v>
      </c>
      <c r="B2471" s="2"/>
      <c r="C2471" s="2"/>
      <c r="D2471" s="2"/>
      <c r="E2471" s="2"/>
      <c r="F2471" s="2"/>
      <c r="G2471" s="2"/>
      <c r="H2471" s="2"/>
      <c r="I2471" s="2">
        <v>68.801599999999993</v>
      </c>
      <c r="J2471" s="2">
        <v>89</v>
      </c>
      <c r="K2471" s="2">
        <v>67.3887</v>
      </c>
      <c r="L2471" s="2">
        <v>125</v>
      </c>
      <c r="M2471" s="2">
        <v>96.345399999999998</v>
      </c>
      <c r="N2471" s="2">
        <v>266</v>
      </c>
      <c r="O2471" s="2">
        <v>99.393199999999993</v>
      </c>
      <c r="P2471" s="2">
        <v>212</v>
      </c>
      <c r="Q2471" s="2">
        <v>98.316199999999995</v>
      </c>
      <c r="R2471" s="2">
        <v>98</v>
      </c>
      <c r="S2471" s="2">
        <v>98.691100000000006</v>
      </c>
      <c r="T2471" s="2">
        <v>107</v>
      </c>
      <c r="U2471" s="2">
        <v>0.52037100000000003</v>
      </c>
      <c r="V2471" s="2">
        <v>149</v>
      </c>
      <c r="W2471" s="2">
        <v>2009</v>
      </c>
    </row>
    <row r="2472" spans="1:23" ht="12.3" hidden="1" x14ac:dyDescent="0.4">
      <c r="A2472" s="2" t="s">
        <v>125</v>
      </c>
      <c r="B2472" s="2"/>
      <c r="C2472" s="2"/>
      <c r="D2472" s="2"/>
      <c r="E2472" s="2"/>
      <c r="F2472" s="2"/>
      <c r="G2472" s="2"/>
      <c r="H2472" s="2"/>
      <c r="I2472" s="2">
        <v>65.277600000000007</v>
      </c>
      <c r="J2472" s="2">
        <v>213</v>
      </c>
      <c r="K2472" s="2">
        <v>65.624099999999999</v>
      </c>
      <c r="L2472" s="2">
        <v>200</v>
      </c>
      <c r="M2472" s="2">
        <v>100.6044</v>
      </c>
      <c r="N2472" s="2">
        <v>182</v>
      </c>
      <c r="O2472" s="2">
        <v>98.310100000000006</v>
      </c>
      <c r="P2472" s="2">
        <v>229</v>
      </c>
      <c r="Q2472" s="2">
        <v>95.952600000000004</v>
      </c>
      <c r="R2472" s="2">
        <v>55</v>
      </c>
      <c r="S2472" s="2">
        <v>97.624799999999993</v>
      </c>
      <c r="T2472" s="2">
        <v>80</v>
      </c>
      <c r="U2472" s="2">
        <v>0.52010100000000004</v>
      </c>
      <c r="V2472" s="2">
        <v>150</v>
      </c>
      <c r="W2472" s="2">
        <v>2009</v>
      </c>
    </row>
    <row r="2473" spans="1:23" ht="12.3" hidden="1" x14ac:dyDescent="0.4">
      <c r="A2473" s="2" t="s">
        <v>122</v>
      </c>
      <c r="B2473" s="2"/>
      <c r="C2473" s="2"/>
      <c r="D2473" s="2"/>
      <c r="E2473" s="2"/>
      <c r="F2473" s="2"/>
      <c r="G2473" s="2"/>
      <c r="H2473" s="2"/>
      <c r="I2473" s="2">
        <v>66.912999999999997</v>
      </c>
      <c r="J2473" s="2">
        <v>144</v>
      </c>
      <c r="K2473" s="2">
        <v>67.831100000000006</v>
      </c>
      <c r="L2473" s="2">
        <v>108</v>
      </c>
      <c r="M2473" s="2">
        <v>100.3369</v>
      </c>
      <c r="N2473" s="2">
        <v>190</v>
      </c>
      <c r="O2473" s="2">
        <v>103.1692</v>
      </c>
      <c r="P2473" s="2">
        <v>136</v>
      </c>
      <c r="Q2473" s="2">
        <v>101.9252</v>
      </c>
      <c r="R2473" s="2">
        <v>190</v>
      </c>
      <c r="S2473" s="2">
        <v>102.571</v>
      </c>
      <c r="T2473" s="2">
        <v>185</v>
      </c>
      <c r="U2473" s="2">
        <v>0.51671100000000003</v>
      </c>
      <c r="V2473" s="2">
        <v>151</v>
      </c>
      <c r="W2473" s="2">
        <v>2009</v>
      </c>
    </row>
    <row r="2474" spans="1:23" ht="12.3" hidden="1" x14ac:dyDescent="0.4">
      <c r="A2474" s="2" t="s">
        <v>89</v>
      </c>
      <c r="B2474" s="2"/>
      <c r="C2474" s="2"/>
      <c r="D2474" s="2"/>
      <c r="E2474" s="2"/>
      <c r="F2474" s="2"/>
      <c r="G2474" s="2"/>
      <c r="H2474" s="2"/>
      <c r="I2474" s="2">
        <v>62.3489</v>
      </c>
      <c r="J2474" s="2">
        <v>308</v>
      </c>
      <c r="K2474" s="2">
        <v>63.050800000000002</v>
      </c>
      <c r="L2474" s="2">
        <v>299</v>
      </c>
      <c r="M2474" s="2">
        <v>99.994799999999998</v>
      </c>
      <c r="N2474" s="2">
        <v>195</v>
      </c>
      <c r="O2474" s="2">
        <v>100.673</v>
      </c>
      <c r="P2474" s="2">
        <v>189</v>
      </c>
      <c r="Q2474" s="2">
        <v>97.037499999999994</v>
      </c>
      <c r="R2474" s="2">
        <v>78</v>
      </c>
      <c r="S2474" s="2">
        <v>100.0958</v>
      </c>
      <c r="T2474" s="2">
        <v>138</v>
      </c>
      <c r="U2474" s="2">
        <v>0.51652399999999998</v>
      </c>
      <c r="V2474" s="2">
        <v>152</v>
      </c>
      <c r="W2474" s="2">
        <v>2009</v>
      </c>
    </row>
    <row r="2475" spans="1:23" ht="12.3" hidden="1" x14ac:dyDescent="0.4">
      <c r="A2475" s="2" t="s">
        <v>263</v>
      </c>
      <c r="B2475" s="2"/>
      <c r="C2475" s="2"/>
      <c r="D2475" s="2"/>
      <c r="E2475" s="2"/>
      <c r="F2475" s="2"/>
      <c r="G2475" s="2"/>
      <c r="H2475" s="2"/>
      <c r="I2475" s="2">
        <v>81.266800000000003</v>
      </c>
      <c r="J2475" s="2">
        <v>1</v>
      </c>
      <c r="K2475" s="2">
        <v>80.930700000000002</v>
      </c>
      <c r="L2475" s="2">
        <v>1</v>
      </c>
      <c r="M2475" s="2">
        <v>109.858</v>
      </c>
      <c r="N2475" s="2">
        <v>31</v>
      </c>
      <c r="O2475" s="2">
        <v>107.3661</v>
      </c>
      <c r="P2475" s="2">
        <v>76</v>
      </c>
      <c r="Q2475" s="2">
        <v>104.2208</v>
      </c>
      <c r="R2475" s="2">
        <v>237</v>
      </c>
      <c r="S2475" s="2">
        <v>106.75239999999999</v>
      </c>
      <c r="T2475" s="2">
        <v>276</v>
      </c>
      <c r="U2475" s="2">
        <v>0.51647299999999996</v>
      </c>
      <c r="V2475" s="2">
        <v>153</v>
      </c>
      <c r="W2475" s="2">
        <v>2009</v>
      </c>
    </row>
    <row r="2476" spans="1:23" ht="12.3" hidden="1" x14ac:dyDescent="0.4">
      <c r="A2476" s="2" t="s">
        <v>82</v>
      </c>
      <c r="B2476" s="2"/>
      <c r="C2476" s="2"/>
      <c r="D2476" s="2"/>
      <c r="E2476" s="2"/>
      <c r="F2476" s="2"/>
      <c r="G2476" s="2"/>
      <c r="H2476" s="2"/>
      <c r="I2476" s="2">
        <v>64.016099999999994</v>
      </c>
      <c r="J2476" s="2">
        <v>268</v>
      </c>
      <c r="K2476" s="2">
        <v>65.116</v>
      </c>
      <c r="L2476" s="2">
        <v>230</v>
      </c>
      <c r="M2476" s="2">
        <v>98.42</v>
      </c>
      <c r="N2476" s="2">
        <v>226</v>
      </c>
      <c r="O2476" s="2">
        <v>100.4872</v>
      </c>
      <c r="P2476" s="2">
        <v>193</v>
      </c>
      <c r="Q2476" s="2">
        <v>102.63849999999999</v>
      </c>
      <c r="R2476" s="2">
        <v>206</v>
      </c>
      <c r="S2476" s="2">
        <v>99.969700000000003</v>
      </c>
      <c r="T2476" s="2">
        <v>136</v>
      </c>
      <c r="U2476" s="2">
        <v>0.51484099999999999</v>
      </c>
      <c r="V2476" s="2">
        <v>154</v>
      </c>
      <c r="W2476" s="2">
        <v>2009</v>
      </c>
    </row>
    <row r="2477" spans="1:23" ht="12.3" hidden="1" x14ac:dyDescent="0.4">
      <c r="A2477" s="2" t="s">
        <v>182</v>
      </c>
      <c r="B2477" s="2"/>
      <c r="C2477" s="2"/>
      <c r="D2477" s="2"/>
      <c r="E2477" s="2"/>
      <c r="F2477" s="2"/>
      <c r="G2477" s="2"/>
      <c r="H2477" s="2"/>
      <c r="I2477" s="2">
        <v>69.189400000000006</v>
      </c>
      <c r="J2477" s="2">
        <v>78</v>
      </c>
      <c r="K2477" s="2">
        <v>68.584299999999999</v>
      </c>
      <c r="L2477" s="2">
        <v>82</v>
      </c>
      <c r="M2477" s="2">
        <v>103.569</v>
      </c>
      <c r="N2477" s="2">
        <v>131</v>
      </c>
      <c r="O2477" s="2">
        <v>105.343</v>
      </c>
      <c r="P2477" s="2">
        <v>96</v>
      </c>
      <c r="Q2477" s="2">
        <v>101.31950000000001</v>
      </c>
      <c r="R2477" s="2">
        <v>173</v>
      </c>
      <c r="S2477" s="2">
        <v>104.8463</v>
      </c>
      <c r="T2477" s="2">
        <v>245</v>
      </c>
      <c r="U2477" s="2">
        <v>0.51358499999999996</v>
      </c>
      <c r="V2477" s="2">
        <v>155</v>
      </c>
      <c r="W2477" s="2">
        <v>2009</v>
      </c>
    </row>
    <row r="2478" spans="1:23" ht="12.3" hidden="1" x14ac:dyDescent="0.4">
      <c r="A2478" s="2" t="s">
        <v>103</v>
      </c>
      <c r="B2478" s="2"/>
      <c r="C2478" s="2"/>
      <c r="D2478" s="2"/>
      <c r="E2478" s="2"/>
      <c r="F2478" s="2"/>
      <c r="G2478" s="2"/>
      <c r="H2478" s="2"/>
      <c r="I2478" s="2">
        <v>62.205500000000001</v>
      </c>
      <c r="J2478" s="2">
        <v>311</v>
      </c>
      <c r="K2478" s="2">
        <v>61.2438</v>
      </c>
      <c r="L2478" s="2">
        <v>323</v>
      </c>
      <c r="M2478" s="2">
        <v>94.990600000000001</v>
      </c>
      <c r="N2478" s="2">
        <v>279</v>
      </c>
      <c r="O2478" s="2">
        <v>99.530299999999997</v>
      </c>
      <c r="P2478" s="2">
        <v>209</v>
      </c>
      <c r="Q2478" s="2">
        <v>103.54219999999999</v>
      </c>
      <c r="R2478" s="2">
        <v>225</v>
      </c>
      <c r="S2478" s="2">
        <v>99.132999999999996</v>
      </c>
      <c r="T2478" s="2">
        <v>121</v>
      </c>
      <c r="U2478" s="2">
        <v>0.51149699999999998</v>
      </c>
      <c r="V2478" s="2">
        <v>156</v>
      </c>
      <c r="W2478" s="2">
        <v>2009</v>
      </c>
    </row>
    <row r="2479" spans="1:23" ht="12.3" hidden="1" x14ac:dyDescent="0.4">
      <c r="A2479" s="2" t="s">
        <v>337</v>
      </c>
      <c r="B2479" s="2"/>
      <c r="C2479" s="2"/>
      <c r="D2479" s="2"/>
      <c r="E2479" s="2"/>
      <c r="F2479" s="2"/>
      <c r="G2479" s="2"/>
      <c r="H2479" s="2"/>
      <c r="I2479" s="2">
        <v>69.743099999999998</v>
      </c>
      <c r="J2479" s="2">
        <v>64</v>
      </c>
      <c r="K2479" s="2">
        <v>68.829700000000003</v>
      </c>
      <c r="L2479" s="2">
        <v>73</v>
      </c>
      <c r="M2479" s="2">
        <v>106.3061</v>
      </c>
      <c r="N2479" s="2">
        <v>83</v>
      </c>
      <c r="O2479" s="2">
        <v>104.91549999999999</v>
      </c>
      <c r="P2479" s="2">
        <v>104</v>
      </c>
      <c r="Q2479" s="2">
        <v>99.357100000000003</v>
      </c>
      <c r="R2479" s="2">
        <v>118</v>
      </c>
      <c r="S2479" s="2">
        <v>104.5986</v>
      </c>
      <c r="T2479" s="2">
        <v>237</v>
      </c>
      <c r="U2479" s="2">
        <v>0.50869500000000001</v>
      </c>
      <c r="V2479" s="2">
        <v>157</v>
      </c>
      <c r="W2479" s="2">
        <v>2009</v>
      </c>
    </row>
    <row r="2480" spans="1:23" ht="12.3" x14ac:dyDescent="0.4">
      <c r="A2480" s="2" t="s">
        <v>232</v>
      </c>
      <c r="B2480" s="2">
        <v>11</v>
      </c>
      <c r="C2480" s="2"/>
      <c r="D2480" s="2"/>
      <c r="E2480" s="2"/>
      <c r="F2480" s="2"/>
      <c r="G2480" s="2"/>
      <c r="H2480" s="2"/>
      <c r="I2480" s="2">
        <v>66.816500000000005</v>
      </c>
      <c r="J2480" s="2">
        <v>165</v>
      </c>
      <c r="K2480" s="2">
        <v>67.738299999999995</v>
      </c>
      <c r="L2480" s="2">
        <v>123</v>
      </c>
      <c r="M2480" s="2">
        <v>106.3599</v>
      </c>
      <c r="N2480" s="2">
        <v>94</v>
      </c>
      <c r="O2480" s="2">
        <v>103.5669</v>
      </c>
      <c r="P2480" s="2">
        <v>146</v>
      </c>
      <c r="Q2480" s="2">
        <v>96.212100000000007</v>
      </c>
      <c r="R2480" s="2">
        <v>47</v>
      </c>
      <c r="S2480" s="2">
        <v>95.475899999999996</v>
      </c>
      <c r="T2480" s="2">
        <v>42</v>
      </c>
      <c r="U2480" s="2">
        <v>0.71818099999999996</v>
      </c>
      <c r="V2480" s="2">
        <v>82</v>
      </c>
      <c r="W2480" s="2">
        <v>2007</v>
      </c>
    </row>
    <row r="2481" spans="1:23" ht="12.3" hidden="1" x14ac:dyDescent="0.4">
      <c r="A2481" s="2" t="s">
        <v>197</v>
      </c>
      <c r="B2481" s="2"/>
      <c r="C2481" s="2"/>
      <c r="D2481" s="2"/>
      <c r="E2481" s="2"/>
      <c r="F2481" s="2"/>
      <c r="G2481" s="2"/>
      <c r="H2481" s="2"/>
      <c r="I2481" s="2">
        <v>65.684100000000001</v>
      </c>
      <c r="J2481" s="2">
        <v>197</v>
      </c>
      <c r="K2481" s="2">
        <v>65.731399999999994</v>
      </c>
      <c r="L2481" s="2">
        <v>198</v>
      </c>
      <c r="M2481" s="2">
        <v>104.2127</v>
      </c>
      <c r="N2481" s="2">
        <v>121</v>
      </c>
      <c r="O2481" s="2">
        <v>105.0039</v>
      </c>
      <c r="P2481" s="2">
        <v>103</v>
      </c>
      <c r="Q2481" s="2">
        <v>107.873</v>
      </c>
      <c r="R2481" s="2">
        <v>304</v>
      </c>
      <c r="S2481" s="2">
        <v>104.74</v>
      </c>
      <c r="T2481" s="2">
        <v>240</v>
      </c>
      <c r="U2481" s="2">
        <v>0.50723600000000002</v>
      </c>
      <c r="V2481" s="2">
        <v>159</v>
      </c>
      <c r="W2481" s="2">
        <v>2009</v>
      </c>
    </row>
    <row r="2482" spans="1:23" ht="12.3" hidden="1" x14ac:dyDescent="0.4">
      <c r="A2482" s="2" t="s">
        <v>94</v>
      </c>
      <c r="B2482" s="2"/>
      <c r="C2482" s="2"/>
      <c r="D2482" s="2"/>
      <c r="E2482" s="2"/>
      <c r="F2482" s="2"/>
      <c r="G2482" s="2"/>
      <c r="H2482" s="2"/>
      <c r="I2482" s="2">
        <v>63.430999999999997</v>
      </c>
      <c r="J2482" s="2">
        <v>284</v>
      </c>
      <c r="K2482" s="2">
        <v>63.456600000000002</v>
      </c>
      <c r="L2482" s="2">
        <v>285</v>
      </c>
      <c r="M2482" s="2">
        <v>100.5637</v>
      </c>
      <c r="N2482" s="2">
        <v>184</v>
      </c>
      <c r="O2482" s="2">
        <v>100.72329999999999</v>
      </c>
      <c r="P2482" s="2">
        <v>188</v>
      </c>
      <c r="Q2482" s="2">
        <v>99.566400000000002</v>
      </c>
      <c r="R2482" s="2">
        <v>125</v>
      </c>
      <c r="S2482" s="2">
        <v>100.5549</v>
      </c>
      <c r="T2482" s="2">
        <v>147</v>
      </c>
      <c r="U2482" s="2">
        <v>0.50481100000000001</v>
      </c>
      <c r="V2482" s="2">
        <v>160</v>
      </c>
      <c r="W2482" s="2">
        <v>2009</v>
      </c>
    </row>
    <row r="2483" spans="1:23" ht="12.3" x14ac:dyDescent="0.4">
      <c r="A2483" s="2" t="s">
        <v>138</v>
      </c>
      <c r="B2483" s="2">
        <v>14</v>
      </c>
      <c r="C2483" s="2"/>
      <c r="D2483" s="2"/>
      <c r="E2483" s="2"/>
      <c r="F2483" s="2"/>
      <c r="G2483" s="2"/>
      <c r="H2483" s="2"/>
      <c r="I2483" s="2">
        <v>66.974999999999994</v>
      </c>
      <c r="J2483" s="2">
        <v>159</v>
      </c>
      <c r="K2483" s="2">
        <v>67.290099999999995</v>
      </c>
      <c r="L2483" s="2">
        <v>139</v>
      </c>
      <c r="M2483" s="2">
        <v>106.4855</v>
      </c>
      <c r="N2483" s="2">
        <v>89</v>
      </c>
      <c r="O2483" s="2">
        <v>105.82689999999999</v>
      </c>
      <c r="P2483" s="2">
        <v>110</v>
      </c>
      <c r="Q2483" s="2">
        <v>97.073800000000006</v>
      </c>
      <c r="R2483" s="2">
        <v>63</v>
      </c>
      <c r="S2483" s="2">
        <v>97.717200000000005</v>
      </c>
      <c r="T2483" s="2">
        <v>65</v>
      </c>
      <c r="U2483" s="2">
        <v>0.71440199999999998</v>
      </c>
      <c r="V2483" s="2">
        <v>83</v>
      </c>
      <c r="W2483" s="2">
        <v>2007</v>
      </c>
    </row>
    <row r="2484" spans="1:23" ht="12.3" hidden="1" x14ac:dyDescent="0.4">
      <c r="A2484" s="2" t="s">
        <v>203</v>
      </c>
      <c r="B2484" s="2"/>
      <c r="C2484" s="2"/>
      <c r="D2484" s="2"/>
      <c r="E2484" s="2"/>
      <c r="F2484" s="2"/>
      <c r="G2484" s="2"/>
      <c r="H2484" s="2"/>
      <c r="I2484" s="2">
        <v>63.091000000000001</v>
      </c>
      <c r="J2484" s="2">
        <v>292</v>
      </c>
      <c r="K2484" s="2">
        <v>63.579700000000003</v>
      </c>
      <c r="L2484" s="2">
        <v>282</v>
      </c>
      <c r="M2484" s="2">
        <v>104.6234</v>
      </c>
      <c r="N2484" s="2">
        <v>113</v>
      </c>
      <c r="O2484" s="2">
        <v>103.5864</v>
      </c>
      <c r="P2484" s="2">
        <v>131</v>
      </c>
      <c r="Q2484" s="2">
        <v>101.0179</v>
      </c>
      <c r="R2484" s="2">
        <v>162</v>
      </c>
      <c r="S2484" s="2">
        <v>103.4606</v>
      </c>
      <c r="T2484" s="2">
        <v>211</v>
      </c>
      <c r="U2484" s="2">
        <v>0.50349299999999997</v>
      </c>
      <c r="V2484" s="2">
        <v>162</v>
      </c>
      <c r="W2484" s="2">
        <v>2009</v>
      </c>
    </row>
    <row r="2485" spans="1:23" ht="12.3" hidden="1" x14ac:dyDescent="0.4">
      <c r="A2485" s="2" t="s">
        <v>123</v>
      </c>
      <c r="B2485" s="2"/>
      <c r="C2485" s="2"/>
      <c r="D2485" s="2"/>
      <c r="E2485" s="2"/>
      <c r="F2485" s="2"/>
      <c r="G2485" s="2"/>
      <c r="H2485" s="2"/>
      <c r="I2485" s="2">
        <v>66.213800000000006</v>
      </c>
      <c r="J2485" s="2">
        <v>172</v>
      </c>
      <c r="K2485" s="2">
        <v>65.259699999999995</v>
      </c>
      <c r="L2485" s="2">
        <v>225</v>
      </c>
      <c r="M2485" s="2">
        <v>94.977800000000002</v>
      </c>
      <c r="N2485" s="2">
        <v>280</v>
      </c>
      <c r="O2485" s="2">
        <v>95.645600000000002</v>
      </c>
      <c r="P2485" s="2">
        <v>270</v>
      </c>
      <c r="Q2485" s="2">
        <v>99.677700000000002</v>
      </c>
      <c r="R2485" s="2">
        <v>127</v>
      </c>
      <c r="S2485" s="2">
        <v>95.594700000000003</v>
      </c>
      <c r="T2485" s="2">
        <v>54</v>
      </c>
      <c r="U2485" s="2">
        <v>0.50153099999999995</v>
      </c>
      <c r="V2485" s="2">
        <v>163</v>
      </c>
      <c r="W2485" s="2">
        <v>2009</v>
      </c>
    </row>
    <row r="2486" spans="1:23" ht="12.3" x14ac:dyDescent="0.4">
      <c r="A2486" s="2" t="s">
        <v>171</v>
      </c>
      <c r="B2486" s="2">
        <v>14</v>
      </c>
      <c r="C2486" s="2"/>
      <c r="D2486" s="2"/>
      <c r="E2486" s="2"/>
      <c r="F2486" s="2"/>
      <c r="G2486" s="2"/>
      <c r="H2486" s="2"/>
      <c r="I2486" s="2">
        <v>62.1143</v>
      </c>
      <c r="J2486" s="2">
        <v>308</v>
      </c>
      <c r="K2486" s="2">
        <v>63.636200000000002</v>
      </c>
      <c r="L2486" s="2">
        <v>288</v>
      </c>
      <c r="M2486" s="2">
        <v>103.03440000000001</v>
      </c>
      <c r="N2486" s="2">
        <v>155</v>
      </c>
      <c r="O2486" s="2">
        <v>103.1979</v>
      </c>
      <c r="P2486" s="2">
        <v>150</v>
      </c>
      <c r="Q2486" s="2">
        <v>98.255200000000002</v>
      </c>
      <c r="R2486" s="2">
        <v>77</v>
      </c>
      <c r="S2486" s="2">
        <v>95.635300000000001</v>
      </c>
      <c r="T2486" s="2">
        <v>44</v>
      </c>
      <c r="U2486" s="2">
        <v>0.70583399999999996</v>
      </c>
      <c r="V2486" s="2">
        <v>85</v>
      </c>
      <c r="W2486" s="2">
        <v>2007</v>
      </c>
    </row>
    <row r="2487" spans="1:23" ht="12.3" hidden="1" x14ac:dyDescent="0.4">
      <c r="A2487" s="2" t="s">
        <v>347</v>
      </c>
      <c r="B2487" s="2"/>
      <c r="C2487" s="2"/>
      <c r="D2487" s="2"/>
      <c r="E2487" s="2"/>
      <c r="F2487" s="2"/>
      <c r="G2487" s="2"/>
      <c r="H2487" s="2"/>
      <c r="I2487" s="2">
        <v>61.666400000000003</v>
      </c>
      <c r="J2487" s="2">
        <v>319</v>
      </c>
      <c r="K2487" s="2">
        <v>60.248600000000003</v>
      </c>
      <c r="L2487" s="2">
        <v>332</v>
      </c>
      <c r="M2487" s="2">
        <v>101.03919999999999</v>
      </c>
      <c r="N2487" s="2">
        <v>175</v>
      </c>
      <c r="O2487" s="2">
        <v>99.9131</v>
      </c>
      <c r="P2487" s="2">
        <v>204</v>
      </c>
      <c r="Q2487" s="2">
        <v>98.267300000000006</v>
      </c>
      <c r="R2487" s="2">
        <v>97</v>
      </c>
      <c r="S2487" s="2">
        <v>100.2336</v>
      </c>
      <c r="T2487" s="2">
        <v>141</v>
      </c>
      <c r="U2487" s="2">
        <v>0.49079400000000001</v>
      </c>
      <c r="V2487" s="2">
        <v>165</v>
      </c>
      <c r="W2487" s="2">
        <v>2009</v>
      </c>
    </row>
    <row r="2488" spans="1:23" ht="12.3" hidden="1" x14ac:dyDescent="0.4">
      <c r="A2488" s="2" t="s">
        <v>356</v>
      </c>
      <c r="B2488" s="2"/>
      <c r="C2488" s="2"/>
      <c r="D2488" s="2"/>
      <c r="E2488" s="2"/>
      <c r="F2488" s="2"/>
      <c r="G2488" s="2"/>
      <c r="H2488" s="2"/>
      <c r="I2488" s="2">
        <v>71.009299999999996</v>
      </c>
      <c r="J2488" s="2">
        <v>33</v>
      </c>
      <c r="K2488" s="2">
        <v>70.772300000000001</v>
      </c>
      <c r="L2488" s="2">
        <v>26</v>
      </c>
      <c r="M2488" s="2">
        <v>108.9088</v>
      </c>
      <c r="N2488" s="2">
        <v>48</v>
      </c>
      <c r="O2488" s="2">
        <v>106.9401</v>
      </c>
      <c r="P2488" s="2">
        <v>81</v>
      </c>
      <c r="Q2488" s="2">
        <v>107.955</v>
      </c>
      <c r="R2488" s="2">
        <v>305</v>
      </c>
      <c r="S2488" s="2">
        <v>107.2954</v>
      </c>
      <c r="T2488" s="2">
        <v>285</v>
      </c>
      <c r="U2488" s="2">
        <v>0.49046499999999998</v>
      </c>
      <c r="V2488" s="2">
        <v>166</v>
      </c>
      <c r="W2488" s="2">
        <v>2009</v>
      </c>
    </row>
    <row r="2489" spans="1:23" ht="12.3" hidden="1" x14ac:dyDescent="0.4">
      <c r="A2489" s="2" t="s">
        <v>161</v>
      </c>
      <c r="B2489" s="2"/>
      <c r="C2489" s="2"/>
      <c r="D2489" s="2"/>
      <c r="E2489" s="2"/>
      <c r="F2489" s="2"/>
      <c r="G2489" s="2"/>
      <c r="H2489" s="2"/>
      <c r="I2489" s="2">
        <v>65.537000000000006</v>
      </c>
      <c r="J2489" s="2">
        <v>203</v>
      </c>
      <c r="K2489" s="2">
        <v>65.689400000000006</v>
      </c>
      <c r="L2489" s="2">
        <v>199</v>
      </c>
      <c r="M2489" s="2">
        <v>96.833399999999997</v>
      </c>
      <c r="N2489" s="2">
        <v>253</v>
      </c>
      <c r="O2489" s="2">
        <v>97.703299999999999</v>
      </c>
      <c r="P2489" s="2">
        <v>238</v>
      </c>
      <c r="Q2489" s="2">
        <v>99.982799999999997</v>
      </c>
      <c r="R2489" s="2">
        <v>138</v>
      </c>
      <c r="S2489" s="2">
        <v>98.034499999999994</v>
      </c>
      <c r="T2489" s="2">
        <v>87</v>
      </c>
      <c r="U2489" s="2">
        <v>0.49027100000000001</v>
      </c>
      <c r="V2489" s="2">
        <v>167</v>
      </c>
      <c r="W2489" s="2">
        <v>2009</v>
      </c>
    </row>
    <row r="2490" spans="1:23" ht="12.3" hidden="1" x14ac:dyDescent="0.4">
      <c r="A2490" s="2" t="s">
        <v>304</v>
      </c>
      <c r="B2490" s="2"/>
      <c r="C2490" s="2"/>
      <c r="D2490" s="2"/>
      <c r="E2490" s="2"/>
      <c r="F2490" s="2"/>
      <c r="G2490" s="2"/>
      <c r="H2490" s="2"/>
      <c r="I2490" s="2">
        <v>63.398299999999999</v>
      </c>
      <c r="J2490" s="2">
        <v>287</v>
      </c>
      <c r="K2490" s="2">
        <v>63.116599999999998</v>
      </c>
      <c r="L2490" s="2">
        <v>297</v>
      </c>
      <c r="M2490" s="2">
        <v>102.71599999999999</v>
      </c>
      <c r="N2490" s="2">
        <v>148</v>
      </c>
      <c r="O2490" s="2">
        <v>102.6742</v>
      </c>
      <c r="P2490" s="2">
        <v>143</v>
      </c>
      <c r="Q2490" s="2">
        <v>103.3779</v>
      </c>
      <c r="R2490" s="2">
        <v>223</v>
      </c>
      <c r="S2490" s="2">
        <v>103.16679999999999</v>
      </c>
      <c r="T2490" s="2">
        <v>203</v>
      </c>
      <c r="U2490" s="2">
        <v>0.48624400000000001</v>
      </c>
      <c r="V2490" s="2">
        <v>168</v>
      </c>
      <c r="W2490" s="2">
        <v>2009</v>
      </c>
    </row>
    <row r="2491" spans="1:23" ht="12.3" hidden="1" x14ac:dyDescent="0.4">
      <c r="A2491" s="2" t="s">
        <v>104</v>
      </c>
      <c r="B2491" s="2"/>
      <c r="C2491" s="2"/>
      <c r="D2491" s="2"/>
      <c r="E2491" s="2"/>
      <c r="F2491" s="2"/>
      <c r="G2491" s="2"/>
      <c r="H2491" s="2"/>
      <c r="I2491" s="2">
        <v>65.549099999999996</v>
      </c>
      <c r="J2491" s="2">
        <v>202</v>
      </c>
      <c r="K2491" s="2">
        <v>65.871099999999998</v>
      </c>
      <c r="L2491" s="2">
        <v>190</v>
      </c>
      <c r="M2491" s="2">
        <v>99.958399999999997</v>
      </c>
      <c r="N2491" s="2">
        <v>197</v>
      </c>
      <c r="O2491" s="2">
        <v>98.342399999999998</v>
      </c>
      <c r="P2491" s="2">
        <v>228</v>
      </c>
      <c r="Q2491" s="2">
        <v>99.679900000000004</v>
      </c>
      <c r="R2491" s="2">
        <v>128</v>
      </c>
      <c r="S2491" s="2">
        <v>98.834299999999999</v>
      </c>
      <c r="T2491" s="2">
        <v>112</v>
      </c>
      <c r="U2491" s="2">
        <v>0.48565700000000001</v>
      </c>
      <c r="V2491" s="2">
        <v>169</v>
      </c>
      <c r="W2491" s="2">
        <v>2009</v>
      </c>
    </row>
    <row r="2492" spans="1:23" ht="12.3" hidden="1" x14ac:dyDescent="0.4">
      <c r="A2492" s="2" t="s">
        <v>221</v>
      </c>
      <c r="B2492" s="2"/>
      <c r="C2492" s="2"/>
      <c r="D2492" s="2"/>
      <c r="E2492" s="2"/>
      <c r="F2492" s="2"/>
      <c r="G2492" s="2"/>
      <c r="H2492" s="2"/>
      <c r="I2492" s="2">
        <v>65.723799999999997</v>
      </c>
      <c r="J2492" s="2">
        <v>195</v>
      </c>
      <c r="K2492" s="2">
        <v>64.485900000000001</v>
      </c>
      <c r="L2492" s="2">
        <v>257</v>
      </c>
      <c r="M2492" s="2">
        <v>99.593800000000002</v>
      </c>
      <c r="N2492" s="2">
        <v>205</v>
      </c>
      <c r="O2492" s="2">
        <v>102.09139999999999</v>
      </c>
      <c r="P2492" s="2">
        <v>153</v>
      </c>
      <c r="Q2492" s="2">
        <v>102.1026</v>
      </c>
      <c r="R2492" s="2">
        <v>195</v>
      </c>
      <c r="S2492" s="2">
        <v>102.64879999999999</v>
      </c>
      <c r="T2492" s="2">
        <v>187</v>
      </c>
      <c r="U2492" s="2">
        <v>0.48435</v>
      </c>
      <c r="V2492" s="2">
        <v>170</v>
      </c>
      <c r="W2492" s="2">
        <v>2009</v>
      </c>
    </row>
    <row r="2493" spans="1:23" ht="12.3" hidden="1" x14ac:dyDescent="0.4">
      <c r="A2493" s="2" t="s">
        <v>243</v>
      </c>
      <c r="B2493" s="2"/>
      <c r="C2493" s="2"/>
      <c r="D2493" s="2"/>
      <c r="E2493" s="2"/>
      <c r="F2493" s="2"/>
      <c r="G2493" s="2"/>
      <c r="H2493" s="2"/>
      <c r="I2493" s="2">
        <v>67.8048</v>
      </c>
      <c r="J2493" s="2">
        <v>115</v>
      </c>
      <c r="K2493" s="2">
        <v>67.930899999999994</v>
      </c>
      <c r="L2493" s="2">
        <v>103</v>
      </c>
      <c r="M2493" s="2">
        <v>96.517899999999997</v>
      </c>
      <c r="N2493" s="2">
        <v>263</v>
      </c>
      <c r="O2493" s="2">
        <v>96.279200000000003</v>
      </c>
      <c r="P2493" s="2">
        <v>258</v>
      </c>
      <c r="Q2493" s="2">
        <v>96.6006</v>
      </c>
      <c r="R2493" s="2">
        <v>69</v>
      </c>
      <c r="S2493" s="2">
        <v>96.840699999999998</v>
      </c>
      <c r="T2493" s="2">
        <v>67</v>
      </c>
      <c r="U2493" s="2">
        <v>0.483288</v>
      </c>
      <c r="V2493" s="2">
        <v>171</v>
      </c>
      <c r="W2493" s="2">
        <v>2009</v>
      </c>
    </row>
    <row r="2494" spans="1:23" ht="12.3" hidden="1" x14ac:dyDescent="0.4">
      <c r="A2494" s="2" t="s">
        <v>234</v>
      </c>
      <c r="B2494" s="2"/>
      <c r="C2494" s="2"/>
      <c r="D2494" s="2"/>
      <c r="E2494" s="2"/>
      <c r="F2494" s="2"/>
      <c r="G2494" s="2"/>
      <c r="H2494" s="2"/>
      <c r="I2494" s="2">
        <v>62.222200000000001</v>
      </c>
      <c r="J2494" s="2">
        <v>310</v>
      </c>
      <c r="K2494" s="2">
        <v>62.687100000000001</v>
      </c>
      <c r="L2494" s="2">
        <v>306</v>
      </c>
      <c r="M2494" s="2">
        <v>104.83069999999999</v>
      </c>
      <c r="N2494" s="2">
        <v>108</v>
      </c>
      <c r="O2494" s="2">
        <v>102.7726</v>
      </c>
      <c r="P2494" s="2">
        <v>142</v>
      </c>
      <c r="Q2494" s="2">
        <v>103.3429</v>
      </c>
      <c r="R2494" s="2">
        <v>222</v>
      </c>
      <c r="S2494" s="2">
        <v>103.38720000000001</v>
      </c>
      <c r="T2494" s="2">
        <v>210</v>
      </c>
      <c r="U2494" s="2">
        <v>0.48286400000000002</v>
      </c>
      <c r="V2494" s="2">
        <v>172</v>
      </c>
      <c r="W2494" s="2">
        <v>2009</v>
      </c>
    </row>
    <row r="2495" spans="1:23" ht="12.3" hidden="1" x14ac:dyDescent="0.4">
      <c r="A2495" s="2" t="s">
        <v>41</v>
      </c>
      <c r="B2495" s="2"/>
      <c r="C2495" s="2"/>
      <c r="D2495" s="2"/>
      <c r="E2495" s="2"/>
      <c r="F2495" s="2"/>
      <c r="G2495" s="2"/>
      <c r="H2495" s="2"/>
      <c r="I2495" s="2">
        <v>68.642200000000003</v>
      </c>
      <c r="J2495" s="2">
        <v>96</v>
      </c>
      <c r="K2495" s="2">
        <v>69.025800000000004</v>
      </c>
      <c r="L2495" s="2">
        <v>66</v>
      </c>
      <c r="M2495" s="2">
        <v>97.242500000000007</v>
      </c>
      <c r="N2495" s="2">
        <v>245</v>
      </c>
      <c r="O2495" s="2">
        <v>102.3336</v>
      </c>
      <c r="P2495" s="2">
        <v>149</v>
      </c>
      <c r="Q2495" s="2">
        <v>110.4226</v>
      </c>
      <c r="R2495" s="2">
        <v>332</v>
      </c>
      <c r="S2495" s="2">
        <v>102.9753</v>
      </c>
      <c r="T2495" s="2">
        <v>194</v>
      </c>
      <c r="U2495" s="2">
        <v>0.48203600000000002</v>
      </c>
      <c r="V2495" s="2">
        <v>173</v>
      </c>
      <c r="W2495" s="2">
        <v>2009</v>
      </c>
    </row>
    <row r="2496" spans="1:23" ht="12.3" hidden="1" x14ac:dyDescent="0.4">
      <c r="A2496" s="2" t="s">
        <v>324</v>
      </c>
      <c r="B2496" s="2"/>
      <c r="C2496" s="2"/>
      <c r="D2496" s="2"/>
      <c r="E2496" s="2"/>
      <c r="F2496" s="2"/>
      <c r="G2496" s="2"/>
      <c r="H2496" s="2"/>
      <c r="I2496" s="2">
        <v>61.542900000000003</v>
      </c>
      <c r="J2496" s="2">
        <v>321</v>
      </c>
      <c r="K2496" s="2">
        <v>60.589399999999998</v>
      </c>
      <c r="L2496" s="2">
        <v>331</v>
      </c>
      <c r="M2496" s="2">
        <v>114.15730000000001</v>
      </c>
      <c r="N2496" s="2">
        <v>7</v>
      </c>
      <c r="O2496" s="2">
        <v>109.9482</v>
      </c>
      <c r="P2496" s="2">
        <v>44</v>
      </c>
      <c r="Q2496" s="2">
        <v>108.35420000000001</v>
      </c>
      <c r="R2496" s="2">
        <v>310</v>
      </c>
      <c r="S2496" s="2">
        <v>110.64830000000001</v>
      </c>
      <c r="T2496" s="2">
        <v>318</v>
      </c>
      <c r="U2496" s="2">
        <v>0.48176000000000002</v>
      </c>
      <c r="V2496" s="2">
        <v>174</v>
      </c>
      <c r="W2496" s="2">
        <v>2009</v>
      </c>
    </row>
    <row r="2497" spans="1:23" ht="12.3" hidden="1" x14ac:dyDescent="0.4">
      <c r="A2497" s="2" t="s">
        <v>178</v>
      </c>
      <c r="B2497" s="2"/>
      <c r="C2497" s="2"/>
      <c r="D2497" s="2"/>
      <c r="E2497" s="2"/>
      <c r="F2497" s="2"/>
      <c r="G2497" s="2"/>
      <c r="H2497" s="2"/>
      <c r="I2497" s="2">
        <v>65.168199999999999</v>
      </c>
      <c r="J2497" s="2">
        <v>220</v>
      </c>
      <c r="K2497" s="2">
        <v>65.409199999999998</v>
      </c>
      <c r="L2497" s="2">
        <v>215</v>
      </c>
      <c r="M2497" s="2">
        <v>98.858900000000006</v>
      </c>
      <c r="N2497" s="2">
        <v>216</v>
      </c>
      <c r="O2497" s="2">
        <v>97.7577</v>
      </c>
      <c r="P2497" s="2">
        <v>236</v>
      </c>
      <c r="Q2497" s="2">
        <v>94.692099999999996</v>
      </c>
      <c r="R2497" s="2">
        <v>36</v>
      </c>
      <c r="S2497" s="2">
        <v>98.478300000000004</v>
      </c>
      <c r="T2497" s="2">
        <v>97</v>
      </c>
      <c r="U2497" s="2">
        <v>0.47889700000000002</v>
      </c>
      <c r="V2497" s="2">
        <v>175</v>
      </c>
      <c r="W2497" s="2">
        <v>2009</v>
      </c>
    </row>
    <row r="2498" spans="1:23" ht="12.3" hidden="1" x14ac:dyDescent="0.4">
      <c r="A2498" s="2" t="s">
        <v>179</v>
      </c>
      <c r="B2498" s="2"/>
      <c r="C2498" s="2"/>
      <c r="D2498" s="2"/>
      <c r="E2498" s="2"/>
      <c r="F2498" s="2"/>
      <c r="G2498" s="2"/>
      <c r="H2498" s="2"/>
      <c r="I2498" s="2">
        <v>62.566099999999999</v>
      </c>
      <c r="J2498" s="2">
        <v>301</v>
      </c>
      <c r="K2498" s="2">
        <v>62.654400000000003</v>
      </c>
      <c r="L2498" s="2">
        <v>307</v>
      </c>
      <c r="M2498" s="2">
        <v>105.16679999999999</v>
      </c>
      <c r="N2498" s="2">
        <v>102</v>
      </c>
      <c r="O2498" s="2">
        <v>102.43389999999999</v>
      </c>
      <c r="P2498" s="2">
        <v>148</v>
      </c>
      <c r="Q2498" s="2">
        <v>102.71</v>
      </c>
      <c r="R2498" s="2">
        <v>207</v>
      </c>
      <c r="S2498" s="2">
        <v>103.3085</v>
      </c>
      <c r="T2498" s="2">
        <v>207</v>
      </c>
      <c r="U2498" s="2">
        <v>0.47557700000000003</v>
      </c>
      <c r="V2498" s="2">
        <v>176</v>
      </c>
      <c r="W2498" s="2">
        <v>2009</v>
      </c>
    </row>
    <row r="2499" spans="1:23" ht="12.3" hidden="1" x14ac:dyDescent="0.4">
      <c r="A2499" s="2" t="s">
        <v>336</v>
      </c>
      <c r="B2499" s="2"/>
      <c r="C2499" s="2"/>
      <c r="D2499" s="2"/>
      <c r="E2499" s="2"/>
      <c r="F2499" s="2"/>
      <c r="G2499" s="2"/>
      <c r="H2499" s="2"/>
      <c r="I2499" s="2">
        <v>63.1783</v>
      </c>
      <c r="J2499" s="2">
        <v>290</v>
      </c>
      <c r="K2499" s="2">
        <v>64.010199999999998</v>
      </c>
      <c r="L2499" s="2">
        <v>269</v>
      </c>
      <c r="M2499" s="2">
        <v>98.885599999999997</v>
      </c>
      <c r="N2499" s="2">
        <v>215</v>
      </c>
      <c r="O2499" s="2">
        <v>97.285399999999996</v>
      </c>
      <c r="P2499" s="2">
        <v>241</v>
      </c>
      <c r="Q2499" s="2">
        <v>94.705299999999994</v>
      </c>
      <c r="R2499" s="2">
        <v>37</v>
      </c>
      <c r="S2499" s="2">
        <v>98.525599999999997</v>
      </c>
      <c r="T2499" s="2">
        <v>101</v>
      </c>
      <c r="U2499" s="2">
        <v>0.46364499999999997</v>
      </c>
      <c r="V2499" s="2">
        <v>177</v>
      </c>
      <c r="W2499" s="2">
        <v>2009</v>
      </c>
    </row>
    <row r="2500" spans="1:23" ht="12.3" hidden="1" x14ac:dyDescent="0.4">
      <c r="A2500" s="2" t="s">
        <v>133</v>
      </c>
      <c r="B2500" s="2"/>
      <c r="C2500" s="2"/>
      <c r="D2500" s="2"/>
      <c r="E2500" s="2"/>
      <c r="F2500" s="2"/>
      <c r="G2500" s="2"/>
      <c r="H2500" s="2"/>
      <c r="I2500" s="2">
        <v>62.549199999999999</v>
      </c>
      <c r="J2500" s="2">
        <v>302</v>
      </c>
      <c r="K2500" s="2">
        <v>63.152200000000001</v>
      </c>
      <c r="L2500" s="2">
        <v>295</v>
      </c>
      <c r="M2500" s="2">
        <v>95.888199999999998</v>
      </c>
      <c r="N2500" s="2">
        <v>271</v>
      </c>
      <c r="O2500" s="2">
        <v>96.238799999999998</v>
      </c>
      <c r="P2500" s="2">
        <v>259</v>
      </c>
      <c r="Q2500" s="2">
        <v>98.323499999999996</v>
      </c>
      <c r="R2500" s="2">
        <v>99</v>
      </c>
      <c r="S2500" s="2">
        <v>97.483000000000004</v>
      </c>
      <c r="T2500" s="2">
        <v>75</v>
      </c>
      <c r="U2500" s="2">
        <v>0.46313700000000002</v>
      </c>
      <c r="V2500" s="2">
        <v>178</v>
      </c>
      <c r="W2500" s="2">
        <v>2009</v>
      </c>
    </row>
    <row r="2501" spans="1:23" ht="12.3" hidden="1" x14ac:dyDescent="0.4">
      <c r="A2501" s="2" t="s">
        <v>139</v>
      </c>
      <c r="B2501" s="2"/>
      <c r="C2501" s="2"/>
      <c r="D2501" s="2"/>
      <c r="E2501" s="2"/>
      <c r="F2501" s="2"/>
      <c r="G2501" s="2"/>
      <c r="H2501" s="2"/>
      <c r="I2501" s="2">
        <v>66.705399999999997</v>
      </c>
      <c r="J2501" s="2">
        <v>152</v>
      </c>
      <c r="K2501" s="2">
        <v>66.514499999999998</v>
      </c>
      <c r="L2501" s="2">
        <v>161</v>
      </c>
      <c r="M2501" s="2">
        <v>96.686700000000002</v>
      </c>
      <c r="N2501" s="2">
        <v>257</v>
      </c>
      <c r="O2501" s="2">
        <v>95.815100000000001</v>
      </c>
      <c r="P2501" s="2">
        <v>265</v>
      </c>
      <c r="Q2501" s="2">
        <v>95.9255</v>
      </c>
      <c r="R2501" s="2">
        <v>54</v>
      </c>
      <c r="S2501" s="2">
        <v>97.073999999999998</v>
      </c>
      <c r="T2501" s="2">
        <v>69</v>
      </c>
      <c r="U2501" s="2">
        <v>0.46254200000000001</v>
      </c>
      <c r="V2501" s="2">
        <v>179</v>
      </c>
      <c r="W2501" s="2">
        <v>2009</v>
      </c>
    </row>
    <row r="2502" spans="1:23" ht="12.3" hidden="1" x14ac:dyDescent="0.4">
      <c r="A2502" s="2" t="s">
        <v>188</v>
      </c>
      <c r="B2502" s="2"/>
      <c r="C2502" s="2"/>
      <c r="D2502" s="2"/>
      <c r="E2502" s="2"/>
      <c r="F2502" s="2"/>
      <c r="G2502" s="2"/>
      <c r="H2502" s="2"/>
      <c r="I2502" s="2">
        <v>66.727400000000003</v>
      </c>
      <c r="J2502" s="2">
        <v>150</v>
      </c>
      <c r="K2502" s="2">
        <v>67.096000000000004</v>
      </c>
      <c r="L2502" s="2">
        <v>137</v>
      </c>
      <c r="M2502" s="2">
        <v>103.5384</v>
      </c>
      <c r="N2502" s="2">
        <v>132</v>
      </c>
      <c r="O2502" s="2">
        <v>102.79389999999999</v>
      </c>
      <c r="P2502" s="2">
        <v>140</v>
      </c>
      <c r="Q2502" s="2">
        <v>105.25830000000001</v>
      </c>
      <c r="R2502" s="2">
        <v>256</v>
      </c>
      <c r="S2502" s="2">
        <v>104.2054</v>
      </c>
      <c r="T2502" s="2">
        <v>226</v>
      </c>
      <c r="U2502" s="2">
        <v>0.46087099999999998</v>
      </c>
      <c r="V2502" s="2">
        <v>180</v>
      </c>
      <c r="W2502" s="2">
        <v>2009</v>
      </c>
    </row>
    <row r="2503" spans="1:23" ht="12.3" hidden="1" x14ac:dyDescent="0.4">
      <c r="A2503" s="2" t="s">
        <v>157</v>
      </c>
      <c r="B2503" s="2"/>
      <c r="C2503" s="2"/>
      <c r="D2503" s="2"/>
      <c r="E2503" s="2"/>
      <c r="F2503" s="2"/>
      <c r="G2503" s="2"/>
      <c r="H2503" s="2"/>
      <c r="I2503" s="2">
        <v>66.684899999999999</v>
      </c>
      <c r="J2503" s="2">
        <v>153</v>
      </c>
      <c r="K2503" s="2">
        <v>67.581900000000005</v>
      </c>
      <c r="L2503" s="2">
        <v>117</v>
      </c>
      <c r="M2503" s="2">
        <v>102.18729999999999</v>
      </c>
      <c r="N2503" s="2">
        <v>159</v>
      </c>
      <c r="O2503" s="2">
        <v>106.1396</v>
      </c>
      <c r="P2503" s="2">
        <v>92</v>
      </c>
      <c r="Q2503" s="2">
        <v>109.5342</v>
      </c>
      <c r="R2503" s="2">
        <v>324</v>
      </c>
      <c r="S2503" s="2">
        <v>107.62430000000001</v>
      </c>
      <c r="T2503" s="2">
        <v>290</v>
      </c>
      <c r="U2503" s="2">
        <v>0.460148</v>
      </c>
      <c r="V2503" s="2">
        <v>181</v>
      </c>
      <c r="W2503" s="2">
        <v>2009</v>
      </c>
    </row>
    <row r="2504" spans="1:23" ht="12.3" hidden="1" x14ac:dyDescent="0.4">
      <c r="A2504" s="2" t="s">
        <v>316</v>
      </c>
      <c r="B2504" s="2"/>
      <c r="C2504" s="2"/>
      <c r="D2504" s="2"/>
      <c r="E2504" s="2"/>
      <c r="F2504" s="2"/>
      <c r="G2504" s="2"/>
      <c r="H2504" s="2"/>
      <c r="I2504" s="2">
        <v>68.777500000000003</v>
      </c>
      <c r="J2504" s="2">
        <v>90</v>
      </c>
      <c r="K2504" s="2">
        <v>69.068299999999994</v>
      </c>
      <c r="L2504" s="2">
        <v>64</v>
      </c>
      <c r="M2504" s="2">
        <v>106.1028</v>
      </c>
      <c r="N2504" s="2">
        <v>86</v>
      </c>
      <c r="O2504" s="2">
        <v>102.90049999999999</v>
      </c>
      <c r="P2504" s="2">
        <v>138</v>
      </c>
      <c r="Q2504" s="2">
        <v>100.5984</v>
      </c>
      <c r="R2504" s="2">
        <v>153</v>
      </c>
      <c r="S2504" s="2">
        <v>104.3442</v>
      </c>
      <c r="T2504" s="2">
        <v>233</v>
      </c>
      <c r="U2504" s="2">
        <v>0.46003100000000002</v>
      </c>
      <c r="V2504" s="2">
        <v>182</v>
      </c>
      <c r="W2504" s="2">
        <v>2009</v>
      </c>
    </row>
    <row r="2505" spans="1:23" ht="12.3" hidden="1" x14ac:dyDescent="0.4">
      <c r="A2505" s="2" t="s">
        <v>199</v>
      </c>
      <c r="B2505" s="2"/>
      <c r="C2505" s="2"/>
      <c r="D2505" s="2"/>
      <c r="E2505" s="2"/>
      <c r="F2505" s="2"/>
      <c r="G2505" s="2"/>
      <c r="H2505" s="2"/>
      <c r="I2505" s="2">
        <v>61.369900000000001</v>
      </c>
      <c r="J2505" s="2">
        <v>324</v>
      </c>
      <c r="K2505" s="2">
        <v>62.439</v>
      </c>
      <c r="L2505" s="2">
        <v>311</v>
      </c>
      <c r="M2505" s="2">
        <v>103.7629</v>
      </c>
      <c r="N2505" s="2">
        <v>127</v>
      </c>
      <c r="O2505" s="2">
        <v>101.6563</v>
      </c>
      <c r="P2505" s="2">
        <v>159</v>
      </c>
      <c r="Q2505" s="2">
        <v>104.315</v>
      </c>
      <c r="R2505" s="2">
        <v>240</v>
      </c>
      <c r="S2505" s="2">
        <v>103.1717</v>
      </c>
      <c r="T2505" s="2">
        <v>204</v>
      </c>
      <c r="U2505" s="2">
        <v>0.45756200000000002</v>
      </c>
      <c r="V2505" s="2">
        <v>183</v>
      </c>
      <c r="W2505" s="2">
        <v>2009</v>
      </c>
    </row>
    <row r="2506" spans="1:23" ht="12.3" hidden="1" x14ac:dyDescent="0.4">
      <c r="A2506" s="2" t="s">
        <v>228</v>
      </c>
      <c r="B2506" s="2"/>
      <c r="C2506" s="2"/>
      <c r="D2506" s="2"/>
      <c r="E2506" s="2"/>
      <c r="F2506" s="2"/>
      <c r="G2506" s="2"/>
      <c r="H2506" s="2"/>
      <c r="I2506" s="2">
        <v>65.335599999999999</v>
      </c>
      <c r="J2506" s="2">
        <v>212</v>
      </c>
      <c r="K2506" s="2">
        <v>64.502200000000002</v>
      </c>
      <c r="L2506" s="2">
        <v>256</v>
      </c>
      <c r="M2506" s="2">
        <v>105.9819</v>
      </c>
      <c r="N2506" s="2">
        <v>87</v>
      </c>
      <c r="O2506" s="2">
        <v>102.7829</v>
      </c>
      <c r="P2506" s="2">
        <v>141</v>
      </c>
      <c r="Q2506" s="2">
        <v>101.6036</v>
      </c>
      <c r="R2506" s="2">
        <v>181</v>
      </c>
      <c r="S2506" s="2">
        <v>104.3377</v>
      </c>
      <c r="T2506" s="2">
        <v>232</v>
      </c>
      <c r="U2506" s="2">
        <v>0.45694099999999999</v>
      </c>
      <c r="V2506" s="2">
        <v>184</v>
      </c>
      <c r="W2506" s="2">
        <v>2009</v>
      </c>
    </row>
    <row r="2507" spans="1:23" ht="12.3" x14ac:dyDescent="0.4">
      <c r="A2507" s="2" t="s">
        <v>77</v>
      </c>
      <c r="B2507" s="2">
        <v>14</v>
      </c>
      <c r="C2507" s="2"/>
      <c r="D2507" s="2"/>
      <c r="E2507" s="2"/>
      <c r="F2507" s="2"/>
      <c r="G2507" s="2"/>
      <c r="H2507" s="2"/>
      <c r="I2507" s="2">
        <v>68.075900000000004</v>
      </c>
      <c r="J2507" s="2">
        <v>111</v>
      </c>
      <c r="K2507" s="2">
        <v>69.319500000000005</v>
      </c>
      <c r="L2507" s="2">
        <v>71</v>
      </c>
      <c r="M2507" s="2">
        <v>108.8584</v>
      </c>
      <c r="N2507" s="2">
        <v>49</v>
      </c>
      <c r="O2507" s="2">
        <v>107.8532</v>
      </c>
      <c r="P2507" s="2">
        <v>79</v>
      </c>
      <c r="Q2507" s="2">
        <v>98.381699999999995</v>
      </c>
      <c r="R2507" s="2">
        <v>81</v>
      </c>
      <c r="S2507" s="2">
        <v>100.2092</v>
      </c>
      <c r="T2507" s="2">
        <v>115</v>
      </c>
      <c r="U2507" s="2">
        <v>0.69959700000000002</v>
      </c>
      <c r="V2507" s="2">
        <v>88</v>
      </c>
      <c r="W2507" s="2">
        <v>2007</v>
      </c>
    </row>
    <row r="2508" spans="1:23" ht="12.3" hidden="1" x14ac:dyDescent="0.4">
      <c r="A2508" s="2" t="s">
        <v>151</v>
      </c>
      <c r="B2508" s="2"/>
      <c r="C2508" s="2"/>
      <c r="D2508" s="2"/>
      <c r="E2508" s="2"/>
      <c r="F2508" s="2"/>
      <c r="G2508" s="2"/>
      <c r="H2508" s="2"/>
      <c r="I2508" s="2">
        <v>64.907600000000002</v>
      </c>
      <c r="J2508" s="2">
        <v>240</v>
      </c>
      <c r="K2508" s="2">
        <v>65.999399999999994</v>
      </c>
      <c r="L2508" s="2">
        <v>182</v>
      </c>
      <c r="M2508" s="2">
        <v>99.652000000000001</v>
      </c>
      <c r="N2508" s="2">
        <v>203</v>
      </c>
      <c r="O2508" s="2">
        <v>99.630099999999999</v>
      </c>
      <c r="P2508" s="2">
        <v>208</v>
      </c>
      <c r="Q2508" s="2">
        <v>100.0645</v>
      </c>
      <c r="R2508" s="2">
        <v>141</v>
      </c>
      <c r="S2508" s="2">
        <v>101.4243</v>
      </c>
      <c r="T2508" s="2">
        <v>167</v>
      </c>
      <c r="U2508" s="2">
        <v>0.44886599999999999</v>
      </c>
      <c r="V2508" s="2">
        <v>186</v>
      </c>
      <c r="W2508" s="2">
        <v>2009</v>
      </c>
    </row>
    <row r="2509" spans="1:23" ht="12.3" hidden="1" x14ac:dyDescent="0.4">
      <c r="A2509" s="2" t="s">
        <v>267</v>
      </c>
      <c r="B2509" s="2"/>
      <c r="C2509" s="2"/>
      <c r="D2509" s="2"/>
      <c r="E2509" s="2"/>
      <c r="F2509" s="2"/>
      <c r="G2509" s="2"/>
      <c r="H2509" s="2"/>
      <c r="I2509" s="2">
        <v>63.403799999999997</v>
      </c>
      <c r="J2509" s="2">
        <v>286</v>
      </c>
      <c r="K2509" s="2">
        <v>64.485200000000006</v>
      </c>
      <c r="L2509" s="2">
        <v>258</v>
      </c>
      <c r="M2509" s="2">
        <v>97.963999999999999</v>
      </c>
      <c r="N2509" s="2">
        <v>230</v>
      </c>
      <c r="O2509" s="2">
        <v>102.5299</v>
      </c>
      <c r="P2509" s="2">
        <v>145</v>
      </c>
      <c r="Q2509" s="2">
        <v>106.2162</v>
      </c>
      <c r="R2509" s="2">
        <v>272</v>
      </c>
      <c r="S2509" s="2">
        <v>104.4196</v>
      </c>
      <c r="T2509" s="2">
        <v>234</v>
      </c>
      <c r="U2509" s="2">
        <v>0.447687</v>
      </c>
      <c r="V2509" s="2">
        <v>187</v>
      </c>
      <c r="W2509" s="2">
        <v>2009</v>
      </c>
    </row>
    <row r="2510" spans="1:23" ht="12.3" hidden="1" x14ac:dyDescent="0.4">
      <c r="A2510" s="2" t="s">
        <v>287</v>
      </c>
      <c r="B2510" s="2"/>
      <c r="C2510" s="2"/>
      <c r="D2510" s="2"/>
      <c r="E2510" s="2"/>
      <c r="F2510" s="2"/>
      <c r="G2510" s="2"/>
      <c r="H2510" s="2"/>
      <c r="I2510" s="2">
        <v>65.255300000000005</v>
      </c>
      <c r="J2510" s="2">
        <v>215</v>
      </c>
      <c r="K2510" s="2">
        <v>63.9696</v>
      </c>
      <c r="L2510" s="2">
        <v>272</v>
      </c>
      <c r="M2510" s="2">
        <v>105.5647</v>
      </c>
      <c r="N2510" s="2">
        <v>93</v>
      </c>
      <c r="O2510" s="2">
        <v>100.7452</v>
      </c>
      <c r="P2510" s="2">
        <v>186</v>
      </c>
      <c r="Q2510" s="2">
        <v>102.5804</v>
      </c>
      <c r="R2510" s="2">
        <v>204</v>
      </c>
      <c r="S2510" s="2">
        <v>102.70269999999999</v>
      </c>
      <c r="T2510" s="2">
        <v>188</v>
      </c>
      <c r="U2510" s="2">
        <v>0.44489899999999999</v>
      </c>
      <c r="V2510" s="2">
        <v>188</v>
      </c>
      <c r="W2510" s="2">
        <v>2009</v>
      </c>
    </row>
    <row r="2511" spans="1:23" ht="12.3" hidden="1" x14ac:dyDescent="0.4">
      <c r="A2511" s="2" t="s">
        <v>346</v>
      </c>
      <c r="B2511" s="2"/>
      <c r="C2511" s="2"/>
      <c r="D2511" s="2"/>
      <c r="E2511" s="2"/>
      <c r="F2511" s="2"/>
      <c r="G2511" s="2"/>
      <c r="H2511" s="2"/>
      <c r="I2511" s="2">
        <v>66.726399999999998</v>
      </c>
      <c r="J2511" s="2">
        <v>151</v>
      </c>
      <c r="K2511" s="2">
        <v>65.757199999999997</v>
      </c>
      <c r="L2511" s="2">
        <v>195</v>
      </c>
      <c r="M2511" s="2">
        <v>106.9525</v>
      </c>
      <c r="N2511" s="2">
        <v>77</v>
      </c>
      <c r="O2511" s="2">
        <v>105.3176</v>
      </c>
      <c r="P2511" s="2">
        <v>98</v>
      </c>
      <c r="Q2511" s="2">
        <v>104.13679999999999</v>
      </c>
      <c r="R2511" s="2">
        <v>233</v>
      </c>
      <c r="S2511" s="2">
        <v>107.4607</v>
      </c>
      <c r="T2511" s="2">
        <v>289</v>
      </c>
      <c r="U2511" s="2">
        <v>0.44234099999999998</v>
      </c>
      <c r="V2511" s="2">
        <v>189</v>
      </c>
      <c r="W2511" s="2">
        <v>2009</v>
      </c>
    </row>
    <row r="2512" spans="1:23" ht="12.3" hidden="1" x14ac:dyDescent="0.4">
      <c r="A2512" s="2" t="s">
        <v>185</v>
      </c>
      <c r="B2512" s="2"/>
      <c r="C2512" s="2"/>
      <c r="D2512" s="2"/>
      <c r="E2512" s="2"/>
      <c r="F2512" s="2"/>
      <c r="G2512" s="2"/>
      <c r="H2512" s="2"/>
      <c r="I2512" s="2">
        <v>69.879800000000003</v>
      </c>
      <c r="J2512" s="2">
        <v>58</v>
      </c>
      <c r="K2512" s="2">
        <v>69.663499999999999</v>
      </c>
      <c r="L2512" s="2">
        <v>52</v>
      </c>
      <c r="M2512" s="2">
        <v>101.4709</v>
      </c>
      <c r="N2512" s="2">
        <v>169</v>
      </c>
      <c r="O2512" s="2">
        <v>101.0792</v>
      </c>
      <c r="P2512" s="2">
        <v>175</v>
      </c>
      <c r="Q2512" s="2">
        <v>101.6118</v>
      </c>
      <c r="R2512" s="2">
        <v>182</v>
      </c>
      <c r="S2512" s="2">
        <v>103.16030000000001</v>
      </c>
      <c r="T2512" s="2">
        <v>202</v>
      </c>
      <c r="U2512" s="2">
        <v>0.44167299999999998</v>
      </c>
      <c r="V2512" s="2">
        <v>190</v>
      </c>
      <c r="W2512" s="2">
        <v>2009</v>
      </c>
    </row>
    <row r="2513" spans="1:23" ht="12.3" hidden="1" x14ac:dyDescent="0.4">
      <c r="A2513" s="2" t="s">
        <v>232</v>
      </c>
      <c r="B2513" s="2"/>
      <c r="C2513" s="2"/>
      <c r="D2513" s="2"/>
      <c r="E2513" s="2"/>
      <c r="F2513" s="2"/>
      <c r="G2513" s="2"/>
      <c r="H2513" s="2"/>
      <c r="I2513" s="2">
        <v>64.681100000000001</v>
      </c>
      <c r="J2513" s="2">
        <v>251</v>
      </c>
      <c r="K2513" s="2">
        <v>64.320099999999996</v>
      </c>
      <c r="L2513" s="2">
        <v>264</v>
      </c>
      <c r="M2513" s="2">
        <v>100.2193</v>
      </c>
      <c r="N2513" s="2">
        <v>191</v>
      </c>
      <c r="O2513" s="2">
        <v>100.5017</v>
      </c>
      <c r="P2513" s="2">
        <v>191</v>
      </c>
      <c r="Q2513" s="2">
        <v>104.2949</v>
      </c>
      <c r="R2513" s="2">
        <v>239</v>
      </c>
      <c r="S2513" s="2">
        <v>102.7807</v>
      </c>
      <c r="T2513" s="2">
        <v>191</v>
      </c>
      <c r="U2513" s="2">
        <v>0.43588900000000003</v>
      </c>
      <c r="V2513" s="2">
        <v>191</v>
      </c>
      <c r="W2513" s="2">
        <v>2009</v>
      </c>
    </row>
    <row r="2514" spans="1:23" ht="12.3" hidden="1" x14ac:dyDescent="0.4">
      <c r="A2514" s="2" t="s">
        <v>106</v>
      </c>
      <c r="B2514" s="2"/>
      <c r="C2514" s="2"/>
      <c r="D2514" s="2"/>
      <c r="E2514" s="2"/>
      <c r="F2514" s="2"/>
      <c r="G2514" s="2"/>
      <c r="H2514" s="2"/>
      <c r="I2514" s="2">
        <v>71.126000000000005</v>
      </c>
      <c r="J2514" s="2">
        <v>32</v>
      </c>
      <c r="K2514" s="2">
        <v>71.162099999999995</v>
      </c>
      <c r="L2514" s="2">
        <v>22</v>
      </c>
      <c r="M2514" s="2">
        <v>97.396799999999999</v>
      </c>
      <c r="N2514" s="2">
        <v>241</v>
      </c>
      <c r="O2514" s="2">
        <v>97.207999999999998</v>
      </c>
      <c r="P2514" s="2">
        <v>243</v>
      </c>
      <c r="Q2514" s="2">
        <v>98.911199999999994</v>
      </c>
      <c r="R2514" s="2">
        <v>112</v>
      </c>
      <c r="S2514" s="2">
        <v>99.462599999999995</v>
      </c>
      <c r="T2514" s="2">
        <v>126</v>
      </c>
      <c r="U2514" s="2">
        <v>0.43445899999999998</v>
      </c>
      <c r="V2514" s="2">
        <v>192</v>
      </c>
      <c r="W2514" s="2">
        <v>2009</v>
      </c>
    </row>
    <row r="2515" spans="1:23" ht="12.3" hidden="1" x14ac:dyDescent="0.4">
      <c r="A2515" s="2" t="s">
        <v>129</v>
      </c>
      <c r="B2515" s="2"/>
      <c r="C2515" s="2"/>
      <c r="D2515" s="2"/>
      <c r="E2515" s="2"/>
      <c r="F2515" s="2"/>
      <c r="G2515" s="2"/>
      <c r="H2515" s="2"/>
      <c r="I2515" s="2">
        <v>63.923499999999997</v>
      </c>
      <c r="J2515" s="2">
        <v>271</v>
      </c>
      <c r="K2515" s="2">
        <v>62.828499999999998</v>
      </c>
      <c r="L2515" s="2">
        <v>304</v>
      </c>
      <c r="M2515" s="2">
        <v>96.9619</v>
      </c>
      <c r="N2515" s="2">
        <v>251</v>
      </c>
      <c r="O2515" s="2">
        <v>98.954800000000006</v>
      </c>
      <c r="P2515" s="2">
        <v>218</v>
      </c>
      <c r="Q2515" s="2">
        <v>104.99079999999999</v>
      </c>
      <c r="R2515" s="2">
        <v>253</v>
      </c>
      <c r="S2515" s="2">
        <v>101.2694</v>
      </c>
      <c r="T2515" s="2">
        <v>164</v>
      </c>
      <c r="U2515" s="2">
        <v>0.433917</v>
      </c>
      <c r="V2515" s="2">
        <v>193</v>
      </c>
      <c r="W2515" s="2">
        <v>2009</v>
      </c>
    </row>
    <row r="2516" spans="1:23" ht="12.3" hidden="1" x14ac:dyDescent="0.4">
      <c r="A2516" s="2" t="s">
        <v>227</v>
      </c>
      <c r="B2516" s="2"/>
      <c r="C2516" s="2"/>
      <c r="D2516" s="2"/>
      <c r="E2516" s="2"/>
      <c r="F2516" s="2"/>
      <c r="G2516" s="2"/>
      <c r="H2516" s="2"/>
      <c r="I2516" s="2">
        <v>68.328699999999998</v>
      </c>
      <c r="J2516" s="2">
        <v>102</v>
      </c>
      <c r="K2516" s="2">
        <v>67.505799999999994</v>
      </c>
      <c r="L2516" s="2">
        <v>120</v>
      </c>
      <c r="M2516" s="2">
        <v>107.6772</v>
      </c>
      <c r="N2516" s="2">
        <v>66</v>
      </c>
      <c r="O2516" s="2">
        <v>104.6193</v>
      </c>
      <c r="P2516" s="2">
        <v>112</v>
      </c>
      <c r="Q2516" s="2">
        <v>107.74890000000001</v>
      </c>
      <c r="R2516" s="2">
        <v>301</v>
      </c>
      <c r="S2516" s="2">
        <v>107.2235</v>
      </c>
      <c r="T2516" s="2">
        <v>284</v>
      </c>
      <c r="U2516" s="2">
        <v>0.42978</v>
      </c>
      <c r="V2516" s="2">
        <v>194</v>
      </c>
      <c r="W2516" s="2">
        <v>2009</v>
      </c>
    </row>
    <row r="2517" spans="1:23" ht="12.3" hidden="1" x14ac:dyDescent="0.4">
      <c r="A2517" s="2" t="s">
        <v>294</v>
      </c>
      <c r="B2517" s="2"/>
      <c r="C2517" s="2"/>
      <c r="D2517" s="2"/>
      <c r="E2517" s="2"/>
      <c r="F2517" s="2"/>
      <c r="G2517" s="2"/>
      <c r="H2517" s="2"/>
      <c r="I2517" s="2">
        <v>62.389499999999998</v>
      </c>
      <c r="J2517" s="2">
        <v>305</v>
      </c>
      <c r="K2517" s="2">
        <v>63.591500000000003</v>
      </c>
      <c r="L2517" s="2">
        <v>281</v>
      </c>
      <c r="M2517" s="2">
        <v>101.3943</v>
      </c>
      <c r="N2517" s="2">
        <v>171</v>
      </c>
      <c r="O2517" s="2">
        <v>101.25839999999999</v>
      </c>
      <c r="P2517" s="2">
        <v>169</v>
      </c>
      <c r="Q2517" s="2">
        <v>106.6631</v>
      </c>
      <c r="R2517" s="2">
        <v>283</v>
      </c>
      <c r="S2517" s="2">
        <v>103.8022</v>
      </c>
      <c r="T2517" s="2">
        <v>218</v>
      </c>
      <c r="U2517" s="2">
        <v>0.429147</v>
      </c>
      <c r="V2517" s="2">
        <v>195</v>
      </c>
      <c r="W2517" s="2">
        <v>2009</v>
      </c>
    </row>
    <row r="2518" spans="1:23" ht="12.3" hidden="1" x14ac:dyDescent="0.4">
      <c r="A2518" s="2" t="s">
        <v>372</v>
      </c>
      <c r="B2518" s="2"/>
      <c r="C2518" s="2"/>
      <c r="D2518" s="2"/>
      <c r="E2518" s="2"/>
      <c r="F2518" s="2"/>
      <c r="G2518" s="2"/>
      <c r="H2518" s="2"/>
      <c r="I2518" s="2">
        <v>62.121000000000002</v>
      </c>
      <c r="J2518" s="2">
        <v>313</v>
      </c>
      <c r="K2518" s="2">
        <v>61.377099999999999</v>
      </c>
      <c r="L2518" s="2">
        <v>321</v>
      </c>
      <c r="M2518" s="2">
        <v>109.065</v>
      </c>
      <c r="N2518" s="2">
        <v>45</v>
      </c>
      <c r="O2518" s="2">
        <v>101.9611</v>
      </c>
      <c r="P2518" s="2">
        <v>155</v>
      </c>
      <c r="Q2518" s="2">
        <v>99.704700000000003</v>
      </c>
      <c r="R2518" s="2">
        <v>129</v>
      </c>
      <c r="S2518" s="2">
        <v>104.7317</v>
      </c>
      <c r="T2518" s="2">
        <v>239</v>
      </c>
      <c r="U2518" s="2">
        <v>0.42352600000000001</v>
      </c>
      <c r="V2518" s="2">
        <v>196</v>
      </c>
      <c r="W2518" s="2">
        <v>2009</v>
      </c>
    </row>
    <row r="2519" spans="1:23" ht="12.3" hidden="1" x14ac:dyDescent="0.4">
      <c r="A2519" s="2" t="s">
        <v>241</v>
      </c>
      <c r="B2519" s="2"/>
      <c r="C2519" s="2"/>
      <c r="D2519" s="2"/>
      <c r="E2519" s="2"/>
      <c r="F2519" s="2"/>
      <c r="G2519" s="2"/>
      <c r="H2519" s="2"/>
      <c r="I2519" s="2">
        <v>64.751400000000004</v>
      </c>
      <c r="J2519" s="2">
        <v>249</v>
      </c>
      <c r="K2519" s="2">
        <v>64.748199999999997</v>
      </c>
      <c r="L2519" s="2">
        <v>243</v>
      </c>
      <c r="M2519" s="2">
        <v>94.495199999999997</v>
      </c>
      <c r="N2519" s="2">
        <v>288</v>
      </c>
      <c r="O2519" s="2">
        <v>94.028899999999993</v>
      </c>
      <c r="P2519" s="2">
        <v>288</v>
      </c>
      <c r="Q2519" s="2">
        <v>96.366</v>
      </c>
      <c r="R2519" s="2">
        <v>64</v>
      </c>
      <c r="S2519" s="2">
        <v>96.784400000000005</v>
      </c>
      <c r="T2519" s="2">
        <v>66</v>
      </c>
      <c r="U2519" s="2">
        <v>0.417717</v>
      </c>
      <c r="V2519" s="2">
        <v>197</v>
      </c>
      <c r="W2519" s="2">
        <v>2009</v>
      </c>
    </row>
    <row r="2520" spans="1:23" ht="12.3" hidden="1" x14ac:dyDescent="0.4">
      <c r="A2520" s="2" t="s">
        <v>278</v>
      </c>
      <c r="B2520" s="2"/>
      <c r="C2520" s="2"/>
      <c r="D2520" s="2"/>
      <c r="E2520" s="2"/>
      <c r="F2520" s="2"/>
      <c r="G2520" s="2"/>
      <c r="H2520" s="2"/>
      <c r="I2520" s="2">
        <v>66.256100000000004</v>
      </c>
      <c r="J2520" s="2">
        <v>170</v>
      </c>
      <c r="K2520" s="2">
        <v>66.857399999999998</v>
      </c>
      <c r="L2520" s="2">
        <v>150</v>
      </c>
      <c r="M2520" s="2">
        <v>99.949200000000005</v>
      </c>
      <c r="N2520" s="2">
        <v>198</v>
      </c>
      <c r="O2520" s="2">
        <v>100.8103</v>
      </c>
      <c r="P2520" s="2">
        <v>185</v>
      </c>
      <c r="Q2520" s="2">
        <v>104.0869</v>
      </c>
      <c r="R2520" s="2">
        <v>230</v>
      </c>
      <c r="S2520" s="2">
        <v>103.85290000000001</v>
      </c>
      <c r="T2520" s="2">
        <v>220</v>
      </c>
      <c r="U2520" s="2">
        <v>0.41533799999999998</v>
      </c>
      <c r="V2520" s="2">
        <v>198</v>
      </c>
      <c r="W2520" s="2">
        <v>2009</v>
      </c>
    </row>
    <row r="2521" spans="1:23" ht="12.3" hidden="1" x14ac:dyDescent="0.4">
      <c r="A2521" s="2" t="s">
        <v>22</v>
      </c>
      <c r="B2521" s="2"/>
      <c r="C2521" s="2"/>
      <c r="D2521" s="2"/>
      <c r="E2521" s="2"/>
      <c r="F2521" s="2"/>
      <c r="G2521" s="2"/>
      <c r="H2521" s="2"/>
      <c r="I2521" s="2">
        <v>62.5379</v>
      </c>
      <c r="J2521" s="2">
        <v>303</v>
      </c>
      <c r="K2521" s="2">
        <v>63.645000000000003</v>
      </c>
      <c r="L2521" s="2">
        <v>279</v>
      </c>
      <c r="M2521" s="2">
        <v>96.693200000000004</v>
      </c>
      <c r="N2521" s="2">
        <v>256</v>
      </c>
      <c r="O2521" s="2">
        <v>97.985200000000006</v>
      </c>
      <c r="P2521" s="2">
        <v>231</v>
      </c>
      <c r="Q2521" s="2">
        <v>101.5822</v>
      </c>
      <c r="R2521" s="2">
        <v>180</v>
      </c>
      <c r="S2521" s="2">
        <v>100.99250000000001</v>
      </c>
      <c r="T2521" s="2">
        <v>157</v>
      </c>
      <c r="U2521" s="2">
        <v>0.41395500000000002</v>
      </c>
      <c r="V2521" s="2">
        <v>199</v>
      </c>
      <c r="W2521" s="2">
        <v>2009</v>
      </c>
    </row>
    <row r="2522" spans="1:23" ht="12.3" x14ac:dyDescent="0.4">
      <c r="A2522" s="2" t="s">
        <v>276</v>
      </c>
      <c r="B2522" s="2">
        <v>15</v>
      </c>
      <c r="C2522" s="2"/>
      <c r="D2522" s="2"/>
      <c r="E2522" s="2"/>
      <c r="F2522" s="2"/>
      <c r="G2522" s="2"/>
      <c r="H2522" s="2"/>
      <c r="I2522" s="2">
        <v>69.531199999999998</v>
      </c>
      <c r="J2522" s="2">
        <v>76</v>
      </c>
      <c r="K2522" s="2">
        <v>68.938900000000004</v>
      </c>
      <c r="L2522" s="2">
        <v>82</v>
      </c>
      <c r="M2522" s="2">
        <v>114.00530000000001</v>
      </c>
      <c r="N2522" s="2">
        <v>12</v>
      </c>
      <c r="O2522" s="2">
        <v>112.17270000000001</v>
      </c>
      <c r="P2522" s="2">
        <v>31</v>
      </c>
      <c r="Q2522" s="2">
        <v>101.1652</v>
      </c>
      <c r="R2522" s="2">
        <v>141</v>
      </c>
      <c r="S2522" s="2">
        <v>104.81910000000001</v>
      </c>
      <c r="T2522" s="2">
        <v>209</v>
      </c>
      <c r="U2522" s="2">
        <v>0.68562400000000001</v>
      </c>
      <c r="V2522" s="2">
        <v>95</v>
      </c>
      <c r="W2522" s="2">
        <v>2007</v>
      </c>
    </row>
    <row r="2523" spans="1:23" ht="12.3" hidden="1" x14ac:dyDescent="0.4">
      <c r="A2523" s="2" t="s">
        <v>286</v>
      </c>
      <c r="B2523" s="2"/>
      <c r="C2523" s="2"/>
      <c r="D2523" s="2"/>
      <c r="E2523" s="2"/>
      <c r="F2523" s="2"/>
      <c r="G2523" s="2"/>
      <c r="H2523" s="2"/>
      <c r="I2523" s="2">
        <v>57.432499999999997</v>
      </c>
      <c r="J2523" s="2">
        <v>343</v>
      </c>
      <c r="K2523" s="2">
        <v>57.395200000000003</v>
      </c>
      <c r="L2523" s="2">
        <v>344</v>
      </c>
      <c r="M2523" s="2">
        <v>103.95610000000001</v>
      </c>
      <c r="N2523" s="2">
        <v>125</v>
      </c>
      <c r="O2523" s="2">
        <v>101.56</v>
      </c>
      <c r="P2523" s="2">
        <v>162</v>
      </c>
      <c r="Q2523" s="2">
        <v>103.1651</v>
      </c>
      <c r="R2523" s="2">
        <v>214</v>
      </c>
      <c r="S2523" s="2">
        <v>104.815</v>
      </c>
      <c r="T2523" s="2">
        <v>244</v>
      </c>
      <c r="U2523" s="2">
        <v>0.41028500000000001</v>
      </c>
      <c r="V2523" s="2">
        <v>201</v>
      </c>
      <c r="W2523" s="2">
        <v>2009</v>
      </c>
    </row>
    <row r="2524" spans="1:23" ht="12.3" hidden="1" x14ac:dyDescent="0.4">
      <c r="A2524" s="2" t="s">
        <v>328</v>
      </c>
      <c r="B2524" s="2"/>
      <c r="C2524" s="2"/>
      <c r="D2524" s="2"/>
      <c r="E2524" s="2"/>
      <c r="F2524" s="2"/>
      <c r="G2524" s="2"/>
      <c r="H2524" s="2"/>
      <c r="I2524" s="2">
        <v>67.181100000000001</v>
      </c>
      <c r="J2524" s="2">
        <v>135</v>
      </c>
      <c r="K2524" s="2">
        <v>65.886399999999995</v>
      </c>
      <c r="L2524" s="2">
        <v>189</v>
      </c>
      <c r="M2524" s="2">
        <v>98.826400000000007</v>
      </c>
      <c r="N2524" s="2">
        <v>218</v>
      </c>
      <c r="O2524" s="2">
        <v>99.141599999999997</v>
      </c>
      <c r="P2524" s="2">
        <v>217</v>
      </c>
      <c r="Q2524" s="2">
        <v>101.0254</v>
      </c>
      <c r="R2524" s="2">
        <v>163</v>
      </c>
      <c r="S2524" s="2">
        <v>102.3419</v>
      </c>
      <c r="T2524" s="2">
        <v>180</v>
      </c>
      <c r="U2524" s="2">
        <v>0.40966200000000003</v>
      </c>
      <c r="V2524" s="2">
        <v>202</v>
      </c>
      <c r="W2524" s="2">
        <v>2009</v>
      </c>
    </row>
    <row r="2525" spans="1:23" ht="12.3" hidden="1" x14ac:dyDescent="0.4">
      <c r="A2525" s="2" t="s">
        <v>358</v>
      </c>
      <c r="B2525" s="2"/>
      <c r="C2525" s="2"/>
      <c r="D2525" s="2"/>
      <c r="E2525" s="2"/>
      <c r="F2525" s="2"/>
      <c r="G2525" s="2"/>
      <c r="H2525" s="2"/>
      <c r="I2525" s="2">
        <v>66.903999999999996</v>
      </c>
      <c r="J2525" s="2">
        <v>145</v>
      </c>
      <c r="K2525" s="2">
        <v>67.531099999999995</v>
      </c>
      <c r="L2525" s="2">
        <v>119</v>
      </c>
      <c r="M2525" s="2">
        <v>104.4871</v>
      </c>
      <c r="N2525" s="2">
        <v>117</v>
      </c>
      <c r="O2525" s="2">
        <v>101.4372</v>
      </c>
      <c r="P2525" s="2">
        <v>165</v>
      </c>
      <c r="Q2525" s="2">
        <v>105.4884</v>
      </c>
      <c r="R2525" s="2">
        <v>261</v>
      </c>
      <c r="S2525" s="2">
        <v>104.7544</v>
      </c>
      <c r="T2525" s="2">
        <v>242</v>
      </c>
      <c r="U2525" s="2">
        <v>0.408528</v>
      </c>
      <c r="V2525" s="2">
        <v>203</v>
      </c>
      <c r="W2525" s="2">
        <v>2009</v>
      </c>
    </row>
    <row r="2526" spans="1:23" ht="12.3" hidden="1" x14ac:dyDescent="0.4">
      <c r="A2526" s="2" t="s">
        <v>311</v>
      </c>
      <c r="B2526" s="2"/>
      <c r="C2526" s="2"/>
      <c r="D2526" s="2"/>
      <c r="E2526" s="2"/>
      <c r="F2526" s="2"/>
      <c r="G2526" s="2"/>
      <c r="H2526" s="2"/>
      <c r="I2526" s="2">
        <v>68.535200000000003</v>
      </c>
      <c r="J2526" s="2">
        <v>99</v>
      </c>
      <c r="K2526" s="2">
        <v>67.914199999999994</v>
      </c>
      <c r="L2526" s="2">
        <v>104</v>
      </c>
      <c r="M2526" s="2">
        <v>104.589</v>
      </c>
      <c r="N2526" s="2">
        <v>116</v>
      </c>
      <c r="O2526" s="2">
        <v>104.3582</v>
      </c>
      <c r="P2526" s="2">
        <v>120</v>
      </c>
      <c r="Q2526" s="2">
        <v>107.55329999999999</v>
      </c>
      <c r="R2526" s="2">
        <v>299</v>
      </c>
      <c r="S2526" s="2">
        <v>107.85299999999999</v>
      </c>
      <c r="T2526" s="2">
        <v>294</v>
      </c>
      <c r="U2526" s="2">
        <v>0.406414</v>
      </c>
      <c r="V2526" s="2">
        <v>204</v>
      </c>
      <c r="W2526" s="2">
        <v>2009</v>
      </c>
    </row>
    <row r="2527" spans="1:23" ht="12.3" hidden="1" x14ac:dyDescent="0.4">
      <c r="A2527" s="2" t="s">
        <v>140</v>
      </c>
      <c r="B2527" s="2"/>
      <c r="C2527" s="2"/>
      <c r="D2527" s="2"/>
      <c r="E2527" s="2"/>
      <c r="F2527" s="2"/>
      <c r="G2527" s="2"/>
      <c r="H2527" s="2"/>
      <c r="I2527" s="2">
        <v>64.913300000000007</v>
      </c>
      <c r="J2527" s="2">
        <v>238</v>
      </c>
      <c r="K2527" s="2">
        <v>64.666499999999999</v>
      </c>
      <c r="L2527" s="2">
        <v>245</v>
      </c>
      <c r="M2527" s="2">
        <v>97.807199999999995</v>
      </c>
      <c r="N2527" s="2">
        <v>234</v>
      </c>
      <c r="O2527" s="2">
        <v>101.12779999999999</v>
      </c>
      <c r="P2527" s="2">
        <v>174</v>
      </c>
      <c r="Q2527" s="2">
        <v>105.8694</v>
      </c>
      <c r="R2527" s="2">
        <v>268</v>
      </c>
      <c r="S2527" s="2">
        <v>104.67189999999999</v>
      </c>
      <c r="T2527" s="2">
        <v>238</v>
      </c>
      <c r="U2527" s="2">
        <v>0.40224500000000002</v>
      </c>
      <c r="V2527" s="2">
        <v>205</v>
      </c>
      <c r="W2527" s="2">
        <v>2009</v>
      </c>
    </row>
    <row r="2528" spans="1:23" ht="12.3" hidden="1" x14ac:dyDescent="0.4">
      <c r="A2528" s="2" t="s">
        <v>110</v>
      </c>
      <c r="B2528" s="2"/>
      <c r="C2528" s="2"/>
      <c r="D2528" s="2"/>
      <c r="E2528" s="2"/>
      <c r="F2528" s="2"/>
      <c r="G2528" s="2"/>
      <c r="H2528" s="2"/>
      <c r="I2528" s="2">
        <v>63.466200000000001</v>
      </c>
      <c r="J2528" s="2">
        <v>283</v>
      </c>
      <c r="K2528" s="2">
        <v>63.530299999999997</v>
      </c>
      <c r="L2528" s="2">
        <v>284</v>
      </c>
      <c r="M2528" s="2">
        <v>103.0904</v>
      </c>
      <c r="N2528" s="2">
        <v>142</v>
      </c>
      <c r="O2528" s="2">
        <v>103.6555</v>
      </c>
      <c r="P2528" s="2">
        <v>130</v>
      </c>
      <c r="Q2528" s="2">
        <v>108.14360000000001</v>
      </c>
      <c r="R2528" s="2">
        <v>307</v>
      </c>
      <c r="S2528" s="2">
        <v>107.3098</v>
      </c>
      <c r="T2528" s="2">
        <v>286</v>
      </c>
      <c r="U2528" s="2">
        <v>0.40168700000000002</v>
      </c>
      <c r="V2528" s="2">
        <v>206</v>
      </c>
      <c r="W2528" s="2">
        <v>2009</v>
      </c>
    </row>
    <row r="2529" spans="1:23" ht="12.3" hidden="1" x14ac:dyDescent="0.4">
      <c r="A2529" s="2" t="s">
        <v>19</v>
      </c>
      <c r="B2529" s="2"/>
      <c r="C2529" s="2"/>
      <c r="D2529" s="2"/>
      <c r="E2529" s="2"/>
      <c r="F2529" s="2"/>
      <c r="G2529" s="2"/>
      <c r="H2529" s="2"/>
      <c r="I2529" s="2">
        <v>70.173699999999997</v>
      </c>
      <c r="J2529" s="2">
        <v>53</v>
      </c>
      <c r="K2529" s="2">
        <v>68.856200000000001</v>
      </c>
      <c r="L2529" s="2">
        <v>72</v>
      </c>
      <c r="M2529" s="2">
        <v>91.347700000000003</v>
      </c>
      <c r="N2529" s="2">
        <v>316</v>
      </c>
      <c r="O2529" s="2">
        <v>94.695599999999999</v>
      </c>
      <c r="P2529" s="2">
        <v>280</v>
      </c>
      <c r="Q2529" s="2">
        <v>98.796999999999997</v>
      </c>
      <c r="R2529" s="2">
        <v>108</v>
      </c>
      <c r="S2529" s="2">
        <v>98.113500000000002</v>
      </c>
      <c r="T2529" s="2">
        <v>89</v>
      </c>
      <c r="U2529" s="2">
        <v>0.399449</v>
      </c>
      <c r="V2529" s="2">
        <v>207</v>
      </c>
      <c r="W2529" s="2">
        <v>2009</v>
      </c>
    </row>
    <row r="2530" spans="1:23" ht="12.3" hidden="1" x14ac:dyDescent="0.4">
      <c r="A2530" s="2" t="s">
        <v>174</v>
      </c>
      <c r="B2530" s="2"/>
      <c r="C2530" s="2"/>
      <c r="D2530" s="2"/>
      <c r="E2530" s="2"/>
      <c r="F2530" s="2"/>
      <c r="G2530" s="2"/>
      <c r="H2530" s="2"/>
      <c r="I2530" s="2">
        <v>67.596999999999994</v>
      </c>
      <c r="J2530" s="2">
        <v>127</v>
      </c>
      <c r="K2530" s="2">
        <v>67.822599999999994</v>
      </c>
      <c r="L2530" s="2">
        <v>110</v>
      </c>
      <c r="M2530" s="2">
        <v>99.932599999999994</v>
      </c>
      <c r="N2530" s="2">
        <v>200</v>
      </c>
      <c r="O2530" s="2">
        <v>101.3766</v>
      </c>
      <c r="P2530" s="2">
        <v>166</v>
      </c>
      <c r="Q2530" s="2">
        <v>103.04600000000001</v>
      </c>
      <c r="R2530" s="2">
        <v>213</v>
      </c>
      <c r="S2530" s="2">
        <v>105.2368</v>
      </c>
      <c r="T2530" s="2">
        <v>252</v>
      </c>
      <c r="U2530" s="2">
        <v>0.39418300000000001</v>
      </c>
      <c r="V2530" s="2">
        <v>208</v>
      </c>
      <c r="W2530" s="2">
        <v>2009</v>
      </c>
    </row>
    <row r="2531" spans="1:23" ht="12.3" hidden="1" x14ac:dyDescent="0.4">
      <c r="A2531" s="2" t="s">
        <v>340</v>
      </c>
      <c r="B2531" s="2"/>
      <c r="C2531" s="2"/>
      <c r="D2531" s="2"/>
      <c r="E2531" s="2"/>
      <c r="F2531" s="2"/>
      <c r="G2531" s="2"/>
      <c r="H2531" s="2"/>
      <c r="I2531" s="2">
        <v>67.742000000000004</v>
      </c>
      <c r="J2531" s="2">
        <v>120</v>
      </c>
      <c r="K2531" s="2">
        <v>66.943100000000001</v>
      </c>
      <c r="L2531" s="2">
        <v>145</v>
      </c>
      <c r="M2531" s="2">
        <v>98.942599999999999</v>
      </c>
      <c r="N2531" s="2">
        <v>213</v>
      </c>
      <c r="O2531" s="2">
        <v>102.1527</v>
      </c>
      <c r="P2531" s="2">
        <v>152</v>
      </c>
      <c r="Q2531" s="2">
        <v>105.4699</v>
      </c>
      <c r="R2531" s="2">
        <v>260</v>
      </c>
      <c r="S2531" s="2">
        <v>106.41630000000001</v>
      </c>
      <c r="T2531" s="2">
        <v>274</v>
      </c>
      <c r="U2531" s="2">
        <v>0.38455800000000001</v>
      </c>
      <c r="V2531" s="2">
        <v>209</v>
      </c>
      <c r="W2531" s="2">
        <v>2009</v>
      </c>
    </row>
    <row r="2532" spans="1:23" ht="12.3" hidden="1" x14ac:dyDescent="0.4">
      <c r="A2532" s="2" t="s">
        <v>354</v>
      </c>
      <c r="B2532" s="2"/>
      <c r="C2532" s="2"/>
      <c r="D2532" s="2"/>
      <c r="E2532" s="2"/>
      <c r="F2532" s="2"/>
      <c r="G2532" s="2"/>
      <c r="H2532" s="2"/>
      <c r="I2532" s="2">
        <v>75.7577</v>
      </c>
      <c r="J2532" s="2">
        <v>5</v>
      </c>
      <c r="K2532" s="2">
        <v>74.565899999999999</v>
      </c>
      <c r="L2532" s="2">
        <v>5</v>
      </c>
      <c r="M2532" s="2">
        <v>102.2462</v>
      </c>
      <c r="N2532" s="2">
        <v>157</v>
      </c>
      <c r="O2532" s="2">
        <v>100.9003</v>
      </c>
      <c r="P2532" s="2">
        <v>181</v>
      </c>
      <c r="Q2532" s="2">
        <v>103.76349999999999</v>
      </c>
      <c r="R2532" s="2">
        <v>229</v>
      </c>
      <c r="S2532" s="2">
        <v>105.19329999999999</v>
      </c>
      <c r="T2532" s="2">
        <v>251</v>
      </c>
      <c r="U2532" s="2">
        <v>0.38244800000000001</v>
      </c>
      <c r="V2532" s="2">
        <v>210</v>
      </c>
      <c r="W2532" s="2">
        <v>2009</v>
      </c>
    </row>
    <row r="2533" spans="1:23" ht="12.3" hidden="1" x14ac:dyDescent="0.4">
      <c r="A2533" s="2" t="s">
        <v>112</v>
      </c>
      <c r="B2533" s="2"/>
      <c r="C2533" s="2"/>
      <c r="D2533" s="2"/>
      <c r="E2533" s="2"/>
      <c r="F2533" s="2"/>
      <c r="G2533" s="2"/>
      <c r="H2533" s="2"/>
      <c r="I2533" s="2">
        <v>66.478499999999997</v>
      </c>
      <c r="J2533" s="2">
        <v>160</v>
      </c>
      <c r="K2533" s="2">
        <v>67.243399999999994</v>
      </c>
      <c r="L2533" s="2">
        <v>130</v>
      </c>
      <c r="M2533" s="2">
        <v>99.529200000000003</v>
      </c>
      <c r="N2533" s="2">
        <v>207</v>
      </c>
      <c r="O2533" s="2">
        <v>98.372600000000006</v>
      </c>
      <c r="P2533" s="2">
        <v>227</v>
      </c>
      <c r="Q2533" s="2">
        <v>103.7152</v>
      </c>
      <c r="R2533" s="2">
        <v>228</v>
      </c>
      <c r="S2533" s="2">
        <v>102.7149</v>
      </c>
      <c r="T2533" s="2">
        <v>189</v>
      </c>
      <c r="U2533" s="2">
        <v>0.37830799999999998</v>
      </c>
      <c r="V2533" s="2">
        <v>211</v>
      </c>
      <c r="W2533" s="2">
        <v>2009</v>
      </c>
    </row>
    <row r="2534" spans="1:23" ht="12.3" hidden="1" x14ac:dyDescent="0.4">
      <c r="A2534" s="2" t="s">
        <v>362</v>
      </c>
      <c r="B2534" s="2"/>
      <c r="C2534" s="2"/>
      <c r="D2534" s="2"/>
      <c r="E2534" s="2"/>
      <c r="F2534" s="2"/>
      <c r="G2534" s="2"/>
      <c r="H2534" s="2"/>
      <c r="I2534" s="2">
        <v>64.673100000000005</v>
      </c>
      <c r="J2534" s="2">
        <v>253</v>
      </c>
      <c r="K2534" s="2">
        <v>65.436899999999994</v>
      </c>
      <c r="L2534" s="2">
        <v>213</v>
      </c>
      <c r="M2534" s="2">
        <v>104.4365</v>
      </c>
      <c r="N2534" s="2">
        <v>118</v>
      </c>
      <c r="O2534" s="2">
        <v>102.83459999999999</v>
      </c>
      <c r="P2534" s="2">
        <v>139</v>
      </c>
      <c r="Q2534" s="2">
        <v>109.1931</v>
      </c>
      <c r="R2534" s="2">
        <v>321</v>
      </c>
      <c r="S2534" s="2">
        <v>107.44289999999999</v>
      </c>
      <c r="T2534" s="2">
        <v>288</v>
      </c>
      <c r="U2534" s="2">
        <v>0.37657000000000002</v>
      </c>
      <c r="V2534" s="2">
        <v>212</v>
      </c>
      <c r="W2534" s="2">
        <v>2009</v>
      </c>
    </row>
    <row r="2535" spans="1:23" ht="12.3" hidden="1" x14ac:dyDescent="0.4">
      <c r="A2535" s="2" t="s">
        <v>206</v>
      </c>
      <c r="B2535" s="2"/>
      <c r="C2535" s="2"/>
      <c r="D2535" s="2"/>
      <c r="E2535" s="2"/>
      <c r="F2535" s="2"/>
      <c r="G2535" s="2"/>
      <c r="H2535" s="2"/>
      <c r="I2535" s="2">
        <v>65.965199999999996</v>
      </c>
      <c r="J2535" s="2">
        <v>183</v>
      </c>
      <c r="K2535" s="2">
        <v>65.507599999999996</v>
      </c>
      <c r="L2535" s="2">
        <v>210</v>
      </c>
      <c r="M2535" s="2">
        <v>107.89879999999999</v>
      </c>
      <c r="N2535" s="2">
        <v>61</v>
      </c>
      <c r="O2535" s="2">
        <v>108.78440000000001</v>
      </c>
      <c r="P2535" s="2">
        <v>57</v>
      </c>
      <c r="Q2535" s="2">
        <v>114.55540000000001</v>
      </c>
      <c r="R2535" s="2">
        <v>343</v>
      </c>
      <c r="S2535" s="2">
        <v>113.75830000000001</v>
      </c>
      <c r="T2535" s="2">
        <v>340</v>
      </c>
      <c r="U2535" s="2">
        <v>0.37422299999999997</v>
      </c>
      <c r="V2535" s="2">
        <v>213</v>
      </c>
      <c r="W2535" s="2">
        <v>2009</v>
      </c>
    </row>
    <row r="2536" spans="1:23" ht="12.3" hidden="1" x14ac:dyDescent="0.4">
      <c r="A2536" s="2" t="s">
        <v>266</v>
      </c>
      <c r="B2536" s="2"/>
      <c r="C2536" s="2"/>
      <c r="D2536" s="2"/>
      <c r="E2536" s="2"/>
      <c r="F2536" s="2"/>
      <c r="G2536" s="2"/>
      <c r="H2536" s="2"/>
      <c r="I2536" s="2">
        <v>68.924700000000001</v>
      </c>
      <c r="J2536" s="2">
        <v>82</v>
      </c>
      <c r="K2536" s="2">
        <v>67.652100000000004</v>
      </c>
      <c r="L2536" s="2">
        <v>115</v>
      </c>
      <c r="M2536" s="2">
        <v>98.802899999999994</v>
      </c>
      <c r="N2536" s="2">
        <v>220</v>
      </c>
      <c r="O2536" s="2">
        <v>97.949100000000001</v>
      </c>
      <c r="P2536" s="2">
        <v>233</v>
      </c>
      <c r="Q2536" s="2">
        <v>104.4208</v>
      </c>
      <c r="R2536" s="2">
        <v>242</v>
      </c>
      <c r="S2536" s="2">
        <v>102.4528</v>
      </c>
      <c r="T2536" s="2">
        <v>182</v>
      </c>
      <c r="U2536" s="2">
        <v>0.37356099999999998</v>
      </c>
      <c r="V2536" s="2">
        <v>214</v>
      </c>
      <c r="W2536" s="2">
        <v>2009</v>
      </c>
    </row>
    <row r="2537" spans="1:23" ht="12.3" hidden="1" x14ac:dyDescent="0.4">
      <c r="A2537" s="2" t="s">
        <v>40</v>
      </c>
      <c r="B2537" s="2"/>
      <c r="C2537" s="2"/>
      <c r="D2537" s="2"/>
      <c r="E2537" s="2"/>
      <c r="F2537" s="2"/>
      <c r="G2537" s="2"/>
      <c r="H2537" s="2"/>
      <c r="I2537" s="2">
        <v>65.005799999999994</v>
      </c>
      <c r="J2537" s="2">
        <v>232</v>
      </c>
      <c r="K2537" s="2">
        <v>66.3934</v>
      </c>
      <c r="L2537" s="2">
        <v>168</v>
      </c>
      <c r="M2537" s="2">
        <v>91.221800000000002</v>
      </c>
      <c r="N2537" s="2">
        <v>319</v>
      </c>
      <c r="O2537" s="2">
        <v>97.940399999999997</v>
      </c>
      <c r="P2537" s="2">
        <v>234</v>
      </c>
      <c r="Q2537" s="2">
        <v>108.239</v>
      </c>
      <c r="R2537" s="2">
        <v>309</v>
      </c>
      <c r="S2537" s="2">
        <v>102.5151</v>
      </c>
      <c r="T2537" s="2">
        <v>183</v>
      </c>
      <c r="U2537" s="2">
        <v>0.37168600000000002</v>
      </c>
      <c r="V2537" s="2">
        <v>215</v>
      </c>
      <c r="W2537" s="2">
        <v>2009</v>
      </c>
    </row>
    <row r="2538" spans="1:23" ht="12.3" hidden="1" x14ac:dyDescent="0.4">
      <c r="A2538" s="2" t="s">
        <v>66</v>
      </c>
      <c r="B2538" s="2"/>
      <c r="C2538" s="2"/>
      <c r="D2538" s="2"/>
      <c r="E2538" s="2"/>
      <c r="F2538" s="2"/>
      <c r="G2538" s="2"/>
      <c r="H2538" s="2"/>
      <c r="I2538" s="2">
        <v>65.043800000000005</v>
      </c>
      <c r="J2538" s="2">
        <v>229</v>
      </c>
      <c r="K2538" s="2">
        <v>65.275899999999993</v>
      </c>
      <c r="L2538" s="2">
        <v>223</v>
      </c>
      <c r="M2538" s="2">
        <v>97.906800000000004</v>
      </c>
      <c r="N2538" s="2">
        <v>231</v>
      </c>
      <c r="O2538" s="2">
        <v>94.782499999999999</v>
      </c>
      <c r="P2538" s="2">
        <v>279</v>
      </c>
      <c r="Q2538" s="2">
        <v>99.7851</v>
      </c>
      <c r="R2538" s="2">
        <v>134</v>
      </c>
      <c r="S2538" s="2">
        <v>99.277600000000007</v>
      </c>
      <c r="T2538" s="2">
        <v>123</v>
      </c>
      <c r="U2538" s="2">
        <v>0.36985099999999999</v>
      </c>
      <c r="V2538" s="2">
        <v>216</v>
      </c>
      <c r="W2538" s="2">
        <v>2009</v>
      </c>
    </row>
    <row r="2539" spans="1:23" ht="12.3" hidden="1" x14ac:dyDescent="0.4">
      <c r="A2539" s="2" t="s">
        <v>279</v>
      </c>
      <c r="B2539" s="2"/>
      <c r="C2539" s="2"/>
      <c r="D2539" s="2"/>
      <c r="E2539" s="2"/>
      <c r="F2539" s="2"/>
      <c r="G2539" s="2"/>
      <c r="H2539" s="2"/>
      <c r="I2539" s="2">
        <v>63.5443</v>
      </c>
      <c r="J2539" s="2">
        <v>280</v>
      </c>
      <c r="K2539" s="2">
        <v>63.259399999999999</v>
      </c>
      <c r="L2539" s="2">
        <v>291</v>
      </c>
      <c r="M2539" s="2">
        <v>106.5925</v>
      </c>
      <c r="N2539" s="2">
        <v>80</v>
      </c>
      <c r="O2539" s="2">
        <v>104.73139999999999</v>
      </c>
      <c r="P2539" s="2">
        <v>109</v>
      </c>
      <c r="Q2539" s="2">
        <v>109.0124</v>
      </c>
      <c r="R2539" s="2">
        <v>318</v>
      </c>
      <c r="S2539" s="2">
        <v>109.8141</v>
      </c>
      <c r="T2539" s="2">
        <v>315</v>
      </c>
      <c r="U2539" s="2">
        <v>0.36703000000000002</v>
      </c>
      <c r="V2539" s="2">
        <v>217</v>
      </c>
      <c r="W2539" s="2">
        <v>2009</v>
      </c>
    </row>
    <row r="2540" spans="1:23" ht="12.3" hidden="1" x14ac:dyDescent="0.4">
      <c r="A2540" s="2" t="s">
        <v>207</v>
      </c>
      <c r="B2540" s="2"/>
      <c r="C2540" s="2"/>
      <c r="D2540" s="2"/>
      <c r="E2540" s="2"/>
      <c r="F2540" s="2"/>
      <c r="G2540" s="2"/>
      <c r="H2540" s="2"/>
      <c r="I2540" s="2">
        <v>66.396199999999993</v>
      </c>
      <c r="J2540" s="2">
        <v>165</v>
      </c>
      <c r="K2540" s="2">
        <v>65.864099999999993</v>
      </c>
      <c r="L2540" s="2">
        <v>191</v>
      </c>
      <c r="M2540" s="2">
        <v>96.435599999999994</v>
      </c>
      <c r="N2540" s="2">
        <v>265</v>
      </c>
      <c r="O2540" s="2">
        <v>99.404600000000002</v>
      </c>
      <c r="P2540" s="2">
        <v>211</v>
      </c>
      <c r="Q2540" s="2">
        <v>109.32429999999999</v>
      </c>
      <c r="R2540" s="2">
        <v>323</v>
      </c>
      <c r="S2540" s="2">
        <v>104.3356</v>
      </c>
      <c r="T2540" s="2">
        <v>231</v>
      </c>
      <c r="U2540" s="2">
        <v>0.36429600000000001</v>
      </c>
      <c r="V2540" s="2">
        <v>218</v>
      </c>
      <c r="W2540" s="2">
        <v>2009</v>
      </c>
    </row>
    <row r="2541" spans="1:23" ht="12.3" hidden="1" x14ac:dyDescent="0.4">
      <c r="A2541" s="2" t="s">
        <v>322</v>
      </c>
      <c r="B2541" s="2"/>
      <c r="C2541" s="2"/>
      <c r="D2541" s="2"/>
      <c r="E2541" s="2"/>
      <c r="F2541" s="2"/>
      <c r="G2541" s="2"/>
      <c r="H2541" s="2"/>
      <c r="I2541" s="2">
        <v>65.078400000000002</v>
      </c>
      <c r="J2541" s="2">
        <v>223</v>
      </c>
      <c r="K2541" s="2">
        <v>66.641199999999998</v>
      </c>
      <c r="L2541" s="2">
        <v>159</v>
      </c>
      <c r="M2541" s="2">
        <v>99.9739</v>
      </c>
      <c r="N2541" s="2">
        <v>196</v>
      </c>
      <c r="O2541" s="2">
        <v>100.9615</v>
      </c>
      <c r="P2541" s="2">
        <v>180</v>
      </c>
      <c r="Q2541" s="2">
        <v>106.67010000000001</v>
      </c>
      <c r="R2541" s="2">
        <v>284</v>
      </c>
      <c r="S2541" s="2">
        <v>105.9842</v>
      </c>
      <c r="T2541" s="2">
        <v>267</v>
      </c>
      <c r="U2541" s="2">
        <v>0.36393199999999998</v>
      </c>
      <c r="V2541" s="2">
        <v>219</v>
      </c>
      <c r="W2541" s="2">
        <v>2009</v>
      </c>
    </row>
    <row r="2542" spans="1:23" ht="12.3" hidden="1" x14ac:dyDescent="0.4">
      <c r="A2542" s="2" t="s">
        <v>317</v>
      </c>
      <c r="B2542" s="2"/>
      <c r="C2542" s="2"/>
      <c r="D2542" s="2"/>
      <c r="E2542" s="2"/>
      <c r="F2542" s="2"/>
      <c r="G2542" s="2"/>
      <c r="H2542" s="2"/>
      <c r="I2542" s="2">
        <v>66.205799999999996</v>
      </c>
      <c r="J2542" s="2">
        <v>174</v>
      </c>
      <c r="K2542" s="2">
        <v>67.074299999999994</v>
      </c>
      <c r="L2542" s="2">
        <v>140</v>
      </c>
      <c r="M2542" s="2">
        <v>97.293099999999995</v>
      </c>
      <c r="N2542" s="2">
        <v>243</v>
      </c>
      <c r="O2542" s="2">
        <v>99.716399999999993</v>
      </c>
      <c r="P2542" s="2">
        <v>207</v>
      </c>
      <c r="Q2542" s="2">
        <v>104.71550000000001</v>
      </c>
      <c r="R2542" s="2">
        <v>248</v>
      </c>
      <c r="S2542" s="2">
        <v>104.74460000000001</v>
      </c>
      <c r="T2542" s="2">
        <v>241</v>
      </c>
      <c r="U2542" s="2">
        <v>0.36221999999999999</v>
      </c>
      <c r="V2542" s="2">
        <v>220</v>
      </c>
      <c r="W2542" s="2">
        <v>2009</v>
      </c>
    </row>
    <row r="2543" spans="1:23" ht="12.3" hidden="1" x14ac:dyDescent="0.4">
      <c r="A2543" s="2" t="s">
        <v>284</v>
      </c>
      <c r="B2543" s="2"/>
      <c r="C2543" s="2"/>
      <c r="D2543" s="2"/>
      <c r="E2543" s="2"/>
      <c r="F2543" s="2"/>
      <c r="G2543" s="2"/>
      <c r="H2543" s="2"/>
      <c r="I2543" s="2">
        <v>60.412999999999997</v>
      </c>
      <c r="J2543" s="2">
        <v>331</v>
      </c>
      <c r="K2543" s="2">
        <v>61.1496</v>
      </c>
      <c r="L2543" s="2">
        <v>326</v>
      </c>
      <c r="M2543" s="2">
        <v>98.506100000000004</v>
      </c>
      <c r="N2543" s="2">
        <v>225</v>
      </c>
      <c r="O2543" s="2">
        <v>96.137600000000006</v>
      </c>
      <c r="P2543" s="2">
        <v>260</v>
      </c>
      <c r="Q2543" s="2">
        <v>100.66379999999999</v>
      </c>
      <c r="R2543" s="2">
        <v>155</v>
      </c>
      <c r="S2543" s="2">
        <v>101.0063</v>
      </c>
      <c r="T2543" s="2">
        <v>159</v>
      </c>
      <c r="U2543" s="2">
        <v>0.36166799999999999</v>
      </c>
      <c r="V2543" s="2">
        <v>221</v>
      </c>
      <c r="W2543" s="2">
        <v>2009</v>
      </c>
    </row>
    <row r="2544" spans="1:23" ht="12.3" hidden="1" x14ac:dyDescent="0.4">
      <c r="A2544" s="2" t="s">
        <v>318</v>
      </c>
      <c r="B2544" s="2"/>
      <c r="C2544" s="2"/>
      <c r="D2544" s="2"/>
      <c r="E2544" s="2"/>
      <c r="F2544" s="2"/>
      <c r="G2544" s="2"/>
      <c r="H2544" s="2"/>
      <c r="I2544" s="2">
        <v>70.081299999999999</v>
      </c>
      <c r="J2544" s="2">
        <v>56</v>
      </c>
      <c r="K2544" s="2">
        <v>68.956900000000005</v>
      </c>
      <c r="L2544" s="2">
        <v>69</v>
      </c>
      <c r="M2544" s="2">
        <v>103.6704</v>
      </c>
      <c r="N2544" s="2">
        <v>129</v>
      </c>
      <c r="O2544" s="2">
        <v>103.501</v>
      </c>
      <c r="P2544" s="2">
        <v>132</v>
      </c>
      <c r="Q2544" s="2">
        <v>106.1584</v>
      </c>
      <c r="R2544" s="2">
        <v>270</v>
      </c>
      <c r="S2544" s="2">
        <v>108.7448</v>
      </c>
      <c r="T2544" s="2">
        <v>304</v>
      </c>
      <c r="U2544" s="2">
        <v>0.36161700000000002</v>
      </c>
      <c r="V2544" s="2">
        <v>222</v>
      </c>
      <c r="W2544" s="2">
        <v>2009</v>
      </c>
    </row>
    <row r="2545" spans="1:23" ht="12.3" hidden="1" x14ac:dyDescent="0.4">
      <c r="A2545" s="2" t="s">
        <v>211</v>
      </c>
      <c r="B2545" s="2"/>
      <c r="C2545" s="2"/>
      <c r="D2545" s="2"/>
      <c r="E2545" s="2"/>
      <c r="F2545" s="2"/>
      <c r="G2545" s="2"/>
      <c r="H2545" s="2"/>
      <c r="I2545" s="2">
        <v>70.886700000000005</v>
      </c>
      <c r="J2545" s="2">
        <v>35</v>
      </c>
      <c r="K2545" s="2">
        <v>69.567499999999995</v>
      </c>
      <c r="L2545" s="2">
        <v>54</v>
      </c>
      <c r="M2545" s="2">
        <v>101.5732</v>
      </c>
      <c r="N2545" s="2">
        <v>167</v>
      </c>
      <c r="O2545" s="2">
        <v>100.5536</v>
      </c>
      <c r="P2545" s="2">
        <v>190</v>
      </c>
      <c r="Q2545" s="2">
        <v>105.9791</v>
      </c>
      <c r="R2545" s="2">
        <v>269</v>
      </c>
      <c r="S2545" s="2">
        <v>105.7568</v>
      </c>
      <c r="T2545" s="2">
        <v>263</v>
      </c>
      <c r="U2545" s="2">
        <v>0.35888900000000001</v>
      </c>
      <c r="V2545" s="2">
        <v>223</v>
      </c>
      <c r="W2545" s="2">
        <v>2009</v>
      </c>
    </row>
    <row r="2546" spans="1:23" ht="12.3" hidden="1" x14ac:dyDescent="0.4">
      <c r="A2546" s="2" t="s">
        <v>357</v>
      </c>
      <c r="B2546" s="2"/>
      <c r="C2546" s="2"/>
      <c r="D2546" s="2"/>
      <c r="E2546" s="2"/>
      <c r="F2546" s="2"/>
      <c r="G2546" s="2"/>
      <c r="H2546" s="2"/>
      <c r="I2546" s="2">
        <v>69.487499999999997</v>
      </c>
      <c r="J2546" s="2">
        <v>68</v>
      </c>
      <c r="K2546" s="2">
        <v>70.592799999999997</v>
      </c>
      <c r="L2546" s="2">
        <v>30</v>
      </c>
      <c r="M2546" s="2">
        <v>105.127</v>
      </c>
      <c r="N2546" s="2">
        <v>103</v>
      </c>
      <c r="O2546" s="2">
        <v>104.0825</v>
      </c>
      <c r="P2546" s="2">
        <v>123</v>
      </c>
      <c r="Q2546" s="2">
        <v>106.6943</v>
      </c>
      <c r="R2546" s="2">
        <v>285</v>
      </c>
      <c r="S2546" s="2">
        <v>109.5321</v>
      </c>
      <c r="T2546" s="2">
        <v>312</v>
      </c>
      <c r="U2546" s="2">
        <v>0.35735099999999997</v>
      </c>
      <c r="V2546" s="2">
        <v>224</v>
      </c>
      <c r="W2546" s="2">
        <v>2009</v>
      </c>
    </row>
    <row r="2547" spans="1:23" ht="12.3" hidden="1" x14ac:dyDescent="0.4">
      <c r="A2547" s="2" t="s">
        <v>74</v>
      </c>
      <c r="B2547" s="2"/>
      <c r="C2547" s="2"/>
      <c r="D2547" s="2"/>
      <c r="E2547" s="2"/>
      <c r="F2547" s="2"/>
      <c r="G2547" s="2"/>
      <c r="H2547" s="2"/>
      <c r="I2547" s="2">
        <v>63.703200000000002</v>
      </c>
      <c r="J2547" s="2">
        <v>275</v>
      </c>
      <c r="K2547" s="2">
        <v>64.323400000000007</v>
      </c>
      <c r="L2547" s="2">
        <v>263</v>
      </c>
      <c r="M2547" s="2">
        <v>93.936700000000002</v>
      </c>
      <c r="N2547" s="2">
        <v>292</v>
      </c>
      <c r="O2547" s="2">
        <v>98.454999999999998</v>
      </c>
      <c r="P2547" s="2">
        <v>223</v>
      </c>
      <c r="Q2547" s="2">
        <v>104.50579999999999</v>
      </c>
      <c r="R2547" s="2">
        <v>245</v>
      </c>
      <c r="S2547" s="2">
        <v>103.7423</v>
      </c>
      <c r="T2547" s="2">
        <v>215</v>
      </c>
      <c r="U2547" s="2">
        <v>0.35398200000000002</v>
      </c>
      <c r="V2547" s="2">
        <v>225</v>
      </c>
      <c r="W2547" s="2">
        <v>2009</v>
      </c>
    </row>
    <row r="2548" spans="1:23" ht="12.3" hidden="1" x14ac:dyDescent="0.4">
      <c r="A2548" s="2" t="s">
        <v>283</v>
      </c>
      <c r="B2548" s="2"/>
      <c r="C2548" s="2"/>
      <c r="D2548" s="2"/>
      <c r="E2548" s="2"/>
      <c r="F2548" s="2"/>
      <c r="G2548" s="2"/>
      <c r="H2548" s="2"/>
      <c r="I2548" s="2">
        <v>68.391900000000007</v>
      </c>
      <c r="J2548" s="2">
        <v>100</v>
      </c>
      <c r="K2548" s="2">
        <v>67.375600000000006</v>
      </c>
      <c r="L2548" s="2">
        <v>126</v>
      </c>
      <c r="M2548" s="2">
        <v>90.758399999999995</v>
      </c>
      <c r="N2548" s="2">
        <v>321</v>
      </c>
      <c r="O2548" s="2">
        <v>93.2102</v>
      </c>
      <c r="P2548" s="2">
        <v>298</v>
      </c>
      <c r="Q2548" s="2">
        <v>97.84</v>
      </c>
      <c r="R2548" s="2">
        <v>91</v>
      </c>
      <c r="S2548" s="2">
        <v>98.221000000000004</v>
      </c>
      <c r="T2548" s="2">
        <v>92</v>
      </c>
      <c r="U2548" s="2">
        <v>0.35384700000000002</v>
      </c>
      <c r="V2548" s="2">
        <v>226</v>
      </c>
      <c r="W2548" s="2">
        <v>2009</v>
      </c>
    </row>
    <row r="2549" spans="1:23" ht="12.3" hidden="1" x14ac:dyDescent="0.4">
      <c r="A2549" s="2" t="s">
        <v>150</v>
      </c>
      <c r="B2549" s="2"/>
      <c r="C2549" s="2"/>
      <c r="D2549" s="2"/>
      <c r="E2549" s="2"/>
      <c r="F2549" s="2"/>
      <c r="G2549" s="2"/>
      <c r="H2549" s="2"/>
      <c r="I2549" s="2">
        <v>64.687899999999999</v>
      </c>
      <c r="J2549" s="2">
        <v>250</v>
      </c>
      <c r="K2549" s="2">
        <v>65.3245</v>
      </c>
      <c r="L2549" s="2">
        <v>220</v>
      </c>
      <c r="M2549" s="2">
        <v>96.991600000000005</v>
      </c>
      <c r="N2549" s="2">
        <v>250</v>
      </c>
      <c r="O2549" s="2">
        <v>98.380499999999998</v>
      </c>
      <c r="P2549" s="2">
        <v>226</v>
      </c>
      <c r="Q2549" s="2">
        <v>103.23609999999999</v>
      </c>
      <c r="R2549" s="2">
        <v>216</v>
      </c>
      <c r="S2549" s="2">
        <v>103.70529999999999</v>
      </c>
      <c r="T2549" s="2">
        <v>214</v>
      </c>
      <c r="U2549" s="2">
        <v>0.352933</v>
      </c>
      <c r="V2549" s="2">
        <v>227</v>
      </c>
      <c r="W2549" s="2">
        <v>2009</v>
      </c>
    </row>
    <row r="2550" spans="1:23" ht="12.3" hidden="1" x14ac:dyDescent="0.4">
      <c r="A2550" s="2" t="s">
        <v>152</v>
      </c>
      <c r="B2550" s="2"/>
      <c r="C2550" s="2"/>
      <c r="D2550" s="2"/>
      <c r="E2550" s="2"/>
      <c r="F2550" s="2"/>
      <c r="G2550" s="2"/>
      <c r="H2550" s="2"/>
      <c r="I2550" s="2">
        <v>61.114800000000002</v>
      </c>
      <c r="J2550" s="2">
        <v>326</v>
      </c>
      <c r="K2550" s="2">
        <v>61.4788</v>
      </c>
      <c r="L2550" s="2">
        <v>320</v>
      </c>
      <c r="M2550" s="2">
        <v>95.552400000000006</v>
      </c>
      <c r="N2550" s="2">
        <v>273</v>
      </c>
      <c r="O2550" s="2">
        <v>97.813699999999997</v>
      </c>
      <c r="P2550" s="2">
        <v>235</v>
      </c>
      <c r="Q2550" s="2">
        <v>102.4744</v>
      </c>
      <c r="R2550" s="2">
        <v>202</v>
      </c>
      <c r="S2550" s="2">
        <v>103.1221</v>
      </c>
      <c r="T2550" s="2">
        <v>201</v>
      </c>
      <c r="U2550" s="2">
        <v>0.35256900000000002</v>
      </c>
      <c r="V2550" s="2">
        <v>228</v>
      </c>
      <c r="W2550" s="2">
        <v>2009</v>
      </c>
    </row>
    <row r="2551" spans="1:23" ht="12.3" hidden="1" x14ac:dyDescent="0.4">
      <c r="A2551" s="2" t="s">
        <v>163</v>
      </c>
      <c r="B2551" s="2"/>
      <c r="C2551" s="2"/>
      <c r="D2551" s="2"/>
      <c r="E2551" s="2"/>
      <c r="F2551" s="2"/>
      <c r="G2551" s="2"/>
      <c r="H2551" s="2"/>
      <c r="I2551" s="2">
        <v>64.475399999999993</v>
      </c>
      <c r="J2551" s="2">
        <v>258</v>
      </c>
      <c r="K2551" s="2">
        <v>65.572900000000004</v>
      </c>
      <c r="L2551" s="2">
        <v>206</v>
      </c>
      <c r="M2551" s="2">
        <v>100.3954</v>
      </c>
      <c r="N2551" s="2">
        <v>188</v>
      </c>
      <c r="O2551" s="2">
        <v>100.1686</v>
      </c>
      <c r="P2551" s="2">
        <v>198</v>
      </c>
      <c r="Q2551" s="2">
        <v>106.2059</v>
      </c>
      <c r="R2551" s="2">
        <v>271</v>
      </c>
      <c r="S2551" s="2">
        <v>105.7833</v>
      </c>
      <c r="T2551" s="2">
        <v>265</v>
      </c>
      <c r="U2551" s="2">
        <v>0.34815000000000002</v>
      </c>
      <c r="V2551" s="2">
        <v>229</v>
      </c>
      <c r="W2551" s="2">
        <v>2009</v>
      </c>
    </row>
    <row r="2552" spans="1:23" ht="12.3" hidden="1" x14ac:dyDescent="0.4">
      <c r="A2552" s="2" t="s">
        <v>300</v>
      </c>
      <c r="B2552" s="2"/>
      <c r="C2552" s="2"/>
      <c r="D2552" s="2"/>
      <c r="E2552" s="2"/>
      <c r="F2552" s="2"/>
      <c r="G2552" s="2"/>
      <c r="H2552" s="2"/>
      <c r="I2552" s="2">
        <v>69.787999999999997</v>
      </c>
      <c r="J2552" s="2">
        <v>62</v>
      </c>
      <c r="K2552" s="2">
        <v>70.269000000000005</v>
      </c>
      <c r="L2552" s="2">
        <v>38</v>
      </c>
      <c r="M2552" s="2">
        <v>99.530699999999996</v>
      </c>
      <c r="N2552" s="2">
        <v>206</v>
      </c>
      <c r="O2552" s="2">
        <v>97.117900000000006</v>
      </c>
      <c r="P2552" s="2">
        <v>247</v>
      </c>
      <c r="Q2552" s="2">
        <v>96.2209</v>
      </c>
      <c r="R2552" s="2">
        <v>57</v>
      </c>
      <c r="S2552" s="2">
        <v>102.59439999999999</v>
      </c>
      <c r="T2552" s="2">
        <v>186</v>
      </c>
      <c r="U2552" s="2">
        <v>0.34731299999999998</v>
      </c>
      <c r="V2552" s="2">
        <v>230</v>
      </c>
      <c r="W2552" s="2">
        <v>2009</v>
      </c>
    </row>
    <row r="2553" spans="1:23" ht="12.3" hidden="1" x14ac:dyDescent="0.4">
      <c r="A2553" s="2" t="s">
        <v>319</v>
      </c>
      <c r="B2553" s="2"/>
      <c r="C2553" s="2"/>
      <c r="D2553" s="2"/>
      <c r="E2553" s="2"/>
      <c r="F2553" s="2"/>
      <c r="G2553" s="2"/>
      <c r="H2553" s="2"/>
      <c r="I2553" s="2">
        <v>71.997299999999996</v>
      </c>
      <c r="J2553" s="2">
        <v>20</v>
      </c>
      <c r="K2553" s="2">
        <v>69.518299999999996</v>
      </c>
      <c r="L2553" s="2">
        <v>56</v>
      </c>
      <c r="M2553" s="2">
        <v>98.839399999999998</v>
      </c>
      <c r="N2553" s="2">
        <v>217</v>
      </c>
      <c r="O2553" s="2">
        <v>95.337199999999996</v>
      </c>
      <c r="P2553" s="2">
        <v>272</v>
      </c>
      <c r="Q2553" s="2">
        <v>99.920900000000003</v>
      </c>
      <c r="R2553" s="2">
        <v>136</v>
      </c>
      <c r="S2553" s="2">
        <v>100.84690000000001</v>
      </c>
      <c r="T2553" s="2">
        <v>155</v>
      </c>
      <c r="U2553" s="2">
        <v>0.34386699999999998</v>
      </c>
      <c r="V2553" s="2">
        <v>231</v>
      </c>
      <c r="W2553" s="2">
        <v>2009</v>
      </c>
    </row>
    <row r="2554" spans="1:23" ht="12.3" hidden="1" x14ac:dyDescent="0.4">
      <c r="A2554" s="2" t="s">
        <v>204</v>
      </c>
      <c r="B2554" s="2"/>
      <c r="C2554" s="2"/>
      <c r="D2554" s="2"/>
      <c r="E2554" s="2"/>
      <c r="F2554" s="2"/>
      <c r="G2554" s="2"/>
      <c r="H2554" s="2"/>
      <c r="I2554" s="2">
        <v>59.226300000000002</v>
      </c>
      <c r="J2554" s="2">
        <v>338</v>
      </c>
      <c r="K2554" s="2">
        <v>58.811</v>
      </c>
      <c r="L2554" s="2">
        <v>340</v>
      </c>
      <c r="M2554" s="2">
        <v>96.649500000000003</v>
      </c>
      <c r="N2554" s="2">
        <v>261</v>
      </c>
      <c r="O2554" s="2">
        <v>97.273300000000006</v>
      </c>
      <c r="P2554" s="2">
        <v>242</v>
      </c>
      <c r="Q2554" s="2">
        <v>105.37220000000001</v>
      </c>
      <c r="R2554" s="2">
        <v>257</v>
      </c>
      <c r="S2554" s="2">
        <v>102.90049999999999</v>
      </c>
      <c r="T2554" s="2">
        <v>193</v>
      </c>
      <c r="U2554" s="2">
        <v>0.34372599999999998</v>
      </c>
      <c r="V2554" s="2">
        <v>232</v>
      </c>
      <c r="W2554" s="2">
        <v>2009</v>
      </c>
    </row>
    <row r="2555" spans="1:23" ht="12.3" hidden="1" x14ac:dyDescent="0.4">
      <c r="A2555" s="2" t="s">
        <v>231</v>
      </c>
      <c r="B2555" s="2"/>
      <c r="C2555" s="2"/>
      <c r="D2555" s="2"/>
      <c r="E2555" s="2"/>
      <c r="F2555" s="2"/>
      <c r="G2555" s="2"/>
      <c r="H2555" s="2"/>
      <c r="I2555" s="2">
        <v>64.972099999999998</v>
      </c>
      <c r="J2555" s="2">
        <v>234</v>
      </c>
      <c r="K2555" s="2">
        <v>64.818200000000004</v>
      </c>
      <c r="L2555" s="2">
        <v>242</v>
      </c>
      <c r="M2555" s="2">
        <v>97.5959</v>
      </c>
      <c r="N2555" s="2">
        <v>238</v>
      </c>
      <c r="O2555" s="2">
        <v>98.447999999999993</v>
      </c>
      <c r="P2555" s="2">
        <v>224</v>
      </c>
      <c r="Q2555" s="2">
        <v>108.9483</v>
      </c>
      <c r="R2555" s="2">
        <v>316</v>
      </c>
      <c r="S2555" s="2">
        <v>104.2582</v>
      </c>
      <c r="T2555" s="2">
        <v>229</v>
      </c>
      <c r="U2555" s="2">
        <v>0.340866</v>
      </c>
      <c r="V2555" s="2">
        <v>233</v>
      </c>
      <c r="W2555" s="2">
        <v>2009</v>
      </c>
    </row>
    <row r="2556" spans="1:23" ht="12.3" hidden="1" x14ac:dyDescent="0.4">
      <c r="A2556" s="2" t="s">
        <v>343</v>
      </c>
      <c r="B2556" s="2"/>
      <c r="C2556" s="2"/>
      <c r="D2556" s="2"/>
      <c r="E2556" s="2"/>
      <c r="F2556" s="2"/>
      <c r="G2556" s="2"/>
      <c r="H2556" s="2"/>
      <c r="I2556" s="2">
        <v>67.800700000000006</v>
      </c>
      <c r="J2556" s="2">
        <v>116</v>
      </c>
      <c r="K2556" s="2">
        <v>68.578999999999994</v>
      </c>
      <c r="L2556" s="2">
        <v>83</v>
      </c>
      <c r="M2556" s="2">
        <v>103.2234</v>
      </c>
      <c r="N2556" s="2">
        <v>139</v>
      </c>
      <c r="O2556" s="2">
        <v>99.319500000000005</v>
      </c>
      <c r="P2556" s="2">
        <v>216</v>
      </c>
      <c r="Q2556" s="2">
        <v>99.730699999999999</v>
      </c>
      <c r="R2556" s="2">
        <v>132</v>
      </c>
      <c r="S2556" s="2">
        <v>105.23690000000001</v>
      </c>
      <c r="T2556" s="2">
        <v>253</v>
      </c>
      <c r="U2556" s="2">
        <v>0.33949800000000002</v>
      </c>
      <c r="V2556" s="2">
        <v>234</v>
      </c>
      <c r="W2556" s="2">
        <v>2009</v>
      </c>
    </row>
    <row r="2557" spans="1:23" ht="12.3" hidden="1" x14ac:dyDescent="0.4">
      <c r="A2557" s="2" t="s">
        <v>257</v>
      </c>
      <c r="B2557" s="2"/>
      <c r="C2557" s="2"/>
      <c r="D2557" s="2"/>
      <c r="E2557" s="2"/>
      <c r="F2557" s="2"/>
      <c r="G2557" s="2"/>
      <c r="H2557" s="2"/>
      <c r="I2557" s="2">
        <v>62.066299999999998</v>
      </c>
      <c r="J2557" s="2">
        <v>315</v>
      </c>
      <c r="K2557" s="2">
        <v>62.220199999999998</v>
      </c>
      <c r="L2557" s="2">
        <v>316</v>
      </c>
      <c r="M2557" s="2">
        <v>95.398899999999998</v>
      </c>
      <c r="N2557" s="2">
        <v>275</v>
      </c>
      <c r="O2557" s="2">
        <v>94.887500000000003</v>
      </c>
      <c r="P2557" s="2">
        <v>277</v>
      </c>
      <c r="Q2557" s="2">
        <v>100.6767</v>
      </c>
      <c r="R2557" s="2">
        <v>156</v>
      </c>
      <c r="S2557" s="2">
        <v>100.7024</v>
      </c>
      <c r="T2557" s="2">
        <v>151</v>
      </c>
      <c r="U2557" s="2">
        <v>0.33537</v>
      </c>
      <c r="V2557" s="2">
        <v>235</v>
      </c>
      <c r="W2557" s="2">
        <v>2009</v>
      </c>
    </row>
    <row r="2558" spans="1:23" ht="12.3" hidden="1" x14ac:dyDescent="0.4">
      <c r="A2558" s="2" t="s">
        <v>310</v>
      </c>
      <c r="B2558" s="2"/>
      <c r="C2558" s="2"/>
      <c r="D2558" s="2"/>
      <c r="E2558" s="2"/>
      <c r="F2558" s="2"/>
      <c r="G2558" s="2"/>
      <c r="H2558" s="2"/>
      <c r="I2558" s="2">
        <v>62.761299999999999</v>
      </c>
      <c r="J2558" s="2">
        <v>295</v>
      </c>
      <c r="K2558" s="2">
        <v>63.122399999999999</v>
      </c>
      <c r="L2558" s="2">
        <v>296</v>
      </c>
      <c r="M2558" s="2">
        <v>96.206699999999998</v>
      </c>
      <c r="N2558" s="2">
        <v>269</v>
      </c>
      <c r="O2558" s="2">
        <v>97.7393</v>
      </c>
      <c r="P2558" s="2">
        <v>237</v>
      </c>
      <c r="Q2558" s="2">
        <v>101.892</v>
      </c>
      <c r="R2558" s="2">
        <v>189</v>
      </c>
      <c r="S2558" s="2">
        <v>103.7544</v>
      </c>
      <c r="T2558" s="2">
        <v>217</v>
      </c>
      <c r="U2558" s="2">
        <v>0.33474199999999998</v>
      </c>
      <c r="V2558" s="2">
        <v>236</v>
      </c>
      <c r="W2558" s="2">
        <v>2009</v>
      </c>
    </row>
    <row r="2559" spans="1:23" ht="12.3" hidden="1" x14ac:dyDescent="0.4">
      <c r="A2559" s="2" t="s">
        <v>208</v>
      </c>
      <c r="B2559" s="2"/>
      <c r="C2559" s="2"/>
      <c r="D2559" s="2"/>
      <c r="E2559" s="2"/>
      <c r="F2559" s="2"/>
      <c r="G2559" s="2"/>
      <c r="H2559" s="2"/>
      <c r="I2559" s="2">
        <v>59.612099999999998</v>
      </c>
      <c r="J2559" s="2">
        <v>336</v>
      </c>
      <c r="K2559" s="2">
        <v>58.863700000000001</v>
      </c>
      <c r="L2559" s="2">
        <v>339</v>
      </c>
      <c r="M2559" s="2">
        <v>102.68729999999999</v>
      </c>
      <c r="N2559" s="2">
        <v>149</v>
      </c>
      <c r="O2559" s="2">
        <v>101.30370000000001</v>
      </c>
      <c r="P2559" s="2">
        <v>167</v>
      </c>
      <c r="Q2559" s="2">
        <v>105.7794</v>
      </c>
      <c r="R2559" s="2">
        <v>265</v>
      </c>
      <c r="S2559" s="2">
        <v>107.65170000000001</v>
      </c>
      <c r="T2559" s="2">
        <v>291</v>
      </c>
      <c r="U2559" s="2">
        <v>0.33204499999999998</v>
      </c>
      <c r="V2559" s="2">
        <v>237</v>
      </c>
      <c r="W2559" s="2">
        <v>2009</v>
      </c>
    </row>
    <row r="2560" spans="1:23" ht="12.3" hidden="1" x14ac:dyDescent="0.4">
      <c r="A2560" s="2" t="s">
        <v>237</v>
      </c>
      <c r="B2560" s="2"/>
      <c r="C2560" s="2"/>
      <c r="D2560" s="2"/>
      <c r="E2560" s="2"/>
      <c r="F2560" s="2"/>
      <c r="G2560" s="2"/>
      <c r="H2560" s="2"/>
      <c r="I2560" s="2">
        <v>62.952300000000001</v>
      </c>
      <c r="J2560" s="2">
        <v>294</v>
      </c>
      <c r="K2560" s="2">
        <v>63.763500000000001</v>
      </c>
      <c r="L2560" s="2">
        <v>275</v>
      </c>
      <c r="M2560" s="2">
        <v>101.9611</v>
      </c>
      <c r="N2560" s="2">
        <v>165</v>
      </c>
      <c r="O2560" s="2">
        <v>99.974999999999994</v>
      </c>
      <c r="P2560" s="2">
        <v>203</v>
      </c>
      <c r="Q2560" s="2">
        <v>107.4941</v>
      </c>
      <c r="R2560" s="2">
        <v>296</v>
      </c>
      <c r="S2560" s="2">
        <v>106.297</v>
      </c>
      <c r="T2560" s="2">
        <v>272</v>
      </c>
      <c r="U2560" s="2">
        <v>0.33067200000000002</v>
      </c>
      <c r="V2560" s="2">
        <v>238</v>
      </c>
      <c r="W2560" s="2">
        <v>2009</v>
      </c>
    </row>
    <row r="2561" spans="1:23" ht="12.3" hidden="1" x14ac:dyDescent="0.4">
      <c r="A2561" s="2" t="s">
        <v>246</v>
      </c>
      <c r="B2561" s="2"/>
      <c r="C2561" s="2"/>
      <c r="D2561" s="2"/>
      <c r="E2561" s="2"/>
      <c r="F2561" s="2"/>
      <c r="G2561" s="2"/>
      <c r="H2561" s="2"/>
      <c r="I2561" s="2">
        <v>68.374200000000002</v>
      </c>
      <c r="J2561" s="2">
        <v>101</v>
      </c>
      <c r="K2561" s="2">
        <v>68.332899999999995</v>
      </c>
      <c r="L2561" s="2">
        <v>91</v>
      </c>
      <c r="M2561" s="2">
        <v>103.4879</v>
      </c>
      <c r="N2561" s="2">
        <v>133</v>
      </c>
      <c r="O2561" s="2">
        <v>99.419799999999995</v>
      </c>
      <c r="P2561" s="2">
        <v>210</v>
      </c>
      <c r="Q2561" s="2">
        <v>106.4802</v>
      </c>
      <c r="R2561" s="2">
        <v>278</v>
      </c>
      <c r="S2561" s="2">
        <v>105.7685</v>
      </c>
      <c r="T2561" s="2">
        <v>264</v>
      </c>
      <c r="U2561" s="2">
        <v>0.32918700000000001</v>
      </c>
      <c r="V2561" s="2">
        <v>239</v>
      </c>
      <c r="W2561" s="2">
        <v>2009</v>
      </c>
    </row>
    <row r="2562" spans="1:23" ht="12.3" hidden="1" x14ac:dyDescent="0.4">
      <c r="A2562" s="2" t="s">
        <v>160</v>
      </c>
      <c r="B2562" s="2"/>
      <c r="C2562" s="2"/>
      <c r="D2562" s="2"/>
      <c r="E2562" s="2"/>
      <c r="F2562" s="2"/>
      <c r="G2562" s="2"/>
      <c r="H2562" s="2"/>
      <c r="I2562" s="2">
        <v>65.754199999999997</v>
      </c>
      <c r="J2562" s="2">
        <v>193</v>
      </c>
      <c r="K2562" s="2">
        <v>66.229799999999997</v>
      </c>
      <c r="L2562" s="2">
        <v>172</v>
      </c>
      <c r="M2562" s="2">
        <v>94.834299999999999</v>
      </c>
      <c r="N2562" s="2">
        <v>282</v>
      </c>
      <c r="O2562" s="2">
        <v>95.556399999999996</v>
      </c>
      <c r="P2562" s="2">
        <v>271</v>
      </c>
      <c r="Q2562" s="2">
        <v>96.8887</v>
      </c>
      <c r="R2562" s="2">
        <v>76</v>
      </c>
      <c r="S2562" s="2">
        <v>101.7304</v>
      </c>
      <c r="T2562" s="2">
        <v>169</v>
      </c>
      <c r="U2562" s="2">
        <v>0.32739099999999999</v>
      </c>
      <c r="V2562" s="2">
        <v>240</v>
      </c>
      <c r="W2562" s="2">
        <v>2009</v>
      </c>
    </row>
    <row r="2563" spans="1:23" ht="12.3" hidden="1" x14ac:dyDescent="0.4">
      <c r="A2563" s="2" t="s">
        <v>255</v>
      </c>
      <c r="B2563" s="2"/>
      <c r="C2563" s="2"/>
      <c r="D2563" s="2"/>
      <c r="E2563" s="2"/>
      <c r="F2563" s="2"/>
      <c r="G2563" s="2"/>
      <c r="H2563" s="2"/>
      <c r="I2563" s="2">
        <v>64.471599999999995</v>
      </c>
      <c r="J2563" s="2">
        <v>259</v>
      </c>
      <c r="K2563" s="2">
        <v>66.096900000000005</v>
      </c>
      <c r="L2563" s="2">
        <v>176</v>
      </c>
      <c r="M2563" s="2">
        <v>102.08</v>
      </c>
      <c r="N2563" s="2">
        <v>161</v>
      </c>
      <c r="O2563" s="2">
        <v>101.50620000000001</v>
      </c>
      <c r="P2563" s="2">
        <v>163</v>
      </c>
      <c r="Q2563" s="2">
        <v>104.43429999999999</v>
      </c>
      <c r="R2563" s="2">
        <v>243</v>
      </c>
      <c r="S2563" s="2">
        <v>108.3612</v>
      </c>
      <c r="T2563" s="2">
        <v>301</v>
      </c>
      <c r="U2563" s="2">
        <v>0.32048900000000002</v>
      </c>
      <c r="V2563" s="2">
        <v>241</v>
      </c>
      <c r="W2563" s="2">
        <v>2009</v>
      </c>
    </row>
    <row r="2564" spans="1:23" ht="12.3" hidden="1" x14ac:dyDescent="0.4">
      <c r="A2564" s="2" t="s">
        <v>312</v>
      </c>
      <c r="B2564" s="2"/>
      <c r="C2564" s="2"/>
      <c r="D2564" s="2"/>
      <c r="E2564" s="2"/>
      <c r="F2564" s="2"/>
      <c r="G2564" s="2"/>
      <c r="H2564" s="2"/>
      <c r="I2564" s="2">
        <v>70.049199999999999</v>
      </c>
      <c r="J2564" s="2">
        <v>57</v>
      </c>
      <c r="K2564" s="2">
        <v>68.627700000000004</v>
      </c>
      <c r="L2564" s="2">
        <v>80</v>
      </c>
      <c r="M2564" s="2">
        <v>99.631500000000003</v>
      </c>
      <c r="N2564" s="2">
        <v>204</v>
      </c>
      <c r="O2564" s="2">
        <v>96.626499999999993</v>
      </c>
      <c r="P2564" s="2">
        <v>252</v>
      </c>
      <c r="Q2564" s="2">
        <v>100.3754</v>
      </c>
      <c r="R2564" s="2">
        <v>147</v>
      </c>
      <c r="S2564" s="2">
        <v>103.2103</v>
      </c>
      <c r="T2564" s="2">
        <v>205</v>
      </c>
      <c r="U2564" s="2">
        <v>0.319073</v>
      </c>
      <c r="V2564" s="2">
        <v>242</v>
      </c>
      <c r="W2564" s="2">
        <v>2009</v>
      </c>
    </row>
    <row r="2565" spans="1:23" ht="12.3" hidden="1" x14ac:dyDescent="0.4">
      <c r="A2565" s="2" t="s">
        <v>348</v>
      </c>
      <c r="B2565" s="2"/>
      <c r="C2565" s="2"/>
      <c r="D2565" s="2"/>
      <c r="E2565" s="2"/>
      <c r="F2565" s="2"/>
      <c r="G2565" s="2"/>
      <c r="H2565" s="2"/>
      <c r="I2565" s="2">
        <v>75.250900000000001</v>
      </c>
      <c r="J2565" s="2">
        <v>7</v>
      </c>
      <c r="K2565" s="2">
        <v>75.422399999999996</v>
      </c>
      <c r="L2565" s="2">
        <v>4</v>
      </c>
      <c r="M2565" s="2">
        <v>107.66800000000001</v>
      </c>
      <c r="N2565" s="2">
        <v>68</v>
      </c>
      <c r="O2565" s="2">
        <v>104.4315</v>
      </c>
      <c r="P2565" s="2">
        <v>116</v>
      </c>
      <c r="Q2565" s="2">
        <v>104.9468</v>
      </c>
      <c r="R2565" s="2">
        <v>252</v>
      </c>
      <c r="S2565" s="2">
        <v>111.62</v>
      </c>
      <c r="T2565" s="2">
        <v>330</v>
      </c>
      <c r="U2565" s="2">
        <v>0.317444</v>
      </c>
      <c r="V2565" s="2">
        <v>243</v>
      </c>
      <c r="W2565" s="2">
        <v>2009</v>
      </c>
    </row>
    <row r="2566" spans="1:23" ht="12.3" hidden="1" x14ac:dyDescent="0.4">
      <c r="A2566" s="2" t="s">
        <v>172</v>
      </c>
      <c r="B2566" s="2"/>
      <c r="C2566" s="2"/>
      <c r="D2566" s="2"/>
      <c r="E2566" s="2"/>
      <c r="F2566" s="2"/>
      <c r="G2566" s="2"/>
      <c r="H2566" s="2"/>
      <c r="I2566" s="2">
        <v>64.934399999999997</v>
      </c>
      <c r="J2566" s="2">
        <v>237</v>
      </c>
      <c r="K2566" s="2">
        <v>65.557599999999994</v>
      </c>
      <c r="L2566" s="2">
        <v>207</v>
      </c>
      <c r="M2566" s="2">
        <v>96.820300000000003</v>
      </c>
      <c r="N2566" s="2">
        <v>254</v>
      </c>
      <c r="O2566" s="2">
        <v>94.482900000000001</v>
      </c>
      <c r="P2566" s="2">
        <v>284</v>
      </c>
      <c r="Q2566" s="2">
        <v>98.340800000000002</v>
      </c>
      <c r="R2566" s="2">
        <v>100</v>
      </c>
      <c r="S2566" s="2">
        <v>101.07210000000001</v>
      </c>
      <c r="T2566" s="2">
        <v>160</v>
      </c>
      <c r="U2566" s="2">
        <v>0.31533800000000001</v>
      </c>
      <c r="V2566" s="2">
        <v>244</v>
      </c>
      <c r="W2566" s="2">
        <v>2009</v>
      </c>
    </row>
    <row r="2567" spans="1:23" ht="12.3" hidden="1" x14ac:dyDescent="0.4">
      <c r="A2567" s="2" t="s">
        <v>143</v>
      </c>
      <c r="B2567" s="2"/>
      <c r="C2567" s="2"/>
      <c r="D2567" s="2"/>
      <c r="E2567" s="2"/>
      <c r="F2567" s="2"/>
      <c r="G2567" s="2"/>
      <c r="H2567" s="2"/>
      <c r="I2567" s="2">
        <v>68.849100000000007</v>
      </c>
      <c r="J2567" s="2">
        <v>84</v>
      </c>
      <c r="K2567" s="2">
        <v>68.091499999999996</v>
      </c>
      <c r="L2567" s="2">
        <v>101</v>
      </c>
      <c r="M2567" s="2">
        <v>91.555999999999997</v>
      </c>
      <c r="N2567" s="2">
        <v>314</v>
      </c>
      <c r="O2567" s="2">
        <v>93.589100000000002</v>
      </c>
      <c r="P2567" s="2">
        <v>294</v>
      </c>
      <c r="Q2567" s="2">
        <v>98.989000000000004</v>
      </c>
      <c r="R2567" s="2">
        <v>114</v>
      </c>
      <c r="S2567" s="2">
        <v>100.1426</v>
      </c>
      <c r="T2567" s="2">
        <v>140</v>
      </c>
      <c r="U2567" s="2">
        <v>0.31467699999999998</v>
      </c>
      <c r="V2567" s="2">
        <v>245</v>
      </c>
      <c r="W2567" s="2">
        <v>2009</v>
      </c>
    </row>
    <row r="2568" spans="1:23" ht="12.3" hidden="1" x14ac:dyDescent="0.4">
      <c r="A2568" s="2" t="s">
        <v>281</v>
      </c>
      <c r="B2568" s="2"/>
      <c r="C2568" s="2"/>
      <c r="D2568" s="2"/>
      <c r="E2568" s="2"/>
      <c r="F2568" s="2"/>
      <c r="G2568" s="2"/>
      <c r="H2568" s="2"/>
      <c r="I2568" s="2">
        <v>70.338999999999999</v>
      </c>
      <c r="J2568" s="2">
        <v>44</v>
      </c>
      <c r="K2568" s="2">
        <v>69.179699999999997</v>
      </c>
      <c r="L2568" s="2">
        <v>61</v>
      </c>
      <c r="M2568" s="2">
        <v>100.13890000000001</v>
      </c>
      <c r="N2568" s="2">
        <v>192</v>
      </c>
      <c r="O2568" s="2">
        <v>101.90600000000001</v>
      </c>
      <c r="P2568" s="2">
        <v>156</v>
      </c>
      <c r="Q2568" s="2">
        <v>109.22499999999999</v>
      </c>
      <c r="R2568" s="2">
        <v>322</v>
      </c>
      <c r="S2568" s="2">
        <v>109.0446</v>
      </c>
      <c r="T2568" s="2">
        <v>305</v>
      </c>
      <c r="U2568" s="2">
        <v>0.31461699999999998</v>
      </c>
      <c r="V2568" s="2">
        <v>246</v>
      </c>
      <c r="W2568" s="2">
        <v>2009</v>
      </c>
    </row>
    <row r="2569" spans="1:23" ht="12.3" hidden="1" x14ac:dyDescent="0.4">
      <c r="A2569" s="2" t="s">
        <v>368</v>
      </c>
      <c r="B2569" s="2"/>
      <c r="C2569" s="2"/>
      <c r="D2569" s="2"/>
      <c r="E2569" s="2"/>
      <c r="F2569" s="2"/>
      <c r="G2569" s="2"/>
      <c r="H2569" s="2"/>
      <c r="I2569" s="2">
        <v>63.706499999999998</v>
      </c>
      <c r="J2569" s="2">
        <v>274</v>
      </c>
      <c r="K2569" s="2">
        <v>62.378599999999999</v>
      </c>
      <c r="L2569" s="2">
        <v>313</v>
      </c>
      <c r="M2569" s="2">
        <v>92.303399999999996</v>
      </c>
      <c r="N2569" s="2">
        <v>308</v>
      </c>
      <c r="O2569" s="2">
        <v>91.656599999999997</v>
      </c>
      <c r="P2569" s="2">
        <v>312</v>
      </c>
      <c r="Q2569" s="2">
        <v>99.6374</v>
      </c>
      <c r="R2569" s="2">
        <v>126</v>
      </c>
      <c r="S2569" s="2">
        <v>98.113</v>
      </c>
      <c r="T2569" s="2">
        <v>88</v>
      </c>
      <c r="U2569" s="2">
        <v>0.31371199999999999</v>
      </c>
      <c r="V2569" s="2">
        <v>247</v>
      </c>
      <c r="W2569" s="2">
        <v>2009</v>
      </c>
    </row>
    <row r="2570" spans="1:23" ht="12.3" hidden="1" x14ac:dyDescent="0.4">
      <c r="A2570" s="2" t="s">
        <v>252</v>
      </c>
      <c r="B2570" s="2"/>
      <c r="C2570" s="2"/>
      <c r="D2570" s="2"/>
      <c r="E2570" s="2"/>
      <c r="F2570" s="2"/>
      <c r="G2570" s="2"/>
      <c r="H2570" s="2"/>
      <c r="I2570" s="2">
        <v>63.411700000000003</v>
      </c>
      <c r="J2570" s="2">
        <v>285</v>
      </c>
      <c r="K2570" s="2">
        <v>64.628699999999995</v>
      </c>
      <c r="L2570" s="2">
        <v>246</v>
      </c>
      <c r="M2570" s="2">
        <v>100.7278</v>
      </c>
      <c r="N2570" s="2">
        <v>181</v>
      </c>
      <c r="O2570" s="2">
        <v>100.9671</v>
      </c>
      <c r="P2570" s="2">
        <v>179</v>
      </c>
      <c r="Q2570" s="2">
        <v>108.2141</v>
      </c>
      <c r="R2570" s="2">
        <v>308</v>
      </c>
      <c r="S2570" s="2">
        <v>108.1421</v>
      </c>
      <c r="T2570" s="2">
        <v>298</v>
      </c>
      <c r="U2570" s="2">
        <v>0.31227700000000003</v>
      </c>
      <c r="V2570" s="2">
        <v>248</v>
      </c>
      <c r="W2570" s="2">
        <v>2009</v>
      </c>
    </row>
    <row r="2571" spans="1:23" ht="12.3" hidden="1" x14ac:dyDescent="0.4">
      <c r="A2571" s="2" t="s">
        <v>101</v>
      </c>
      <c r="B2571" s="2"/>
      <c r="C2571" s="2"/>
      <c r="D2571" s="2"/>
      <c r="E2571" s="2"/>
      <c r="F2571" s="2"/>
      <c r="G2571" s="2"/>
      <c r="H2571" s="2"/>
      <c r="I2571" s="2">
        <v>60.819400000000002</v>
      </c>
      <c r="J2571" s="2">
        <v>329</v>
      </c>
      <c r="K2571" s="2">
        <v>61.368699999999997</v>
      </c>
      <c r="L2571" s="2">
        <v>322</v>
      </c>
      <c r="M2571" s="2">
        <v>94.010199999999998</v>
      </c>
      <c r="N2571" s="2">
        <v>291</v>
      </c>
      <c r="O2571" s="2">
        <v>93.965599999999995</v>
      </c>
      <c r="P2571" s="2">
        <v>289</v>
      </c>
      <c r="Q2571" s="2">
        <v>97.078599999999994</v>
      </c>
      <c r="R2571" s="2">
        <v>80</v>
      </c>
      <c r="S2571" s="2">
        <v>100.65860000000001</v>
      </c>
      <c r="T2571" s="2">
        <v>150</v>
      </c>
      <c r="U2571" s="2">
        <v>0.31189699999999998</v>
      </c>
      <c r="V2571" s="2">
        <v>249</v>
      </c>
      <c r="W2571" s="2">
        <v>2009</v>
      </c>
    </row>
    <row r="2572" spans="1:23" ht="12.3" hidden="1" x14ac:dyDescent="0.4">
      <c r="A2572" s="2" t="s">
        <v>107</v>
      </c>
      <c r="B2572" s="2"/>
      <c r="C2572" s="2"/>
      <c r="D2572" s="2"/>
      <c r="E2572" s="2"/>
      <c r="F2572" s="2"/>
      <c r="G2572" s="2"/>
      <c r="H2572" s="2"/>
      <c r="I2572" s="2">
        <v>65.835899999999995</v>
      </c>
      <c r="J2572" s="2">
        <v>190</v>
      </c>
      <c r="K2572" s="2">
        <v>65.591499999999996</v>
      </c>
      <c r="L2572" s="2">
        <v>202</v>
      </c>
      <c r="M2572" s="2">
        <v>93.7547</v>
      </c>
      <c r="N2572" s="2">
        <v>295</v>
      </c>
      <c r="O2572" s="2">
        <v>93.147199999999998</v>
      </c>
      <c r="P2572" s="2">
        <v>302</v>
      </c>
      <c r="Q2572" s="2">
        <v>96.828299999999999</v>
      </c>
      <c r="R2572" s="2">
        <v>73</v>
      </c>
      <c r="S2572" s="2">
        <v>99.781999999999996</v>
      </c>
      <c r="T2572" s="2">
        <v>133</v>
      </c>
      <c r="U2572" s="2">
        <v>0.31189499999999998</v>
      </c>
      <c r="V2572" s="2">
        <v>250</v>
      </c>
      <c r="W2572" s="2">
        <v>2009</v>
      </c>
    </row>
    <row r="2573" spans="1:23" ht="12.3" hidden="1" x14ac:dyDescent="0.4">
      <c r="A2573" s="2" t="s">
        <v>339</v>
      </c>
      <c r="B2573" s="2"/>
      <c r="C2573" s="2"/>
      <c r="D2573" s="2"/>
      <c r="E2573" s="2"/>
      <c r="F2573" s="2"/>
      <c r="G2573" s="2"/>
      <c r="H2573" s="2"/>
      <c r="I2573" s="2">
        <v>65.376400000000004</v>
      </c>
      <c r="J2573" s="2">
        <v>209</v>
      </c>
      <c r="K2573" s="2">
        <v>65.264799999999994</v>
      </c>
      <c r="L2573" s="2">
        <v>224</v>
      </c>
      <c r="M2573" s="2">
        <v>97.475899999999996</v>
      </c>
      <c r="N2573" s="2">
        <v>240</v>
      </c>
      <c r="O2573" s="2">
        <v>96.105000000000004</v>
      </c>
      <c r="P2573" s="2">
        <v>261</v>
      </c>
      <c r="Q2573" s="2">
        <v>100.4941</v>
      </c>
      <c r="R2573" s="2">
        <v>149</v>
      </c>
      <c r="S2573" s="2">
        <v>103.121</v>
      </c>
      <c r="T2573" s="2">
        <v>200</v>
      </c>
      <c r="U2573" s="2">
        <v>0.30782399999999999</v>
      </c>
      <c r="V2573" s="2">
        <v>251</v>
      </c>
      <c r="W2573" s="2">
        <v>2009</v>
      </c>
    </row>
    <row r="2574" spans="1:23" ht="12.3" hidden="1" x14ac:dyDescent="0.4">
      <c r="A2574" s="2" t="s">
        <v>224</v>
      </c>
      <c r="B2574" s="2"/>
      <c r="C2574" s="2"/>
      <c r="D2574" s="2"/>
      <c r="E2574" s="2"/>
      <c r="F2574" s="2"/>
      <c r="G2574" s="2"/>
      <c r="H2574" s="2"/>
      <c r="I2574" s="2">
        <v>67.730599999999995</v>
      </c>
      <c r="J2574" s="2">
        <v>121</v>
      </c>
      <c r="K2574" s="2">
        <v>67.822699999999998</v>
      </c>
      <c r="L2574" s="2">
        <v>109</v>
      </c>
      <c r="M2574" s="2">
        <v>94.530500000000004</v>
      </c>
      <c r="N2574" s="2">
        <v>287</v>
      </c>
      <c r="O2574" s="2">
        <v>94.597099999999998</v>
      </c>
      <c r="P2574" s="2">
        <v>282</v>
      </c>
      <c r="Q2574" s="2">
        <v>104.7328</v>
      </c>
      <c r="R2574" s="2">
        <v>249</v>
      </c>
      <c r="S2574" s="2">
        <v>101.7607</v>
      </c>
      <c r="T2574" s="2">
        <v>171</v>
      </c>
      <c r="U2574" s="2">
        <v>0.30164800000000003</v>
      </c>
      <c r="V2574" s="2">
        <v>252</v>
      </c>
      <c r="W2574" s="2">
        <v>2009</v>
      </c>
    </row>
    <row r="2575" spans="1:23" ht="12.3" hidden="1" x14ac:dyDescent="0.4">
      <c r="A2575" s="2" t="s">
        <v>254</v>
      </c>
      <c r="B2575" s="2"/>
      <c r="C2575" s="2"/>
      <c r="D2575" s="2"/>
      <c r="E2575" s="2"/>
      <c r="F2575" s="2"/>
      <c r="G2575" s="2"/>
      <c r="H2575" s="2"/>
      <c r="I2575" s="2">
        <v>62.423200000000001</v>
      </c>
      <c r="J2575" s="2">
        <v>304</v>
      </c>
      <c r="K2575" s="2">
        <v>63.114699999999999</v>
      </c>
      <c r="L2575" s="2">
        <v>298</v>
      </c>
      <c r="M2575" s="2">
        <v>101.8331</v>
      </c>
      <c r="N2575" s="2">
        <v>166</v>
      </c>
      <c r="O2575" s="2">
        <v>99.793599999999998</v>
      </c>
      <c r="P2575" s="2">
        <v>205</v>
      </c>
      <c r="Q2575" s="2">
        <v>108.57680000000001</v>
      </c>
      <c r="R2575" s="2">
        <v>313</v>
      </c>
      <c r="S2575" s="2">
        <v>107.3715</v>
      </c>
      <c r="T2575" s="2">
        <v>287</v>
      </c>
      <c r="U2575" s="2">
        <v>0.301178</v>
      </c>
      <c r="V2575" s="2">
        <v>253</v>
      </c>
      <c r="W2575" s="2">
        <v>2009</v>
      </c>
    </row>
    <row r="2576" spans="1:23" ht="12.3" hidden="1" x14ac:dyDescent="0.4">
      <c r="A2576" s="2" t="s">
        <v>114</v>
      </c>
      <c r="B2576" s="2"/>
      <c r="C2576" s="2"/>
      <c r="D2576" s="2"/>
      <c r="E2576" s="2"/>
      <c r="F2576" s="2"/>
      <c r="G2576" s="2"/>
      <c r="H2576" s="2"/>
      <c r="I2576" s="2">
        <v>72.643699999999995</v>
      </c>
      <c r="J2576" s="2">
        <v>13</v>
      </c>
      <c r="K2576" s="2">
        <v>72.448099999999997</v>
      </c>
      <c r="L2576" s="2">
        <v>14</v>
      </c>
      <c r="M2576" s="2">
        <v>100.5643</v>
      </c>
      <c r="N2576" s="2">
        <v>183</v>
      </c>
      <c r="O2576" s="2">
        <v>96.324399999999997</v>
      </c>
      <c r="P2576" s="2">
        <v>256</v>
      </c>
      <c r="Q2576" s="2">
        <v>103.6751</v>
      </c>
      <c r="R2576" s="2">
        <v>227</v>
      </c>
      <c r="S2576" s="2">
        <v>103.68380000000001</v>
      </c>
      <c r="T2576" s="2">
        <v>213</v>
      </c>
      <c r="U2576" s="2">
        <v>0.30012899999999998</v>
      </c>
      <c r="V2576" s="2">
        <v>254</v>
      </c>
      <c r="W2576" s="2">
        <v>2009</v>
      </c>
    </row>
    <row r="2577" spans="1:23" ht="12.3" hidden="1" x14ac:dyDescent="0.4">
      <c r="A2577" s="2" t="s">
        <v>253</v>
      </c>
      <c r="B2577" s="2"/>
      <c r="C2577" s="2"/>
      <c r="D2577" s="2"/>
      <c r="E2577" s="2"/>
      <c r="F2577" s="2"/>
      <c r="G2577" s="2"/>
      <c r="H2577" s="2"/>
      <c r="I2577" s="2">
        <v>70.7333</v>
      </c>
      <c r="J2577" s="2">
        <v>39</v>
      </c>
      <c r="K2577" s="2">
        <v>70.608599999999996</v>
      </c>
      <c r="L2577" s="2">
        <v>29</v>
      </c>
      <c r="M2577" s="2">
        <v>103.07810000000001</v>
      </c>
      <c r="N2577" s="2">
        <v>143</v>
      </c>
      <c r="O2577" s="2">
        <v>100.8185</v>
      </c>
      <c r="P2577" s="2">
        <v>184</v>
      </c>
      <c r="Q2577" s="2">
        <v>107.3439</v>
      </c>
      <c r="R2577" s="2">
        <v>295</v>
      </c>
      <c r="S2577" s="2">
        <v>108.5496</v>
      </c>
      <c r="T2577" s="2">
        <v>303</v>
      </c>
      <c r="U2577" s="2">
        <v>0.29949999999999999</v>
      </c>
      <c r="V2577" s="2">
        <v>255</v>
      </c>
      <c r="W2577" s="2">
        <v>2009</v>
      </c>
    </row>
    <row r="2578" spans="1:23" ht="12.3" hidden="1" x14ac:dyDescent="0.4">
      <c r="A2578" s="2" t="s">
        <v>173</v>
      </c>
      <c r="B2578" s="2"/>
      <c r="C2578" s="2"/>
      <c r="D2578" s="2"/>
      <c r="E2578" s="2"/>
      <c r="F2578" s="2"/>
      <c r="G2578" s="2"/>
      <c r="H2578" s="2"/>
      <c r="I2578" s="2">
        <v>65.874600000000001</v>
      </c>
      <c r="J2578" s="2">
        <v>187</v>
      </c>
      <c r="K2578" s="2">
        <v>65.534099999999995</v>
      </c>
      <c r="L2578" s="2">
        <v>209</v>
      </c>
      <c r="M2578" s="2">
        <v>100.38030000000001</v>
      </c>
      <c r="N2578" s="2">
        <v>189</v>
      </c>
      <c r="O2578" s="2">
        <v>103.363</v>
      </c>
      <c r="P2578" s="2">
        <v>133</v>
      </c>
      <c r="Q2578" s="2">
        <v>110.1264</v>
      </c>
      <c r="R2578" s="2">
        <v>330</v>
      </c>
      <c r="S2578" s="2">
        <v>111.3074</v>
      </c>
      <c r="T2578" s="2">
        <v>327</v>
      </c>
      <c r="U2578" s="2">
        <v>0.29910500000000001</v>
      </c>
      <c r="V2578" s="2">
        <v>256</v>
      </c>
      <c r="W2578" s="2">
        <v>2009</v>
      </c>
    </row>
    <row r="2579" spans="1:23" ht="12.3" hidden="1" x14ac:dyDescent="0.4">
      <c r="A2579" s="2" t="s">
        <v>235</v>
      </c>
      <c r="B2579" s="2"/>
      <c r="C2579" s="2"/>
      <c r="D2579" s="2"/>
      <c r="E2579" s="2"/>
      <c r="F2579" s="2"/>
      <c r="G2579" s="2"/>
      <c r="H2579" s="2"/>
      <c r="I2579" s="2">
        <v>63.160899999999998</v>
      </c>
      <c r="J2579" s="2">
        <v>291</v>
      </c>
      <c r="K2579" s="2">
        <v>63.1708</v>
      </c>
      <c r="L2579" s="2">
        <v>294</v>
      </c>
      <c r="M2579" s="2">
        <v>97.246200000000002</v>
      </c>
      <c r="N2579" s="2">
        <v>244</v>
      </c>
      <c r="O2579" s="2">
        <v>97.975300000000004</v>
      </c>
      <c r="P2579" s="2">
        <v>232</v>
      </c>
      <c r="Q2579" s="2">
        <v>101.2077</v>
      </c>
      <c r="R2579" s="2">
        <v>169</v>
      </c>
      <c r="S2579" s="2">
        <v>105.63379999999999</v>
      </c>
      <c r="T2579" s="2">
        <v>260</v>
      </c>
      <c r="U2579" s="2">
        <v>0.29618699999999998</v>
      </c>
      <c r="V2579" s="2">
        <v>257</v>
      </c>
      <c r="W2579" s="2">
        <v>2009</v>
      </c>
    </row>
    <row r="2580" spans="1:23" ht="12.3" hidden="1" x14ac:dyDescent="0.4">
      <c r="A2580" s="2" t="s">
        <v>293</v>
      </c>
      <c r="B2580" s="2"/>
      <c r="C2580" s="2"/>
      <c r="D2580" s="2"/>
      <c r="E2580" s="2"/>
      <c r="F2580" s="2"/>
      <c r="G2580" s="2"/>
      <c r="H2580" s="2"/>
      <c r="I2580" s="2">
        <v>65.634500000000003</v>
      </c>
      <c r="J2580" s="2">
        <v>199</v>
      </c>
      <c r="K2580" s="2">
        <v>66.790499999999994</v>
      </c>
      <c r="L2580" s="2">
        <v>152</v>
      </c>
      <c r="M2580" s="2">
        <v>97.805199999999999</v>
      </c>
      <c r="N2580" s="2">
        <v>235</v>
      </c>
      <c r="O2580" s="2">
        <v>100.06950000000001</v>
      </c>
      <c r="P2580" s="2">
        <v>202</v>
      </c>
      <c r="Q2580" s="2">
        <v>106.6084</v>
      </c>
      <c r="R2580" s="2">
        <v>280</v>
      </c>
      <c r="S2580" s="2">
        <v>107.99250000000001</v>
      </c>
      <c r="T2580" s="2">
        <v>297</v>
      </c>
      <c r="U2580" s="2">
        <v>0.29395199999999999</v>
      </c>
      <c r="V2580" s="2">
        <v>258</v>
      </c>
      <c r="W2580" s="2">
        <v>2009</v>
      </c>
    </row>
    <row r="2581" spans="1:23" ht="12.3" hidden="1" x14ac:dyDescent="0.4">
      <c r="A2581" s="2" t="s">
        <v>176</v>
      </c>
      <c r="B2581" s="2"/>
      <c r="C2581" s="2"/>
      <c r="D2581" s="2"/>
      <c r="E2581" s="2"/>
      <c r="F2581" s="2"/>
      <c r="G2581" s="2"/>
      <c r="H2581" s="2"/>
      <c r="I2581" s="2">
        <v>58.927700000000002</v>
      </c>
      <c r="J2581" s="2">
        <v>340</v>
      </c>
      <c r="K2581" s="2">
        <v>58.440899999999999</v>
      </c>
      <c r="L2581" s="2">
        <v>342</v>
      </c>
      <c r="M2581" s="2">
        <v>97.143500000000003</v>
      </c>
      <c r="N2581" s="2">
        <v>247</v>
      </c>
      <c r="O2581" s="2">
        <v>95.313599999999994</v>
      </c>
      <c r="P2581" s="2">
        <v>274</v>
      </c>
      <c r="Q2581" s="2">
        <v>97.386099999999999</v>
      </c>
      <c r="R2581" s="2">
        <v>86</v>
      </c>
      <c r="S2581" s="2">
        <v>103.0073</v>
      </c>
      <c r="T2581" s="2">
        <v>195</v>
      </c>
      <c r="U2581" s="2">
        <v>0.29055199999999998</v>
      </c>
      <c r="V2581" s="2">
        <v>259</v>
      </c>
      <c r="W2581" s="2">
        <v>2009</v>
      </c>
    </row>
    <row r="2582" spans="1:23" ht="12.3" hidden="1" x14ac:dyDescent="0.4">
      <c r="A2582" s="2" t="s">
        <v>187</v>
      </c>
      <c r="B2582" s="2"/>
      <c r="C2582" s="2"/>
      <c r="D2582" s="2"/>
      <c r="E2582" s="2"/>
      <c r="F2582" s="2"/>
      <c r="G2582" s="2"/>
      <c r="H2582" s="2"/>
      <c r="I2582" s="2">
        <v>64.394300000000001</v>
      </c>
      <c r="J2582" s="2">
        <v>263</v>
      </c>
      <c r="K2582" s="2">
        <v>64.889399999999995</v>
      </c>
      <c r="L2582" s="2">
        <v>240</v>
      </c>
      <c r="M2582" s="2">
        <v>97.093999999999994</v>
      </c>
      <c r="N2582" s="2">
        <v>248</v>
      </c>
      <c r="O2582" s="2">
        <v>95.930599999999998</v>
      </c>
      <c r="P2582" s="2">
        <v>263</v>
      </c>
      <c r="Q2582" s="2">
        <v>105.16840000000001</v>
      </c>
      <c r="R2582" s="2">
        <v>254</v>
      </c>
      <c r="S2582" s="2">
        <v>103.7474</v>
      </c>
      <c r="T2582" s="2">
        <v>216</v>
      </c>
      <c r="U2582" s="2">
        <v>0.28887800000000002</v>
      </c>
      <c r="V2582" s="2">
        <v>260</v>
      </c>
      <c r="W2582" s="2">
        <v>2009</v>
      </c>
    </row>
    <row r="2583" spans="1:23" ht="12.3" hidden="1" x14ac:dyDescent="0.4">
      <c r="A2583" s="2" t="s">
        <v>335</v>
      </c>
      <c r="B2583" s="2"/>
      <c r="C2583" s="2"/>
      <c r="D2583" s="2"/>
      <c r="E2583" s="2"/>
      <c r="F2583" s="2"/>
      <c r="G2583" s="2"/>
      <c r="H2583" s="2"/>
      <c r="I2583" s="2">
        <v>64.678700000000006</v>
      </c>
      <c r="J2583" s="2">
        <v>252</v>
      </c>
      <c r="K2583" s="2">
        <v>63.892200000000003</v>
      </c>
      <c r="L2583" s="2">
        <v>273</v>
      </c>
      <c r="M2583" s="2">
        <v>91.705500000000001</v>
      </c>
      <c r="N2583" s="2">
        <v>313</v>
      </c>
      <c r="O2583" s="2">
        <v>93.194500000000005</v>
      </c>
      <c r="P2583" s="2">
        <v>299</v>
      </c>
      <c r="Q2583" s="2">
        <v>98.680400000000006</v>
      </c>
      <c r="R2583" s="2">
        <v>106</v>
      </c>
      <c r="S2583" s="2">
        <v>100.79349999999999</v>
      </c>
      <c r="T2583" s="2">
        <v>153</v>
      </c>
      <c r="U2583" s="2">
        <v>0.28875800000000001</v>
      </c>
      <c r="V2583" s="2">
        <v>261</v>
      </c>
      <c r="W2583" s="2">
        <v>2009</v>
      </c>
    </row>
    <row r="2584" spans="1:23" ht="12.3" hidden="1" x14ac:dyDescent="0.4">
      <c r="A2584" s="2" t="s">
        <v>298</v>
      </c>
      <c r="B2584" s="2"/>
      <c r="C2584" s="2"/>
      <c r="D2584" s="2"/>
      <c r="E2584" s="2"/>
      <c r="F2584" s="2"/>
      <c r="G2584" s="2"/>
      <c r="H2584" s="2"/>
      <c r="I2584" s="2">
        <v>68.804500000000004</v>
      </c>
      <c r="J2584" s="2">
        <v>88</v>
      </c>
      <c r="K2584" s="2">
        <v>67.840900000000005</v>
      </c>
      <c r="L2584" s="2">
        <v>107</v>
      </c>
      <c r="M2584" s="2">
        <v>94.196799999999996</v>
      </c>
      <c r="N2584" s="2">
        <v>289</v>
      </c>
      <c r="O2584" s="2">
        <v>95.314800000000005</v>
      </c>
      <c r="P2584" s="2">
        <v>273</v>
      </c>
      <c r="Q2584" s="2">
        <v>100.82340000000001</v>
      </c>
      <c r="R2584" s="2">
        <v>160</v>
      </c>
      <c r="S2584" s="2">
        <v>103.0889</v>
      </c>
      <c r="T2584" s="2">
        <v>199</v>
      </c>
      <c r="U2584" s="2">
        <v>0.28870699999999999</v>
      </c>
      <c r="V2584" s="2">
        <v>262</v>
      </c>
      <c r="W2584" s="2">
        <v>2009</v>
      </c>
    </row>
    <row r="2585" spans="1:23" ht="12.3" hidden="1" x14ac:dyDescent="0.4">
      <c r="A2585" s="2" t="s">
        <v>117</v>
      </c>
      <c r="B2585" s="2"/>
      <c r="C2585" s="2"/>
      <c r="D2585" s="2"/>
      <c r="E2585" s="2"/>
      <c r="F2585" s="2"/>
      <c r="G2585" s="2"/>
      <c r="H2585" s="2"/>
      <c r="I2585" s="2">
        <v>66.872799999999998</v>
      </c>
      <c r="J2585" s="2">
        <v>148</v>
      </c>
      <c r="K2585" s="2">
        <v>67.029200000000003</v>
      </c>
      <c r="L2585" s="2">
        <v>143</v>
      </c>
      <c r="M2585" s="2">
        <v>96.888599999999997</v>
      </c>
      <c r="N2585" s="2">
        <v>252</v>
      </c>
      <c r="O2585" s="2">
        <v>96.337000000000003</v>
      </c>
      <c r="P2585" s="2">
        <v>255</v>
      </c>
      <c r="Q2585" s="2">
        <v>104.218</v>
      </c>
      <c r="R2585" s="2">
        <v>236</v>
      </c>
      <c r="S2585" s="2">
        <v>104.2479</v>
      </c>
      <c r="T2585" s="2">
        <v>228</v>
      </c>
      <c r="U2585" s="2">
        <v>0.28749799999999998</v>
      </c>
      <c r="V2585" s="2">
        <v>263</v>
      </c>
      <c r="W2585" s="2">
        <v>2009</v>
      </c>
    </row>
    <row r="2586" spans="1:23" ht="12.3" hidden="1" x14ac:dyDescent="0.4">
      <c r="A2586" s="2" t="s">
        <v>162</v>
      </c>
      <c r="B2586" s="2"/>
      <c r="C2586" s="2"/>
      <c r="D2586" s="2"/>
      <c r="E2586" s="2"/>
      <c r="F2586" s="2"/>
      <c r="G2586" s="2"/>
      <c r="H2586" s="2"/>
      <c r="I2586" s="2">
        <v>63.718200000000003</v>
      </c>
      <c r="J2586" s="2">
        <v>273</v>
      </c>
      <c r="K2586" s="2">
        <v>65.007099999999994</v>
      </c>
      <c r="L2586" s="2">
        <v>235</v>
      </c>
      <c r="M2586" s="2">
        <v>96.212900000000005</v>
      </c>
      <c r="N2586" s="2">
        <v>268</v>
      </c>
      <c r="O2586" s="2">
        <v>96.388300000000001</v>
      </c>
      <c r="P2586" s="2">
        <v>254</v>
      </c>
      <c r="Q2586" s="2">
        <v>100.2437</v>
      </c>
      <c r="R2586" s="2">
        <v>144</v>
      </c>
      <c r="S2586" s="2">
        <v>104.4628</v>
      </c>
      <c r="T2586" s="2">
        <v>235</v>
      </c>
      <c r="U2586" s="2">
        <v>0.283912</v>
      </c>
      <c r="V2586" s="2">
        <v>264</v>
      </c>
      <c r="W2586" s="2">
        <v>2009</v>
      </c>
    </row>
    <row r="2587" spans="1:23" ht="12.3" hidden="1" x14ac:dyDescent="0.4">
      <c r="A2587" s="2" t="s">
        <v>341</v>
      </c>
      <c r="B2587" s="2"/>
      <c r="C2587" s="2"/>
      <c r="D2587" s="2"/>
      <c r="E2587" s="2"/>
      <c r="F2587" s="2"/>
      <c r="G2587" s="2"/>
      <c r="H2587" s="2"/>
      <c r="I2587" s="2">
        <v>64.912499999999994</v>
      </c>
      <c r="J2587" s="2">
        <v>239</v>
      </c>
      <c r="K2587" s="2">
        <v>65.184600000000003</v>
      </c>
      <c r="L2587" s="2">
        <v>227</v>
      </c>
      <c r="M2587" s="2">
        <v>96.6755</v>
      </c>
      <c r="N2587" s="2">
        <v>258</v>
      </c>
      <c r="O2587" s="2">
        <v>98.383200000000002</v>
      </c>
      <c r="P2587" s="2">
        <v>225</v>
      </c>
      <c r="Q2587" s="2">
        <v>103.2694</v>
      </c>
      <c r="R2587" s="2">
        <v>220</v>
      </c>
      <c r="S2587" s="2">
        <v>107.0617</v>
      </c>
      <c r="T2587" s="2">
        <v>283</v>
      </c>
      <c r="U2587" s="2">
        <v>0.274451</v>
      </c>
      <c r="V2587" s="2">
        <v>265</v>
      </c>
      <c r="W2587" s="2">
        <v>2009</v>
      </c>
    </row>
    <row r="2588" spans="1:23" ht="12.3" hidden="1" x14ac:dyDescent="0.4">
      <c r="A2588" s="2" t="s">
        <v>215</v>
      </c>
      <c r="B2588" s="2"/>
      <c r="C2588" s="2"/>
      <c r="D2588" s="2"/>
      <c r="E2588" s="2"/>
      <c r="F2588" s="2"/>
      <c r="G2588" s="2"/>
      <c r="H2588" s="2"/>
      <c r="I2588" s="2">
        <v>67.283100000000005</v>
      </c>
      <c r="J2588" s="2">
        <v>134</v>
      </c>
      <c r="K2588" s="2">
        <v>67.470699999999994</v>
      </c>
      <c r="L2588" s="2">
        <v>122</v>
      </c>
      <c r="M2588" s="2">
        <v>99.807599999999994</v>
      </c>
      <c r="N2588" s="2">
        <v>202</v>
      </c>
      <c r="O2588" s="2">
        <v>96.862700000000004</v>
      </c>
      <c r="P2588" s="2">
        <v>250</v>
      </c>
      <c r="Q2588" s="2">
        <v>101.11109999999999</v>
      </c>
      <c r="R2588" s="2">
        <v>166</v>
      </c>
      <c r="S2588" s="2">
        <v>105.5256</v>
      </c>
      <c r="T2588" s="2">
        <v>258</v>
      </c>
      <c r="U2588" s="2">
        <v>0.27188499999999999</v>
      </c>
      <c r="V2588" s="2">
        <v>266</v>
      </c>
      <c r="W2588" s="2">
        <v>2009</v>
      </c>
    </row>
    <row r="2589" spans="1:23" ht="12.3" hidden="1" x14ac:dyDescent="0.4">
      <c r="A2589" s="2" t="s">
        <v>260</v>
      </c>
      <c r="B2589" s="2"/>
      <c r="C2589" s="2"/>
      <c r="D2589" s="2"/>
      <c r="E2589" s="2"/>
      <c r="F2589" s="2"/>
      <c r="G2589" s="2"/>
      <c r="H2589" s="2"/>
      <c r="I2589" s="2">
        <v>65.068100000000001</v>
      </c>
      <c r="J2589" s="2">
        <v>227</v>
      </c>
      <c r="K2589" s="2">
        <v>65.453100000000006</v>
      </c>
      <c r="L2589" s="2">
        <v>212</v>
      </c>
      <c r="M2589" s="2">
        <v>95.945599999999999</v>
      </c>
      <c r="N2589" s="2">
        <v>270</v>
      </c>
      <c r="O2589" s="2">
        <v>97.136600000000001</v>
      </c>
      <c r="P2589" s="2">
        <v>244</v>
      </c>
      <c r="Q2589" s="2">
        <v>105.50320000000001</v>
      </c>
      <c r="R2589" s="2">
        <v>262</v>
      </c>
      <c r="S2589" s="2">
        <v>105.8742</v>
      </c>
      <c r="T2589" s="2">
        <v>266</v>
      </c>
      <c r="U2589" s="2">
        <v>0.27080500000000002</v>
      </c>
      <c r="V2589" s="2">
        <v>267</v>
      </c>
      <c r="W2589" s="2">
        <v>2009</v>
      </c>
    </row>
    <row r="2590" spans="1:23" ht="12.3" hidden="1" x14ac:dyDescent="0.4">
      <c r="A2590" s="2" t="s">
        <v>326</v>
      </c>
      <c r="B2590" s="2"/>
      <c r="C2590" s="2"/>
      <c r="D2590" s="2"/>
      <c r="E2590" s="2"/>
      <c r="F2590" s="2"/>
      <c r="G2590" s="2"/>
      <c r="H2590" s="2"/>
      <c r="I2590" s="2">
        <v>66.362200000000001</v>
      </c>
      <c r="J2590" s="2">
        <v>166</v>
      </c>
      <c r="K2590" s="2">
        <v>67.103700000000003</v>
      </c>
      <c r="L2590" s="2">
        <v>136</v>
      </c>
      <c r="M2590" s="2">
        <v>95.088800000000006</v>
      </c>
      <c r="N2590" s="2">
        <v>278</v>
      </c>
      <c r="O2590" s="2">
        <v>92.195899999999995</v>
      </c>
      <c r="P2590" s="2">
        <v>308</v>
      </c>
      <c r="Q2590" s="2">
        <v>93.555700000000002</v>
      </c>
      <c r="R2590" s="2">
        <v>20</v>
      </c>
      <c r="S2590" s="2">
        <v>100.6143</v>
      </c>
      <c r="T2590" s="2">
        <v>149</v>
      </c>
      <c r="U2590" s="2">
        <v>0.26798899999999998</v>
      </c>
      <c r="V2590" s="2">
        <v>268</v>
      </c>
      <c r="W2590" s="2">
        <v>2009</v>
      </c>
    </row>
    <row r="2591" spans="1:23" ht="12.3" hidden="1" x14ac:dyDescent="0.4">
      <c r="A2591" s="2" t="s">
        <v>189</v>
      </c>
      <c r="B2591" s="2"/>
      <c r="C2591" s="2"/>
      <c r="D2591" s="2"/>
      <c r="E2591" s="2"/>
      <c r="F2591" s="2"/>
      <c r="G2591" s="2"/>
      <c r="H2591" s="2"/>
      <c r="I2591" s="2">
        <v>65.796899999999994</v>
      </c>
      <c r="J2591" s="2">
        <v>192</v>
      </c>
      <c r="K2591" s="2">
        <v>66.289000000000001</v>
      </c>
      <c r="L2591" s="2">
        <v>170</v>
      </c>
      <c r="M2591" s="2">
        <v>98.6785</v>
      </c>
      <c r="N2591" s="2">
        <v>222</v>
      </c>
      <c r="O2591" s="2">
        <v>97.330699999999993</v>
      </c>
      <c r="P2591" s="2">
        <v>240</v>
      </c>
      <c r="Q2591" s="2">
        <v>106.7877</v>
      </c>
      <c r="R2591" s="2">
        <v>286</v>
      </c>
      <c r="S2591" s="2">
        <v>106.3095</v>
      </c>
      <c r="T2591" s="2">
        <v>273</v>
      </c>
      <c r="U2591" s="2">
        <v>0.26605000000000001</v>
      </c>
      <c r="V2591" s="2">
        <v>269</v>
      </c>
      <c r="W2591" s="2">
        <v>2009</v>
      </c>
    </row>
    <row r="2592" spans="1:23" ht="12.3" hidden="1" x14ac:dyDescent="0.4">
      <c r="A2592" s="2" t="s">
        <v>370</v>
      </c>
      <c r="B2592" s="2"/>
      <c r="C2592" s="2"/>
      <c r="D2592" s="2"/>
      <c r="E2592" s="2"/>
      <c r="F2592" s="2"/>
      <c r="G2592" s="2"/>
      <c r="H2592" s="2"/>
      <c r="I2592" s="2">
        <v>65.558199999999999</v>
      </c>
      <c r="J2592" s="2">
        <v>201</v>
      </c>
      <c r="K2592" s="2">
        <v>65.931799999999996</v>
      </c>
      <c r="L2592" s="2">
        <v>185</v>
      </c>
      <c r="M2592" s="2">
        <v>98.644800000000004</v>
      </c>
      <c r="N2592" s="2">
        <v>223</v>
      </c>
      <c r="O2592" s="2">
        <v>98.714399999999998</v>
      </c>
      <c r="P2592" s="2">
        <v>221</v>
      </c>
      <c r="Q2592" s="2">
        <v>108.9881</v>
      </c>
      <c r="R2592" s="2">
        <v>317</v>
      </c>
      <c r="S2592" s="2">
        <v>107.8694</v>
      </c>
      <c r="T2592" s="2">
        <v>295</v>
      </c>
      <c r="U2592" s="2">
        <v>0.26503700000000002</v>
      </c>
      <c r="V2592" s="2">
        <v>270</v>
      </c>
      <c r="W2592" s="2">
        <v>2009</v>
      </c>
    </row>
    <row r="2593" spans="1:23" ht="12.3" hidden="1" x14ac:dyDescent="0.4">
      <c r="A2593" s="2" t="s">
        <v>240</v>
      </c>
      <c r="B2593" s="2"/>
      <c r="C2593" s="2"/>
      <c r="D2593" s="2"/>
      <c r="E2593" s="2"/>
      <c r="F2593" s="2"/>
      <c r="G2593" s="2"/>
      <c r="H2593" s="2"/>
      <c r="I2593" s="2">
        <v>64.8078</v>
      </c>
      <c r="J2593" s="2">
        <v>245</v>
      </c>
      <c r="K2593" s="2">
        <v>62.887999999999998</v>
      </c>
      <c r="L2593" s="2">
        <v>301</v>
      </c>
      <c r="M2593" s="2">
        <v>92.770499999999998</v>
      </c>
      <c r="N2593" s="2">
        <v>299</v>
      </c>
      <c r="O2593" s="2">
        <v>91.240499999999997</v>
      </c>
      <c r="P2593" s="2">
        <v>316</v>
      </c>
      <c r="Q2593" s="2">
        <v>102.0309</v>
      </c>
      <c r="R2593" s="2">
        <v>193</v>
      </c>
      <c r="S2593" s="2">
        <v>99.875500000000002</v>
      </c>
      <c r="T2593" s="2">
        <v>134</v>
      </c>
      <c r="U2593" s="2">
        <v>0.26117099999999999</v>
      </c>
      <c r="V2593" s="2">
        <v>271</v>
      </c>
      <c r="W2593" s="2">
        <v>2009</v>
      </c>
    </row>
    <row r="2594" spans="1:23" ht="12.3" hidden="1" x14ac:dyDescent="0.4">
      <c r="A2594" s="2" t="s">
        <v>275</v>
      </c>
      <c r="B2594" s="2"/>
      <c r="C2594" s="2"/>
      <c r="D2594" s="2"/>
      <c r="E2594" s="2"/>
      <c r="F2594" s="2"/>
      <c r="G2594" s="2"/>
      <c r="H2594" s="2"/>
      <c r="I2594" s="2">
        <v>66.933800000000005</v>
      </c>
      <c r="J2594" s="2">
        <v>143</v>
      </c>
      <c r="K2594" s="2">
        <v>65.243499999999997</v>
      </c>
      <c r="L2594" s="2">
        <v>226</v>
      </c>
      <c r="M2594" s="2">
        <v>102.04559999999999</v>
      </c>
      <c r="N2594" s="2">
        <v>164</v>
      </c>
      <c r="O2594" s="2">
        <v>98.495500000000007</v>
      </c>
      <c r="P2594" s="2">
        <v>222</v>
      </c>
      <c r="Q2594" s="2">
        <v>107.79559999999999</v>
      </c>
      <c r="R2594" s="2">
        <v>303</v>
      </c>
      <c r="S2594" s="2">
        <v>107.8788</v>
      </c>
      <c r="T2594" s="2">
        <v>296</v>
      </c>
      <c r="U2594" s="2">
        <v>0.259903</v>
      </c>
      <c r="V2594" s="2">
        <v>272</v>
      </c>
      <c r="W2594" s="2">
        <v>2009</v>
      </c>
    </row>
    <row r="2595" spans="1:23" ht="12.3" hidden="1" x14ac:dyDescent="0.4">
      <c r="A2595" s="2" t="s">
        <v>288</v>
      </c>
      <c r="B2595" s="2"/>
      <c r="C2595" s="2"/>
      <c r="D2595" s="2"/>
      <c r="E2595" s="2"/>
      <c r="F2595" s="2"/>
      <c r="G2595" s="2"/>
      <c r="H2595" s="2"/>
      <c r="I2595" s="2">
        <v>68.876199999999997</v>
      </c>
      <c r="J2595" s="2">
        <v>83</v>
      </c>
      <c r="K2595" s="2">
        <v>69.382300000000001</v>
      </c>
      <c r="L2595" s="2">
        <v>58</v>
      </c>
      <c r="M2595" s="2">
        <v>97.5779</v>
      </c>
      <c r="N2595" s="2">
        <v>239</v>
      </c>
      <c r="O2595" s="2">
        <v>95.755499999999998</v>
      </c>
      <c r="P2595" s="2">
        <v>267</v>
      </c>
      <c r="Q2595" s="2">
        <v>97.738100000000003</v>
      </c>
      <c r="R2595" s="2">
        <v>90</v>
      </c>
      <c r="S2595" s="2">
        <v>104.9259</v>
      </c>
      <c r="T2595" s="2">
        <v>246</v>
      </c>
      <c r="U2595" s="2">
        <v>0.25889099999999998</v>
      </c>
      <c r="V2595" s="2">
        <v>273</v>
      </c>
      <c r="W2595" s="2">
        <v>2009</v>
      </c>
    </row>
    <row r="2596" spans="1:23" ht="12.3" hidden="1" x14ac:dyDescent="0.4">
      <c r="A2596" s="2" t="s">
        <v>274</v>
      </c>
      <c r="B2596" s="2"/>
      <c r="C2596" s="2"/>
      <c r="D2596" s="2"/>
      <c r="E2596" s="2"/>
      <c r="F2596" s="2"/>
      <c r="G2596" s="2"/>
      <c r="H2596" s="2"/>
      <c r="I2596" s="2">
        <v>65.474000000000004</v>
      </c>
      <c r="J2596" s="2">
        <v>205</v>
      </c>
      <c r="K2596" s="2">
        <v>65.486699999999999</v>
      </c>
      <c r="L2596" s="2">
        <v>211</v>
      </c>
      <c r="M2596" s="2">
        <v>100.5394</v>
      </c>
      <c r="N2596" s="2">
        <v>185</v>
      </c>
      <c r="O2596" s="2">
        <v>96.710300000000004</v>
      </c>
      <c r="P2596" s="2">
        <v>251</v>
      </c>
      <c r="Q2596" s="2">
        <v>102.5106</v>
      </c>
      <c r="R2596" s="2">
        <v>203</v>
      </c>
      <c r="S2596" s="2">
        <v>106.11499999999999</v>
      </c>
      <c r="T2596" s="2">
        <v>269</v>
      </c>
      <c r="U2596" s="2">
        <v>0.25592700000000002</v>
      </c>
      <c r="V2596" s="2">
        <v>274</v>
      </c>
      <c r="W2596" s="2">
        <v>2009</v>
      </c>
    </row>
    <row r="2597" spans="1:23" ht="12.3" hidden="1" x14ac:dyDescent="0.4">
      <c r="A2597" s="2" t="s">
        <v>135</v>
      </c>
      <c r="B2597" s="2"/>
      <c r="C2597" s="2"/>
      <c r="D2597" s="2"/>
      <c r="E2597" s="2"/>
      <c r="F2597" s="2"/>
      <c r="G2597" s="2"/>
      <c r="H2597" s="2"/>
      <c r="I2597" s="2">
        <v>64.599000000000004</v>
      </c>
      <c r="J2597" s="2">
        <v>255</v>
      </c>
      <c r="K2597" s="2">
        <v>64.524000000000001</v>
      </c>
      <c r="L2597" s="2">
        <v>254</v>
      </c>
      <c r="M2597" s="2">
        <v>87.610699999999994</v>
      </c>
      <c r="N2597" s="2">
        <v>334</v>
      </c>
      <c r="O2597" s="2">
        <v>85.137500000000003</v>
      </c>
      <c r="P2597" s="2">
        <v>342</v>
      </c>
      <c r="Q2597" s="2">
        <v>89.957499999999996</v>
      </c>
      <c r="R2597" s="2">
        <v>5</v>
      </c>
      <c r="S2597" s="2">
        <v>93.574100000000001</v>
      </c>
      <c r="T2597" s="2">
        <v>32</v>
      </c>
      <c r="U2597" s="2">
        <v>0.25226199999999999</v>
      </c>
      <c r="V2597" s="2">
        <v>275</v>
      </c>
      <c r="W2597" s="2">
        <v>2009</v>
      </c>
    </row>
    <row r="2598" spans="1:23" ht="12.3" hidden="1" x14ac:dyDescent="0.4">
      <c r="A2598" s="2" t="s">
        <v>268</v>
      </c>
      <c r="B2598" s="2"/>
      <c r="C2598" s="2"/>
      <c r="D2598" s="2"/>
      <c r="E2598" s="2"/>
      <c r="F2598" s="2"/>
      <c r="G2598" s="2"/>
      <c r="H2598" s="2"/>
      <c r="I2598" s="2">
        <v>70.452200000000005</v>
      </c>
      <c r="J2598" s="2">
        <v>42</v>
      </c>
      <c r="K2598" s="2">
        <v>70.203400000000002</v>
      </c>
      <c r="L2598" s="2">
        <v>41</v>
      </c>
      <c r="M2598" s="2">
        <v>101.1408</v>
      </c>
      <c r="N2598" s="2">
        <v>173</v>
      </c>
      <c r="O2598" s="2">
        <v>100.8591</v>
      </c>
      <c r="P2598" s="2">
        <v>183</v>
      </c>
      <c r="Q2598" s="2">
        <v>109.9004</v>
      </c>
      <c r="R2598" s="2">
        <v>329</v>
      </c>
      <c r="S2598" s="2">
        <v>110.90430000000001</v>
      </c>
      <c r="T2598" s="2">
        <v>320</v>
      </c>
      <c r="U2598" s="2">
        <v>0.25127100000000002</v>
      </c>
      <c r="V2598" s="2">
        <v>276</v>
      </c>
      <c r="W2598" s="2">
        <v>2009</v>
      </c>
    </row>
    <row r="2599" spans="1:23" ht="12.3" hidden="1" x14ac:dyDescent="0.4">
      <c r="A2599" s="2" t="s">
        <v>77</v>
      </c>
      <c r="B2599" s="2"/>
      <c r="C2599" s="2"/>
      <c r="D2599" s="2"/>
      <c r="E2599" s="2"/>
      <c r="F2599" s="2"/>
      <c r="G2599" s="2"/>
      <c r="H2599" s="2"/>
      <c r="I2599" s="2">
        <v>67.964500000000001</v>
      </c>
      <c r="J2599" s="2">
        <v>112</v>
      </c>
      <c r="K2599" s="2">
        <v>68.170900000000003</v>
      </c>
      <c r="L2599" s="2">
        <v>98</v>
      </c>
      <c r="M2599" s="2">
        <v>95.7363</v>
      </c>
      <c r="N2599" s="2">
        <v>272</v>
      </c>
      <c r="O2599" s="2">
        <v>94.807199999999995</v>
      </c>
      <c r="P2599" s="2">
        <v>278</v>
      </c>
      <c r="Q2599" s="2">
        <v>101.25069999999999</v>
      </c>
      <c r="R2599" s="2">
        <v>171</v>
      </c>
      <c r="S2599" s="2">
        <v>104.3019</v>
      </c>
      <c r="T2599" s="2">
        <v>230</v>
      </c>
      <c r="U2599" s="2">
        <v>0.25018800000000002</v>
      </c>
      <c r="V2599" s="2">
        <v>277</v>
      </c>
      <c r="W2599" s="2">
        <v>2009</v>
      </c>
    </row>
    <row r="2600" spans="1:23" ht="12.3" hidden="1" x14ac:dyDescent="0.4">
      <c r="A2600" s="2" t="s">
        <v>271</v>
      </c>
      <c r="B2600" s="2"/>
      <c r="C2600" s="2"/>
      <c r="D2600" s="2"/>
      <c r="E2600" s="2"/>
      <c r="F2600" s="2"/>
      <c r="G2600" s="2"/>
      <c r="H2600" s="2"/>
      <c r="I2600" s="2">
        <v>64.8523</v>
      </c>
      <c r="J2600" s="2">
        <v>244</v>
      </c>
      <c r="K2600" s="2">
        <v>64.962199999999996</v>
      </c>
      <c r="L2600" s="2">
        <v>237</v>
      </c>
      <c r="M2600" s="2">
        <v>92.776899999999998</v>
      </c>
      <c r="N2600" s="2">
        <v>298</v>
      </c>
      <c r="O2600" s="2">
        <v>90.527500000000003</v>
      </c>
      <c r="P2600" s="2">
        <v>322</v>
      </c>
      <c r="Q2600" s="2">
        <v>95.276200000000003</v>
      </c>
      <c r="R2600" s="2">
        <v>43</v>
      </c>
      <c r="S2600" s="2">
        <v>99.711699999999993</v>
      </c>
      <c r="T2600" s="2">
        <v>131</v>
      </c>
      <c r="U2600" s="2">
        <v>0.24764</v>
      </c>
      <c r="V2600" s="2">
        <v>278</v>
      </c>
      <c r="W2600" s="2">
        <v>2009</v>
      </c>
    </row>
    <row r="2601" spans="1:23" ht="12.3" hidden="1" x14ac:dyDescent="0.4">
      <c r="A2601" s="2" t="s">
        <v>264</v>
      </c>
      <c r="B2601" s="2"/>
      <c r="C2601" s="2"/>
      <c r="D2601" s="2"/>
      <c r="E2601" s="2"/>
      <c r="F2601" s="2"/>
      <c r="G2601" s="2"/>
      <c r="H2601" s="2"/>
      <c r="I2601" s="2">
        <v>62.966099999999997</v>
      </c>
      <c r="J2601" s="2">
        <v>293</v>
      </c>
      <c r="K2601" s="2">
        <v>62.470100000000002</v>
      </c>
      <c r="L2601" s="2">
        <v>309</v>
      </c>
      <c r="M2601" s="2">
        <v>100.1127</v>
      </c>
      <c r="N2601" s="2">
        <v>193</v>
      </c>
      <c r="O2601" s="2">
        <v>95.270399999999995</v>
      </c>
      <c r="P2601" s="2">
        <v>275</v>
      </c>
      <c r="Q2601" s="2">
        <v>106.2641</v>
      </c>
      <c r="R2601" s="2">
        <v>275</v>
      </c>
      <c r="S2601" s="2">
        <v>105.1564</v>
      </c>
      <c r="T2601" s="2">
        <v>249</v>
      </c>
      <c r="U2601" s="2">
        <v>0.243169</v>
      </c>
      <c r="V2601" s="2">
        <v>279</v>
      </c>
      <c r="W2601" s="2">
        <v>2009</v>
      </c>
    </row>
    <row r="2602" spans="1:23" ht="12.3" hidden="1" x14ac:dyDescent="0.4">
      <c r="A2602" s="2" t="s">
        <v>367</v>
      </c>
      <c r="B2602" s="2"/>
      <c r="C2602" s="2"/>
      <c r="D2602" s="2"/>
      <c r="E2602" s="2"/>
      <c r="F2602" s="2"/>
      <c r="G2602" s="2"/>
      <c r="H2602" s="2"/>
      <c r="I2602" s="2">
        <v>65.355199999999996</v>
      </c>
      <c r="J2602" s="2">
        <v>210</v>
      </c>
      <c r="K2602" s="2">
        <v>64.009600000000006</v>
      </c>
      <c r="L2602" s="2">
        <v>270</v>
      </c>
      <c r="M2602" s="2">
        <v>91.926500000000004</v>
      </c>
      <c r="N2602" s="2">
        <v>311</v>
      </c>
      <c r="O2602" s="2">
        <v>92.541799999999995</v>
      </c>
      <c r="P2602" s="2">
        <v>307</v>
      </c>
      <c r="Q2602" s="2">
        <v>103.5018</v>
      </c>
      <c r="R2602" s="2">
        <v>224</v>
      </c>
      <c r="S2602" s="2">
        <v>102.4357</v>
      </c>
      <c r="T2602" s="2">
        <v>181</v>
      </c>
      <c r="U2602" s="2">
        <v>0.23719599999999999</v>
      </c>
      <c r="V2602" s="2">
        <v>280</v>
      </c>
      <c r="W2602" s="2">
        <v>2009</v>
      </c>
    </row>
    <row r="2603" spans="1:23" ht="12.3" hidden="1" x14ac:dyDescent="0.4">
      <c r="A2603" s="2" t="s">
        <v>334</v>
      </c>
      <c r="B2603" s="2"/>
      <c r="C2603" s="2"/>
      <c r="D2603" s="2"/>
      <c r="E2603" s="2"/>
      <c r="F2603" s="2"/>
      <c r="G2603" s="2"/>
      <c r="H2603" s="2"/>
      <c r="I2603" s="2">
        <v>68.169499999999999</v>
      </c>
      <c r="J2603" s="2">
        <v>108</v>
      </c>
      <c r="K2603" s="2">
        <v>67.273700000000005</v>
      </c>
      <c r="L2603" s="2">
        <v>128</v>
      </c>
      <c r="M2603" s="2">
        <v>97.622</v>
      </c>
      <c r="N2603" s="2">
        <v>237</v>
      </c>
      <c r="O2603" s="2">
        <v>95.711600000000004</v>
      </c>
      <c r="P2603" s="2">
        <v>268</v>
      </c>
      <c r="Q2603" s="2">
        <v>104.3717</v>
      </c>
      <c r="R2603" s="2">
        <v>241</v>
      </c>
      <c r="S2603" s="2">
        <v>106.14109999999999</v>
      </c>
      <c r="T2603" s="2">
        <v>270</v>
      </c>
      <c r="U2603" s="2">
        <v>0.23336000000000001</v>
      </c>
      <c r="V2603" s="2">
        <v>281</v>
      </c>
      <c r="W2603" s="2">
        <v>2009</v>
      </c>
    </row>
    <row r="2604" spans="1:23" ht="12.3" hidden="1" x14ac:dyDescent="0.4">
      <c r="A2604" s="2" t="s">
        <v>132</v>
      </c>
      <c r="B2604" s="2"/>
      <c r="C2604" s="2"/>
      <c r="D2604" s="2"/>
      <c r="E2604" s="2"/>
      <c r="F2604" s="2"/>
      <c r="G2604" s="2"/>
      <c r="H2604" s="2"/>
      <c r="I2604" s="2">
        <v>63.938400000000001</v>
      </c>
      <c r="J2604" s="2">
        <v>270</v>
      </c>
      <c r="K2604" s="2">
        <v>65.001300000000001</v>
      </c>
      <c r="L2604" s="2">
        <v>236</v>
      </c>
      <c r="M2604" s="2">
        <v>87.599599999999995</v>
      </c>
      <c r="N2604" s="2">
        <v>335</v>
      </c>
      <c r="O2604" s="2">
        <v>89.782399999999996</v>
      </c>
      <c r="P2604" s="2">
        <v>329</v>
      </c>
      <c r="Q2604" s="2">
        <v>101.5562</v>
      </c>
      <c r="R2604" s="2">
        <v>177</v>
      </c>
      <c r="S2604" s="2">
        <v>99.602900000000005</v>
      </c>
      <c r="T2604" s="2">
        <v>128</v>
      </c>
      <c r="U2604" s="2">
        <v>0.232594</v>
      </c>
      <c r="V2604" s="2">
        <v>282</v>
      </c>
      <c r="W2604" s="2">
        <v>2009</v>
      </c>
    </row>
    <row r="2605" spans="1:23" ht="12.3" hidden="1" x14ac:dyDescent="0.4">
      <c r="A2605" s="2" t="s">
        <v>313</v>
      </c>
      <c r="B2605" s="2"/>
      <c r="C2605" s="2"/>
      <c r="D2605" s="2"/>
      <c r="E2605" s="2"/>
      <c r="F2605" s="2"/>
      <c r="G2605" s="2"/>
      <c r="H2605" s="2"/>
      <c r="I2605" s="2">
        <v>61.386299999999999</v>
      </c>
      <c r="J2605" s="2">
        <v>323</v>
      </c>
      <c r="K2605" s="2">
        <v>60.7254</v>
      </c>
      <c r="L2605" s="2">
        <v>330</v>
      </c>
      <c r="M2605" s="2">
        <v>91.451800000000006</v>
      </c>
      <c r="N2605" s="2">
        <v>315</v>
      </c>
      <c r="O2605" s="2">
        <v>88.478800000000007</v>
      </c>
      <c r="P2605" s="2">
        <v>334</v>
      </c>
      <c r="Q2605" s="2">
        <v>94.281999999999996</v>
      </c>
      <c r="R2605" s="2">
        <v>27</v>
      </c>
      <c r="S2605" s="2">
        <v>98.602699999999999</v>
      </c>
      <c r="T2605" s="2">
        <v>103</v>
      </c>
      <c r="U2605" s="2">
        <v>0.22341800000000001</v>
      </c>
      <c r="V2605" s="2">
        <v>283</v>
      </c>
      <c r="W2605" s="2">
        <v>2009</v>
      </c>
    </row>
    <row r="2606" spans="1:23" ht="12.3" hidden="1" x14ac:dyDescent="0.4">
      <c r="A2606" s="2" t="s">
        <v>314</v>
      </c>
      <c r="B2606" s="2"/>
      <c r="C2606" s="2"/>
      <c r="D2606" s="2"/>
      <c r="E2606" s="2"/>
      <c r="F2606" s="2"/>
      <c r="G2606" s="2"/>
      <c r="H2606" s="2"/>
      <c r="I2606" s="2">
        <v>63.741</v>
      </c>
      <c r="J2606" s="2">
        <v>272</v>
      </c>
      <c r="K2606" s="2">
        <v>64.220399999999998</v>
      </c>
      <c r="L2606" s="2">
        <v>265</v>
      </c>
      <c r="M2606" s="2">
        <v>88.9773</v>
      </c>
      <c r="N2606" s="2">
        <v>332</v>
      </c>
      <c r="O2606" s="2">
        <v>87.578400000000002</v>
      </c>
      <c r="P2606" s="2">
        <v>338</v>
      </c>
      <c r="Q2606" s="2">
        <v>94.264200000000002</v>
      </c>
      <c r="R2606" s="2">
        <v>26</v>
      </c>
      <c r="S2606" s="2">
        <v>97.804599999999994</v>
      </c>
      <c r="T2606" s="2">
        <v>85</v>
      </c>
      <c r="U2606" s="2">
        <v>0.219253</v>
      </c>
      <c r="V2606" s="2">
        <v>284</v>
      </c>
      <c r="W2606" s="2">
        <v>2009</v>
      </c>
    </row>
    <row r="2607" spans="1:23" ht="12.3" hidden="1" x14ac:dyDescent="0.4">
      <c r="A2607" s="2" t="s">
        <v>191</v>
      </c>
      <c r="B2607" s="2"/>
      <c r="C2607" s="2"/>
      <c r="D2607" s="2"/>
      <c r="E2607" s="2"/>
      <c r="F2607" s="2"/>
      <c r="G2607" s="2"/>
      <c r="H2607" s="2"/>
      <c r="I2607" s="2">
        <v>66.577500000000001</v>
      </c>
      <c r="J2607" s="2">
        <v>157</v>
      </c>
      <c r="K2607" s="2">
        <v>67.171000000000006</v>
      </c>
      <c r="L2607" s="2">
        <v>134</v>
      </c>
      <c r="M2607" s="2">
        <v>97.894099999999995</v>
      </c>
      <c r="N2607" s="2">
        <v>232</v>
      </c>
      <c r="O2607" s="2">
        <v>98.025000000000006</v>
      </c>
      <c r="P2607" s="2">
        <v>230</v>
      </c>
      <c r="Q2607" s="2">
        <v>109.80329999999999</v>
      </c>
      <c r="R2607" s="2">
        <v>328</v>
      </c>
      <c r="S2607" s="2">
        <v>109.5172</v>
      </c>
      <c r="T2607" s="2">
        <v>311</v>
      </c>
      <c r="U2607" s="2">
        <v>0.21842400000000001</v>
      </c>
      <c r="V2607" s="2">
        <v>285</v>
      </c>
      <c r="W2607" s="2">
        <v>2009</v>
      </c>
    </row>
    <row r="2608" spans="1:23" ht="12.3" hidden="1" x14ac:dyDescent="0.4">
      <c r="A2608" s="2" t="s">
        <v>183</v>
      </c>
      <c r="B2608" s="2"/>
      <c r="C2608" s="2"/>
      <c r="D2608" s="2"/>
      <c r="E2608" s="2"/>
      <c r="F2608" s="2"/>
      <c r="G2608" s="2"/>
      <c r="H2608" s="2"/>
      <c r="I2608" s="2">
        <v>66.232100000000003</v>
      </c>
      <c r="J2608" s="2">
        <v>171</v>
      </c>
      <c r="K2608" s="2">
        <v>66.785200000000003</v>
      </c>
      <c r="L2608" s="2">
        <v>153</v>
      </c>
      <c r="M2608" s="2">
        <v>92.704800000000006</v>
      </c>
      <c r="N2608" s="2">
        <v>303</v>
      </c>
      <c r="O2608" s="2">
        <v>90.431299999999993</v>
      </c>
      <c r="P2608" s="2">
        <v>323</v>
      </c>
      <c r="Q2608" s="2">
        <v>100.66330000000001</v>
      </c>
      <c r="R2608" s="2">
        <v>154</v>
      </c>
      <c r="S2608" s="2">
        <v>101.1772</v>
      </c>
      <c r="T2608" s="2">
        <v>161</v>
      </c>
      <c r="U2608" s="2">
        <v>0.215639</v>
      </c>
      <c r="V2608" s="2">
        <v>286</v>
      </c>
      <c r="W2608" s="2">
        <v>2009</v>
      </c>
    </row>
    <row r="2609" spans="1:23" ht="12.3" hidden="1" x14ac:dyDescent="0.4">
      <c r="A2609" s="2" t="s">
        <v>306</v>
      </c>
      <c r="B2609" s="2"/>
      <c r="C2609" s="2"/>
      <c r="D2609" s="2"/>
      <c r="E2609" s="2"/>
      <c r="F2609" s="2"/>
      <c r="G2609" s="2"/>
      <c r="H2609" s="2"/>
      <c r="I2609" s="2">
        <v>65.933700000000002</v>
      </c>
      <c r="J2609" s="2">
        <v>184</v>
      </c>
      <c r="K2609" s="2">
        <v>65.116</v>
      </c>
      <c r="L2609" s="2">
        <v>229</v>
      </c>
      <c r="M2609" s="2">
        <v>96.652199999999993</v>
      </c>
      <c r="N2609" s="2">
        <v>260</v>
      </c>
      <c r="O2609" s="2">
        <v>94.655100000000004</v>
      </c>
      <c r="P2609" s="2">
        <v>281</v>
      </c>
      <c r="Q2609" s="2">
        <v>107.53279999999999</v>
      </c>
      <c r="R2609" s="2">
        <v>298</v>
      </c>
      <c r="S2609" s="2">
        <v>106.00239999999999</v>
      </c>
      <c r="T2609" s="2">
        <v>268</v>
      </c>
      <c r="U2609" s="2">
        <v>0.21381900000000001</v>
      </c>
      <c r="V2609" s="2">
        <v>287</v>
      </c>
      <c r="W2609" s="2">
        <v>2009</v>
      </c>
    </row>
    <row r="2610" spans="1:23" ht="12.3" hidden="1" x14ac:dyDescent="0.4">
      <c r="A2610" s="2" t="s">
        <v>156</v>
      </c>
      <c r="B2610" s="2"/>
      <c r="C2610" s="2"/>
      <c r="D2610" s="2"/>
      <c r="E2610" s="2"/>
      <c r="F2610" s="2"/>
      <c r="G2610" s="2"/>
      <c r="H2610" s="2"/>
      <c r="I2610" s="2">
        <v>64.426100000000005</v>
      </c>
      <c r="J2610" s="2">
        <v>261</v>
      </c>
      <c r="K2610" s="2">
        <v>64.579499999999996</v>
      </c>
      <c r="L2610" s="2">
        <v>250</v>
      </c>
      <c r="M2610" s="2">
        <v>100.0078</v>
      </c>
      <c r="N2610" s="2">
        <v>194</v>
      </c>
      <c r="O2610" s="2">
        <v>97.121399999999994</v>
      </c>
      <c r="P2610" s="2">
        <v>246</v>
      </c>
      <c r="Q2610" s="2">
        <v>105.18729999999999</v>
      </c>
      <c r="R2610" s="2">
        <v>255</v>
      </c>
      <c r="S2610" s="2">
        <v>109.107</v>
      </c>
      <c r="T2610" s="2">
        <v>306</v>
      </c>
      <c r="U2610" s="2">
        <v>0.20780199999999999</v>
      </c>
      <c r="V2610" s="2">
        <v>288</v>
      </c>
      <c r="W2610" s="2">
        <v>2009</v>
      </c>
    </row>
    <row r="2611" spans="1:23" ht="12.3" hidden="1" x14ac:dyDescent="0.4">
      <c r="A2611" s="2" t="s">
        <v>342</v>
      </c>
      <c r="B2611" s="2"/>
      <c r="C2611" s="2"/>
      <c r="D2611" s="2"/>
      <c r="E2611" s="2"/>
      <c r="F2611" s="2"/>
      <c r="G2611" s="2"/>
      <c r="H2611" s="2"/>
      <c r="I2611" s="2">
        <v>70.241799999999998</v>
      </c>
      <c r="J2611" s="2">
        <v>49</v>
      </c>
      <c r="K2611" s="2">
        <v>67.842699999999994</v>
      </c>
      <c r="L2611" s="2">
        <v>106</v>
      </c>
      <c r="M2611" s="2">
        <v>96.608900000000006</v>
      </c>
      <c r="N2611" s="2">
        <v>262</v>
      </c>
      <c r="O2611" s="2">
        <v>93.565799999999996</v>
      </c>
      <c r="P2611" s="2">
        <v>295</v>
      </c>
      <c r="Q2611" s="2">
        <v>99.935900000000004</v>
      </c>
      <c r="R2611" s="2">
        <v>137</v>
      </c>
      <c r="S2611" s="2">
        <v>105.1922</v>
      </c>
      <c r="T2611" s="2">
        <v>250</v>
      </c>
      <c r="U2611" s="2">
        <v>0.206373</v>
      </c>
      <c r="V2611" s="2">
        <v>289</v>
      </c>
      <c r="W2611" s="2">
        <v>2009</v>
      </c>
    </row>
    <row r="2612" spans="1:23" ht="12.3" hidden="1" x14ac:dyDescent="0.4">
      <c r="A2612" s="2" t="s">
        <v>218</v>
      </c>
      <c r="B2612" s="2"/>
      <c r="C2612" s="2"/>
      <c r="D2612" s="2"/>
      <c r="E2612" s="2"/>
      <c r="F2612" s="2"/>
      <c r="G2612" s="2"/>
      <c r="H2612" s="2"/>
      <c r="I2612" s="2">
        <v>64.892200000000003</v>
      </c>
      <c r="J2612" s="2">
        <v>242</v>
      </c>
      <c r="K2612" s="2">
        <v>65.428899999999999</v>
      </c>
      <c r="L2612" s="2">
        <v>214</v>
      </c>
      <c r="M2612" s="2">
        <v>100.482</v>
      </c>
      <c r="N2612" s="2">
        <v>186</v>
      </c>
      <c r="O2612" s="2">
        <v>100.11109999999999</v>
      </c>
      <c r="P2612" s="2">
        <v>200</v>
      </c>
      <c r="Q2612" s="2">
        <v>111.75579999999999</v>
      </c>
      <c r="R2612" s="2">
        <v>335</v>
      </c>
      <c r="S2612" s="2">
        <v>112.771</v>
      </c>
      <c r="T2612" s="2">
        <v>337</v>
      </c>
      <c r="U2612" s="2">
        <v>0.20271700000000001</v>
      </c>
      <c r="V2612" s="2">
        <v>290</v>
      </c>
      <c r="W2612" s="2">
        <v>2009</v>
      </c>
    </row>
    <row r="2613" spans="1:23" ht="12.3" hidden="1" x14ac:dyDescent="0.4">
      <c r="A2613" s="2" t="s">
        <v>209</v>
      </c>
      <c r="B2613" s="2"/>
      <c r="C2613" s="2"/>
      <c r="D2613" s="2"/>
      <c r="E2613" s="2"/>
      <c r="F2613" s="2"/>
      <c r="G2613" s="2"/>
      <c r="H2613" s="2"/>
      <c r="I2613" s="2">
        <v>68.819000000000003</v>
      </c>
      <c r="J2613" s="2">
        <v>87</v>
      </c>
      <c r="K2613" s="2">
        <v>70.086699999999993</v>
      </c>
      <c r="L2613" s="2">
        <v>43</v>
      </c>
      <c r="M2613" s="2">
        <v>94.560699999999997</v>
      </c>
      <c r="N2613" s="2">
        <v>286</v>
      </c>
      <c r="O2613" s="2">
        <v>93.372500000000002</v>
      </c>
      <c r="P2613" s="2">
        <v>296</v>
      </c>
      <c r="Q2613" s="2">
        <v>102.3053</v>
      </c>
      <c r="R2613" s="2">
        <v>200</v>
      </c>
      <c r="S2613" s="2">
        <v>105.3135</v>
      </c>
      <c r="T2613" s="2">
        <v>255</v>
      </c>
      <c r="U2613" s="2">
        <v>0.20037199999999999</v>
      </c>
      <c r="V2613" s="2">
        <v>291</v>
      </c>
      <c r="W2613" s="2">
        <v>2009</v>
      </c>
    </row>
    <row r="2614" spans="1:23" ht="12.3" hidden="1" x14ac:dyDescent="0.4">
      <c r="A2614" s="2" t="s">
        <v>79</v>
      </c>
      <c r="B2614" s="2"/>
      <c r="C2614" s="2"/>
      <c r="D2614" s="2"/>
      <c r="E2614" s="2"/>
      <c r="F2614" s="2"/>
      <c r="G2614" s="2"/>
      <c r="H2614" s="2"/>
      <c r="I2614" s="2">
        <v>67.610399999999998</v>
      </c>
      <c r="J2614" s="2">
        <v>126</v>
      </c>
      <c r="K2614" s="2">
        <v>67.726699999999994</v>
      </c>
      <c r="L2614" s="2">
        <v>112</v>
      </c>
      <c r="M2614" s="2">
        <v>88.634100000000004</v>
      </c>
      <c r="N2614" s="2">
        <v>333</v>
      </c>
      <c r="O2614" s="2">
        <v>92.134</v>
      </c>
      <c r="P2614" s="2">
        <v>309</v>
      </c>
      <c r="Q2614" s="2">
        <v>106.983</v>
      </c>
      <c r="R2614" s="2">
        <v>290</v>
      </c>
      <c r="S2614" s="2">
        <v>103.9759</v>
      </c>
      <c r="T2614" s="2">
        <v>222</v>
      </c>
      <c r="U2614" s="2">
        <v>0.199325</v>
      </c>
      <c r="V2614" s="2">
        <v>292</v>
      </c>
      <c r="W2614" s="2">
        <v>2009</v>
      </c>
    </row>
    <row r="2615" spans="1:23" ht="12.3" hidden="1" x14ac:dyDescent="0.4">
      <c r="A2615" s="2" t="s">
        <v>320</v>
      </c>
      <c r="B2615" s="2"/>
      <c r="C2615" s="2"/>
      <c r="D2615" s="2"/>
      <c r="E2615" s="2"/>
      <c r="F2615" s="2"/>
      <c r="G2615" s="2"/>
      <c r="H2615" s="2"/>
      <c r="I2615" s="2">
        <v>69.738699999999994</v>
      </c>
      <c r="J2615" s="2">
        <v>65</v>
      </c>
      <c r="K2615" s="2">
        <v>71.137500000000003</v>
      </c>
      <c r="L2615" s="2">
        <v>23</v>
      </c>
      <c r="M2615" s="2">
        <v>97.974199999999996</v>
      </c>
      <c r="N2615" s="2">
        <v>228</v>
      </c>
      <c r="O2615" s="2">
        <v>97.368700000000004</v>
      </c>
      <c r="P2615" s="2">
        <v>239</v>
      </c>
      <c r="Q2615" s="2">
        <v>102.9984</v>
      </c>
      <c r="R2615" s="2">
        <v>211</v>
      </c>
      <c r="S2615" s="2">
        <v>109.9815</v>
      </c>
      <c r="T2615" s="2">
        <v>316</v>
      </c>
      <c r="U2615" s="2">
        <v>0.19769</v>
      </c>
      <c r="V2615" s="2">
        <v>293</v>
      </c>
      <c r="W2615" s="2">
        <v>2009</v>
      </c>
    </row>
    <row r="2616" spans="1:23" ht="12.3" hidden="1" x14ac:dyDescent="0.4">
      <c r="A2616" s="2" t="s">
        <v>309</v>
      </c>
      <c r="B2616" s="2"/>
      <c r="C2616" s="2"/>
      <c r="D2616" s="2"/>
      <c r="E2616" s="2"/>
      <c r="F2616" s="2"/>
      <c r="G2616" s="2"/>
      <c r="H2616" s="2"/>
      <c r="I2616" s="2">
        <v>65.025800000000004</v>
      </c>
      <c r="J2616" s="2">
        <v>231</v>
      </c>
      <c r="K2616" s="2">
        <v>65.862099999999998</v>
      </c>
      <c r="L2616" s="2">
        <v>192</v>
      </c>
      <c r="M2616" s="2">
        <v>97.001599999999996</v>
      </c>
      <c r="N2616" s="2">
        <v>249</v>
      </c>
      <c r="O2616" s="2">
        <v>96.960400000000007</v>
      </c>
      <c r="P2616" s="2">
        <v>249</v>
      </c>
      <c r="Q2616" s="2">
        <v>106.2457</v>
      </c>
      <c r="R2616" s="2">
        <v>273</v>
      </c>
      <c r="S2616" s="2">
        <v>109.66970000000001</v>
      </c>
      <c r="T2616" s="2">
        <v>313</v>
      </c>
      <c r="U2616" s="2">
        <v>0.195217</v>
      </c>
      <c r="V2616" s="2">
        <v>294</v>
      </c>
      <c r="W2616" s="2">
        <v>2009</v>
      </c>
    </row>
    <row r="2617" spans="1:23" ht="12.3" hidden="1" x14ac:dyDescent="0.4">
      <c r="A2617" s="2" t="s">
        <v>351</v>
      </c>
      <c r="B2617" s="2"/>
      <c r="C2617" s="2"/>
      <c r="D2617" s="2"/>
      <c r="E2617" s="2"/>
      <c r="F2617" s="2"/>
      <c r="G2617" s="2"/>
      <c r="H2617" s="2"/>
      <c r="I2617" s="2">
        <v>71.481300000000005</v>
      </c>
      <c r="J2617" s="2">
        <v>29</v>
      </c>
      <c r="K2617" s="2">
        <v>70.756699999999995</v>
      </c>
      <c r="L2617" s="2">
        <v>27</v>
      </c>
      <c r="M2617" s="2">
        <v>87.302400000000006</v>
      </c>
      <c r="N2617" s="2">
        <v>336</v>
      </c>
      <c r="O2617" s="2">
        <v>87.914100000000005</v>
      </c>
      <c r="P2617" s="2">
        <v>337</v>
      </c>
      <c r="Q2617" s="2">
        <v>98.1374</v>
      </c>
      <c r="R2617" s="2">
        <v>95</v>
      </c>
      <c r="S2617" s="2">
        <v>99.443700000000007</v>
      </c>
      <c r="T2617" s="2">
        <v>125</v>
      </c>
      <c r="U2617" s="2">
        <v>0.195106</v>
      </c>
      <c r="V2617" s="2">
        <v>295</v>
      </c>
      <c r="W2617" s="2">
        <v>2009</v>
      </c>
    </row>
    <row r="2618" spans="1:23" ht="12.3" hidden="1" x14ac:dyDescent="0.4">
      <c r="A2618" s="2" t="s">
        <v>193</v>
      </c>
      <c r="B2618" s="2"/>
      <c r="C2618" s="2"/>
      <c r="D2618" s="2"/>
      <c r="E2618" s="2"/>
      <c r="F2618" s="2"/>
      <c r="G2618" s="2"/>
      <c r="H2618" s="2"/>
      <c r="I2618" s="2">
        <v>67.640900000000002</v>
      </c>
      <c r="J2618" s="2">
        <v>125</v>
      </c>
      <c r="K2618" s="2">
        <v>68.692400000000006</v>
      </c>
      <c r="L2618" s="2">
        <v>77</v>
      </c>
      <c r="M2618" s="2">
        <v>94.760400000000004</v>
      </c>
      <c r="N2618" s="2">
        <v>283</v>
      </c>
      <c r="O2618" s="2">
        <v>95.698400000000007</v>
      </c>
      <c r="P2618" s="2">
        <v>269</v>
      </c>
      <c r="Q2618" s="2">
        <v>107.2456</v>
      </c>
      <c r="R2618" s="2">
        <v>293</v>
      </c>
      <c r="S2618" s="2">
        <v>108.25490000000001</v>
      </c>
      <c r="T2618" s="2">
        <v>299</v>
      </c>
      <c r="U2618" s="2">
        <v>0.19500600000000001</v>
      </c>
      <c r="V2618" s="2">
        <v>296</v>
      </c>
      <c r="W2618" s="2">
        <v>2009</v>
      </c>
    </row>
    <row r="2619" spans="1:23" ht="12.3" hidden="1" x14ac:dyDescent="0.4">
      <c r="A2619" s="2" t="s">
        <v>83</v>
      </c>
      <c r="B2619" s="2"/>
      <c r="C2619" s="2"/>
      <c r="D2619" s="2"/>
      <c r="E2619" s="2"/>
      <c r="F2619" s="2"/>
      <c r="G2619" s="2"/>
      <c r="H2619" s="2"/>
      <c r="I2619" s="2">
        <v>72.072400000000002</v>
      </c>
      <c r="J2619" s="2">
        <v>18</v>
      </c>
      <c r="K2619" s="2">
        <v>71.505300000000005</v>
      </c>
      <c r="L2619" s="2">
        <v>18</v>
      </c>
      <c r="M2619" s="2">
        <v>96.675200000000004</v>
      </c>
      <c r="N2619" s="2">
        <v>259</v>
      </c>
      <c r="O2619" s="2">
        <v>98.7209</v>
      </c>
      <c r="P2619" s="2">
        <v>220</v>
      </c>
      <c r="Q2619" s="2">
        <v>114.0137</v>
      </c>
      <c r="R2619" s="2">
        <v>340</v>
      </c>
      <c r="S2619" s="2">
        <v>111.7889</v>
      </c>
      <c r="T2619" s="2">
        <v>331</v>
      </c>
      <c r="U2619" s="2">
        <v>0.193157</v>
      </c>
      <c r="V2619" s="2">
        <v>297</v>
      </c>
      <c r="W2619" s="2">
        <v>2009</v>
      </c>
    </row>
    <row r="2620" spans="1:23" ht="12.3" hidden="1" x14ac:dyDescent="0.4">
      <c r="A2620" s="2" t="s">
        <v>289</v>
      </c>
      <c r="B2620" s="2"/>
      <c r="C2620" s="2"/>
      <c r="D2620" s="2"/>
      <c r="E2620" s="2"/>
      <c r="F2620" s="2"/>
      <c r="G2620" s="2"/>
      <c r="H2620" s="2"/>
      <c r="I2620" s="2">
        <v>68.628900000000002</v>
      </c>
      <c r="J2620" s="2">
        <v>97</v>
      </c>
      <c r="K2620" s="2">
        <v>68.599800000000002</v>
      </c>
      <c r="L2620" s="2">
        <v>81</v>
      </c>
      <c r="M2620" s="2">
        <v>91.329300000000003</v>
      </c>
      <c r="N2620" s="2">
        <v>317</v>
      </c>
      <c r="O2620" s="2">
        <v>92.850800000000007</v>
      </c>
      <c r="P2620" s="2">
        <v>306</v>
      </c>
      <c r="Q2620" s="2">
        <v>101.6319</v>
      </c>
      <c r="R2620" s="2">
        <v>183</v>
      </c>
      <c r="S2620" s="2">
        <v>105.2783</v>
      </c>
      <c r="T2620" s="2">
        <v>254</v>
      </c>
      <c r="U2620" s="2">
        <v>0.19084200000000001</v>
      </c>
      <c r="V2620" s="2">
        <v>298</v>
      </c>
      <c r="W2620" s="2">
        <v>2009</v>
      </c>
    </row>
    <row r="2621" spans="1:23" ht="12.3" hidden="1" x14ac:dyDescent="0.4">
      <c r="A2621" s="2" t="s">
        <v>285</v>
      </c>
      <c r="B2621" s="2"/>
      <c r="C2621" s="2"/>
      <c r="D2621" s="2"/>
      <c r="E2621" s="2"/>
      <c r="F2621" s="2"/>
      <c r="G2621" s="2"/>
      <c r="H2621" s="2"/>
      <c r="I2621" s="2">
        <v>59.424199999999999</v>
      </c>
      <c r="J2621" s="2">
        <v>337</v>
      </c>
      <c r="K2621" s="2">
        <v>59.620899999999999</v>
      </c>
      <c r="L2621" s="2">
        <v>335</v>
      </c>
      <c r="M2621" s="2">
        <v>97.662599999999998</v>
      </c>
      <c r="N2621" s="2">
        <v>236</v>
      </c>
      <c r="O2621" s="2">
        <v>96.463999999999999</v>
      </c>
      <c r="P2621" s="2">
        <v>253</v>
      </c>
      <c r="Q2621" s="2">
        <v>109.61499999999999</v>
      </c>
      <c r="R2621" s="2">
        <v>325</v>
      </c>
      <c r="S2621" s="2">
        <v>109.4115</v>
      </c>
      <c r="T2621" s="2">
        <v>309</v>
      </c>
      <c r="U2621" s="2">
        <v>0.19025</v>
      </c>
      <c r="V2621" s="2">
        <v>299</v>
      </c>
      <c r="W2621" s="2">
        <v>2009</v>
      </c>
    </row>
    <row r="2622" spans="1:23" ht="12.3" hidden="1" x14ac:dyDescent="0.4">
      <c r="A2622" s="2" t="s">
        <v>277</v>
      </c>
      <c r="B2622" s="2"/>
      <c r="C2622" s="2"/>
      <c r="D2622" s="2"/>
      <c r="E2622" s="2"/>
      <c r="F2622" s="2"/>
      <c r="G2622" s="2"/>
      <c r="H2622" s="2"/>
      <c r="I2622" s="2">
        <v>67.551000000000002</v>
      </c>
      <c r="J2622" s="2">
        <v>130</v>
      </c>
      <c r="K2622" s="2">
        <v>67.5916</v>
      </c>
      <c r="L2622" s="2">
        <v>116</v>
      </c>
      <c r="M2622" s="2">
        <v>96.498800000000003</v>
      </c>
      <c r="N2622" s="2">
        <v>264</v>
      </c>
      <c r="O2622" s="2">
        <v>94.919200000000004</v>
      </c>
      <c r="P2622" s="2">
        <v>276</v>
      </c>
      <c r="Q2622" s="2">
        <v>104.2941</v>
      </c>
      <c r="R2622" s="2">
        <v>238</v>
      </c>
      <c r="S2622" s="2">
        <v>107.6742</v>
      </c>
      <c r="T2622" s="2">
        <v>292</v>
      </c>
      <c r="U2622" s="2">
        <v>0.19000700000000001</v>
      </c>
      <c r="V2622" s="2">
        <v>300</v>
      </c>
      <c r="W2622" s="2">
        <v>2009</v>
      </c>
    </row>
    <row r="2623" spans="1:23" ht="12.3" hidden="1" x14ac:dyDescent="0.4">
      <c r="A2623" s="2" t="s">
        <v>296</v>
      </c>
      <c r="B2623" s="2"/>
      <c r="C2623" s="2"/>
      <c r="D2623" s="2"/>
      <c r="E2623" s="2"/>
      <c r="F2623" s="2"/>
      <c r="G2623" s="2"/>
      <c r="H2623" s="2"/>
      <c r="I2623" s="2">
        <v>70.117000000000004</v>
      </c>
      <c r="J2623" s="2">
        <v>55</v>
      </c>
      <c r="K2623" s="2">
        <v>70.591099999999997</v>
      </c>
      <c r="L2623" s="2">
        <v>31</v>
      </c>
      <c r="M2623" s="2">
        <v>92.358699999999999</v>
      </c>
      <c r="N2623" s="2">
        <v>306</v>
      </c>
      <c r="O2623" s="2">
        <v>91.003600000000006</v>
      </c>
      <c r="P2623" s="2">
        <v>319</v>
      </c>
      <c r="Q2623" s="2">
        <v>97.939700000000002</v>
      </c>
      <c r="R2623" s="2">
        <v>92</v>
      </c>
      <c r="S2623" s="2">
        <v>103.32389999999999</v>
      </c>
      <c r="T2623" s="2">
        <v>208</v>
      </c>
      <c r="U2623" s="2">
        <v>0.188443</v>
      </c>
      <c r="V2623" s="2">
        <v>301</v>
      </c>
      <c r="W2623" s="2">
        <v>2009</v>
      </c>
    </row>
    <row r="2624" spans="1:23" ht="12.3" hidden="1" x14ac:dyDescent="0.4">
      <c r="A2624" s="2" t="s">
        <v>373</v>
      </c>
      <c r="B2624" s="2"/>
      <c r="C2624" s="2"/>
      <c r="D2624" s="2"/>
      <c r="E2624" s="2"/>
      <c r="F2624" s="2"/>
      <c r="G2624" s="2"/>
      <c r="H2624" s="2"/>
      <c r="I2624" s="2">
        <v>72.614199999999997</v>
      </c>
      <c r="J2624" s="2">
        <v>14</v>
      </c>
      <c r="K2624" s="2">
        <v>72.507199999999997</v>
      </c>
      <c r="L2624" s="2">
        <v>13</v>
      </c>
      <c r="M2624" s="2">
        <v>85.171800000000005</v>
      </c>
      <c r="N2624" s="2">
        <v>340</v>
      </c>
      <c r="O2624" s="2">
        <v>88.653499999999994</v>
      </c>
      <c r="P2624" s="2">
        <v>333</v>
      </c>
      <c r="Q2624" s="2">
        <v>107.2962</v>
      </c>
      <c r="R2624" s="2">
        <v>294</v>
      </c>
      <c r="S2624" s="2">
        <v>100.72280000000001</v>
      </c>
      <c r="T2624" s="2">
        <v>152</v>
      </c>
      <c r="U2624" s="2">
        <v>0.187274</v>
      </c>
      <c r="V2624" s="2">
        <v>302</v>
      </c>
      <c r="W2624" s="2">
        <v>2009</v>
      </c>
    </row>
    <row r="2625" spans="1:23" ht="12.3" hidden="1" x14ac:dyDescent="0.4">
      <c r="A2625" s="2" t="s">
        <v>233</v>
      </c>
      <c r="B2625" s="2"/>
      <c r="C2625" s="2"/>
      <c r="D2625" s="2"/>
      <c r="E2625" s="2"/>
      <c r="F2625" s="2"/>
      <c r="G2625" s="2"/>
      <c r="H2625" s="2"/>
      <c r="I2625" s="2">
        <v>64.436599999999999</v>
      </c>
      <c r="J2625" s="2">
        <v>260</v>
      </c>
      <c r="K2625" s="2">
        <v>65.582400000000007</v>
      </c>
      <c r="L2625" s="2">
        <v>204</v>
      </c>
      <c r="M2625" s="2">
        <v>95.119</v>
      </c>
      <c r="N2625" s="2">
        <v>277</v>
      </c>
      <c r="O2625" s="2">
        <v>93.704300000000003</v>
      </c>
      <c r="P2625" s="2">
        <v>292</v>
      </c>
      <c r="Q2625" s="2">
        <v>104.7466</v>
      </c>
      <c r="R2625" s="2">
        <v>250</v>
      </c>
      <c r="S2625" s="2">
        <v>106.6037</v>
      </c>
      <c r="T2625" s="2">
        <v>275</v>
      </c>
      <c r="U2625" s="2">
        <v>0.184945</v>
      </c>
      <c r="V2625" s="2">
        <v>303</v>
      </c>
      <c r="W2625" s="2">
        <v>2009</v>
      </c>
    </row>
    <row r="2626" spans="1:23" ht="12.3" hidden="1" x14ac:dyDescent="0.4">
      <c r="A2626" s="2" t="s">
        <v>247</v>
      </c>
      <c r="B2626" s="2"/>
      <c r="C2626" s="2"/>
      <c r="D2626" s="2"/>
      <c r="E2626" s="2"/>
      <c r="F2626" s="2"/>
      <c r="G2626" s="2"/>
      <c r="H2626" s="2"/>
      <c r="I2626" s="2">
        <v>62.354799999999997</v>
      </c>
      <c r="J2626" s="2">
        <v>307</v>
      </c>
      <c r="K2626" s="2">
        <v>61.868099999999998</v>
      </c>
      <c r="L2626" s="2">
        <v>317</v>
      </c>
      <c r="M2626" s="2">
        <v>90.1083</v>
      </c>
      <c r="N2626" s="2">
        <v>326</v>
      </c>
      <c r="O2626" s="2">
        <v>90.387799999999999</v>
      </c>
      <c r="P2626" s="2">
        <v>324</v>
      </c>
      <c r="Q2626" s="2">
        <v>100.7248</v>
      </c>
      <c r="R2626" s="2">
        <v>159</v>
      </c>
      <c r="S2626" s="2">
        <v>103.06189999999999</v>
      </c>
      <c r="T2626" s="2">
        <v>198</v>
      </c>
      <c r="U2626" s="2">
        <v>0.18108099999999999</v>
      </c>
      <c r="V2626" s="2">
        <v>304</v>
      </c>
      <c r="W2626" s="2">
        <v>2009</v>
      </c>
    </row>
    <row r="2627" spans="1:23" ht="12.3" hidden="1" x14ac:dyDescent="0.4">
      <c r="A2627" s="2" t="s">
        <v>330</v>
      </c>
      <c r="B2627" s="2"/>
      <c r="C2627" s="2"/>
      <c r="D2627" s="2"/>
      <c r="E2627" s="2"/>
      <c r="F2627" s="2"/>
      <c r="G2627" s="2"/>
      <c r="H2627" s="2"/>
      <c r="I2627" s="2">
        <v>66.3352</v>
      </c>
      <c r="J2627" s="2">
        <v>168</v>
      </c>
      <c r="K2627" s="2">
        <v>64.681100000000001</v>
      </c>
      <c r="L2627" s="2">
        <v>244</v>
      </c>
      <c r="M2627" s="2">
        <v>92.519800000000004</v>
      </c>
      <c r="N2627" s="2">
        <v>304</v>
      </c>
      <c r="O2627" s="2">
        <v>90.954800000000006</v>
      </c>
      <c r="P2627" s="2">
        <v>320</v>
      </c>
      <c r="Q2627" s="2">
        <v>102.88849999999999</v>
      </c>
      <c r="R2627" s="2">
        <v>209</v>
      </c>
      <c r="S2627" s="2">
        <v>103.81189999999999</v>
      </c>
      <c r="T2627" s="2">
        <v>219</v>
      </c>
      <c r="U2627" s="2">
        <v>0.17938599999999999</v>
      </c>
      <c r="V2627" s="2">
        <v>305</v>
      </c>
      <c r="W2627" s="2">
        <v>2009</v>
      </c>
    </row>
    <row r="2628" spans="1:23" ht="12.3" hidden="1" x14ac:dyDescent="0.4">
      <c r="A2628" s="2" t="s">
        <v>369</v>
      </c>
      <c r="B2628" s="2"/>
      <c r="C2628" s="2"/>
      <c r="D2628" s="2"/>
      <c r="E2628" s="2"/>
      <c r="F2628" s="2"/>
      <c r="G2628" s="2"/>
      <c r="H2628" s="2"/>
      <c r="I2628" s="2">
        <v>70.749200000000002</v>
      </c>
      <c r="J2628" s="2">
        <v>38</v>
      </c>
      <c r="K2628" s="2">
        <v>70.214699999999993</v>
      </c>
      <c r="L2628" s="2">
        <v>40</v>
      </c>
      <c r="M2628" s="2">
        <v>92.336100000000002</v>
      </c>
      <c r="N2628" s="2">
        <v>307</v>
      </c>
      <c r="O2628" s="2">
        <v>91.319699999999997</v>
      </c>
      <c r="P2628" s="2">
        <v>314</v>
      </c>
      <c r="Q2628" s="2">
        <v>102.1994</v>
      </c>
      <c r="R2628" s="2">
        <v>197</v>
      </c>
      <c r="S2628" s="2">
        <v>104.2453</v>
      </c>
      <c r="T2628" s="2">
        <v>227</v>
      </c>
      <c r="U2628" s="2">
        <v>0.17911299999999999</v>
      </c>
      <c r="V2628" s="2">
        <v>306</v>
      </c>
      <c r="W2628" s="2">
        <v>2009</v>
      </c>
    </row>
    <row r="2629" spans="1:23" ht="12.3" hidden="1" x14ac:dyDescent="0.4">
      <c r="A2629" s="2" t="s">
        <v>186</v>
      </c>
      <c r="B2629" s="2"/>
      <c r="C2629" s="2"/>
      <c r="D2629" s="2"/>
      <c r="E2629" s="2"/>
      <c r="F2629" s="2"/>
      <c r="G2629" s="2"/>
      <c r="H2629" s="2"/>
      <c r="I2629" s="2">
        <v>64.953400000000002</v>
      </c>
      <c r="J2629" s="2">
        <v>235</v>
      </c>
      <c r="K2629" s="2">
        <v>66.052400000000006</v>
      </c>
      <c r="L2629" s="2">
        <v>179</v>
      </c>
      <c r="M2629" s="2">
        <v>89.476600000000005</v>
      </c>
      <c r="N2629" s="2">
        <v>330</v>
      </c>
      <c r="O2629" s="2">
        <v>91.8095</v>
      </c>
      <c r="P2629" s="2">
        <v>310</v>
      </c>
      <c r="Q2629" s="2">
        <v>104.175</v>
      </c>
      <c r="R2629" s="2">
        <v>235</v>
      </c>
      <c r="S2629" s="2">
        <v>105.33929999999999</v>
      </c>
      <c r="T2629" s="2">
        <v>256</v>
      </c>
      <c r="U2629" s="2">
        <v>0.17066600000000001</v>
      </c>
      <c r="V2629" s="2">
        <v>307</v>
      </c>
      <c r="W2629" s="2">
        <v>2009</v>
      </c>
    </row>
    <row r="2630" spans="1:23" ht="12.3" hidden="1" x14ac:dyDescent="0.4">
      <c r="A2630" s="2" t="s">
        <v>327</v>
      </c>
      <c r="B2630" s="2"/>
      <c r="C2630" s="2"/>
      <c r="D2630" s="2"/>
      <c r="E2630" s="2"/>
      <c r="F2630" s="2"/>
      <c r="G2630" s="2"/>
      <c r="H2630" s="2"/>
      <c r="I2630" s="2">
        <v>65.267200000000003</v>
      </c>
      <c r="J2630" s="2">
        <v>214</v>
      </c>
      <c r="K2630" s="2">
        <v>65.783299999999997</v>
      </c>
      <c r="L2630" s="2">
        <v>194</v>
      </c>
      <c r="M2630" s="2">
        <v>92.711799999999997</v>
      </c>
      <c r="N2630" s="2">
        <v>302</v>
      </c>
      <c r="O2630" s="2">
        <v>93.173900000000003</v>
      </c>
      <c r="P2630" s="2">
        <v>300</v>
      </c>
      <c r="Q2630" s="2">
        <v>102.9842</v>
      </c>
      <c r="R2630" s="2">
        <v>210</v>
      </c>
      <c r="S2630" s="2">
        <v>106.9166</v>
      </c>
      <c r="T2630" s="2">
        <v>281</v>
      </c>
      <c r="U2630" s="2">
        <v>0.170486</v>
      </c>
      <c r="V2630" s="2">
        <v>308</v>
      </c>
      <c r="W2630" s="2">
        <v>2009</v>
      </c>
    </row>
    <row r="2631" spans="1:23" ht="12.3" hidden="1" x14ac:dyDescent="0.4">
      <c r="A2631" s="2" t="s">
        <v>305</v>
      </c>
      <c r="B2631" s="2"/>
      <c r="C2631" s="2"/>
      <c r="D2631" s="2"/>
      <c r="E2631" s="2"/>
      <c r="F2631" s="2"/>
      <c r="G2631" s="2"/>
      <c r="H2631" s="2"/>
      <c r="I2631" s="2">
        <v>66.549000000000007</v>
      </c>
      <c r="J2631" s="2">
        <v>158</v>
      </c>
      <c r="K2631" s="2">
        <v>65.892499999999998</v>
      </c>
      <c r="L2631" s="2">
        <v>188</v>
      </c>
      <c r="M2631" s="2">
        <v>97.321899999999999</v>
      </c>
      <c r="N2631" s="2">
        <v>242</v>
      </c>
      <c r="O2631" s="2">
        <v>95.805700000000002</v>
      </c>
      <c r="P2631" s="2">
        <v>266</v>
      </c>
      <c r="Q2631" s="2">
        <v>108.526</v>
      </c>
      <c r="R2631" s="2">
        <v>312</v>
      </c>
      <c r="S2631" s="2">
        <v>110.23099999999999</v>
      </c>
      <c r="T2631" s="2">
        <v>317</v>
      </c>
      <c r="U2631" s="2">
        <v>0.166181</v>
      </c>
      <c r="V2631" s="2">
        <v>309</v>
      </c>
      <c r="W2631" s="2">
        <v>2009</v>
      </c>
    </row>
    <row r="2632" spans="1:23" ht="12.3" hidden="1" x14ac:dyDescent="0.4">
      <c r="A2632" s="2" t="s">
        <v>153</v>
      </c>
      <c r="B2632" s="2"/>
      <c r="C2632" s="2"/>
      <c r="D2632" s="2"/>
      <c r="E2632" s="2"/>
      <c r="F2632" s="2"/>
      <c r="G2632" s="2"/>
      <c r="H2632" s="2"/>
      <c r="I2632" s="2">
        <v>70.312899999999999</v>
      </c>
      <c r="J2632" s="2">
        <v>45</v>
      </c>
      <c r="K2632" s="2">
        <v>70.107500000000002</v>
      </c>
      <c r="L2632" s="2">
        <v>42</v>
      </c>
      <c r="M2632" s="2">
        <v>99.445599999999999</v>
      </c>
      <c r="N2632" s="2">
        <v>209</v>
      </c>
      <c r="O2632" s="2">
        <v>96.318799999999996</v>
      </c>
      <c r="P2632" s="2">
        <v>257</v>
      </c>
      <c r="Q2632" s="2">
        <v>112.437</v>
      </c>
      <c r="R2632" s="2">
        <v>338</v>
      </c>
      <c r="S2632" s="2">
        <v>111.2321</v>
      </c>
      <c r="T2632" s="2">
        <v>325</v>
      </c>
      <c r="U2632" s="2">
        <v>0.16036900000000001</v>
      </c>
      <c r="V2632" s="2">
        <v>310</v>
      </c>
      <c r="W2632" s="2">
        <v>2009</v>
      </c>
    </row>
    <row r="2633" spans="1:23" ht="12.3" hidden="1" x14ac:dyDescent="0.4">
      <c r="A2633" s="2" t="s">
        <v>331</v>
      </c>
      <c r="B2633" s="2"/>
      <c r="C2633" s="2"/>
      <c r="D2633" s="2"/>
      <c r="E2633" s="2"/>
      <c r="F2633" s="2"/>
      <c r="G2633" s="2"/>
      <c r="H2633" s="2"/>
      <c r="I2633" s="2">
        <v>62.365200000000002</v>
      </c>
      <c r="J2633" s="2">
        <v>306</v>
      </c>
      <c r="K2633" s="2">
        <v>62.407899999999998</v>
      </c>
      <c r="L2633" s="2">
        <v>312</v>
      </c>
      <c r="M2633" s="2">
        <v>87.123400000000004</v>
      </c>
      <c r="N2633" s="2">
        <v>337</v>
      </c>
      <c r="O2633" s="2">
        <v>89.461299999999994</v>
      </c>
      <c r="P2633" s="2">
        <v>331</v>
      </c>
      <c r="Q2633" s="2">
        <v>102.46040000000001</v>
      </c>
      <c r="R2633" s="2">
        <v>201</v>
      </c>
      <c r="S2633" s="2">
        <v>103.3291</v>
      </c>
      <c r="T2633" s="2">
        <v>209</v>
      </c>
      <c r="U2633" s="2">
        <v>0.16012499999999999</v>
      </c>
      <c r="V2633" s="2">
        <v>311</v>
      </c>
      <c r="W2633" s="2">
        <v>2009</v>
      </c>
    </row>
    <row r="2634" spans="1:23" ht="12.3" hidden="1" x14ac:dyDescent="0.4">
      <c r="A2634" s="2" t="s">
        <v>259</v>
      </c>
      <c r="B2634" s="2"/>
      <c r="C2634" s="2"/>
      <c r="D2634" s="2"/>
      <c r="E2634" s="2"/>
      <c r="F2634" s="2"/>
      <c r="G2634" s="2"/>
      <c r="H2634" s="2"/>
      <c r="I2634" s="2">
        <v>76.148700000000005</v>
      </c>
      <c r="J2634" s="2">
        <v>2</v>
      </c>
      <c r="K2634" s="2">
        <v>75.9358</v>
      </c>
      <c r="L2634" s="2">
        <v>2</v>
      </c>
      <c r="M2634" s="2">
        <v>90.099299999999999</v>
      </c>
      <c r="N2634" s="2">
        <v>327</v>
      </c>
      <c r="O2634" s="2">
        <v>91.245500000000007</v>
      </c>
      <c r="P2634" s="2">
        <v>315</v>
      </c>
      <c r="Q2634" s="2">
        <v>106.6486</v>
      </c>
      <c r="R2634" s="2">
        <v>282</v>
      </c>
      <c r="S2634" s="2">
        <v>106.22</v>
      </c>
      <c r="T2634" s="2">
        <v>271</v>
      </c>
      <c r="U2634" s="2">
        <v>0.14835999999999999</v>
      </c>
      <c r="V2634" s="2">
        <v>312</v>
      </c>
      <c r="W2634" s="2">
        <v>2009</v>
      </c>
    </row>
    <row r="2635" spans="1:23" ht="12.3" hidden="1" x14ac:dyDescent="0.4">
      <c r="A2635" s="2" t="s">
        <v>265</v>
      </c>
      <c r="B2635" s="2"/>
      <c r="C2635" s="2"/>
      <c r="D2635" s="2"/>
      <c r="E2635" s="2"/>
      <c r="F2635" s="2"/>
      <c r="G2635" s="2"/>
      <c r="H2635" s="2"/>
      <c r="I2635" s="2">
        <v>60.044600000000003</v>
      </c>
      <c r="J2635" s="2">
        <v>333</v>
      </c>
      <c r="K2635" s="2">
        <v>59.389400000000002</v>
      </c>
      <c r="L2635" s="2">
        <v>336</v>
      </c>
      <c r="M2635" s="2">
        <v>94.129900000000006</v>
      </c>
      <c r="N2635" s="2">
        <v>290</v>
      </c>
      <c r="O2635" s="2">
        <v>95.849900000000005</v>
      </c>
      <c r="P2635" s="2">
        <v>264</v>
      </c>
      <c r="Q2635" s="2">
        <v>108.6152</v>
      </c>
      <c r="R2635" s="2">
        <v>314</v>
      </c>
      <c r="S2635" s="2">
        <v>112.14109999999999</v>
      </c>
      <c r="T2635" s="2">
        <v>332</v>
      </c>
      <c r="U2635" s="2">
        <v>0.14121900000000001</v>
      </c>
      <c r="V2635" s="2">
        <v>313</v>
      </c>
      <c r="W2635" s="2">
        <v>2009</v>
      </c>
    </row>
    <row r="2636" spans="1:23" ht="12.3" hidden="1" x14ac:dyDescent="0.4">
      <c r="A2636" s="2" t="s">
        <v>295</v>
      </c>
      <c r="B2636" s="2"/>
      <c r="C2636" s="2"/>
      <c r="D2636" s="2"/>
      <c r="E2636" s="2"/>
      <c r="F2636" s="2"/>
      <c r="G2636" s="2"/>
      <c r="H2636" s="2"/>
      <c r="I2636" s="2">
        <v>64.884100000000004</v>
      </c>
      <c r="J2636" s="2">
        <v>243</v>
      </c>
      <c r="K2636" s="2">
        <v>64.617199999999997</v>
      </c>
      <c r="L2636" s="2">
        <v>248</v>
      </c>
      <c r="M2636" s="2">
        <v>92.221699999999998</v>
      </c>
      <c r="N2636" s="2">
        <v>310</v>
      </c>
      <c r="O2636" s="2">
        <v>90.298500000000004</v>
      </c>
      <c r="P2636" s="2">
        <v>325</v>
      </c>
      <c r="Q2636" s="2">
        <v>106.83620000000001</v>
      </c>
      <c r="R2636" s="2">
        <v>288</v>
      </c>
      <c r="S2636" s="2">
        <v>105.685</v>
      </c>
      <c r="T2636" s="2">
        <v>262</v>
      </c>
      <c r="U2636" s="2">
        <v>0.140706</v>
      </c>
      <c r="V2636" s="2">
        <v>314</v>
      </c>
      <c r="W2636" s="2">
        <v>2009</v>
      </c>
    </row>
    <row r="2637" spans="1:23" ht="12.3" hidden="1" x14ac:dyDescent="0.4">
      <c r="A2637" s="2" t="s">
        <v>364</v>
      </c>
      <c r="B2637" s="2"/>
      <c r="C2637" s="2"/>
      <c r="D2637" s="2"/>
      <c r="E2637" s="2"/>
      <c r="F2637" s="2"/>
      <c r="G2637" s="2"/>
      <c r="H2637" s="2"/>
      <c r="I2637" s="2">
        <v>65.914500000000004</v>
      </c>
      <c r="J2637" s="2">
        <v>185</v>
      </c>
      <c r="K2637" s="2">
        <v>66.116799999999998</v>
      </c>
      <c r="L2637" s="2">
        <v>175</v>
      </c>
      <c r="M2637" s="2">
        <v>91.775599999999997</v>
      </c>
      <c r="N2637" s="2">
        <v>312</v>
      </c>
      <c r="O2637" s="2">
        <v>93.653800000000004</v>
      </c>
      <c r="P2637" s="2">
        <v>293</v>
      </c>
      <c r="Q2637" s="2">
        <v>108.84739999999999</v>
      </c>
      <c r="R2637" s="2">
        <v>315</v>
      </c>
      <c r="S2637" s="2">
        <v>109.6794</v>
      </c>
      <c r="T2637" s="2">
        <v>314</v>
      </c>
      <c r="U2637" s="2">
        <v>0.13985400000000001</v>
      </c>
      <c r="V2637" s="2">
        <v>315</v>
      </c>
      <c r="W2637" s="2">
        <v>2009</v>
      </c>
    </row>
    <row r="2638" spans="1:23" ht="12.3" hidden="1" x14ac:dyDescent="0.4">
      <c r="A2638" s="2" t="s">
        <v>352</v>
      </c>
      <c r="B2638" s="2"/>
      <c r="C2638" s="2"/>
      <c r="D2638" s="2"/>
      <c r="E2638" s="2"/>
      <c r="F2638" s="2"/>
      <c r="G2638" s="2"/>
      <c r="H2638" s="2"/>
      <c r="I2638" s="2">
        <v>65.074399999999997</v>
      </c>
      <c r="J2638" s="2">
        <v>225</v>
      </c>
      <c r="K2638" s="2">
        <v>64.477400000000003</v>
      </c>
      <c r="L2638" s="2">
        <v>259</v>
      </c>
      <c r="M2638" s="2">
        <v>84.966700000000003</v>
      </c>
      <c r="N2638" s="2">
        <v>341</v>
      </c>
      <c r="O2638" s="2">
        <v>85.223100000000002</v>
      </c>
      <c r="P2638" s="2">
        <v>341</v>
      </c>
      <c r="Q2638" s="2">
        <v>98.581199999999995</v>
      </c>
      <c r="R2638" s="2">
        <v>105</v>
      </c>
      <c r="S2638" s="2">
        <v>99.879300000000001</v>
      </c>
      <c r="T2638" s="2">
        <v>135</v>
      </c>
      <c r="U2638" s="2">
        <v>0.13884299999999999</v>
      </c>
      <c r="V2638" s="2">
        <v>316</v>
      </c>
      <c r="W2638" s="2">
        <v>2009</v>
      </c>
    </row>
    <row r="2639" spans="1:23" ht="12.3" hidden="1" x14ac:dyDescent="0.4">
      <c r="A2639" s="2" t="s">
        <v>359</v>
      </c>
      <c r="B2639" s="2"/>
      <c r="C2639" s="2"/>
      <c r="D2639" s="2"/>
      <c r="E2639" s="2"/>
      <c r="F2639" s="2"/>
      <c r="G2639" s="2"/>
      <c r="H2639" s="2"/>
      <c r="I2639" s="2">
        <v>75.967100000000002</v>
      </c>
      <c r="J2639" s="2">
        <v>3</v>
      </c>
      <c r="K2639" s="2">
        <v>75.621099999999998</v>
      </c>
      <c r="L2639" s="2">
        <v>3</v>
      </c>
      <c r="M2639" s="2">
        <v>97.832499999999996</v>
      </c>
      <c r="N2639" s="2">
        <v>233</v>
      </c>
      <c r="O2639" s="2">
        <v>96.072100000000006</v>
      </c>
      <c r="P2639" s="2">
        <v>262</v>
      </c>
      <c r="Q2639" s="2">
        <v>103.0091</v>
      </c>
      <c r="R2639" s="2">
        <v>212</v>
      </c>
      <c r="S2639" s="2">
        <v>112.65430000000001</v>
      </c>
      <c r="T2639" s="2">
        <v>336</v>
      </c>
      <c r="U2639" s="2">
        <v>0.13810800000000001</v>
      </c>
      <c r="V2639" s="2">
        <v>317</v>
      </c>
      <c r="W2639" s="2">
        <v>2009</v>
      </c>
    </row>
    <row r="2640" spans="1:23" ht="12.3" hidden="1" x14ac:dyDescent="0.4">
      <c r="A2640" s="2" t="s">
        <v>273</v>
      </c>
      <c r="B2640" s="2"/>
      <c r="C2640" s="2"/>
      <c r="D2640" s="2"/>
      <c r="E2640" s="2"/>
      <c r="F2640" s="2"/>
      <c r="G2640" s="2"/>
      <c r="H2640" s="2"/>
      <c r="I2640" s="2">
        <v>68.653400000000005</v>
      </c>
      <c r="J2640" s="2">
        <v>95</v>
      </c>
      <c r="K2640" s="2">
        <v>69.412800000000004</v>
      </c>
      <c r="L2640" s="2">
        <v>57</v>
      </c>
      <c r="M2640" s="2">
        <v>94.662999999999997</v>
      </c>
      <c r="N2640" s="2">
        <v>284</v>
      </c>
      <c r="O2640" s="2">
        <v>94.191400000000002</v>
      </c>
      <c r="P2640" s="2">
        <v>287</v>
      </c>
      <c r="Q2640" s="2">
        <v>106.3669</v>
      </c>
      <c r="R2640" s="2">
        <v>277</v>
      </c>
      <c r="S2640" s="2">
        <v>110.8777</v>
      </c>
      <c r="T2640" s="2">
        <v>319</v>
      </c>
      <c r="U2640" s="2">
        <v>0.13289000000000001</v>
      </c>
      <c r="V2640" s="2">
        <v>318</v>
      </c>
      <c r="W2640" s="2">
        <v>2009</v>
      </c>
    </row>
    <row r="2641" spans="1:23" ht="12.3" hidden="1" x14ac:dyDescent="0.4">
      <c r="A2641" s="2" t="s">
        <v>374</v>
      </c>
      <c r="B2641" s="2"/>
      <c r="C2641" s="2"/>
      <c r="D2641" s="2"/>
      <c r="E2641" s="2"/>
      <c r="F2641" s="2"/>
      <c r="G2641" s="2"/>
      <c r="H2641" s="2"/>
      <c r="I2641" s="2">
        <v>71.977999999999994</v>
      </c>
      <c r="J2641" s="2">
        <v>21</v>
      </c>
      <c r="K2641" s="2">
        <v>71.550799999999995</v>
      </c>
      <c r="L2641" s="2">
        <v>17</v>
      </c>
      <c r="M2641" s="2">
        <v>93.707999999999998</v>
      </c>
      <c r="N2641" s="2">
        <v>296</v>
      </c>
      <c r="O2641" s="2">
        <v>94.470500000000001</v>
      </c>
      <c r="P2641" s="2">
        <v>285</v>
      </c>
      <c r="Q2641" s="2">
        <v>114.38460000000001</v>
      </c>
      <c r="R2641" s="2">
        <v>341</v>
      </c>
      <c r="S2641" s="2">
        <v>111.2976</v>
      </c>
      <c r="T2641" s="2">
        <v>326</v>
      </c>
      <c r="U2641" s="2">
        <v>0.13180600000000001</v>
      </c>
      <c r="V2641" s="2">
        <v>319</v>
      </c>
      <c r="W2641" s="2">
        <v>2009</v>
      </c>
    </row>
    <row r="2642" spans="1:23" ht="12.3" hidden="1" x14ac:dyDescent="0.4">
      <c r="A2642" s="2" t="s">
        <v>127</v>
      </c>
      <c r="B2642" s="2"/>
      <c r="C2642" s="2"/>
      <c r="D2642" s="2"/>
      <c r="E2642" s="2"/>
      <c r="F2642" s="2"/>
      <c r="G2642" s="2"/>
      <c r="H2642" s="2"/>
      <c r="I2642" s="2">
        <v>65.820800000000006</v>
      </c>
      <c r="J2642" s="2">
        <v>191</v>
      </c>
      <c r="K2642" s="2">
        <v>65.744500000000002</v>
      </c>
      <c r="L2642" s="2">
        <v>197</v>
      </c>
      <c r="M2642" s="2">
        <v>93.936099999999996</v>
      </c>
      <c r="N2642" s="2">
        <v>293</v>
      </c>
      <c r="O2642" s="2">
        <v>94.5244</v>
      </c>
      <c r="P2642" s="2">
        <v>283</v>
      </c>
      <c r="Q2642" s="2">
        <v>111.6557</v>
      </c>
      <c r="R2642" s="2">
        <v>334</v>
      </c>
      <c r="S2642" s="2">
        <v>111.47029999999999</v>
      </c>
      <c r="T2642" s="2">
        <v>328</v>
      </c>
      <c r="U2642" s="2">
        <v>0.130523</v>
      </c>
      <c r="V2642" s="2">
        <v>320</v>
      </c>
      <c r="W2642" s="2">
        <v>2009</v>
      </c>
    </row>
    <row r="2643" spans="1:23" ht="12.3" hidden="1" x14ac:dyDescent="0.4">
      <c r="A2643" s="2" t="s">
        <v>363</v>
      </c>
      <c r="B2643" s="2"/>
      <c r="C2643" s="2"/>
      <c r="D2643" s="2"/>
      <c r="E2643" s="2"/>
      <c r="F2643" s="2"/>
      <c r="G2643" s="2"/>
      <c r="H2643" s="2"/>
      <c r="I2643" s="2">
        <v>64.777100000000004</v>
      </c>
      <c r="J2643" s="2">
        <v>247</v>
      </c>
      <c r="K2643" s="2">
        <v>63.698500000000003</v>
      </c>
      <c r="L2643" s="2">
        <v>278</v>
      </c>
      <c r="M2643" s="2">
        <v>86.32</v>
      </c>
      <c r="N2643" s="2">
        <v>338</v>
      </c>
      <c r="O2643" s="2">
        <v>90.144499999999994</v>
      </c>
      <c r="P2643" s="2">
        <v>326</v>
      </c>
      <c r="Q2643" s="2">
        <v>107.1939</v>
      </c>
      <c r="R2643" s="2">
        <v>292</v>
      </c>
      <c r="S2643" s="2">
        <v>106.8942</v>
      </c>
      <c r="T2643" s="2">
        <v>280</v>
      </c>
      <c r="U2643" s="2">
        <v>0.123478</v>
      </c>
      <c r="V2643" s="2">
        <v>321</v>
      </c>
      <c r="W2643" s="2">
        <v>2009</v>
      </c>
    </row>
    <row r="2644" spans="1:23" ht="12.3" hidden="1" x14ac:dyDescent="0.4">
      <c r="A2644" s="2" t="s">
        <v>195</v>
      </c>
      <c r="B2644" s="2"/>
      <c r="C2644" s="2"/>
      <c r="D2644" s="2"/>
      <c r="E2644" s="2"/>
      <c r="F2644" s="2"/>
      <c r="G2644" s="2"/>
      <c r="H2644" s="2"/>
      <c r="I2644" s="2">
        <v>64.761600000000001</v>
      </c>
      <c r="J2644" s="2">
        <v>248</v>
      </c>
      <c r="K2644" s="2">
        <v>65.037700000000001</v>
      </c>
      <c r="L2644" s="2">
        <v>234</v>
      </c>
      <c r="M2644" s="2">
        <v>92.938999999999993</v>
      </c>
      <c r="N2644" s="2">
        <v>297</v>
      </c>
      <c r="O2644" s="2">
        <v>91.056200000000004</v>
      </c>
      <c r="P2644" s="2">
        <v>318</v>
      </c>
      <c r="Q2644" s="2">
        <v>110.3379</v>
      </c>
      <c r="R2644" s="2">
        <v>331</v>
      </c>
      <c r="S2644" s="2">
        <v>108.31489999999999</v>
      </c>
      <c r="T2644" s="2">
        <v>300</v>
      </c>
      <c r="U2644" s="2">
        <v>0.11962299999999999</v>
      </c>
      <c r="V2644" s="2">
        <v>322</v>
      </c>
      <c r="W2644" s="2">
        <v>2009</v>
      </c>
    </row>
    <row r="2645" spans="1:23" ht="12.3" hidden="1" x14ac:dyDescent="0.4">
      <c r="A2645" s="2" t="s">
        <v>251</v>
      </c>
      <c r="B2645" s="2"/>
      <c r="C2645" s="2"/>
      <c r="D2645" s="2"/>
      <c r="E2645" s="2"/>
      <c r="F2645" s="2"/>
      <c r="G2645" s="2"/>
      <c r="H2645" s="2"/>
      <c r="I2645" s="2">
        <v>65.624200000000002</v>
      </c>
      <c r="J2645" s="2">
        <v>200</v>
      </c>
      <c r="K2645" s="2">
        <v>65.751400000000004</v>
      </c>
      <c r="L2645" s="2">
        <v>196</v>
      </c>
      <c r="M2645" s="2">
        <v>94.86</v>
      </c>
      <c r="N2645" s="2">
        <v>281</v>
      </c>
      <c r="O2645" s="2">
        <v>93.17</v>
      </c>
      <c r="P2645" s="2">
        <v>301</v>
      </c>
      <c r="Q2645" s="2">
        <v>107.166</v>
      </c>
      <c r="R2645" s="2">
        <v>291</v>
      </c>
      <c r="S2645" s="2">
        <v>111.04340000000001</v>
      </c>
      <c r="T2645" s="2">
        <v>322</v>
      </c>
      <c r="U2645" s="2">
        <v>0.11730699999999999</v>
      </c>
      <c r="V2645" s="2">
        <v>323</v>
      </c>
      <c r="W2645" s="2">
        <v>2009</v>
      </c>
    </row>
    <row r="2646" spans="1:23" ht="12.3" hidden="1" x14ac:dyDescent="0.4">
      <c r="A2646" s="2" t="s">
        <v>249</v>
      </c>
      <c r="B2646" s="2"/>
      <c r="C2646" s="2"/>
      <c r="D2646" s="2"/>
      <c r="E2646" s="2"/>
      <c r="F2646" s="2"/>
      <c r="G2646" s="2"/>
      <c r="H2646" s="2"/>
      <c r="I2646" s="2">
        <v>67.812100000000001</v>
      </c>
      <c r="J2646" s="2">
        <v>114</v>
      </c>
      <c r="K2646" s="2">
        <v>67.843699999999998</v>
      </c>
      <c r="L2646" s="2">
        <v>105</v>
      </c>
      <c r="M2646" s="2">
        <v>90.396100000000004</v>
      </c>
      <c r="N2646" s="2">
        <v>324</v>
      </c>
      <c r="O2646" s="2">
        <v>91.718800000000002</v>
      </c>
      <c r="P2646" s="2">
        <v>311</v>
      </c>
      <c r="Q2646" s="2">
        <v>113.0176</v>
      </c>
      <c r="R2646" s="2">
        <v>339</v>
      </c>
      <c r="S2646" s="2">
        <v>109.5069</v>
      </c>
      <c r="T2646" s="2">
        <v>310</v>
      </c>
      <c r="U2646" s="2">
        <v>0.11522</v>
      </c>
      <c r="V2646" s="2">
        <v>324</v>
      </c>
      <c r="W2646" s="2">
        <v>2009</v>
      </c>
    </row>
    <row r="2647" spans="1:23" ht="12.3" hidden="1" x14ac:dyDescent="0.4">
      <c r="A2647" s="2" t="s">
        <v>299</v>
      </c>
      <c r="B2647" s="2"/>
      <c r="C2647" s="2"/>
      <c r="D2647" s="2"/>
      <c r="E2647" s="2"/>
      <c r="F2647" s="2"/>
      <c r="G2647" s="2"/>
      <c r="H2647" s="2"/>
      <c r="I2647" s="2">
        <v>68.754300000000001</v>
      </c>
      <c r="J2647" s="2">
        <v>91</v>
      </c>
      <c r="K2647" s="2">
        <v>67.964399999999998</v>
      </c>
      <c r="L2647" s="2">
        <v>102</v>
      </c>
      <c r="M2647" s="2">
        <v>92.509600000000006</v>
      </c>
      <c r="N2647" s="2">
        <v>305</v>
      </c>
      <c r="O2647" s="2">
        <v>93.062799999999996</v>
      </c>
      <c r="P2647" s="2">
        <v>303</v>
      </c>
      <c r="Q2647" s="2">
        <v>108.46720000000001</v>
      </c>
      <c r="R2647" s="2">
        <v>311</v>
      </c>
      <c r="S2647" s="2">
        <v>111.1665</v>
      </c>
      <c r="T2647" s="2">
        <v>323</v>
      </c>
      <c r="U2647" s="2">
        <v>0.11464199999999999</v>
      </c>
      <c r="V2647" s="2">
        <v>325</v>
      </c>
      <c r="W2647" s="2">
        <v>2009</v>
      </c>
    </row>
    <row r="2648" spans="1:23" ht="12.3" hidden="1" x14ac:dyDescent="0.4">
      <c r="A2648" s="2" t="s">
        <v>291</v>
      </c>
      <c r="B2648" s="2"/>
      <c r="C2648" s="2"/>
      <c r="D2648" s="2"/>
      <c r="E2648" s="2"/>
      <c r="F2648" s="2"/>
      <c r="G2648" s="2"/>
      <c r="H2648" s="2"/>
      <c r="I2648" s="2">
        <v>65.691699999999997</v>
      </c>
      <c r="J2648" s="2">
        <v>196</v>
      </c>
      <c r="K2648" s="2">
        <v>65.962800000000001</v>
      </c>
      <c r="L2648" s="2">
        <v>184</v>
      </c>
      <c r="M2648" s="2">
        <v>85.901499999999999</v>
      </c>
      <c r="N2648" s="2">
        <v>339</v>
      </c>
      <c r="O2648" s="2">
        <v>88.425399999999996</v>
      </c>
      <c r="P2648" s="2">
        <v>335</v>
      </c>
      <c r="Q2648" s="2">
        <v>109.62</v>
      </c>
      <c r="R2648" s="2">
        <v>326</v>
      </c>
      <c r="S2648" s="2">
        <v>105.6277</v>
      </c>
      <c r="T2648" s="2">
        <v>259</v>
      </c>
      <c r="U2648" s="2">
        <v>0.114635</v>
      </c>
      <c r="V2648" s="2">
        <v>326</v>
      </c>
      <c r="W2648" s="2">
        <v>2009</v>
      </c>
    </row>
    <row r="2649" spans="1:23" ht="12.3" hidden="1" x14ac:dyDescent="0.4">
      <c r="A2649" s="2" t="s">
        <v>332</v>
      </c>
      <c r="B2649" s="2"/>
      <c r="C2649" s="2"/>
      <c r="D2649" s="2"/>
      <c r="E2649" s="2"/>
      <c r="F2649" s="2"/>
      <c r="G2649" s="2"/>
      <c r="H2649" s="2"/>
      <c r="I2649" s="2">
        <v>64.192700000000002</v>
      </c>
      <c r="J2649" s="2">
        <v>266</v>
      </c>
      <c r="K2649" s="2">
        <v>63.606900000000003</v>
      </c>
      <c r="L2649" s="2">
        <v>280</v>
      </c>
      <c r="M2649" s="2">
        <v>95.461399999999998</v>
      </c>
      <c r="N2649" s="2">
        <v>274</v>
      </c>
      <c r="O2649" s="2">
        <v>93.854799999999997</v>
      </c>
      <c r="P2649" s="2">
        <v>291</v>
      </c>
      <c r="Q2649" s="2">
        <v>109.7329</v>
      </c>
      <c r="R2649" s="2">
        <v>327</v>
      </c>
      <c r="S2649" s="2">
        <v>112.1691</v>
      </c>
      <c r="T2649" s="2">
        <v>334</v>
      </c>
      <c r="U2649" s="2">
        <v>0.114055</v>
      </c>
      <c r="V2649" s="2">
        <v>327</v>
      </c>
      <c r="W2649" s="2">
        <v>2009</v>
      </c>
    </row>
    <row r="2650" spans="1:23" ht="12.3" hidden="1" x14ac:dyDescent="0.4">
      <c r="A2650" s="2" t="s">
        <v>338</v>
      </c>
      <c r="B2650" s="2" t="e">
        <v>#N/A</v>
      </c>
      <c r="C2650" s="2"/>
      <c r="D2650" s="2"/>
      <c r="E2650" s="2"/>
      <c r="F2650" s="2"/>
      <c r="G2650" s="2"/>
      <c r="H2650" s="2"/>
      <c r="I2650" s="2">
        <v>67.475200000000001</v>
      </c>
      <c r="J2650" s="2">
        <v>132</v>
      </c>
      <c r="K2650" s="2">
        <v>66.188199999999995</v>
      </c>
      <c r="L2650" s="2">
        <v>173</v>
      </c>
      <c r="M2650" s="2">
        <v>92.726500000000001</v>
      </c>
      <c r="N2650" s="2">
        <v>301</v>
      </c>
      <c r="O2650" s="2">
        <v>91.163499999999999</v>
      </c>
      <c r="P2650" s="2">
        <v>317</v>
      </c>
      <c r="Q2650" s="2">
        <v>103.23650000000001</v>
      </c>
      <c r="R2650" s="2">
        <v>217</v>
      </c>
      <c r="S2650" s="2">
        <v>109.2805</v>
      </c>
      <c r="T2650" s="2">
        <v>307</v>
      </c>
      <c r="U2650" s="2">
        <v>0.110609</v>
      </c>
      <c r="V2650" s="2">
        <v>328</v>
      </c>
      <c r="W2650" s="2">
        <v>2009</v>
      </c>
    </row>
    <row r="2651" spans="1:23" ht="12.3" hidden="1" x14ac:dyDescent="0.4">
      <c r="A2651" s="2" t="s">
        <v>325</v>
      </c>
      <c r="B2651" s="2" t="e">
        <v>#N/A</v>
      </c>
      <c r="C2651" s="2"/>
      <c r="D2651" s="2"/>
      <c r="E2651" s="2"/>
      <c r="F2651" s="2"/>
      <c r="G2651" s="2"/>
      <c r="H2651" s="2"/>
      <c r="I2651" s="2">
        <v>68.318700000000007</v>
      </c>
      <c r="J2651" s="2">
        <v>103</v>
      </c>
      <c r="K2651" s="2">
        <v>67.746899999999997</v>
      </c>
      <c r="L2651" s="2">
        <v>111</v>
      </c>
      <c r="M2651" s="2">
        <v>93.825400000000002</v>
      </c>
      <c r="N2651" s="2">
        <v>294</v>
      </c>
      <c r="O2651" s="2">
        <v>92.933800000000005</v>
      </c>
      <c r="P2651" s="2">
        <v>304</v>
      </c>
      <c r="Q2651" s="2">
        <v>107.7547</v>
      </c>
      <c r="R2651" s="2">
        <v>302</v>
      </c>
      <c r="S2651" s="2">
        <v>111.47880000000001</v>
      </c>
      <c r="T2651" s="2">
        <v>329</v>
      </c>
      <c r="U2651" s="2">
        <v>0.10983900000000001</v>
      </c>
      <c r="V2651" s="2">
        <v>329</v>
      </c>
      <c r="W2651" s="2">
        <v>2009</v>
      </c>
    </row>
    <row r="2652" spans="1:23" ht="12.3" hidden="1" x14ac:dyDescent="0.4">
      <c r="A2652" s="2" t="s">
        <v>242</v>
      </c>
      <c r="B2652" s="2" t="e">
        <v>#N/A</v>
      </c>
      <c r="C2652" s="2"/>
      <c r="D2652" s="2"/>
      <c r="E2652" s="2"/>
      <c r="F2652" s="2"/>
      <c r="G2652" s="2"/>
      <c r="H2652" s="2"/>
      <c r="I2652" s="2">
        <v>66.624399999999994</v>
      </c>
      <c r="J2652" s="2">
        <v>155</v>
      </c>
      <c r="K2652" s="2">
        <v>66.678600000000003</v>
      </c>
      <c r="L2652" s="2">
        <v>156</v>
      </c>
      <c r="M2652" s="2">
        <v>91.146299999999997</v>
      </c>
      <c r="N2652" s="2">
        <v>320</v>
      </c>
      <c r="O2652" s="2">
        <v>90.765900000000002</v>
      </c>
      <c r="P2652" s="2">
        <v>321</v>
      </c>
      <c r="Q2652" s="2">
        <v>104.89109999999999</v>
      </c>
      <c r="R2652" s="2">
        <v>251</v>
      </c>
      <c r="S2652" s="2">
        <v>109.30549999999999</v>
      </c>
      <c r="T2652" s="2">
        <v>308</v>
      </c>
      <c r="U2652" s="2">
        <v>0.10551199999999999</v>
      </c>
      <c r="V2652" s="2">
        <v>330</v>
      </c>
      <c r="W2652" s="2">
        <v>2009</v>
      </c>
    </row>
    <row r="2653" spans="1:23" ht="12.3" hidden="1" x14ac:dyDescent="0.4">
      <c r="A2653" s="2" t="s">
        <v>301</v>
      </c>
      <c r="B2653" s="2" t="e">
        <v>#N/A</v>
      </c>
      <c r="C2653" s="2"/>
      <c r="D2653" s="2"/>
      <c r="E2653" s="2"/>
      <c r="F2653" s="2"/>
      <c r="G2653" s="2"/>
      <c r="H2653" s="2"/>
      <c r="I2653" s="2">
        <v>67.047499999999999</v>
      </c>
      <c r="J2653" s="2">
        <v>141</v>
      </c>
      <c r="K2653" s="2">
        <v>67.181100000000001</v>
      </c>
      <c r="L2653" s="2">
        <v>132</v>
      </c>
      <c r="M2653" s="2">
        <v>90.302199999999999</v>
      </c>
      <c r="N2653" s="2">
        <v>325</v>
      </c>
      <c r="O2653" s="2">
        <v>89.991299999999995</v>
      </c>
      <c r="P2653" s="2">
        <v>327</v>
      </c>
      <c r="Q2653" s="2">
        <v>105.53700000000001</v>
      </c>
      <c r="R2653" s="2">
        <v>263</v>
      </c>
      <c r="S2653" s="2">
        <v>108.4538</v>
      </c>
      <c r="T2653" s="2">
        <v>302</v>
      </c>
      <c r="U2653" s="2">
        <v>0.104702</v>
      </c>
      <c r="V2653" s="2">
        <v>331</v>
      </c>
      <c r="W2653" s="2">
        <v>2009</v>
      </c>
    </row>
    <row r="2654" spans="1:23" ht="12.3" hidden="1" x14ac:dyDescent="0.4">
      <c r="A2654" s="2" t="s">
        <v>375</v>
      </c>
      <c r="B2654" s="2" t="e">
        <v>#N/A</v>
      </c>
      <c r="C2654" s="2"/>
      <c r="D2654" s="2"/>
      <c r="E2654" s="2"/>
      <c r="F2654" s="2"/>
      <c r="G2654" s="2"/>
      <c r="H2654" s="2"/>
      <c r="I2654" s="2">
        <v>62.202199999999998</v>
      </c>
      <c r="J2654" s="2">
        <v>312</v>
      </c>
      <c r="K2654" s="2">
        <v>62.316600000000001</v>
      </c>
      <c r="L2654" s="2">
        <v>315</v>
      </c>
      <c r="M2654" s="2">
        <v>92.730500000000006</v>
      </c>
      <c r="N2654" s="2">
        <v>300</v>
      </c>
      <c r="O2654" s="2">
        <v>94.236000000000004</v>
      </c>
      <c r="P2654" s="2">
        <v>286</v>
      </c>
      <c r="Q2654" s="2">
        <v>109.0519</v>
      </c>
      <c r="R2654" s="2">
        <v>319</v>
      </c>
      <c r="S2654" s="2">
        <v>113.69329999999999</v>
      </c>
      <c r="T2654" s="2">
        <v>339</v>
      </c>
      <c r="U2654" s="2">
        <v>0.103533</v>
      </c>
      <c r="V2654" s="2">
        <v>332</v>
      </c>
      <c r="W2654" s="2">
        <v>2009</v>
      </c>
    </row>
    <row r="2655" spans="1:23" ht="12.3" hidden="1" x14ac:dyDescent="0.4">
      <c r="A2655" s="2" t="s">
        <v>202</v>
      </c>
      <c r="B2655" s="2" t="e">
        <v>#N/A</v>
      </c>
      <c r="C2655" s="2"/>
      <c r="D2655" s="2"/>
      <c r="E2655" s="2"/>
      <c r="F2655" s="2"/>
      <c r="G2655" s="2"/>
      <c r="H2655" s="2"/>
      <c r="I2655" s="2">
        <v>65.732600000000005</v>
      </c>
      <c r="J2655" s="2">
        <v>194</v>
      </c>
      <c r="K2655" s="2">
        <v>63.705399999999997</v>
      </c>
      <c r="L2655" s="2">
        <v>277</v>
      </c>
      <c r="M2655" s="2">
        <v>94.616200000000006</v>
      </c>
      <c r="N2655" s="2">
        <v>285</v>
      </c>
      <c r="O2655" s="2">
        <v>93.241900000000001</v>
      </c>
      <c r="P2655" s="2">
        <v>297</v>
      </c>
      <c r="Q2655" s="2">
        <v>105.7996</v>
      </c>
      <c r="R2655" s="2">
        <v>266</v>
      </c>
      <c r="S2655" s="2">
        <v>112.60469999999999</v>
      </c>
      <c r="T2655" s="2">
        <v>335</v>
      </c>
      <c r="U2655" s="2">
        <v>0.10248699999999999</v>
      </c>
      <c r="V2655" s="2">
        <v>333</v>
      </c>
      <c r="W2655" s="2">
        <v>2009</v>
      </c>
    </row>
    <row r="2656" spans="1:23" ht="12.3" hidden="1" x14ac:dyDescent="0.4">
      <c r="A2656" s="2" t="s">
        <v>344</v>
      </c>
      <c r="B2656" s="2" t="e">
        <v>#N/A</v>
      </c>
      <c r="C2656" s="2"/>
      <c r="D2656" s="2"/>
      <c r="E2656" s="2"/>
      <c r="F2656" s="2"/>
      <c r="G2656" s="2"/>
      <c r="H2656" s="2"/>
      <c r="I2656" s="2">
        <v>68.734399999999994</v>
      </c>
      <c r="J2656" s="2">
        <v>93</v>
      </c>
      <c r="K2656" s="2">
        <v>69.158199999999994</v>
      </c>
      <c r="L2656" s="2">
        <v>62</v>
      </c>
      <c r="M2656" s="2">
        <v>91.297200000000004</v>
      </c>
      <c r="N2656" s="2">
        <v>318</v>
      </c>
      <c r="O2656" s="2">
        <v>91.4559</v>
      </c>
      <c r="P2656" s="2">
        <v>313</v>
      </c>
      <c r="Q2656" s="2">
        <v>109.12869999999999</v>
      </c>
      <c r="R2656" s="2">
        <v>320</v>
      </c>
      <c r="S2656" s="2">
        <v>111.23180000000001</v>
      </c>
      <c r="T2656" s="2">
        <v>324</v>
      </c>
      <c r="U2656" s="2">
        <v>9.5242999999999994E-2</v>
      </c>
      <c r="V2656" s="2">
        <v>334</v>
      </c>
      <c r="W2656" s="2">
        <v>2009</v>
      </c>
    </row>
    <row r="2657" spans="1:23" ht="12.3" hidden="1" x14ac:dyDescent="0.4">
      <c r="A2657" s="2" t="s">
        <v>272</v>
      </c>
      <c r="B2657" s="2" t="e">
        <v>#N/A</v>
      </c>
      <c r="C2657" s="2"/>
      <c r="D2657" s="2"/>
      <c r="E2657" s="2"/>
      <c r="F2657" s="2"/>
      <c r="G2657" s="2"/>
      <c r="H2657" s="2"/>
      <c r="I2657" s="2">
        <v>71.509100000000004</v>
      </c>
      <c r="J2657" s="2">
        <v>28</v>
      </c>
      <c r="K2657" s="2">
        <v>70.282200000000003</v>
      </c>
      <c r="L2657" s="2">
        <v>37</v>
      </c>
      <c r="M2657" s="2">
        <v>89.120500000000007</v>
      </c>
      <c r="N2657" s="2">
        <v>331</v>
      </c>
      <c r="O2657" s="2">
        <v>86.532799999999995</v>
      </c>
      <c r="P2657" s="2">
        <v>339</v>
      </c>
      <c r="Q2657" s="2">
        <v>100.7109</v>
      </c>
      <c r="R2657" s="2">
        <v>158</v>
      </c>
      <c r="S2657" s="2">
        <v>105.4894</v>
      </c>
      <c r="T2657" s="2">
        <v>257</v>
      </c>
      <c r="U2657" s="2">
        <v>9.2962000000000003E-2</v>
      </c>
      <c r="V2657" s="2">
        <v>335</v>
      </c>
      <c r="W2657" s="2">
        <v>2009</v>
      </c>
    </row>
    <row r="2658" spans="1:23" ht="12.3" hidden="1" x14ac:dyDescent="0.4">
      <c r="A2658" s="2" t="s">
        <v>303</v>
      </c>
      <c r="B2658" s="2" t="e">
        <v>#N/A</v>
      </c>
      <c r="C2658" s="2"/>
      <c r="D2658" s="2"/>
      <c r="E2658" s="2"/>
      <c r="F2658" s="2"/>
      <c r="G2658" s="2"/>
      <c r="H2658" s="2"/>
      <c r="I2658" s="2">
        <v>70.878399999999999</v>
      </c>
      <c r="J2658" s="2">
        <v>36</v>
      </c>
      <c r="K2658" s="2">
        <v>70.852099999999993</v>
      </c>
      <c r="L2658" s="2">
        <v>25</v>
      </c>
      <c r="M2658" s="2">
        <v>95.156000000000006</v>
      </c>
      <c r="N2658" s="2">
        <v>276</v>
      </c>
      <c r="O2658" s="2">
        <v>93.881699999999995</v>
      </c>
      <c r="P2658" s="2">
        <v>290</v>
      </c>
      <c r="Q2658" s="2">
        <v>115.5599</v>
      </c>
      <c r="R2658" s="2">
        <v>344</v>
      </c>
      <c r="S2658" s="2">
        <v>116.3259</v>
      </c>
      <c r="T2658" s="2">
        <v>341</v>
      </c>
      <c r="U2658" s="2">
        <v>7.8338000000000005E-2</v>
      </c>
      <c r="V2658" s="2">
        <v>336</v>
      </c>
      <c r="W2658" s="2">
        <v>2009</v>
      </c>
    </row>
    <row r="2659" spans="1:23" ht="12.3" hidden="1" x14ac:dyDescent="0.4">
      <c r="A2659" s="2" t="s">
        <v>361</v>
      </c>
      <c r="B2659" s="2" t="e">
        <v>#N/A</v>
      </c>
      <c r="C2659" s="2"/>
      <c r="D2659" s="2"/>
      <c r="E2659" s="2"/>
      <c r="F2659" s="2"/>
      <c r="G2659" s="2"/>
      <c r="H2659" s="2"/>
      <c r="I2659" s="2">
        <v>63.701300000000003</v>
      </c>
      <c r="J2659" s="2">
        <v>276</v>
      </c>
      <c r="K2659" s="2">
        <v>62.737699999999997</v>
      </c>
      <c r="L2659" s="2">
        <v>305</v>
      </c>
      <c r="M2659" s="2">
        <v>90.519900000000007</v>
      </c>
      <c r="N2659" s="2">
        <v>323</v>
      </c>
      <c r="O2659" s="2">
        <v>88.295500000000004</v>
      </c>
      <c r="P2659" s="2">
        <v>336</v>
      </c>
      <c r="Q2659" s="2">
        <v>107.6262</v>
      </c>
      <c r="R2659" s="2">
        <v>300</v>
      </c>
      <c r="S2659" s="2">
        <v>110.9659</v>
      </c>
      <c r="T2659" s="2">
        <v>321</v>
      </c>
      <c r="U2659" s="2">
        <v>6.7349000000000006E-2</v>
      </c>
      <c r="V2659" s="2">
        <v>337</v>
      </c>
      <c r="W2659" s="2">
        <v>2009</v>
      </c>
    </row>
    <row r="2660" spans="1:23" ht="12.3" hidden="1" x14ac:dyDescent="0.4">
      <c r="A2660" s="2" t="s">
        <v>365</v>
      </c>
      <c r="B2660" s="2" t="e">
        <v>#N/A</v>
      </c>
      <c r="C2660" s="2"/>
      <c r="D2660" s="2"/>
      <c r="E2660" s="2"/>
      <c r="F2660" s="2"/>
      <c r="G2660" s="2"/>
      <c r="H2660" s="2"/>
      <c r="I2660" s="2">
        <v>67.852599999999995</v>
      </c>
      <c r="J2660" s="2">
        <v>113</v>
      </c>
      <c r="K2660" s="2">
        <v>68.279899999999998</v>
      </c>
      <c r="L2660" s="2">
        <v>92</v>
      </c>
      <c r="M2660" s="2">
        <v>83.257499999999993</v>
      </c>
      <c r="N2660" s="2">
        <v>343</v>
      </c>
      <c r="O2660" s="2">
        <v>84.727800000000002</v>
      </c>
      <c r="P2660" s="2">
        <v>343</v>
      </c>
      <c r="Q2660" s="2">
        <v>100.1139</v>
      </c>
      <c r="R2660" s="2">
        <v>143</v>
      </c>
      <c r="S2660" s="2">
        <v>106.93810000000001</v>
      </c>
      <c r="T2660" s="2">
        <v>282</v>
      </c>
      <c r="U2660" s="2">
        <v>6.4327999999999996E-2</v>
      </c>
      <c r="V2660" s="2">
        <v>338</v>
      </c>
      <c r="W2660" s="2">
        <v>2009</v>
      </c>
    </row>
    <row r="2661" spans="1:23" ht="12.3" hidden="1" x14ac:dyDescent="0.4">
      <c r="A2661" s="2" t="s">
        <v>302</v>
      </c>
      <c r="B2661" s="2" t="e">
        <v>#N/A</v>
      </c>
      <c r="C2661" s="2"/>
      <c r="D2661" s="2"/>
      <c r="E2661" s="2"/>
      <c r="F2661" s="2"/>
      <c r="G2661" s="2"/>
      <c r="H2661" s="2"/>
      <c r="I2661" s="2">
        <v>63.250900000000001</v>
      </c>
      <c r="J2661" s="2">
        <v>288</v>
      </c>
      <c r="K2661" s="2">
        <v>64.559700000000007</v>
      </c>
      <c r="L2661" s="2">
        <v>253</v>
      </c>
      <c r="M2661" s="2">
        <v>89.711299999999994</v>
      </c>
      <c r="N2661" s="2">
        <v>329</v>
      </c>
      <c r="O2661" s="2">
        <v>88.997100000000003</v>
      </c>
      <c r="P2661" s="2">
        <v>332</v>
      </c>
      <c r="Q2661" s="2">
        <v>114.51519999999999</v>
      </c>
      <c r="R2661" s="2">
        <v>342</v>
      </c>
      <c r="S2661" s="2">
        <v>113.20310000000001</v>
      </c>
      <c r="T2661" s="2">
        <v>338</v>
      </c>
      <c r="U2661" s="2">
        <v>5.9152000000000003E-2</v>
      </c>
      <c r="V2661" s="2">
        <v>339</v>
      </c>
      <c r="W2661" s="2">
        <v>2009</v>
      </c>
    </row>
    <row r="2662" spans="1:23" ht="12.3" hidden="1" x14ac:dyDescent="0.4">
      <c r="A2662" s="2" t="s">
        <v>261</v>
      </c>
      <c r="B2662" s="2" t="e">
        <v>#N/A</v>
      </c>
      <c r="C2662" s="2"/>
      <c r="D2662" s="2"/>
      <c r="E2662" s="2"/>
      <c r="F2662" s="2"/>
      <c r="G2662" s="2"/>
      <c r="H2662" s="2"/>
      <c r="I2662" s="2">
        <v>74.865099999999998</v>
      </c>
      <c r="J2662" s="2">
        <v>8</v>
      </c>
      <c r="K2662" s="2">
        <v>73.905799999999999</v>
      </c>
      <c r="L2662" s="2">
        <v>8</v>
      </c>
      <c r="M2662" s="2">
        <v>92.257000000000005</v>
      </c>
      <c r="N2662" s="2">
        <v>309</v>
      </c>
      <c r="O2662" s="2">
        <v>92.915499999999994</v>
      </c>
      <c r="P2662" s="2">
        <v>305</v>
      </c>
      <c r="Q2662" s="2">
        <v>112.009</v>
      </c>
      <c r="R2662" s="2">
        <v>337</v>
      </c>
      <c r="S2662" s="2">
        <v>118.32340000000001</v>
      </c>
      <c r="T2662" s="2">
        <v>344</v>
      </c>
      <c r="U2662" s="2">
        <v>5.8418999999999999E-2</v>
      </c>
      <c r="V2662" s="2">
        <v>340</v>
      </c>
      <c r="W2662" s="2">
        <v>2009</v>
      </c>
    </row>
    <row r="2663" spans="1:23" ht="12.3" hidden="1" x14ac:dyDescent="0.4">
      <c r="A2663" s="2" t="s">
        <v>329</v>
      </c>
      <c r="B2663" s="2" t="e">
        <v>#N/A</v>
      </c>
      <c r="C2663" s="2"/>
      <c r="D2663" s="2"/>
      <c r="E2663" s="2"/>
      <c r="F2663" s="2"/>
      <c r="G2663" s="2"/>
      <c r="H2663" s="2"/>
      <c r="I2663" s="2">
        <v>64.614699999999999</v>
      </c>
      <c r="J2663" s="2">
        <v>254</v>
      </c>
      <c r="K2663" s="2">
        <v>62.867199999999997</v>
      </c>
      <c r="L2663" s="2">
        <v>302</v>
      </c>
      <c r="M2663" s="2">
        <v>90.013499999999993</v>
      </c>
      <c r="N2663" s="2">
        <v>328</v>
      </c>
      <c r="O2663" s="2">
        <v>89.944900000000004</v>
      </c>
      <c r="P2663" s="2">
        <v>328</v>
      </c>
      <c r="Q2663" s="2">
        <v>110.57510000000001</v>
      </c>
      <c r="R2663" s="2">
        <v>333</v>
      </c>
      <c r="S2663" s="2">
        <v>116.3934</v>
      </c>
      <c r="T2663" s="2">
        <v>342</v>
      </c>
      <c r="U2663" s="2">
        <v>4.9057999999999997E-2</v>
      </c>
      <c r="V2663" s="2">
        <v>341</v>
      </c>
      <c r="W2663" s="2">
        <v>2009</v>
      </c>
    </row>
    <row r="2664" spans="1:23" ht="12.3" hidden="1" x14ac:dyDescent="0.4">
      <c r="A2664" s="2" t="s">
        <v>321</v>
      </c>
      <c r="B2664" s="2" t="e">
        <v>#N/A</v>
      </c>
      <c r="C2664" s="2"/>
      <c r="D2664" s="2"/>
      <c r="E2664" s="2"/>
      <c r="F2664" s="2"/>
      <c r="G2664" s="2"/>
      <c r="H2664" s="2"/>
      <c r="I2664" s="2">
        <v>64.524199999999993</v>
      </c>
      <c r="J2664" s="2">
        <v>257</v>
      </c>
      <c r="K2664" s="2">
        <v>64.376400000000004</v>
      </c>
      <c r="L2664" s="2">
        <v>262</v>
      </c>
      <c r="M2664" s="2">
        <v>90.658199999999994</v>
      </c>
      <c r="N2664" s="2">
        <v>322</v>
      </c>
      <c r="O2664" s="2">
        <v>89.541899999999998</v>
      </c>
      <c r="P2664" s="2">
        <v>330</v>
      </c>
      <c r="Q2664" s="2">
        <v>108.0254</v>
      </c>
      <c r="R2664" s="2">
        <v>306</v>
      </c>
      <c r="S2664" s="2">
        <v>116.9873</v>
      </c>
      <c r="T2664" s="2">
        <v>343</v>
      </c>
      <c r="U2664" s="2">
        <v>4.4165999999999997E-2</v>
      </c>
      <c r="V2664" s="2">
        <v>342</v>
      </c>
      <c r="W2664" s="2">
        <v>2009</v>
      </c>
    </row>
    <row r="2665" spans="1:23" ht="12.3" hidden="1" x14ac:dyDescent="0.4">
      <c r="A2665" s="2" t="s">
        <v>371</v>
      </c>
      <c r="B2665" s="2" t="e">
        <v>#N/A</v>
      </c>
      <c r="C2665" s="2"/>
      <c r="D2665" s="2"/>
      <c r="E2665" s="2"/>
      <c r="F2665" s="2"/>
      <c r="G2665" s="2"/>
      <c r="H2665" s="2"/>
      <c r="I2665" s="2">
        <v>71.603399999999993</v>
      </c>
      <c r="J2665" s="2">
        <v>25</v>
      </c>
      <c r="K2665" s="2">
        <v>70.487200000000001</v>
      </c>
      <c r="L2665" s="2">
        <v>33</v>
      </c>
      <c r="M2665" s="2">
        <v>83.685500000000005</v>
      </c>
      <c r="N2665" s="2">
        <v>342</v>
      </c>
      <c r="O2665" s="2">
        <v>85.533000000000001</v>
      </c>
      <c r="P2665" s="2">
        <v>340</v>
      </c>
      <c r="Q2665" s="2">
        <v>111.88460000000001</v>
      </c>
      <c r="R2665" s="2">
        <v>336</v>
      </c>
      <c r="S2665" s="2">
        <v>112.16670000000001</v>
      </c>
      <c r="T2665" s="2">
        <v>333</v>
      </c>
      <c r="U2665" s="2">
        <v>4.2391999999999999E-2</v>
      </c>
      <c r="V2665" s="2">
        <v>343</v>
      </c>
      <c r="W2665" s="2">
        <v>2009</v>
      </c>
    </row>
    <row r="2666" spans="1:23" ht="12.3" hidden="1" x14ac:dyDescent="0.4">
      <c r="A2666" s="2" t="s">
        <v>366</v>
      </c>
      <c r="B2666" s="2" t="e">
        <v>#N/A</v>
      </c>
      <c r="C2666" s="2"/>
      <c r="D2666" s="2"/>
      <c r="E2666" s="2"/>
      <c r="F2666" s="2"/>
      <c r="G2666" s="2"/>
      <c r="H2666" s="2"/>
      <c r="I2666" s="2">
        <v>66.460099999999997</v>
      </c>
      <c r="J2666" s="2">
        <v>162</v>
      </c>
      <c r="K2666" s="2">
        <v>66.075199999999995</v>
      </c>
      <c r="L2666" s="2">
        <v>178</v>
      </c>
      <c r="M2666" s="2">
        <v>74.8566</v>
      </c>
      <c r="N2666" s="2">
        <v>344</v>
      </c>
      <c r="O2666" s="2">
        <v>72.523799999999994</v>
      </c>
      <c r="P2666" s="2">
        <v>344</v>
      </c>
      <c r="Q2666" s="2">
        <v>101.0834</v>
      </c>
      <c r="R2666" s="2">
        <v>164</v>
      </c>
      <c r="S2666" s="2">
        <v>104.9341</v>
      </c>
      <c r="T2666" s="2">
        <v>247</v>
      </c>
      <c r="U2666" s="2">
        <v>1.4087000000000001E-2</v>
      </c>
      <c r="V2666" s="2">
        <v>344</v>
      </c>
      <c r="W2666" s="2">
        <v>2009</v>
      </c>
    </row>
    <row r="2667" spans="1:23" ht="12.3" x14ac:dyDescent="0.4">
      <c r="A2667" s="2" t="s">
        <v>167</v>
      </c>
      <c r="B2667" s="2">
        <v>14</v>
      </c>
      <c r="C2667" s="25"/>
      <c r="D2667" s="2"/>
      <c r="E2667" s="2"/>
      <c r="F2667" s="2"/>
      <c r="G2667" s="2"/>
      <c r="H2667" s="2"/>
      <c r="I2667" s="2">
        <v>59.299300000000002</v>
      </c>
      <c r="J2667" s="2">
        <v>330</v>
      </c>
      <c r="K2667" s="2">
        <v>59.204999999999998</v>
      </c>
      <c r="L2667" s="2">
        <v>331</v>
      </c>
      <c r="M2667" s="2">
        <v>99.946600000000004</v>
      </c>
      <c r="N2667" s="2">
        <v>208</v>
      </c>
      <c r="O2667" s="2">
        <v>103.254</v>
      </c>
      <c r="P2667" s="2">
        <v>149</v>
      </c>
      <c r="Q2667" s="2">
        <v>96.359499999999997</v>
      </c>
      <c r="R2667" s="2">
        <v>49</v>
      </c>
      <c r="S2667" s="2">
        <v>96.572699999999998</v>
      </c>
      <c r="T2667" s="2">
        <v>54</v>
      </c>
      <c r="U2667" s="2">
        <v>0.68337000000000003</v>
      </c>
      <c r="V2667" s="2">
        <v>97</v>
      </c>
      <c r="W2667" s="2">
        <v>2007</v>
      </c>
    </row>
    <row r="2668" spans="1:23" ht="12.3" x14ac:dyDescent="0.4">
      <c r="A2668" s="2" t="s">
        <v>118</v>
      </c>
      <c r="B2668" s="2">
        <v>13</v>
      </c>
      <c r="C2668" s="25"/>
      <c r="D2668" s="25"/>
      <c r="E2668" s="25"/>
      <c r="F2668" s="25"/>
      <c r="G2668" s="25"/>
      <c r="H2668" s="25"/>
      <c r="I2668" s="2">
        <v>72.163700000000006</v>
      </c>
      <c r="J2668" s="2">
        <v>24</v>
      </c>
      <c r="K2668" s="2">
        <v>70.552499999999995</v>
      </c>
      <c r="L2668" s="2">
        <v>42</v>
      </c>
      <c r="M2668" s="2">
        <v>107.33110000000001</v>
      </c>
      <c r="N2668" s="2">
        <v>77</v>
      </c>
      <c r="O2668" s="2">
        <v>105.97709999999999</v>
      </c>
      <c r="P2668" s="2">
        <v>105</v>
      </c>
      <c r="Q2668" s="2">
        <v>99.730999999999995</v>
      </c>
      <c r="R2668" s="2">
        <v>108</v>
      </c>
      <c r="S2668" s="2">
        <v>99.252499999999998</v>
      </c>
      <c r="T2668" s="2">
        <v>93</v>
      </c>
      <c r="U2668" s="2">
        <v>0.68002700000000005</v>
      </c>
      <c r="V2668" s="2">
        <v>98</v>
      </c>
      <c r="W2668" s="2">
        <v>2007</v>
      </c>
    </row>
    <row r="2669" spans="1:23" ht="12.3" x14ac:dyDescent="0.4">
      <c r="A2669" s="2" t="s">
        <v>188</v>
      </c>
      <c r="B2669" s="2">
        <v>12</v>
      </c>
      <c r="C2669" s="25"/>
      <c r="D2669" s="25"/>
      <c r="E2669" s="2"/>
      <c r="F2669" s="2"/>
      <c r="G2669" s="2"/>
      <c r="H2669" s="2"/>
      <c r="I2669" s="2">
        <v>72.797899999999998</v>
      </c>
      <c r="J2669" s="2">
        <v>19</v>
      </c>
      <c r="K2669" s="2">
        <v>71.997500000000002</v>
      </c>
      <c r="L2669" s="2">
        <v>24</v>
      </c>
      <c r="M2669" s="2">
        <v>110.8599</v>
      </c>
      <c r="N2669" s="2">
        <v>32</v>
      </c>
      <c r="O2669" s="2">
        <v>110.0711</v>
      </c>
      <c r="P2669" s="2">
        <v>52</v>
      </c>
      <c r="Q2669" s="2">
        <v>101.3848</v>
      </c>
      <c r="R2669" s="2">
        <v>148</v>
      </c>
      <c r="S2669" s="2">
        <v>104.9319</v>
      </c>
      <c r="T2669" s="2">
        <v>213</v>
      </c>
      <c r="U2669" s="2">
        <v>0.63410699999999998</v>
      </c>
      <c r="V2669" s="2">
        <v>107</v>
      </c>
      <c r="W2669" s="2">
        <v>2007</v>
      </c>
    </row>
    <row r="2670" spans="1:23" ht="12.3" x14ac:dyDescent="0.4">
      <c r="A2670" s="2" t="s">
        <v>339</v>
      </c>
      <c r="B2670" s="2">
        <v>13</v>
      </c>
      <c r="C2670" s="25"/>
      <c r="D2670" s="25"/>
      <c r="E2670" s="2"/>
      <c r="F2670" s="2"/>
      <c r="G2670" s="2"/>
      <c r="H2670" s="2"/>
      <c r="I2670" s="2">
        <v>63.603200000000001</v>
      </c>
      <c r="J2670" s="2">
        <v>279</v>
      </c>
      <c r="K2670" s="2">
        <v>64.946899999999999</v>
      </c>
      <c r="L2670" s="2">
        <v>236</v>
      </c>
      <c r="M2670" s="2">
        <v>106.8329</v>
      </c>
      <c r="N2670" s="2">
        <v>85</v>
      </c>
      <c r="O2670" s="2">
        <v>105.8143</v>
      </c>
      <c r="P2670" s="2">
        <v>111</v>
      </c>
      <c r="Q2670" s="2">
        <v>100.6185</v>
      </c>
      <c r="R2670" s="2">
        <v>132</v>
      </c>
      <c r="S2670" s="2">
        <v>101.10339999999999</v>
      </c>
      <c r="T2670" s="2">
        <v>136</v>
      </c>
      <c r="U2670" s="2">
        <v>0.62802100000000005</v>
      </c>
      <c r="V2670" s="2">
        <v>110</v>
      </c>
      <c r="W2670" s="2">
        <v>2007</v>
      </c>
    </row>
    <row r="2671" spans="1:23" ht="12.3" x14ac:dyDescent="0.4">
      <c r="A2671" s="2" t="s">
        <v>244</v>
      </c>
      <c r="B2671" s="2">
        <v>15</v>
      </c>
      <c r="C2671" s="25"/>
      <c r="D2671" s="25"/>
      <c r="E2671" s="25"/>
      <c r="F2671" s="25"/>
      <c r="G2671" s="2"/>
      <c r="H2671" s="2"/>
      <c r="I2671" s="2">
        <v>67.2059</v>
      </c>
      <c r="J2671" s="2">
        <v>152</v>
      </c>
      <c r="K2671" s="2">
        <v>67.378799999999998</v>
      </c>
      <c r="L2671" s="2">
        <v>132</v>
      </c>
      <c r="M2671" s="2">
        <v>107.36020000000001</v>
      </c>
      <c r="N2671" s="2">
        <v>76</v>
      </c>
      <c r="O2671" s="2">
        <v>104.4161</v>
      </c>
      <c r="P2671" s="2">
        <v>134</v>
      </c>
      <c r="Q2671" s="2">
        <v>94.826700000000002</v>
      </c>
      <c r="R2671" s="2">
        <v>29</v>
      </c>
      <c r="S2671" s="2">
        <v>99.827600000000004</v>
      </c>
      <c r="T2671" s="2">
        <v>110</v>
      </c>
      <c r="U2671" s="2">
        <v>0.62639800000000001</v>
      </c>
      <c r="V2671" s="2">
        <v>111</v>
      </c>
      <c r="W2671" s="2">
        <v>2007</v>
      </c>
    </row>
    <row r="2672" spans="1:23" ht="12.3" x14ac:dyDescent="0.4">
      <c r="A2672" s="2" t="s">
        <v>184</v>
      </c>
      <c r="B2672" s="2">
        <v>15</v>
      </c>
      <c r="C2672" s="25"/>
      <c r="D2672" s="25"/>
      <c r="E2672" s="25"/>
      <c r="F2672" s="2"/>
      <c r="G2672" s="2"/>
      <c r="H2672" s="2"/>
      <c r="I2672" s="2">
        <v>70.520499999999998</v>
      </c>
      <c r="J2672" s="2">
        <v>55</v>
      </c>
      <c r="K2672" s="2">
        <v>70.170199999999994</v>
      </c>
      <c r="L2672" s="2">
        <v>49</v>
      </c>
      <c r="M2672" s="2">
        <v>105.9134</v>
      </c>
      <c r="N2672" s="2">
        <v>103</v>
      </c>
      <c r="O2672" s="2">
        <v>101.0235</v>
      </c>
      <c r="P2672" s="2">
        <v>187</v>
      </c>
      <c r="Q2672" s="2">
        <v>100.32299999999999</v>
      </c>
      <c r="R2672" s="2">
        <v>125</v>
      </c>
      <c r="S2672" s="2">
        <v>101.9812</v>
      </c>
      <c r="T2672" s="2">
        <v>159</v>
      </c>
      <c r="U2672" s="2">
        <v>0.47290100000000002</v>
      </c>
      <c r="V2672" s="2">
        <v>161</v>
      </c>
      <c r="W2672" s="2">
        <v>2007</v>
      </c>
    </row>
    <row r="2673" spans="1:23" ht="12.3" x14ac:dyDescent="0.4">
      <c r="A2673" s="2" t="s">
        <v>156</v>
      </c>
      <c r="B2673" s="2">
        <v>16</v>
      </c>
      <c r="C2673" s="25"/>
      <c r="D2673" s="25"/>
      <c r="E2673" s="25"/>
      <c r="F2673" s="2"/>
      <c r="G2673" s="2"/>
      <c r="H2673" s="2"/>
      <c r="I2673" s="2">
        <v>64.977599999999995</v>
      </c>
      <c r="J2673" s="2">
        <v>245</v>
      </c>
      <c r="K2673" s="2">
        <v>64.577500000000001</v>
      </c>
      <c r="L2673" s="2">
        <v>253</v>
      </c>
      <c r="M2673" s="2">
        <v>106.1309</v>
      </c>
      <c r="N2673" s="2">
        <v>98</v>
      </c>
      <c r="O2673" s="2">
        <v>102.55540000000001</v>
      </c>
      <c r="P2673" s="2">
        <v>162</v>
      </c>
      <c r="Q2673" s="2">
        <v>100.6046</v>
      </c>
      <c r="R2673" s="2">
        <v>131</v>
      </c>
      <c r="S2673" s="2">
        <v>103.5301</v>
      </c>
      <c r="T2673" s="2">
        <v>177</v>
      </c>
      <c r="U2673" s="2">
        <v>0.47282999999999997</v>
      </c>
      <c r="V2673" s="2">
        <v>162</v>
      </c>
      <c r="W2673" s="2">
        <v>2007</v>
      </c>
    </row>
    <row r="2674" spans="1:23" ht="12.3" x14ac:dyDescent="0.4">
      <c r="A2674" s="2" t="s">
        <v>194</v>
      </c>
      <c r="B2674" s="2">
        <v>16</v>
      </c>
      <c r="C2674" s="25"/>
      <c r="D2674" s="2"/>
      <c r="E2674" s="2"/>
      <c r="F2674" s="2"/>
      <c r="G2674" s="2"/>
      <c r="H2674" s="2"/>
      <c r="I2674" s="2">
        <v>69.233999999999995</v>
      </c>
      <c r="J2674" s="2">
        <v>86</v>
      </c>
      <c r="K2674" s="2">
        <v>69.322699999999998</v>
      </c>
      <c r="L2674" s="2">
        <v>70</v>
      </c>
      <c r="M2674" s="2">
        <v>108.4158</v>
      </c>
      <c r="N2674" s="2">
        <v>54</v>
      </c>
      <c r="O2674" s="2">
        <v>105.5827</v>
      </c>
      <c r="P2674" s="2">
        <v>114</v>
      </c>
      <c r="Q2674" s="2">
        <v>105.3049</v>
      </c>
      <c r="R2674" s="2">
        <v>238</v>
      </c>
      <c r="S2674" s="2">
        <v>107.873</v>
      </c>
      <c r="T2674" s="2">
        <v>269</v>
      </c>
      <c r="U2674" s="2">
        <v>0.438614</v>
      </c>
      <c r="V2674" s="2">
        <v>175</v>
      </c>
      <c r="W2674" s="2">
        <v>2007</v>
      </c>
    </row>
    <row r="2675" spans="1:23" ht="12.3" x14ac:dyDescent="0.4">
      <c r="A2675" s="2" t="s">
        <v>324</v>
      </c>
      <c r="B2675" s="2">
        <v>16</v>
      </c>
      <c r="C2675" s="2"/>
      <c r="D2675" s="2"/>
      <c r="E2675" s="2"/>
      <c r="F2675" s="2"/>
      <c r="G2675" s="2"/>
      <c r="H2675" s="2"/>
      <c r="I2675" s="2">
        <v>61.728999999999999</v>
      </c>
      <c r="J2675" s="2">
        <v>314</v>
      </c>
      <c r="K2675" s="2">
        <v>62.029200000000003</v>
      </c>
      <c r="L2675" s="2">
        <v>312</v>
      </c>
      <c r="M2675" s="2">
        <v>104.3443</v>
      </c>
      <c r="N2675" s="2">
        <v>131</v>
      </c>
      <c r="O2675" s="2">
        <v>100.227</v>
      </c>
      <c r="P2675" s="2">
        <v>200</v>
      </c>
      <c r="Q2675" s="2">
        <v>101.26860000000001</v>
      </c>
      <c r="R2675" s="2">
        <v>142</v>
      </c>
      <c r="S2675" s="2">
        <v>103.0133</v>
      </c>
      <c r="T2675" s="2">
        <v>171</v>
      </c>
      <c r="U2675" s="2">
        <v>0.42181299999999999</v>
      </c>
      <c r="V2675" s="2">
        <v>181</v>
      </c>
      <c r="W2675" s="2">
        <v>2007</v>
      </c>
    </row>
    <row r="2676" spans="1:23" ht="12.3" x14ac:dyDescent="0.4">
      <c r="A2676" s="2" t="s">
        <v>170</v>
      </c>
      <c r="B2676" s="2">
        <v>15</v>
      </c>
      <c r="C2676" s="25"/>
      <c r="D2676" s="2"/>
      <c r="E2676" s="2"/>
      <c r="F2676" s="2"/>
      <c r="G2676" s="2"/>
      <c r="H2676" s="2"/>
      <c r="I2676" s="2">
        <v>67.290099999999995</v>
      </c>
      <c r="J2676" s="2">
        <v>145</v>
      </c>
      <c r="K2676" s="2">
        <v>66.2393</v>
      </c>
      <c r="L2676" s="2">
        <v>187</v>
      </c>
      <c r="M2676" s="2">
        <v>104.5076</v>
      </c>
      <c r="N2676" s="2">
        <v>126</v>
      </c>
      <c r="O2676" s="2">
        <v>100.9254</v>
      </c>
      <c r="P2676" s="2">
        <v>190</v>
      </c>
      <c r="Q2676" s="2">
        <v>103.5035</v>
      </c>
      <c r="R2676" s="2">
        <v>196</v>
      </c>
      <c r="S2676" s="2">
        <v>103.73139999999999</v>
      </c>
      <c r="T2676" s="2">
        <v>184</v>
      </c>
      <c r="U2676" s="2">
        <v>0.42180600000000001</v>
      </c>
      <c r="V2676" s="2">
        <v>182</v>
      </c>
      <c r="W2676" s="2">
        <v>2007</v>
      </c>
    </row>
    <row r="2677" spans="1:23" ht="12.3" x14ac:dyDescent="0.4">
      <c r="A2677" s="2" t="s">
        <v>301</v>
      </c>
      <c r="B2677" s="2">
        <v>16</v>
      </c>
      <c r="C2677" s="25"/>
      <c r="D2677" s="25"/>
      <c r="E2677" s="25"/>
      <c r="F2677" s="2"/>
      <c r="G2677" s="2"/>
      <c r="H2677" s="2"/>
      <c r="I2677" s="2">
        <v>67.653700000000001</v>
      </c>
      <c r="J2677" s="2">
        <v>129</v>
      </c>
      <c r="K2677" s="2">
        <v>68.378299999999996</v>
      </c>
      <c r="L2677" s="2">
        <v>103</v>
      </c>
      <c r="M2677" s="2">
        <v>101.1053</v>
      </c>
      <c r="N2677" s="2">
        <v>190</v>
      </c>
      <c r="O2677" s="2">
        <v>99.930499999999995</v>
      </c>
      <c r="P2677" s="2">
        <v>206</v>
      </c>
      <c r="Q2677" s="2">
        <v>103.17059999999999</v>
      </c>
      <c r="R2677" s="2">
        <v>192</v>
      </c>
      <c r="S2677" s="2">
        <v>108.1392</v>
      </c>
      <c r="T2677" s="2">
        <v>277</v>
      </c>
      <c r="U2677" s="2">
        <v>0.287437</v>
      </c>
      <c r="V2677" s="2">
        <v>240</v>
      </c>
      <c r="W2677" s="2">
        <v>2007</v>
      </c>
    </row>
    <row r="2678" spans="1:23" ht="12.3" x14ac:dyDescent="0.4">
      <c r="A2678" s="2" t="s">
        <v>312</v>
      </c>
      <c r="B2678" s="2">
        <v>16</v>
      </c>
      <c r="C2678" s="2"/>
      <c r="D2678" s="2"/>
      <c r="E2678" s="2"/>
      <c r="F2678" s="2"/>
      <c r="G2678" s="2"/>
      <c r="H2678" s="2"/>
      <c r="I2678" s="2">
        <v>71.892300000000006</v>
      </c>
      <c r="J2678" s="2">
        <v>28</v>
      </c>
      <c r="K2678" s="2">
        <v>70.785600000000002</v>
      </c>
      <c r="L2678" s="2">
        <v>39</v>
      </c>
      <c r="M2678" s="2">
        <v>98.696200000000005</v>
      </c>
      <c r="N2678" s="2">
        <v>229</v>
      </c>
      <c r="O2678" s="2">
        <v>99.197699999999998</v>
      </c>
      <c r="P2678" s="2">
        <v>213</v>
      </c>
      <c r="Q2678" s="2">
        <v>99.729100000000003</v>
      </c>
      <c r="R2678" s="2">
        <v>107</v>
      </c>
      <c r="S2678" s="2">
        <v>107.77290000000001</v>
      </c>
      <c r="T2678" s="2">
        <v>267</v>
      </c>
      <c r="U2678" s="2">
        <v>0.27818500000000002</v>
      </c>
      <c r="V2678" s="2">
        <v>248</v>
      </c>
      <c r="W2678" s="2">
        <v>2007</v>
      </c>
    </row>
    <row r="2679" spans="1:23" ht="12.3" x14ac:dyDescent="0.4">
      <c r="A2679" s="2" t="s">
        <v>32</v>
      </c>
      <c r="B2679" s="2">
        <v>1</v>
      </c>
      <c r="C2679" s="3" t="s">
        <v>33</v>
      </c>
      <c r="D2679" s="4" t="s">
        <v>33</v>
      </c>
      <c r="E2679" s="2"/>
      <c r="F2679" s="2"/>
      <c r="G2679" s="2"/>
      <c r="H2679" s="2"/>
      <c r="I2679" s="2">
        <v>71.308300000000003</v>
      </c>
      <c r="J2679" s="2">
        <v>39</v>
      </c>
      <c r="K2679" s="2">
        <v>71.882800000000003</v>
      </c>
      <c r="L2679" s="2">
        <v>23</v>
      </c>
      <c r="M2679" s="2">
        <v>115.4725</v>
      </c>
      <c r="N2679" s="2">
        <v>1</v>
      </c>
      <c r="O2679" s="2">
        <v>119.2993</v>
      </c>
      <c r="P2679" s="2">
        <v>1</v>
      </c>
      <c r="Q2679" s="2">
        <v>96.208200000000005</v>
      </c>
      <c r="R2679" s="2">
        <v>56</v>
      </c>
      <c r="S2679" s="2">
        <v>93.878399999999999</v>
      </c>
      <c r="T2679" s="2">
        <v>31</v>
      </c>
      <c r="U2679" s="2">
        <v>0.94023999999999996</v>
      </c>
      <c r="V2679" s="2">
        <v>1</v>
      </c>
      <c r="W2679" s="2">
        <v>2006</v>
      </c>
    </row>
    <row r="2680" spans="1:23" ht="12.3" x14ac:dyDescent="0.4">
      <c r="A2680" s="2" t="s">
        <v>54</v>
      </c>
      <c r="B2680" s="2">
        <v>1</v>
      </c>
      <c r="C2680" s="3" t="s">
        <v>33</v>
      </c>
      <c r="D2680" s="4" t="s">
        <v>33</v>
      </c>
      <c r="E2680" s="4" t="s">
        <v>33</v>
      </c>
      <c r="F2680" s="2"/>
      <c r="G2680" s="2"/>
      <c r="H2680" s="2"/>
      <c r="I2680" s="2">
        <v>71.499499999999998</v>
      </c>
      <c r="J2680" s="2">
        <v>35</v>
      </c>
      <c r="K2680" s="2">
        <v>71.123000000000005</v>
      </c>
      <c r="L2680" s="2">
        <v>38</v>
      </c>
      <c r="M2680" s="2">
        <v>112.59990000000001</v>
      </c>
      <c r="N2680" s="2">
        <v>9</v>
      </c>
      <c r="O2680" s="2">
        <v>116.20140000000001</v>
      </c>
      <c r="P2680" s="2">
        <v>6</v>
      </c>
      <c r="Q2680" s="2">
        <v>91.0946</v>
      </c>
      <c r="R2680" s="2">
        <v>13</v>
      </c>
      <c r="S2680" s="2">
        <v>91.702699999999993</v>
      </c>
      <c r="T2680" s="2">
        <v>16</v>
      </c>
      <c r="U2680" s="2">
        <v>0.93836399999999998</v>
      </c>
      <c r="V2680" s="2">
        <v>2</v>
      </c>
      <c r="W2680" s="2">
        <v>2006</v>
      </c>
    </row>
    <row r="2681" spans="1:23" ht="12.3" x14ac:dyDescent="0.4">
      <c r="A2681" s="2" t="s">
        <v>78</v>
      </c>
      <c r="B2681" s="2">
        <v>1</v>
      </c>
      <c r="C2681" s="3" t="s">
        <v>33</v>
      </c>
      <c r="D2681" s="3" t="s">
        <v>33</v>
      </c>
      <c r="E2681" s="4" t="s">
        <v>33</v>
      </c>
      <c r="F2681" s="2"/>
      <c r="G2681" s="2"/>
      <c r="H2681" s="2"/>
      <c r="I2681" s="2">
        <v>66.766800000000003</v>
      </c>
      <c r="J2681" s="2">
        <v>178</v>
      </c>
      <c r="K2681" s="2">
        <v>67.383200000000002</v>
      </c>
      <c r="L2681" s="2">
        <v>141</v>
      </c>
      <c r="M2681" s="2">
        <v>112.5262</v>
      </c>
      <c r="N2681" s="2">
        <v>10</v>
      </c>
      <c r="O2681" s="2">
        <v>115.8837</v>
      </c>
      <c r="P2681" s="2">
        <v>7</v>
      </c>
      <c r="Q2681" s="2">
        <v>95.116500000000002</v>
      </c>
      <c r="R2681" s="2">
        <v>42</v>
      </c>
      <c r="S2681" s="2">
        <v>92.431799999999996</v>
      </c>
      <c r="T2681" s="2">
        <v>21</v>
      </c>
      <c r="U2681" s="2">
        <v>0.93088300000000002</v>
      </c>
      <c r="V2681" s="2">
        <v>3</v>
      </c>
      <c r="W2681" s="2">
        <v>2006</v>
      </c>
    </row>
    <row r="2682" spans="1:23" ht="12.3" x14ac:dyDescent="0.4">
      <c r="A2682" s="2" t="s">
        <v>35</v>
      </c>
      <c r="B2682" s="2">
        <v>4</v>
      </c>
      <c r="C2682" s="25"/>
      <c r="D2682" s="25"/>
      <c r="E2682" s="25"/>
      <c r="F2682" s="25"/>
      <c r="G2682" s="25"/>
      <c r="H2682" s="2"/>
      <c r="I2682" s="2">
        <v>69.375299999999996</v>
      </c>
      <c r="J2682" s="2">
        <v>82</v>
      </c>
      <c r="K2682" s="2">
        <v>69.159899999999993</v>
      </c>
      <c r="L2682" s="2">
        <v>83</v>
      </c>
      <c r="M2682" s="2">
        <v>106.61920000000001</v>
      </c>
      <c r="N2682" s="2">
        <v>76</v>
      </c>
      <c r="O2682" s="2">
        <v>108.8579</v>
      </c>
      <c r="P2682" s="2">
        <v>53</v>
      </c>
      <c r="Q2682" s="2">
        <v>87.937700000000007</v>
      </c>
      <c r="R2682" s="2">
        <v>2</v>
      </c>
      <c r="S2682" s="2">
        <v>87.126599999999996</v>
      </c>
      <c r="T2682" s="2">
        <v>2</v>
      </c>
      <c r="U2682" s="2">
        <v>0.92829799999999996</v>
      </c>
      <c r="V2682" s="2">
        <v>4</v>
      </c>
      <c r="W2682" s="2">
        <v>2006</v>
      </c>
    </row>
    <row r="2683" spans="1:23" ht="12.3" x14ac:dyDescent="0.4">
      <c r="A2683" s="2" t="s">
        <v>67</v>
      </c>
      <c r="B2683" s="2">
        <v>2</v>
      </c>
      <c r="C2683" s="3" t="s">
        <v>33</v>
      </c>
      <c r="D2683" s="4" t="s">
        <v>33</v>
      </c>
      <c r="E2683" s="4" t="s">
        <v>33</v>
      </c>
      <c r="F2683" s="2"/>
      <c r="G2683" s="2"/>
      <c r="H2683" s="2"/>
      <c r="I2683" s="2">
        <v>66.7761</v>
      </c>
      <c r="J2683" s="2">
        <v>177</v>
      </c>
      <c r="K2683" s="2">
        <v>65.569199999999995</v>
      </c>
      <c r="L2683" s="2">
        <v>231</v>
      </c>
      <c r="M2683" s="2">
        <v>113.9547</v>
      </c>
      <c r="N2683" s="2">
        <v>6</v>
      </c>
      <c r="O2683" s="2">
        <v>117.1721</v>
      </c>
      <c r="P2683" s="2">
        <v>3</v>
      </c>
      <c r="Q2683" s="2">
        <v>90.458500000000001</v>
      </c>
      <c r="R2683" s="2">
        <v>7</v>
      </c>
      <c r="S2683" s="2">
        <v>94.367800000000003</v>
      </c>
      <c r="T2683" s="2">
        <v>41</v>
      </c>
      <c r="U2683" s="2">
        <v>0.92337400000000003</v>
      </c>
      <c r="V2683" s="2">
        <v>5</v>
      </c>
      <c r="W2683" s="2">
        <v>2006</v>
      </c>
    </row>
    <row r="2684" spans="1:23" ht="12.3" x14ac:dyDescent="0.4">
      <c r="A2684" s="2" t="s">
        <v>44</v>
      </c>
      <c r="B2684" s="2">
        <v>4</v>
      </c>
      <c r="C2684" s="4" t="s">
        <v>33</v>
      </c>
      <c r="D2684" s="2"/>
      <c r="E2684" s="2"/>
      <c r="F2684" s="2"/>
      <c r="G2684" s="2"/>
      <c r="H2684" s="2"/>
      <c r="I2684" s="2">
        <v>63.590699999999998</v>
      </c>
      <c r="J2684" s="2">
        <v>287</v>
      </c>
      <c r="K2684" s="2">
        <v>63.753</v>
      </c>
      <c r="L2684" s="2">
        <v>281</v>
      </c>
      <c r="M2684" s="2">
        <v>109.9195</v>
      </c>
      <c r="N2684" s="2">
        <v>32</v>
      </c>
      <c r="O2684" s="2">
        <v>113.3377</v>
      </c>
      <c r="P2684" s="2">
        <v>15</v>
      </c>
      <c r="Q2684" s="2">
        <v>91.848799999999997</v>
      </c>
      <c r="R2684" s="2">
        <v>17</v>
      </c>
      <c r="S2684" s="2">
        <v>91.653300000000002</v>
      </c>
      <c r="T2684" s="2">
        <v>14</v>
      </c>
      <c r="U2684" s="2">
        <v>0.91998400000000002</v>
      </c>
      <c r="V2684" s="2">
        <v>6</v>
      </c>
      <c r="W2684" s="2">
        <v>2006</v>
      </c>
    </row>
    <row r="2685" spans="1:23" ht="12.3" x14ac:dyDescent="0.4">
      <c r="A2685" s="2" t="s">
        <v>37</v>
      </c>
      <c r="B2685" s="2">
        <v>3</v>
      </c>
      <c r="C2685" s="3" t="s">
        <v>33</v>
      </c>
      <c r="D2685" s="4" t="s">
        <v>33</v>
      </c>
      <c r="E2685" s="4" t="s">
        <v>33</v>
      </c>
      <c r="F2685" s="4" t="s">
        <v>33</v>
      </c>
      <c r="G2685" s="4" t="s">
        <v>33</v>
      </c>
      <c r="H2685" s="4" t="s">
        <v>33</v>
      </c>
      <c r="I2685" s="2">
        <v>69.216999999999999</v>
      </c>
      <c r="J2685" s="2">
        <v>87</v>
      </c>
      <c r="K2685" s="2">
        <v>68.694500000000005</v>
      </c>
      <c r="L2685" s="2">
        <v>97</v>
      </c>
      <c r="M2685" s="2">
        <v>113.9862</v>
      </c>
      <c r="N2685" s="2">
        <v>5</v>
      </c>
      <c r="O2685" s="2">
        <v>113.8817</v>
      </c>
      <c r="P2685" s="2">
        <v>14</v>
      </c>
      <c r="Q2685" s="2">
        <v>93.253399999999999</v>
      </c>
      <c r="R2685" s="2">
        <v>25</v>
      </c>
      <c r="S2685" s="2">
        <v>92.112099999999998</v>
      </c>
      <c r="T2685" s="2">
        <v>18</v>
      </c>
      <c r="U2685" s="2">
        <v>0.91981000000000002</v>
      </c>
      <c r="V2685" s="2">
        <v>7</v>
      </c>
      <c r="W2685" s="2">
        <v>2006</v>
      </c>
    </row>
    <row r="2686" spans="1:23" ht="12.3" x14ac:dyDescent="0.4">
      <c r="A2686" s="2" t="s">
        <v>65</v>
      </c>
      <c r="B2686" s="2">
        <v>2</v>
      </c>
      <c r="C2686" s="3" t="s">
        <v>33</v>
      </c>
      <c r="D2686" s="3" t="s">
        <v>33</v>
      </c>
      <c r="E2686" s="4" t="s">
        <v>33</v>
      </c>
      <c r="F2686" s="4" t="s">
        <v>33</v>
      </c>
      <c r="G2686" s="4" t="s">
        <v>33</v>
      </c>
      <c r="H2686" s="2"/>
      <c r="I2686" s="2">
        <v>62.642099999999999</v>
      </c>
      <c r="J2686" s="2">
        <v>305</v>
      </c>
      <c r="K2686" s="2">
        <v>62.884700000000002</v>
      </c>
      <c r="L2686" s="2">
        <v>300</v>
      </c>
      <c r="M2686" s="2">
        <v>109.3432</v>
      </c>
      <c r="N2686" s="2">
        <v>36</v>
      </c>
      <c r="O2686" s="2">
        <v>112.3334</v>
      </c>
      <c r="P2686" s="2">
        <v>22</v>
      </c>
      <c r="Q2686" s="2">
        <v>93.693299999999994</v>
      </c>
      <c r="R2686" s="2">
        <v>29</v>
      </c>
      <c r="S2686" s="2">
        <v>91.199200000000005</v>
      </c>
      <c r="T2686" s="2">
        <v>10</v>
      </c>
      <c r="U2686" s="2">
        <v>0.91659000000000002</v>
      </c>
      <c r="V2686" s="2">
        <v>8</v>
      </c>
      <c r="W2686" s="2">
        <v>2006</v>
      </c>
    </row>
    <row r="2687" spans="1:23" ht="12.3" x14ac:dyDescent="0.4">
      <c r="A2687" s="2" t="s">
        <v>21</v>
      </c>
      <c r="B2687" s="2">
        <v>2</v>
      </c>
      <c r="C2687" s="3" t="s">
        <v>33</v>
      </c>
      <c r="D2687" s="25"/>
      <c r="E2687" s="2"/>
      <c r="F2687" s="2"/>
      <c r="G2687" s="2"/>
      <c r="H2687" s="2"/>
      <c r="I2687" s="2">
        <v>66.170900000000003</v>
      </c>
      <c r="J2687" s="2">
        <v>205</v>
      </c>
      <c r="K2687" s="2">
        <v>66.723500000000001</v>
      </c>
      <c r="L2687" s="2">
        <v>173</v>
      </c>
      <c r="M2687" s="2">
        <v>111.42400000000001</v>
      </c>
      <c r="N2687" s="2">
        <v>18</v>
      </c>
      <c r="O2687" s="2">
        <v>112.81010000000001</v>
      </c>
      <c r="P2687" s="2">
        <v>17</v>
      </c>
      <c r="Q2687" s="2">
        <v>94.879599999999996</v>
      </c>
      <c r="R2687" s="2">
        <v>40</v>
      </c>
      <c r="S2687" s="2">
        <v>91.872900000000001</v>
      </c>
      <c r="T2687" s="2">
        <v>17</v>
      </c>
      <c r="U2687" s="2">
        <v>0.91379999999999995</v>
      </c>
      <c r="V2687" s="2">
        <v>9</v>
      </c>
      <c r="W2687" s="2">
        <v>2006</v>
      </c>
    </row>
    <row r="2688" spans="1:23" ht="12.3" x14ac:dyDescent="0.4">
      <c r="A2688" s="2" t="s">
        <v>168</v>
      </c>
      <c r="B2688" s="2">
        <v>3</v>
      </c>
      <c r="C2688" s="3" t="s">
        <v>33</v>
      </c>
      <c r="D2688" s="25"/>
      <c r="E2688" s="25"/>
      <c r="F2688" s="25"/>
      <c r="G2688" s="2"/>
      <c r="H2688" s="2"/>
      <c r="I2688" s="2">
        <v>72.674599999999998</v>
      </c>
      <c r="J2688" s="2">
        <v>19</v>
      </c>
      <c r="K2688" s="2">
        <v>72.287999999999997</v>
      </c>
      <c r="L2688" s="2">
        <v>20</v>
      </c>
      <c r="M2688" s="2">
        <v>111.0668</v>
      </c>
      <c r="N2688" s="2">
        <v>24</v>
      </c>
      <c r="O2688" s="2">
        <v>115.2469</v>
      </c>
      <c r="P2688" s="2">
        <v>10</v>
      </c>
      <c r="Q2688" s="2">
        <v>95.795299999999997</v>
      </c>
      <c r="R2688" s="2">
        <v>50</v>
      </c>
      <c r="S2688" s="2">
        <v>93.917599999999993</v>
      </c>
      <c r="T2688" s="2">
        <v>32</v>
      </c>
      <c r="U2688" s="2">
        <v>0.913219</v>
      </c>
      <c r="V2688" s="2">
        <v>10</v>
      </c>
      <c r="W2688" s="2">
        <v>2006</v>
      </c>
    </row>
    <row r="2689" spans="1:23" ht="12.3" x14ac:dyDescent="0.4">
      <c r="A2689" s="2" t="s">
        <v>71</v>
      </c>
      <c r="B2689" s="2">
        <v>1</v>
      </c>
      <c r="C2689" s="4" t="s">
        <v>33</v>
      </c>
      <c r="D2689" s="4" t="s">
        <v>33</v>
      </c>
      <c r="E2689" s="4" t="s">
        <v>33</v>
      </c>
      <c r="F2689" s="2"/>
      <c r="G2689" s="2"/>
      <c r="H2689" s="2"/>
      <c r="I2689" s="2">
        <v>73.982600000000005</v>
      </c>
      <c r="J2689" s="2">
        <v>9</v>
      </c>
      <c r="K2689" s="2">
        <v>72.977999999999994</v>
      </c>
      <c r="L2689" s="2">
        <v>13</v>
      </c>
      <c r="M2689" s="2">
        <v>109.3103</v>
      </c>
      <c r="N2689" s="2">
        <v>37</v>
      </c>
      <c r="O2689" s="2">
        <v>109.6311</v>
      </c>
      <c r="P2689" s="2">
        <v>41</v>
      </c>
      <c r="Q2689" s="2">
        <v>88.944100000000006</v>
      </c>
      <c r="R2689" s="2">
        <v>5</v>
      </c>
      <c r="S2689" s="2">
        <v>89.612300000000005</v>
      </c>
      <c r="T2689" s="2">
        <v>4</v>
      </c>
      <c r="U2689" s="2">
        <v>0.910416</v>
      </c>
      <c r="V2689" s="2">
        <v>11</v>
      </c>
      <c r="W2689" s="2">
        <v>2006</v>
      </c>
    </row>
    <row r="2690" spans="1:23" ht="12.3" x14ac:dyDescent="0.4">
      <c r="A2690" s="2" t="s">
        <v>46</v>
      </c>
      <c r="B2690" s="2">
        <v>5</v>
      </c>
      <c r="C2690" s="3" t="s">
        <v>33</v>
      </c>
      <c r="D2690" s="2"/>
      <c r="E2690" s="2"/>
      <c r="F2690" s="2"/>
      <c r="G2690" s="2"/>
      <c r="H2690" s="2"/>
      <c r="I2690" s="2">
        <v>66.075299999999999</v>
      </c>
      <c r="J2690" s="2">
        <v>209</v>
      </c>
      <c r="K2690" s="2">
        <v>66.022900000000007</v>
      </c>
      <c r="L2690" s="2">
        <v>216</v>
      </c>
      <c r="M2690" s="2">
        <v>108.5515</v>
      </c>
      <c r="N2690" s="2">
        <v>45</v>
      </c>
      <c r="O2690" s="2">
        <v>110.5509</v>
      </c>
      <c r="P2690" s="2">
        <v>32</v>
      </c>
      <c r="Q2690" s="2">
        <v>93.987899999999996</v>
      </c>
      <c r="R2690" s="2">
        <v>32</v>
      </c>
      <c r="S2690" s="2">
        <v>90.675200000000004</v>
      </c>
      <c r="T2690" s="2">
        <v>8</v>
      </c>
      <c r="U2690" s="2">
        <v>0.90714099999999998</v>
      </c>
      <c r="V2690" s="2">
        <v>12</v>
      </c>
      <c r="W2690" s="2">
        <v>2006</v>
      </c>
    </row>
    <row r="2691" spans="1:23" ht="12.3" x14ac:dyDescent="0.4">
      <c r="A2691" s="2" t="s">
        <v>84</v>
      </c>
      <c r="B2691" s="2">
        <v>3</v>
      </c>
      <c r="C2691" s="2"/>
      <c r="D2691" s="2"/>
      <c r="E2691" s="2"/>
      <c r="F2691" s="2"/>
      <c r="G2691" s="2"/>
      <c r="H2691" s="2"/>
      <c r="I2691" s="2">
        <v>66.013499999999993</v>
      </c>
      <c r="J2691" s="2">
        <v>211</v>
      </c>
      <c r="K2691" s="2">
        <v>66.182500000000005</v>
      </c>
      <c r="L2691" s="2">
        <v>212</v>
      </c>
      <c r="M2691" s="2">
        <v>99.189700000000002</v>
      </c>
      <c r="N2691" s="2">
        <v>208</v>
      </c>
      <c r="O2691" s="2">
        <v>102.99769999999999</v>
      </c>
      <c r="P2691" s="2">
        <v>141</v>
      </c>
      <c r="Q2691" s="2">
        <v>87.980400000000003</v>
      </c>
      <c r="R2691" s="2">
        <v>3</v>
      </c>
      <c r="S2691" s="2">
        <v>85.888300000000001</v>
      </c>
      <c r="T2691" s="2">
        <v>1</v>
      </c>
      <c r="U2691" s="2">
        <v>0.88983699999999999</v>
      </c>
      <c r="V2691" s="2">
        <v>13</v>
      </c>
      <c r="W2691" s="2">
        <v>2006</v>
      </c>
    </row>
    <row r="2692" spans="1:23" ht="12.3" x14ac:dyDescent="0.4">
      <c r="A2692" s="2" t="s">
        <v>85</v>
      </c>
      <c r="B2692" s="2">
        <v>4</v>
      </c>
      <c r="C2692" s="4" t="s">
        <v>33</v>
      </c>
      <c r="D2692" s="4" t="s">
        <v>33</v>
      </c>
      <c r="E2692" s="4" t="s">
        <v>33</v>
      </c>
      <c r="F2692" s="4" t="s">
        <v>33</v>
      </c>
      <c r="G2692" s="2"/>
      <c r="H2692" s="2"/>
      <c r="I2692" s="2">
        <v>69.476900000000001</v>
      </c>
      <c r="J2692" s="2">
        <v>75</v>
      </c>
      <c r="K2692" s="2">
        <v>69.048599999999993</v>
      </c>
      <c r="L2692" s="2">
        <v>89</v>
      </c>
      <c r="M2692" s="2">
        <v>107.0427</v>
      </c>
      <c r="N2692" s="2">
        <v>65</v>
      </c>
      <c r="O2692" s="2">
        <v>110.5226</v>
      </c>
      <c r="P2692" s="2">
        <v>33</v>
      </c>
      <c r="Q2692" s="2">
        <v>94.134200000000007</v>
      </c>
      <c r="R2692" s="2">
        <v>34</v>
      </c>
      <c r="S2692" s="2">
        <v>92.165199999999999</v>
      </c>
      <c r="T2692" s="2">
        <v>19</v>
      </c>
      <c r="U2692" s="2">
        <v>0.88981299999999997</v>
      </c>
      <c r="V2692" s="2">
        <v>14</v>
      </c>
      <c r="W2692" s="2">
        <v>2006</v>
      </c>
    </row>
    <row r="2693" spans="1:23" ht="12.3" x14ac:dyDescent="0.4">
      <c r="A2693" s="2" t="s">
        <v>62</v>
      </c>
      <c r="B2693" s="2">
        <v>7</v>
      </c>
      <c r="C2693" s="4" t="s">
        <v>33</v>
      </c>
      <c r="D2693" s="4" t="s">
        <v>33</v>
      </c>
      <c r="E2693" s="2"/>
      <c r="F2693" s="2"/>
      <c r="G2693" s="2"/>
      <c r="H2693" s="2"/>
      <c r="I2693" s="2">
        <v>59.232900000000001</v>
      </c>
      <c r="J2693" s="2">
        <v>328</v>
      </c>
      <c r="K2693" s="2">
        <v>59.089399999999998</v>
      </c>
      <c r="L2693" s="2">
        <v>329</v>
      </c>
      <c r="M2693" s="2">
        <v>111.7182</v>
      </c>
      <c r="N2693" s="2">
        <v>14</v>
      </c>
      <c r="O2693" s="2">
        <v>114.961</v>
      </c>
      <c r="P2693" s="2">
        <v>11</v>
      </c>
      <c r="Q2693" s="2">
        <v>99.619200000000006</v>
      </c>
      <c r="R2693" s="2">
        <v>119</v>
      </c>
      <c r="S2693" s="2">
        <v>96.510400000000004</v>
      </c>
      <c r="T2693" s="2">
        <v>66</v>
      </c>
      <c r="U2693" s="2">
        <v>0.88203299999999996</v>
      </c>
      <c r="V2693" s="2">
        <v>15</v>
      </c>
      <c r="W2693" s="2">
        <v>2006</v>
      </c>
    </row>
    <row r="2694" spans="1:23" ht="12.3" x14ac:dyDescent="0.4">
      <c r="A2694" s="2" t="s">
        <v>81</v>
      </c>
      <c r="B2694" s="2">
        <v>2</v>
      </c>
      <c r="C2694" s="4" t="s">
        <v>33</v>
      </c>
      <c r="D2694" s="2"/>
      <c r="E2694" s="2"/>
      <c r="F2694" s="2"/>
      <c r="G2694" s="2"/>
      <c r="H2694" s="2"/>
      <c r="I2694" s="2">
        <v>73.144599999999997</v>
      </c>
      <c r="J2694" s="2">
        <v>15</v>
      </c>
      <c r="K2694" s="2">
        <v>73.034599999999998</v>
      </c>
      <c r="L2694" s="2">
        <v>12</v>
      </c>
      <c r="M2694" s="2">
        <v>111.4581</v>
      </c>
      <c r="N2694" s="2">
        <v>17</v>
      </c>
      <c r="O2694" s="2">
        <v>115.4075</v>
      </c>
      <c r="P2694" s="2">
        <v>8</v>
      </c>
      <c r="Q2694" s="2">
        <v>100.884</v>
      </c>
      <c r="R2694" s="2">
        <v>145</v>
      </c>
      <c r="S2694" s="2">
        <v>97.404799999999994</v>
      </c>
      <c r="T2694" s="2">
        <v>85</v>
      </c>
      <c r="U2694" s="2">
        <v>0.87548300000000001</v>
      </c>
      <c r="V2694" s="2">
        <v>16</v>
      </c>
      <c r="W2694" s="2">
        <v>2006</v>
      </c>
    </row>
    <row r="2695" spans="1:23" ht="12.3" x14ac:dyDescent="0.4">
      <c r="A2695" s="2" t="s">
        <v>80</v>
      </c>
      <c r="B2695" s="2">
        <v>8</v>
      </c>
      <c r="C2695" s="25"/>
      <c r="D2695" s="25"/>
      <c r="E2695" s="2"/>
      <c r="F2695" s="2"/>
      <c r="G2695" s="2"/>
      <c r="H2695" s="2"/>
      <c r="I2695" s="2">
        <v>68.545500000000004</v>
      </c>
      <c r="J2695" s="2">
        <v>110</v>
      </c>
      <c r="K2695" s="2">
        <v>67.830799999999996</v>
      </c>
      <c r="L2695" s="2">
        <v>122</v>
      </c>
      <c r="M2695" s="2">
        <v>107.9267</v>
      </c>
      <c r="N2695" s="2">
        <v>55</v>
      </c>
      <c r="O2695" s="2">
        <v>110.7842</v>
      </c>
      <c r="P2695" s="2">
        <v>29</v>
      </c>
      <c r="Q2695" s="2">
        <v>94.251999999999995</v>
      </c>
      <c r="R2695" s="2">
        <v>36</v>
      </c>
      <c r="S2695" s="2">
        <v>93.981099999999998</v>
      </c>
      <c r="T2695" s="2">
        <v>33</v>
      </c>
      <c r="U2695" s="2">
        <v>0.86894199999999999</v>
      </c>
      <c r="V2695" s="2">
        <v>17</v>
      </c>
      <c r="W2695" s="2">
        <v>2006</v>
      </c>
    </row>
    <row r="2696" spans="1:23" ht="12.3" x14ac:dyDescent="0.4">
      <c r="A2696" s="2" t="s">
        <v>229</v>
      </c>
      <c r="B2696" s="2">
        <v>6</v>
      </c>
      <c r="C2696" s="4" t="s">
        <v>33</v>
      </c>
      <c r="D2696" s="4" t="s">
        <v>33</v>
      </c>
      <c r="E2696" s="2"/>
      <c r="F2696" s="2"/>
      <c r="G2696" s="2"/>
      <c r="H2696" s="2"/>
      <c r="I2696" s="2">
        <v>63.528300000000002</v>
      </c>
      <c r="J2696" s="2">
        <v>290</v>
      </c>
      <c r="K2696" s="2">
        <v>63.573099999999997</v>
      </c>
      <c r="L2696" s="2">
        <v>288</v>
      </c>
      <c r="M2696" s="2">
        <v>110.3706</v>
      </c>
      <c r="N2696" s="2">
        <v>29</v>
      </c>
      <c r="O2696" s="2">
        <v>115.3092</v>
      </c>
      <c r="P2696" s="2">
        <v>9</v>
      </c>
      <c r="Q2696" s="2">
        <v>102.0179</v>
      </c>
      <c r="R2696" s="2">
        <v>169</v>
      </c>
      <c r="S2696" s="2">
        <v>98.058700000000002</v>
      </c>
      <c r="T2696" s="2">
        <v>95</v>
      </c>
      <c r="U2696" s="2">
        <v>0.86571500000000001</v>
      </c>
      <c r="V2696" s="2">
        <v>18</v>
      </c>
      <c r="W2696" s="2">
        <v>2006</v>
      </c>
    </row>
    <row r="2697" spans="1:23" ht="12.3" x14ac:dyDescent="0.4">
      <c r="A2697" s="2" t="s">
        <v>95</v>
      </c>
      <c r="B2697" s="2">
        <v>4</v>
      </c>
      <c r="C2697" s="3" t="s">
        <v>33</v>
      </c>
      <c r="D2697" s="4" t="s">
        <v>33</v>
      </c>
      <c r="E2697" s="2"/>
      <c r="F2697" s="2"/>
      <c r="G2697" s="2"/>
      <c r="H2697" s="2"/>
      <c r="I2697" s="2">
        <v>64.7624</v>
      </c>
      <c r="J2697" s="2">
        <v>255</v>
      </c>
      <c r="K2697" s="2">
        <v>63.119399999999999</v>
      </c>
      <c r="L2697" s="2">
        <v>298</v>
      </c>
      <c r="M2697" s="2">
        <v>114.1845</v>
      </c>
      <c r="N2697" s="2">
        <v>2</v>
      </c>
      <c r="O2697" s="2">
        <v>117.2871</v>
      </c>
      <c r="P2697" s="2">
        <v>2</v>
      </c>
      <c r="Q2697" s="2">
        <v>102.89870000000001</v>
      </c>
      <c r="R2697" s="2">
        <v>193</v>
      </c>
      <c r="S2697" s="2">
        <v>100.2366</v>
      </c>
      <c r="T2697" s="2">
        <v>131</v>
      </c>
      <c r="U2697" s="2">
        <v>0.85894400000000004</v>
      </c>
      <c r="V2697" s="2">
        <v>19</v>
      </c>
      <c r="W2697" s="2">
        <v>2006</v>
      </c>
    </row>
    <row r="2698" spans="1:23" ht="12.3" x14ac:dyDescent="0.4">
      <c r="A2698" s="2" t="s">
        <v>131</v>
      </c>
      <c r="B2698" s="2">
        <v>5</v>
      </c>
      <c r="C2698" s="3" t="s">
        <v>33</v>
      </c>
      <c r="D2698" s="4" t="s">
        <v>33</v>
      </c>
      <c r="E2698" s="2"/>
      <c r="F2698" s="2"/>
      <c r="G2698" s="2"/>
      <c r="H2698" s="2"/>
      <c r="I2698" s="2">
        <v>72.388900000000007</v>
      </c>
      <c r="J2698" s="2">
        <v>23</v>
      </c>
      <c r="K2698" s="2">
        <v>73.116799999999998</v>
      </c>
      <c r="L2698" s="2">
        <v>11</v>
      </c>
      <c r="M2698" s="2">
        <v>112.41379999999999</v>
      </c>
      <c r="N2698" s="2">
        <v>11</v>
      </c>
      <c r="O2698" s="2">
        <v>113.10120000000001</v>
      </c>
      <c r="P2698" s="2">
        <v>16</v>
      </c>
      <c r="Q2698" s="2">
        <v>95.194800000000001</v>
      </c>
      <c r="R2698" s="2">
        <v>44</v>
      </c>
      <c r="S2698" s="2">
        <v>96.715999999999994</v>
      </c>
      <c r="T2698" s="2">
        <v>75</v>
      </c>
      <c r="U2698" s="2">
        <v>0.85812299999999997</v>
      </c>
      <c r="V2698" s="2">
        <v>20</v>
      </c>
      <c r="W2698" s="2">
        <v>2006</v>
      </c>
    </row>
    <row r="2699" spans="1:23" ht="12.3" x14ac:dyDescent="0.4">
      <c r="A2699" s="2" t="s">
        <v>145</v>
      </c>
      <c r="B2699" s="2">
        <v>5</v>
      </c>
      <c r="C2699" s="2"/>
      <c r="D2699" s="2"/>
      <c r="E2699" s="2"/>
      <c r="F2699" s="2"/>
      <c r="G2699" s="2"/>
      <c r="H2699" s="2"/>
      <c r="I2699" s="2">
        <v>67.146900000000002</v>
      </c>
      <c r="J2699" s="2">
        <v>160</v>
      </c>
      <c r="K2699" s="2">
        <v>67.170500000000004</v>
      </c>
      <c r="L2699" s="2">
        <v>149</v>
      </c>
      <c r="M2699" s="2">
        <v>106.8085</v>
      </c>
      <c r="N2699" s="2">
        <v>72</v>
      </c>
      <c r="O2699" s="2">
        <v>108.3347</v>
      </c>
      <c r="P2699" s="2">
        <v>59</v>
      </c>
      <c r="Q2699" s="2">
        <v>93.122100000000003</v>
      </c>
      <c r="R2699" s="2">
        <v>24</v>
      </c>
      <c r="S2699" s="2">
        <v>92.8583</v>
      </c>
      <c r="T2699" s="2">
        <v>25</v>
      </c>
      <c r="U2699" s="2">
        <v>0.85479700000000003</v>
      </c>
      <c r="V2699" s="2">
        <v>21</v>
      </c>
      <c r="W2699" s="2">
        <v>2006</v>
      </c>
    </row>
    <row r="2700" spans="1:23" ht="12.3" x14ac:dyDescent="0.4">
      <c r="A2700" s="2" t="s">
        <v>147</v>
      </c>
      <c r="B2700" s="2">
        <v>11</v>
      </c>
      <c r="C2700" s="3" t="s">
        <v>33</v>
      </c>
      <c r="D2700" s="4" t="s">
        <v>33</v>
      </c>
      <c r="E2700" s="4" t="s">
        <v>33</v>
      </c>
      <c r="F2700" s="4" t="s">
        <v>33</v>
      </c>
      <c r="G2700" s="2"/>
      <c r="H2700" s="2"/>
      <c r="I2700" s="2">
        <v>64.144999999999996</v>
      </c>
      <c r="J2700" s="2">
        <v>271</v>
      </c>
      <c r="K2700" s="2">
        <v>64.037499999999994</v>
      </c>
      <c r="L2700" s="2">
        <v>276</v>
      </c>
      <c r="M2700" s="2">
        <v>107.2718</v>
      </c>
      <c r="N2700" s="2">
        <v>63</v>
      </c>
      <c r="O2700" s="2">
        <v>106.43989999999999</v>
      </c>
      <c r="P2700" s="2">
        <v>78</v>
      </c>
      <c r="Q2700" s="2">
        <v>90.8172</v>
      </c>
      <c r="R2700" s="2">
        <v>11</v>
      </c>
      <c r="S2700" s="2">
        <v>91.572000000000003</v>
      </c>
      <c r="T2700" s="2">
        <v>12</v>
      </c>
      <c r="U2700" s="2">
        <v>0.84944200000000003</v>
      </c>
      <c r="V2700" s="2">
        <v>22</v>
      </c>
      <c r="W2700" s="2">
        <v>2006</v>
      </c>
    </row>
    <row r="2701" spans="1:23" ht="12.3" x14ac:dyDescent="0.4">
      <c r="A2701" s="2" t="s">
        <v>245</v>
      </c>
      <c r="B2701" s="2">
        <v>13</v>
      </c>
      <c r="C2701" s="4" t="s">
        <v>33</v>
      </c>
      <c r="D2701" s="4" t="s">
        <v>33</v>
      </c>
      <c r="E2701" s="2"/>
      <c r="F2701" s="2"/>
      <c r="G2701" s="2"/>
      <c r="H2701" s="2"/>
      <c r="I2701" s="2">
        <v>69.053700000000006</v>
      </c>
      <c r="J2701" s="2">
        <v>95</v>
      </c>
      <c r="K2701" s="2">
        <v>71.121399999999994</v>
      </c>
      <c r="L2701" s="2">
        <v>39</v>
      </c>
      <c r="M2701" s="2">
        <v>102.36790000000001</v>
      </c>
      <c r="N2701" s="2">
        <v>156</v>
      </c>
      <c r="O2701" s="2">
        <v>104.9757</v>
      </c>
      <c r="P2701" s="2">
        <v>105</v>
      </c>
      <c r="Q2701" s="2">
        <v>91.790599999999998</v>
      </c>
      <c r="R2701" s="2">
        <v>16</v>
      </c>
      <c r="S2701" s="2">
        <v>90.327600000000004</v>
      </c>
      <c r="T2701" s="2">
        <v>7</v>
      </c>
      <c r="U2701" s="2">
        <v>0.849194</v>
      </c>
      <c r="V2701" s="2">
        <v>23</v>
      </c>
      <c r="W2701" s="2">
        <v>2006</v>
      </c>
    </row>
    <row r="2702" spans="1:23" ht="12.3" hidden="1" x14ac:dyDescent="0.4">
      <c r="A2702" s="2" t="s">
        <v>159</v>
      </c>
      <c r="B2702" s="2"/>
      <c r="C2702" s="2"/>
      <c r="D2702" s="2"/>
      <c r="E2702" s="2"/>
      <c r="F2702" s="2"/>
      <c r="G2702" s="2"/>
      <c r="H2702" s="2"/>
      <c r="I2702" s="2">
        <v>68.895099999999999</v>
      </c>
      <c r="J2702" s="2">
        <v>95</v>
      </c>
      <c r="K2702" s="2">
        <v>69.2072</v>
      </c>
      <c r="L2702" s="2">
        <v>78</v>
      </c>
      <c r="M2702" s="2">
        <v>103.2992</v>
      </c>
      <c r="N2702" s="2">
        <v>129</v>
      </c>
      <c r="O2702" s="2">
        <v>107.02370000000001</v>
      </c>
      <c r="P2702" s="2">
        <v>75</v>
      </c>
      <c r="Q2702" s="2">
        <v>91.959599999999995</v>
      </c>
      <c r="R2702" s="2">
        <v>20</v>
      </c>
      <c r="S2702" s="2">
        <v>92.104799999999997</v>
      </c>
      <c r="T2702" s="2">
        <v>25</v>
      </c>
      <c r="U2702" s="2">
        <v>0.84895399999999999</v>
      </c>
      <c r="V2702" s="2">
        <v>36</v>
      </c>
      <c r="W2702" s="2">
        <v>2010</v>
      </c>
    </row>
    <row r="2703" spans="1:23" ht="12.3" hidden="1" x14ac:dyDescent="0.4">
      <c r="A2703" s="2" t="s">
        <v>64</v>
      </c>
      <c r="B2703" s="2"/>
      <c r="C2703" s="2"/>
      <c r="D2703" s="2"/>
      <c r="E2703" s="2"/>
      <c r="F2703" s="2"/>
      <c r="G2703" s="2"/>
      <c r="H2703" s="2"/>
      <c r="I2703" s="2">
        <v>66.838099999999997</v>
      </c>
      <c r="J2703" s="2">
        <v>198</v>
      </c>
      <c r="K2703" s="2">
        <v>66.214699999999993</v>
      </c>
      <c r="L2703" s="2">
        <v>220</v>
      </c>
      <c r="M2703" s="2">
        <v>103.06480000000001</v>
      </c>
      <c r="N2703" s="2">
        <v>133</v>
      </c>
      <c r="O2703" s="2">
        <v>104.51049999999999</v>
      </c>
      <c r="P2703" s="2">
        <v>115</v>
      </c>
      <c r="Q2703" s="2">
        <v>91.954700000000003</v>
      </c>
      <c r="R2703" s="2">
        <v>18</v>
      </c>
      <c r="S2703" s="2">
        <v>90.107799999999997</v>
      </c>
      <c r="T2703" s="2">
        <v>12</v>
      </c>
      <c r="U2703" s="2">
        <v>0.84621599999999997</v>
      </c>
      <c r="V2703" s="2">
        <v>37</v>
      </c>
      <c r="W2703" s="2">
        <v>2010</v>
      </c>
    </row>
    <row r="2704" spans="1:23" ht="12.3" x14ac:dyDescent="0.4">
      <c r="A2704" s="2" t="s">
        <v>58</v>
      </c>
      <c r="B2704" s="2">
        <v>6</v>
      </c>
      <c r="C2704" s="25"/>
      <c r="D2704" s="25"/>
      <c r="E2704" s="25"/>
      <c r="F2704" s="2"/>
      <c r="G2704" s="2"/>
      <c r="H2704" s="2"/>
      <c r="I2704" s="2">
        <v>65.553399999999996</v>
      </c>
      <c r="J2704" s="2">
        <v>230</v>
      </c>
      <c r="K2704" s="2">
        <v>65.9071</v>
      </c>
      <c r="L2704" s="2">
        <v>221</v>
      </c>
      <c r="M2704" s="2">
        <v>110.0973</v>
      </c>
      <c r="N2704" s="2">
        <v>30</v>
      </c>
      <c r="O2704" s="2">
        <v>114.0908</v>
      </c>
      <c r="P2704" s="2">
        <v>13</v>
      </c>
      <c r="Q2704" s="2">
        <v>102.14109999999999</v>
      </c>
      <c r="R2704" s="2">
        <v>173</v>
      </c>
      <c r="S2704" s="2">
        <v>98.360900000000001</v>
      </c>
      <c r="T2704" s="2">
        <v>99</v>
      </c>
      <c r="U2704" s="2">
        <v>0.84632300000000005</v>
      </c>
      <c r="V2704" s="2">
        <v>24</v>
      </c>
      <c r="W2704" s="2">
        <v>2006</v>
      </c>
    </row>
    <row r="2705" spans="1:23" ht="12.3" x14ac:dyDescent="0.4">
      <c r="A2705" s="2" t="s">
        <v>248</v>
      </c>
      <c r="B2705" s="2">
        <v>12</v>
      </c>
      <c r="C2705" s="4" t="s">
        <v>33</v>
      </c>
      <c r="D2705" s="2"/>
      <c r="E2705" s="2"/>
      <c r="F2705" s="2"/>
      <c r="G2705" s="2"/>
      <c r="H2705" s="2"/>
      <c r="I2705" s="2">
        <v>65.709699999999998</v>
      </c>
      <c r="J2705" s="2">
        <v>223</v>
      </c>
      <c r="K2705" s="2">
        <v>64.945700000000002</v>
      </c>
      <c r="L2705" s="2">
        <v>252</v>
      </c>
      <c r="M2705" s="2">
        <v>104.483</v>
      </c>
      <c r="N2705" s="2">
        <v>121</v>
      </c>
      <c r="O2705" s="2">
        <v>104.3199</v>
      </c>
      <c r="P2705" s="2">
        <v>118</v>
      </c>
      <c r="Q2705" s="2">
        <v>91.471199999999996</v>
      </c>
      <c r="R2705" s="2">
        <v>14</v>
      </c>
      <c r="S2705" s="2">
        <v>89.994299999999996</v>
      </c>
      <c r="T2705" s="2">
        <v>5</v>
      </c>
      <c r="U2705" s="2">
        <v>0.84536900000000004</v>
      </c>
      <c r="V2705" s="2">
        <v>25</v>
      </c>
      <c r="W2705" s="2">
        <v>2006</v>
      </c>
    </row>
    <row r="2706" spans="1:23" ht="12.3" x14ac:dyDescent="0.4">
      <c r="A2706" s="2" t="s">
        <v>39</v>
      </c>
      <c r="B2706" s="2">
        <v>7</v>
      </c>
      <c r="C2706" s="2"/>
      <c r="D2706" s="2"/>
      <c r="E2706" s="2"/>
      <c r="F2706" s="2"/>
      <c r="G2706" s="2"/>
      <c r="H2706" s="2"/>
      <c r="I2706" s="2">
        <v>68.750699999999995</v>
      </c>
      <c r="J2706" s="2">
        <v>104</v>
      </c>
      <c r="K2706" s="2">
        <v>69.898799999999994</v>
      </c>
      <c r="L2706" s="2">
        <v>61</v>
      </c>
      <c r="M2706" s="2">
        <v>106.9834</v>
      </c>
      <c r="N2706" s="2">
        <v>67</v>
      </c>
      <c r="O2706" s="2">
        <v>110.51179999999999</v>
      </c>
      <c r="P2706" s="2">
        <v>34</v>
      </c>
      <c r="Q2706" s="2">
        <v>100.23560000000001</v>
      </c>
      <c r="R2706" s="2">
        <v>133</v>
      </c>
      <c r="S2706" s="2">
        <v>95.525999999999996</v>
      </c>
      <c r="T2706" s="2">
        <v>48</v>
      </c>
      <c r="U2706" s="2">
        <v>0.84235099999999996</v>
      </c>
      <c r="V2706" s="2">
        <v>26</v>
      </c>
      <c r="W2706" s="2">
        <v>2006</v>
      </c>
    </row>
    <row r="2707" spans="1:23" ht="12.3" x14ac:dyDescent="0.4">
      <c r="A2707" s="2" t="s">
        <v>45</v>
      </c>
      <c r="B2707" s="2">
        <v>8</v>
      </c>
      <c r="C2707" s="3" t="s">
        <v>33</v>
      </c>
      <c r="D2707" s="2"/>
      <c r="E2707" s="2"/>
      <c r="F2707" s="2"/>
      <c r="G2707" s="2"/>
      <c r="H2707" s="2"/>
      <c r="I2707" s="2">
        <v>65.629199999999997</v>
      </c>
      <c r="J2707" s="2">
        <v>226</v>
      </c>
      <c r="K2707" s="2">
        <v>65.694199999999995</v>
      </c>
      <c r="L2707" s="2">
        <v>225</v>
      </c>
      <c r="M2707" s="2">
        <v>107.7504</v>
      </c>
      <c r="N2707" s="2">
        <v>57</v>
      </c>
      <c r="O2707" s="2">
        <v>112.72920000000001</v>
      </c>
      <c r="P2707" s="2">
        <v>19</v>
      </c>
      <c r="Q2707" s="2">
        <v>100.095</v>
      </c>
      <c r="R2707" s="2">
        <v>128</v>
      </c>
      <c r="S2707" s="2">
        <v>97.733400000000003</v>
      </c>
      <c r="T2707" s="2">
        <v>89</v>
      </c>
      <c r="U2707" s="2">
        <v>0.83774700000000002</v>
      </c>
      <c r="V2707" s="2">
        <v>27</v>
      </c>
      <c r="W2707" s="2">
        <v>2006</v>
      </c>
    </row>
    <row r="2708" spans="1:23" ht="12.3" x14ac:dyDescent="0.4">
      <c r="A2708" s="2" t="s">
        <v>40</v>
      </c>
      <c r="B2708" s="2">
        <v>6</v>
      </c>
      <c r="C2708" s="4" t="s">
        <v>33</v>
      </c>
      <c r="D2708" s="2"/>
      <c r="E2708" s="2"/>
      <c r="F2708" s="2"/>
      <c r="G2708" s="2"/>
      <c r="H2708" s="2"/>
      <c r="I2708" s="2">
        <v>67.728399999999993</v>
      </c>
      <c r="J2708" s="2">
        <v>139</v>
      </c>
      <c r="K2708" s="2">
        <v>67.868700000000004</v>
      </c>
      <c r="L2708" s="2">
        <v>119</v>
      </c>
      <c r="M2708" s="2">
        <v>104.79640000000001</v>
      </c>
      <c r="N2708" s="2">
        <v>110</v>
      </c>
      <c r="O2708" s="2">
        <v>106.3565</v>
      </c>
      <c r="P2708" s="2">
        <v>79</v>
      </c>
      <c r="Q2708" s="2">
        <v>97.434799999999996</v>
      </c>
      <c r="R2708" s="2">
        <v>70</v>
      </c>
      <c r="S2708" s="2">
        <v>92.323499999999996</v>
      </c>
      <c r="T2708" s="2">
        <v>20</v>
      </c>
      <c r="U2708" s="2">
        <v>0.83578799999999998</v>
      </c>
      <c r="V2708" s="2">
        <v>29</v>
      </c>
      <c r="W2708" s="2">
        <v>2006</v>
      </c>
    </row>
    <row r="2709" spans="1:23" ht="12.3" x14ac:dyDescent="0.4">
      <c r="A2709" s="2" t="s">
        <v>83</v>
      </c>
      <c r="B2709" s="2">
        <v>9</v>
      </c>
      <c r="C2709" s="2"/>
      <c r="D2709" s="2"/>
      <c r="E2709" s="2"/>
      <c r="F2709" s="2"/>
      <c r="G2709" s="2"/>
      <c r="H2709" s="2"/>
      <c r="I2709" s="2">
        <v>64.416499999999999</v>
      </c>
      <c r="J2709" s="2">
        <v>265</v>
      </c>
      <c r="K2709" s="2">
        <v>64.971400000000003</v>
      </c>
      <c r="L2709" s="2">
        <v>250</v>
      </c>
      <c r="M2709" s="2">
        <v>103.3147</v>
      </c>
      <c r="N2709" s="2">
        <v>141</v>
      </c>
      <c r="O2709" s="2">
        <v>104.5585</v>
      </c>
      <c r="P2709" s="2">
        <v>112</v>
      </c>
      <c r="Q2709" s="2">
        <v>89.717699999999994</v>
      </c>
      <c r="R2709" s="2">
        <v>6</v>
      </c>
      <c r="S2709" s="2">
        <v>90.995599999999996</v>
      </c>
      <c r="T2709" s="2">
        <v>9</v>
      </c>
      <c r="U2709" s="2">
        <v>0.83170500000000003</v>
      </c>
      <c r="V2709" s="2">
        <v>30</v>
      </c>
      <c r="W2709" s="2">
        <v>2006</v>
      </c>
    </row>
    <row r="2710" spans="1:23" ht="12.3" x14ac:dyDescent="0.4">
      <c r="A2710" s="2" t="s">
        <v>216</v>
      </c>
      <c r="B2710" s="2">
        <v>10</v>
      </c>
      <c r="C2710" s="25"/>
      <c r="D2710" s="25"/>
      <c r="E2710" s="2"/>
      <c r="F2710" s="2"/>
      <c r="G2710" s="2"/>
      <c r="H2710" s="2"/>
      <c r="I2710" s="2">
        <v>60.872500000000002</v>
      </c>
      <c r="J2710" s="2">
        <v>322</v>
      </c>
      <c r="K2710" s="2">
        <v>61.042700000000004</v>
      </c>
      <c r="L2710" s="2">
        <v>322</v>
      </c>
      <c r="M2710" s="2">
        <v>104.4641</v>
      </c>
      <c r="N2710" s="2">
        <v>122</v>
      </c>
      <c r="O2710" s="2">
        <v>106.7564</v>
      </c>
      <c r="P2710" s="2">
        <v>76</v>
      </c>
      <c r="Q2710" s="2">
        <v>94.004199999999997</v>
      </c>
      <c r="R2710" s="2">
        <v>33</v>
      </c>
      <c r="S2710" s="2">
        <v>92.937899999999999</v>
      </c>
      <c r="T2710" s="2">
        <v>26</v>
      </c>
      <c r="U2710" s="2">
        <v>0.83119399999999999</v>
      </c>
      <c r="V2710" s="2">
        <v>31</v>
      </c>
      <c r="W2710" s="2">
        <v>2006</v>
      </c>
    </row>
    <row r="2711" spans="1:23" ht="12.3" x14ac:dyDescent="0.4">
      <c r="A2711" s="2" t="s">
        <v>76</v>
      </c>
      <c r="B2711" s="2">
        <v>9</v>
      </c>
      <c r="C2711" s="2"/>
      <c r="D2711" s="2"/>
      <c r="E2711" s="2"/>
      <c r="F2711" s="2"/>
      <c r="G2711" s="2"/>
      <c r="H2711" s="2"/>
      <c r="I2711" s="2">
        <v>66.172700000000006</v>
      </c>
      <c r="J2711" s="2">
        <v>204</v>
      </c>
      <c r="K2711" s="2">
        <v>66.721400000000003</v>
      </c>
      <c r="L2711" s="2">
        <v>174</v>
      </c>
      <c r="M2711" s="2">
        <v>106.15949999999999</v>
      </c>
      <c r="N2711" s="2">
        <v>85</v>
      </c>
      <c r="O2711" s="2">
        <v>108.91840000000001</v>
      </c>
      <c r="P2711" s="2">
        <v>52</v>
      </c>
      <c r="Q2711" s="2">
        <v>96.905000000000001</v>
      </c>
      <c r="R2711" s="2">
        <v>66</v>
      </c>
      <c r="S2711" s="2">
        <v>94.998000000000005</v>
      </c>
      <c r="T2711" s="2">
        <v>45</v>
      </c>
      <c r="U2711" s="2">
        <v>0.828148</v>
      </c>
      <c r="V2711" s="2">
        <v>34</v>
      </c>
      <c r="W2711" s="2">
        <v>2006</v>
      </c>
    </row>
    <row r="2712" spans="1:23" ht="12.3" x14ac:dyDescent="0.4">
      <c r="A2712" s="2" t="s">
        <v>82</v>
      </c>
      <c r="B2712" s="2">
        <v>11</v>
      </c>
      <c r="C2712" s="25"/>
      <c r="D2712" s="2"/>
      <c r="E2712" s="2"/>
      <c r="F2712" s="2"/>
      <c r="G2712" s="2"/>
      <c r="H2712" s="2"/>
      <c r="I2712" s="2">
        <v>61.6404</v>
      </c>
      <c r="J2712" s="2">
        <v>318</v>
      </c>
      <c r="K2712" s="2">
        <v>61.677399999999999</v>
      </c>
      <c r="L2712" s="2">
        <v>318</v>
      </c>
      <c r="M2712" s="2">
        <v>97.26</v>
      </c>
      <c r="N2712" s="2">
        <v>242</v>
      </c>
      <c r="O2712" s="2">
        <v>102.11920000000001</v>
      </c>
      <c r="P2712" s="2">
        <v>159</v>
      </c>
      <c r="Q2712" s="2">
        <v>88.567700000000002</v>
      </c>
      <c r="R2712" s="2">
        <v>4</v>
      </c>
      <c r="S2712" s="2">
        <v>89.158000000000001</v>
      </c>
      <c r="T2712" s="2">
        <v>3</v>
      </c>
      <c r="U2712" s="2">
        <v>0.82648299999999997</v>
      </c>
      <c r="V2712" s="2">
        <v>35</v>
      </c>
      <c r="W2712" s="2">
        <v>2006</v>
      </c>
    </row>
    <row r="2713" spans="1:23" ht="12.3" x14ac:dyDescent="0.4">
      <c r="A2713" s="2" t="s">
        <v>192</v>
      </c>
      <c r="B2713" s="2">
        <v>7</v>
      </c>
      <c r="C2713" s="4" t="s">
        <v>33</v>
      </c>
      <c r="D2713" s="4" t="s">
        <v>33</v>
      </c>
      <c r="E2713" s="2"/>
      <c r="F2713" s="2"/>
      <c r="G2713" s="2"/>
      <c r="H2713" s="2"/>
      <c r="I2713" s="2">
        <v>63.146700000000003</v>
      </c>
      <c r="J2713" s="2">
        <v>297</v>
      </c>
      <c r="K2713" s="2">
        <v>63.698999999999998</v>
      </c>
      <c r="L2713" s="2">
        <v>283</v>
      </c>
      <c r="M2713" s="2">
        <v>106.6939</v>
      </c>
      <c r="N2713" s="2">
        <v>75</v>
      </c>
      <c r="O2713" s="2">
        <v>110.1734</v>
      </c>
      <c r="P2713" s="2">
        <v>37</v>
      </c>
      <c r="Q2713" s="2">
        <v>96.319199999999995</v>
      </c>
      <c r="R2713" s="2">
        <v>58</v>
      </c>
      <c r="S2713" s="2">
        <v>96.306100000000001</v>
      </c>
      <c r="T2713" s="2">
        <v>60</v>
      </c>
      <c r="U2713" s="2">
        <v>0.82448399999999999</v>
      </c>
      <c r="V2713" s="2">
        <v>37</v>
      </c>
      <c r="W2713" s="2">
        <v>2006</v>
      </c>
    </row>
    <row r="2714" spans="1:23" ht="12.3" hidden="1" x14ac:dyDescent="0.4">
      <c r="A2714" s="2" t="s">
        <v>48</v>
      </c>
      <c r="B2714" s="2"/>
      <c r="C2714" s="2"/>
      <c r="D2714" s="2"/>
      <c r="E2714" s="2"/>
      <c r="F2714" s="2"/>
      <c r="G2714" s="2"/>
      <c r="H2714" s="2"/>
      <c r="I2714" s="2">
        <v>67.7624</v>
      </c>
      <c r="J2714" s="2">
        <v>149</v>
      </c>
      <c r="K2714" s="2">
        <v>67.305099999999996</v>
      </c>
      <c r="L2714" s="2">
        <v>168</v>
      </c>
      <c r="M2714" s="2">
        <v>106.1752</v>
      </c>
      <c r="N2714" s="2">
        <v>86</v>
      </c>
      <c r="O2714" s="2">
        <v>107.06100000000001</v>
      </c>
      <c r="P2714" s="2">
        <v>74</v>
      </c>
      <c r="Q2714" s="2">
        <v>94.133099999999999</v>
      </c>
      <c r="R2714" s="2">
        <v>38</v>
      </c>
      <c r="S2714" s="2">
        <v>93.632800000000003</v>
      </c>
      <c r="T2714" s="2">
        <v>39</v>
      </c>
      <c r="U2714" s="2">
        <v>0.82364000000000004</v>
      </c>
      <c r="V2714" s="2">
        <v>48</v>
      </c>
      <c r="W2714" s="2">
        <v>2010</v>
      </c>
    </row>
    <row r="2715" spans="1:23" ht="12.3" x14ac:dyDescent="0.4">
      <c r="A2715" s="2" t="s">
        <v>232</v>
      </c>
      <c r="B2715" s="2">
        <v>8</v>
      </c>
      <c r="C2715" s="3" t="s">
        <v>33</v>
      </c>
      <c r="D2715" s="2"/>
      <c r="E2715" s="2"/>
      <c r="F2715" s="2"/>
      <c r="G2715" s="2"/>
      <c r="H2715" s="2"/>
      <c r="I2715" s="2">
        <v>71.292500000000004</v>
      </c>
      <c r="J2715" s="2">
        <v>40</v>
      </c>
      <c r="K2715" s="2">
        <v>73.337999999999994</v>
      </c>
      <c r="L2715" s="2">
        <v>9</v>
      </c>
      <c r="M2715" s="2">
        <v>109.6585</v>
      </c>
      <c r="N2715" s="2">
        <v>35</v>
      </c>
      <c r="O2715" s="2">
        <v>107.92310000000001</v>
      </c>
      <c r="P2715" s="2">
        <v>63</v>
      </c>
      <c r="Q2715" s="2">
        <v>92.320700000000002</v>
      </c>
      <c r="R2715" s="2">
        <v>19</v>
      </c>
      <c r="S2715" s="2">
        <v>94.341399999999993</v>
      </c>
      <c r="T2715" s="2">
        <v>40</v>
      </c>
      <c r="U2715" s="2">
        <v>0.82444099999999998</v>
      </c>
      <c r="V2715" s="2">
        <v>38</v>
      </c>
      <c r="W2715" s="2">
        <v>2006</v>
      </c>
    </row>
    <row r="2716" spans="1:23" ht="12.3" hidden="1" x14ac:dyDescent="0.4">
      <c r="A2716" s="2" t="s">
        <v>54</v>
      </c>
      <c r="B2716" s="2"/>
      <c r="C2716" s="2"/>
      <c r="D2716" s="2"/>
      <c r="E2716" s="2"/>
      <c r="F2716" s="2"/>
      <c r="G2716" s="2"/>
      <c r="H2716" s="2"/>
      <c r="I2716" s="2">
        <v>68.935900000000004</v>
      </c>
      <c r="J2716" s="2">
        <v>94</v>
      </c>
      <c r="K2716" s="2">
        <v>69.163899999999998</v>
      </c>
      <c r="L2716" s="2">
        <v>80</v>
      </c>
      <c r="M2716" s="2">
        <v>102.2714</v>
      </c>
      <c r="N2716" s="2">
        <v>149</v>
      </c>
      <c r="O2716" s="2">
        <v>105.03440000000001</v>
      </c>
      <c r="P2716" s="2">
        <v>105</v>
      </c>
      <c r="Q2716" s="2">
        <v>97.202500000000001</v>
      </c>
      <c r="R2716" s="2">
        <v>87</v>
      </c>
      <c r="S2716" s="2">
        <v>92.256600000000006</v>
      </c>
      <c r="T2716" s="2">
        <v>27</v>
      </c>
      <c r="U2716" s="2">
        <v>0.81633599999999995</v>
      </c>
      <c r="V2716" s="2">
        <v>50</v>
      </c>
      <c r="W2716" s="2">
        <v>2010</v>
      </c>
    </row>
    <row r="2717" spans="1:23" ht="12.3" hidden="1" x14ac:dyDescent="0.4">
      <c r="A2717" s="2" t="s">
        <v>60</v>
      </c>
      <c r="B2717" s="2"/>
      <c r="C2717" s="2"/>
      <c r="D2717" s="2"/>
      <c r="E2717" s="2"/>
      <c r="F2717" s="2"/>
      <c r="G2717" s="2"/>
      <c r="H2717" s="2"/>
      <c r="I2717" s="2">
        <v>67.029700000000005</v>
      </c>
      <c r="J2717" s="2">
        <v>186</v>
      </c>
      <c r="K2717" s="2">
        <v>66.41</v>
      </c>
      <c r="L2717" s="2">
        <v>215</v>
      </c>
      <c r="M2717" s="2">
        <v>106.5163</v>
      </c>
      <c r="N2717" s="2">
        <v>79</v>
      </c>
      <c r="O2717" s="2">
        <v>111.2531</v>
      </c>
      <c r="P2717" s="2">
        <v>31</v>
      </c>
      <c r="Q2717" s="2">
        <v>97.094300000000004</v>
      </c>
      <c r="R2717" s="2">
        <v>83</v>
      </c>
      <c r="S2717" s="2">
        <v>97.757999999999996</v>
      </c>
      <c r="T2717" s="2">
        <v>91</v>
      </c>
      <c r="U2717" s="2">
        <v>0.81564199999999998</v>
      </c>
      <c r="V2717" s="2">
        <v>51</v>
      </c>
      <c r="W2717" s="2">
        <v>2010</v>
      </c>
    </row>
    <row r="2718" spans="1:23" ht="12.3" x14ac:dyDescent="0.4">
      <c r="A2718" s="2" t="s">
        <v>43</v>
      </c>
      <c r="B2718" s="2">
        <v>8</v>
      </c>
      <c r="C2718" s="4" t="s">
        <v>33</v>
      </c>
      <c r="D2718" s="2"/>
      <c r="E2718" s="2"/>
      <c r="F2718" s="2"/>
      <c r="G2718" s="2"/>
      <c r="H2718" s="2"/>
      <c r="I2718" s="2">
        <v>69.292599999999993</v>
      </c>
      <c r="J2718" s="2">
        <v>85</v>
      </c>
      <c r="K2718" s="2">
        <v>69.635400000000004</v>
      </c>
      <c r="L2718" s="2">
        <v>70</v>
      </c>
      <c r="M2718" s="2">
        <v>103.136</v>
      </c>
      <c r="N2718" s="2">
        <v>146</v>
      </c>
      <c r="O2718" s="2">
        <v>107.7834</v>
      </c>
      <c r="P2718" s="2">
        <v>66</v>
      </c>
      <c r="Q2718" s="2">
        <v>96.416499999999999</v>
      </c>
      <c r="R2718" s="2">
        <v>60</v>
      </c>
      <c r="S2718" s="2">
        <v>94.305000000000007</v>
      </c>
      <c r="T2718" s="2">
        <v>39</v>
      </c>
      <c r="U2718" s="2">
        <v>0.82292200000000004</v>
      </c>
      <c r="V2718" s="2">
        <v>39</v>
      </c>
      <c r="W2718" s="2">
        <v>2006</v>
      </c>
    </row>
    <row r="2719" spans="1:23" ht="12.3" hidden="1" x14ac:dyDescent="0.4">
      <c r="A2719" s="2" t="s">
        <v>71</v>
      </c>
      <c r="B2719" s="2"/>
      <c r="C2719" s="2"/>
      <c r="D2719" s="2"/>
      <c r="E2719" s="2"/>
      <c r="F2719" s="2"/>
      <c r="G2719" s="2"/>
      <c r="H2719" s="2"/>
      <c r="I2719" s="2">
        <v>66.957800000000006</v>
      </c>
      <c r="J2719" s="2">
        <v>190</v>
      </c>
      <c r="K2719" s="2">
        <v>66.618899999999996</v>
      </c>
      <c r="L2719" s="2">
        <v>203</v>
      </c>
      <c r="M2719" s="2">
        <v>112.5885</v>
      </c>
      <c r="N2719" s="2">
        <v>13</v>
      </c>
      <c r="O2719" s="2">
        <v>113.0171</v>
      </c>
      <c r="P2719" s="2">
        <v>22</v>
      </c>
      <c r="Q2719" s="2">
        <v>97.072999999999993</v>
      </c>
      <c r="R2719" s="2">
        <v>81</v>
      </c>
      <c r="S2719" s="2">
        <v>99.617800000000003</v>
      </c>
      <c r="T2719" s="2">
        <v>134</v>
      </c>
      <c r="U2719" s="2">
        <v>0.810195</v>
      </c>
      <c r="V2719" s="2">
        <v>53</v>
      </c>
      <c r="W2719" s="2">
        <v>2010</v>
      </c>
    </row>
    <row r="2720" spans="1:23" ht="12.3" hidden="1" x14ac:dyDescent="0.4">
      <c r="A2720" s="2" t="s">
        <v>137</v>
      </c>
      <c r="B2720" s="2"/>
      <c r="C2720" s="2"/>
      <c r="D2720" s="2"/>
      <c r="E2720" s="2"/>
      <c r="F2720" s="2"/>
      <c r="G2720" s="2"/>
      <c r="H2720" s="2"/>
      <c r="I2720" s="2">
        <v>67.773300000000006</v>
      </c>
      <c r="J2720" s="2">
        <v>148</v>
      </c>
      <c r="K2720" s="2">
        <v>68.643100000000004</v>
      </c>
      <c r="L2720" s="2">
        <v>104</v>
      </c>
      <c r="M2720" s="2">
        <v>110.66549999999999</v>
      </c>
      <c r="N2720" s="2">
        <v>27</v>
      </c>
      <c r="O2720" s="2">
        <v>110.768</v>
      </c>
      <c r="P2720" s="2">
        <v>36</v>
      </c>
      <c r="Q2720" s="2">
        <v>96.442300000000003</v>
      </c>
      <c r="R2720" s="2">
        <v>71</v>
      </c>
      <c r="S2720" s="2">
        <v>97.937299999999993</v>
      </c>
      <c r="T2720" s="2">
        <v>96</v>
      </c>
      <c r="U2720" s="2">
        <v>0.804674</v>
      </c>
      <c r="V2720" s="2">
        <v>54</v>
      </c>
      <c r="W2720" s="2">
        <v>2010</v>
      </c>
    </row>
    <row r="2721" spans="1:23" ht="12.3" hidden="1" x14ac:dyDescent="0.4">
      <c r="A2721" s="2" t="s">
        <v>51</v>
      </c>
      <c r="B2721" s="2"/>
      <c r="C2721" s="2"/>
      <c r="D2721" s="2"/>
      <c r="E2721" s="2"/>
      <c r="F2721" s="2"/>
      <c r="G2721" s="2"/>
      <c r="H2721" s="2"/>
      <c r="I2721" s="2">
        <v>70.635900000000007</v>
      </c>
      <c r="J2721" s="2">
        <v>44</v>
      </c>
      <c r="K2721" s="2">
        <v>69.731700000000004</v>
      </c>
      <c r="L2721" s="2">
        <v>62</v>
      </c>
      <c r="M2721" s="2">
        <v>109.783</v>
      </c>
      <c r="N2721" s="2">
        <v>32</v>
      </c>
      <c r="O2721" s="2">
        <v>110.54510000000001</v>
      </c>
      <c r="P2721" s="2">
        <v>38</v>
      </c>
      <c r="Q2721" s="2">
        <v>98.710599999999999</v>
      </c>
      <c r="R2721" s="2">
        <v>122</v>
      </c>
      <c r="S2721" s="2">
        <v>97.813199999999995</v>
      </c>
      <c r="T2721" s="2">
        <v>92</v>
      </c>
      <c r="U2721" s="2">
        <v>0.80332099999999995</v>
      </c>
      <c r="V2721" s="2">
        <v>55</v>
      </c>
      <c r="W2721" s="2">
        <v>2010</v>
      </c>
    </row>
    <row r="2722" spans="1:23" ht="12.3" hidden="1" x14ac:dyDescent="0.4">
      <c r="A2722" s="2" t="s">
        <v>44</v>
      </c>
      <c r="B2722" s="2"/>
      <c r="C2722" s="2"/>
      <c r="D2722" s="2"/>
      <c r="E2722" s="2"/>
      <c r="F2722" s="2"/>
      <c r="G2722" s="2"/>
      <c r="H2722" s="2"/>
      <c r="I2722" s="2">
        <v>66.8155</v>
      </c>
      <c r="J2722" s="2">
        <v>199</v>
      </c>
      <c r="K2722" s="2">
        <v>67.645399999999995</v>
      </c>
      <c r="L2722" s="2">
        <v>151</v>
      </c>
      <c r="M2722" s="2">
        <v>103.7971</v>
      </c>
      <c r="N2722" s="2">
        <v>120</v>
      </c>
      <c r="O2722" s="2">
        <v>106.09690000000001</v>
      </c>
      <c r="P2722" s="2">
        <v>87</v>
      </c>
      <c r="Q2722" s="2">
        <v>98.414500000000004</v>
      </c>
      <c r="R2722" s="2">
        <v>112</v>
      </c>
      <c r="S2722" s="2">
        <v>93.884299999999996</v>
      </c>
      <c r="T2722" s="2">
        <v>41</v>
      </c>
      <c r="U2722" s="2">
        <v>0.80318800000000001</v>
      </c>
      <c r="V2722" s="2">
        <v>56</v>
      </c>
      <c r="W2722" s="2">
        <v>2010</v>
      </c>
    </row>
    <row r="2723" spans="1:23" ht="12.3" x14ac:dyDescent="0.4">
      <c r="A2723" s="2" t="s">
        <v>55</v>
      </c>
      <c r="B2723" s="2">
        <v>10</v>
      </c>
      <c r="C2723" s="3" t="s">
        <v>33</v>
      </c>
      <c r="D2723" s="2"/>
      <c r="E2723" s="2"/>
      <c r="F2723" s="2"/>
      <c r="G2723" s="2"/>
      <c r="H2723" s="2"/>
      <c r="I2723" s="2">
        <v>67.0334</v>
      </c>
      <c r="J2723" s="2">
        <v>164</v>
      </c>
      <c r="K2723" s="2">
        <v>66.235699999999994</v>
      </c>
      <c r="L2723" s="2">
        <v>205</v>
      </c>
      <c r="M2723" s="2">
        <v>110.7269</v>
      </c>
      <c r="N2723" s="2">
        <v>27</v>
      </c>
      <c r="O2723" s="2">
        <v>111.1627</v>
      </c>
      <c r="P2723" s="2">
        <v>27</v>
      </c>
      <c r="Q2723" s="2">
        <v>98.840400000000002</v>
      </c>
      <c r="R2723" s="2">
        <v>98</v>
      </c>
      <c r="S2723" s="2">
        <v>97.337500000000006</v>
      </c>
      <c r="T2723" s="2">
        <v>84</v>
      </c>
      <c r="U2723" s="2">
        <v>0.82161600000000001</v>
      </c>
      <c r="V2723" s="2">
        <v>40</v>
      </c>
      <c r="W2723" s="2">
        <v>2006</v>
      </c>
    </row>
    <row r="2724" spans="1:23" ht="12.3" hidden="1" x14ac:dyDescent="0.4">
      <c r="A2724" s="2" t="s">
        <v>99</v>
      </c>
      <c r="B2724" s="2"/>
      <c r="C2724" s="2"/>
      <c r="D2724" s="2"/>
      <c r="E2724" s="2"/>
      <c r="F2724" s="2"/>
      <c r="G2724" s="2"/>
      <c r="H2724" s="2"/>
      <c r="I2724" s="2">
        <v>62.017200000000003</v>
      </c>
      <c r="J2724" s="2">
        <v>330</v>
      </c>
      <c r="K2724" s="2">
        <v>62.2639</v>
      </c>
      <c r="L2724" s="2">
        <v>324</v>
      </c>
      <c r="M2724" s="2">
        <v>107.7037</v>
      </c>
      <c r="N2724" s="2">
        <v>57</v>
      </c>
      <c r="O2724" s="2">
        <v>106.855</v>
      </c>
      <c r="P2724" s="2">
        <v>78</v>
      </c>
      <c r="Q2724" s="2">
        <v>94.103700000000003</v>
      </c>
      <c r="R2724" s="2">
        <v>37</v>
      </c>
      <c r="S2724" s="2">
        <v>94.795900000000003</v>
      </c>
      <c r="T2724" s="2">
        <v>52</v>
      </c>
      <c r="U2724" s="2">
        <v>0.79852299999999998</v>
      </c>
      <c r="V2724" s="2">
        <v>58</v>
      </c>
      <c r="W2724" s="2">
        <v>2010</v>
      </c>
    </row>
    <row r="2725" spans="1:23" ht="12.3" hidden="1" x14ac:dyDescent="0.4">
      <c r="A2725" s="2" t="s">
        <v>119</v>
      </c>
      <c r="B2725" s="2"/>
      <c r="C2725" s="2"/>
      <c r="D2725" s="2"/>
      <c r="E2725" s="2"/>
      <c r="F2725" s="2"/>
      <c r="G2725" s="2"/>
      <c r="H2725" s="2"/>
      <c r="I2725" s="2">
        <v>71.881299999999996</v>
      </c>
      <c r="J2725" s="2">
        <v>25</v>
      </c>
      <c r="K2725" s="2">
        <v>71.2179</v>
      </c>
      <c r="L2725" s="2">
        <v>29</v>
      </c>
      <c r="M2725" s="2">
        <v>109.55759999999999</v>
      </c>
      <c r="N2725" s="2">
        <v>34</v>
      </c>
      <c r="O2725" s="2">
        <v>111.1422</v>
      </c>
      <c r="P2725" s="2">
        <v>32</v>
      </c>
      <c r="Q2725" s="2">
        <v>102.8567</v>
      </c>
      <c r="R2725" s="2">
        <v>208</v>
      </c>
      <c r="S2725" s="2">
        <v>98.697699999999998</v>
      </c>
      <c r="T2725" s="2">
        <v>113</v>
      </c>
      <c r="U2725" s="2">
        <v>0.79667100000000002</v>
      </c>
      <c r="V2725" s="2">
        <v>59</v>
      </c>
      <c r="W2725" s="2">
        <v>2010</v>
      </c>
    </row>
    <row r="2726" spans="1:23" ht="12.3" x14ac:dyDescent="0.4">
      <c r="A2726" s="2" t="s">
        <v>38</v>
      </c>
      <c r="B2726" s="2">
        <v>6</v>
      </c>
      <c r="C2726" s="25"/>
      <c r="D2726" s="25"/>
      <c r="E2726" s="2"/>
      <c r="F2726" s="2"/>
      <c r="G2726" s="2"/>
      <c r="H2726" s="2"/>
      <c r="I2726" s="2">
        <v>63.174100000000003</v>
      </c>
      <c r="J2726" s="2">
        <v>296</v>
      </c>
      <c r="K2726" s="2">
        <v>63.613</v>
      </c>
      <c r="L2726" s="2">
        <v>286</v>
      </c>
      <c r="M2726" s="2">
        <v>108.23399999999999</v>
      </c>
      <c r="N2726" s="2">
        <v>50</v>
      </c>
      <c r="O2726" s="2">
        <v>112.2929</v>
      </c>
      <c r="P2726" s="2">
        <v>23</v>
      </c>
      <c r="Q2726" s="2">
        <v>99.773399999999995</v>
      </c>
      <c r="R2726" s="2">
        <v>122</v>
      </c>
      <c r="S2726" s="2">
        <v>99.075699999999998</v>
      </c>
      <c r="T2726" s="2">
        <v>111</v>
      </c>
      <c r="U2726" s="2">
        <v>0.80847100000000005</v>
      </c>
      <c r="V2726" s="2">
        <v>43</v>
      </c>
      <c r="W2726" s="2">
        <v>2006</v>
      </c>
    </row>
    <row r="2727" spans="1:23" ht="12.3" hidden="1" x14ac:dyDescent="0.4">
      <c r="A2727" s="2" t="s">
        <v>258</v>
      </c>
      <c r="B2727" s="2"/>
      <c r="C2727" s="2"/>
      <c r="D2727" s="2"/>
      <c r="E2727" s="2"/>
      <c r="F2727" s="2"/>
      <c r="G2727" s="2"/>
      <c r="H2727" s="2"/>
      <c r="I2727" s="2">
        <v>68.824100000000001</v>
      </c>
      <c r="J2727" s="2">
        <v>98</v>
      </c>
      <c r="K2727" s="2">
        <v>67.943399999999997</v>
      </c>
      <c r="L2727" s="2">
        <v>137</v>
      </c>
      <c r="M2727" s="2">
        <v>109.5442</v>
      </c>
      <c r="N2727" s="2">
        <v>35</v>
      </c>
      <c r="O2727" s="2">
        <v>111.79900000000001</v>
      </c>
      <c r="P2727" s="2">
        <v>25</v>
      </c>
      <c r="Q2727" s="2">
        <v>101.6131</v>
      </c>
      <c r="R2727" s="2">
        <v>179</v>
      </c>
      <c r="S2727" s="2">
        <v>100.0338</v>
      </c>
      <c r="T2727" s="2">
        <v>141</v>
      </c>
      <c r="U2727" s="2">
        <v>0.78223500000000001</v>
      </c>
      <c r="V2727" s="2">
        <v>61</v>
      </c>
      <c r="W2727" s="2">
        <v>2010</v>
      </c>
    </row>
    <row r="2728" spans="1:23" ht="12.3" hidden="1" x14ac:dyDescent="0.4">
      <c r="A2728" s="2" t="s">
        <v>102</v>
      </c>
      <c r="B2728" s="2"/>
      <c r="C2728" s="2"/>
      <c r="D2728" s="2"/>
      <c r="E2728" s="2"/>
      <c r="F2728" s="2"/>
      <c r="G2728" s="2"/>
      <c r="H2728" s="2"/>
      <c r="I2728" s="2">
        <v>65.658799999999999</v>
      </c>
      <c r="J2728" s="2">
        <v>252</v>
      </c>
      <c r="K2728" s="2">
        <v>65.485799999999998</v>
      </c>
      <c r="L2728" s="2">
        <v>252</v>
      </c>
      <c r="M2728" s="2">
        <v>100.9855</v>
      </c>
      <c r="N2728" s="2">
        <v>178</v>
      </c>
      <c r="O2728" s="2">
        <v>104.2107</v>
      </c>
      <c r="P2728" s="2">
        <v>123</v>
      </c>
      <c r="Q2728" s="2">
        <v>98.442999999999998</v>
      </c>
      <c r="R2728" s="2">
        <v>113</v>
      </c>
      <c r="S2728" s="2">
        <v>93.598600000000005</v>
      </c>
      <c r="T2728" s="2">
        <v>38</v>
      </c>
      <c r="U2728" s="2">
        <v>0.77470799999999995</v>
      </c>
      <c r="V2728" s="2">
        <v>62</v>
      </c>
      <c r="W2728" s="2">
        <v>2010</v>
      </c>
    </row>
    <row r="2729" spans="1:23" ht="12.3" hidden="1" x14ac:dyDescent="0.4">
      <c r="A2729" s="2" t="s">
        <v>55</v>
      </c>
      <c r="B2729" s="2"/>
      <c r="C2729" s="2"/>
      <c r="D2729" s="2"/>
      <c r="E2729" s="2"/>
      <c r="F2729" s="2"/>
      <c r="G2729" s="2"/>
      <c r="H2729" s="2"/>
      <c r="I2729" s="2">
        <v>66.041700000000006</v>
      </c>
      <c r="J2729" s="2">
        <v>238</v>
      </c>
      <c r="K2729" s="2">
        <v>65.396699999999996</v>
      </c>
      <c r="L2729" s="2">
        <v>259</v>
      </c>
      <c r="M2729" s="2">
        <v>101.5583</v>
      </c>
      <c r="N2729" s="2">
        <v>163</v>
      </c>
      <c r="O2729" s="2">
        <v>104.5111</v>
      </c>
      <c r="P2729" s="2">
        <v>114</v>
      </c>
      <c r="Q2729" s="2">
        <v>97.155299999999997</v>
      </c>
      <c r="R2729" s="2">
        <v>86</v>
      </c>
      <c r="S2729" s="2">
        <v>93.906400000000005</v>
      </c>
      <c r="T2729" s="2">
        <v>43</v>
      </c>
      <c r="U2729" s="2">
        <v>0.773895</v>
      </c>
      <c r="V2729" s="2">
        <v>63</v>
      </c>
      <c r="W2729" s="2">
        <v>2010</v>
      </c>
    </row>
    <row r="2730" spans="1:23" ht="12.3" hidden="1" x14ac:dyDescent="0.4">
      <c r="A2730" s="2" t="s">
        <v>34</v>
      </c>
      <c r="B2730" s="2"/>
      <c r="C2730" s="2"/>
      <c r="D2730" s="2"/>
      <c r="E2730" s="2"/>
      <c r="F2730" s="2"/>
      <c r="G2730" s="2"/>
      <c r="H2730" s="2"/>
      <c r="I2730" s="2">
        <v>66.278300000000002</v>
      </c>
      <c r="J2730" s="2">
        <v>228</v>
      </c>
      <c r="K2730" s="2">
        <v>66.148899999999998</v>
      </c>
      <c r="L2730" s="2">
        <v>225</v>
      </c>
      <c r="M2730" s="2">
        <v>101.82850000000001</v>
      </c>
      <c r="N2730" s="2">
        <v>157</v>
      </c>
      <c r="O2730" s="2">
        <v>104.3284</v>
      </c>
      <c r="P2730" s="2">
        <v>119</v>
      </c>
      <c r="Q2730" s="2">
        <v>98.677800000000005</v>
      </c>
      <c r="R2730" s="2">
        <v>121</v>
      </c>
      <c r="S2730" s="2">
        <v>93.919399999999996</v>
      </c>
      <c r="T2730" s="2">
        <v>45</v>
      </c>
      <c r="U2730" s="2">
        <v>0.77007199999999998</v>
      </c>
      <c r="V2730" s="2">
        <v>64</v>
      </c>
      <c r="W2730" s="2">
        <v>2010</v>
      </c>
    </row>
    <row r="2731" spans="1:23" ht="12.3" hidden="1" x14ac:dyDescent="0.4">
      <c r="A2731" s="2" t="s">
        <v>168</v>
      </c>
      <c r="B2731" s="2"/>
      <c r="C2731" s="2"/>
      <c r="D2731" s="2"/>
      <c r="E2731" s="2"/>
      <c r="F2731" s="2"/>
      <c r="G2731" s="2"/>
      <c r="H2731" s="2"/>
      <c r="I2731" s="2">
        <v>73.314999999999998</v>
      </c>
      <c r="J2731" s="2">
        <v>12</v>
      </c>
      <c r="K2731" s="2">
        <v>71.573899999999995</v>
      </c>
      <c r="L2731" s="2">
        <v>25</v>
      </c>
      <c r="M2731" s="2">
        <v>101.93989999999999</v>
      </c>
      <c r="N2731" s="2">
        <v>154</v>
      </c>
      <c r="O2731" s="2">
        <v>105.07680000000001</v>
      </c>
      <c r="P2731" s="2">
        <v>104</v>
      </c>
      <c r="Q2731" s="2">
        <v>98.549199999999999</v>
      </c>
      <c r="R2731" s="2">
        <v>116</v>
      </c>
      <c r="S2731" s="2">
        <v>94.632800000000003</v>
      </c>
      <c r="T2731" s="2">
        <v>51</v>
      </c>
      <c r="U2731" s="2">
        <v>0.76921899999999999</v>
      </c>
      <c r="V2731" s="2">
        <v>65</v>
      </c>
      <c r="W2731" s="2">
        <v>2010</v>
      </c>
    </row>
    <row r="2732" spans="1:23" ht="12.3" hidden="1" x14ac:dyDescent="0.4">
      <c r="A2732" s="2" t="s">
        <v>154</v>
      </c>
      <c r="B2732" s="2"/>
      <c r="C2732" s="2"/>
      <c r="D2732" s="2"/>
      <c r="E2732" s="2"/>
      <c r="F2732" s="2"/>
      <c r="G2732" s="2"/>
      <c r="H2732" s="2"/>
      <c r="I2732" s="2">
        <v>61.998199999999997</v>
      </c>
      <c r="J2732" s="2">
        <v>331</v>
      </c>
      <c r="K2732" s="2">
        <v>62.7746</v>
      </c>
      <c r="L2732" s="2">
        <v>320</v>
      </c>
      <c r="M2732" s="2">
        <v>101.2373</v>
      </c>
      <c r="N2732" s="2">
        <v>169</v>
      </c>
      <c r="O2732" s="2">
        <v>105.8548</v>
      </c>
      <c r="P2732" s="2">
        <v>91</v>
      </c>
      <c r="Q2732" s="2">
        <v>99.563000000000002</v>
      </c>
      <c r="R2732" s="2">
        <v>134</v>
      </c>
      <c r="S2732" s="2">
        <v>95.337199999999996</v>
      </c>
      <c r="T2732" s="2">
        <v>57</v>
      </c>
      <c r="U2732" s="2">
        <v>0.76913900000000002</v>
      </c>
      <c r="V2732" s="2">
        <v>66</v>
      </c>
      <c r="W2732" s="2">
        <v>2010</v>
      </c>
    </row>
    <row r="2733" spans="1:23" ht="12.3" hidden="1" x14ac:dyDescent="0.4">
      <c r="A2733" s="2" t="s">
        <v>192</v>
      </c>
      <c r="B2733" s="2"/>
      <c r="C2733" s="2"/>
      <c r="D2733" s="2"/>
      <c r="E2733" s="2"/>
      <c r="F2733" s="2"/>
      <c r="G2733" s="2"/>
      <c r="H2733" s="2"/>
      <c r="I2733" s="2">
        <v>64.4114</v>
      </c>
      <c r="J2733" s="2">
        <v>288</v>
      </c>
      <c r="K2733" s="2">
        <v>65.473500000000001</v>
      </c>
      <c r="L2733" s="2">
        <v>253</v>
      </c>
      <c r="M2733" s="2">
        <v>106.861</v>
      </c>
      <c r="N2733" s="2">
        <v>70</v>
      </c>
      <c r="O2733" s="2">
        <v>107.7937</v>
      </c>
      <c r="P2733" s="2">
        <v>61</v>
      </c>
      <c r="Q2733" s="2">
        <v>96.850200000000001</v>
      </c>
      <c r="R2733" s="2">
        <v>78</v>
      </c>
      <c r="S2733" s="2">
        <v>97.313900000000004</v>
      </c>
      <c r="T2733" s="2">
        <v>82</v>
      </c>
      <c r="U2733" s="2">
        <v>0.76426300000000003</v>
      </c>
      <c r="V2733" s="2">
        <v>67</v>
      </c>
      <c r="W2733" s="2">
        <v>2010</v>
      </c>
    </row>
    <row r="2734" spans="1:23" ht="12.3" hidden="1" x14ac:dyDescent="0.4">
      <c r="A2734" s="2" t="s">
        <v>128</v>
      </c>
      <c r="B2734" s="2"/>
      <c r="C2734" s="2"/>
      <c r="D2734" s="2"/>
      <c r="E2734" s="2"/>
      <c r="F2734" s="2"/>
      <c r="G2734" s="2"/>
      <c r="H2734" s="2"/>
      <c r="I2734" s="2">
        <v>65.138099999999994</v>
      </c>
      <c r="J2734" s="2">
        <v>265</v>
      </c>
      <c r="K2734" s="2">
        <v>65.730699999999999</v>
      </c>
      <c r="L2734" s="2">
        <v>242</v>
      </c>
      <c r="M2734" s="2">
        <v>102.3244</v>
      </c>
      <c r="N2734" s="2">
        <v>147</v>
      </c>
      <c r="O2734" s="2">
        <v>101.9228</v>
      </c>
      <c r="P2734" s="2">
        <v>162</v>
      </c>
      <c r="Q2734" s="2">
        <v>93.043199999999999</v>
      </c>
      <c r="R2734" s="2">
        <v>29</v>
      </c>
      <c r="S2734" s="2">
        <v>92.111199999999997</v>
      </c>
      <c r="T2734" s="2">
        <v>26</v>
      </c>
      <c r="U2734" s="2">
        <v>0.76206300000000005</v>
      </c>
      <c r="V2734" s="2">
        <v>68</v>
      </c>
      <c r="W2734" s="2">
        <v>2010</v>
      </c>
    </row>
    <row r="2735" spans="1:23" ht="12.3" hidden="1" x14ac:dyDescent="0.4">
      <c r="A2735" s="2" t="s">
        <v>49</v>
      </c>
      <c r="B2735" s="2"/>
      <c r="C2735" s="2"/>
      <c r="D2735" s="2"/>
      <c r="E2735" s="2"/>
      <c r="F2735" s="2"/>
      <c r="G2735" s="2"/>
      <c r="H2735" s="2"/>
      <c r="I2735" s="2">
        <v>65.910899999999998</v>
      </c>
      <c r="J2735" s="2">
        <v>243</v>
      </c>
      <c r="K2735" s="2">
        <v>65.596199999999996</v>
      </c>
      <c r="L2735" s="2">
        <v>249</v>
      </c>
      <c r="M2735" s="2">
        <v>103.9374</v>
      </c>
      <c r="N2735" s="2">
        <v>118</v>
      </c>
      <c r="O2735" s="2">
        <v>105.2968</v>
      </c>
      <c r="P2735" s="2">
        <v>101</v>
      </c>
      <c r="Q2735" s="2">
        <v>98.062200000000004</v>
      </c>
      <c r="R2735" s="2">
        <v>105</v>
      </c>
      <c r="S2735" s="2">
        <v>95.181799999999996</v>
      </c>
      <c r="T2735" s="2">
        <v>56</v>
      </c>
      <c r="U2735" s="2">
        <v>0.76159399999999999</v>
      </c>
      <c r="V2735" s="2">
        <v>69</v>
      </c>
      <c r="W2735" s="2">
        <v>2010</v>
      </c>
    </row>
    <row r="2736" spans="1:23" ht="12.3" hidden="1" x14ac:dyDescent="0.4">
      <c r="A2736" s="2" t="s">
        <v>171</v>
      </c>
      <c r="B2736" s="2"/>
      <c r="C2736" s="2"/>
      <c r="D2736" s="2"/>
      <c r="E2736" s="2"/>
      <c r="F2736" s="2"/>
      <c r="G2736" s="2"/>
      <c r="H2736" s="2"/>
      <c r="I2736" s="2">
        <v>63.141500000000001</v>
      </c>
      <c r="J2736" s="2">
        <v>315</v>
      </c>
      <c r="K2736" s="2">
        <v>63.156100000000002</v>
      </c>
      <c r="L2736" s="2">
        <v>315</v>
      </c>
      <c r="M2736" s="2">
        <v>106.742</v>
      </c>
      <c r="N2736" s="2">
        <v>76</v>
      </c>
      <c r="O2736" s="2">
        <v>106.2551</v>
      </c>
      <c r="P2736" s="2">
        <v>84</v>
      </c>
      <c r="Q2736" s="2">
        <v>96.158100000000005</v>
      </c>
      <c r="R2736" s="2">
        <v>62</v>
      </c>
      <c r="S2736" s="2">
        <v>96.388199999999998</v>
      </c>
      <c r="T2736" s="2">
        <v>68</v>
      </c>
      <c r="U2736" s="2">
        <v>0.75413399999999997</v>
      </c>
      <c r="V2736" s="2">
        <v>70</v>
      </c>
      <c r="W2736" s="2">
        <v>2010</v>
      </c>
    </row>
    <row r="2737" spans="1:23" ht="12.3" x14ac:dyDescent="0.4">
      <c r="A2737" s="2" t="s">
        <v>289</v>
      </c>
      <c r="B2737" s="2">
        <v>9</v>
      </c>
      <c r="C2737" s="4" t="s">
        <v>33</v>
      </c>
      <c r="D2737" s="2"/>
      <c r="E2737" s="2"/>
      <c r="F2737" s="2"/>
      <c r="G2737" s="2"/>
      <c r="H2737" s="2"/>
      <c r="I2737" s="2">
        <v>63.104399999999998</v>
      </c>
      <c r="J2737" s="2">
        <v>299</v>
      </c>
      <c r="K2737" s="2">
        <v>63.7286</v>
      </c>
      <c r="L2737" s="2">
        <v>282</v>
      </c>
      <c r="M2737" s="2">
        <v>104.6627</v>
      </c>
      <c r="N2737" s="2">
        <v>114</v>
      </c>
      <c r="O2737" s="2">
        <v>104.5399</v>
      </c>
      <c r="P2737" s="2">
        <v>113</v>
      </c>
      <c r="Q2737" s="2">
        <v>87.608000000000004</v>
      </c>
      <c r="R2737" s="2">
        <v>1</v>
      </c>
      <c r="S2737" s="2">
        <v>92.448899999999995</v>
      </c>
      <c r="T2737" s="2">
        <v>22</v>
      </c>
      <c r="U2737" s="2">
        <v>0.80431699999999995</v>
      </c>
      <c r="V2737" s="2">
        <v>45</v>
      </c>
      <c r="W2737" s="2">
        <v>2006</v>
      </c>
    </row>
    <row r="2738" spans="1:23" ht="12.3" hidden="1" x14ac:dyDescent="0.4">
      <c r="A2738" s="2" t="s">
        <v>197</v>
      </c>
      <c r="B2738" s="2"/>
      <c r="C2738" s="2"/>
      <c r="D2738" s="2"/>
      <c r="E2738" s="2"/>
      <c r="F2738" s="2"/>
      <c r="G2738" s="2"/>
      <c r="H2738" s="2"/>
      <c r="I2738" s="2">
        <v>69.516099999999994</v>
      </c>
      <c r="J2738" s="2">
        <v>76</v>
      </c>
      <c r="K2738" s="2">
        <v>70.095699999999994</v>
      </c>
      <c r="L2738" s="2">
        <v>53</v>
      </c>
      <c r="M2738" s="2">
        <v>108.1915</v>
      </c>
      <c r="N2738" s="2">
        <v>52</v>
      </c>
      <c r="O2738" s="2">
        <v>107.869</v>
      </c>
      <c r="P2738" s="2">
        <v>60</v>
      </c>
      <c r="Q2738" s="2">
        <v>98.383700000000005</v>
      </c>
      <c r="R2738" s="2">
        <v>110</v>
      </c>
      <c r="S2738" s="2">
        <v>98.074399999999997</v>
      </c>
      <c r="T2738" s="2">
        <v>101</v>
      </c>
      <c r="U2738" s="2">
        <v>0.74926599999999999</v>
      </c>
      <c r="V2738" s="2">
        <v>72</v>
      </c>
      <c r="W2738" s="2">
        <v>2010</v>
      </c>
    </row>
    <row r="2739" spans="1:23" ht="12.3" hidden="1" x14ac:dyDescent="0.4">
      <c r="A2739" s="2" t="s">
        <v>103</v>
      </c>
      <c r="B2739" s="2"/>
      <c r="C2739" s="2"/>
      <c r="D2739" s="2"/>
      <c r="E2739" s="2"/>
      <c r="F2739" s="2"/>
      <c r="G2739" s="2"/>
      <c r="H2739" s="2"/>
      <c r="I2739" s="2">
        <v>64.944800000000001</v>
      </c>
      <c r="J2739" s="2">
        <v>271</v>
      </c>
      <c r="K2739" s="2">
        <v>65.159599999999998</v>
      </c>
      <c r="L2739" s="2">
        <v>270</v>
      </c>
      <c r="M2739" s="2">
        <v>103.3875</v>
      </c>
      <c r="N2739" s="2">
        <v>127</v>
      </c>
      <c r="O2739" s="2">
        <v>106.65560000000001</v>
      </c>
      <c r="P2739" s="2">
        <v>79</v>
      </c>
      <c r="Q2739" s="2">
        <v>101.07299999999999</v>
      </c>
      <c r="R2739" s="2">
        <v>166</v>
      </c>
      <c r="S2739" s="2">
        <v>97.081999999999994</v>
      </c>
      <c r="T2739" s="2">
        <v>77</v>
      </c>
      <c r="U2739" s="2">
        <v>0.74678900000000004</v>
      </c>
      <c r="V2739" s="2">
        <v>73</v>
      </c>
      <c r="W2739" s="2">
        <v>2010</v>
      </c>
    </row>
    <row r="2740" spans="1:23" ht="12.3" hidden="1" x14ac:dyDescent="0.4">
      <c r="A2740" s="2" t="s">
        <v>308</v>
      </c>
      <c r="B2740" s="2"/>
      <c r="C2740" s="2"/>
      <c r="D2740" s="2"/>
      <c r="E2740" s="2"/>
      <c r="F2740" s="2"/>
      <c r="G2740" s="2"/>
      <c r="H2740" s="2"/>
      <c r="I2740" s="2">
        <v>61.8157</v>
      </c>
      <c r="J2740" s="2">
        <v>333</v>
      </c>
      <c r="K2740" s="2">
        <v>61.903799999999997</v>
      </c>
      <c r="L2740" s="2">
        <v>329</v>
      </c>
      <c r="M2740" s="2">
        <v>103.5192</v>
      </c>
      <c r="N2740" s="2">
        <v>123</v>
      </c>
      <c r="O2740" s="2">
        <v>103.1118</v>
      </c>
      <c r="P2740" s="2">
        <v>143</v>
      </c>
      <c r="Q2740" s="2">
        <v>95.987799999999993</v>
      </c>
      <c r="R2740" s="2">
        <v>59</v>
      </c>
      <c r="S2740" s="2">
        <v>93.869399999999999</v>
      </c>
      <c r="T2740" s="2">
        <v>40</v>
      </c>
      <c r="U2740" s="2">
        <v>0.74648599999999998</v>
      </c>
      <c r="V2740" s="2">
        <v>74</v>
      </c>
      <c r="W2740" s="2">
        <v>2010</v>
      </c>
    </row>
    <row r="2741" spans="1:23" ht="12.3" hidden="1" x14ac:dyDescent="0.4">
      <c r="A2741" s="2" t="s">
        <v>95</v>
      </c>
      <c r="B2741" s="2"/>
      <c r="C2741" s="2"/>
      <c r="D2741" s="2"/>
      <c r="E2741" s="2"/>
      <c r="F2741" s="2"/>
      <c r="G2741" s="2"/>
      <c r="H2741" s="2"/>
      <c r="I2741" s="2">
        <v>66.084699999999998</v>
      </c>
      <c r="J2741" s="2">
        <v>236</v>
      </c>
      <c r="K2741" s="2">
        <v>65.783500000000004</v>
      </c>
      <c r="L2741" s="2">
        <v>239</v>
      </c>
      <c r="M2741" s="2">
        <v>104.53660000000001</v>
      </c>
      <c r="N2741" s="2">
        <v>101</v>
      </c>
      <c r="O2741" s="2">
        <v>108.7086</v>
      </c>
      <c r="P2741" s="2">
        <v>50</v>
      </c>
      <c r="Q2741" s="2">
        <v>100.1978</v>
      </c>
      <c r="R2741" s="2">
        <v>146</v>
      </c>
      <c r="S2741" s="2">
        <v>99.048500000000004</v>
      </c>
      <c r="T2741" s="2">
        <v>121</v>
      </c>
      <c r="U2741" s="2">
        <v>0.74463599999999996</v>
      </c>
      <c r="V2741" s="2">
        <v>75</v>
      </c>
      <c r="W2741" s="2">
        <v>2010</v>
      </c>
    </row>
    <row r="2742" spans="1:23" ht="12.3" hidden="1" x14ac:dyDescent="0.4">
      <c r="A2742" s="2" t="s">
        <v>290</v>
      </c>
      <c r="B2742" s="2"/>
      <c r="C2742" s="2"/>
      <c r="D2742" s="2"/>
      <c r="E2742" s="2"/>
      <c r="F2742" s="2"/>
      <c r="G2742" s="2"/>
      <c r="H2742" s="2"/>
      <c r="I2742" s="2">
        <v>64.806200000000004</v>
      </c>
      <c r="J2742" s="2">
        <v>279</v>
      </c>
      <c r="K2742" s="2">
        <v>64.429900000000004</v>
      </c>
      <c r="L2742" s="2">
        <v>287</v>
      </c>
      <c r="M2742" s="2">
        <v>108.8621</v>
      </c>
      <c r="N2742" s="2">
        <v>44</v>
      </c>
      <c r="O2742" s="2">
        <v>107.87820000000001</v>
      </c>
      <c r="P2742" s="2">
        <v>59</v>
      </c>
      <c r="Q2742" s="2">
        <v>100.6147</v>
      </c>
      <c r="R2742" s="2">
        <v>153</v>
      </c>
      <c r="S2742" s="2">
        <v>98.489000000000004</v>
      </c>
      <c r="T2742" s="2">
        <v>109</v>
      </c>
      <c r="U2742" s="2">
        <v>0.74023000000000005</v>
      </c>
      <c r="V2742" s="2">
        <v>76</v>
      </c>
      <c r="W2742" s="2">
        <v>2010</v>
      </c>
    </row>
    <row r="2743" spans="1:23" ht="12.3" hidden="1" x14ac:dyDescent="0.4">
      <c r="A2743" s="2" t="s">
        <v>42</v>
      </c>
      <c r="B2743" s="2"/>
      <c r="C2743" s="2"/>
      <c r="D2743" s="2"/>
      <c r="E2743" s="2"/>
      <c r="F2743" s="2"/>
      <c r="G2743" s="2"/>
      <c r="H2743" s="2"/>
      <c r="I2743" s="2">
        <v>63.4833</v>
      </c>
      <c r="J2743" s="2">
        <v>310</v>
      </c>
      <c r="K2743" s="2">
        <v>63.584699999999998</v>
      </c>
      <c r="L2743" s="2">
        <v>308</v>
      </c>
      <c r="M2743" s="2">
        <v>92.990700000000004</v>
      </c>
      <c r="N2743" s="2">
        <v>304</v>
      </c>
      <c r="O2743" s="2">
        <v>94.013599999999997</v>
      </c>
      <c r="P2743" s="2">
        <v>286</v>
      </c>
      <c r="Q2743" s="2">
        <v>89.099299999999999</v>
      </c>
      <c r="R2743" s="2">
        <v>3</v>
      </c>
      <c r="S2743" s="2">
        <v>86.181200000000004</v>
      </c>
      <c r="T2743" s="2">
        <v>1</v>
      </c>
      <c r="U2743" s="2">
        <v>0.731128</v>
      </c>
      <c r="V2743" s="2">
        <v>77</v>
      </c>
      <c r="W2743" s="2">
        <v>2010</v>
      </c>
    </row>
    <row r="2744" spans="1:23" ht="12.3" hidden="1" x14ac:dyDescent="0.4">
      <c r="A2744" s="2" t="s">
        <v>146</v>
      </c>
      <c r="B2744" s="2"/>
      <c r="C2744" s="2"/>
      <c r="D2744" s="2"/>
      <c r="E2744" s="2"/>
      <c r="F2744" s="2"/>
      <c r="G2744" s="2"/>
      <c r="H2744" s="2"/>
      <c r="I2744" s="2">
        <v>69.502099999999999</v>
      </c>
      <c r="J2744" s="2">
        <v>77</v>
      </c>
      <c r="K2744" s="2">
        <v>68.995400000000004</v>
      </c>
      <c r="L2744" s="2">
        <v>85</v>
      </c>
      <c r="M2744" s="2">
        <v>102.9419</v>
      </c>
      <c r="N2744" s="2">
        <v>138</v>
      </c>
      <c r="O2744" s="2">
        <v>104.4837</v>
      </c>
      <c r="P2744" s="2">
        <v>116</v>
      </c>
      <c r="Q2744" s="2">
        <v>100.22150000000001</v>
      </c>
      <c r="R2744" s="2">
        <v>148</v>
      </c>
      <c r="S2744" s="2">
        <v>95.783299999999997</v>
      </c>
      <c r="T2744" s="2">
        <v>63</v>
      </c>
      <c r="U2744" s="2">
        <v>0.73102699999999998</v>
      </c>
      <c r="V2744" s="2">
        <v>78</v>
      </c>
      <c r="W2744" s="2">
        <v>2010</v>
      </c>
    </row>
    <row r="2745" spans="1:23" ht="12.3" hidden="1" x14ac:dyDescent="0.4">
      <c r="A2745" s="2" t="s">
        <v>124</v>
      </c>
      <c r="B2745" s="2"/>
      <c r="C2745" s="2"/>
      <c r="D2745" s="2"/>
      <c r="E2745" s="2"/>
      <c r="F2745" s="2"/>
      <c r="G2745" s="2"/>
      <c r="H2745" s="2"/>
      <c r="I2745" s="2">
        <v>63.208199999999998</v>
      </c>
      <c r="J2745" s="2">
        <v>314</v>
      </c>
      <c r="K2745" s="2">
        <v>64.148600000000002</v>
      </c>
      <c r="L2745" s="2">
        <v>291</v>
      </c>
      <c r="M2745" s="2">
        <v>108.3959</v>
      </c>
      <c r="N2745" s="2">
        <v>48</v>
      </c>
      <c r="O2745" s="2">
        <v>112.1739</v>
      </c>
      <c r="P2745" s="2">
        <v>23</v>
      </c>
      <c r="Q2745" s="2">
        <v>102.777</v>
      </c>
      <c r="R2745" s="2">
        <v>205</v>
      </c>
      <c r="S2745" s="2">
        <v>103.1181</v>
      </c>
      <c r="T2745" s="2">
        <v>208</v>
      </c>
      <c r="U2745" s="2">
        <v>0.72472300000000001</v>
      </c>
      <c r="V2745" s="2">
        <v>79</v>
      </c>
      <c r="W2745" s="2">
        <v>2010</v>
      </c>
    </row>
    <row r="2746" spans="1:23" ht="12.3" hidden="1" x14ac:dyDescent="0.4">
      <c r="A2746" s="2" t="s">
        <v>87</v>
      </c>
      <c r="B2746" s="2"/>
      <c r="C2746" s="2"/>
      <c r="D2746" s="2"/>
      <c r="E2746" s="2"/>
      <c r="F2746" s="2"/>
      <c r="G2746" s="2"/>
      <c r="H2746" s="2"/>
      <c r="I2746" s="2">
        <v>63.574800000000003</v>
      </c>
      <c r="J2746" s="2">
        <v>307</v>
      </c>
      <c r="K2746" s="2">
        <v>62.8645</v>
      </c>
      <c r="L2746" s="2">
        <v>318</v>
      </c>
      <c r="M2746" s="2">
        <v>102.3404</v>
      </c>
      <c r="N2746" s="2">
        <v>146</v>
      </c>
      <c r="O2746" s="2">
        <v>105.023</v>
      </c>
      <c r="P2746" s="2">
        <v>107</v>
      </c>
      <c r="Q2746" s="2">
        <v>99.203199999999995</v>
      </c>
      <c r="R2746" s="2">
        <v>128</v>
      </c>
      <c r="S2746" s="2">
        <v>96.592200000000005</v>
      </c>
      <c r="T2746" s="2">
        <v>70</v>
      </c>
      <c r="U2746" s="2">
        <v>0.72358800000000001</v>
      </c>
      <c r="V2746" s="2">
        <v>80</v>
      </c>
      <c r="W2746" s="2">
        <v>2010</v>
      </c>
    </row>
    <row r="2747" spans="1:23" ht="12.3" hidden="1" x14ac:dyDescent="0.4">
      <c r="A2747" s="2" t="s">
        <v>53</v>
      </c>
      <c r="B2747" s="2"/>
      <c r="C2747" s="2"/>
      <c r="D2747" s="2"/>
      <c r="E2747" s="2"/>
      <c r="F2747" s="2"/>
      <c r="G2747" s="2"/>
      <c r="H2747" s="2"/>
      <c r="I2747" s="2">
        <v>67.264600000000002</v>
      </c>
      <c r="J2747" s="2">
        <v>180</v>
      </c>
      <c r="K2747" s="2">
        <v>68.286500000000004</v>
      </c>
      <c r="L2747" s="2">
        <v>123</v>
      </c>
      <c r="M2747" s="2">
        <v>104.2225</v>
      </c>
      <c r="N2747" s="2">
        <v>109</v>
      </c>
      <c r="O2747" s="2">
        <v>104.7728</v>
      </c>
      <c r="P2747" s="2">
        <v>109</v>
      </c>
      <c r="Q2747" s="2">
        <v>96.361400000000003</v>
      </c>
      <c r="R2747" s="2">
        <v>66</v>
      </c>
      <c r="S2747" s="2">
        <v>96.605900000000005</v>
      </c>
      <c r="T2747" s="2">
        <v>71</v>
      </c>
      <c r="U2747" s="2">
        <v>0.71773799999999999</v>
      </c>
      <c r="V2747" s="2">
        <v>81</v>
      </c>
      <c r="W2747" s="2">
        <v>2010</v>
      </c>
    </row>
    <row r="2748" spans="1:23" ht="12.3" hidden="1" x14ac:dyDescent="0.4">
      <c r="A2748" s="2" t="s">
        <v>164</v>
      </c>
      <c r="B2748" s="2"/>
      <c r="C2748" s="2"/>
      <c r="D2748" s="2"/>
      <c r="E2748" s="2"/>
      <c r="F2748" s="2"/>
      <c r="G2748" s="2"/>
      <c r="H2748" s="2"/>
      <c r="I2748" s="2">
        <v>65.180899999999994</v>
      </c>
      <c r="J2748" s="2">
        <v>263</v>
      </c>
      <c r="K2748" s="2">
        <v>66.133700000000005</v>
      </c>
      <c r="L2748" s="2">
        <v>226</v>
      </c>
      <c r="M2748" s="2">
        <v>106.807</v>
      </c>
      <c r="N2748" s="2">
        <v>73</v>
      </c>
      <c r="O2748" s="2">
        <v>105.9149</v>
      </c>
      <c r="P2748" s="2">
        <v>88</v>
      </c>
      <c r="Q2748" s="2">
        <v>98.334599999999995</v>
      </c>
      <c r="R2748" s="2">
        <v>109</v>
      </c>
      <c r="S2748" s="2">
        <v>97.906999999999996</v>
      </c>
      <c r="T2748" s="2">
        <v>95</v>
      </c>
      <c r="U2748" s="2">
        <v>0.71179300000000001</v>
      </c>
      <c r="V2748" s="2">
        <v>82</v>
      </c>
      <c r="W2748" s="2">
        <v>2010</v>
      </c>
    </row>
    <row r="2749" spans="1:23" ht="12.3" hidden="1" x14ac:dyDescent="0.4">
      <c r="A2749" s="2" t="s">
        <v>69</v>
      </c>
      <c r="B2749" s="2"/>
      <c r="C2749" s="2"/>
      <c r="D2749" s="2"/>
      <c r="E2749" s="2"/>
      <c r="F2749" s="2"/>
      <c r="G2749" s="2"/>
      <c r="H2749" s="2"/>
      <c r="I2749" s="2">
        <v>67.388599999999997</v>
      </c>
      <c r="J2749" s="2">
        <v>175</v>
      </c>
      <c r="K2749" s="2">
        <v>67.082899999999995</v>
      </c>
      <c r="L2749" s="2">
        <v>183</v>
      </c>
      <c r="M2749" s="2">
        <v>105.7213</v>
      </c>
      <c r="N2749" s="2">
        <v>90</v>
      </c>
      <c r="O2749" s="2">
        <v>105.2381</v>
      </c>
      <c r="P2749" s="2">
        <v>102</v>
      </c>
      <c r="Q2749" s="2">
        <v>97.318799999999996</v>
      </c>
      <c r="R2749" s="2">
        <v>89</v>
      </c>
      <c r="S2749" s="2">
        <v>97.289299999999997</v>
      </c>
      <c r="T2749" s="2">
        <v>80</v>
      </c>
      <c r="U2749" s="2">
        <v>0.71160100000000004</v>
      </c>
      <c r="V2749" s="2">
        <v>83</v>
      </c>
      <c r="W2749" s="2">
        <v>2010</v>
      </c>
    </row>
    <row r="2750" spans="1:23" ht="12.3" hidden="1" x14ac:dyDescent="0.4">
      <c r="A2750" s="2" t="s">
        <v>59</v>
      </c>
      <c r="B2750" s="2"/>
      <c r="C2750" s="2"/>
      <c r="D2750" s="2"/>
      <c r="E2750" s="2"/>
      <c r="F2750" s="2"/>
      <c r="G2750" s="2"/>
      <c r="H2750" s="2"/>
      <c r="I2750" s="2">
        <v>73.121499999999997</v>
      </c>
      <c r="J2750" s="2">
        <v>14</v>
      </c>
      <c r="K2750" s="2">
        <v>72.656099999999995</v>
      </c>
      <c r="L2750" s="2">
        <v>15</v>
      </c>
      <c r="M2750" s="2">
        <v>102.69329999999999</v>
      </c>
      <c r="N2750" s="2">
        <v>142</v>
      </c>
      <c r="O2750" s="2">
        <v>105.82170000000001</v>
      </c>
      <c r="P2750" s="2">
        <v>95</v>
      </c>
      <c r="Q2750" s="2">
        <v>102.7099</v>
      </c>
      <c r="R2750" s="2">
        <v>202</v>
      </c>
      <c r="S2750" s="2">
        <v>97.874399999999994</v>
      </c>
      <c r="T2750" s="2">
        <v>93</v>
      </c>
      <c r="U2750" s="2">
        <v>0.71050000000000002</v>
      </c>
      <c r="V2750" s="2">
        <v>84</v>
      </c>
      <c r="W2750" s="2">
        <v>2010</v>
      </c>
    </row>
    <row r="2751" spans="1:23" ht="12.3" hidden="1" x14ac:dyDescent="0.4">
      <c r="A2751" s="2" t="s">
        <v>120</v>
      </c>
      <c r="B2751" s="2"/>
      <c r="C2751" s="2"/>
      <c r="D2751" s="2"/>
      <c r="E2751" s="2"/>
      <c r="F2751" s="2"/>
      <c r="G2751" s="2"/>
      <c r="H2751" s="2"/>
      <c r="I2751" s="2">
        <v>74.244900000000001</v>
      </c>
      <c r="J2751" s="2">
        <v>8</v>
      </c>
      <c r="K2751" s="2">
        <v>74.820700000000002</v>
      </c>
      <c r="L2751" s="2">
        <v>5</v>
      </c>
      <c r="M2751" s="2">
        <v>110.3569</v>
      </c>
      <c r="N2751" s="2">
        <v>29</v>
      </c>
      <c r="O2751" s="2">
        <v>114.97069999999999</v>
      </c>
      <c r="P2751" s="2">
        <v>13</v>
      </c>
      <c r="Q2751" s="2">
        <v>110.4619</v>
      </c>
      <c r="R2751" s="2">
        <v>337</v>
      </c>
      <c r="S2751" s="2">
        <v>106.4256</v>
      </c>
      <c r="T2751" s="2">
        <v>277</v>
      </c>
      <c r="U2751" s="2">
        <v>0.70851200000000003</v>
      </c>
      <c r="V2751" s="2">
        <v>85</v>
      </c>
      <c r="W2751" s="2">
        <v>2010</v>
      </c>
    </row>
    <row r="2752" spans="1:23" ht="12.3" hidden="1" x14ac:dyDescent="0.4">
      <c r="A2752" s="2" t="s">
        <v>22</v>
      </c>
      <c r="B2752" s="2"/>
      <c r="C2752" s="2"/>
      <c r="D2752" s="2"/>
      <c r="E2752" s="2"/>
      <c r="F2752" s="2"/>
      <c r="G2752" s="2"/>
      <c r="H2752" s="2"/>
      <c r="I2752" s="2">
        <v>64.739400000000003</v>
      </c>
      <c r="J2752" s="2">
        <v>282</v>
      </c>
      <c r="K2752" s="2">
        <v>65.727400000000003</v>
      </c>
      <c r="L2752" s="2">
        <v>243</v>
      </c>
      <c r="M2752" s="2">
        <v>108.59229999999999</v>
      </c>
      <c r="N2752" s="2">
        <v>46</v>
      </c>
      <c r="O2752" s="2">
        <v>108.63809999999999</v>
      </c>
      <c r="P2752" s="2">
        <v>51</v>
      </c>
      <c r="Q2752" s="2">
        <v>100.7009</v>
      </c>
      <c r="R2752" s="2">
        <v>155</v>
      </c>
      <c r="S2752" s="2">
        <v>100.5737</v>
      </c>
      <c r="T2752" s="2">
        <v>152</v>
      </c>
      <c r="U2752" s="2">
        <v>0.70827300000000004</v>
      </c>
      <c r="V2752" s="2">
        <v>86</v>
      </c>
      <c r="W2752" s="2">
        <v>2010</v>
      </c>
    </row>
    <row r="2753" spans="1:23" ht="12.3" x14ac:dyDescent="0.4">
      <c r="A2753" s="2" t="s">
        <v>204</v>
      </c>
      <c r="B2753" s="2">
        <v>13</v>
      </c>
      <c r="C2753" s="2"/>
      <c r="D2753" s="2"/>
      <c r="E2753" s="2"/>
      <c r="F2753" s="2"/>
      <c r="G2753" s="2"/>
      <c r="H2753" s="2"/>
      <c r="I2753" s="2">
        <v>57.043799999999997</v>
      </c>
      <c r="J2753" s="2">
        <v>332</v>
      </c>
      <c r="K2753" s="2">
        <v>55.973199999999999</v>
      </c>
      <c r="L2753" s="2">
        <v>333</v>
      </c>
      <c r="M2753" s="2">
        <v>111.56699999999999</v>
      </c>
      <c r="N2753" s="2">
        <v>15</v>
      </c>
      <c r="O2753" s="2">
        <v>109.8233</v>
      </c>
      <c r="P2753" s="2">
        <v>40</v>
      </c>
      <c r="Q2753" s="2">
        <v>95.624099999999999</v>
      </c>
      <c r="R2753" s="2">
        <v>47</v>
      </c>
      <c r="S2753" s="2">
        <v>97.1721</v>
      </c>
      <c r="T2753" s="2">
        <v>81</v>
      </c>
      <c r="U2753" s="2">
        <v>0.80336799999999997</v>
      </c>
      <c r="V2753" s="2">
        <v>46</v>
      </c>
      <c r="W2753" s="2">
        <v>2006</v>
      </c>
    </row>
    <row r="2754" spans="1:23" ht="12.3" hidden="1" x14ac:dyDescent="0.4">
      <c r="A2754" s="2" t="s">
        <v>175</v>
      </c>
      <c r="B2754" s="2"/>
      <c r="C2754" s="2"/>
      <c r="D2754" s="2"/>
      <c r="E2754" s="2"/>
      <c r="F2754" s="2"/>
      <c r="G2754" s="2"/>
      <c r="H2754" s="2"/>
      <c r="I2754" s="2">
        <v>62.4983</v>
      </c>
      <c r="J2754" s="2">
        <v>324</v>
      </c>
      <c r="K2754" s="2">
        <v>62.048000000000002</v>
      </c>
      <c r="L2754" s="2">
        <v>327</v>
      </c>
      <c r="M2754" s="2">
        <v>100.60680000000001</v>
      </c>
      <c r="N2754" s="2">
        <v>184</v>
      </c>
      <c r="O2754" s="2">
        <v>102.0561</v>
      </c>
      <c r="P2754" s="2">
        <v>159</v>
      </c>
      <c r="Q2754" s="2">
        <v>95.926699999999997</v>
      </c>
      <c r="R2754" s="2">
        <v>56</v>
      </c>
      <c r="S2754" s="2">
        <v>94.608400000000003</v>
      </c>
      <c r="T2754" s="2">
        <v>50</v>
      </c>
      <c r="U2754" s="2">
        <v>0.70504299999999998</v>
      </c>
      <c r="V2754" s="2">
        <v>88</v>
      </c>
      <c r="W2754" s="2">
        <v>2010</v>
      </c>
    </row>
    <row r="2755" spans="1:23" ht="12.3" hidden="1" x14ac:dyDescent="0.4">
      <c r="A2755" s="2" t="s">
        <v>145</v>
      </c>
      <c r="B2755" s="2"/>
      <c r="C2755" s="2"/>
      <c r="D2755" s="2"/>
      <c r="E2755" s="2"/>
      <c r="F2755" s="2"/>
      <c r="G2755" s="2"/>
      <c r="H2755" s="2"/>
      <c r="I2755" s="2">
        <v>70.222499999999997</v>
      </c>
      <c r="J2755" s="2">
        <v>59</v>
      </c>
      <c r="K2755" s="2">
        <v>69.588800000000006</v>
      </c>
      <c r="L2755" s="2">
        <v>64</v>
      </c>
      <c r="M2755" s="2">
        <v>111.6764</v>
      </c>
      <c r="N2755" s="2">
        <v>20</v>
      </c>
      <c r="O2755" s="2">
        <v>110.7499</v>
      </c>
      <c r="P2755" s="2">
        <v>37</v>
      </c>
      <c r="Q2755" s="2">
        <v>106.03570000000001</v>
      </c>
      <c r="R2755" s="2">
        <v>284</v>
      </c>
      <c r="S2755" s="2">
        <v>102.691</v>
      </c>
      <c r="T2755" s="2">
        <v>193</v>
      </c>
      <c r="U2755" s="2">
        <v>0.70450000000000002</v>
      </c>
      <c r="V2755" s="2">
        <v>89</v>
      </c>
      <c r="W2755" s="2">
        <v>2010</v>
      </c>
    </row>
    <row r="2756" spans="1:23" ht="12.3" hidden="1" x14ac:dyDescent="0.4">
      <c r="A2756" s="2" t="s">
        <v>116</v>
      </c>
      <c r="B2756" s="2"/>
      <c r="C2756" s="2"/>
      <c r="D2756" s="2"/>
      <c r="E2756" s="2"/>
      <c r="F2756" s="2"/>
      <c r="G2756" s="2"/>
      <c r="H2756" s="2"/>
      <c r="I2756" s="2">
        <v>63.268500000000003</v>
      </c>
      <c r="J2756" s="2">
        <v>313</v>
      </c>
      <c r="K2756" s="2">
        <v>62.889299999999999</v>
      </c>
      <c r="L2756" s="2">
        <v>317</v>
      </c>
      <c r="M2756" s="2">
        <v>97.592500000000001</v>
      </c>
      <c r="N2756" s="2">
        <v>238</v>
      </c>
      <c r="O2756" s="2">
        <v>99.148799999999994</v>
      </c>
      <c r="P2756" s="2">
        <v>199</v>
      </c>
      <c r="Q2756" s="2">
        <v>92.680800000000005</v>
      </c>
      <c r="R2756" s="2">
        <v>26</v>
      </c>
      <c r="S2756" s="2">
        <v>92.057599999999994</v>
      </c>
      <c r="T2756" s="2">
        <v>24</v>
      </c>
      <c r="U2756" s="2">
        <v>0.70127499999999998</v>
      </c>
      <c r="V2756" s="2">
        <v>90</v>
      </c>
      <c r="W2756" s="2">
        <v>2010</v>
      </c>
    </row>
    <row r="2757" spans="1:23" ht="12.3" hidden="1" x14ac:dyDescent="0.4">
      <c r="A2757" s="2" t="s">
        <v>19</v>
      </c>
      <c r="B2757" s="2"/>
      <c r="C2757" s="2"/>
      <c r="D2757" s="2"/>
      <c r="E2757" s="2"/>
      <c r="F2757" s="2"/>
      <c r="G2757" s="2"/>
      <c r="H2757" s="2"/>
      <c r="I2757" s="2">
        <v>66.495199999999997</v>
      </c>
      <c r="J2757" s="2">
        <v>221</v>
      </c>
      <c r="K2757" s="2">
        <v>65.657799999999995</v>
      </c>
      <c r="L2757" s="2">
        <v>244</v>
      </c>
      <c r="M2757" s="2">
        <v>102.6797</v>
      </c>
      <c r="N2757" s="2">
        <v>143</v>
      </c>
      <c r="O2757" s="2">
        <v>107.8934</v>
      </c>
      <c r="P2757" s="2">
        <v>57</v>
      </c>
      <c r="Q2757" s="2">
        <v>103.8411</v>
      </c>
      <c r="R2757" s="2">
        <v>239</v>
      </c>
      <c r="S2757" s="2">
        <v>100.19580000000001</v>
      </c>
      <c r="T2757" s="2">
        <v>145</v>
      </c>
      <c r="U2757" s="2">
        <v>0.70081899999999997</v>
      </c>
      <c r="V2757" s="2">
        <v>91</v>
      </c>
      <c r="W2757" s="2">
        <v>2010</v>
      </c>
    </row>
    <row r="2758" spans="1:23" ht="12.3" hidden="1" x14ac:dyDescent="0.4">
      <c r="A2758" s="2" t="s">
        <v>63</v>
      </c>
      <c r="B2758" s="2"/>
      <c r="C2758" s="2"/>
      <c r="D2758" s="2"/>
      <c r="E2758" s="2"/>
      <c r="F2758" s="2"/>
      <c r="G2758" s="2"/>
      <c r="H2758" s="2"/>
      <c r="I2758" s="2">
        <v>69.522599999999997</v>
      </c>
      <c r="J2758" s="2">
        <v>75</v>
      </c>
      <c r="K2758" s="2">
        <v>68.454999999999998</v>
      </c>
      <c r="L2758" s="2">
        <v>114</v>
      </c>
      <c r="M2758" s="2">
        <v>104.7504</v>
      </c>
      <c r="N2758" s="2">
        <v>97</v>
      </c>
      <c r="O2758" s="2">
        <v>106.5646</v>
      </c>
      <c r="P2758" s="2">
        <v>80</v>
      </c>
      <c r="Q2758" s="2">
        <v>101.5471</v>
      </c>
      <c r="R2758" s="2">
        <v>178</v>
      </c>
      <c r="S2758" s="2">
        <v>99.041399999999996</v>
      </c>
      <c r="T2758" s="2">
        <v>120</v>
      </c>
      <c r="U2758" s="2">
        <v>0.69887600000000005</v>
      </c>
      <c r="V2758" s="2">
        <v>92</v>
      </c>
      <c r="W2758" s="2">
        <v>2010</v>
      </c>
    </row>
    <row r="2759" spans="1:23" ht="12.3" x14ac:dyDescent="0.4">
      <c r="A2759" s="2" t="s">
        <v>47</v>
      </c>
      <c r="B2759" s="2">
        <v>3</v>
      </c>
      <c r="C2759" s="3" t="s">
        <v>33</v>
      </c>
      <c r="D2759" s="4" t="s">
        <v>33</v>
      </c>
      <c r="E2759" s="2"/>
      <c r="F2759" s="2"/>
      <c r="G2759" s="2"/>
      <c r="H2759" s="2"/>
      <c r="I2759" s="2">
        <v>68.882400000000004</v>
      </c>
      <c r="J2759" s="2">
        <v>99</v>
      </c>
      <c r="K2759" s="2">
        <v>67.734399999999994</v>
      </c>
      <c r="L2759" s="2">
        <v>127</v>
      </c>
      <c r="M2759" s="2">
        <v>114.09650000000001</v>
      </c>
      <c r="N2759" s="2">
        <v>3</v>
      </c>
      <c r="O2759" s="2">
        <v>116.2731</v>
      </c>
      <c r="P2759" s="2">
        <v>5</v>
      </c>
      <c r="Q2759" s="2">
        <v>103.1721</v>
      </c>
      <c r="R2759" s="2">
        <v>200</v>
      </c>
      <c r="S2759" s="2">
        <v>103.0651</v>
      </c>
      <c r="T2759" s="2">
        <v>186</v>
      </c>
      <c r="U2759" s="2">
        <v>0.80006100000000002</v>
      </c>
      <c r="V2759" s="2">
        <v>47</v>
      </c>
      <c r="W2759" s="2">
        <v>2006</v>
      </c>
    </row>
    <row r="2760" spans="1:23" ht="12.3" hidden="1" x14ac:dyDescent="0.4">
      <c r="A2760" s="2" t="s">
        <v>43</v>
      </c>
      <c r="B2760" s="2"/>
      <c r="C2760" s="2"/>
      <c r="D2760" s="2"/>
      <c r="E2760" s="2"/>
      <c r="F2760" s="2"/>
      <c r="G2760" s="2"/>
      <c r="H2760" s="2"/>
      <c r="I2760" s="2">
        <v>68.665400000000005</v>
      </c>
      <c r="J2760" s="2">
        <v>112</v>
      </c>
      <c r="K2760" s="2">
        <v>69.231899999999996</v>
      </c>
      <c r="L2760" s="2">
        <v>77</v>
      </c>
      <c r="M2760" s="2">
        <v>102.2398</v>
      </c>
      <c r="N2760" s="2">
        <v>150</v>
      </c>
      <c r="O2760" s="2">
        <v>106.5241</v>
      </c>
      <c r="P2760" s="2">
        <v>81</v>
      </c>
      <c r="Q2760" s="2">
        <v>102.71720000000001</v>
      </c>
      <c r="R2760" s="2">
        <v>204</v>
      </c>
      <c r="S2760" s="2">
        <v>99.287199999999999</v>
      </c>
      <c r="T2760" s="2">
        <v>127</v>
      </c>
      <c r="U2760" s="2">
        <v>0.691913</v>
      </c>
      <c r="V2760" s="2">
        <v>94</v>
      </c>
      <c r="W2760" s="2">
        <v>2010</v>
      </c>
    </row>
    <row r="2761" spans="1:23" ht="12.3" hidden="1" x14ac:dyDescent="0.4">
      <c r="A2761" s="2" t="s">
        <v>221</v>
      </c>
      <c r="B2761" s="2"/>
      <c r="C2761" s="2"/>
      <c r="D2761" s="2"/>
      <c r="E2761" s="2"/>
      <c r="F2761" s="2"/>
      <c r="G2761" s="2"/>
      <c r="H2761" s="2"/>
      <c r="I2761" s="2">
        <v>67.236999999999995</v>
      </c>
      <c r="J2761" s="2">
        <v>182</v>
      </c>
      <c r="K2761" s="2">
        <v>66.641599999999997</v>
      </c>
      <c r="L2761" s="2">
        <v>201</v>
      </c>
      <c r="M2761" s="2">
        <v>104.0223</v>
      </c>
      <c r="N2761" s="2">
        <v>115</v>
      </c>
      <c r="O2761" s="2">
        <v>105.74890000000001</v>
      </c>
      <c r="P2761" s="2">
        <v>97</v>
      </c>
      <c r="Q2761" s="2">
        <v>97.074700000000007</v>
      </c>
      <c r="R2761" s="2">
        <v>82</v>
      </c>
      <c r="S2761" s="2">
        <v>98.613900000000001</v>
      </c>
      <c r="T2761" s="2">
        <v>112</v>
      </c>
      <c r="U2761" s="2">
        <v>0.69068600000000002</v>
      </c>
      <c r="V2761" s="2">
        <v>95</v>
      </c>
      <c r="W2761" s="2">
        <v>2010</v>
      </c>
    </row>
    <row r="2762" spans="1:23" ht="12.3" hidden="1" x14ac:dyDescent="0.4">
      <c r="A2762" s="2" t="s">
        <v>136</v>
      </c>
      <c r="B2762" s="2"/>
      <c r="C2762" s="2"/>
      <c r="D2762" s="2"/>
      <c r="E2762" s="2"/>
      <c r="F2762" s="2"/>
      <c r="G2762" s="2"/>
      <c r="H2762" s="2"/>
      <c r="I2762" s="2">
        <v>64.918499999999995</v>
      </c>
      <c r="J2762" s="2">
        <v>274</v>
      </c>
      <c r="K2762" s="2">
        <v>64.112399999999994</v>
      </c>
      <c r="L2762" s="2">
        <v>294</v>
      </c>
      <c r="M2762" s="2">
        <v>101.7364</v>
      </c>
      <c r="N2762" s="2">
        <v>161</v>
      </c>
      <c r="O2762" s="2">
        <v>105.5763</v>
      </c>
      <c r="P2762" s="2">
        <v>99</v>
      </c>
      <c r="Q2762" s="2">
        <v>100.2175</v>
      </c>
      <c r="R2762" s="2">
        <v>147</v>
      </c>
      <c r="S2762" s="2">
        <v>98.527299999999997</v>
      </c>
      <c r="T2762" s="2">
        <v>110</v>
      </c>
      <c r="U2762" s="2">
        <v>0.68883000000000005</v>
      </c>
      <c r="V2762" s="2">
        <v>96</v>
      </c>
      <c r="W2762" s="2">
        <v>2010</v>
      </c>
    </row>
    <row r="2763" spans="1:23" ht="12.3" hidden="1" x14ac:dyDescent="0.4">
      <c r="A2763" s="2" t="s">
        <v>129</v>
      </c>
      <c r="B2763" s="2"/>
      <c r="C2763" s="2"/>
      <c r="D2763" s="2"/>
      <c r="E2763" s="2"/>
      <c r="F2763" s="2"/>
      <c r="G2763" s="2"/>
      <c r="H2763" s="2"/>
      <c r="I2763" s="2">
        <v>69.216899999999995</v>
      </c>
      <c r="J2763" s="2">
        <v>82</v>
      </c>
      <c r="K2763" s="2">
        <v>68.381399999999999</v>
      </c>
      <c r="L2763" s="2">
        <v>120</v>
      </c>
      <c r="M2763" s="2">
        <v>106.7243</v>
      </c>
      <c r="N2763" s="2">
        <v>77</v>
      </c>
      <c r="O2763" s="2">
        <v>111.0934</v>
      </c>
      <c r="P2763" s="2">
        <v>33</v>
      </c>
      <c r="Q2763" s="2">
        <v>107.59780000000001</v>
      </c>
      <c r="R2763" s="2">
        <v>304</v>
      </c>
      <c r="S2763" s="2">
        <v>103.736</v>
      </c>
      <c r="T2763" s="2">
        <v>222</v>
      </c>
      <c r="U2763" s="2">
        <v>0.68740199999999996</v>
      </c>
      <c r="V2763" s="2">
        <v>97</v>
      </c>
      <c r="W2763" s="2">
        <v>2010</v>
      </c>
    </row>
    <row r="2764" spans="1:23" ht="12.3" x14ac:dyDescent="0.4">
      <c r="A2764" s="2" t="s">
        <v>23</v>
      </c>
      <c r="B2764" s="2">
        <v>5</v>
      </c>
      <c r="C2764" s="2"/>
      <c r="D2764" s="2"/>
      <c r="E2764" s="2"/>
      <c r="F2764" s="2"/>
      <c r="G2764" s="2"/>
      <c r="H2764" s="2"/>
      <c r="I2764" s="2">
        <v>69.603200000000001</v>
      </c>
      <c r="J2764" s="2">
        <v>71</v>
      </c>
      <c r="K2764" s="2">
        <v>69.593400000000003</v>
      </c>
      <c r="L2764" s="2">
        <v>73</v>
      </c>
      <c r="M2764" s="2">
        <v>103.4564</v>
      </c>
      <c r="N2764" s="2">
        <v>140</v>
      </c>
      <c r="O2764" s="2">
        <v>108.6802</v>
      </c>
      <c r="P2764" s="2">
        <v>54</v>
      </c>
      <c r="Q2764" s="2">
        <v>98.109800000000007</v>
      </c>
      <c r="R2764" s="2">
        <v>87</v>
      </c>
      <c r="S2764" s="2">
        <v>96.563599999999994</v>
      </c>
      <c r="T2764" s="2">
        <v>68</v>
      </c>
      <c r="U2764" s="2">
        <v>0.79566000000000003</v>
      </c>
      <c r="V2764" s="2">
        <v>49</v>
      </c>
      <c r="W2764" s="2">
        <v>2006</v>
      </c>
    </row>
    <row r="2765" spans="1:23" ht="12.3" hidden="1" x14ac:dyDescent="0.4">
      <c r="A2765" s="2" t="s">
        <v>17</v>
      </c>
      <c r="B2765" s="2"/>
      <c r="C2765" s="2"/>
      <c r="D2765" s="2"/>
      <c r="E2765" s="2"/>
      <c r="F2765" s="2"/>
      <c r="G2765" s="2"/>
      <c r="H2765" s="2"/>
      <c r="I2765" s="2">
        <v>71.008499999999998</v>
      </c>
      <c r="J2765" s="2">
        <v>35</v>
      </c>
      <c r="K2765" s="2">
        <v>69.875699999999995</v>
      </c>
      <c r="L2765" s="2">
        <v>59</v>
      </c>
      <c r="M2765" s="2">
        <v>101.06529999999999</v>
      </c>
      <c r="N2765" s="2">
        <v>176</v>
      </c>
      <c r="O2765" s="2">
        <v>103.7792</v>
      </c>
      <c r="P2765" s="2">
        <v>134</v>
      </c>
      <c r="Q2765" s="2">
        <v>99.986000000000004</v>
      </c>
      <c r="R2765" s="2">
        <v>142</v>
      </c>
      <c r="S2765" s="2">
        <v>97.434700000000007</v>
      </c>
      <c r="T2765" s="2">
        <v>86</v>
      </c>
      <c r="U2765" s="2">
        <v>0.67380899999999999</v>
      </c>
      <c r="V2765" s="2">
        <v>99</v>
      </c>
      <c r="W2765" s="2">
        <v>2010</v>
      </c>
    </row>
    <row r="2766" spans="1:23" ht="12.3" hidden="1" x14ac:dyDescent="0.4">
      <c r="A2766" s="2" t="s">
        <v>170</v>
      </c>
      <c r="B2766" s="2"/>
      <c r="C2766" s="2"/>
      <c r="D2766" s="2"/>
      <c r="E2766" s="2"/>
      <c r="F2766" s="2"/>
      <c r="G2766" s="2"/>
      <c r="H2766" s="2"/>
      <c r="I2766" s="2">
        <v>68.590800000000002</v>
      </c>
      <c r="J2766" s="2">
        <v>114</v>
      </c>
      <c r="K2766" s="2">
        <v>68.915599999999998</v>
      </c>
      <c r="L2766" s="2">
        <v>90</v>
      </c>
      <c r="M2766" s="2">
        <v>110.069</v>
      </c>
      <c r="N2766" s="2">
        <v>30</v>
      </c>
      <c r="O2766" s="2">
        <v>107.38120000000001</v>
      </c>
      <c r="P2766" s="2">
        <v>66</v>
      </c>
      <c r="Q2766" s="2">
        <v>102.7038</v>
      </c>
      <c r="R2766" s="2">
        <v>201</v>
      </c>
      <c r="S2766" s="2">
        <v>100.8242</v>
      </c>
      <c r="T2766" s="2">
        <v>156</v>
      </c>
      <c r="U2766" s="2">
        <v>0.67361499999999996</v>
      </c>
      <c r="V2766" s="2">
        <v>100</v>
      </c>
      <c r="W2766" s="2">
        <v>2010</v>
      </c>
    </row>
    <row r="2767" spans="1:23" ht="12.3" x14ac:dyDescent="0.4">
      <c r="A2767" s="2" t="s">
        <v>57</v>
      </c>
      <c r="B2767" s="2">
        <v>7</v>
      </c>
      <c r="C2767" s="2"/>
      <c r="D2767" s="2"/>
      <c r="E2767" s="2"/>
      <c r="F2767" s="2"/>
      <c r="G2767" s="2"/>
      <c r="H2767" s="2"/>
      <c r="I2767" s="2">
        <v>64.066100000000006</v>
      </c>
      <c r="J2767" s="2">
        <v>277</v>
      </c>
      <c r="K2767" s="2">
        <v>63.334600000000002</v>
      </c>
      <c r="L2767" s="2">
        <v>292</v>
      </c>
      <c r="M2767" s="2">
        <v>105.6388</v>
      </c>
      <c r="N2767" s="2">
        <v>94</v>
      </c>
      <c r="O2767" s="2">
        <v>108.6733</v>
      </c>
      <c r="P2767" s="2">
        <v>55</v>
      </c>
      <c r="Q2767" s="2">
        <v>99.454499999999996</v>
      </c>
      <c r="R2767" s="2">
        <v>115</v>
      </c>
      <c r="S2767" s="2">
        <v>97.045500000000004</v>
      </c>
      <c r="T2767" s="2">
        <v>80</v>
      </c>
      <c r="U2767" s="2">
        <v>0.78607400000000005</v>
      </c>
      <c r="V2767" s="2">
        <v>52</v>
      </c>
      <c r="W2767" s="2">
        <v>2006</v>
      </c>
    </row>
    <row r="2768" spans="1:23" ht="12.3" hidden="1" x14ac:dyDescent="0.4">
      <c r="A2768" s="2" t="s">
        <v>201</v>
      </c>
      <c r="B2768" s="2"/>
      <c r="C2768" s="2"/>
      <c r="D2768" s="2"/>
      <c r="E2768" s="2"/>
      <c r="F2768" s="2"/>
      <c r="G2768" s="2"/>
      <c r="H2768" s="2"/>
      <c r="I2768" s="2">
        <v>66.055499999999995</v>
      </c>
      <c r="J2768" s="2">
        <v>237</v>
      </c>
      <c r="K2768" s="2">
        <v>65.389399999999995</v>
      </c>
      <c r="L2768" s="2">
        <v>260</v>
      </c>
      <c r="M2768" s="2">
        <v>106.1579</v>
      </c>
      <c r="N2768" s="2">
        <v>87</v>
      </c>
      <c r="O2768" s="2">
        <v>103.911</v>
      </c>
      <c r="P2768" s="2">
        <v>131</v>
      </c>
      <c r="Q2768" s="2">
        <v>95.911699999999996</v>
      </c>
      <c r="R2768" s="2">
        <v>55</v>
      </c>
      <c r="S2768" s="2">
        <v>97.614199999999997</v>
      </c>
      <c r="T2768" s="2">
        <v>89</v>
      </c>
      <c r="U2768" s="2">
        <v>0.67236200000000002</v>
      </c>
      <c r="V2768" s="2">
        <v>102</v>
      </c>
      <c r="W2768" s="2">
        <v>2010</v>
      </c>
    </row>
    <row r="2769" spans="1:23" ht="12.3" hidden="1" x14ac:dyDescent="0.4">
      <c r="A2769" s="2" t="s">
        <v>241</v>
      </c>
      <c r="B2769" s="2"/>
      <c r="C2769" s="2"/>
      <c r="D2769" s="2"/>
      <c r="E2769" s="2"/>
      <c r="F2769" s="2"/>
      <c r="G2769" s="2"/>
      <c r="H2769" s="2"/>
      <c r="I2769" s="2">
        <v>66.655000000000001</v>
      </c>
      <c r="J2769" s="2">
        <v>211</v>
      </c>
      <c r="K2769" s="2">
        <v>66.021799999999999</v>
      </c>
      <c r="L2769" s="2">
        <v>230</v>
      </c>
      <c r="M2769" s="2">
        <v>98.742599999999996</v>
      </c>
      <c r="N2769" s="2">
        <v>215</v>
      </c>
      <c r="O2769" s="2">
        <v>98.373500000000007</v>
      </c>
      <c r="P2769" s="2">
        <v>218</v>
      </c>
      <c r="Q2769" s="2">
        <v>92.426199999999994</v>
      </c>
      <c r="R2769" s="2">
        <v>23</v>
      </c>
      <c r="S2769" s="2">
        <v>92.474500000000006</v>
      </c>
      <c r="T2769" s="2">
        <v>28</v>
      </c>
      <c r="U2769" s="2">
        <v>0.67065300000000005</v>
      </c>
      <c r="V2769" s="2">
        <v>103</v>
      </c>
      <c r="W2769" s="2">
        <v>2010</v>
      </c>
    </row>
    <row r="2770" spans="1:23" ht="12.3" hidden="1" x14ac:dyDescent="0.4">
      <c r="A2770" s="2" t="s">
        <v>255</v>
      </c>
      <c r="B2770" s="2"/>
      <c r="C2770" s="2"/>
      <c r="D2770" s="2"/>
      <c r="E2770" s="2"/>
      <c r="F2770" s="2"/>
      <c r="G2770" s="2"/>
      <c r="H2770" s="2"/>
      <c r="I2770" s="2">
        <v>67.739500000000007</v>
      </c>
      <c r="J2770" s="2">
        <v>151</v>
      </c>
      <c r="K2770" s="2">
        <v>68.187899999999999</v>
      </c>
      <c r="L2770" s="2">
        <v>127</v>
      </c>
      <c r="M2770" s="2">
        <v>106.8843</v>
      </c>
      <c r="N2770" s="2">
        <v>67</v>
      </c>
      <c r="O2770" s="2">
        <v>105.8262</v>
      </c>
      <c r="P2770" s="2">
        <v>94</v>
      </c>
      <c r="Q2770" s="2">
        <v>95.466399999999993</v>
      </c>
      <c r="R2770" s="2">
        <v>47</v>
      </c>
      <c r="S2770" s="2">
        <v>99.495599999999996</v>
      </c>
      <c r="T2770" s="2">
        <v>131</v>
      </c>
      <c r="U2770" s="2">
        <v>0.67026300000000005</v>
      </c>
      <c r="V2770" s="2">
        <v>104</v>
      </c>
      <c r="W2770" s="2">
        <v>2010</v>
      </c>
    </row>
    <row r="2771" spans="1:23" ht="12.3" x14ac:dyDescent="0.4">
      <c r="A2771" s="2" t="s">
        <v>128</v>
      </c>
      <c r="B2771" s="2">
        <v>9</v>
      </c>
      <c r="C2771" s="2"/>
      <c r="D2771" s="2"/>
      <c r="E2771" s="2"/>
      <c r="F2771" s="2"/>
      <c r="G2771" s="2"/>
      <c r="H2771" s="2"/>
      <c r="I2771" s="2">
        <v>70.249099999999999</v>
      </c>
      <c r="J2771" s="2">
        <v>55</v>
      </c>
      <c r="K2771" s="2">
        <v>70.1858</v>
      </c>
      <c r="L2771" s="2">
        <v>55</v>
      </c>
      <c r="M2771" s="2">
        <v>105.26609999999999</v>
      </c>
      <c r="N2771" s="2">
        <v>101</v>
      </c>
      <c r="O2771" s="2">
        <v>107.881</v>
      </c>
      <c r="P2771" s="2">
        <v>64</v>
      </c>
      <c r="Q2771" s="2">
        <v>93.385599999999997</v>
      </c>
      <c r="R2771" s="2">
        <v>26</v>
      </c>
      <c r="S2771" s="2">
        <v>96.568299999999994</v>
      </c>
      <c r="T2771" s="2">
        <v>69</v>
      </c>
      <c r="U2771" s="2">
        <v>0.78142</v>
      </c>
      <c r="V2771" s="2">
        <v>53</v>
      </c>
      <c r="W2771" s="2">
        <v>2006</v>
      </c>
    </row>
    <row r="2772" spans="1:23" ht="12.3" hidden="1" x14ac:dyDescent="0.4">
      <c r="A2772" s="2" t="s">
        <v>230</v>
      </c>
      <c r="B2772" s="2"/>
      <c r="C2772" s="2"/>
      <c r="D2772" s="2"/>
      <c r="E2772" s="2"/>
      <c r="F2772" s="2"/>
      <c r="G2772" s="2"/>
      <c r="H2772" s="2"/>
      <c r="I2772" s="2">
        <v>62.469099999999997</v>
      </c>
      <c r="J2772" s="2">
        <v>325</v>
      </c>
      <c r="K2772" s="2">
        <v>63.5505</v>
      </c>
      <c r="L2772" s="2">
        <v>310</v>
      </c>
      <c r="M2772" s="2">
        <v>102.9216</v>
      </c>
      <c r="N2772" s="2">
        <v>139</v>
      </c>
      <c r="O2772" s="2">
        <v>106.3348</v>
      </c>
      <c r="P2772" s="2">
        <v>83</v>
      </c>
      <c r="Q2772" s="2">
        <v>103.21939999999999</v>
      </c>
      <c r="R2772" s="2">
        <v>216</v>
      </c>
      <c r="S2772" s="2">
        <v>100.33929999999999</v>
      </c>
      <c r="T2772" s="2">
        <v>147</v>
      </c>
      <c r="U2772" s="2">
        <v>0.66092399999999996</v>
      </c>
      <c r="V2772" s="2">
        <v>106</v>
      </c>
      <c r="W2772" s="2">
        <v>2010</v>
      </c>
    </row>
    <row r="2773" spans="1:23" ht="12.3" hidden="1" x14ac:dyDescent="0.4">
      <c r="A2773" s="2" t="s">
        <v>199</v>
      </c>
      <c r="B2773" s="2"/>
      <c r="C2773" s="2"/>
      <c r="D2773" s="2"/>
      <c r="E2773" s="2"/>
      <c r="F2773" s="2"/>
      <c r="G2773" s="2"/>
      <c r="H2773" s="2"/>
      <c r="I2773" s="2">
        <v>66.280799999999999</v>
      </c>
      <c r="J2773" s="2">
        <v>227</v>
      </c>
      <c r="K2773" s="2">
        <v>66.121899999999997</v>
      </c>
      <c r="L2773" s="2">
        <v>227</v>
      </c>
      <c r="M2773" s="2">
        <v>109.47629999999999</v>
      </c>
      <c r="N2773" s="2">
        <v>36</v>
      </c>
      <c r="O2773" s="2">
        <v>106.87050000000001</v>
      </c>
      <c r="P2773" s="2">
        <v>77</v>
      </c>
      <c r="Q2773" s="2">
        <v>100.7039</v>
      </c>
      <c r="R2773" s="2">
        <v>156</v>
      </c>
      <c r="S2773" s="2">
        <v>100.95959999999999</v>
      </c>
      <c r="T2773" s="2">
        <v>161</v>
      </c>
      <c r="U2773" s="2">
        <v>0.65798299999999998</v>
      </c>
      <c r="V2773" s="2">
        <v>107</v>
      </c>
      <c r="W2773" s="2">
        <v>2010</v>
      </c>
    </row>
    <row r="2774" spans="1:23" ht="12.3" hidden="1" x14ac:dyDescent="0.4">
      <c r="A2774" s="2" t="s">
        <v>126</v>
      </c>
      <c r="B2774" s="2"/>
      <c r="C2774" s="2"/>
      <c r="D2774" s="2"/>
      <c r="E2774" s="2"/>
      <c r="F2774" s="2"/>
      <c r="G2774" s="2"/>
      <c r="H2774" s="2"/>
      <c r="I2774" s="2">
        <v>61.459200000000003</v>
      </c>
      <c r="J2774" s="2">
        <v>336</v>
      </c>
      <c r="K2774" s="2">
        <v>61.206299999999999</v>
      </c>
      <c r="L2774" s="2">
        <v>335</v>
      </c>
      <c r="M2774" s="2">
        <v>105.5227</v>
      </c>
      <c r="N2774" s="2">
        <v>92</v>
      </c>
      <c r="O2774" s="2">
        <v>103.0787</v>
      </c>
      <c r="P2774" s="2">
        <v>145</v>
      </c>
      <c r="Q2774" s="2">
        <v>97.3215</v>
      </c>
      <c r="R2774" s="2">
        <v>90</v>
      </c>
      <c r="S2774" s="2">
        <v>97.400800000000004</v>
      </c>
      <c r="T2774" s="2">
        <v>83</v>
      </c>
      <c r="U2774" s="2">
        <v>0.65736300000000003</v>
      </c>
      <c r="V2774" s="2">
        <v>108</v>
      </c>
      <c r="W2774" s="2">
        <v>2010</v>
      </c>
    </row>
    <row r="2775" spans="1:23" ht="12.3" hidden="1" x14ac:dyDescent="0.4">
      <c r="A2775" s="2" t="s">
        <v>257</v>
      </c>
      <c r="B2775" s="2"/>
      <c r="C2775" s="2"/>
      <c r="D2775" s="2"/>
      <c r="E2775" s="2"/>
      <c r="F2775" s="2"/>
      <c r="G2775" s="2"/>
      <c r="H2775" s="2"/>
      <c r="I2775" s="2">
        <v>61.353200000000001</v>
      </c>
      <c r="J2775" s="2">
        <v>337</v>
      </c>
      <c r="K2775" s="2">
        <v>61.213299999999997</v>
      </c>
      <c r="L2775" s="2">
        <v>334</v>
      </c>
      <c r="M2775" s="2">
        <v>105.595</v>
      </c>
      <c r="N2775" s="2">
        <v>91</v>
      </c>
      <c r="O2775" s="2">
        <v>107.4341</v>
      </c>
      <c r="P2775" s="2">
        <v>64</v>
      </c>
      <c r="Q2775" s="2">
        <v>103.60290000000001</v>
      </c>
      <c r="R2775" s="2">
        <v>234</v>
      </c>
      <c r="S2775" s="2">
        <v>101.6474</v>
      </c>
      <c r="T2775" s="2">
        <v>172</v>
      </c>
      <c r="U2775" s="2">
        <v>0.65401299999999996</v>
      </c>
      <c r="V2775" s="2">
        <v>109</v>
      </c>
      <c r="W2775" s="2">
        <v>2010</v>
      </c>
    </row>
    <row r="2776" spans="1:23" ht="12.3" hidden="1" x14ac:dyDescent="0.4">
      <c r="A2776" s="2" t="s">
        <v>94</v>
      </c>
      <c r="B2776" s="2"/>
      <c r="C2776" s="2"/>
      <c r="D2776" s="2"/>
      <c r="E2776" s="2"/>
      <c r="F2776" s="2"/>
      <c r="G2776" s="2"/>
      <c r="H2776" s="2"/>
      <c r="I2776" s="2">
        <v>68.8429</v>
      </c>
      <c r="J2776" s="2">
        <v>97</v>
      </c>
      <c r="K2776" s="2">
        <v>68.708699999999993</v>
      </c>
      <c r="L2776" s="2">
        <v>99</v>
      </c>
      <c r="M2776" s="2">
        <v>106.88339999999999</v>
      </c>
      <c r="N2776" s="2">
        <v>68</v>
      </c>
      <c r="O2776" s="2">
        <v>104.3124</v>
      </c>
      <c r="P2776" s="2">
        <v>120</v>
      </c>
      <c r="Q2776" s="2">
        <v>101.12050000000001</v>
      </c>
      <c r="R2776" s="2">
        <v>168</v>
      </c>
      <c r="S2776" s="2">
        <v>98.888199999999998</v>
      </c>
      <c r="T2776" s="2">
        <v>117</v>
      </c>
      <c r="U2776" s="2">
        <v>0.64887499999999998</v>
      </c>
      <c r="V2776" s="2">
        <v>110</v>
      </c>
      <c r="W2776" s="2">
        <v>2010</v>
      </c>
    </row>
    <row r="2777" spans="1:23" ht="12.3" hidden="1" x14ac:dyDescent="0.4">
      <c r="A2777" s="2" t="s">
        <v>113</v>
      </c>
      <c r="B2777" s="2"/>
      <c r="C2777" s="2"/>
      <c r="D2777" s="2"/>
      <c r="E2777" s="2"/>
      <c r="F2777" s="2"/>
      <c r="G2777" s="2"/>
      <c r="H2777" s="2"/>
      <c r="I2777" s="2">
        <v>70.965299999999999</v>
      </c>
      <c r="J2777" s="2">
        <v>37</v>
      </c>
      <c r="K2777" s="2">
        <v>70.419399999999996</v>
      </c>
      <c r="L2777" s="2">
        <v>43</v>
      </c>
      <c r="M2777" s="2">
        <v>105.133</v>
      </c>
      <c r="N2777" s="2">
        <v>95</v>
      </c>
      <c r="O2777" s="2">
        <v>108.515</v>
      </c>
      <c r="P2777" s="2">
        <v>52</v>
      </c>
      <c r="Q2777" s="2">
        <v>103.8535</v>
      </c>
      <c r="R2777" s="2">
        <v>240</v>
      </c>
      <c r="S2777" s="2">
        <v>102.95699999999999</v>
      </c>
      <c r="T2777" s="2">
        <v>204</v>
      </c>
      <c r="U2777" s="2">
        <v>0.64671500000000004</v>
      </c>
      <c r="V2777" s="2">
        <v>111</v>
      </c>
      <c r="W2777" s="2">
        <v>2010</v>
      </c>
    </row>
    <row r="2778" spans="1:23" ht="12.3" hidden="1" x14ac:dyDescent="0.4">
      <c r="A2778" s="2" t="s">
        <v>256</v>
      </c>
      <c r="B2778" s="2"/>
      <c r="C2778" s="2"/>
      <c r="D2778" s="2"/>
      <c r="E2778" s="2"/>
      <c r="F2778" s="2"/>
      <c r="G2778" s="2"/>
      <c r="H2778" s="2"/>
      <c r="I2778" s="2">
        <v>66.433700000000002</v>
      </c>
      <c r="J2778" s="2">
        <v>224</v>
      </c>
      <c r="K2778" s="2">
        <v>66.416499999999999</v>
      </c>
      <c r="L2778" s="2">
        <v>214</v>
      </c>
      <c r="M2778" s="2">
        <v>104.3659</v>
      </c>
      <c r="N2778" s="2">
        <v>107</v>
      </c>
      <c r="O2778" s="2">
        <v>104.0184</v>
      </c>
      <c r="P2778" s="2">
        <v>126</v>
      </c>
      <c r="Q2778" s="2">
        <v>97.618099999999998</v>
      </c>
      <c r="R2778" s="2">
        <v>95</v>
      </c>
      <c r="S2778" s="2">
        <v>98.9572</v>
      </c>
      <c r="T2778" s="2">
        <v>119</v>
      </c>
      <c r="U2778" s="2">
        <v>0.63960099999999998</v>
      </c>
      <c r="V2778" s="2">
        <v>112</v>
      </c>
      <c r="W2778" s="2">
        <v>2010</v>
      </c>
    </row>
    <row r="2779" spans="1:23" ht="12.3" hidden="1" x14ac:dyDescent="0.4">
      <c r="A2779" s="2" t="s">
        <v>52</v>
      </c>
      <c r="B2779" s="2"/>
      <c r="C2779" s="2"/>
      <c r="D2779" s="2"/>
      <c r="E2779" s="2"/>
      <c r="F2779" s="2"/>
      <c r="G2779" s="2"/>
      <c r="H2779" s="2"/>
      <c r="I2779" s="2">
        <v>67.613</v>
      </c>
      <c r="J2779" s="2">
        <v>159</v>
      </c>
      <c r="K2779" s="2">
        <v>67.506799999999998</v>
      </c>
      <c r="L2779" s="2">
        <v>159</v>
      </c>
      <c r="M2779" s="2">
        <v>101.8702</v>
      </c>
      <c r="N2779" s="2">
        <v>156</v>
      </c>
      <c r="O2779" s="2">
        <v>104.3043</v>
      </c>
      <c r="P2779" s="2">
        <v>121</v>
      </c>
      <c r="Q2779" s="2">
        <v>102.7118</v>
      </c>
      <c r="R2779" s="2">
        <v>203</v>
      </c>
      <c r="S2779" s="2">
        <v>99.245500000000007</v>
      </c>
      <c r="T2779" s="2">
        <v>125</v>
      </c>
      <c r="U2779" s="2">
        <v>0.63916200000000001</v>
      </c>
      <c r="V2779" s="2">
        <v>113</v>
      </c>
      <c r="W2779" s="2">
        <v>2010</v>
      </c>
    </row>
    <row r="2780" spans="1:23" ht="12.3" hidden="1" x14ac:dyDescent="0.4">
      <c r="A2780" s="2" t="s">
        <v>176</v>
      </c>
      <c r="B2780" s="2"/>
      <c r="C2780" s="2"/>
      <c r="D2780" s="2"/>
      <c r="E2780" s="2"/>
      <c r="F2780" s="2"/>
      <c r="G2780" s="2"/>
      <c r="H2780" s="2"/>
      <c r="I2780" s="2">
        <v>59.538899999999998</v>
      </c>
      <c r="J2780" s="2">
        <v>343</v>
      </c>
      <c r="K2780" s="2">
        <v>59.72</v>
      </c>
      <c r="L2780" s="2">
        <v>343</v>
      </c>
      <c r="M2780" s="2">
        <v>98.874200000000002</v>
      </c>
      <c r="N2780" s="2">
        <v>210</v>
      </c>
      <c r="O2780" s="2">
        <v>95.540099999999995</v>
      </c>
      <c r="P2780" s="2">
        <v>268</v>
      </c>
      <c r="Q2780" s="2">
        <v>88.790400000000005</v>
      </c>
      <c r="R2780" s="2">
        <v>2</v>
      </c>
      <c r="S2780" s="2">
        <v>91.038300000000007</v>
      </c>
      <c r="T2780" s="2">
        <v>13</v>
      </c>
      <c r="U2780" s="2">
        <v>0.63530699999999996</v>
      </c>
      <c r="V2780" s="2">
        <v>114</v>
      </c>
      <c r="W2780" s="2">
        <v>2010</v>
      </c>
    </row>
    <row r="2781" spans="1:23" ht="12.3" hidden="1" x14ac:dyDescent="0.4">
      <c r="A2781" s="2" t="s">
        <v>38</v>
      </c>
      <c r="B2781" s="2"/>
      <c r="C2781" s="2"/>
      <c r="D2781" s="2"/>
      <c r="E2781" s="2"/>
      <c r="F2781" s="2"/>
      <c r="G2781" s="2"/>
      <c r="H2781" s="2"/>
      <c r="I2781" s="2">
        <v>67.838700000000003</v>
      </c>
      <c r="J2781" s="2">
        <v>142</v>
      </c>
      <c r="K2781" s="2">
        <v>66.467600000000004</v>
      </c>
      <c r="L2781" s="2">
        <v>212</v>
      </c>
      <c r="M2781" s="2">
        <v>105.4006</v>
      </c>
      <c r="N2781" s="2">
        <v>93</v>
      </c>
      <c r="O2781" s="2">
        <v>107.28189999999999</v>
      </c>
      <c r="P2781" s="2">
        <v>70</v>
      </c>
      <c r="Q2781" s="2">
        <v>107.9682</v>
      </c>
      <c r="R2781" s="2">
        <v>310</v>
      </c>
      <c r="S2781" s="2">
        <v>102.3022</v>
      </c>
      <c r="T2781" s="2">
        <v>184</v>
      </c>
      <c r="U2781" s="2">
        <v>0.63334100000000004</v>
      </c>
      <c r="V2781" s="2">
        <v>115</v>
      </c>
      <c r="W2781" s="2">
        <v>2010</v>
      </c>
    </row>
    <row r="2782" spans="1:23" ht="12.3" hidden="1" x14ac:dyDescent="0.4">
      <c r="A2782" s="2" t="s">
        <v>245</v>
      </c>
      <c r="B2782" s="2"/>
      <c r="C2782" s="2"/>
      <c r="D2782" s="2"/>
      <c r="E2782" s="2"/>
      <c r="F2782" s="2"/>
      <c r="G2782" s="2"/>
      <c r="H2782" s="2"/>
      <c r="I2782" s="2">
        <v>65.071899999999999</v>
      </c>
      <c r="J2782" s="2">
        <v>267</v>
      </c>
      <c r="K2782" s="2">
        <v>66.380700000000004</v>
      </c>
      <c r="L2782" s="2">
        <v>216</v>
      </c>
      <c r="M2782" s="2">
        <v>102.65519999999999</v>
      </c>
      <c r="N2782" s="2">
        <v>144</v>
      </c>
      <c r="O2782" s="2">
        <v>104.7072</v>
      </c>
      <c r="P2782" s="2">
        <v>111</v>
      </c>
      <c r="Q2782" s="2">
        <v>102.6716</v>
      </c>
      <c r="R2782" s="2">
        <v>199</v>
      </c>
      <c r="S2782" s="2">
        <v>100.0416</v>
      </c>
      <c r="T2782" s="2">
        <v>142</v>
      </c>
      <c r="U2782" s="2">
        <v>0.62812699999999999</v>
      </c>
      <c r="V2782" s="2">
        <v>116</v>
      </c>
      <c r="W2782" s="2">
        <v>2010</v>
      </c>
    </row>
    <row r="2783" spans="1:23" ht="12.3" hidden="1" x14ac:dyDescent="0.4">
      <c r="A2783" s="2" t="s">
        <v>194</v>
      </c>
      <c r="B2783" s="2"/>
      <c r="C2783" s="2"/>
      <c r="D2783" s="2"/>
      <c r="E2783" s="2"/>
      <c r="F2783" s="2"/>
      <c r="G2783" s="2"/>
      <c r="H2783" s="2"/>
      <c r="I2783" s="2">
        <v>69.179400000000001</v>
      </c>
      <c r="J2783" s="2">
        <v>84</v>
      </c>
      <c r="K2783" s="2">
        <v>69.429500000000004</v>
      </c>
      <c r="L2783" s="2">
        <v>70</v>
      </c>
      <c r="M2783" s="2">
        <v>103.0132</v>
      </c>
      <c r="N2783" s="2">
        <v>136</v>
      </c>
      <c r="O2783" s="2">
        <v>105.0341</v>
      </c>
      <c r="P2783" s="2">
        <v>106</v>
      </c>
      <c r="Q2783" s="2">
        <v>98.783600000000007</v>
      </c>
      <c r="R2783" s="2">
        <v>124</v>
      </c>
      <c r="S2783" s="2">
        <v>100.50839999999999</v>
      </c>
      <c r="T2783" s="2">
        <v>149</v>
      </c>
      <c r="U2783" s="2">
        <v>0.62398699999999996</v>
      </c>
      <c r="V2783" s="2">
        <v>117</v>
      </c>
      <c r="W2783" s="2">
        <v>2010</v>
      </c>
    </row>
    <row r="2784" spans="1:23" ht="12.3" hidden="1" x14ac:dyDescent="0.4">
      <c r="A2784" s="2" t="s">
        <v>253</v>
      </c>
      <c r="B2784" s="2"/>
      <c r="C2784" s="2"/>
      <c r="D2784" s="2"/>
      <c r="E2784" s="2"/>
      <c r="F2784" s="2"/>
      <c r="G2784" s="2"/>
      <c r="H2784" s="2"/>
      <c r="I2784" s="2">
        <v>66.600399999999993</v>
      </c>
      <c r="J2784" s="2">
        <v>213</v>
      </c>
      <c r="K2784" s="2">
        <v>66.515500000000003</v>
      </c>
      <c r="L2784" s="2">
        <v>211</v>
      </c>
      <c r="M2784" s="2">
        <v>108.9277</v>
      </c>
      <c r="N2784" s="2">
        <v>42</v>
      </c>
      <c r="O2784" s="2">
        <v>107.3229</v>
      </c>
      <c r="P2784" s="2">
        <v>68</v>
      </c>
      <c r="Q2784" s="2">
        <v>102.58320000000001</v>
      </c>
      <c r="R2784" s="2">
        <v>195</v>
      </c>
      <c r="S2784" s="2">
        <v>102.97499999999999</v>
      </c>
      <c r="T2784" s="2">
        <v>205</v>
      </c>
      <c r="U2784" s="2">
        <v>0.61670800000000003</v>
      </c>
      <c r="V2784" s="2">
        <v>118</v>
      </c>
      <c r="W2784" s="2">
        <v>2010</v>
      </c>
    </row>
    <row r="2785" spans="1:23" ht="12.3" hidden="1" x14ac:dyDescent="0.4">
      <c r="A2785" s="2" t="s">
        <v>232</v>
      </c>
      <c r="B2785" s="2"/>
      <c r="C2785" s="2"/>
      <c r="D2785" s="2"/>
      <c r="E2785" s="2"/>
      <c r="F2785" s="2"/>
      <c r="G2785" s="2"/>
      <c r="H2785" s="2"/>
      <c r="I2785" s="2">
        <v>69.256500000000003</v>
      </c>
      <c r="J2785" s="2">
        <v>81</v>
      </c>
      <c r="K2785" s="2">
        <v>68.423599999999993</v>
      </c>
      <c r="L2785" s="2">
        <v>115</v>
      </c>
      <c r="M2785" s="2">
        <v>100.39239999999999</v>
      </c>
      <c r="N2785" s="2">
        <v>187</v>
      </c>
      <c r="O2785" s="2">
        <v>101.7132</v>
      </c>
      <c r="P2785" s="2">
        <v>167</v>
      </c>
      <c r="Q2785" s="2">
        <v>97.315799999999996</v>
      </c>
      <c r="R2785" s="2">
        <v>88</v>
      </c>
      <c r="S2785" s="2">
        <v>97.628500000000003</v>
      </c>
      <c r="T2785" s="2">
        <v>90</v>
      </c>
      <c r="U2785" s="2">
        <v>0.61570599999999998</v>
      </c>
      <c r="V2785" s="2">
        <v>119</v>
      </c>
      <c r="W2785" s="2">
        <v>2010</v>
      </c>
    </row>
    <row r="2786" spans="1:23" ht="12.3" hidden="1" x14ac:dyDescent="0.4">
      <c r="A2786" s="2" t="s">
        <v>358</v>
      </c>
      <c r="B2786" s="2"/>
      <c r="C2786" s="2"/>
      <c r="D2786" s="2"/>
      <c r="E2786" s="2"/>
      <c r="F2786" s="2"/>
      <c r="G2786" s="2"/>
      <c r="H2786" s="2"/>
      <c r="I2786" s="2">
        <v>67.746499999999997</v>
      </c>
      <c r="J2786" s="2">
        <v>150</v>
      </c>
      <c r="K2786" s="2">
        <v>68.177000000000007</v>
      </c>
      <c r="L2786" s="2">
        <v>128</v>
      </c>
      <c r="M2786" s="2">
        <v>107.71639999999999</v>
      </c>
      <c r="N2786" s="2">
        <v>56</v>
      </c>
      <c r="O2786" s="2">
        <v>103.054</v>
      </c>
      <c r="P2786" s="2">
        <v>146</v>
      </c>
      <c r="Q2786" s="2">
        <v>97.988799999999998</v>
      </c>
      <c r="R2786" s="2">
        <v>103</v>
      </c>
      <c r="S2786" s="2">
        <v>98.954400000000007</v>
      </c>
      <c r="T2786" s="2">
        <v>118</v>
      </c>
      <c r="U2786" s="2">
        <v>0.61463400000000001</v>
      </c>
      <c r="V2786" s="2">
        <v>120</v>
      </c>
      <c r="W2786" s="2">
        <v>2010</v>
      </c>
    </row>
    <row r="2787" spans="1:23" ht="12.3" hidden="1" x14ac:dyDescent="0.4">
      <c r="A2787" s="2" t="s">
        <v>65</v>
      </c>
      <c r="B2787" s="2"/>
      <c r="C2787" s="2"/>
      <c r="D2787" s="2"/>
      <c r="E2787" s="2"/>
      <c r="F2787" s="2"/>
      <c r="G2787" s="2"/>
      <c r="H2787" s="2"/>
      <c r="I2787" s="2">
        <v>65.534199999999998</v>
      </c>
      <c r="J2787" s="2">
        <v>253</v>
      </c>
      <c r="K2787" s="2">
        <v>65.607399999999998</v>
      </c>
      <c r="L2787" s="2">
        <v>248</v>
      </c>
      <c r="M2787" s="2">
        <v>101.07170000000001</v>
      </c>
      <c r="N2787" s="2">
        <v>175</v>
      </c>
      <c r="O2787" s="2">
        <v>104.73699999999999</v>
      </c>
      <c r="P2787" s="2">
        <v>110</v>
      </c>
      <c r="Q2787" s="2">
        <v>103.5844</v>
      </c>
      <c r="R2787" s="2">
        <v>232</v>
      </c>
      <c r="S2787" s="2">
        <v>100.61879999999999</v>
      </c>
      <c r="T2787" s="2">
        <v>154</v>
      </c>
      <c r="U2787" s="2">
        <v>0.61332399999999998</v>
      </c>
      <c r="V2787" s="2">
        <v>121</v>
      </c>
      <c r="W2787" s="2">
        <v>2010</v>
      </c>
    </row>
    <row r="2788" spans="1:23" ht="12.3" hidden="1" x14ac:dyDescent="0.4">
      <c r="A2788" s="2" t="s">
        <v>68</v>
      </c>
      <c r="B2788" s="2"/>
      <c r="C2788" s="2"/>
      <c r="D2788" s="2"/>
      <c r="E2788" s="2"/>
      <c r="F2788" s="2"/>
      <c r="G2788" s="2"/>
      <c r="H2788" s="2"/>
      <c r="I2788" s="2">
        <v>65.930400000000006</v>
      </c>
      <c r="J2788" s="2">
        <v>241</v>
      </c>
      <c r="K2788" s="2">
        <v>66.006</v>
      </c>
      <c r="L2788" s="2">
        <v>232</v>
      </c>
      <c r="M2788" s="2">
        <v>106.2745</v>
      </c>
      <c r="N2788" s="2">
        <v>82</v>
      </c>
      <c r="O2788" s="2">
        <v>104.5675</v>
      </c>
      <c r="P2788" s="2">
        <v>113</v>
      </c>
      <c r="Q2788" s="2">
        <v>99.846800000000002</v>
      </c>
      <c r="R2788" s="2">
        <v>138</v>
      </c>
      <c r="S2788" s="2">
        <v>100.64149999999999</v>
      </c>
      <c r="T2788" s="2">
        <v>155</v>
      </c>
      <c r="U2788" s="2">
        <v>0.60828000000000004</v>
      </c>
      <c r="V2788" s="2">
        <v>122</v>
      </c>
      <c r="W2788" s="2">
        <v>2010</v>
      </c>
    </row>
    <row r="2789" spans="1:23" ht="12.3" hidden="1" x14ac:dyDescent="0.4">
      <c r="A2789" s="2" t="s">
        <v>243</v>
      </c>
      <c r="B2789" s="2"/>
      <c r="C2789" s="2"/>
      <c r="D2789" s="2"/>
      <c r="E2789" s="2"/>
      <c r="F2789" s="2"/>
      <c r="G2789" s="2"/>
      <c r="H2789" s="2"/>
      <c r="I2789" s="2">
        <v>69.3476</v>
      </c>
      <c r="J2789" s="2">
        <v>80</v>
      </c>
      <c r="K2789" s="2">
        <v>70.676299999999998</v>
      </c>
      <c r="L2789" s="2">
        <v>39</v>
      </c>
      <c r="M2789" s="2">
        <v>99.599500000000006</v>
      </c>
      <c r="N2789" s="2">
        <v>199</v>
      </c>
      <c r="O2789" s="2">
        <v>100.8352</v>
      </c>
      <c r="P2789" s="2">
        <v>181</v>
      </c>
      <c r="Q2789" s="2">
        <v>96.400099999999995</v>
      </c>
      <c r="R2789" s="2">
        <v>68</v>
      </c>
      <c r="S2789" s="2">
        <v>97.061899999999994</v>
      </c>
      <c r="T2789" s="2">
        <v>76</v>
      </c>
      <c r="U2789" s="2">
        <v>0.60792400000000002</v>
      </c>
      <c r="V2789" s="2">
        <v>123</v>
      </c>
      <c r="W2789" s="2">
        <v>2010</v>
      </c>
    </row>
    <row r="2790" spans="1:23" ht="12.3" hidden="1" x14ac:dyDescent="0.4">
      <c r="A2790" s="2" t="s">
        <v>132</v>
      </c>
      <c r="B2790" s="2"/>
      <c r="C2790" s="2"/>
      <c r="D2790" s="2"/>
      <c r="E2790" s="2"/>
      <c r="F2790" s="2"/>
      <c r="G2790" s="2"/>
      <c r="H2790" s="2"/>
      <c r="I2790" s="2">
        <v>68.340999999999994</v>
      </c>
      <c r="J2790" s="2">
        <v>127</v>
      </c>
      <c r="K2790" s="2">
        <v>68.933999999999997</v>
      </c>
      <c r="L2790" s="2">
        <v>88</v>
      </c>
      <c r="M2790" s="2">
        <v>100.21120000000001</v>
      </c>
      <c r="N2790" s="2">
        <v>190</v>
      </c>
      <c r="O2790" s="2">
        <v>98.382599999999996</v>
      </c>
      <c r="P2790" s="2">
        <v>216</v>
      </c>
      <c r="Q2790" s="2">
        <v>96.361999999999995</v>
      </c>
      <c r="R2790" s="2">
        <v>67</v>
      </c>
      <c r="S2790" s="2">
        <v>94.992800000000003</v>
      </c>
      <c r="T2790" s="2">
        <v>53</v>
      </c>
      <c r="U2790" s="2">
        <v>0.59945999999999999</v>
      </c>
      <c r="V2790" s="2">
        <v>124</v>
      </c>
      <c r="W2790" s="2">
        <v>2010</v>
      </c>
    </row>
    <row r="2791" spans="1:23" ht="12.3" hidden="1" x14ac:dyDescent="0.4">
      <c r="A2791" s="2" t="s">
        <v>82</v>
      </c>
      <c r="B2791" s="2"/>
      <c r="C2791" s="2"/>
      <c r="D2791" s="2"/>
      <c r="E2791" s="2"/>
      <c r="F2791" s="2"/>
      <c r="G2791" s="2"/>
      <c r="H2791" s="2"/>
      <c r="I2791" s="2">
        <v>66.192099999999996</v>
      </c>
      <c r="J2791" s="2">
        <v>232</v>
      </c>
      <c r="K2791" s="2">
        <v>67.258399999999995</v>
      </c>
      <c r="L2791" s="2">
        <v>174</v>
      </c>
      <c r="M2791" s="2">
        <v>104.0471</v>
      </c>
      <c r="N2791" s="2">
        <v>113</v>
      </c>
      <c r="O2791" s="2">
        <v>104.0103</v>
      </c>
      <c r="P2791" s="2">
        <v>127</v>
      </c>
      <c r="Q2791" s="2">
        <v>101.2406</v>
      </c>
      <c r="R2791" s="2">
        <v>170</v>
      </c>
      <c r="S2791" s="2">
        <v>100.47880000000001</v>
      </c>
      <c r="T2791" s="2">
        <v>148</v>
      </c>
      <c r="U2791" s="2">
        <v>0.59802699999999998</v>
      </c>
      <c r="V2791" s="2">
        <v>125</v>
      </c>
      <c r="W2791" s="2">
        <v>2010</v>
      </c>
    </row>
    <row r="2792" spans="1:23" ht="12.3" x14ac:dyDescent="0.4">
      <c r="A2792" s="2" t="s">
        <v>97</v>
      </c>
      <c r="B2792" s="2">
        <v>11</v>
      </c>
      <c r="C2792" s="2"/>
      <c r="D2792" s="2"/>
      <c r="E2792" s="2"/>
      <c r="F2792" s="2"/>
      <c r="G2792" s="2"/>
      <c r="H2792" s="2"/>
      <c r="I2792" s="2">
        <v>67.023200000000003</v>
      </c>
      <c r="J2792" s="2">
        <v>166</v>
      </c>
      <c r="K2792" s="2">
        <v>67.432000000000002</v>
      </c>
      <c r="L2792" s="2">
        <v>136</v>
      </c>
      <c r="M2792" s="2">
        <v>109.8188</v>
      </c>
      <c r="N2792" s="2">
        <v>33</v>
      </c>
      <c r="O2792" s="2">
        <v>110.1537</v>
      </c>
      <c r="P2792" s="2">
        <v>38</v>
      </c>
      <c r="Q2792" s="2">
        <v>98.840400000000002</v>
      </c>
      <c r="R2792" s="2">
        <v>99</v>
      </c>
      <c r="S2792" s="2">
        <v>98.811300000000003</v>
      </c>
      <c r="T2792" s="2">
        <v>106</v>
      </c>
      <c r="U2792" s="2">
        <v>0.77723900000000001</v>
      </c>
      <c r="V2792" s="2">
        <v>57</v>
      </c>
      <c r="W2792" s="2">
        <v>2006</v>
      </c>
    </row>
    <row r="2793" spans="1:23" ht="12.3" hidden="1" x14ac:dyDescent="0.4">
      <c r="A2793" s="2" t="s">
        <v>90</v>
      </c>
      <c r="B2793" s="2"/>
      <c r="C2793" s="2"/>
      <c r="D2793" s="2"/>
      <c r="E2793" s="2"/>
      <c r="F2793" s="2"/>
      <c r="G2793" s="2"/>
      <c r="H2793" s="2"/>
      <c r="I2793" s="2">
        <v>65.898600000000002</v>
      </c>
      <c r="J2793" s="2">
        <v>244</v>
      </c>
      <c r="K2793" s="2">
        <v>66.774799999999999</v>
      </c>
      <c r="L2793" s="2">
        <v>195</v>
      </c>
      <c r="M2793" s="2">
        <v>104.39149999999999</v>
      </c>
      <c r="N2793" s="2">
        <v>106</v>
      </c>
      <c r="O2793" s="2">
        <v>105.8935</v>
      </c>
      <c r="P2793" s="2">
        <v>89</v>
      </c>
      <c r="Q2793" s="2">
        <v>103.1647</v>
      </c>
      <c r="R2793" s="2">
        <v>215</v>
      </c>
      <c r="S2793" s="2">
        <v>102.37909999999999</v>
      </c>
      <c r="T2793" s="2">
        <v>187</v>
      </c>
      <c r="U2793" s="2">
        <v>0.595835</v>
      </c>
      <c r="V2793" s="2">
        <v>127</v>
      </c>
      <c r="W2793" s="2">
        <v>2010</v>
      </c>
    </row>
    <row r="2794" spans="1:23" ht="12.3" hidden="1" x14ac:dyDescent="0.4">
      <c r="A2794" s="2" t="s">
        <v>80</v>
      </c>
      <c r="B2794" s="2"/>
      <c r="C2794" s="2"/>
      <c r="D2794" s="2"/>
      <c r="E2794" s="2"/>
      <c r="F2794" s="2"/>
      <c r="G2794" s="2"/>
      <c r="H2794" s="2"/>
      <c r="I2794" s="2">
        <v>71.519400000000005</v>
      </c>
      <c r="J2794" s="2">
        <v>28</v>
      </c>
      <c r="K2794" s="2">
        <v>71.669799999999995</v>
      </c>
      <c r="L2794" s="2">
        <v>24</v>
      </c>
      <c r="M2794" s="2">
        <v>103.0253</v>
      </c>
      <c r="N2794" s="2">
        <v>135</v>
      </c>
      <c r="O2794" s="2">
        <v>103.0907</v>
      </c>
      <c r="P2794" s="2">
        <v>144</v>
      </c>
      <c r="Q2794" s="2">
        <v>102.2671</v>
      </c>
      <c r="R2794" s="2">
        <v>188</v>
      </c>
      <c r="S2794" s="2">
        <v>99.676100000000005</v>
      </c>
      <c r="T2794" s="2">
        <v>136</v>
      </c>
      <c r="U2794" s="2">
        <v>0.59564600000000001</v>
      </c>
      <c r="V2794" s="2">
        <v>128</v>
      </c>
      <c r="W2794" s="2">
        <v>2010</v>
      </c>
    </row>
    <row r="2795" spans="1:23" ht="12.3" x14ac:dyDescent="0.4">
      <c r="A2795" s="2" t="s">
        <v>122</v>
      </c>
      <c r="B2795" s="2">
        <v>11</v>
      </c>
      <c r="C2795" s="4" t="s">
        <v>33</v>
      </c>
      <c r="D2795" s="2"/>
      <c r="E2795" s="2"/>
      <c r="F2795" s="2"/>
      <c r="G2795" s="2"/>
      <c r="H2795" s="2"/>
      <c r="I2795" s="2">
        <v>67.977800000000002</v>
      </c>
      <c r="J2795" s="2">
        <v>130</v>
      </c>
      <c r="K2795" s="2">
        <v>69.346199999999996</v>
      </c>
      <c r="L2795" s="2">
        <v>78</v>
      </c>
      <c r="M2795" s="2">
        <v>107.6327</v>
      </c>
      <c r="N2795" s="2">
        <v>59</v>
      </c>
      <c r="O2795" s="2">
        <v>106.28189999999999</v>
      </c>
      <c r="P2795" s="2">
        <v>84</v>
      </c>
      <c r="Q2795" s="2">
        <v>96.125299999999996</v>
      </c>
      <c r="R2795" s="2">
        <v>54</v>
      </c>
      <c r="S2795" s="2">
        <v>95.999300000000005</v>
      </c>
      <c r="T2795" s="2">
        <v>55</v>
      </c>
      <c r="U2795" s="2">
        <v>0.76317599999999997</v>
      </c>
      <c r="V2795" s="2">
        <v>60</v>
      </c>
      <c r="W2795" s="2">
        <v>2006</v>
      </c>
    </row>
    <row r="2796" spans="1:23" ht="12.3" hidden="1" x14ac:dyDescent="0.4">
      <c r="A2796" s="2" t="s">
        <v>70</v>
      </c>
      <c r="B2796" s="2"/>
      <c r="C2796" s="2"/>
      <c r="D2796" s="2"/>
      <c r="E2796" s="2"/>
      <c r="F2796" s="2"/>
      <c r="G2796" s="2"/>
      <c r="H2796" s="2"/>
      <c r="I2796" s="2">
        <v>66.019499999999994</v>
      </c>
      <c r="J2796" s="2">
        <v>239</v>
      </c>
      <c r="K2796" s="2">
        <v>66.186499999999995</v>
      </c>
      <c r="L2796" s="2">
        <v>221</v>
      </c>
      <c r="M2796" s="2">
        <v>100.16370000000001</v>
      </c>
      <c r="N2796" s="2">
        <v>191</v>
      </c>
      <c r="O2796" s="2">
        <v>100.5813</v>
      </c>
      <c r="P2796" s="2">
        <v>184</v>
      </c>
      <c r="Q2796" s="2">
        <v>99.346999999999994</v>
      </c>
      <c r="R2796" s="2">
        <v>131</v>
      </c>
      <c r="S2796" s="2">
        <v>97.305400000000006</v>
      </c>
      <c r="T2796" s="2">
        <v>81</v>
      </c>
      <c r="U2796" s="2">
        <v>0.59406300000000001</v>
      </c>
      <c r="V2796" s="2">
        <v>130</v>
      </c>
      <c r="W2796" s="2">
        <v>2010</v>
      </c>
    </row>
    <row r="2797" spans="1:23" ht="12.3" hidden="1" x14ac:dyDescent="0.4">
      <c r="A2797" s="2" t="s">
        <v>244</v>
      </c>
      <c r="B2797" s="2"/>
      <c r="C2797" s="2"/>
      <c r="D2797" s="2"/>
      <c r="E2797" s="2"/>
      <c r="F2797" s="2"/>
      <c r="G2797" s="2"/>
      <c r="H2797" s="2"/>
      <c r="I2797" s="2">
        <v>70.302499999999995</v>
      </c>
      <c r="J2797" s="2">
        <v>54</v>
      </c>
      <c r="K2797" s="2">
        <v>70.226900000000001</v>
      </c>
      <c r="L2797" s="2">
        <v>49</v>
      </c>
      <c r="M2797" s="2">
        <v>103.27330000000001</v>
      </c>
      <c r="N2797" s="2">
        <v>131</v>
      </c>
      <c r="O2797" s="2">
        <v>102.3845</v>
      </c>
      <c r="P2797" s="2">
        <v>154</v>
      </c>
      <c r="Q2797" s="2">
        <v>96.327399999999997</v>
      </c>
      <c r="R2797" s="2">
        <v>64</v>
      </c>
      <c r="S2797" s="2">
        <v>99.078999999999994</v>
      </c>
      <c r="T2797" s="2">
        <v>123</v>
      </c>
      <c r="U2797" s="2">
        <v>0.59324600000000005</v>
      </c>
      <c r="V2797" s="2">
        <v>131</v>
      </c>
      <c r="W2797" s="2">
        <v>2010</v>
      </c>
    </row>
    <row r="2798" spans="1:23" ht="12.3" hidden="1" x14ac:dyDescent="0.4">
      <c r="A2798" s="2" t="s">
        <v>138</v>
      </c>
      <c r="B2798" s="2"/>
      <c r="C2798" s="2"/>
      <c r="D2798" s="2"/>
      <c r="E2798" s="2"/>
      <c r="F2798" s="2"/>
      <c r="G2798" s="2"/>
      <c r="H2798" s="2"/>
      <c r="I2798" s="2">
        <v>67.562200000000004</v>
      </c>
      <c r="J2798" s="2">
        <v>163</v>
      </c>
      <c r="K2798" s="2">
        <v>67.241299999999995</v>
      </c>
      <c r="L2798" s="2">
        <v>176</v>
      </c>
      <c r="M2798" s="2">
        <v>101.7775</v>
      </c>
      <c r="N2798" s="2">
        <v>159</v>
      </c>
      <c r="O2798" s="2">
        <v>101.1223</v>
      </c>
      <c r="P2798" s="2">
        <v>172</v>
      </c>
      <c r="Q2798" s="2">
        <v>97.437399999999997</v>
      </c>
      <c r="R2798" s="2">
        <v>92</v>
      </c>
      <c r="S2798" s="2">
        <v>98.0655</v>
      </c>
      <c r="T2798" s="2">
        <v>100</v>
      </c>
      <c r="U2798" s="2">
        <v>0.58734299999999995</v>
      </c>
      <c r="V2798" s="2">
        <v>132</v>
      </c>
      <c r="W2798" s="2">
        <v>2010</v>
      </c>
    </row>
    <row r="2799" spans="1:23" ht="12.3" hidden="1" x14ac:dyDescent="0.4">
      <c r="A2799" s="2" t="s">
        <v>106</v>
      </c>
      <c r="B2799" s="2"/>
      <c r="C2799" s="2"/>
      <c r="D2799" s="2"/>
      <c r="E2799" s="2"/>
      <c r="F2799" s="2"/>
      <c r="G2799" s="2"/>
      <c r="H2799" s="2"/>
      <c r="I2799" s="2">
        <v>68.723799999999997</v>
      </c>
      <c r="J2799" s="2">
        <v>106</v>
      </c>
      <c r="K2799" s="2">
        <v>67.828400000000002</v>
      </c>
      <c r="L2799" s="2">
        <v>143</v>
      </c>
      <c r="M2799" s="2">
        <v>101.61799999999999</v>
      </c>
      <c r="N2799" s="2">
        <v>162</v>
      </c>
      <c r="O2799" s="2">
        <v>104.90260000000001</v>
      </c>
      <c r="P2799" s="2">
        <v>108</v>
      </c>
      <c r="Q2799" s="2">
        <v>102.6183</v>
      </c>
      <c r="R2799" s="2">
        <v>197</v>
      </c>
      <c r="S2799" s="2">
        <v>101.9192</v>
      </c>
      <c r="T2799" s="2">
        <v>173</v>
      </c>
      <c r="U2799" s="2">
        <v>0.58219600000000005</v>
      </c>
      <c r="V2799" s="2">
        <v>133</v>
      </c>
      <c r="W2799" s="2">
        <v>2010</v>
      </c>
    </row>
    <row r="2800" spans="1:23" ht="12.3" hidden="1" x14ac:dyDescent="0.4">
      <c r="A2800" s="2" t="s">
        <v>157</v>
      </c>
      <c r="B2800" s="2"/>
      <c r="C2800" s="2"/>
      <c r="D2800" s="2"/>
      <c r="E2800" s="2"/>
      <c r="F2800" s="2"/>
      <c r="G2800" s="2"/>
      <c r="H2800" s="2"/>
      <c r="I2800" s="2">
        <v>66.757099999999994</v>
      </c>
      <c r="J2800" s="2">
        <v>202</v>
      </c>
      <c r="K2800" s="2">
        <v>67.494500000000002</v>
      </c>
      <c r="L2800" s="2">
        <v>161</v>
      </c>
      <c r="M2800" s="2">
        <v>98.105800000000002</v>
      </c>
      <c r="N2800" s="2">
        <v>229</v>
      </c>
      <c r="O2800" s="2">
        <v>100.2298</v>
      </c>
      <c r="P2800" s="2">
        <v>189</v>
      </c>
      <c r="Q2800" s="2">
        <v>99.649199999999993</v>
      </c>
      <c r="R2800" s="2">
        <v>135</v>
      </c>
      <c r="S2800" s="2">
        <v>97.402500000000003</v>
      </c>
      <c r="T2800" s="2">
        <v>84</v>
      </c>
      <c r="U2800" s="2">
        <v>0.58152999999999999</v>
      </c>
      <c r="V2800" s="2">
        <v>134</v>
      </c>
      <c r="W2800" s="2">
        <v>2010</v>
      </c>
    </row>
    <row r="2801" spans="1:23" ht="12.3" hidden="1" x14ac:dyDescent="0.4">
      <c r="A2801" s="2" t="s">
        <v>239</v>
      </c>
      <c r="B2801" s="2"/>
      <c r="C2801" s="2"/>
      <c r="D2801" s="2"/>
      <c r="E2801" s="2"/>
      <c r="F2801" s="2"/>
      <c r="G2801" s="2"/>
      <c r="H2801" s="2"/>
      <c r="I2801" s="2">
        <v>66.8613</v>
      </c>
      <c r="J2801" s="2">
        <v>197</v>
      </c>
      <c r="K2801" s="2">
        <v>67.563199999999995</v>
      </c>
      <c r="L2801" s="2">
        <v>156</v>
      </c>
      <c r="M2801" s="2">
        <v>104.9365</v>
      </c>
      <c r="N2801" s="2">
        <v>96</v>
      </c>
      <c r="O2801" s="2">
        <v>104.42829999999999</v>
      </c>
      <c r="P2801" s="2">
        <v>118</v>
      </c>
      <c r="Q2801" s="2">
        <v>103.7882</v>
      </c>
      <c r="R2801" s="2">
        <v>238</v>
      </c>
      <c r="S2801" s="2">
        <v>101.4832</v>
      </c>
      <c r="T2801" s="2">
        <v>169</v>
      </c>
      <c r="U2801" s="2">
        <v>0.58151200000000003</v>
      </c>
      <c r="V2801" s="2">
        <v>135</v>
      </c>
      <c r="W2801" s="2">
        <v>2010</v>
      </c>
    </row>
    <row r="2802" spans="1:23" ht="12.3" hidden="1" x14ac:dyDescent="0.4">
      <c r="A2802" s="2" t="s">
        <v>122</v>
      </c>
      <c r="B2802" s="2"/>
      <c r="C2802" s="2"/>
      <c r="D2802" s="2"/>
      <c r="E2802" s="2"/>
      <c r="F2802" s="2"/>
      <c r="G2802" s="2"/>
      <c r="H2802" s="2"/>
      <c r="I2802" s="2">
        <v>66.7727</v>
      </c>
      <c r="J2802" s="2">
        <v>201</v>
      </c>
      <c r="K2802" s="2">
        <v>67.496200000000002</v>
      </c>
      <c r="L2802" s="2">
        <v>160</v>
      </c>
      <c r="M2802" s="2">
        <v>102.9944</v>
      </c>
      <c r="N2802" s="2">
        <v>137</v>
      </c>
      <c r="O2802" s="2">
        <v>103.9509</v>
      </c>
      <c r="P2802" s="2">
        <v>128</v>
      </c>
      <c r="Q2802" s="2">
        <v>101.8912</v>
      </c>
      <c r="R2802" s="2">
        <v>181</v>
      </c>
      <c r="S2802" s="2">
        <v>101.0454</v>
      </c>
      <c r="T2802" s="2">
        <v>164</v>
      </c>
      <c r="U2802" s="2">
        <v>0.58078600000000002</v>
      </c>
      <c r="V2802" s="2">
        <v>136</v>
      </c>
      <c r="W2802" s="2">
        <v>2010</v>
      </c>
    </row>
    <row r="2803" spans="1:23" ht="12.3" hidden="1" x14ac:dyDescent="0.4">
      <c r="A2803" s="2" t="s">
        <v>203</v>
      </c>
      <c r="B2803" s="2"/>
      <c r="C2803" s="2"/>
      <c r="D2803" s="2"/>
      <c r="E2803" s="2"/>
      <c r="F2803" s="2"/>
      <c r="G2803" s="2"/>
      <c r="H2803" s="2"/>
      <c r="I2803" s="2">
        <v>69.756500000000003</v>
      </c>
      <c r="J2803" s="2">
        <v>73</v>
      </c>
      <c r="K2803" s="2">
        <v>70.206500000000005</v>
      </c>
      <c r="L2803" s="2">
        <v>50</v>
      </c>
      <c r="M2803" s="2">
        <v>101.3069</v>
      </c>
      <c r="N2803" s="2">
        <v>167</v>
      </c>
      <c r="O2803" s="2">
        <v>100.2433</v>
      </c>
      <c r="P2803" s="2">
        <v>188</v>
      </c>
      <c r="Q2803" s="2">
        <v>95.519199999999998</v>
      </c>
      <c r="R2803" s="2">
        <v>48</v>
      </c>
      <c r="S2803" s="2">
        <v>97.595699999999994</v>
      </c>
      <c r="T2803" s="2">
        <v>88</v>
      </c>
      <c r="U2803" s="2">
        <v>0.57635199999999998</v>
      </c>
      <c r="V2803" s="2">
        <v>137</v>
      </c>
      <c r="W2803" s="2">
        <v>2010</v>
      </c>
    </row>
    <row r="2804" spans="1:23" ht="12.3" hidden="1" x14ac:dyDescent="0.4">
      <c r="A2804" s="2" t="s">
        <v>167</v>
      </c>
      <c r="B2804" s="2"/>
      <c r="C2804" s="2"/>
      <c r="D2804" s="2"/>
      <c r="E2804" s="2"/>
      <c r="F2804" s="2"/>
      <c r="G2804" s="2"/>
      <c r="H2804" s="2"/>
      <c r="I2804" s="2">
        <v>61.192599999999999</v>
      </c>
      <c r="J2804" s="2">
        <v>338</v>
      </c>
      <c r="K2804" s="2">
        <v>60.792400000000001</v>
      </c>
      <c r="L2804" s="2">
        <v>337</v>
      </c>
      <c r="M2804" s="2">
        <v>100.72</v>
      </c>
      <c r="N2804" s="2">
        <v>182</v>
      </c>
      <c r="O2804" s="2">
        <v>102.0885</v>
      </c>
      <c r="P2804" s="2">
        <v>158</v>
      </c>
      <c r="Q2804" s="2">
        <v>102.3951</v>
      </c>
      <c r="R2804" s="2">
        <v>190</v>
      </c>
      <c r="S2804" s="2">
        <v>99.435699999999997</v>
      </c>
      <c r="T2804" s="2">
        <v>130</v>
      </c>
      <c r="U2804" s="2">
        <v>0.57512200000000002</v>
      </c>
      <c r="V2804" s="2">
        <v>138</v>
      </c>
      <c r="W2804" s="2">
        <v>2010</v>
      </c>
    </row>
    <row r="2805" spans="1:23" ht="12.3" hidden="1" x14ac:dyDescent="0.4">
      <c r="A2805" s="2" t="s">
        <v>250</v>
      </c>
      <c r="B2805" s="2"/>
      <c r="C2805" s="2"/>
      <c r="D2805" s="2"/>
      <c r="E2805" s="2"/>
      <c r="F2805" s="2"/>
      <c r="G2805" s="2"/>
      <c r="H2805" s="2"/>
      <c r="I2805" s="2">
        <v>70.102199999999996</v>
      </c>
      <c r="J2805" s="2">
        <v>62</v>
      </c>
      <c r="K2805" s="2">
        <v>71.474299999999999</v>
      </c>
      <c r="L2805" s="2">
        <v>26</v>
      </c>
      <c r="M2805" s="2">
        <v>97.637200000000007</v>
      </c>
      <c r="N2805" s="2">
        <v>236</v>
      </c>
      <c r="O2805" s="2">
        <v>101.834</v>
      </c>
      <c r="P2805" s="2">
        <v>165</v>
      </c>
      <c r="Q2805" s="2">
        <v>99.143000000000001</v>
      </c>
      <c r="R2805" s="2">
        <v>127</v>
      </c>
      <c r="S2805" s="2">
        <v>99.309399999999997</v>
      </c>
      <c r="T2805" s="2">
        <v>128</v>
      </c>
      <c r="U2805" s="2">
        <v>0.57167400000000002</v>
      </c>
      <c r="V2805" s="2">
        <v>139</v>
      </c>
      <c r="W2805" s="2">
        <v>2010</v>
      </c>
    </row>
    <row r="2806" spans="1:23" ht="12.3" hidden="1" x14ac:dyDescent="0.4">
      <c r="A2806" s="2" t="s">
        <v>162</v>
      </c>
      <c r="B2806" s="2"/>
      <c r="C2806" s="2"/>
      <c r="D2806" s="2"/>
      <c r="E2806" s="2"/>
      <c r="F2806" s="2"/>
      <c r="G2806" s="2"/>
      <c r="H2806" s="2"/>
      <c r="I2806" s="2">
        <v>66.367599999999996</v>
      </c>
      <c r="J2806" s="2">
        <v>226</v>
      </c>
      <c r="K2806" s="2">
        <v>67.037199999999999</v>
      </c>
      <c r="L2806" s="2">
        <v>186</v>
      </c>
      <c r="M2806" s="2">
        <v>103.9765</v>
      </c>
      <c r="N2806" s="2">
        <v>117</v>
      </c>
      <c r="O2806" s="2">
        <v>105.7936</v>
      </c>
      <c r="P2806" s="2">
        <v>96</v>
      </c>
      <c r="Q2806" s="2">
        <v>100.9662</v>
      </c>
      <c r="R2806" s="2">
        <v>162</v>
      </c>
      <c r="S2806" s="2">
        <v>103.1747</v>
      </c>
      <c r="T2806" s="2">
        <v>210</v>
      </c>
      <c r="U2806" s="2">
        <v>0.57156899999999999</v>
      </c>
      <c r="V2806" s="2">
        <v>140</v>
      </c>
      <c r="W2806" s="2">
        <v>2010</v>
      </c>
    </row>
    <row r="2807" spans="1:23" ht="12.3" hidden="1" x14ac:dyDescent="0.4">
      <c r="A2807" s="2" t="s">
        <v>41</v>
      </c>
      <c r="B2807" s="2"/>
      <c r="C2807" s="2"/>
      <c r="D2807" s="2"/>
      <c r="E2807" s="2"/>
      <c r="F2807" s="2"/>
      <c r="G2807" s="2"/>
      <c r="H2807" s="2"/>
      <c r="I2807" s="2">
        <v>67.217200000000005</v>
      </c>
      <c r="J2807" s="2">
        <v>183</v>
      </c>
      <c r="K2807" s="2">
        <v>67.214100000000002</v>
      </c>
      <c r="L2807" s="2">
        <v>177</v>
      </c>
      <c r="M2807" s="2">
        <v>102.3212</v>
      </c>
      <c r="N2807" s="2">
        <v>148</v>
      </c>
      <c r="O2807" s="2">
        <v>103.39019999999999</v>
      </c>
      <c r="P2807" s="2">
        <v>140</v>
      </c>
      <c r="Q2807" s="2">
        <v>102.9006</v>
      </c>
      <c r="R2807" s="2">
        <v>209</v>
      </c>
      <c r="S2807" s="2">
        <v>100.849</v>
      </c>
      <c r="T2807" s="2">
        <v>158</v>
      </c>
      <c r="U2807" s="2">
        <v>0.57106100000000004</v>
      </c>
      <c r="V2807" s="2">
        <v>141</v>
      </c>
      <c r="W2807" s="2">
        <v>2010</v>
      </c>
    </row>
    <row r="2808" spans="1:23" ht="12.3" x14ac:dyDescent="0.4">
      <c r="A2808" s="2" t="s">
        <v>50</v>
      </c>
      <c r="B2808" s="2">
        <v>14</v>
      </c>
      <c r="C2808" s="2"/>
      <c r="D2808" s="2"/>
      <c r="E2808" s="2"/>
      <c r="F2808" s="2"/>
      <c r="G2808" s="2"/>
      <c r="H2808" s="2"/>
      <c r="I2808" s="2">
        <v>65.255099999999999</v>
      </c>
      <c r="J2808" s="2">
        <v>237</v>
      </c>
      <c r="K2808" s="2">
        <v>67.002799999999993</v>
      </c>
      <c r="L2808" s="2">
        <v>158</v>
      </c>
      <c r="M2808" s="2">
        <v>108.8965</v>
      </c>
      <c r="N2808" s="2">
        <v>42</v>
      </c>
      <c r="O2808" s="2">
        <v>108.18980000000001</v>
      </c>
      <c r="P2808" s="2">
        <v>60</v>
      </c>
      <c r="Q2808" s="2">
        <v>96.049599999999998</v>
      </c>
      <c r="R2808" s="2">
        <v>51</v>
      </c>
      <c r="S2808" s="2">
        <v>97.923100000000005</v>
      </c>
      <c r="T2808" s="2">
        <v>91</v>
      </c>
      <c r="U2808" s="2">
        <v>0.75889099999999998</v>
      </c>
      <c r="V2808" s="2">
        <v>62</v>
      </c>
      <c r="W2808" s="2">
        <v>2006</v>
      </c>
    </row>
    <row r="2809" spans="1:23" ht="12.3" hidden="1" x14ac:dyDescent="0.4">
      <c r="A2809" s="2" t="s">
        <v>267</v>
      </c>
      <c r="B2809" s="2"/>
      <c r="C2809" s="2"/>
      <c r="D2809" s="2"/>
      <c r="E2809" s="2"/>
      <c r="F2809" s="2"/>
      <c r="G2809" s="2"/>
      <c r="H2809" s="2"/>
      <c r="I2809" s="2">
        <v>63.847200000000001</v>
      </c>
      <c r="J2809" s="2">
        <v>304</v>
      </c>
      <c r="K2809" s="2">
        <v>65.538499999999999</v>
      </c>
      <c r="L2809" s="2">
        <v>250</v>
      </c>
      <c r="M2809" s="2">
        <v>100.89879999999999</v>
      </c>
      <c r="N2809" s="2">
        <v>179</v>
      </c>
      <c r="O2809" s="2">
        <v>102.8877</v>
      </c>
      <c r="P2809" s="2">
        <v>148</v>
      </c>
      <c r="Q2809" s="2">
        <v>102.62909999999999</v>
      </c>
      <c r="R2809" s="2">
        <v>198</v>
      </c>
      <c r="S2809" s="2">
        <v>100.59610000000001</v>
      </c>
      <c r="T2809" s="2">
        <v>153</v>
      </c>
      <c r="U2809" s="2">
        <v>0.56439799999999996</v>
      </c>
      <c r="V2809" s="2">
        <v>143</v>
      </c>
      <c r="W2809" s="2">
        <v>2010</v>
      </c>
    </row>
    <row r="2810" spans="1:23" ht="12.3" hidden="1" x14ac:dyDescent="0.4">
      <c r="A2810" s="2" t="s">
        <v>214</v>
      </c>
      <c r="B2810" s="2"/>
      <c r="C2810" s="2"/>
      <c r="D2810" s="2"/>
      <c r="E2810" s="2"/>
      <c r="F2810" s="2"/>
      <c r="G2810" s="2"/>
      <c r="H2810" s="2"/>
      <c r="I2810" s="2">
        <v>69.106899999999996</v>
      </c>
      <c r="J2810" s="2">
        <v>88</v>
      </c>
      <c r="K2810" s="2">
        <v>68.989000000000004</v>
      </c>
      <c r="L2810" s="2">
        <v>86</v>
      </c>
      <c r="M2810" s="2">
        <v>101.312</v>
      </c>
      <c r="N2810" s="2">
        <v>166</v>
      </c>
      <c r="O2810" s="2">
        <v>100.87130000000001</v>
      </c>
      <c r="P2810" s="2">
        <v>180</v>
      </c>
      <c r="Q2810" s="2">
        <v>97.551000000000002</v>
      </c>
      <c r="R2810" s="2">
        <v>94</v>
      </c>
      <c r="S2810" s="2">
        <v>98.749399999999994</v>
      </c>
      <c r="T2810" s="2">
        <v>114</v>
      </c>
      <c r="U2810" s="2">
        <v>0.56081899999999996</v>
      </c>
      <c r="V2810" s="2">
        <v>144</v>
      </c>
      <c r="W2810" s="2">
        <v>2010</v>
      </c>
    </row>
    <row r="2811" spans="1:23" ht="12.3" hidden="1" x14ac:dyDescent="0.4">
      <c r="A2811" s="2" t="s">
        <v>304</v>
      </c>
      <c r="B2811" s="2"/>
      <c r="C2811" s="2"/>
      <c r="D2811" s="2"/>
      <c r="E2811" s="2"/>
      <c r="F2811" s="2"/>
      <c r="G2811" s="2"/>
      <c r="H2811" s="2"/>
      <c r="I2811" s="2">
        <v>67.785899999999998</v>
      </c>
      <c r="J2811" s="2">
        <v>147</v>
      </c>
      <c r="K2811" s="2">
        <v>65.997600000000006</v>
      </c>
      <c r="L2811" s="2">
        <v>233</v>
      </c>
      <c r="M2811" s="2">
        <v>103.9933</v>
      </c>
      <c r="N2811" s="2">
        <v>116</v>
      </c>
      <c r="O2811" s="2">
        <v>104.1028</v>
      </c>
      <c r="P2811" s="2">
        <v>125</v>
      </c>
      <c r="Q2811" s="2">
        <v>104.3793</v>
      </c>
      <c r="R2811" s="2">
        <v>253</v>
      </c>
      <c r="S2811" s="2">
        <v>101.9828</v>
      </c>
      <c r="T2811" s="2">
        <v>176</v>
      </c>
      <c r="U2811" s="2">
        <v>0.55887600000000004</v>
      </c>
      <c r="V2811" s="2">
        <v>145</v>
      </c>
      <c r="W2811" s="2">
        <v>2010</v>
      </c>
    </row>
    <row r="2812" spans="1:23" ht="12.3" hidden="1" x14ac:dyDescent="0.4">
      <c r="A2812" s="2" t="s">
        <v>123</v>
      </c>
      <c r="B2812" s="2"/>
      <c r="C2812" s="2"/>
      <c r="D2812" s="2"/>
      <c r="E2812" s="2"/>
      <c r="F2812" s="2"/>
      <c r="G2812" s="2"/>
      <c r="H2812" s="2"/>
      <c r="I2812" s="2">
        <v>68.303200000000004</v>
      </c>
      <c r="J2812" s="2">
        <v>128</v>
      </c>
      <c r="K2812" s="2">
        <v>68.534400000000005</v>
      </c>
      <c r="L2812" s="2">
        <v>108</v>
      </c>
      <c r="M2812" s="2">
        <v>98.360799999999998</v>
      </c>
      <c r="N2812" s="2">
        <v>220</v>
      </c>
      <c r="O2812" s="2">
        <v>102.9473</v>
      </c>
      <c r="P2812" s="2">
        <v>147</v>
      </c>
      <c r="Q2812" s="2">
        <v>105.1181</v>
      </c>
      <c r="R2812" s="2">
        <v>264</v>
      </c>
      <c r="S2812" s="2">
        <v>100.9284</v>
      </c>
      <c r="T2812" s="2">
        <v>160</v>
      </c>
      <c r="U2812" s="2">
        <v>0.556697</v>
      </c>
      <c r="V2812" s="2">
        <v>146</v>
      </c>
      <c r="W2812" s="2">
        <v>2010</v>
      </c>
    </row>
    <row r="2813" spans="1:23" ht="12.3" x14ac:dyDescent="0.4">
      <c r="A2813" s="2" t="s">
        <v>53</v>
      </c>
      <c r="B2813" s="2">
        <v>12</v>
      </c>
      <c r="C2813" s="2"/>
      <c r="D2813" s="2"/>
      <c r="E2813" s="2"/>
      <c r="F2813" s="2"/>
      <c r="G2813" s="2"/>
      <c r="H2813" s="2"/>
      <c r="I2813" s="2">
        <v>66.752899999999997</v>
      </c>
      <c r="J2813" s="2">
        <v>179</v>
      </c>
      <c r="K2813" s="2">
        <v>67.412199999999999</v>
      </c>
      <c r="L2813" s="2">
        <v>137</v>
      </c>
      <c r="M2813" s="2">
        <v>106.3043</v>
      </c>
      <c r="N2813" s="2">
        <v>83</v>
      </c>
      <c r="O2813" s="2">
        <v>106.3486</v>
      </c>
      <c r="P2813" s="2">
        <v>82</v>
      </c>
      <c r="Q2813" s="2">
        <v>96.244600000000005</v>
      </c>
      <c r="R2813" s="2">
        <v>57</v>
      </c>
      <c r="S2813" s="2">
        <v>96.482799999999997</v>
      </c>
      <c r="T2813" s="2">
        <v>63</v>
      </c>
      <c r="U2813" s="2">
        <v>0.75391600000000003</v>
      </c>
      <c r="V2813" s="2">
        <v>64</v>
      </c>
      <c r="W2813" s="2">
        <v>2006</v>
      </c>
    </row>
    <row r="2814" spans="1:23" ht="12.3" hidden="1" x14ac:dyDescent="0.4">
      <c r="A2814" s="2" t="s">
        <v>334</v>
      </c>
      <c r="B2814" s="2"/>
      <c r="C2814" s="2"/>
      <c r="D2814" s="2"/>
      <c r="E2814" s="2"/>
      <c r="F2814" s="2"/>
      <c r="G2814" s="2"/>
      <c r="H2814" s="2"/>
      <c r="I2814" s="2">
        <v>66.963700000000003</v>
      </c>
      <c r="J2814" s="2">
        <v>189</v>
      </c>
      <c r="K2814" s="2">
        <v>64.4542</v>
      </c>
      <c r="L2814" s="2">
        <v>286</v>
      </c>
      <c r="M2814" s="2">
        <v>107.2855</v>
      </c>
      <c r="N2814" s="2">
        <v>59</v>
      </c>
      <c r="O2814" s="2">
        <v>99.829099999999997</v>
      </c>
      <c r="P2814" s="2">
        <v>192</v>
      </c>
      <c r="Q2814" s="2">
        <v>91.796000000000006</v>
      </c>
      <c r="R2814" s="2">
        <v>17</v>
      </c>
      <c r="S2814" s="2">
        <v>98.023899999999998</v>
      </c>
      <c r="T2814" s="2">
        <v>97</v>
      </c>
      <c r="U2814" s="2">
        <v>0.55227300000000001</v>
      </c>
      <c r="V2814" s="2">
        <v>148</v>
      </c>
      <c r="W2814" s="2">
        <v>2010</v>
      </c>
    </row>
    <row r="2815" spans="1:23" ht="12.3" hidden="1" x14ac:dyDescent="0.4">
      <c r="A2815" s="2" t="s">
        <v>210</v>
      </c>
      <c r="B2815" s="2"/>
      <c r="C2815" s="2"/>
      <c r="D2815" s="2"/>
      <c r="E2815" s="2"/>
      <c r="F2815" s="2"/>
      <c r="G2815" s="2"/>
      <c r="H2815" s="2"/>
      <c r="I2815" s="2">
        <v>65.171700000000001</v>
      </c>
      <c r="J2815" s="2">
        <v>264</v>
      </c>
      <c r="K2815" s="2">
        <v>65.471199999999996</v>
      </c>
      <c r="L2815" s="2">
        <v>254</v>
      </c>
      <c r="M2815" s="2">
        <v>97.747699999999995</v>
      </c>
      <c r="N2815" s="2">
        <v>233</v>
      </c>
      <c r="O2815" s="2">
        <v>98.858199999999997</v>
      </c>
      <c r="P2815" s="2">
        <v>205</v>
      </c>
      <c r="Q2815" s="2">
        <v>97.6999</v>
      </c>
      <c r="R2815" s="2">
        <v>97</v>
      </c>
      <c r="S2815" s="2">
        <v>97.145799999999994</v>
      </c>
      <c r="T2815" s="2">
        <v>78</v>
      </c>
      <c r="U2815" s="2">
        <v>0.550068</v>
      </c>
      <c r="V2815" s="2">
        <v>149</v>
      </c>
      <c r="W2815" s="2">
        <v>2010</v>
      </c>
    </row>
    <row r="2816" spans="1:23" ht="12.3" hidden="1" x14ac:dyDescent="0.4">
      <c r="A2816" s="2" t="s">
        <v>140</v>
      </c>
      <c r="B2816" s="2"/>
      <c r="C2816" s="2"/>
      <c r="D2816" s="2"/>
      <c r="E2816" s="2"/>
      <c r="F2816" s="2"/>
      <c r="G2816" s="2"/>
      <c r="H2816" s="2"/>
      <c r="I2816" s="2">
        <v>62.962899999999998</v>
      </c>
      <c r="J2816" s="2">
        <v>318</v>
      </c>
      <c r="K2816" s="2">
        <v>61.993499999999997</v>
      </c>
      <c r="L2816" s="2">
        <v>328</v>
      </c>
      <c r="M2816" s="2">
        <v>104.0248</v>
      </c>
      <c r="N2816" s="2">
        <v>114</v>
      </c>
      <c r="O2816" s="2">
        <v>103.92</v>
      </c>
      <c r="P2816" s="2">
        <v>130</v>
      </c>
      <c r="Q2816" s="2">
        <v>102.9898</v>
      </c>
      <c r="R2816" s="2">
        <v>210</v>
      </c>
      <c r="S2816" s="2">
        <v>102.44410000000001</v>
      </c>
      <c r="T2816" s="2">
        <v>190</v>
      </c>
      <c r="U2816" s="2">
        <v>0.54103199999999996</v>
      </c>
      <c r="V2816" s="2">
        <v>150</v>
      </c>
      <c r="W2816" s="2">
        <v>2010</v>
      </c>
    </row>
    <row r="2817" spans="1:23" ht="12.3" hidden="1" x14ac:dyDescent="0.4">
      <c r="A2817" s="2" t="s">
        <v>213</v>
      </c>
      <c r="B2817" s="2"/>
      <c r="C2817" s="2"/>
      <c r="D2817" s="2"/>
      <c r="E2817" s="2"/>
      <c r="F2817" s="2"/>
      <c r="G2817" s="2"/>
      <c r="H2817" s="2"/>
      <c r="I2817" s="2">
        <v>68.7774</v>
      </c>
      <c r="J2817" s="2">
        <v>101</v>
      </c>
      <c r="K2817" s="2">
        <v>69.519599999999997</v>
      </c>
      <c r="L2817" s="2">
        <v>66</v>
      </c>
      <c r="M2817" s="2">
        <v>103.8103</v>
      </c>
      <c r="N2817" s="2">
        <v>119</v>
      </c>
      <c r="O2817" s="2">
        <v>105.6555</v>
      </c>
      <c r="P2817" s="2">
        <v>98</v>
      </c>
      <c r="Q2817" s="2">
        <v>102.6992</v>
      </c>
      <c r="R2817" s="2">
        <v>200</v>
      </c>
      <c r="S2817" s="2">
        <v>104.1944</v>
      </c>
      <c r="T2817" s="2">
        <v>228</v>
      </c>
      <c r="U2817" s="2">
        <v>0.53995099999999996</v>
      </c>
      <c r="V2817" s="2">
        <v>151</v>
      </c>
      <c r="W2817" s="2">
        <v>2010</v>
      </c>
    </row>
    <row r="2818" spans="1:23" ht="12.3" hidden="1" x14ac:dyDescent="0.4">
      <c r="A2818" s="2" t="s">
        <v>282</v>
      </c>
      <c r="B2818" s="2"/>
      <c r="C2818" s="2"/>
      <c r="D2818" s="2"/>
      <c r="E2818" s="2"/>
      <c r="F2818" s="2"/>
      <c r="G2818" s="2"/>
      <c r="H2818" s="2"/>
      <c r="I2818" s="2">
        <v>61.518599999999999</v>
      </c>
      <c r="J2818" s="2">
        <v>335</v>
      </c>
      <c r="K2818" s="2">
        <v>60.116</v>
      </c>
      <c r="L2818" s="2">
        <v>341</v>
      </c>
      <c r="M2818" s="2">
        <v>104.5842</v>
      </c>
      <c r="N2818" s="2">
        <v>100</v>
      </c>
      <c r="O2818" s="2">
        <v>100.9264</v>
      </c>
      <c r="P2818" s="2">
        <v>178</v>
      </c>
      <c r="Q2818" s="2">
        <v>96.402299999999997</v>
      </c>
      <c r="R2818" s="2">
        <v>69</v>
      </c>
      <c r="S2818" s="2">
        <v>99.545599999999993</v>
      </c>
      <c r="T2818" s="2">
        <v>132</v>
      </c>
      <c r="U2818" s="2">
        <v>0.53952299999999997</v>
      </c>
      <c r="V2818" s="2">
        <v>152</v>
      </c>
      <c r="W2818" s="2">
        <v>2010</v>
      </c>
    </row>
    <row r="2819" spans="1:23" ht="12.3" x14ac:dyDescent="0.4">
      <c r="A2819" s="2" t="s">
        <v>241</v>
      </c>
      <c r="B2819" s="2">
        <v>13</v>
      </c>
      <c r="C2819" s="2"/>
      <c r="D2819" s="2"/>
      <c r="E2819" s="2"/>
      <c r="F2819" s="2"/>
      <c r="G2819" s="2"/>
      <c r="H2819" s="2"/>
      <c r="I2819" s="2">
        <v>71.936499999999995</v>
      </c>
      <c r="J2819" s="2">
        <v>27</v>
      </c>
      <c r="K2819" s="2">
        <v>71.164100000000005</v>
      </c>
      <c r="L2819" s="2">
        <v>34</v>
      </c>
      <c r="M2819" s="2">
        <v>111.55540000000001</v>
      </c>
      <c r="N2819" s="2">
        <v>16</v>
      </c>
      <c r="O2819" s="2">
        <v>108.66719999999999</v>
      </c>
      <c r="P2819" s="2">
        <v>56</v>
      </c>
      <c r="Q2819" s="2">
        <v>99.9358</v>
      </c>
      <c r="R2819" s="2">
        <v>124</v>
      </c>
      <c r="S2819" s="2">
        <v>98.809899999999999</v>
      </c>
      <c r="T2819" s="2">
        <v>105</v>
      </c>
      <c r="U2819" s="2">
        <v>0.74905100000000002</v>
      </c>
      <c r="V2819" s="2">
        <v>67</v>
      </c>
      <c r="W2819" s="2">
        <v>2006</v>
      </c>
    </row>
    <row r="2820" spans="1:23" ht="12.3" hidden="1" x14ac:dyDescent="0.4">
      <c r="A2820" s="2" t="s">
        <v>376</v>
      </c>
      <c r="B2820" s="2"/>
      <c r="C2820" s="2"/>
      <c r="D2820" s="2"/>
      <c r="E2820" s="2"/>
      <c r="F2820" s="2"/>
      <c r="G2820" s="2"/>
      <c r="H2820" s="2"/>
      <c r="I2820" s="2">
        <v>79.620999999999995</v>
      </c>
      <c r="J2820" s="2">
        <v>2</v>
      </c>
      <c r="K2820" s="2">
        <v>79.492599999999996</v>
      </c>
      <c r="L2820" s="2">
        <v>2</v>
      </c>
      <c r="M2820" s="2">
        <v>101.0117</v>
      </c>
      <c r="N2820" s="2">
        <v>177</v>
      </c>
      <c r="O2820" s="2">
        <v>99.962400000000002</v>
      </c>
      <c r="P2820" s="2">
        <v>191</v>
      </c>
      <c r="Q2820" s="2">
        <v>99.987399999999994</v>
      </c>
      <c r="R2820" s="2">
        <v>143</v>
      </c>
      <c r="S2820" s="2">
        <v>98.813599999999994</v>
      </c>
      <c r="T2820" s="2">
        <v>115</v>
      </c>
      <c r="U2820" s="2">
        <v>0.53318200000000004</v>
      </c>
      <c r="V2820" s="2">
        <v>154</v>
      </c>
      <c r="W2820" s="2">
        <v>2010</v>
      </c>
    </row>
    <row r="2821" spans="1:23" ht="12.3" hidden="1" x14ac:dyDescent="0.4">
      <c r="A2821" s="2" t="s">
        <v>149</v>
      </c>
      <c r="B2821" s="2"/>
      <c r="C2821" s="2"/>
      <c r="D2821" s="2"/>
      <c r="E2821" s="2"/>
      <c r="F2821" s="2"/>
      <c r="G2821" s="2"/>
      <c r="H2821" s="2"/>
      <c r="I2821" s="2">
        <v>63.114100000000001</v>
      </c>
      <c r="J2821" s="2">
        <v>316</v>
      </c>
      <c r="K2821" s="2">
        <v>61.883600000000001</v>
      </c>
      <c r="L2821" s="2">
        <v>330</v>
      </c>
      <c r="M2821" s="2">
        <v>94.736000000000004</v>
      </c>
      <c r="N2821" s="2">
        <v>282</v>
      </c>
      <c r="O2821" s="2">
        <v>96.800399999999996</v>
      </c>
      <c r="P2821" s="2">
        <v>246</v>
      </c>
      <c r="Q2821" s="2">
        <v>96.712999999999994</v>
      </c>
      <c r="R2821" s="2">
        <v>74</v>
      </c>
      <c r="S2821" s="2">
        <v>95.737300000000005</v>
      </c>
      <c r="T2821" s="2">
        <v>62</v>
      </c>
      <c r="U2821" s="2">
        <v>0.53170700000000004</v>
      </c>
      <c r="V2821" s="2">
        <v>155</v>
      </c>
      <c r="W2821" s="2">
        <v>2010</v>
      </c>
    </row>
    <row r="2822" spans="1:23" ht="12.3" hidden="1" x14ac:dyDescent="0.4">
      <c r="A2822" s="2" t="s">
        <v>236</v>
      </c>
      <c r="B2822" s="2"/>
      <c r="C2822" s="2"/>
      <c r="D2822" s="2"/>
      <c r="E2822" s="2"/>
      <c r="F2822" s="2"/>
      <c r="G2822" s="2"/>
      <c r="H2822" s="2"/>
      <c r="I2822" s="2">
        <v>64.837599999999995</v>
      </c>
      <c r="J2822" s="2">
        <v>278</v>
      </c>
      <c r="K2822" s="2">
        <v>64.932500000000005</v>
      </c>
      <c r="L2822" s="2">
        <v>274</v>
      </c>
      <c r="M2822" s="2">
        <v>104.4132</v>
      </c>
      <c r="N2822" s="2">
        <v>105</v>
      </c>
      <c r="O2822" s="2">
        <v>104.2991</v>
      </c>
      <c r="P2822" s="2">
        <v>122</v>
      </c>
      <c r="Q2822" s="2">
        <v>103.41459999999999</v>
      </c>
      <c r="R2822" s="2">
        <v>225</v>
      </c>
      <c r="S2822" s="2">
        <v>103.2152</v>
      </c>
      <c r="T2822" s="2">
        <v>211</v>
      </c>
      <c r="U2822" s="2">
        <v>0.52999700000000005</v>
      </c>
      <c r="V2822" s="2">
        <v>156</v>
      </c>
      <c r="W2822" s="2">
        <v>2010</v>
      </c>
    </row>
    <row r="2823" spans="1:23" ht="12.3" hidden="1" x14ac:dyDescent="0.4">
      <c r="A2823" s="2" t="s">
        <v>188</v>
      </c>
      <c r="B2823" s="2"/>
      <c r="C2823" s="2"/>
      <c r="D2823" s="2"/>
      <c r="E2823" s="2"/>
      <c r="F2823" s="2"/>
      <c r="G2823" s="2"/>
      <c r="H2823" s="2"/>
      <c r="I2823" s="2">
        <v>69.919399999999996</v>
      </c>
      <c r="J2823" s="2">
        <v>67</v>
      </c>
      <c r="K2823" s="2">
        <v>70.7547</v>
      </c>
      <c r="L2823" s="2">
        <v>35</v>
      </c>
      <c r="M2823" s="2">
        <v>98.624799999999993</v>
      </c>
      <c r="N2823" s="2">
        <v>217</v>
      </c>
      <c r="O2823" s="2">
        <v>98.513599999999997</v>
      </c>
      <c r="P2823" s="2">
        <v>213</v>
      </c>
      <c r="Q2823" s="2">
        <v>101.0043</v>
      </c>
      <c r="R2823" s="2">
        <v>165</v>
      </c>
      <c r="S2823" s="2">
        <v>97.524900000000002</v>
      </c>
      <c r="T2823" s="2">
        <v>87</v>
      </c>
      <c r="U2823" s="2">
        <v>0.52896900000000002</v>
      </c>
      <c r="V2823" s="2">
        <v>157</v>
      </c>
      <c r="W2823" s="2">
        <v>2010</v>
      </c>
    </row>
    <row r="2824" spans="1:23" ht="12.3" hidden="1" x14ac:dyDescent="0.4">
      <c r="A2824" s="2" t="s">
        <v>147</v>
      </c>
      <c r="B2824" s="2"/>
      <c r="C2824" s="2"/>
      <c r="D2824" s="2"/>
      <c r="E2824" s="2"/>
      <c r="F2824" s="2"/>
      <c r="G2824" s="2"/>
      <c r="H2824" s="2"/>
      <c r="I2824" s="2">
        <v>66.147499999999994</v>
      </c>
      <c r="J2824" s="2">
        <v>233</v>
      </c>
      <c r="K2824" s="2">
        <v>65.625100000000003</v>
      </c>
      <c r="L2824" s="2">
        <v>247</v>
      </c>
      <c r="M2824" s="2">
        <v>99.292500000000004</v>
      </c>
      <c r="N2824" s="2">
        <v>202</v>
      </c>
      <c r="O2824" s="2">
        <v>101.07559999999999</v>
      </c>
      <c r="P2824" s="2">
        <v>174</v>
      </c>
      <c r="Q2824" s="2">
        <v>99.881500000000003</v>
      </c>
      <c r="R2824" s="2">
        <v>139</v>
      </c>
      <c r="S2824" s="2">
        <v>100.0745</v>
      </c>
      <c r="T2824" s="2">
        <v>143</v>
      </c>
      <c r="U2824" s="2">
        <v>0.52858799999999995</v>
      </c>
      <c r="V2824" s="2">
        <v>158</v>
      </c>
      <c r="W2824" s="2">
        <v>2010</v>
      </c>
    </row>
    <row r="2825" spans="1:23" ht="12.3" hidden="1" x14ac:dyDescent="0.4">
      <c r="A2825" s="2" t="s">
        <v>105</v>
      </c>
      <c r="B2825" s="2"/>
      <c r="C2825" s="2"/>
      <c r="D2825" s="2"/>
      <c r="E2825" s="2"/>
      <c r="F2825" s="2"/>
      <c r="G2825" s="2"/>
      <c r="H2825" s="2"/>
      <c r="I2825" s="2">
        <v>69.394300000000001</v>
      </c>
      <c r="J2825" s="2">
        <v>78</v>
      </c>
      <c r="K2825" s="2">
        <v>69.928799999999995</v>
      </c>
      <c r="L2825" s="2">
        <v>57</v>
      </c>
      <c r="M2825" s="2">
        <v>106.8623</v>
      </c>
      <c r="N2825" s="2">
        <v>69</v>
      </c>
      <c r="O2825" s="2">
        <v>107.128</v>
      </c>
      <c r="P2825" s="2">
        <v>73</v>
      </c>
      <c r="Q2825" s="2">
        <v>104.2479</v>
      </c>
      <c r="R2825" s="2">
        <v>249</v>
      </c>
      <c r="S2825" s="2">
        <v>106.2248</v>
      </c>
      <c r="T2825" s="2">
        <v>274</v>
      </c>
      <c r="U2825" s="2">
        <v>0.52432199999999995</v>
      </c>
      <c r="V2825" s="2">
        <v>159</v>
      </c>
      <c r="W2825" s="2">
        <v>2010</v>
      </c>
    </row>
    <row r="2826" spans="1:23" ht="12.3" hidden="1" x14ac:dyDescent="0.4">
      <c r="A2826" s="2" t="s">
        <v>212</v>
      </c>
      <c r="B2826" s="2"/>
      <c r="C2826" s="2"/>
      <c r="D2826" s="2"/>
      <c r="E2826" s="2"/>
      <c r="F2826" s="2"/>
      <c r="G2826" s="2"/>
      <c r="H2826" s="2"/>
      <c r="I2826" s="2">
        <v>71.212699999999998</v>
      </c>
      <c r="J2826" s="2">
        <v>32</v>
      </c>
      <c r="K2826" s="2">
        <v>71.075299999999999</v>
      </c>
      <c r="L2826" s="2">
        <v>30</v>
      </c>
      <c r="M2826" s="2">
        <v>103.06270000000001</v>
      </c>
      <c r="N2826" s="2">
        <v>134</v>
      </c>
      <c r="O2826" s="2">
        <v>100.6504</v>
      </c>
      <c r="P2826" s="2">
        <v>183</v>
      </c>
      <c r="Q2826" s="2">
        <v>102.1999</v>
      </c>
      <c r="R2826" s="2">
        <v>186</v>
      </c>
      <c r="S2826" s="2">
        <v>100.07550000000001</v>
      </c>
      <c r="T2826" s="2">
        <v>144</v>
      </c>
      <c r="U2826" s="2">
        <v>0.51646199999999998</v>
      </c>
      <c r="V2826" s="2">
        <v>160</v>
      </c>
      <c r="W2826" s="2">
        <v>2010</v>
      </c>
    </row>
    <row r="2827" spans="1:23" ht="12.3" hidden="1" x14ac:dyDescent="0.4">
      <c r="A2827" s="2" t="s">
        <v>319</v>
      </c>
      <c r="B2827" s="2"/>
      <c r="C2827" s="2"/>
      <c r="D2827" s="2"/>
      <c r="E2827" s="2"/>
      <c r="F2827" s="2"/>
      <c r="G2827" s="2"/>
      <c r="H2827" s="2"/>
      <c r="I2827" s="2">
        <v>66.561199999999999</v>
      </c>
      <c r="J2827" s="2">
        <v>217</v>
      </c>
      <c r="K2827" s="2">
        <v>65.211200000000005</v>
      </c>
      <c r="L2827" s="2">
        <v>267</v>
      </c>
      <c r="M2827" s="2">
        <v>101.78319999999999</v>
      </c>
      <c r="N2827" s="2">
        <v>158</v>
      </c>
      <c r="O2827" s="2">
        <v>98.706400000000002</v>
      </c>
      <c r="P2827" s="2">
        <v>210</v>
      </c>
      <c r="Q2827" s="2">
        <v>95.963499999999996</v>
      </c>
      <c r="R2827" s="2">
        <v>58</v>
      </c>
      <c r="S2827" s="2">
        <v>98.180499999999995</v>
      </c>
      <c r="T2827" s="2">
        <v>103</v>
      </c>
      <c r="U2827" s="2">
        <v>0.51535399999999998</v>
      </c>
      <c r="V2827" s="2">
        <v>161</v>
      </c>
      <c r="W2827" s="2">
        <v>2010</v>
      </c>
    </row>
    <row r="2828" spans="1:23" ht="12.3" hidden="1" x14ac:dyDescent="0.4">
      <c r="A2828" s="2" t="s">
        <v>335</v>
      </c>
      <c r="B2828" s="2"/>
      <c r="C2828" s="2"/>
      <c r="D2828" s="2"/>
      <c r="E2828" s="2"/>
      <c r="F2828" s="2"/>
      <c r="G2828" s="2"/>
      <c r="H2828" s="2"/>
      <c r="I2828" s="2">
        <v>65.981999999999999</v>
      </c>
      <c r="J2828" s="2">
        <v>240</v>
      </c>
      <c r="K2828" s="2">
        <v>65.954899999999995</v>
      </c>
      <c r="L2828" s="2">
        <v>234</v>
      </c>
      <c r="M2828" s="2">
        <v>92.316800000000001</v>
      </c>
      <c r="N2828" s="2">
        <v>312</v>
      </c>
      <c r="O2828" s="2">
        <v>91.564099999999996</v>
      </c>
      <c r="P2828" s="2">
        <v>306</v>
      </c>
      <c r="Q2828" s="2">
        <v>89.799300000000002</v>
      </c>
      <c r="R2828" s="2">
        <v>5</v>
      </c>
      <c r="S2828" s="2">
        <v>91.084400000000002</v>
      </c>
      <c r="T2828" s="2">
        <v>14</v>
      </c>
      <c r="U2828" s="2">
        <v>0.51509799999999994</v>
      </c>
      <c r="V2828" s="2">
        <v>162</v>
      </c>
      <c r="W2828" s="2">
        <v>2010</v>
      </c>
    </row>
    <row r="2829" spans="1:23" ht="12.3" hidden="1" x14ac:dyDescent="0.4">
      <c r="A2829" s="2" t="s">
        <v>228</v>
      </c>
      <c r="B2829" s="2"/>
      <c r="C2829" s="2"/>
      <c r="D2829" s="2"/>
      <c r="E2829" s="2"/>
      <c r="F2829" s="2"/>
      <c r="G2829" s="2"/>
      <c r="H2829" s="2"/>
      <c r="I2829" s="2">
        <v>66.143799999999999</v>
      </c>
      <c r="J2829" s="2">
        <v>234</v>
      </c>
      <c r="K2829" s="2">
        <v>66.1554</v>
      </c>
      <c r="L2829" s="2">
        <v>224</v>
      </c>
      <c r="M2829" s="2">
        <v>101.9282</v>
      </c>
      <c r="N2829" s="2">
        <v>155</v>
      </c>
      <c r="O2829" s="2">
        <v>98.761899999999997</v>
      </c>
      <c r="P2829" s="2">
        <v>207</v>
      </c>
      <c r="Q2829" s="2">
        <v>96.759900000000002</v>
      </c>
      <c r="R2829" s="2">
        <v>75</v>
      </c>
      <c r="S2829" s="2">
        <v>98.296700000000001</v>
      </c>
      <c r="T2829" s="2">
        <v>104</v>
      </c>
      <c r="U2829" s="2">
        <v>0.51357299999999995</v>
      </c>
      <c r="V2829" s="2">
        <v>163</v>
      </c>
      <c r="W2829" s="2">
        <v>2010</v>
      </c>
    </row>
    <row r="2830" spans="1:23" ht="12.3" hidden="1" x14ac:dyDescent="0.4">
      <c r="A2830" s="2" t="s">
        <v>91</v>
      </c>
      <c r="B2830" s="2"/>
      <c r="C2830" s="2"/>
      <c r="D2830" s="2"/>
      <c r="E2830" s="2"/>
      <c r="F2830" s="2"/>
      <c r="G2830" s="2"/>
      <c r="H2830" s="2"/>
      <c r="I2830" s="2">
        <v>70.658199999999994</v>
      </c>
      <c r="J2830" s="2">
        <v>43</v>
      </c>
      <c r="K2830" s="2">
        <v>70.287400000000005</v>
      </c>
      <c r="L2830" s="2">
        <v>45</v>
      </c>
      <c r="M2830" s="2">
        <v>96.899799999999999</v>
      </c>
      <c r="N2830" s="2">
        <v>251</v>
      </c>
      <c r="O2830" s="2">
        <v>100.9174</v>
      </c>
      <c r="P2830" s="2">
        <v>179</v>
      </c>
      <c r="Q2830" s="2">
        <v>105.3968</v>
      </c>
      <c r="R2830" s="2">
        <v>269</v>
      </c>
      <c r="S2830" s="2">
        <v>100.5132</v>
      </c>
      <c r="T2830" s="2">
        <v>150</v>
      </c>
      <c r="U2830" s="2">
        <v>0.51153599999999999</v>
      </c>
      <c r="V2830" s="2">
        <v>164</v>
      </c>
      <c r="W2830" s="2">
        <v>2010</v>
      </c>
    </row>
    <row r="2831" spans="1:23" ht="12.3" hidden="1" x14ac:dyDescent="0.4">
      <c r="A2831" s="2" t="s">
        <v>291</v>
      </c>
      <c r="B2831" s="2"/>
      <c r="C2831" s="2"/>
      <c r="D2831" s="2"/>
      <c r="E2831" s="2"/>
      <c r="F2831" s="2"/>
      <c r="G2831" s="2"/>
      <c r="H2831" s="2"/>
      <c r="I2831" s="2">
        <v>70.268699999999995</v>
      </c>
      <c r="J2831" s="2">
        <v>56</v>
      </c>
      <c r="K2831" s="2">
        <v>70.266900000000007</v>
      </c>
      <c r="L2831" s="2">
        <v>47</v>
      </c>
      <c r="M2831" s="2">
        <v>106.2389</v>
      </c>
      <c r="N2831" s="2">
        <v>84</v>
      </c>
      <c r="O2831" s="2">
        <v>106.4616</v>
      </c>
      <c r="P2831" s="2">
        <v>82</v>
      </c>
      <c r="Q2831" s="2">
        <v>106.96599999999999</v>
      </c>
      <c r="R2831" s="2">
        <v>296</v>
      </c>
      <c r="S2831" s="2">
        <v>106.04049999999999</v>
      </c>
      <c r="T2831" s="2">
        <v>270</v>
      </c>
      <c r="U2831" s="2">
        <v>0.51139299999999999</v>
      </c>
      <c r="V2831" s="2">
        <v>165</v>
      </c>
      <c r="W2831" s="2">
        <v>2010</v>
      </c>
    </row>
    <row r="2832" spans="1:23" ht="12.3" hidden="1" x14ac:dyDescent="0.4">
      <c r="A2832" s="2" t="s">
        <v>177</v>
      </c>
      <c r="B2832" s="2"/>
      <c r="C2832" s="2"/>
      <c r="D2832" s="2"/>
      <c r="E2832" s="2"/>
      <c r="F2832" s="2"/>
      <c r="G2832" s="2"/>
      <c r="H2832" s="2"/>
      <c r="I2832" s="2">
        <v>65.290800000000004</v>
      </c>
      <c r="J2832" s="2">
        <v>261</v>
      </c>
      <c r="K2832" s="2">
        <v>64.601299999999995</v>
      </c>
      <c r="L2832" s="2">
        <v>283</v>
      </c>
      <c r="M2832" s="2">
        <v>99.871700000000004</v>
      </c>
      <c r="N2832" s="2">
        <v>196</v>
      </c>
      <c r="O2832" s="2">
        <v>101.31780000000001</v>
      </c>
      <c r="P2832" s="2">
        <v>171</v>
      </c>
      <c r="Q2832" s="2">
        <v>103.05200000000001</v>
      </c>
      <c r="R2832" s="2">
        <v>213</v>
      </c>
      <c r="S2832" s="2">
        <v>100.9967</v>
      </c>
      <c r="T2832" s="2">
        <v>162</v>
      </c>
      <c r="U2832" s="2">
        <v>0.50912500000000005</v>
      </c>
      <c r="V2832" s="2">
        <v>166</v>
      </c>
      <c r="W2832" s="2">
        <v>2010</v>
      </c>
    </row>
    <row r="2833" spans="1:23" ht="12.3" hidden="1" x14ac:dyDescent="0.4">
      <c r="A2833" s="2" t="s">
        <v>222</v>
      </c>
      <c r="B2833" s="2"/>
      <c r="C2833" s="2"/>
      <c r="D2833" s="2"/>
      <c r="E2833" s="2"/>
      <c r="F2833" s="2"/>
      <c r="G2833" s="2"/>
      <c r="H2833" s="2"/>
      <c r="I2833" s="2">
        <v>65.335099999999997</v>
      </c>
      <c r="J2833" s="2">
        <v>260</v>
      </c>
      <c r="K2833" s="2">
        <v>65.647000000000006</v>
      </c>
      <c r="L2833" s="2">
        <v>245</v>
      </c>
      <c r="M2833" s="2">
        <v>102.7668</v>
      </c>
      <c r="N2833" s="2">
        <v>141</v>
      </c>
      <c r="O2833" s="2">
        <v>103.9263</v>
      </c>
      <c r="P2833" s="2">
        <v>129</v>
      </c>
      <c r="Q2833" s="2">
        <v>104.7216</v>
      </c>
      <c r="R2833" s="2">
        <v>256</v>
      </c>
      <c r="S2833" s="2">
        <v>103.6228</v>
      </c>
      <c r="T2833" s="2">
        <v>217</v>
      </c>
      <c r="U2833" s="2">
        <v>0.50840700000000005</v>
      </c>
      <c r="V2833" s="2">
        <v>167</v>
      </c>
      <c r="W2833" s="2">
        <v>2010</v>
      </c>
    </row>
    <row r="2834" spans="1:23" ht="12.3" hidden="1" x14ac:dyDescent="0.4">
      <c r="A2834" s="2" t="s">
        <v>246</v>
      </c>
      <c r="B2834" s="2"/>
      <c r="C2834" s="2"/>
      <c r="D2834" s="2"/>
      <c r="E2834" s="2"/>
      <c r="F2834" s="2"/>
      <c r="G2834" s="2"/>
      <c r="H2834" s="2"/>
      <c r="I2834" s="2">
        <v>69.862499999999997</v>
      </c>
      <c r="J2834" s="2">
        <v>70</v>
      </c>
      <c r="K2834" s="2">
        <v>69.501599999999996</v>
      </c>
      <c r="L2834" s="2">
        <v>67</v>
      </c>
      <c r="M2834" s="2">
        <v>104.2872</v>
      </c>
      <c r="N2834" s="2">
        <v>108</v>
      </c>
      <c r="O2834" s="2">
        <v>103.4986</v>
      </c>
      <c r="P2834" s="2">
        <v>137</v>
      </c>
      <c r="Q2834" s="2">
        <v>101.2664</v>
      </c>
      <c r="R2834" s="2">
        <v>171</v>
      </c>
      <c r="S2834" s="2">
        <v>103.2985</v>
      </c>
      <c r="T2834" s="2">
        <v>213</v>
      </c>
      <c r="U2834" s="2">
        <v>0.50556100000000004</v>
      </c>
      <c r="V2834" s="2">
        <v>168</v>
      </c>
      <c r="W2834" s="2">
        <v>2010</v>
      </c>
    </row>
    <row r="2835" spans="1:23" ht="12.3" hidden="1" x14ac:dyDescent="0.4">
      <c r="A2835" s="2" t="s">
        <v>155</v>
      </c>
      <c r="B2835" s="2"/>
      <c r="C2835" s="2"/>
      <c r="D2835" s="2"/>
      <c r="E2835" s="2"/>
      <c r="F2835" s="2"/>
      <c r="G2835" s="2"/>
      <c r="H2835" s="2"/>
      <c r="I2835" s="2">
        <v>70.231200000000001</v>
      </c>
      <c r="J2835" s="2">
        <v>58</v>
      </c>
      <c r="K2835" s="2">
        <v>69.900499999999994</v>
      </c>
      <c r="L2835" s="2">
        <v>58</v>
      </c>
      <c r="M2835" s="2">
        <v>98.728800000000007</v>
      </c>
      <c r="N2835" s="2">
        <v>216</v>
      </c>
      <c r="O2835" s="2">
        <v>100.9524</v>
      </c>
      <c r="P2835" s="2">
        <v>177</v>
      </c>
      <c r="Q2835" s="2">
        <v>106.0282</v>
      </c>
      <c r="R2835" s="2">
        <v>283</v>
      </c>
      <c r="S2835" s="2">
        <v>100.8275</v>
      </c>
      <c r="T2835" s="2">
        <v>157</v>
      </c>
      <c r="U2835" s="2">
        <v>0.50355799999999995</v>
      </c>
      <c r="V2835" s="2">
        <v>169</v>
      </c>
      <c r="W2835" s="2">
        <v>2010</v>
      </c>
    </row>
    <row r="2836" spans="1:23" ht="12.3" hidden="1" x14ac:dyDescent="0.4">
      <c r="A2836" s="2" t="s">
        <v>182</v>
      </c>
      <c r="B2836" s="2"/>
      <c r="C2836" s="2"/>
      <c r="D2836" s="2"/>
      <c r="E2836" s="2"/>
      <c r="F2836" s="2"/>
      <c r="G2836" s="2"/>
      <c r="H2836" s="2"/>
      <c r="I2836" s="2">
        <v>68.982399999999998</v>
      </c>
      <c r="J2836" s="2">
        <v>92</v>
      </c>
      <c r="K2836" s="2">
        <v>68.669799999999995</v>
      </c>
      <c r="L2836" s="2">
        <v>101</v>
      </c>
      <c r="M2836" s="2">
        <v>99.508200000000002</v>
      </c>
      <c r="N2836" s="2">
        <v>201</v>
      </c>
      <c r="O2836" s="2">
        <v>102.8075</v>
      </c>
      <c r="P2836" s="2">
        <v>149</v>
      </c>
      <c r="Q2836" s="2">
        <v>102.59650000000001</v>
      </c>
      <c r="R2836" s="2">
        <v>196</v>
      </c>
      <c r="S2836" s="2">
        <v>102.74120000000001</v>
      </c>
      <c r="T2836" s="2">
        <v>196</v>
      </c>
      <c r="U2836" s="2">
        <v>0.50185299999999999</v>
      </c>
      <c r="V2836" s="2">
        <v>170</v>
      </c>
      <c r="W2836" s="2">
        <v>2010</v>
      </c>
    </row>
    <row r="2837" spans="1:23" ht="12.3" hidden="1" x14ac:dyDescent="0.4">
      <c r="A2837" s="2" t="s">
        <v>356</v>
      </c>
      <c r="B2837" s="2"/>
      <c r="C2837" s="2"/>
      <c r="D2837" s="2"/>
      <c r="E2837" s="2"/>
      <c r="F2837" s="2"/>
      <c r="G2837" s="2"/>
      <c r="H2837" s="2"/>
      <c r="I2837" s="2">
        <v>67.439800000000005</v>
      </c>
      <c r="J2837" s="2">
        <v>171</v>
      </c>
      <c r="K2837" s="2">
        <v>66.8874</v>
      </c>
      <c r="L2837" s="2">
        <v>188</v>
      </c>
      <c r="M2837" s="2">
        <v>105.8079</v>
      </c>
      <c r="N2837" s="2">
        <v>89</v>
      </c>
      <c r="O2837" s="2">
        <v>103.2246</v>
      </c>
      <c r="P2837" s="2">
        <v>142</v>
      </c>
      <c r="Q2837" s="2">
        <v>105.6134</v>
      </c>
      <c r="R2837" s="2">
        <v>272</v>
      </c>
      <c r="S2837" s="2">
        <v>103.515</v>
      </c>
      <c r="T2837" s="2">
        <v>215</v>
      </c>
      <c r="U2837" s="2">
        <v>0.49192399999999997</v>
      </c>
      <c r="V2837" s="2">
        <v>171</v>
      </c>
      <c r="W2837" s="2">
        <v>2010</v>
      </c>
    </row>
    <row r="2838" spans="1:23" ht="12.3" hidden="1" x14ac:dyDescent="0.4">
      <c r="A2838" s="2" t="s">
        <v>112</v>
      </c>
      <c r="B2838" s="2"/>
      <c r="C2838" s="2"/>
      <c r="D2838" s="2"/>
      <c r="E2838" s="2"/>
      <c r="F2838" s="2"/>
      <c r="G2838" s="2"/>
      <c r="H2838" s="2"/>
      <c r="I2838" s="2">
        <v>66.980099999999993</v>
      </c>
      <c r="J2838" s="2">
        <v>188</v>
      </c>
      <c r="K2838" s="2">
        <v>66.644900000000007</v>
      </c>
      <c r="L2838" s="2">
        <v>200</v>
      </c>
      <c r="M2838" s="2">
        <v>98.8202</v>
      </c>
      <c r="N2838" s="2">
        <v>211</v>
      </c>
      <c r="O2838" s="2">
        <v>98.1982</v>
      </c>
      <c r="P2838" s="2">
        <v>223</v>
      </c>
      <c r="Q2838" s="2">
        <v>100.5885</v>
      </c>
      <c r="R2838" s="2">
        <v>152</v>
      </c>
      <c r="S2838" s="2">
        <v>98.483099999999993</v>
      </c>
      <c r="T2838" s="2">
        <v>108</v>
      </c>
      <c r="U2838" s="2">
        <v>0.491672</v>
      </c>
      <c r="V2838" s="2">
        <v>172</v>
      </c>
      <c r="W2838" s="2">
        <v>2010</v>
      </c>
    </row>
    <row r="2839" spans="1:23" ht="12.3" hidden="1" x14ac:dyDescent="0.4">
      <c r="A2839" s="2" t="s">
        <v>169</v>
      </c>
      <c r="B2839" s="2"/>
      <c r="C2839" s="2"/>
      <c r="D2839" s="2"/>
      <c r="E2839" s="2"/>
      <c r="F2839" s="2"/>
      <c r="G2839" s="2"/>
      <c r="H2839" s="2"/>
      <c r="I2839" s="2">
        <v>69.068299999999994</v>
      </c>
      <c r="J2839" s="2">
        <v>89</v>
      </c>
      <c r="K2839" s="2">
        <v>69.136899999999997</v>
      </c>
      <c r="L2839" s="2">
        <v>81</v>
      </c>
      <c r="M2839" s="2">
        <v>102.0094</v>
      </c>
      <c r="N2839" s="2">
        <v>153</v>
      </c>
      <c r="O2839" s="2">
        <v>103.65349999999999</v>
      </c>
      <c r="P2839" s="2">
        <v>136</v>
      </c>
      <c r="Q2839" s="2">
        <v>105.6353</v>
      </c>
      <c r="R2839" s="2">
        <v>274</v>
      </c>
      <c r="S2839" s="2">
        <v>103.99469999999999</v>
      </c>
      <c r="T2839" s="2">
        <v>224</v>
      </c>
      <c r="U2839" s="2">
        <v>0.49055199999999999</v>
      </c>
      <c r="V2839" s="2">
        <v>173</v>
      </c>
      <c r="W2839" s="2">
        <v>2010</v>
      </c>
    </row>
    <row r="2840" spans="1:23" ht="12.3" hidden="1" x14ac:dyDescent="0.4">
      <c r="A2840" s="2" t="s">
        <v>205</v>
      </c>
      <c r="B2840" s="2"/>
      <c r="C2840" s="2"/>
      <c r="D2840" s="2"/>
      <c r="E2840" s="2"/>
      <c r="F2840" s="2"/>
      <c r="G2840" s="2"/>
      <c r="H2840" s="2"/>
      <c r="I2840" s="2">
        <v>63.101999999999997</v>
      </c>
      <c r="J2840" s="2">
        <v>317</v>
      </c>
      <c r="K2840" s="2">
        <v>64.044700000000006</v>
      </c>
      <c r="L2840" s="2">
        <v>300</v>
      </c>
      <c r="M2840" s="2">
        <v>104.6759</v>
      </c>
      <c r="N2840" s="2">
        <v>98</v>
      </c>
      <c r="O2840" s="2">
        <v>105.82810000000001</v>
      </c>
      <c r="P2840" s="2">
        <v>93</v>
      </c>
      <c r="Q2840" s="2">
        <v>108.2161</v>
      </c>
      <c r="R2840" s="2">
        <v>316</v>
      </c>
      <c r="S2840" s="2">
        <v>106.2276</v>
      </c>
      <c r="T2840" s="2">
        <v>275</v>
      </c>
      <c r="U2840" s="2">
        <v>0.48916999999999999</v>
      </c>
      <c r="V2840" s="2">
        <v>174</v>
      </c>
      <c r="W2840" s="2">
        <v>2010</v>
      </c>
    </row>
    <row r="2841" spans="1:23" ht="12.3" x14ac:dyDescent="0.4">
      <c r="A2841" s="2" t="s">
        <v>119</v>
      </c>
      <c r="B2841" s="2">
        <v>10</v>
      </c>
      <c r="C2841" s="2"/>
      <c r="D2841" s="2"/>
      <c r="E2841" s="2"/>
      <c r="F2841" s="2"/>
      <c r="G2841" s="2"/>
      <c r="H2841" s="2"/>
      <c r="I2841" s="2">
        <v>66.443100000000001</v>
      </c>
      <c r="J2841" s="2">
        <v>192</v>
      </c>
      <c r="K2841" s="2">
        <v>66.983900000000006</v>
      </c>
      <c r="L2841" s="2">
        <v>159</v>
      </c>
      <c r="M2841" s="2">
        <v>101.07850000000001</v>
      </c>
      <c r="N2841" s="2">
        <v>176</v>
      </c>
      <c r="O2841" s="2">
        <v>105.55670000000001</v>
      </c>
      <c r="P2841" s="2">
        <v>95</v>
      </c>
      <c r="Q2841" s="2">
        <v>99.154499999999999</v>
      </c>
      <c r="R2841" s="2">
        <v>108</v>
      </c>
      <c r="S2841" s="2">
        <v>95.984899999999996</v>
      </c>
      <c r="T2841" s="2">
        <v>54</v>
      </c>
      <c r="U2841" s="2">
        <v>0.748977</v>
      </c>
      <c r="V2841" s="2">
        <v>68</v>
      </c>
      <c r="W2841" s="2">
        <v>2006</v>
      </c>
    </row>
    <row r="2842" spans="1:23" ht="12.3" hidden="1" x14ac:dyDescent="0.4">
      <c r="A2842" s="2" t="s">
        <v>337</v>
      </c>
      <c r="B2842" s="2"/>
      <c r="C2842" s="2"/>
      <c r="D2842" s="2"/>
      <c r="E2842" s="2"/>
      <c r="F2842" s="2"/>
      <c r="G2842" s="2"/>
      <c r="H2842" s="2"/>
      <c r="I2842" s="2">
        <v>71.027299999999997</v>
      </c>
      <c r="J2842" s="2">
        <v>34</v>
      </c>
      <c r="K2842" s="2">
        <v>70.458799999999997</v>
      </c>
      <c r="L2842" s="2">
        <v>42</v>
      </c>
      <c r="M2842" s="2">
        <v>109.2244</v>
      </c>
      <c r="N2842" s="2">
        <v>39</v>
      </c>
      <c r="O2842" s="2">
        <v>108.18729999999999</v>
      </c>
      <c r="P2842" s="2">
        <v>54</v>
      </c>
      <c r="Q2842" s="2">
        <v>105.3806</v>
      </c>
      <c r="R2842" s="2">
        <v>267</v>
      </c>
      <c r="S2842" s="2">
        <v>108.745</v>
      </c>
      <c r="T2842" s="2">
        <v>301</v>
      </c>
      <c r="U2842" s="2">
        <v>0.48522100000000001</v>
      </c>
      <c r="V2842" s="2">
        <v>176</v>
      </c>
      <c r="W2842" s="2">
        <v>2010</v>
      </c>
    </row>
    <row r="2843" spans="1:23" ht="12.3" hidden="1" x14ac:dyDescent="0.4">
      <c r="A2843" s="2" t="s">
        <v>331</v>
      </c>
      <c r="B2843" s="2"/>
      <c r="C2843" s="2"/>
      <c r="D2843" s="2"/>
      <c r="E2843" s="2"/>
      <c r="F2843" s="2"/>
      <c r="G2843" s="2"/>
      <c r="H2843" s="2"/>
      <c r="I2843" s="2">
        <v>65.914599999999993</v>
      </c>
      <c r="J2843" s="2">
        <v>242</v>
      </c>
      <c r="K2843" s="2">
        <v>66.566999999999993</v>
      </c>
      <c r="L2843" s="2">
        <v>206</v>
      </c>
      <c r="M2843" s="2">
        <v>99.274799999999999</v>
      </c>
      <c r="N2843" s="2">
        <v>203</v>
      </c>
      <c r="O2843" s="2">
        <v>98.970600000000005</v>
      </c>
      <c r="P2843" s="2">
        <v>202</v>
      </c>
      <c r="Q2843" s="2">
        <v>98.791399999999996</v>
      </c>
      <c r="R2843" s="2">
        <v>125</v>
      </c>
      <c r="S2843" s="2">
        <v>99.590599999999995</v>
      </c>
      <c r="T2843" s="2">
        <v>133</v>
      </c>
      <c r="U2843" s="2">
        <v>0.48205399999999998</v>
      </c>
      <c r="V2843" s="2">
        <v>177</v>
      </c>
      <c r="W2843" s="2">
        <v>2010</v>
      </c>
    </row>
    <row r="2844" spans="1:23" ht="12.3" hidden="1" x14ac:dyDescent="0.4">
      <c r="A2844" s="2" t="s">
        <v>84</v>
      </c>
      <c r="B2844" s="2"/>
      <c r="C2844" s="2"/>
      <c r="D2844" s="2"/>
      <c r="E2844" s="2"/>
      <c r="F2844" s="2"/>
      <c r="G2844" s="2"/>
      <c r="H2844" s="2"/>
      <c r="I2844" s="2">
        <v>61.862000000000002</v>
      </c>
      <c r="J2844" s="2">
        <v>332</v>
      </c>
      <c r="K2844" s="2">
        <v>62.603299999999997</v>
      </c>
      <c r="L2844" s="2">
        <v>322</v>
      </c>
      <c r="M2844" s="2">
        <v>97.289000000000001</v>
      </c>
      <c r="N2844" s="2">
        <v>245</v>
      </c>
      <c r="O2844" s="2">
        <v>101.38590000000001</v>
      </c>
      <c r="P2844" s="2">
        <v>170</v>
      </c>
      <c r="Q2844" s="2">
        <v>106.7347</v>
      </c>
      <c r="R2844" s="2">
        <v>292</v>
      </c>
      <c r="S2844" s="2">
        <v>102.0968</v>
      </c>
      <c r="T2844" s="2">
        <v>180</v>
      </c>
      <c r="U2844" s="2">
        <v>0.47992099999999999</v>
      </c>
      <c r="V2844" s="2">
        <v>178</v>
      </c>
      <c r="W2844" s="2">
        <v>2010</v>
      </c>
    </row>
    <row r="2845" spans="1:23" ht="12.3" hidden="1" x14ac:dyDescent="0.4">
      <c r="A2845" s="2" t="s">
        <v>278</v>
      </c>
      <c r="B2845" s="2"/>
      <c r="C2845" s="2"/>
      <c r="D2845" s="2"/>
      <c r="E2845" s="2"/>
      <c r="F2845" s="2"/>
      <c r="G2845" s="2"/>
      <c r="H2845" s="2"/>
      <c r="I2845" s="2">
        <v>67.467299999999994</v>
      </c>
      <c r="J2845" s="2">
        <v>169</v>
      </c>
      <c r="K2845" s="2">
        <v>66.855199999999996</v>
      </c>
      <c r="L2845" s="2">
        <v>190</v>
      </c>
      <c r="M2845" s="2">
        <v>108.3875</v>
      </c>
      <c r="N2845" s="2">
        <v>50</v>
      </c>
      <c r="O2845" s="2">
        <v>108.7424</v>
      </c>
      <c r="P2845" s="2">
        <v>48</v>
      </c>
      <c r="Q2845" s="2">
        <v>112.14619999999999</v>
      </c>
      <c r="R2845" s="2">
        <v>343</v>
      </c>
      <c r="S2845" s="2">
        <v>109.50579999999999</v>
      </c>
      <c r="T2845" s="2">
        <v>311</v>
      </c>
      <c r="U2845" s="2">
        <v>0.47989900000000002</v>
      </c>
      <c r="V2845" s="2">
        <v>179</v>
      </c>
      <c r="W2845" s="2">
        <v>2010</v>
      </c>
    </row>
    <row r="2846" spans="1:23" ht="12.3" hidden="1" x14ac:dyDescent="0.4">
      <c r="A2846" s="2" t="s">
        <v>349</v>
      </c>
      <c r="B2846" s="2"/>
      <c r="C2846" s="2"/>
      <c r="D2846" s="2"/>
      <c r="E2846" s="2"/>
      <c r="F2846" s="2"/>
      <c r="G2846" s="2"/>
      <c r="H2846" s="2"/>
      <c r="I2846" s="2">
        <v>67.366299999999995</v>
      </c>
      <c r="J2846" s="2">
        <v>177</v>
      </c>
      <c r="K2846" s="2">
        <v>67.296000000000006</v>
      </c>
      <c r="L2846" s="2">
        <v>170</v>
      </c>
      <c r="M2846" s="2">
        <v>97.708299999999994</v>
      </c>
      <c r="N2846" s="2">
        <v>235</v>
      </c>
      <c r="O2846" s="2">
        <v>95.228800000000007</v>
      </c>
      <c r="P2846" s="2">
        <v>275</v>
      </c>
      <c r="Q2846" s="2">
        <v>92.734200000000001</v>
      </c>
      <c r="R2846" s="2">
        <v>27</v>
      </c>
      <c r="S2846" s="2">
        <v>95.921899999999994</v>
      </c>
      <c r="T2846" s="2">
        <v>65</v>
      </c>
      <c r="U2846" s="2">
        <v>0.47916399999999998</v>
      </c>
      <c r="V2846" s="2">
        <v>180</v>
      </c>
      <c r="W2846" s="2">
        <v>2010</v>
      </c>
    </row>
    <row r="2847" spans="1:23" ht="12.3" x14ac:dyDescent="0.4">
      <c r="A2847" s="2" t="s">
        <v>49</v>
      </c>
      <c r="B2847" s="2">
        <v>10</v>
      </c>
      <c r="C2847" s="4" t="s">
        <v>33</v>
      </c>
      <c r="D2847" s="2"/>
      <c r="E2847" s="2"/>
      <c r="F2847" s="2"/>
      <c r="G2847" s="2"/>
      <c r="H2847" s="2"/>
      <c r="I2847" s="2">
        <v>64.725700000000003</v>
      </c>
      <c r="J2847" s="2">
        <v>256</v>
      </c>
      <c r="K2847" s="2">
        <v>64.844200000000001</v>
      </c>
      <c r="L2847" s="2">
        <v>257</v>
      </c>
      <c r="M2847" s="2">
        <v>106.9003</v>
      </c>
      <c r="N2847" s="2">
        <v>69</v>
      </c>
      <c r="O2847" s="2">
        <v>109.1016</v>
      </c>
      <c r="P2847" s="2">
        <v>49</v>
      </c>
      <c r="Q2847" s="2">
        <v>103.1665</v>
      </c>
      <c r="R2847" s="2">
        <v>198</v>
      </c>
      <c r="S2847" s="2">
        <v>99.343500000000006</v>
      </c>
      <c r="T2847" s="2">
        <v>117</v>
      </c>
      <c r="U2847" s="2">
        <v>0.74602000000000002</v>
      </c>
      <c r="V2847" s="2">
        <v>69</v>
      </c>
      <c r="W2847" s="2">
        <v>2006</v>
      </c>
    </row>
    <row r="2848" spans="1:23" ht="12.3" hidden="1" x14ac:dyDescent="0.4">
      <c r="A2848" s="2" t="s">
        <v>276</v>
      </c>
      <c r="B2848" s="2"/>
      <c r="C2848" s="2"/>
      <c r="D2848" s="2"/>
      <c r="E2848" s="2"/>
      <c r="F2848" s="2"/>
      <c r="G2848" s="2"/>
      <c r="H2848" s="2"/>
      <c r="I2848" s="2">
        <v>67.518299999999996</v>
      </c>
      <c r="J2848" s="2">
        <v>165</v>
      </c>
      <c r="K2848" s="2">
        <v>66.338700000000003</v>
      </c>
      <c r="L2848" s="2">
        <v>217</v>
      </c>
      <c r="M2848" s="2">
        <v>98.943600000000004</v>
      </c>
      <c r="N2848" s="2">
        <v>208</v>
      </c>
      <c r="O2848" s="2">
        <v>97.119100000000003</v>
      </c>
      <c r="P2848" s="2">
        <v>240</v>
      </c>
      <c r="Q2848" s="2">
        <v>97.941699999999997</v>
      </c>
      <c r="R2848" s="2">
        <v>102</v>
      </c>
      <c r="S2848" s="2">
        <v>98.054699999999997</v>
      </c>
      <c r="T2848" s="2">
        <v>99</v>
      </c>
      <c r="U2848" s="2">
        <v>0.47246500000000002</v>
      </c>
      <c r="V2848" s="2">
        <v>182</v>
      </c>
      <c r="W2848" s="2">
        <v>2010</v>
      </c>
    </row>
    <row r="2849" spans="1:23" ht="12.3" x14ac:dyDescent="0.4">
      <c r="A2849" s="2" t="s">
        <v>98</v>
      </c>
      <c r="B2849" s="2">
        <v>12</v>
      </c>
      <c r="C2849" s="2"/>
      <c r="D2849" s="2"/>
      <c r="E2849" s="2"/>
      <c r="F2849" s="2"/>
      <c r="G2849" s="2"/>
      <c r="H2849" s="2"/>
      <c r="I2849" s="2">
        <v>63.2575</v>
      </c>
      <c r="J2849" s="2">
        <v>294</v>
      </c>
      <c r="K2849" s="2">
        <v>62.517600000000002</v>
      </c>
      <c r="L2849" s="2">
        <v>309</v>
      </c>
      <c r="M2849" s="2">
        <v>111.23180000000001</v>
      </c>
      <c r="N2849" s="2">
        <v>19</v>
      </c>
      <c r="O2849" s="2">
        <v>112.7478</v>
      </c>
      <c r="P2849" s="2">
        <v>18</v>
      </c>
      <c r="Q2849" s="2">
        <v>99.929500000000004</v>
      </c>
      <c r="R2849" s="2">
        <v>123</v>
      </c>
      <c r="S2849" s="2">
        <v>102.6657</v>
      </c>
      <c r="T2849" s="2">
        <v>177</v>
      </c>
      <c r="U2849" s="2">
        <v>0.74597500000000005</v>
      </c>
      <c r="V2849" s="2">
        <v>70</v>
      </c>
      <c r="W2849" s="2">
        <v>2006</v>
      </c>
    </row>
    <row r="2850" spans="1:23" ht="12.3" hidden="1" x14ac:dyDescent="0.4">
      <c r="A2850" s="2" t="s">
        <v>269</v>
      </c>
      <c r="B2850" s="2"/>
      <c r="C2850" s="2"/>
      <c r="D2850" s="2"/>
      <c r="E2850" s="2"/>
      <c r="F2850" s="2"/>
      <c r="G2850" s="2"/>
      <c r="H2850" s="2"/>
      <c r="I2850" s="2">
        <v>68.375500000000002</v>
      </c>
      <c r="J2850" s="2">
        <v>125</v>
      </c>
      <c r="K2850" s="2">
        <v>67.582999999999998</v>
      </c>
      <c r="L2850" s="2">
        <v>152</v>
      </c>
      <c r="M2850" s="2">
        <v>111.73909999999999</v>
      </c>
      <c r="N2850" s="2">
        <v>18</v>
      </c>
      <c r="O2850" s="2">
        <v>110.43</v>
      </c>
      <c r="P2850" s="2">
        <v>40</v>
      </c>
      <c r="Q2850" s="2">
        <v>115.6131</v>
      </c>
      <c r="R2850" s="2">
        <v>346</v>
      </c>
      <c r="S2850" s="2">
        <v>111.54389999999999</v>
      </c>
      <c r="T2850" s="2">
        <v>337</v>
      </c>
      <c r="U2850" s="2">
        <v>0.47117900000000001</v>
      </c>
      <c r="V2850" s="2">
        <v>184</v>
      </c>
      <c r="W2850" s="2">
        <v>2010</v>
      </c>
    </row>
    <row r="2851" spans="1:23" ht="12.3" hidden="1" x14ac:dyDescent="0.4">
      <c r="A2851" s="2" t="s">
        <v>207</v>
      </c>
      <c r="B2851" s="2"/>
      <c r="C2851" s="2"/>
      <c r="D2851" s="2"/>
      <c r="E2851" s="2"/>
      <c r="F2851" s="2"/>
      <c r="G2851" s="2"/>
      <c r="H2851" s="2"/>
      <c r="I2851" s="2">
        <v>63.486499999999999</v>
      </c>
      <c r="J2851" s="2">
        <v>309</v>
      </c>
      <c r="K2851" s="2">
        <v>63.720799999999997</v>
      </c>
      <c r="L2851" s="2">
        <v>305</v>
      </c>
      <c r="M2851" s="2">
        <v>94.529200000000003</v>
      </c>
      <c r="N2851" s="2">
        <v>287</v>
      </c>
      <c r="O2851" s="2">
        <v>98.119</v>
      </c>
      <c r="P2851" s="2">
        <v>226</v>
      </c>
      <c r="Q2851" s="2">
        <v>103.5647</v>
      </c>
      <c r="R2851" s="2">
        <v>231</v>
      </c>
      <c r="S2851" s="2">
        <v>99.283100000000005</v>
      </c>
      <c r="T2851" s="2">
        <v>126</v>
      </c>
      <c r="U2851" s="2">
        <v>0.46614100000000003</v>
      </c>
      <c r="V2851" s="2">
        <v>185</v>
      </c>
      <c r="W2851" s="2">
        <v>2010</v>
      </c>
    </row>
    <row r="2852" spans="1:23" ht="12.3" hidden="1" x14ac:dyDescent="0.4">
      <c r="A2852" s="2" t="s">
        <v>274</v>
      </c>
      <c r="B2852" s="2"/>
      <c r="C2852" s="2"/>
      <c r="D2852" s="2"/>
      <c r="E2852" s="2"/>
      <c r="F2852" s="2"/>
      <c r="G2852" s="2"/>
      <c r="H2852" s="2"/>
      <c r="I2852" s="2">
        <v>69.005899999999997</v>
      </c>
      <c r="J2852" s="2">
        <v>91</v>
      </c>
      <c r="K2852" s="2">
        <v>69.279600000000002</v>
      </c>
      <c r="L2852" s="2">
        <v>75</v>
      </c>
      <c r="M2852" s="2">
        <v>106.64230000000001</v>
      </c>
      <c r="N2852" s="2">
        <v>78</v>
      </c>
      <c r="O2852" s="2">
        <v>101.8955</v>
      </c>
      <c r="P2852" s="2">
        <v>163</v>
      </c>
      <c r="Q2852" s="2">
        <v>95.4375</v>
      </c>
      <c r="R2852" s="2">
        <v>46</v>
      </c>
      <c r="S2852" s="2">
        <v>103.1306</v>
      </c>
      <c r="T2852" s="2">
        <v>209</v>
      </c>
      <c r="U2852" s="2">
        <v>0.46541500000000002</v>
      </c>
      <c r="V2852" s="2">
        <v>186</v>
      </c>
      <c r="W2852" s="2">
        <v>2010</v>
      </c>
    </row>
    <row r="2853" spans="1:23" ht="12.3" hidden="1" x14ac:dyDescent="0.4">
      <c r="A2853" s="2" t="s">
        <v>142</v>
      </c>
      <c r="B2853" s="2"/>
      <c r="C2853" s="2"/>
      <c r="D2853" s="2"/>
      <c r="E2853" s="2"/>
      <c r="F2853" s="2"/>
      <c r="G2853" s="2"/>
      <c r="H2853" s="2"/>
      <c r="I2853" s="2">
        <v>65.111099999999993</v>
      </c>
      <c r="J2853" s="2">
        <v>266</v>
      </c>
      <c r="K2853" s="2">
        <v>64.695599999999999</v>
      </c>
      <c r="L2853" s="2">
        <v>279</v>
      </c>
      <c r="M2853" s="2">
        <v>101.1506</v>
      </c>
      <c r="N2853" s="2">
        <v>174</v>
      </c>
      <c r="O2853" s="2">
        <v>103.4898</v>
      </c>
      <c r="P2853" s="2">
        <v>138</v>
      </c>
      <c r="Q2853" s="2">
        <v>107.4327</v>
      </c>
      <c r="R2853" s="2">
        <v>303</v>
      </c>
      <c r="S2853" s="2">
        <v>104.8338</v>
      </c>
      <c r="T2853" s="2">
        <v>246</v>
      </c>
      <c r="U2853" s="2">
        <v>0.46297300000000002</v>
      </c>
      <c r="V2853" s="2">
        <v>187</v>
      </c>
      <c r="W2853" s="2">
        <v>2010</v>
      </c>
    </row>
    <row r="2854" spans="1:23" ht="12.3" hidden="1" x14ac:dyDescent="0.4">
      <c r="A2854" s="2" t="s">
        <v>74</v>
      </c>
      <c r="B2854" s="2"/>
      <c r="C2854" s="2"/>
      <c r="D2854" s="2"/>
      <c r="E2854" s="2"/>
      <c r="F2854" s="2"/>
      <c r="G2854" s="2"/>
      <c r="H2854" s="2"/>
      <c r="I2854" s="2">
        <v>67.828400000000002</v>
      </c>
      <c r="J2854" s="2">
        <v>145</v>
      </c>
      <c r="K2854" s="2">
        <v>68.825199999999995</v>
      </c>
      <c r="L2854" s="2">
        <v>94</v>
      </c>
      <c r="M2854" s="2">
        <v>106.44970000000001</v>
      </c>
      <c r="N2854" s="2">
        <v>81</v>
      </c>
      <c r="O2854" s="2">
        <v>108.7276</v>
      </c>
      <c r="P2854" s="2">
        <v>49</v>
      </c>
      <c r="Q2854" s="2">
        <v>111.3218</v>
      </c>
      <c r="R2854" s="2">
        <v>340</v>
      </c>
      <c r="S2854" s="2">
        <v>110.1992</v>
      </c>
      <c r="T2854" s="2">
        <v>324</v>
      </c>
      <c r="U2854" s="2">
        <v>0.46142499999999997</v>
      </c>
      <c r="V2854" s="2">
        <v>188</v>
      </c>
      <c r="W2854" s="2">
        <v>2010</v>
      </c>
    </row>
    <row r="2855" spans="1:23" ht="12.3" hidden="1" x14ac:dyDescent="0.4">
      <c r="A2855" s="2" t="s">
        <v>336</v>
      </c>
      <c r="B2855" s="2"/>
      <c r="C2855" s="2"/>
      <c r="D2855" s="2"/>
      <c r="E2855" s="2"/>
      <c r="F2855" s="2"/>
      <c r="G2855" s="2"/>
      <c r="H2855" s="2"/>
      <c r="I2855" s="2">
        <v>66.584999999999994</v>
      </c>
      <c r="J2855" s="2">
        <v>216</v>
      </c>
      <c r="K2855" s="2">
        <v>66.534199999999998</v>
      </c>
      <c r="L2855" s="2">
        <v>209</v>
      </c>
      <c r="M2855" s="2">
        <v>102.80249999999999</v>
      </c>
      <c r="N2855" s="2">
        <v>140</v>
      </c>
      <c r="O2855" s="2">
        <v>101.0645</v>
      </c>
      <c r="P2855" s="2">
        <v>175</v>
      </c>
      <c r="Q2855" s="2">
        <v>96.042699999999996</v>
      </c>
      <c r="R2855" s="2">
        <v>61</v>
      </c>
      <c r="S2855" s="2">
        <v>102.5973</v>
      </c>
      <c r="T2855" s="2">
        <v>192</v>
      </c>
      <c r="U2855" s="2">
        <v>0.45683200000000002</v>
      </c>
      <c r="V2855" s="2">
        <v>189</v>
      </c>
      <c r="W2855" s="2">
        <v>2010</v>
      </c>
    </row>
    <row r="2856" spans="1:23" ht="12.3" hidden="1" x14ac:dyDescent="0.4">
      <c r="A2856" s="2" t="s">
        <v>324</v>
      </c>
      <c r="B2856" s="2"/>
      <c r="C2856" s="2"/>
      <c r="D2856" s="2"/>
      <c r="E2856" s="2"/>
      <c r="F2856" s="2"/>
      <c r="G2856" s="2"/>
      <c r="H2856" s="2"/>
      <c r="I2856" s="2">
        <v>62.8596</v>
      </c>
      <c r="J2856" s="2">
        <v>319</v>
      </c>
      <c r="K2856" s="2">
        <v>62.6372</v>
      </c>
      <c r="L2856" s="2">
        <v>321</v>
      </c>
      <c r="M2856" s="2">
        <v>111.4434</v>
      </c>
      <c r="N2856" s="2">
        <v>22</v>
      </c>
      <c r="O2856" s="2">
        <v>107.8844</v>
      </c>
      <c r="P2856" s="2">
        <v>58</v>
      </c>
      <c r="Q2856" s="2">
        <v>105.842</v>
      </c>
      <c r="R2856" s="2">
        <v>282</v>
      </c>
      <c r="S2856" s="2">
        <v>109.6138</v>
      </c>
      <c r="T2856" s="2">
        <v>315</v>
      </c>
      <c r="U2856" s="2">
        <v>0.45440599999999998</v>
      </c>
      <c r="V2856" s="2">
        <v>190</v>
      </c>
      <c r="W2856" s="2">
        <v>2010</v>
      </c>
    </row>
    <row r="2857" spans="1:23" ht="12.3" hidden="1" x14ac:dyDescent="0.4">
      <c r="A2857" s="2" t="s">
        <v>286</v>
      </c>
      <c r="B2857" s="2"/>
      <c r="C2857" s="2"/>
      <c r="D2857" s="2"/>
      <c r="E2857" s="2"/>
      <c r="F2857" s="2"/>
      <c r="G2857" s="2"/>
      <c r="H2857" s="2"/>
      <c r="I2857" s="2">
        <v>60.285899999999998</v>
      </c>
      <c r="J2857" s="2">
        <v>339</v>
      </c>
      <c r="K2857" s="2">
        <v>59.705199999999998</v>
      </c>
      <c r="L2857" s="2">
        <v>344</v>
      </c>
      <c r="M2857" s="2">
        <v>107.82089999999999</v>
      </c>
      <c r="N2857" s="2">
        <v>55</v>
      </c>
      <c r="O2857" s="2">
        <v>103.7671</v>
      </c>
      <c r="P2857" s="2">
        <v>135</v>
      </c>
      <c r="Q2857" s="2">
        <v>104.25790000000001</v>
      </c>
      <c r="R2857" s="2">
        <v>250</v>
      </c>
      <c r="S2857" s="2">
        <v>105.61579999999999</v>
      </c>
      <c r="T2857" s="2">
        <v>257</v>
      </c>
      <c r="U2857" s="2">
        <v>0.449403</v>
      </c>
      <c r="V2857" s="2">
        <v>191</v>
      </c>
      <c r="W2857" s="2">
        <v>2010</v>
      </c>
    </row>
    <row r="2858" spans="1:23" ht="12.3" hidden="1" x14ac:dyDescent="0.4">
      <c r="A2858" s="2" t="s">
        <v>163</v>
      </c>
      <c r="B2858" s="2"/>
      <c r="C2858" s="2"/>
      <c r="D2858" s="2"/>
      <c r="E2858" s="2"/>
      <c r="F2858" s="2"/>
      <c r="G2858" s="2"/>
      <c r="H2858" s="2"/>
      <c r="I2858" s="2">
        <v>64.844399999999993</v>
      </c>
      <c r="J2858" s="2">
        <v>277</v>
      </c>
      <c r="K2858" s="2">
        <v>64.610699999999994</v>
      </c>
      <c r="L2858" s="2">
        <v>282</v>
      </c>
      <c r="M2858" s="2">
        <v>104.17619999999999</v>
      </c>
      <c r="N2858" s="2">
        <v>111</v>
      </c>
      <c r="O2858" s="2">
        <v>102.69929999999999</v>
      </c>
      <c r="P2858" s="2">
        <v>152</v>
      </c>
      <c r="Q2858" s="2">
        <v>105.6713</v>
      </c>
      <c r="R2858" s="2">
        <v>277</v>
      </c>
      <c r="S2858" s="2">
        <v>104.5605</v>
      </c>
      <c r="T2858" s="2">
        <v>237</v>
      </c>
      <c r="U2858" s="2">
        <v>0.44854899999999998</v>
      </c>
      <c r="V2858" s="2">
        <v>192</v>
      </c>
      <c r="W2858" s="2">
        <v>2010</v>
      </c>
    </row>
    <row r="2859" spans="1:23" ht="12.3" hidden="1" x14ac:dyDescent="0.4">
      <c r="A2859" s="2" t="s">
        <v>139</v>
      </c>
      <c r="B2859" s="2"/>
      <c r="C2859" s="2"/>
      <c r="D2859" s="2"/>
      <c r="E2859" s="2"/>
      <c r="F2859" s="2"/>
      <c r="G2859" s="2"/>
      <c r="H2859" s="2"/>
      <c r="I2859" s="2">
        <v>67.787099999999995</v>
      </c>
      <c r="J2859" s="2">
        <v>146</v>
      </c>
      <c r="K2859" s="2">
        <v>67.753500000000003</v>
      </c>
      <c r="L2859" s="2">
        <v>147</v>
      </c>
      <c r="M2859" s="2">
        <v>96.602999999999994</v>
      </c>
      <c r="N2859" s="2">
        <v>255</v>
      </c>
      <c r="O2859" s="2">
        <v>98.137699999999995</v>
      </c>
      <c r="P2859" s="2">
        <v>224</v>
      </c>
      <c r="Q2859" s="2">
        <v>98.570599999999999</v>
      </c>
      <c r="R2859" s="2">
        <v>117</v>
      </c>
      <c r="S2859" s="2">
        <v>99.938999999999993</v>
      </c>
      <c r="T2859" s="2">
        <v>139</v>
      </c>
      <c r="U2859" s="2">
        <v>0.44789800000000002</v>
      </c>
      <c r="V2859" s="2">
        <v>193</v>
      </c>
      <c r="W2859" s="2">
        <v>2010</v>
      </c>
    </row>
    <row r="2860" spans="1:23" ht="12.3" hidden="1" x14ac:dyDescent="0.4">
      <c r="A2860" s="2" t="s">
        <v>235</v>
      </c>
      <c r="B2860" s="2"/>
      <c r="C2860" s="2"/>
      <c r="D2860" s="2"/>
      <c r="E2860" s="2"/>
      <c r="F2860" s="2"/>
      <c r="G2860" s="2"/>
      <c r="H2860" s="2"/>
      <c r="I2860" s="2">
        <v>64.193100000000001</v>
      </c>
      <c r="J2860" s="2">
        <v>294</v>
      </c>
      <c r="K2860" s="2">
        <v>64.528800000000004</v>
      </c>
      <c r="L2860" s="2">
        <v>284</v>
      </c>
      <c r="M2860" s="2">
        <v>99.618700000000004</v>
      </c>
      <c r="N2860" s="2">
        <v>198</v>
      </c>
      <c r="O2860" s="2">
        <v>100.5067</v>
      </c>
      <c r="P2860" s="2">
        <v>186</v>
      </c>
      <c r="Q2860" s="2">
        <v>99.663499999999999</v>
      </c>
      <c r="R2860" s="2">
        <v>137</v>
      </c>
      <c r="S2860" s="2">
        <v>102.3775</v>
      </c>
      <c r="T2860" s="2">
        <v>186</v>
      </c>
      <c r="U2860" s="2">
        <v>0.44717400000000002</v>
      </c>
      <c r="V2860" s="2">
        <v>194</v>
      </c>
      <c r="W2860" s="2">
        <v>2010</v>
      </c>
    </row>
    <row r="2861" spans="1:23" ht="12.3" hidden="1" x14ac:dyDescent="0.4">
      <c r="A2861" s="2" t="s">
        <v>283</v>
      </c>
      <c r="B2861" s="2"/>
      <c r="C2861" s="2"/>
      <c r="D2861" s="2"/>
      <c r="E2861" s="2"/>
      <c r="F2861" s="2"/>
      <c r="G2861" s="2"/>
      <c r="H2861" s="2"/>
      <c r="I2861" s="2">
        <v>66.402699999999996</v>
      </c>
      <c r="J2861" s="2">
        <v>225</v>
      </c>
      <c r="K2861" s="2">
        <v>66.428100000000001</v>
      </c>
      <c r="L2861" s="2">
        <v>213</v>
      </c>
      <c r="M2861" s="2">
        <v>98.324299999999994</v>
      </c>
      <c r="N2861" s="2">
        <v>222</v>
      </c>
      <c r="O2861" s="2">
        <v>99.501499999999993</v>
      </c>
      <c r="P2861" s="2">
        <v>196</v>
      </c>
      <c r="Q2861" s="2">
        <v>99.652000000000001</v>
      </c>
      <c r="R2861" s="2">
        <v>136</v>
      </c>
      <c r="S2861" s="2">
        <v>101.58750000000001</v>
      </c>
      <c r="T2861" s="2">
        <v>171</v>
      </c>
      <c r="U2861" s="2">
        <v>0.440633</v>
      </c>
      <c r="V2861" s="2">
        <v>195</v>
      </c>
      <c r="W2861" s="2">
        <v>2010</v>
      </c>
    </row>
    <row r="2862" spans="1:23" ht="12.3" hidden="1" x14ac:dyDescent="0.4">
      <c r="A2862" s="2" t="s">
        <v>89</v>
      </c>
      <c r="B2862" s="2"/>
      <c r="C2862" s="2"/>
      <c r="D2862" s="2"/>
      <c r="E2862" s="2"/>
      <c r="F2862" s="2"/>
      <c r="G2862" s="2"/>
      <c r="H2862" s="2"/>
      <c r="I2862" s="2">
        <v>63.961199999999998</v>
      </c>
      <c r="J2862" s="2">
        <v>299</v>
      </c>
      <c r="K2862" s="2">
        <v>64.425399999999996</v>
      </c>
      <c r="L2862" s="2">
        <v>288</v>
      </c>
      <c r="M2862" s="2">
        <v>98.007499999999993</v>
      </c>
      <c r="N2862" s="2">
        <v>230</v>
      </c>
      <c r="O2862" s="2">
        <v>100.77290000000001</v>
      </c>
      <c r="P2862" s="2">
        <v>182</v>
      </c>
      <c r="Q2862" s="2">
        <v>103.6691</v>
      </c>
      <c r="R2862" s="2">
        <v>236</v>
      </c>
      <c r="S2862" s="2">
        <v>102.95529999999999</v>
      </c>
      <c r="T2862" s="2">
        <v>203</v>
      </c>
      <c r="U2862" s="2">
        <v>0.43871100000000002</v>
      </c>
      <c r="V2862" s="2">
        <v>196</v>
      </c>
      <c r="W2862" s="2">
        <v>2010</v>
      </c>
    </row>
    <row r="2863" spans="1:23" ht="12.3" hidden="1" x14ac:dyDescent="0.4">
      <c r="A2863" s="2" t="s">
        <v>40</v>
      </c>
      <c r="B2863" s="2"/>
      <c r="C2863" s="2"/>
      <c r="D2863" s="2"/>
      <c r="E2863" s="2"/>
      <c r="F2863" s="2"/>
      <c r="G2863" s="2"/>
      <c r="H2863" s="2"/>
      <c r="I2863" s="2">
        <v>67.984899999999996</v>
      </c>
      <c r="J2863" s="2">
        <v>135</v>
      </c>
      <c r="K2863" s="2">
        <v>68.763499999999993</v>
      </c>
      <c r="L2863" s="2">
        <v>96</v>
      </c>
      <c r="M2863" s="2">
        <v>96.402199999999993</v>
      </c>
      <c r="N2863" s="2">
        <v>256</v>
      </c>
      <c r="O2863" s="2">
        <v>99.701300000000003</v>
      </c>
      <c r="P2863" s="2">
        <v>193</v>
      </c>
      <c r="Q2863" s="2">
        <v>104.983</v>
      </c>
      <c r="R2863" s="2">
        <v>260</v>
      </c>
      <c r="S2863" s="2">
        <v>102.14660000000001</v>
      </c>
      <c r="T2863" s="2">
        <v>181</v>
      </c>
      <c r="U2863" s="2">
        <v>0.430786</v>
      </c>
      <c r="V2863" s="2">
        <v>197</v>
      </c>
      <c r="W2863" s="2">
        <v>2010</v>
      </c>
    </row>
    <row r="2864" spans="1:23" ht="12.3" x14ac:dyDescent="0.4">
      <c r="A2864" s="2" t="s">
        <v>287</v>
      </c>
      <c r="B2864" s="2">
        <v>14</v>
      </c>
      <c r="C2864" s="2"/>
      <c r="D2864" s="2"/>
      <c r="E2864" s="2"/>
      <c r="F2864" s="2"/>
      <c r="G2864" s="2"/>
      <c r="H2864" s="2"/>
      <c r="I2864" s="2">
        <v>67.6935</v>
      </c>
      <c r="J2864" s="2">
        <v>141</v>
      </c>
      <c r="K2864" s="2">
        <v>67.328699999999998</v>
      </c>
      <c r="L2864" s="2">
        <v>143</v>
      </c>
      <c r="M2864" s="2">
        <v>109.2165</v>
      </c>
      <c r="N2864" s="2">
        <v>38</v>
      </c>
      <c r="O2864" s="2">
        <v>107.98690000000001</v>
      </c>
      <c r="P2864" s="2">
        <v>62</v>
      </c>
      <c r="Q2864" s="2">
        <v>96.8977</v>
      </c>
      <c r="R2864" s="2">
        <v>65</v>
      </c>
      <c r="S2864" s="2">
        <v>98.346199999999996</v>
      </c>
      <c r="T2864" s="2">
        <v>98</v>
      </c>
      <c r="U2864" s="2">
        <v>0.74562899999999999</v>
      </c>
      <c r="V2864" s="2">
        <v>71</v>
      </c>
      <c r="W2864" s="2">
        <v>2006</v>
      </c>
    </row>
    <row r="2865" spans="1:23" ht="12.3" hidden="1" x14ac:dyDescent="0.4">
      <c r="A2865" s="2" t="s">
        <v>172</v>
      </c>
      <c r="B2865" s="2"/>
      <c r="C2865" s="2"/>
      <c r="D2865" s="2"/>
      <c r="E2865" s="2"/>
      <c r="F2865" s="2"/>
      <c r="G2865" s="2"/>
      <c r="H2865" s="2"/>
      <c r="I2865" s="2">
        <v>67.326999999999998</v>
      </c>
      <c r="J2865" s="2">
        <v>178</v>
      </c>
      <c r="K2865" s="2">
        <v>67.474000000000004</v>
      </c>
      <c r="L2865" s="2">
        <v>162</v>
      </c>
      <c r="M2865" s="2">
        <v>100.2261</v>
      </c>
      <c r="N2865" s="2">
        <v>189</v>
      </c>
      <c r="O2865" s="2">
        <v>98.122100000000003</v>
      </c>
      <c r="P2865" s="2">
        <v>225</v>
      </c>
      <c r="Q2865" s="2">
        <v>99.475700000000003</v>
      </c>
      <c r="R2865" s="2">
        <v>133</v>
      </c>
      <c r="S2865" s="2">
        <v>100.91249999999999</v>
      </c>
      <c r="T2865" s="2">
        <v>159</v>
      </c>
      <c r="U2865" s="2">
        <v>0.42007299999999997</v>
      </c>
      <c r="V2865" s="2">
        <v>199</v>
      </c>
      <c r="W2865" s="2">
        <v>2010</v>
      </c>
    </row>
    <row r="2866" spans="1:23" ht="12.3" hidden="1" x14ac:dyDescent="0.4">
      <c r="A2866" s="2" t="s">
        <v>179</v>
      </c>
      <c r="B2866" s="2"/>
      <c r="C2866" s="2"/>
      <c r="D2866" s="2"/>
      <c r="E2866" s="2"/>
      <c r="F2866" s="2"/>
      <c r="G2866" s="2"/>
      <c r="H2866" s="2"/>
      <c r="I2866" s="2">
        <v>59.959899999999998</v>
      </c>
      <c r="J2866" s="2">
        <v>342</v>
      </c>
      <c r="K2866" s="2">
        <v>60.707999999999998</v>
      </c>
      <c r="L2866" s="2">
        <v>338</v>
      </c>
      <c r="M2866" s="2">
        <v>100.7123</v>
      </c>
      <c r="N2866" s="2">
        <v>183</v>
      </c>
      <c r="O2866" s="2">
        <v>98.3874</v>
      </c>
      <c r="P2866" s="2">
        <v>214</v>
      </c>
      <c r="Q2866" s="2">
        <v>101.36020000000001</v>
      </c>
      <c r="R2866" s="2">
        <v>174</v>
      </c>
      <c r="S2866" s="2">
        <v>101.1867</v>
      </c>
      <c r="T2866" s="2">
        <v>166</v>
      </c>
      <c r="U2866" s="2">
        <v>0.42003600000000002</v>
      </c>
      <c r="V2866" s="2">
        <v>200</v>
      </c>
      <c r="W2866" s="2">
        <v>2010</v>
      </c>
    </row>
    <row r="2867" spans="1:23" ht="12.3" hidden="1" x14ac:dyDescent="0.4">
      <c r="A2867" s="2" t="s">
        <v>134</v>
      </c>
      <c r="B2867" s="2"/>
      <c r="C2867" s="2"/>
      <c r="D2867" s="2"/>
      <c r="E2867" s="2"/>
      <c r="F2867" s="2"/>
      <c r="G2867" s="2"/>
      <c r="H2867" s="2"/>
      <c r="I2867" s="2">
        <v>66.671899999999994</v>
      </c>
      <c r="J2867" s="2">
        <v>210</v>
      </c>
      <c r="K2867" s="2">
        <v>66.260099999999994</v>
      </c>
      <c r="L2867" s="2">
        <v>219</v>
      </c>
      <c r="M2867" s="2">
        <v>103.42919999999999</v>
      </c>
      <c r="N2867" s="2">
        <v>125</v>
      </c>
      <c r="O2867" s="2">
        <v>101.7169</v>
      </c>
      <c r="P2867" s="2">
        <v>166</v>
      </c>
      <c r="Q2867" s="2">
        <v>104.60169999999999</v>
      </c>
      <c r="R2867" s="2">
        <v>254</v>
      </c>
      <c r="S2867" s="2">
        <v>104.7739</v>
      </c>
      <c r="T2867" s="2">
        <v>244</v>
      </c>
      <c r="U2867" s="2">
        <v>0.41568100000000002</v>
      </c>
      <c r="V2867" s="2">
        <v>201</v>
      </c>
      <c r="W2867" s="2">
        <v>2010</v>
      </c>
    </row>
    <row r="2868" spans="1:23" ht="12.3" hidden="1" x14ac:dyDescent="0.4">
      <c r="A2868" s="2" t="s">
        <v>85</v>
      </c>
      <c r="B2868" s="2"/>
      <c r="C2868" s="2"/>
      <c r="D2868" s="2"/>
      <c r="E2868" s="2"/>
      <c r="F2868" s="2"/>
      <c r="G2868" s="2"/>
      <c r="H2868" s="2"/>
      <c r="I2868" s="2">
        <v>63.9026</v>
      </c>
      <c r="J2868" s="2">
        <v>300</v>
      </c>
      <c r="K2868" s="2">
        <v>62.854199999999999</v>
      </c>
      <c r="L2868" s="2">
        <v>319</v>
      </c>
      <c r="M2868" s="2">
        <v>95.710899999999995</v>
      </c>
      <c r="N2868" s="2">
        <v>270</v>
      </c>
      <c r="O2868" s="2">
        <v>96.509399999999999</v>
      </c>
      <c r="P2868" s="2">
        <v>251</v>
      </c>
      <c r="Q2868" s="2">
        <v>103.592</v>
      </c>
      <c r="R2868" s="2">
        <v>233</v>
      </c>
      <c r="S2868" s="2">
        <v>99.431700000000006</v>
      </c>
      <c r="T2868" s="2">
        <v>129</v>
      </c>
      <c r="U2868" s="2">
        <v>0.41506900000000002</v>
      </c>
      <c r="V2868" s="2">
        <v>202</v>
      </c>
      <c r="W2868" s="2">
        <v>2010</v>
      </c>
    </row>
    <row r="2869" spans="1:23" ht="12.3" hidden="1" x14ac:dyDescent="0.4">
      <c r="A2869" s="2" t="s">
        <v>173</v>
      </c>
      <c r="B2869" s="2"/>
      <c r="C2869" s="2"/>
      <c r="D2869" s="2"/>
      <c r="E2869" s="2"/>
      <c r="F2869" s="2"/>
      <c r="G2869" s="2"/>
      <c r="H2869" s="2"/>
      <c r="I2869" s="2">
        <v>67.387900000000002</v>
      </c>
      <c r="J2869" s="2">
        <v>176</v>
      </c>
      <c r="K2869" s="2">
        <v>67.575000000000003</v>
      </c>
      <c r="L2869" s="2">
        <v>153</v>
      </c>
      <c r="M2869" s="2">
        <v>98.359099999999998</v>
      </c>
      <c r="N2869" s="2">
        <v>221</v>
      </c>
      <c r="O2869" s="2">
        <v>99.042900000000003</v>
      </c>
      <c r="P2869" s="2">
        <v>200</v>
      </c>
      <c r="Q2869" s="2">
        <v>106.7555</v>
      </c>
      <c r="R2869" s="2">
        <v>294</v>
      </c>
      <c r="S2869" s="2">
        <v>102.0656</v>
      </c>
      <c r="T2869" s="2">
        <v>179</v>
      </c>
      <c r="U2869" s="2">
        <v>0.41442000000000001</v>
      </c>
      <c r="V2869" s="2">
        <v>203</v>
      </c>
      <c r="W2869" s="2">
        <v>2010</v>
      </c>
    </row>
    <row r="2870" spans="1:23" ht="12.3" hidden="1" x14ac:dyDescent="0.4">
      <c r="A2870" s="2" t="s">
        <v>200</v>
      </c>
      <c r="B2870" s="2"/>
      <c r="C2870" s="2"/>
      <c r="D2870" s="2"/>
      <c r="E2870" s="2"/>
      <c r="F2870" s="2"/>
      <c r="G2870" s="2"/>
      <c r="H2870" s="2"/>
      <c r="I2870" s="2">
        <v>67.6648</v>
      </c>
      <c r="J2870" s="2">
        <v>156</v>
      </c>
      <c r="K2870" s="2">
        <v>68.002499999999998</v>
      </c>
      <c r="L2870" s="2">
        <v>132</v>
      </c>
      <c r="M2870" s="2">
        <v>98.815299999999993</v>
      </c>
      <c r="N2870" s="2">
        <v>212</v>
      </c>
      <c r="O2870" s="2">
        <v>101.01009999999999</v>
      </c>
      <c r="P2870" s="2">
        <v>176</v>
      </c>
      <c r="Q2870" s="2">
        <v>103.55670000000001</v>
      </c>
      <c r="R2870" s="2">
        <v>230</v>
      </c>
      <c r="S2870" s="2">
        <v>104.5805</v>
      </c>
      <c r="T2870" s="2">
        <v>239</v>
      </c>
      <c r="U2870" s="2">
        <v>0.40144000000000002</v>
      </c>
      <c r="V2870" s="2">
        <v>204</v>
      </c>
      <c r="W2870" s="2">
        <v>2010</v>
      </c>
    </row>
    <row r="2871" spans="1:23" ht="12.3" hidden="1" x14ac:dyDescent="0.4">
      <c r="A2871" s="2" t="s">
        <v>328</v>
      </c>
      <c r="B2871" s="2"/>
      <c r="C2871" s="2"/>
      <c r="D2871" s="2"/>
      <c r="E2871" s="2"/>
      <c r="F2871" s="2"/>
      <c r="G2871" s="2"/>
      <c r="H2871" s="2"/>
      <c r="I2871" s="2">
        <v>68.133399999999995</v>
      </c>
      <c r="J2871" s="2">
        <v>131</v>
      </c>
      <c r="K2871" s="2">
        <v>67.431299999999993</v>
      </c>
      <c r="L2871" s="2">
        <v>164</v>
      </c>
      <c r="M2871" s="2">
        <v>103.28530000000001</v>
      </c>
      <c r="N2871" s="2">
        <v>130</v>
      </c>
      <c r="O2871" s="2">
        <v>99.464500000000001</v>
      </c>
      <c r="P2871" s="2">
        <v>197</v>
      </c>
      <c r="Q2871" s="2">
        <v>99.958399999999997</v>
      </c>
      <c r="R2871" s="2">
        <v>141</v>
      </c>
      <c r="S2871" s="2">
        <v>103.0004</v>
      </c>
      <c r="T2871" s="2">
        <v>206</v>
      </c>
      <c r="U2871" s="2">
        <v>0.40089799999999998</v>
      </c>
      <c r="V2871" s="2">
        <v>205</v>
      </c>
      <c r="W2871" s="2">
        <v>2010</v>
      </c>
    </row>
    <row r="2872" spans="1:23" ht="12.3" hidden="1" x14ac:dyDescent="0.4">
      <c r="A2872" s="2" t="s">
        <v>318</v>
      </c>
      <c r="B2872" s="2"/>
      <c r="C2872" s="2"/>
      <c r="D2872" s="2"/>
      <c r="E2872" s="2"/>
      <c r="F2872" s="2"/>
      <c r="G2872" s="2"/>
      <c r="H2872" s="2"/>
      <c r="I2872" s="2">
        <v>70.473399999999998</v>
      </c>
      <c r="J2872" s="2">
        <v>48</v>
      </c>
      <c r="K2872" s="2">
        <v>69.369</v>
      </c>
      <c r="L2872" s="2">
        <v>74</v>
      </c>
      <c r="M2872" s="2">
        <v>105.9866</v>
      </c>
      <c r="N2872" s="2">
        <v>88</v>
      </c>
      <c r="O2872" s="2">
        <v>106.2187</v>
      </c>
      <c r="P2872" s="2">
        <v>85</v>
      </c>
      <c r="Q2872" s="2">
        <v>107.7855</v>
      </c>
      <c r="R2872" s="2">
        <v>308</v>
      </c>
      <c r="S2872" s="2">
        <v>110.05929999999999</v>
      </c>
      <c r="T2872" s="2">
        <v>323</v>
      </c>
      <c r="U2872" s="2">
        <v>0.39927800000000002</v>
      </c>
      <c r="V2872" s="2">
        <v>206</v>
      </c>
      <c r="W2872" s="2">
        <v>2010</v>
      </c>
    </row>
    <row r="2873" spans="1:23" ht="12.3" hidden="1" x14ac:dyDescent="0.4">
      <c r="A2873" s="2" t="s">
        <v>264</v>
      </c>
      <c r="B2873" s="2"/>
      <c r="C2873" s="2"/>
      <c r="D2873" s="2"/>
      <c r="E2873" s="2"/>
      <c r="F2873" s="2"/>
      <c r="G2873" s="2"/>
      <c r="H2873" s="2"/>
      <c r="I2873" s="2">
        <v>64.2119</v>
      </c>
      <c r="J2873" s="2">
        <v>293</v>
      </c>
      <c r="K2873" s="2">
        <v>64.493700000000004</v>
      </c>
      <c r="L2873" s="2">
        <v>285</v>
      </c>
      <c r="M2873" s="2">
        <v>101.1593</v>
      </c>
      <c r="N2873" s="2">
        <v>173</v>
      </c>
      <c r="O2873" s="2">
        <v>98.748099999999994</v>
      </c>
      <c r="P2873" s="2">
        <v>208</v>
      </c>
      <c r="Q2873" s="2">
        <v>101.4842</v>
      </c>
      <c r="R2873" s="2">
        <v>177</v>
      </c>
      <c r="S2873" s="2">
        <v>102.4286</v>
      </c>
      <c r="T2873" s="2">
        <v>189</v>
      </c>
      <c r="U2873" s="2">
        <v>0.396318</v>
      </c>
      <c r="V2873" s="2">
        <v>207</v>
      </c>
      <c r="W2873" s="2">
        <v>2010</v>
      </c>
    </row>
    <row r="2874" spans="1:23" ht="12.3" hidden="1" x14ac:dyDescent="0.4">
      <c r="A2874" s="2" t="s">
        <v>309</v>
      </c>
      <c r="B2874" s="2"/>
      <c r="C2874" s="2"/>
      <c r="D2874" s="2"/>
      <c r="E2874" s="2"/>
      <c r="F2874" s="2"/>
      <c r="G2874" s="2"/>
      <c r="H2874" s="2"/>
      <c r="I2874" s="2">
        <v>65.385000000000005</v>
      </c>
      <c r="J2874" s="2">
        <v>258</v>
      </c>
      <c r="K2874" s="2">
        <v>66.037499999999994</v>
      </c>
      <c r="L2874" s="2">
        <v>229</v>
      </c>
      <c r="M2874" s="2">
        <v>94.6875</v>
      </c>
      <c r="N2874" s="2">
        <v>286</v>
      </c>
      <c r="O2874" s="2">
        <v>92.990399999999994</v>
      </c>
      <c r="P2874" s="2">
        <v>299</v>
      </c>
      <c r="Q2874" s="2">
        <v>94.803700000000006</v>
      </c>
      <c r="R2874" s="2">
        <v>44</v>
      </c>
      <c r="S2874" s="2">
        <v>96.482500000000002</v>
      </c>
      <c r="T2874" s="2">
        <v>69</v>
      </c>
      <c r="U2874" s="2">
        <v>0.39557100000000001</v>
      </c>
      <c r="V2874" s="2">
        <v>208</v>
      </c>
      <c r="W2874" s="2">
        <v>2010</v>
      </c>
    </row>
    <row r="2875" spans="1:23" ht="12.3" hidden="1" x14ac:dyDescent="0.4">
      <c r="A2875" s="2" t="s">
        <v>185</v>
      </c>
      <c r="B2875" s="2"/>
      <c r="C2875" s="2"/>
      <c r="D2875" s="2"/>
      <c r="E2875" s="2"/>
      <c r="F2875" s="2"/>
      <c r="G2875" s="2"/>
      <c r="H2875" s="2"/>
      <c r="I2875" s="2">
        <v>64.928200000000004</v>
      </c>
      <c r="J2875" s="2">
        <v>273</v>
      </c>
      <c r="K2875" s="2">
        <v>64.1464</v>
      </c>
      <c r="L2875" s="2">
        <v>292</v>
      </c>
      <c r="M2875" s="2">
        <v>104.1961</v>
      </c>
      <c r="N2875" s="2">
        <v>110</v>
      </c>
      <c r="O2875" s="2">
        <v>101.96769999999999</v>
      </c>
      <c r="P2875" s="2">
        <v>161</v>
      </c>
      <c r="Q2875" s="2">
        <v>102.3425</v>
      </c>
      <c r="R2875" s="2">
        <v>189</v>
      </c>
      <c r="S2875" s="2">
        <v>105.8963</v>
      </c>
      <c r="T2875" s="2">
        <v>264</v>
      </c>
      <c r="U2875" s="2">
        <v>0.39299400000000001</v>
      </c>
      <c r="V2875" s="2">
        <v>209</v>
      </c>
      <c r="W2875" s="2">
        <v>2010</v>
      </c>
    </row>
    <row r="2876" spans="1:23" ht="12.3" hidden="1" x14ac:dyDescent="0.4">
      <c r="A2876" s="2" t="s">
        <v>218</v>
      </c>
      <c r="B2876" s="2"/>
      <c r="C2876" s="2"/>
      <c r="D2876" s="2"/>
      <c r="E2876" s="2"/>
      <c r="F2876" s="2"/>
      <c r="G2876" s="2"/>
      <c r="H2876" s="2"/>
      <c r="I2876" s="2">
        <v>68.784099999999995</v>
      </c>
      <c r="J2876" s="2">
        <v>100</v>
      </c>
      <c r="K2876" s="2">
        <v>68.854799999999997</v>
      </c>
      <c r="L2876" s="2">
        <v>93</v>
      </c>
      <c r="M2876" s="2">
        <v>103.5723</v>
      </c>
      <c r="N2876" s="2">
        <v>122</v>
      </c>
      <c r="O2876" s="2">
        <v>101.8396</v>
      </c>
      <c r="P2876" s="2">
        <v>164</v>
      </c>
      <c r="Q2876" s="2">
        <v>105.0324</v>
      </c>
      <c r="R2876" s="2">
        <v>262</v>
      </c>
      <c r="S2876" s="2">
        <v>105.9203</v>
      </c>
      <c r="T2876" s="2">
        <v>266</v>
      </c>
      <c r="U2876" s="2">
        <v>0.38893</v>
      </c>
      <c r="V2876" s="2">
        <v>210</v>
      </c>
      <c r="W2876" s="2">
        <v>2010</v>
      </c>
    </row>
    <row r="2877" spans="1:23" ht="12.3" hidden="1" x14ac:dyDescent="0.4">
      <c r="A2877" s="2" t="s">
        <v>152</v>
      </c>
      <c r="B2877" s="2"/>
      <c r="C2877" s="2"/>
      <c r="D2877" s="2"/>
      <c r="E2877" s="2"/>
      <c r="F2877" s="2"/>
      <c r="G2877" s="2"/>
      <c r="H2877" s="2"/>
      <c r="I2877" s="2">
        <v>62.781500000000001</v>
      </c>
      <c r="J2877" s="2">
        <v>321</v>
      </c>
      <c r="K2877" s="2">
        <v>63.268999999999998</v>
      </c>
      <c r="L2877" s="2">
        <v>314</v>
      </c>
      <c r="M2877" s="2">
        <v>97.295100000000005</v>
      </c>
      <c r="N2877" s="2">
        <v>244</v>
      </c>
      <c r="O2877" s="2">
        <v>98.823400000000007</v>
      </c>
      <c r="P2877" s="2">
        <v>206</v>
      </c>
      <c r="Q2877" s="2">
        <v>100.97499999999999</v>
      </c>
      <c r="R2877" s="2">
        <v>163</v>
      </c>
      <c r="S2877" s="2">
        <v>102.84</v>
      </c>
      <c r="T2877" s="2">
        <v>199</v>
      </c>
      <c r="U2877" s="2">
        <v>0.38742199999999999</v>
      </c>
      <c r="V2877" s="2">
        <v>211</v>
      </c>
      <c r="W2877" s="2">
        <v>2010</v>
      </c>
    </row>
    <row r="2878" spans="1:23" ht="12.3" hidden="1" x14ac:dyDescent="0.4">
      <c r="A2878" s="2" t="s">
        <v>227</v>
      </c>
      <c r="B2878" s="2"/>
      <c r="C2878" s="2"/>
      <c r="D2878" s="2"/>
      <c r="E2878" s="2"/>
      <c r="F2878" s="2"/>
      <c r="G2878" s="2"/>
      <c r="H2878" s="2"/>
      <c r="I2878" s="2">
        <v>67.578500000000005</v>
      </c>
      <c r="J2878" s="2">
        <v>161</v>
      </c>
      <c r="K2878" s="2">
        <v>67.288300000000007</v>
      </c>
      <c r="L2878" s="2">
        <v>173</v>
      </c>
      <c r="M2878" s="2">
        <v>103.4858</v>
      </c>
      <c r="N2878" s="2">
        <v>124</v>
      </c>
      <c r="O2878" s="2">
        <v>102.1039</v>
      </c>
      <c r="P2878" s="2">
        <v>157</v>
      </c>
      <c r="Q2878" s="2">
        <v>106.617</v>
      </c>
      <c r="R2878" s="2">
        <v>291</v>
      </c>
      <c r="S2878" s="2">
        <v>106.5017</v>
      </c>
      <c r="T2878" s="2">
        <v>278</v>
      </c>
      <c r="U2878" s="2">
        <v>0.38108300000000001</v>
      </c>
      <c r="V2878" s="2">
        <v>212</v>
      </c>
      <c r="W2878" s="2">
        <v>2010</v>
      </c>
    </row>
    <row r="2879" spans="1:23" ht="12.3" hidden="1" x14ac:dyDescent="0.4">
      <c r="A2879" s="2" t="s">
        <v>340</v>
      </c>
      <c r="B2879" s="2"/>
      <c r="C2879" s="2"/>
      <c r="D2879" s="2"/>
      <c r="E2879" s="2"/>
      <c r="F2879" s="2"/>
      <c r="G2879" s="2"/>
      <c r="H2879" s="2"/>
      <c r="I2879" s="2">
        <v>66.637799999999999</v>
      </c>
      <c r="J2879" s="2">
        <v>212</v>
      </c>
      <c r="K2879" s="2">
        <v>66.883899999999997</v>
      </c>
      <c r="L2879" s="2">
        <v>189</v>
      </c>
      <c r="M2879" s="2">
        <v>97.106999999999999</v>
      </c>
      <c r="N2879" s="2">
        <v>247</v>
      </c>
      <c r="O2879" s="2">
        <v>98.386099999999999</v>
      </c>
      <c r="P2879" s="2">
        <v>215</v>
      </c>
      <c r="Q2879" s="2">
        <v>98.762900000000002</v>
      </c>
      <c r="R2879" s="2">
        <v>123</v>
      </c>
      <c r="S2879" s="2">
        <v>102.7777</v>
      </c>
      <c r="T2879" s="2">
        <v>198</v>
      </c>
      <c r="U2879" s="2">
        <v>0.377025</v>
      </c>
      <c r="V2879" s="2">
        <v>213</v>
      </c>
      <c r="W2879" s="2">
        <v>2010</v>
      </c>
    </row>
    <row r="2880" spans="1:23" ht="12.3" hidden="1" x14ac:dyDescent="0.4">
      <c r="A2880" s="2" t="s">
        <v>254</v>
      </c>
      <c r="B2880" s="2"/>
      <c r="C2880" s="2"/>
      <c r="D2880" s="2"/>
      <c r="E2880" s="2"/>
      <c r="F2880" s="2"/>
      <c r="G2880" s="2"/>
      <c r="H2880" s="2"/>
      <c r="I2880" s="2">
        <v>66.696899999999999</v>
      </c>
      <c r="J2880" s="2">
        <v>207</v>
      </c>
      <c r="K2880" s="2">
        <v>67.361999999999995</v>
      </c>
      <c r="L2880" s="2">
        <v>166</v>
      </c>
      <c r="M2880" s="2">
        <v>98.229200000000006</v>
      </c>
      <c r="N2880" s="2">
        <v>225</v>
      </c>
      <c r="O2880" s="2">
        <v>98.371099999999998</v>
      </c>
      <c r="P2880" s="2">
        <v>219</v>
      </c>
      <c r="Q2880" s="2">
        <v>105.8151</v>
      </c>
      <c r="R2880" s="2">
        <v>281</v>
      </c>
      <c r="S2880" s="2">
        <v>102.9149</v>
      </c>
      <c r="T2880" s="2">
        <v>202</v>
      </c>
      <c r="U2880" s="2">
        <v>0.37302000000000002</v>
      </c>
      <c r="V2880" s="2">
        <v>214</v>
      </c>
      <c r="W2880" s="2">
        <v>2010</v>
      </c>
    </row>
    <row r="2881" spans="1:23" ht="12.3" hidden="1" x14ac:dyDescent="0.4">
      <c r="A2881" s="2" t="s">
        <v>223</v>
      </c>
      <c r="B2881" s="2"/>
      <c r="C2881" s="2"/>
      <c r="D2881" s="2"/>
      <c r="E2881" s="2"/>
      <c r="F2881" s="2"/>
      <c r="G2881" s="2"/>
      <c r="H2881" s="2"/>
      <c r="I2881" s="2">
        <v>70.5548</v>
      </c>
      <c r="J2881" s="2">
        <v>45</v>
      </c>
      <c r="K2881" s="2">
        <v>68.693899999999999</v>
      </c>
      <c r="L2881" s="2">
        <v>100</v>
      </c>
      <c r="M2881" s="2">
        <v>97.355400000000003</v>
      </c>
      <c r="N2881" s="2">
        <v>242</v>
      </c>
      <c r="O2881" s="2">
        <v>93.993200000000002</v>
      </c>
      <c r="P2881" s="2">
        <v>287</v>
      </c>
      <c r="Q2881" s="2">
        <v>96.234499999999997</v>
      </c>
      <c r="R2881" s="2">
        <v>63</v>
      </c>
      <c r="S2881" s="2">
        <v>98.348399999999998</v>
      </c>
      <c r="T2881" s="2">
        <v>106</v>
      </c>
      <c r="U2881" s="2">
        <v>0.37264700000000001</v>
      </c>
      <c r="V2881" s="2">
        <v>215</v>
      </c>
      <c r="W2881" s="2">
        <v>2010</v>
      </c>
    </row>
    <row r="2882" spans="1:23" ht="12.3" hidden="1" x14ac:dyDescent="0.4">
      <c r="A2882" s="2" t="s">
        <v>117</v>
      </c>
      <c r="B2882" s="2"/>
      <c r="C2882" s="2"/>
      <c r="D2882" s="2"/>
      <c r="E2882" s="2"/>
      <c r="F2882" s="2"/>
      <c r="G2882" s="2"/>
      <c r="H2882" s="2"/>
      <c r="I2882" s="2">
        <v>66.539699999999996</v>
      </c>
      <c r="J2882" s="2">
        <v>218</v>
      </c>
      <c r="K2882" s="2">
        <v>66.800899999999999</v>
      </c>
      <c r="L2882" s="2">
        <v>193</v>
      </c>
      <c r="M2882" s="2">
        <v>101.215</v>
      </c>
      <c r="N2882" s="2">
        <v>171</v>
      </c>
      <c r="O2882" s="2">
        <v>98.208699999999993</v>
      </c>
      <c r="P2882" s="2">
        <v>222</v>
      </c>
      <c r="Q2882" s="2">
        <v>101.4576</v>
      </c>
      <c r="R2882" s="2">
        <v>176</v>
      </c>
      <c r="S2882" s="2">
        <v>102.8897</v>
      </c>
      <c r="T2882" s="2">
        <v>200</v>
      </c>
      <c r="U2882" s="2">
        <v>0.36924200000000001</v>
      </c>
      <c r="V2882" s="2">
        <v>216</v>
      </c>
      <c r="W2882" s="2">
        <v>2010</v>
      </c>
    </row>
    <row r="2883" spans="1:23" ht="12.3" hidden="1" x14ac:dyDescent="0.4">
      <c r="A2883" s="2" t="s">
        <v>133</v>
      </c>
      <c r="B2883" s="2"/>
      <c r="C2883" s="2"/>
      <c r="D2883" s="2"/>
      <c r="E2883" s="2"/>
      <c r="F2883" s="2"/>
      <c r="G2883" s="2"/>
      <c r="H2883" s="2"/>
      <c r="I2883" s="2">
        <v>63.482799999999997</v>
      </c>
      <c r="J2883" s="2">
        <v>311</v>
      </c>
      <c r="K2883" s="2">
        <v>63.344299999999997</v>
      </c>
      <c r="L2883" s="2">
        <v>313</v>
      </c>
      <c r="M2883" s="2">
        <v>96.391900000000007</v>
      </c>
      <c r="N2883" s="2">
        <v>257</v>
      </c>
      <c r="O2883" s="2">
        <v>96.396199999999993</v>
      </c>
      <c r="P2883" s="2">
        <v>253</v>
      </c>
      <c r="Q2883" s="2">
        <v>103.3964</v>
      </c>
      <c r="R2883" s="2">
        <v>224</v>
      </c>
      <c r="S2883" s="2">
        <v>101.02460000000001</v>
      </c>
      <c r="T2883" s="2">
        <v>163</v>
      </c>
      <c r="U2883" s="2">
        <v>0.36834800000000001</v>
      </c>
      <c r="V2883" s="2">
        <v>217</v>
      </c>
      <c r="W2883" s="2">
        <v>2010</v>
      </c>
    </row>
    <row r="2884" spans="1:23" ht="12.3" hidden="1" x14ac:dyDescent="0.4">
      <c r="A2884" s="2" t="s">
        <v>357</v>
      </c>
      <c r="B2884" s="2"/>
      <c r="C2884" s="2"/>
      <c r="D2884" s="2"/>
      <c r="E2884" s="2"/>
      <c r="F2884" s="2"/>
      <c r="G2884" s="2"/>
      <c r="H2884" s="2"/>
      <c r="I2884" s="2">
        <v>68.756600000000006</v>
      </c>
      <c r="J2884" s="2">
        <v>104</v>
      </c>
      <c r="K2884" s="2">
        <v>67.761700000000005</v>
      </c>
      <c r="L2884" s="2">
        <v>146</v>
      </c>
      <c r="M2884" s="2">
        <v>99.025999999999996</v>
      </c>
      <c r="N2884" s="2">
        <v>206</v>
      </c>
      <c r="O2884" s="2">
        <v>99.694100000000006</v>
      </c>
      <c r="P2884" s="2">
        <v>194</v>
      </c>
      <c r="Q2884" s="2">
        <v>103.7839</v>
      </c>
      <c r="R2884" s="2">
        <v>237</v>
      </c>
      <c r="S2884" s="2">
        <v>104.57429999999999</v>
      </c>
      <c r="T2884" s="2">
        <v>238</v>
      </c>
      <c r="U2884" s="2">
        <v>0.365956</v>
      </c>
      <c r="V2884" s="2">
        <v>218</v>
      </c>
      <c r="W2884" s="2">
        <v>2010</v>
      </c>
    </row>
    <row r="2885" spans="1:23" ht="12.3" hidden="1" x14ac:dyDescent="0.4">
      <c r="A2885" s="2" t="s">
        <v>83</v>
      </c>
      <c r="B2885" s="2"/>
      <c r="C2885" s="2"/>
      <c r="D2885" s="2"/>
      <c r="E2885" s="2"/>
      <c r="F2885" s="2"/>
      <c r="G2885" s="2"/>
      <c r="H2885" s="2"/>
      <c r="I2885" s="2">
        <v>69.203999999999994</v>
      </c>
      <c r="J2885" s="2">
        <v>83</v>
      </c>
      <c r="K2885" s="2">
        <v>69.398799999999994</v>
      </c>
      <c r="L2885" s="2">
        <v>72</v>
      </c>
      <c r="M2885" s="2">
        <v>95.346599999999995</v>
      </c>
      <c r="N2885" s="2">
        <v>275</v>
      </c>
      <c r="O2885" s="2">
        <v>97.190899999999999</v>
      </c>
      <c r="P2885" s="2">
        <v>239</v>
      </c>
      <c r="Q2885" s="2">
        <v>103.0817</v>
      </c>
      <c r="R2885" s="2">
        <v>214</v>
      </c>
      <c r="S2885" s="2">
        <v>101.97539999999999</v>
      </c>
      <c r="T2885" s="2">
        <v>174</v>
      </c>
      <c r="U2885" s="2">
        <v>0.365255</v>
      </c>
      <c r="V2885" s="2">
        <v>219</v>
      </c>
      <c r="W2885" s="2">
        <v>2010</v>
      </c>
    </row>
    <row r="2886" spans="1:23" ht="12.3" hidden="1" x14ac:dyDescent="0.4">
      <c r="A2886" s="2" t="s">
        <v>311</v>
      </c>
      <c r="B2886" s="2"/>
      <c r="C2886" s="2"/>
      <c r="D2886" s="2"/>
      <c r="E2886" s="2"/>
      <c r="F2886" s="2"/>
      <c r="G2886" s="2"/>
      <c r="H2886" s="2"/>
      <c r="I2886" s="2">
        <v>68.552000000000007</v>
      </c>
      <c r="J2886" s="2">
        <v>117</v>
      </c>
      <c r="K2886" s="2">
        <v>69.114400000000003</v>
      </c>
      <c r="L2886" s="2">
        <v>83</v>
      </c>
      <c r="M2886" s="2">
        <v>102.0518</v>
      </c>
      <c r="N2886" s="2">
        <v>151</v>
      </c>
      <c r="O2886" s="2">
        <v>101.0789</v>
      </c>
      <c r="P2886" s="2">
        <v>173</v>
      </c>
      <c r="Q2886" s="2">
        <v>104.21129999999999</v>
      </c>
      <c r="R2886" s="2">
        <v>247</v>
      </c>
      <c r="S2886" s="2">
        <v>106.22320000000001</v>
      </c>
      <c r="T2886" s="2">
        <v>273</v>
      </c>
      <c r="U2886" s="2">
        <v>0.36103600000000002</v>
      </c>
      <c r="V2886" s="2">
        <v>220</v>
      </c>
      <c r="W2886" s="2">
        <v>2010</v>
      </c>
    </row>
    <row r="2887" spans="1:23" ht="12.3" hidden="1" x14ac:dyDescent="0.4">
      <c r="A2887" s="2" t="s">
        <v>362</v>
      </c>
      <c r="B2887" s="2"/>
      <c r="C2887" s="2"/>
      <c r="D2887" s="2"/>
      <c r="E2887" s="2"/>
      <c r="F2887" s="2"/>
      <c r="G2887" s="2"/>
      <c r="H2887" s="2"/>
      <c r="I2887" s="2">
        <v>68.286199999999994</v>
      </c>
      <c r="J2887" s="2">
        <v>130</v>
      </c>
      <c r="K2887" s="2">
        <v>68.500399999999999</v>
      </c>
      <c r="L2887" s="2">
        <v>110</v>
      </c>
      <c r="M2887" s="2">
        <v>106.22790000000001</v>
      </c>
      <c r="N2887" s="2">
        <v>85</v>
      </c>
      <c r="O2887" s="2">
        <v>103.8888</v>
      </c>
      <c r="P2887" s="2">
        <v>132</v>
      </c>
      <c r="Q2887" s="2">
        <v>107.3955</v>
      </c>
      <c r="R2887" s="2">
        <v>302</v>
      </c>
      <c r="S2887" s="2">
        <v>109.2214</v>
      </c>
      <c r="T2887" s="2">
        <v>310</v>
      </c>
      <c r="U2887" s="2">
        <v>0.35993399999999998</v>
      </c>
      <c r="V2887" s="2">
        <v>221</v>
      </c>
      <c r="W2887" s="2">
        <v>2010</v>
      </c>
    </row>
    <row r="2888" spans="1:23" ht="12.3" hidden="1" x14ac:dyDescent="0.4">
      <c r="A2888" s="2" t="s">
        <v>101</v>
      </c>
      <c r="B2888" s="2"/>
      <c r="C2888" s="2"/>
      <c r="D2888" s="2"/>
      <c r="E2888" s="2"/>
      <c r="F2888" s="2"/>
      <c r="G2888" s="2"/>
      <c r="H2888" s="2"/>
      <c r="I2888" s="2">
        <v>62.857799999999997</v>
      </c>
      <c r="J2888" s="2">
        <v>320</v>
      </c>
      <c r="K2888" s="2">
        <v>63.5518</v>
      </c>
      <c r="L2888" s="2">
        <v>309</v>
      </c>
      <c r="M2888" s="2">
        <v>92.948999999999998</v>
      </c>
      <c r="N2888" s="2">
        <v>305</v>
      </c>
      <c r="O2888" s="2">
        <v>93.103499999999997</v>
      </c>
      <c r="P2888" s="2">
        <v>296</v>
      </c>
      <c r="Q2888" s="2">
        <v>96.878100000000003</v>
      </c>
      <c r="R2888" s="2">
        <v>79</v>
      </c>
      <c r="S2888" s="2">
        <v>98.324799999999996</v>
      </c>
      <c r="T2888" s="2">
        <v>105</v>
      </c>
      <c r="U2888" s="2">
        <v>0.348078</v>
      </c>
      <c r="V2888" s="2">
        <v>222</v>
      </c>
      <c r="W2888" s="2">
        <v>2010</v>
      </c>
    </row>
    <row r="2889" spans="1:23" ht="12.3" hidden="1" x14ac:dyDescent="0.4">
      <c r="A2889" s="2" t="s">
        <v>354</v>
      </c>
      <c r="B2889" s="2"/>
      <c r="C2889" s="2"/>
      <c r="D2889" s="2"/>
      <c r="E2889" s="2"/>
      <c r="F2889" s="2"/>
      <c r="G2889" s="2"/>
      <c r="H2889" s="2"/>
      <c r="I2889" s="2">
        <v>75.694199999999995</v>
      </c>
      <c r="J2889" s="2">
        <v>3</v>
      </c>
      <c r="K2889" s="2">
        <v>75.879400000000004</v>
      </c>
      <c r="L2889" s="2">
        <v>3</v>
      </c>
      <c r="M2889" s="2">
        <v>97.778999999999996</v>
      </c>
      <c r="N2889" s="2">
        <v>232</v>
      </c>
      <c r="O2889" s="2">
        <v>97.758899999999997</v>
      </c>
      <c r="P2889" s="2">
        <v>229</v>
      </c>
      <c r="Q2889" s="2">
        <v>103.3952</v>
      </c>
      <c r="R2889" s="2">
        <v>223</v>
      </c>
      <c r="S2889" s="2">
        <v>103.37739999999999</v>
      </c>
      <c r="T2889" s="2">
        <v>214</v>
      </c>
      <c r="U2889" s="2">
        <v>0.34464699999999998</v>
      </c>
      <c r="V2889" s="2">
        <v>223</v>
      </c>
      <c r="W2889" s="2">
        <v>2010</v>
      </c>
    </row>
    <row r="2890" spans="1:23" ht="12.3" hidden="1" x14ac:dyDescent="0.4">
      <c r="A2890" s="2" t="s">
        <v>135</v>
      </c>
      <c r="B2890" s="2"/>
      <c r="C2890" s="2"/>
      <c r="D2890" s="2"/>
      <c r="E2890" s="2"/>
      <c r="F2890" s="2"/>
      <c r="G2890" s="2"/>
      <c r="H2890" s="2"/>
      <c r="I2890" s="2">
        <v>67.691800000000001</v>
      </c>
      <c r="J2890" s="2">
        <v>154</v>
      </c>
      <c r="K2890" s="2">
        <v>67.551900000000003</v>
      </c>
      <c r="L2890" s="2">
        <v>158</v>
      </c>
      <c r="M2890" s="2">
        <v>97.418999999999997</v>
      </c>
      <c r="N2890" s="2">
        <v>240</v>
      </c>
      <c r="O2890" s="2">
        <v>93.428899999999999</v>
      </c>
      <c r="P2890" s="2">
        <v>293</v>
      </c>
      <c r="Q2890" s="2">
        <v>94.598100000000002</v>
      </c>
      <c r="R2890" s="2">
        <v>42</v>
      </c>
      <c r="S2890" s="2">
        <v>98.876800000000003</v>
      </c>
      <c r="T2890" s="2">
        <v>116</v>
      </c>
      <c r="U2890" s="2">
        <v>0.34259600000000001</v>
      </c>
      <c r="V2890" s="2">
        <v>224</v>
      </c>
      <c r="W2890" s="2">
        <v>2010</v>
      </c>
    </row>
    <row r="2891" spans="1:23" ht="12.3" hidden="1" x14ac:dyDescent="0.4">
      <c r="A2891" s="2" t="s">
        <v>198</v>
      </c>
      <c r="B2891" s="2"/>
      <c r="C2891" s="2"/>
      <c r="D2891" s="2"/>
      <c r="E2891" s="2"/>
      <c r="F2891" s="2"/>
      <c r="G2891" s="2"/>
      <c r="H2891" s="2"/>
      <c r="I2891" s="2">
        <v>72.549099999999996</v>
      </c>
      <c r="J2891" s="2">
        <v>19</v>
      </c>
      <c r="K2891" s="2">
        <v>71.914299999999997</v>
      </c>
      <c r="L2891" s="2">
        <v>22</v>
      </c>
      <c r="M2891" s="2">
        <v>96.960899999999995</v>
      </c>
      <c r="N2891" s="2">
        <v>249</v>
      </c>
      <c r="O2891" s="2">
        <v>96.109300000000005</v>
      </c>
      <c r="P2891" s="2">
        <v>258</v>
      </c>
      <c r="Q2891" s="2">
        <v>102.39870000000001</v>
      </c>
      <c r="R2891" s="2">
        <v>191</v>
      </c>
      <c r="S2891" s="2">
        <v>101.9765</v>
      </c>
      <c r="T2891" s="2">
        <v>175</v>
      </c>
      <c r="U2891" s="2">
        <v>0.33593899999999999</v>
      </c>
      <c r="V2891" s="2">
        <v>225</v>
      </c>
      <c r="W2891" s="2">
        <v>2010</v>
      </c>
    </row>
    <row r="2892" spans="1:23" ht="12.3" hidden="1" x14ac:dyDescent="0.4">
      <c r="A2892" s="2" t="s">
        <v>206</v>
      </c>
      <c r="B2892" s="2"/>
      <c r="C2892" s="2"/>
      <c r="D2892" s="2"/>
      <c r="E2892" s="2"/>
      <c r="F2892" s="2"/>
      <c r="G2892" s="2"/>
      <c r="H2892" s="2"/>
      <c r="I2892" s="2">
        <v>68.678100000000001</v>
      </c>
      <c r="J2892" s="2">
        <v>111</v>
      </c>
      <c r="K2892" s="2">
        <v>68.516999999999996</v>
      </c>
      <c r="L2892" s="2">
        <v>109</v>
      </c>
      <c r="M2892" s="2">
        <v>96.654899999999998</v>
      </c>
      <c r="N2892" s="2">
        <v>253</v>
      </c>
      <c r="O2892" s="2">
        <v>100.5111</v>
      </c>
      <c r="P2892" s="2">
        <v>185</v>
      </c>
      <c r="Q2892" s="2">
        <v>110.1579</v>
      </c>
      <c r="R2892" s="2">
        <v>331</v>
      </c>
      <c r="S2892" s="2">
        <v>106.7311</v>
      </c>
      <c r="T2892" s="2">
        <v>279</v>
      </c>
      <c r="U2892" s="2">
        <v>0.33391999999999999</v>
      </c>
      <c r="V2892" s="2">
        <v>226</v>
      </c>
      <c r="W2892" s="2">
        <v>2010</v>
      </c>
    </row>
    <row r="2893" spans="1:23" ht="12.3" hidden="1" x14ac:dyDescent="0.4">
      <c r="A2893" s="2" t="s">
        <v>150</v>
      </c>
      <c r="B2893" s="2"/>
      <c r="C2893" s="2"/>
      <c r="D2893" s="2"/>
      <c r="E2893" s="2"/>
      <c r="F2893" s="2"/>
      <c r="G2893" s="2"/>
      <c r="H2893" s="2"/>
      <c r="I2893" s="2">
        <v>64.273799999999994</v>
      </c>
      <c r="J2893" s="2">
        <v>291</v>
      </c>
      <c r="K2893" s="2">
        <v>64.326899999999995</v>
      </c>
      <c r="L2893" s="2">
        <v>289</v>
      </c>
      <c r="M2893" s="2">
        <v>99.547799999999995</v>
      </c>
      <c r="N2893" s="2">
        <v>200</v>
      </c>
      <c r="O2893" s="2">
        <v>99.681600000000003</v>
      </c>
      <c r="P2893" s="2">
        <v>195</v>
      </c>
      <c r="Q2893" s="2">
        <v>106.3501</v>
      </c>
      <c r="R2893" s="2">
        <v>288</v>
      </c>
      <c r="S2893" s="2">
        <v>105.97790000000001</v>
      </c>
      <c r="T2893" s="2">
        <v>269</v>
      </c>
      <c r="U2893" s="2">
        <v>0.33084599999999997</v>
      </c>
      <c r="V2893" s="2">
        <v>227</v>
      </c>
      <c r="W2893" s="2">
        <v>2010</v>
      </c>
    </row>
    <row r="2894" spans="1:23" ht="12.3" hidden="1" x14ac:dyDescent="0.4">
      <c r="A2894" s="2" t="s">
        <v>293</v>
      </c>
      <c r="B2894" s="2"/>
      <c r="C2894" s="2"/>
      <c r="D2894" s="2"/>
      <c r="E2894" s="2"/>
      <c r="F2894" s="2"/>
      <c r="G2894" s="2"/>
      <c r="H2894" s="2"/>
      <c r="I2894" s="2">
        <v>68.563400000000001</v>
      </c>
      <c r="J2894" s="2">
        <v>115</v>
      </c>
      <c r="K2894" s="2">
        <v>69.377099999999999</v>
      </c>
      <c r="L2894" s="2">
        <v>73</v>
      </c>
      <c r="M2894" s="2">
        <v>99.038899999999998</v>
      </c>
      <c r="N2894" s="2">
        <v>205</v>
      </c>
      <c r="O2894" s="2">
        <v>101.5838</v>
      </c>
      <c r="P2894" s="2">
        <v>168</v>
      </c>
      <c r="Q2894" s="2">
        <v>110.36</v>
      </c>
      <c r="R2894" s="2">
        <v>335</v>
      </c>
      <c r="S2894" s="2">
        <v>108.173</v>
      </c>
      <c r="T2894" s="2">
        <v>296</v>
      </c>
      <c r="U2894" s="2">
        <v>0.32679000000000002</v>
      </c>
      <c r="V2894" s="2">
        <v>228</v>
      </c>
      <c r="W2894" s="2">
        <v>2010</v>
      </c>
    </row>
    <row r="2895" spans="1:23" ht="12.3" hidden="1" x14ac:dyDescent="0.4">
      <c r="A2895" s="2" t="s">
        <v>292</v>
      </c>
      <c r="B2895" s="2"/>
      <c r="C2895" s="2"/>
      <c r="D2895" s="2"/>
      <c r="E2895" s="2"/>
      <c r="F2895" s="2"/>
      <c r="G2895" s="2"/>
      <c r="H2895" s="2"/>
      <c r="I2895" s="2">
        <v>65.725399999999993</v>
      </c>
      <c r="J2895" s="2">
        <v>249</v>
      </c>
      <c r="K2895" s="2">
        <v>66.608199999999997</v>
      </c>
      <c r="L2895" s="2">
        <v>205</v>
      </c>
      <c r="M2895" s="2">
        <v>95.938299999999998</v>
      </c>
      <c r="N2895" s="2">
        <v>266</v>
      </c>
      <c r="O2895" s="2">
        <v>95.777600000000007</v>
      </c>
      <c r="P2895" s="2">
        <v>261</v>
      </c>
      <c r="Q2895" s="2">
        <v>103.94889999999999</v>
      </c>
      <c r="R2895" s="2">
        <v>242</v>
      </c>
      <c r="S2895" s="2">
        <v>102.01739999999999</v>
      </c>
      <c r="T2895" s="2">
        <v>177</v>
      </c>
      <c r="U2895" s="2">
        <v>0.32611299999999999</v>
      </c>
      <c r="V2895" s="2">
        <v>229</v>
      </c>
      <c r="W2895" s="2">
        <v>2010</v>
      </c>
    </row>
    <row r="2896" spans="1:23" ht="12.3" hidden="1" x14ac:dyDescent="0.4">
      <c r="A2896" s="2" t="s">
        <v>322</v>
      </c>
      <c r="B2896" s="2"/>
      <c r="C2896" s="2"/>
      <c r="D2896" s="2"/>
      <c r="E2896" s="2"/>
      <c r="F2896" s="2"/>
      <c r="G2896" s="2"/>
      <c r="H2896" s="2"/>
      <c r="I2896" s="2">
        <v>67.4101</v>
      </c>
      <c r="J2896" s="2">
        <v>173</v>
      </c>
      <c r="K2896" s="2">
        <v>67.133300000000006</v>
      </c>
      <c r="L2896" s="2">
        <v>181</v>
      </c>
      <c r="M2896" s="2">
        <v>98.180800000000005</v>
      </c>
      <c r="N2896" s="2">
        <v>226</v>
      </c>
      <c r="O2896" s="2">
        <v>96.185500000000005</v>
      </c>
      <c r="P2896" s="2">
        <v>257</v>
      </c>
      <c r="Q2896" s="2">
        <v>101.08620000000001</v>
      </c>
      <c r="R2896" s="2">
        <v>167</v>
      </c>
      <c r="S2896" s="2">
        <v>102.7097</v>
      </c>
      <c r="T2896" s="2">
        <v>195</v>
      </c>
      <c r="U2896" s="2">
        <v>0.31979200000000002</v>
      </c>
      <c r="V2896" s="2">
        <v>230</v>
      </c>
      <c r="W2896" s="2">
        <v>2010</v>
      </c>
    </row>
    <row r="2897" spans="1:23" ht="12.3" hidden="1" x14ac:dyDescent="0.4">
      <c r="A2897" s="2" t="s">
        <v>161</v>
      </c>
      <c r="B2897" s="2"/>
      <c r="C2897" s="2"/>
      <c r="D2897" s="2"/>
      <c r="E2897" s="2"/>
      <c r="F2897" s="2"/>
      <c r="G2897" s="2"/>
      <c r="H2897" s="2"/>
      <c r="I2897" s="2">
        <v>66.119699999999995</v>
      </c>
      <c r="J2897" s="2">
        <v>235</v>
      </c>
      <c r="K2897" s="2">
        <v>67.028599999999997</v>
      </c>
      <c r="L2897" s="2">
        <v>187</v>
      </c>
      <c r="M2897" s="2">
        <v>93.402299999999997</v>
      </c>
      <c r="N2897" s="2">
        <v>299</v>
      </c>
      <c r="O2897" s="2">
        <v>92.860100000000003</v>
      </c>
      <c r="P2897" s="2">
        <v>300</v>
      </c>
      <c r="Q2897" s="2">
        <v>100.87739999999999</v>
      </c>
      <c r="R2897" s="2">
        <v>159</v>
      </c>
      <c r="S2897" s="2">
        <v>99.194800000000001</v>
      </c>
      <c r="T2897" s="2">
        <v>124</v>
      </c>
      <c r="U2897" s="2">
        <v>0.318884</v>
      </c>
      <c r="V2897" s="2">
        <v>231</v>
      </c>
      <c r="W2897" s="2">
        <v>2010</v>
      </c>
    </row>
    <row r="2898" spans="1:23" ht="12.3" hidden="1" x14ac:dyDescent="0.4">
      <c r="A2898" s="2" t="s">
        <v>284</v>
      </c>
      <c r="B2898" s="2"/>
      <c r="C2898" s="2"/>
      <c r="D2898" s="2"/>
      <c r="E2898" s="2"/>
      <c r="F2898" s="2"/>
      <c r="G2898" s="2"/>
      <c r="H2898" s="2"/>
      <c r="I2898" s="2">
        <v>62.353499999999997</v>
      </c>
      <c r="J2898" s="2">
        <v>326</v>
      </c>
      <c r="K2898" s="2">
        <v>62.187100000000001</v>
      </c>
      <c r="L2898" s="2">
        <v>325</v>
      </c>
      <c r="M2898" s="2">
        <v>97.1995</v>
      </c>
      <c r="N2898" s="2">
        <v>246</v>
      </c>
      <c r="O2898" s="2">
        <v>97.0505</v>
      </c>
      <c r="P2898" s="2">
        <v>242</v>
      </c>
      <c r="Q2898" s="2">
        <v>102.06789999999999</v>
      </c>
      <c r="R2898" s="2">
        <v>184</v>
      </c>
      <c r="S2898" s="2">
        <v>103.7081</v>
      </c>
      <c r="T2898" s="2">
        <v>220</v>
      </c>
      <c r="U2898" s="2">
        <v>0.317992</v>
      </c>
      <c r="V2898" s="2">
        <v>232</v>
      </c>
      <c r="W2898" s="2">
        <v>2010</v>
      </c>
    </row>
    <row r="2899" spans="1:23" ht="12.3" hidden="1" x14ac:dyDescent="0.4">
      <c r="A2899" s="2" t="s">
        <v>178</v>
      </c>
      <c r="B2899" s="2"/>
      <c r="C2899" s="2"/>
      <c r="D2899" s="2"/>
      <c r="E2899" s="2"/>
      <c r="F2899" s="2"/>
      <c r="G2899" s="2"/>
      <c r="H2899" s="2"/>
      <c r="I2899" s="2">
        <v>66.790599999999998</v>
      </c>
      <c r="J2899" s="2">
        <v>200</v>
      </c>
      <c r="K2899" s="2">
        <v>66.185699999999997</v>
      </c>
      <c r="L2899" s="2">
        <v>222</v>
      </c>
      <c r="M2899" s="2">
        <v>103.1019</v>
      </c>
      <c r="N2899" s="2">
        <v>132</v>
      </c>
      <c r="O2899" s="2">
        <v>101.5206</v>
      </c>
      <c r="P2899" s="2">
        <v>169</v>
      </c>
      <c r="Q2899" s="2">
        <v>106.256</v>
      </c>
      <c r="R2899" s="2">
        <v>287</v>
      </c>
      <c r="S2899" s="2">
        <v>108.6075</v>
      </c>
      <c r="T2899" s="2">
        <v>298</v>
      </c>
      <c r="U2899" s="2">
        <v>0.31518200000000002</v>
      </c>
      <c r="V2899" s="2">
        <v>233</v>
      </c>
      <c r="W2899" s="2">
        <v>2010</v>
      </c>
    </row>
    <row r="2900" spans="1:23" ht="12.3" hidden="1" x14ac:dyDescent="0.4">
      <c r="A2900" s="2" t="s">
        <v>189</v>
      </c>
      <c r="B2900" s="2"/>
      <c r="C2900" s="2"/>
      <c r="D2900" s="2"/>
      <c r="E2900" s="2"/>
      <c r="F2900" s="2"/>
      <c r="G2900" s="2"/>
      <c r="H2900" s="2"/>
      <c r="I2900" s="2">
        <v>67.7</v>
      </c>
      <c r="J2900" s="2">
        <v>153</v>
      </c>
      <c r="K2900" s="2">
        <v>67.564300000000003</v>
      </c>
      <c r="L2900" s="2">
        <v>155</v>
      </c>
      <c r="M2900" s="2">
        <v>102.4092</v>
      </c>
      <c r="N2900" s="2">
        <v>145</v>
      </c>
      <c r="O2900" s="2">
        <v>102.758</v>
      </c>
      <c r="P2900" s="2">
        <v>150</v>
      </c>
      <c r="Q2900" s="2">
        <v>110.3441</v>
      </c>
      <c r="R2900" s="2">
        <v>334</v>
      </c>
      <c r="S2900" s="2">
        <v>110.00879999999999</v>
      </c>
      <c r="T2900" s="2">
        <v>322</v>
      </c>
      <c r="U2900" s="2">
        <v>0.31343399999999999</v>
      </c>
      <c r="V2900" s="2">
        <v>234</v>
      </c>
      <c r="W2900" s="2">
        <v>2010</v>
      </c>
    </row>
    <row r="2901" spans="1:23" ht="12.3" hidden="1" x14ac:dyDescent="0.4">
      <c r="A2901" s="2" t="s">
        <v>217</v>
      </c>
      <c r="B2901" s="2"/>
      <c r="C2901" s="2"/>
      <c r="D2901" s="2"/>
      <c r="E2901" s="2"/>
      <c r="F2901" s="2"/>
      <c r="G2901" s="2"/>
      <c r="H2901" s="2"/>
      <c r="I2901" s="2">
        <v>67.001300000000001</v>
      </c>
      <c r="J2901" s="2">
        <v>187</v>
      </c>
      <c r="K2901" s="2">
        <v>67.082099999999997</v>
      </c>
      <c r="L2901" s="2">
        <v>184</v>
      </c>
      <c r="M2901" s="2">
        <v>94.080600000000004</v>
      </c>
      <c r="N2901" s="2">
        <v>293</v>
      </c>
      <c r="O2901" s="2">
        <v>94.707099999999997</v>
      </c>
      <c r="P2901" s="2">
        <v>280</v>
      </c>
      <c r="Q2901" s="2">
        <v>104.2462</v>
      </c>
      <c r="R2901" s="2">
        <v>248</v>
      </c>
      <c r="S2901" s="2">
        <v>101.47669999999999</v>
      </c>
      <c r="T2901" s="2">
        <v>168</v>
      </c>
      <c r="U2901" s="2">
        <v>0.31131900000000001</v>
      </c>
      <c r="V2901" s="2">
        <v>235</v>
      </c>
      <c r="W2901" s="2">
        <v>2010</v>
      </c>
    </row>
    <row r="2902" spans="1:23" ht="12.3" hidden="1" x14ac:dyDescent="0.4">
      <c r="A2902" s="2" t="s">
        <v>195</v>
      </c>
      <c r="B2902" s="2"/>
      <c r="C2902" s="2"/>
      <c r="D2902" s="2"/>
      <c r="E2902" s="2"/>
      <c r="F2902" s="2"/>
      <c r="G2902" s="2"/>
      <c r="H2902" s="2"/>
      <c r="I2902" s="2">
        <v>68.941900000000004</v>
      </c>
      <c r="J2902" s="2">
        <v>93</v>
      </c>
      <c r="K2902" s="2">
        <v>68.872699999999995</v>
      </c>
      <c r="L2902" s="2">
        <v>92</v>
      </c>
      <c r="M2902" s="2">
        <v>98.251000000000005</v>
      </c>
      <c r="N2902" s="2">
        <v>223</v>
      </c>
      <c r="O2902" s="2">
        <v>96.357900000000001</v>
      </c>
      <c r="P2902" s="2">
        <v>254</v>
      </c>
      <c r="Q2902" s="2">
        <v>100.8882</v>
      </c>
      <c r="R2902" s="2">
        <v>160</v>
      </c>
      <c r="S2902" s="2">
        <v>103.27160000000001</v>
      </c>
      <c r="T2902" s="2">
        <v>212</v>
      </c>
      <c r="U2902" s="2">
        <v>0.310695</v>
      </c>
      <c r="V2902" s="2">
        <v>236</v>
      </c>
      <c r="W2902" s="2">
        <v>2010</v>
      </c>
    </row>
    <row r="2903" spans="1:23" ht="12.3" x14ac:dyDescent="0.4">
      <c r="A2903" s="2" t="s">
        <v>126</v>
      </c>
      <c r="B2903" s="2">
        <v>13</v>
      </c>
      <c r="C2903" s="2"/>
      <c r="D2903" s="2"/>
      <c r="E2903" s="2"/>
      <c r="F2903" s="2"/>
      <c r="G2903" s="2"/>
      <c r="H2903" s="2"/>
      <c r="I2903" s="2">
        <v>65.556100000000001</v>
      </c>
      <c r="J2903" s="2">
        <v>229</v>
      </c>
      <c r="K2903" s="2">
        <v>64.415400000000005</v>
      </c>
      <c r="L2903" s="2">
        <v>265</v>
      </c>
      <c r="M2903" s="2">
        <v>111.2239</v>
      </c>
      <c r="N2903" s="2">
        <v>20</v>
      </c>
      <c r="O2903" s="2">
        <v>107.664</v>
      </c>
      <c r="P2903" s="2">
        <v>68</v>
      </c>
      <c r="Q2903" s="2">
        <v>95.744500000000002</v>
      </c>
      <c r="R2903" s="2">
        <v>49</v>
      </c>
      <c r="S2903" s="2">
        <v>98.812600000000003</v>
      </c>
      <c r="T2903" s="2">
        <v>107</v>
      </c>
      <c r="U2903" s="2">
        <v>0.72841199999999995</v>
      </c>
      <c r="V2903" s="2">
        <v>77</v>
      </c>
      <c r="W2903" s="2">
        <v>2006</v>
      </c>
    </row>
    <row r="2904" spans="1:23" ht="12.3" hidden="1" x14ac:dyDescent="0.4">
      <c r="A2904" s="2" t="s">
        <v>66</v>
      </c>
      <c r="B2904" s="2"/>
      <c r="C2904" s="2"/>
      <c r="D2904" s="2"/>
      <c r="E2904" s="2"/>
      <c r="F2904" s="2"/>
      <c r="G2904" s="2"/>
      <c r="H2904" s="2"/>
      <c r="I2904" s="2">
        <v>67.113799999999998</v>
      </c>
      <c r="J2904" s="2">
        <v>184</v>
      </c>
      <c r="K2904" s="2">
        <v>66.008700000000005</v>
      </c>
      <c r="L2904" s="2">
        <v>231</v>
      </c>
      <c r="M2904" s="2">
        <v>101.21639999999999</v>
      </c>
      <c r="N2904" s="2">
        <v>170</v>
      </c>
      <c r="O2904" s="2">
        <v>98.8613</v>
      </c>
      <c r="P2904" s="2">
        <v>204</v>
      </c>
      <c r="Q2904" s="2">
        <v>109.14400000000001</v>
      </c>
      <c r="R2904" s="2">
        <v>323</v>
      </c>
      <c r="S2904" s="2">
        <v>106.1026</v>
      </c>
      <c r="T2904" s="2">
        <v>272</v>
      </c>
      <c r="U2904" s="2">
        <v>0.30726900000000001</v>
      </c>
      <c r="V2904" s="2">
        <v>238</v>
      </c>
      <c r="W2904" s="2">
        <v>2010</v>
      </c>
    </row>
    <row r="2905" spans="1:23" ht="12.3" hidden="1" x14ac:dyDescent="0.4">
      <c r="A2905" s="2" t="s">
        <v>273</v>
      </c>
      <c r="B2905" s="2"/>
      <c r="C2905" s="2"/>
      <c r="D2905" s="2"/>
      <c r="E2905" s="2"/>
      <c r="F2905" s="2"/>
      <c r="G2905" s="2"/>
      <c r="H2905" s="2"/>
      <c r="I2905" s="2">
        <v>67.513900000000007</v>
      </c>
      <c r="J2905" s="2">
        <v>166</v>
      </c>
      <c r="K2905" s="2">
        <v>68.2196</v>
      </c>
      <c r="L2905" s="2">
        <v>126</v>
      </c>
      <c r="M2905" s="2">
        <v>106.83710000000001</v>
      </c>
      <c r="N2905" s="2">
        <v>72</v>
      </c>
      <c r="O2905" s="2">
        <v>102.3779</v>
      </c>
      <c r="P2905" s="2">
        <v>155</v>
      </c>
      <c r="Q2905" s="2">
        <v>105.6729</v>
      </c>
      <c r="R2905" s="2">
        <v>278</v>
      </c>
      <c r="S2905" s="2">
        <v>109.9374</v>
      </c>
      <c r="T2905" s="2">
        <v>320</v>
      </c>
      <c r="U2905" s="2">
        <v>0.305919</v>
      </c>
      <c r="V2905" s="2">
        <v>239</v>
      </c>
      <c r="W2905" s="2">
        <v>2010</v>
      </c>
    </row>
    <row r="2906" spans="1:23" ht="12.3" hidden="1" x14ac:dyDescent="0.4">
      <c r="A2906" s="2" t="s">
        <v>289</v>
      </c>
      <c r="B2906" s="2"/>
      <c r="C2906" s="2"/>
      <c r="D2906" s="2"/>
      <c r="E2906" s="2"/>
      <c r="F2906" s="2"/>
      <c r="G2906" s="2"/>
      <c r="H2906" s="2"/>
      <c r="I2906" s="2">
        <v>65.4589</v>
      </c>
      <c r="J2906" s="2">
        <v>256</v>
      </c>
      <c r="K2906" s="2">
        <v>65.453699999999998</v>
      </c>
      <c r="L2906" s="2">
        <v>255</v>
      </c>
      <c r="M2906" s="2">
        <v>100.59180000000001</v>
      </c>
      <c r="N2906" s="2">
        <v>185</v>
      </c>
      <c r="O2906" s="2">
        <v>96.802000000000007</v>
      </c>
      <c r="P2906" s="2">
        <v>245</v>
      </c>
      <c r="Q2906" s="2">
        <v>101.8964</v>
      </c>
      <c r="R2906" s="2">
        <v>182</v>
      </c>
      <c r="S2906" s="2">
        <v>104.0068</v>
      </c>
      <c r="T2906" s="2">
        <v>225</v>
      </c>
      <c r="U2906" s="2">
        <v>0.30458299999999999</v>
      </c>
      <c r="V2906" s="2">
        <v>240</v>
      </c>
      <c r="W2906" s="2">
        <v>2010</v>
      </c>
    </row>
    <row r="2907" spans="1:23" ht="12.3" hidden="1" x14ac:dyDescent="0.4">
      <c r="A2907" s="2" t="s">
        <v>317</v>
      </c>
      <c r="B2907" s="2"/>
      <c r="C2907" s="2"/>
      <c r="D2907" s="2"/>
      <c r="E2907" s="2"/>
      <c r="F2907" s="2"/>
      <c r="G2907" s="2"/>
      <c r="H2907" s="2"/>
      <c r="I2907" s="2">
        <v>67.482699999999994</v>
      </c>
      <c r="J2907" s="2">
        <v>168</v>
      </c>
      <c r="K2907" s="2">
        <v>68.388999999999996</v>
      </c>
      <c r="L2907" s="2">
        <v>118</v>
      </c>
      <c r="M2907" s="2">
        <v>96.856399999999994</v>
      </c>
      <c r="N2907" s="2">
        <v>252</v>
      </c>
      <c r="O2907" s="2">
        <v>97.295000000000002</v>
      </c>
      <c r="P2907" s="2">
        <v>236</v>
      </c>
      <c r="Q2907" s="2">
        <v>105.72499999999999</v>
      </c>
      <c r="R2907" s="2">
        <v>279</v>
      </c>
      <c r="S2907" s="2">
        <v>104.5479</v>
      </c>
      <c r="T2907" s="2">
        <v>236</v>
      </c>
      <c r="U2907" s="2">
        <v>0.30431599999999998</v>
      </c>
      <c r="V2907" s="2">
        <v>241</v>
      </c>
      <c r="W2907" s="2">
        <v>2010</v>
      </c>
    </row>
    <row r="2908" spans="1:23" ht="12.3" hidden="1" x14ac:dyDescent="0.4">
      <c r="A2908" s="2" t="s">
        <v>270</v>
      </c>
      <c r="B2908" s="2"/>
      <c r="C2908" s="2"/>
      <c r="D2908" s="2"/>
      <c r="E2908" s="2"/>
      <c r="F2908" s="2"/>
      <c r="G2908" s="2"/>
      <c r="H2908" s="2"/>
      <c r="I2908" s="2">
        <v>72.776499999999999</v>
      </c>
      <c r="J2908" s="2">
        <v>16</v>
      </c>
      <c r="K2908" s="2">
        <v>71.921899999999994</v>
      </c>
      <c r="L2908" s="2">
        <v>21</v>
      </c>
      <c r="M2908" s="2">
        <v>97.972300000000004</v>
      </c>
      <c r="N2908" s="2">
        <v>231</v>
      </c>
      <c r="O2908" s="2">
        <v>95.107399999999998</v>
      </c>
      <c r="P2908" s="2">
        <v>276</v>
      </c>
      <c r="Q2908" s="2">
        <v>100.07089999999999</v>
      </c>
      <c r="R2908" s="2">
        <v>144</v>
      </c>
      <c r="S2908" s="2">
        <v>102.21639999999999</v>
      </c>
      <c r="T2908" s="2">
        <v>182</v>
      </c>
      <c r="U2908" s="2">
        <v>0.30386099999999999</v>
      </c>
      <c r="V2908" s="2">
        <v>242</v>
      </c>
      <c r="W2908" s="2">
        <v>2010</v>
      </c>
    </row>
    <row r="2909" spans="1:23" ht="12.3" hidden="1" x14ac:dyDescent="0.4">
      <c r="A2909" s="2" t="s">
        <v>209</v>
      </c>
      <c r="B2909" s="2"/>
      <c r="C2909" s="2"/>
      <c r="D2909" s="2"/>
      <c r="E2909" s="2"/>
      <c r="F2909" s="2"/>
      <c r="G2909" s="2"/>
      <c r="H2909" s="2"/>
      <c r="I2909" s="2">
        <v>69.382499999999993</v>
      </c>
      <c r="J2909" s="2">
        <v>79</v>
      </c>
      <c r="K2909" s="2">
        <v>71.309899999999999</v>
      </c>
      <c r="L2909" s="2">
        <v>28</v>
      </c>
      <c r="M2909" s="2">
        <v>95.940399999999997</v>
      </c>
      <c r="N2909" s="2">
        <v>265</v>
      </c>
      <c r="O2909" s="2">
        <v>97.761200000000002</v>
      </c>
      <c r="P2909" s="2">
        <v>228</v>
      </c>
      <c r="Q2909" s="2">
        <v>102.56619999999999</v>
      </c>
      <c r="R2909" s="2">
        <v>194</v>
      </c>
      <c r="S2909" s="2">
        <v>105.1262</v>
      </c>
      <c r="T2909" s="2">
        <v>251</v>
      </c>
      <c r="U2909" s="2">
        <v>0.30252800000000002</v>
      </c>
      <c r="V2909" s="2">
        <v>243</v>
      </c>
      <c r="W2909" s="2">
        <v>2010</v>
      </c>
    </row>
    <row r="2910" spans="1:23" ht="12.3" hidden="1" x14ac:dyDescent="0.4">
      <c r="A2910" s="2" t="s">
        <v>360</v>
      </c>
      <c r="B2910" s="2"/>
      <c r="C2910" s="2"/>
      <c r="D2910" s="2"/>
      <c r="E2910" s="2"/>
      <c r="F2910" s="2"/>
      <c r="G2910" s="2"/>
      <c r="H2910" s="2"/>
      <c r="I2910" s="2">
        <v>68.641599999999997</v>
      </c>
      <c r="J2910" s="2">
        <v>113</v>
      </c>
      <c r="K2910" s="2">
        <v>68.412400000000005</v>
      </c>
      <c r="L2910" s="2">
        <v>116</v>
      </c>
      <c r="M2910" s="2">
        <v>97.316599999999994</v>
      </c>
      <c r="N2910" s="2">
        <v>243</v>
      </c>
      <c r="O2910" s="2">
        <v>94.898799999999994</v>
      </c>
      <c r="P2910" s="2">
        <v>277</v>
      </c>
      <c r="Q2910" s="2">
        <v>101.2701</v>
      </c>
      <c r="R2910" s="2">
        <v>172</v>
      </c>
      <c r="S2910" s="2">
        <v>102.2664</v>
      </c>
      <c r="T2910" s="2">
        <v>183</v>
      </c>
      <c r="U2910" s="2">
        <v>0.29736699999999999</v>
      </c>
      <c r="V2910" s="2">
        <v>244</v>
      </c>
      <c r="W2910" s="2">
        <v>2010</v>
      </c>
    </row>
    <row r="2911" spans="1:23" ht="12.3" hidden="1" x14ac:dyDescent="0.4">
      <c r="A2911" s="2" t="s">
        <v>114</v>
      </c>
      <c r="B2911" s="2"/>
      <c r="C2911" s="2"/>
      <c r="D2911" s="2"/>
      <c r="E2911" s="2"/>
      <c r="F2911" s="2"/>
      <c r="G2911" s="2"/>
      <c r="H2911" s="2"/>
      <c r="I2911" s="2">
        <v>68.292500000000004</v>
      </c>
      <c r="J2911" s="2">
        <v>129</v>
      </c>
      <c r="K2911" s="2">
        <v>67.953900000000004</v>
      </c>
      <c r="L2911" s="2">
        <v>136</v>
      </c>
      <c r="M2911" s="2">
        <v>103.38939999999999</v>
      </c>
      <c r="N2911" s="2">
        <v>126</v>
      </c>
      <c r="O2911" s="2">
        <v>103.2991</v>
      </c>
      <c r="P2911" s="2">
        <v>141</v>
      </c>
      <c r="Q2911" s="2">
        <v>112.9679</v>
      </c>
      <c r="R2911" s="2">
        <v>344</v>
      </c>
      <c r="S2911" s="2">
        <v>111.8288</v>
      </c>
      <c r="T2911" s="2">
        <v>339</v>
      </c>
      <c r="U2911" s="2">
        <v>0.28650500000000001</v>
      </c>
      <c r="V2911" s="2">
        <v>245</v>
      </c>
      <c r="W2911" s="2">
        <v>2010</v>
      </c>
    </row>
    <row r="2912" spans="1:23" ht="12.3" hidden="1" x14ac:dyDescent="0.4">
      <c r="A2912" s="2" t="s">
        <v>144</v>
      </c>
      <c r="B2912" s="2"/>
      <c r="C2912" s="2"/>
      <c r="D2912" s="2"/>
      <c r="E2912" s="2"/>
      <c r="F2912" s="2"/>
      <c r="G2912" s="2"/>
      <c r="H2912" s="2"/>
      <c r="I2912" s="2">
        <v>67.258600000000001</v>
      </c>
      <c r="J2912" s="2">
        <v>181</v>
      </c>
      <c r="K2912" s="2">
        <v>68.894000000000005</v>
      </c>
      <c r="L2912" s="2">
        <v>91</v>
      </c>
      <c r="M2912" s="2">
        <v>92.467799999999997</v>
      </c>
      <c r="N2912" s="2">
        <v>311</v>
      </c>
      <c r="O2912" s="2">
        <v>95.559200000000004</v>
      </c>
      <c r="P2912" s="2">
        <v>267</v>
      </c>
      <c r="Q2912" s="2">
        <v>105.56619999999999</v>
      </c>
      <c r="R2912" s="2">
        <v>270</v>
      </c>
      <c r="S2912" s="2">
        <v>103.5642</v>
      </c>
      <c r="T2912" s="2">
        <v>216</v>
      </c>
      <c r="U2912" s="2">
        <v>0.28391499999999997</v>
      </c>
      <c r="V2912" s="2">
        <v>246</v>
      </c>
      <c r="W2912" s="2">
        <v>2010</v>
      </c>
    </row>
    <row r="2913" spans="1:23" ht="12.3" hidden="1" x14ac:dyDescent="0.4">
      <c r="A2913" s="2" t="s">
        <v>377</v>
      </c>
      <c r="B2913" s="2"/>
      <c r="C2913" s="2"/>
      <c r="D2913" s="2"/>
      <c r="E2913" s="2"/>
      <c r="F2913" s="2"/>
      <c r="G2913" s="2"/>
      <c r="H2913" s="2"/>
      <c r="I2913" s="2">
        <v>74.701599999999999</v>
      </c>
      <c r="J2913" s="2">
        <v>6</v>
      </c>
      <c r="K2913" s="2">
        <v>74.207999999999998</v>
      </c>
      <c r="L2913" s="2">
        <v>7</v>
      </c>
      <c r="M2913" s="2">
        <v>101.1665</v>
      </c>
      <c r="N2913" s="2">
        <v>172</v>
      </c>
      <c r="O2913" s="2">
        <v>96.695300000000003</v>
      </c>
      <c r="P2913" s="2">
        <v>249</v>
      </c>
      <c r="Q2913" s="2">
        <v>98.6721</v>
      </c>
      <c r="R2913" s="2">
        <v>120</v>
      </c>
      <c r="S2913" s="2">
        <v>105.0523</v>
      </c>
      <c r="T2913" s="2">
        <v>249</v>
      </c>
      <c r="U2913" s="2">
        <v>0.27822599999999997</v>
      </c>
      <c r="V2913" s="2">
        <v>247</v>
      </c>
      <c r="W2913" s="2">
        <v>2010</v>
      </c>
    </row>
    <row r="2914" spans="1:23" ht="12.3" hidden="1" x14ac:dyDescent="0.4">
      <c r="A2914" s="2" t="s">
        <v>287</v>
      </c>
      <c r="B2914" s="2"/>
      <c r="C2914" s="2"/>
      <c r="D2914" s="2"/>
      <c r="E2914" s="2"/>
      <c r="F2914" s="2"/>
      <c r="G2914" s="2"/>
      <c r="H2914" s="2"/>
      <c r="I2914" s="2">
        <v>66.532399999999996</v>
      </c>
      <c r="J2914" s="2">
        <v>219</v>
      </c>
      <c r="K2914" s="2">
        <v>66.180599999999998</v>
      </c>
      <c r="L2914" s="2">
        <v>223</v>
      </c>
      <c r="M2914" s="2">
        <v>97.022300000000001</v>
      </c>
      <c r="N2914" s="2">
        <v>248</v>
      </c>
      <c r="O2914" s="2">
        <v>94.573300000000003</v>
      </c>
      <c r="P2914" s="2">
        <v>282</v>
      </c>
      <c r="Q2914" s="2">
        <v>102.4173</v>
      </c>
      <c r="R2914" s="2">
        <v>193</v>
      </c>
      <c r="S2914" s="2">
        <v>102.75449999999999</v>
      </c>
      <c r="T2914" s="2">
        <v>197</v>
      </c>
      <c r="U2914" s="2">
        <v>0.27805600000000003</v>
      </c>
      <c r="V2914" s="2">
        <v>248</v>
      </c>
      <c r="W2914" s="2">
        <v>2010</v>
      </c>
    </row>
    <row r="2915" spans="1:23" ht="12.3" hidden="1" x14ac:dyDescent="0.4">
      <c r="A2915" s="2" t="s">
        <v>110</v>
      </c>
      <c r="B2915" s="2"/>
      <c r="C2915" s="2"/>
      <c r="D2915" s="2"/>
      <c r="E2915" s="2"/>
      <c r="F2915" s="2"/>
      <c r="G2915" s="2"/>
      <c r="H2915" s="2"/>
      <c r="I2915" s="2">
        <v>65.371799999999993</v>
      </c>
      <c r="J2915" s="2">
        <v>259</v>
      </c>
      <c r="K2915" s="2">
        <v>64.806600000000003</v>
      </c>
      <c r="L2915" s="2">
        <v>278</v>
      </c>
      <c r="M2915" s="2">
        <v>101.3586</v>
      </c>
      <c r="N2915" s="2">
        <v>164</v>
      </c>
      <c r="O2915" s="2">
        <v>100.2062</v>
      </c>
      <c r="P2915" s="2">
        <v>190</v>
      </c>
      <c r="Q2915" s="2">
        <v>106.86620000000001</v>
      </c>
      <c r="R2915" s="2">
        <v>295</v>
      </c>
      <c r="S2915" s="2">
        <v>109.062</v>
      </c>
      <c r="T2915" s="2">
        <v>307</v>
      </c>
      <c r="U2915" s="2">
        <v>0.27410499999999999</v>
      </c>
      <c r="V2915" s="2">
        <v>249</v>
      </c>
      <c r="W2915" s="2">
        <v>2010</v>
      </c>
    </row>
    <row r="2916" spans="1:23" ht="12.3" hidden="1" x14ac:dyDescent="0.4">
      <c r="A2916" s="2" t="s">
        <v>127</v>
      </c>
      <c r="B2916" s="2"/>
      <c r="C2916" s="2"/>
      <c r="D2916" s="2"/>
      <c r="E2916" s="2"/>
      <c r="F2916" s="2"/>
      <c r="G2916" s="2"/>
      <c r="H2916" s="2"/>
      <c r="I2916" s="2">
        <v>67.837900000000005</v>
      </c>
      <c r="J2916" s="2">
        <v>143</v>
      </c>
      <c r="K2916" s="2">
        <v>67.710400000000007</v>
      </c>
      <c r="L2916" s="2">
        <v>149</v>
      </c>
      <c r="M2916" s="2">
        <v>93.724900000000005</v>
      </c>
      <c r="N2916" s="2">
        <v>297</v>
      </c>
      <c r="O2916" s="2">
        <v>95.241200000000006</v>
      </c>
      <c r="P2916" s="2">
        <v>273</v>
      </c>
      <c r="Q2916" s="2">
        <v>105.59059999999999</v>
      </c>
      <c r="R2916" s="2">
        <v>271</v>
      </c>
      <c r="S2916" s="2">
        <v>103.68510000000001</v>
      </c>
      <c r="T2916" s="2">
        <v>218</v>
      </c>
      <c r="U2916" s="2">
        <v>0.27351300000000001</v>
      </c>
      <c r="V2916" s="2">
        <v>250</v>
      </c>
      <c r="W2916" s="2">
        <v>2010</v>
      </c>
    </row>
    <row r="2917" spans="1:23" ht="12.3" hidden="1" x14ac:dyDescent="0.4">
      <c r="A2917" s="2" t="s">
        <v>204</v>
      </c>
      <c r="B2917" s="2"/>
      <c r="C2917" s="2"/>
      <c r="D2917" s="2"/>
      <c r="E2917" s="2"/>
      <c r="F2917" s="2"/>
      <c r="G2917" s="2"/>
      <c r="H2917" s="2"/>
      <c r="I2917" s="2">
        <v>59.180599999999998</v>
      </c>
      <c r="J2917" s="2">
        <v>344</v>
      </c>
      <c r="K2917" s="2">
        <v>58.117100000000001</v>
      </c>
      <c r="L2917" s="2">
        <v>346</v>
      </c>
      <c r="M2917" s="2">
        <v>93.884</v>
      </c>
      <c r="N2917" s="2">
        <v>295</v>
      </c>
      <c r="O2917" s="2">
        <v>95.564499999999995</v>
      </c>
      <c r="P2917" s="2">
        <v>266</v>
      </c>
      <c r="Q2917" s="2">
        <v>106.40940000000001</v>
      </c>
      <c r="R2917" s="2">
        <v>289</v>
      </c>
      <c r="S2917" s="2">
        <v>104.1382</v>
      </c>
      <c r="T2917" s="2">
        <v>226</v>
      </c>
      <c r="U2917" s="2">
        <v>0.27129599999999998</v>
      </c>
      <c r="V2917" s="2">
        <v>251</v>
      </c>
      <c r="W2917" s="2">
        <v>2010</v>
      </c>
    </row>
    <row r="2918" spans="1:23" ht="12.3" hidden="1" x14ac:dyDescent="0.4">
      <c r="A2918" s="2" t="s">
        <v>93</v>
      </c>
      <c r="B2918" s="2"/>
      <c r="C2918" s="2"/>
      <c r="D2918" s="2"/>
      <c r="E2918" s="2"/>
      <c r="F2918" s="2"/>
      <c r="G2918" s="2"/>
      <c r="H2918" s="2"/>
      <c r="I2918" s="2">
        <v>70.678299999999993</v>
      </c>
      <c r="J2918" s="2">
        <v>42</v>
      </c>
      <c r="K2918" s="2">
        <v>70.866600000000005</v>
      </c>
      <c r="L2918" s="2">
        <v>32</v>
      </c>
      <c r="M2918" s="2">
        <v>94.3964</v>
      </c>
      <c r="N2918" s="2">
        <v>289</v>
      </c>
      <c r="O2918" s="2">
        <v>95.680499999999995</v>
      </c>
      <c r="P2918" s="2">
        <v>263</v>
      </c>
      <c r="Q2918" s="2">
        <v>105.65519999999999</v>
      </c>
      <c r="R2918" s="2">
        <v>276</v>
      </c>
      <c r="S2918" s="2">
        <v>104.4208</v>
      </c>
      <c r="T2918" s="2">
        <v>232</v>
      </c>
      <c r="U2918" s="2">
        <v>0.26790799999999998</v>
      </c>
      <c r="V2918" s="2">
        <v>252</v>
      </c>
      <c r="W2918" s="2">
        <v>2010</v>
      </c>
    </row>
    <row r="2919" spans="1:23" ht="12.3" hidden="1" x14ac:dyDescent="0.4">
      <c r="A2919" s="2" t="s">
        <v>288</v>
      </c>
      <c r="B2919" s="2"/>
      <c r="C2919" s="2"/>
      <c r="D2919" s="2"/>
      <c r="E2919" s="2"/>
      <c r="F2919" s="2"/>
      <c r="G2919" s="2"/>
      <c r="H2919" s="2"/>
      <c r="I2919" s="2">
        <v>68.710499999999996</v>
      </c>
      <c r="J2919" s="2">
        <v>107</v>
      </c>
      <c r="K2919" s="2">
        <v>68.649799999999999</v>
      </c>
      <c r="L2919" s="2">
        <v>102</v>
      </c>
      <c r="M2919" s="2">
        <v>99.904499999999999</v>
      </c>
      <c r="N2919" s="2">
        <v>193</v>
      </c>
      <c r="O2919" s="2">
        <v>95.695800000000006</v>
      </c>
      <c r="P2919" s="2">
        <v>262</v>
      </c>
      <c r="Q2919" s="2">
        <v>100.49509999999999</v>
      </c>
      <c r="R2919" s="2">
        <v>151</v>
      </c>
      <c r="S2919" s="2">
        <v>104.4756</v>
      </c>
      <c r="T2919" s="2">
        <v>233</v>
      </c>
      <c r="U2919" s="2">
        <v>0.26708599999999999</v>
      </c>
      <c r="V2919" s="2">
        <v>253</v>
      </c>
      <c r="W2919" s="2">
        <v>2010</v>
      </c>
    </row>
    <row r="2920" spans="1:23" ht="12.3" hidden="1" x14ac:dyDescent="0.4">
      <c r="A2920" s="2" t="s">
        <v>166</v>
      </c>
      <c r="B2920" s="2"/>
      <c r="C2920" s="2"/>
      <c r="D2920" s="2"/>
      <c r="E2920" s="2"/>
      <c r="F2920" s="2"/>
      <c r="G2920" s="2"/>
      <c r="H2920" s="2"/>
      <c r="I2920" s="2">
        <v>70.437899999999999</v>
      </c>
      <c r="J2920" s="2">
        <v>51</v>
      </c>
      <c r="K2920" s="2">
        <v>70.466800000000006</v>
      </c>
      <c r="L2920" s="2">
        <v>41</v>
      </c>
      <c r="M2920" s="2">
        <v>96.920100000000005</v>
      </c>
      <c r="N2920" s="2">
        <v>250</v>
      </c>
      <c r="O2920" s="2">
        <v>95.408100000000005</v>
      </c>
      <c r="P2920" s="2">
        <v>270</v>
      </c>
      <c r="Q2920" s="2">
        <v>103.50020000000001</v>
      </c>
      <c r="R2920" s="2">
        <v>229</v>
      </c>
      <c r="S2920" s="2">
        <v>104.2731</v>
      </c>
      <c r="T2920" s="2">
        <v>229</v>
      </c>
      <c r="U2920" s="2">
        <v>0.264683</v>
      </c>
      <c r="V2920" s="2">
        <v>254</v>
      </c>
      <c r="W2920" s="2">
        <v>2010</v>
      </c>
    </row>
    <row r="2921" spans="1:23" ht="12.3" hidden="1" x14ac:dyDescent="0.4">
      <c r="A2921" s="2" t="s">
        <v>306</v>
      </c>
      <c r="B2921" s="2"/>
      <c r="C2921" s="2"/>
      <c r="D2921" s="2"/>
      <c r="E2921" s="2"/>
      <c r="F2921" s="2"/>
      <c r="G2921" s="2"/>
      <c r="H2921" s="2"/>
      <c r="I2921" s="2">
        <v>68.750900000000001</v>
      </c>
      <c r="J2921" s="2">
        <v>105</v>
      </c>
      <c r="K2921" s="2">
        <v>68.2791</v>
      </c>
      <c r="L2921" s="2">
        <v>124</v>
      </c>
      <c r="M2921" s="2">
        <v>94.345500000000001</v>
      </c>
      <c r="N2921" s="2">
        <v>291</v>
      </c>
      <c r="O2921" s="2">
        <v>95.660300000000007</v>
      </c>
      <c r="P2921" s="2">
        <v>264</v>
      </c>
      <c r="Q2921" s="2">
        <v>105.3925</v>
      </c>
      <c r="R2921" s="2">
        <v>268</v>
      </c>
      <c r="S2921" s="2">
        <v>104.7255</v>
      </c>
      <c r="T2921" s="2">
        <v>242</v>
      </c>
      <c r="U2921" s="2">
        <v>0.26091700000000001</v>
      </c>
      <c r="V2921" s="2">
        <v>255</v>
      </c>
      <c r="W2921" s="2">
        <v>2010</v>
      </c>
    </row>
    <row r="2922" spans="1:23" ht="12.3" hidden="1" x14ac:dyDescent="0.4">
      <c r="A2922" s="2" t="s">
        <v>268</v>
      </c>
      <c r="B2922" s="2"/>
      <c r="C2922" s="2"/>
      <c r="D2922" s="2"/>
      <c r="E2922" s="2"/>
      <c r="F2922" s="2"/>
      <c r="G2922" s="2"/>
      <c r="H2922" s="2"/>
      <c r="I2922" s="2">
        <v>68.761300000000006</v>
      </c>
      <c r="J2922" s="2">
        <v>103</v>
      </c>
      <c r="K2922" s="2">
        <v>68.743099999999998</v>
      </c>
      <c r="L2922" s="2">
        <v>97</v>
      </c>
      <c r="M2922" s="2">
        <v>96.199600000000004</v>
      </c>
      <c r="N2922" s="2">
        <v>260</v>
      </c>
      <c r="O2922" s="2">
        <v>96.760999999999996</v>
      </c>
      <c r="P2922" s="2">
        <v>248</v>
      </c>
      <c r="Q2922" s="2">
        <v>106.114</v>
      </c>
      <c r="R2922" s="2">
        <v>286</v>
      </c>
      <c r="S2922" s="2">
        <v>105.9589</v>
      </c>
      <c r="T2922" s="2">
        <v>268</v>
      </c>
      <c r="U2922" s="2">
        <v>0.26032499999999997</v>
      </c>
      <c r="V2922" s="2">
        <v>256</v>
      </c>
      <c r="W2922" s="2">
        <v>2010</v>
      </c>
    </row>
    <row r="2923" spans="1:23" ht="12.3" hidden="1" x14ac:dyDescent="0.4">
      <c r="A2923" s="2" t="s">
        <v>265</v>
      </c>
      <c r="B2923" s="2"/>
      <c r="C2923" s="2"/>
      <c r="D2923" s="2"/>
      <c r="E2923" s="2"/>
      <c r="F2923" s="2"/>
      <c r="G2923" s="2"/>
      <c r="H2923" s="2"/>
      <c r="I2923" s="2">
        <v>58.7652</v>
      </c>
      <c r="J2923" s="2">
        <v>346</v>
      </c>
      <c r="K2923" s="2">
        <v>59.349499999999999</v>
      </c>
      <c r="L2923" s="2">
        <v>345</v>
      </c>
      <c r="M2923" s="2">
        <v>98.170500000000004</v>
      </c>
      <c r="N2923" s="2">
        <v>227</v>
      </c>
      <c r="O2923" s="2">
        <v>95.658000000000001</v>
      </c>
      <c r="P2923" s="2">
        <v>265</v>
      </c>
      <c r="Q2923" s="2">
        <v>100.62820000000001</v>
      </c>
      <c r="R2923" s="2">
        <v>154</v>
      </c>
      <c r="S2923" s="2">
        <v>104.7538</v>
      </c>
      <c r="T2923" s="2">
        <v>243</v>
      </c>
      <c r="U2923" s="2">
        <v>0.260268</v>
      </c>
      <c r="V2923" s="2">
        <v>257</v>
      </c>
      <c r="W2923" s="2">
        <v>2010</v>
      </c>
    </row>
    <row r="2924" spans="1:23" ht="12.3" hidden="1" x14ac:dyDescent="0.4">
      <c r="A2924" s="2" t="s">
        <v>208</v>
      </c>
      <c r="B2924" s="2"/>
      <c r="C2924" s="2"/>
      <c r="D2924" s="2"/>
      <c r="E2924" s="2"/>
      <c r="F2924" s="2"/>
      <c r="G2924" s="2"/>
      <c r="H2924" s="2"/>
      <c r="I2924" s="2">
        <v>57.490600000000001</v>
      </c>
      <c r="J2924" s="2">
        <v>347</v>
      </c>
      <c r="K2924" s="2">
        <v>57.753100000000003</v>
      </c>
      <c r="L2924" s="2">
        <v>347</v>
      </c>
      <c r="M2924" s="2">
        <v>99.826700000000002</v>
      </c>
      <c r="N2924" s="2">
        <v>197</v>
      </c>
      <c r="O2924" s="2">
        <v>98.912400000000005</v>
      </c>
      <c r="P2924" s="2">
        <v>203</v>
      </c>
      <c r="Q2924" s="2">
        <v>108.09569999999999</v>
      </c>
      <c r="R2924" s="2">
        <v>313</v>
      </c>
      <c r="S2924" s="2">
        <v>108.42310000000001</v>
      </c>
      <c r="T2924" s="2">
        <v>297</v>
      </c>
      <c r="U2924" s="2">
        <v>0.25811899999999999</v>
      </c>
      <c r="V2924" s="2">
        <v>258</v>
      </c>
      <c r="W2924" s="2">
        <v>2010</v>
      </c>
    </row>
    <row r="2925" spans="1:23" ht="12.3" hidden="1" x14ac:dyDescent="0.4">
      <c r="A2925" s="2" t="s">
        <v>285</v>
      </c>
      <c r="B2925" s="2"/>
      <c r="C2925" s="2"/>
      <c r="D2925" s="2"/>
      <c r="E2925" s="2"/>
      <c r="F2925" s="2"/>
      <c r="G2925" s="2"/>
      <c r="H2925" s="2"/>
      <c r="I2925" s="2">
        <v>62.1905</v>
      </c>
      <c r="J2925" s="2">
        <v>328</v>
      </c>
      <c r="K2925" s="2">
        <v>62.076500000000003</v>
      </c>
      <c r="L2925" s="2">
        <v>326</v>
      </c>
      <c r="M2925" s="2">
        <v>91.535200000000003</v>
      </c>
      <c r="N2925" s="2">
        <v>317</v>
      </c>
      <c r="O2925" s="2">
        <v>90.955699999999993</v>
      </c>
      <c r="P2925" s="2">
        <v>314</v>
      </c>
      <c r="Q2925" s="2">
        <v>98.457400000000007</v>
      </c>
      <c r="R2925" s="2">
        <v>115</v>
      </c>
      <c r="S2925" s="2">
        <v>99.840100000000007</v>
      </c>
      <c r="T2925" s="2">
        <v>137</v>
      </c>
      <c r="U2925" s="2">
        <v>0.25506699999999999</v>
      </c>
      <c r="V2925" s="2">
        <v>259</v>
      </c>
      <c r="W2925" s="2">
        <v>2010</v>
      </c>
    </row>
    <row r="2926" spans="1:23" ht="12.3" hidden="1" x14ac:dyDescent="0.4">
      <c r="A2926" s="2" t="s">
        <v>174</v>
      </c>
      <c r="B2926" s="2"/>
      <c r="C2926" s="2"/>
      <c r="D2926" s="2"/>
      <c r="E2926" s="2"/>
      <c r="F2926" s="2"/>
      <c r="G2926" s="2"/>
      <c r="H2926" s="2"/>
      <c r="I2926" s="2">
        <v>64.972200000000001</v>
      </c>
      <c r="J2926" s="2">
        <v>268</v>
      </c>
      <c r="K2926" s="2">
        <v>65.427000000000007</v>
      </c>
      <c r="L2926" s="2">
        <v>256</v>
      </c>
      <c r="M2926" s="2">
        <v>95.338499999999996</v>
      </c>
      <c r="N2926" s="2">
        <v>276</v>
      </c>
      <c r="O2926" s="2">
        <v>97.735900000000001</v>
      </c>
      <c r="P2926" s="2">
        <v>230</v>
      </c>
      <c r="Q2926" s="2">
        <v>109.19</v>
      </c>
      <c r="R2926" s="2">
        <v>325</v>
      </c>
      <c r="S2926" s="2">
        <v>107.37649999999999</v>
      </c>
      <c r="T2926" s="2">
        <v>286</v>
      </c>
      <c r="U2926" s="2">
        <v>0.25315900000000002</v>
      </c>
      <c r="V2926" s="2">
        <v>260</v>
      </c>
      <c r="W2926" s="2">
        <v>2010</v>
      </c>
    </row>
    <row r="2927" spans="1:23" ht="12.3" hidden="1" x14ac:dyDescent="0.4">
      <c r="A2927" s="2" t="s">
        <v>187</v>
      </c>
      <c r="B2927" s="2"/>
      <c r="C2927" s="2"/>
      <c r="D2927" s="2"/>
      <c r="E2927" s="2"/>
      <c r="F2927" s="2"/>
      <c r="G2927" s="2"/>
      <c r="H2927" s="2"/>
      <c r="I2927" s="2">
        <v>70.129499999999993</v>
      </c>
      <c r="J2927" s="2">
        <v>60</v>
      </c>
      <c r="K2927" s="2">
        <v>69.189300000000003</v>
      </c>
      <c r="L2927" s="2">
        <v>79</v>
      </c>
      <c r="M2927" s="2">
        <v>94.817800000000005</v>
      </c>
      <c r="N2927" s="2">
        <v>279</v>
      </c>
      <c r="O2927" s="2">
        <v>95.800700000000006</v>
      </c>
      <c r="P2927" s="2">
        <v>260</v>
      </c>
      <c r="Q2927" s="2">
        <v>108.2411</v>
      </c>
      <c r="R2927" s="2">
        <v>317</v>
      </c>
      <c r="S2927" s="2">
        <v>105.3082</v>
      </c>
      <c r="T2927" s="2">
        <v>253</v>
      </c>
      <c r="U2927" s="2">
        <v>0.25196800000000003</v>
      </c>
      <c r="V2927" s="2">
        <v>261</v>
      </c>
      <c r="W2927" s="2">
        <v>2010</v>
      </c>
    </row>
    <row r="2928" spans="1:23" ht="12.3" hidden="1" x14ac:dyDescent="0.4">
      <c r="A2928" s="2" t="s">
        <v>231</v>
      </c>
      <c r="B2928" s="2"/>
      <c r="C2928" s="2"/>
      <c r="D2928" s="2"/>
      <c r="E2928" s="2"/>
      <c r="F2928" s="2"/>
      <c r="G2928" s="2"/>
      <c r="H2928" s="2"/>
      <c r="I2928" s="2">
        <v>67.427599999999998</v>
      </c>
      <c r="J2928" s="2">
        <v>172</v>
      </c>
      <c r="K2928" s="2">
        <v>67.443200000000004</v>
      </c>
      <c r="L2928" s="2">
        <v>163</v>
      </c>
      <c r="M2928" s="2">
        <v>94.358699999999999</v>
      </c>
      <c r="N2928" s="2">
        <v>290</v>
      </c>
      <c r="O2928" s="2">
        <v>94.290300000000002</v>
      </c>
      <c r="P2928" s="2">
        <v>285</v>
      </c>
      <c r="Q2928" s="2">
        <v>103.3766</v>
      </c>
      <c r="R2928" s="2">
        <v>221</v>
      </c>
      <c r="S2928" s="2">
        <v>103.6904</v>
      </c>
      <c r="T2928" s="2">
        <v>219</v>
      </c>
      <c r="U2928" s="2">
        <v>0.25108000000000003</v>
      </c>
      <c r="V2928" s="2">
        <v>262</v>
      </c>
      <c r="W2928" s="2">
        <v>2010</v>
      </c>
    </row>
    <row r="2929" spans="1:23" ht="12.3" hidden="1" x14ac:dyDescent="0.4">
      <c r="A2929" s="2" t="s">
        <v>160</v>
      </c>
      <c r="B2929" s="2"/>
      <c r="C2929" s="2"/>
      <c r="D2929" s="2"/>
      <c r="E2929" s="2"/>
      <c r="F2929" s="2"/>
      <c r="G2929" s="2"/>
      <c r="H2929" s="2"/>
      <c r="I2929" s="2">
        <v>67.286900000000003</v>
      </c>
      <c r="J2929" s="2">
        <v>179</v>
      </c>
      <c r="K2929" s="2">
        <v>67.848399999999998</v>
      </c>
      <c r="L2929" s="2">
        <v>142</v>
      </c>
      <c r="M2929" s="2">
        <v>97.431899999999999</v>
      </c>
      <c r="N2929" s="2">
        <v>239</v>
      </c>
      <c r="O2929" s="2">
        <v>94.8322</v>
      </c>
      <c r="P2929" s="2">
        <v>278</v>
      </c>
      <c r="Q2929" s="2">
        <v>102.80159999999999</v>
      </c>
      <c r="R2929" s="2">
        <v>206</v>
      </c>
      <c r="S2929" s="2">
        <v>104.5372</v>
      </c>
      <c r="T2929" s="2">
        <v>235</v>
      </c>
      <c r="U2929" s="2">
        <v>0.245921</v>
      </c>
      <c r="V2929" s="2">
        <v>263</v>
      </c>
      <c r="W2929" s="2">
        <v>2010</v>
      </c>
    </row>
    <row r="2930" spans="1:23" ht="12.3" hidden="1" x14ac:dyDescent="0.4">
      <c r="A2930" s="2" t="s">
        <v>320</v>
      </c>
      <c r="B2930" s="2"/>
      <c r="C2930" s="2"/>
      <c r="D2930" s="2"/>
      <c r="E2930" s="2"/>
      <c r="F2930" s="2"/>
      <c r="G2930" s="2"/>
      <c r="H2930" s="2"/>
      <c r="I2930" s="2">
        <v>72.595100000000002</v>
      </c>
      <c r="J2930" s="2">
        <v>17</v>
      </c>
      <c r="K2930" s="2">
        <v>72.420699999999997</v>
      </c>
      <c r="L2930" s="2">
        <v>17</v>
      </c>
      <c r="M2930" s="2">
        <v>95.942300000000003</v>
      </c>
      <c r="N2930" s="2">
        <v>264</v>
      </c>
      <c r="O2930" s="2">
        <v>95.268500000000003</v>
      </c>
      <c r="P2930" s="2">
        <v>272</v>
      </c>
      <c r="Q2930" s="2">
        <v>101.6871</v>
      </c>
      <c r="R2930" s="2">
        <v>180</v>
      </c>
      <c r="S2930" s="2">
        <v>105.0544</v>
      </c>
      <c r="T2930" s="2">
        <v>250</v>
      </c>
      <c r="U2930" s="2">
        <v>0.24518499999999999</v>
      </c>
      <c r="V2930" s="2">
        <v>264</v>
      </c>
      <c r="W2930" s="2">
        <v>2010</v>
      </c>
    </row>
    <row r="2931" spans="1:23" ht="12.3" hidden="1" x14ac:dyDescent="0.4">
      <c r="A2931" s="2" t="s">
        <v>315</v>
      </c>
      <c r="B2931" s="2"/>
      <c r="C2931" s="2"/>
      <c r="D2931" s="2"/>
      <c r="E2931" s="2"/>
      <c r="F2931" s="2"/>
      <c r="G2931" s="2"/>
      <c r="H2931" s="2"/>
      <c r="I2931" s="2">
        <v>63.507300000000001</v>
      </c>
      <c r="J2931" s="2">
        <v>308</v>
      </c>
      <c r="K2931" s="2">
        <v>64.088399999999993</v>
      </c>
      <c r="L2931" s="2">
        <v>297</v>
      </c>
      <c r="M2931" s="2">
        <v>96.373099999999994</v>
      </c>
      <c r="N2931" s="2">
        <v>258</v>
      </c>
      <c r="O2931" s="2">
        <v>97.415899999999993</v>
      </c>
      <c r="P2931" s="2">
        <v>235</v>
      </c>
      <c r="Q2931" s="2">
        <v>106.73690000000001</v>
      </c>
      <c r="R2931" s="2">
        <v>293</v>
      </c>
      <c r="S2931" s="2">
        <v>107.4666</v>
      </c>
      <c r="T2931" s="2">
        <v>287</v>
      </c>
      <c r="U2931" s="2">
        <v>0.244311</v>
      </c>
      <c r="V2931" s="2">
        <v>265</v>
      </c>
      <c r="W2931" s="2">
        <v>2010</v>
      </c>
    </row>
    <row r="2932" spans="1:23" ht="12.3" hidden="1" x14ac:dyDescent="0.4">
      <c r="A2932" s="2" t="s">
        <v>281</v>
      </c>
      <c r="B2932" s="2"/>
      <c r="C2932" s="2"/>
      <c r="D2932" s="2"/>
      <c r="E2932" s="2"/>
      <c r="F2932" s="2"/>
      <c r="G2932" s="2"/>
      <c r="H2932" s="2"/>
      <c r="I2932" s="2">
        <v>73.669799999999995</v>
      </c>
      <c r="J2932" s="2">
        <v>11</v>
      </c>
      <c r="K2932" s="2">
        <v>72.784899999999993</v>
      </c>
      <c r="L2932" s="2">
        <v>13</v>
      </c>
      <c r="M2932" s="2">
        <v>96.077600000000004</v>
      </c>
      <c r="N2932" s="2">
        <v>261</v>
      </c>
      <c r="O2932" s="2">
        <v>96.782200000000003</v>
      </c>
      <c r="P2932" s="2">
        <v>247</v>
      </c>
      <c r="Q2932" s="2">
        <v>104.91459999999999</v>
      </c>
      <c r="R2932" s="2">
        <v>259</v>
      </c>
      <c r="S2932" s="2">
        <v>106.87439999999999</v>
      </c>
      <c r="T2932" s="2">
        <v>281</v>
      </c>
      <c r="U2932" s="2">
        <v>0.24219199999999999</v>
      </c>
      <c r="V2932" s="2">
        <v>266</v>
      </c>
      <c r="W2932" s="2">
        <v>2010</v>
      </c>
    </row>
    <row r="2933" spans="1:23" ht="12.3" hidden="1" x14ac:dyDescent="0.4">
      <c r="A2933" s="2" t="s">
        <v>347</v>
      </c>
      <c r="B2933" s="2"/>
      <c r="C2933" s="2"/>
      <c r="D2933" s="2"/>
      <c r="E2933" s="2"/>
      <c r="F2933" s="2"/>
      <c r="G2933" s="2"/>
      <c r="H2933" s="2"/>
      <c r="I2933" s="2">
        <v>63.900799999999997</v>
      </c>
      <c r="J2933" s="2">
        <v>301</v>
      </c>
      <c r="K2933" s="2">
        <v>62.8919</v>
      </c>
      <c r="L2933" s="2">
        <v>316</v>
      </c>
      <c r="M2933" s="2">
        <v>98.229600000000005</v>
      </c>
      <c r="N2933" s="2">
        <v>224</v>
      </c>
      <c r="O2933" s="2">
        <v>98.297499999999999</v>
      </c>
      <c r="P2933" s="2">
        <v>221</v>
      </c>
      <c r="Q2933" s="2">
        <v>109.69880000000001</v>
      </c>
      <c r="R2933" s="2">
        <v>328</v>
      </c>
      <c r="S2933" s="2">
        <v>108.6887</v>
      </c>
      <c r="T2933" s="2">
        <v>300</v>
      </c>
      <c r="U2933" s="2">
        <v>0.23946200000000001</v>
      </c>
      <c r="V2933" s="2">
        <v>267</v>
      </c>
      <c r="W2933" s="2">
        <v>2010</v>
      </c>
    </row>
    <row r="2934" spans="1:23" ht="12.3" hidden="1" x14ac:dyDescent="0.4">
      <c r="A2934" s="2" t="s">
        <v>343</v>
      </c>
      <c r="B2934" s="2"/>
      <c r="C2934" s="2"/>
      <c r="D2934" s="2"/>
      <c r="E2934" s="2"/>
      <c r="F2934" s="2"/>
      <c r="G2934" s="2"/>
      <c r="H2934" s="2"/>
      <c r="I2934" s="2">
        <v>68.109099999999998</v>
      </c>
      <c r="J2934" s="2">
        <v>132</v>
      </c>
      <c r="K2934" s="2">
        <v>68.586500000000001</v>
      </c>
      <c r="L2934" s="2">
        <v>107</v>
      </c>
      <c r="M2934" s="2">
        <v>100.7363</v>
      </c>
      <c r="N2934" s="2">
        <v>181</v>
      </c>
      <c r="O2934" s="2">
        <v>98.540599999999998</v>
      </c>
      <c r="P2934" s="2">
        <v>212</v>
      </c>
      <c r="Q2934" s="2">
        <v>103.274</v>
      </c>
      <c r="R2934" s="2">
        <v>219</v>
      </c>
      <c r="S2934" s="2">
        <v>109.0429</v>
      </c>
      <c r="T2934" s="2">
        <v>306</v>
      </c>
      <c r="U2934" s="2">
        <v>0.23782500000000001</v>
      </c>
      <c r="V2934" s="2">
        <v>268</v>
      </c>
      <c r="W2934" s="2">
        <v>2010</v>
      </c>
    </row>
    <row r="2935" spans="1:23" ht="12.3" hidden="1" x14ac:dyDescent="0.4">
      <c r="A2935" s="2" t="s">
        <v>361</v>
      </c>
      <c r="B2935" s="2"/>
      <c r="C2935" s="2"/>
      <c r="D2935" s="2"/>
      <c r="E2935" s="2"/>
      <c r="F2935" s="2"/>
      <c r="G2935" s="2"/>
      <c r="H2935" s="2"/>
      <c r="I2935" s="2">
        <v>66.235299999999995</v>
      </c>
      <c r="J2935" s="2">
        <v>231</v>
      </c>
      <c r="K2935" s="2">
        <v>65.187899999999999</v>
      </c>
      <c r="L2935" s="2">
        <v>268</v>
      </c>
      <c r="M2935" s="2">
        <v>97.411199999999994</v>
      </c>
      <c r="N2935" s="2">
        <v>241</v>
      </c>
      <c r="O2935" s="2">
        <v>97.234999999999999</v>
      </c>
      <c r="P2935" s="2">
        <v>238</v>
      </c>
      <c r="Q2935" s="2">
        <v>105.16849999999999</v>
      </c>
      <c r="R2935" s="2">
        <v>265</v>
      </c>
      <c r="S2935" s="2">
        <v>107.7932</v>
      </c>
      <c r="T2935" s="2">
        <v>291</v>
      </c>
      <c r="U2935" s="2">
        <v>0.234072</v>
      </c>
      <c r="V2935" s="2">
        <v>269</v>
      </c>
      <c r="W2935" s="2">
        <v>2010</v>
      </c>
    </row>
    <row r="2936" spans="1:23" ht="12.3" hidden="1" x14ac:dyDescent="0.4">
      <c r="A2936" s="2" t="s">
        <v>312</v>
      </c>
      <c r="B2936" s="2"/>
      <c r="C2936" s="2"/>
      <c r="D2936" s="2"/>
      <c r="E2936" s="2"/>
      <c r="F2936" s="2"/>
      <c r="G2936" s="2"/>
      <c r="H2936" s="2"/>
      <c r="I2936" s="2">
        <v>66.507099999999994</v>
      </c>
      <c r="J2936" s="2">
        <v>220</v>
      </c>
      <c r="K2936" s="2">
        <v>65.338399999999993</v>
      </c>
      <c r="L2936" s="2">
        <v>262</v>
      </c>
      <c r="M2936" s="2">
        <v>93.251400000000004</v>
      </c>
      <c r="N2936" s="2">
        <v>300</v>
      </c>
      <c r="O2936" s="2">
        <v>92.800299999999993</v>
      </c>
      <c r="P2936" s="2">
        <v>301</v>
      </c>
      <c r="Q2936" s="2">
        <v>96.334299999999999</v>
      </c>
      <c r="R2936" s="2">
        <v>65</v>
      </c>
      <c r="S2936" s="2">
        <v>102.9042</v>
      </c>
      <c r="T2936" s="2">
        <v>201</v>
      </c>
      <c r="U2936" s="2">
        <v>0.23352500000000001</v>
      </c>
      <c r="V2936" s="2">
        <v>270</v>
      </c>
      <c r="W2936" s="2">
        <v>2010</v>
      </c>
    </row>
    <row r="2937" spans="1:23" ht="12.3" hidden="1" x14ac:dyDescent="0.4">
      <c r="A2937" s="2" t="s">
        <v>346</v>
      </c>
      <c r="B2937" s="2"/>
      <c r="C2937" s="2"/>
      <c r="D2937" s="2"/>
      <c r="E2937" s="2"/>
      <c r="F2937" s="2"/>
      <c r="G2937" s="2"/>
      <c r="H2937" s="2"/>
      <c r="I2937" s="2">
        <v>68.388400000000004</v>
      </c>
      <c r="J2937" s="2">
        <v>123</v>
      </c>
      <c r="K2937" s="2">
        <v>67.294399999999996</v>
      </c>
      <c r="L2937" s="2">
        <v>171</v>
      </c>
      <c r="M2937" s="2">
        <v>95.739099999999993</v>
      </c>
      <c r="N2937" s="2">
        <v>269</v>
      </c>
      <c r="O2937" s="2">
        <v>96.335899999999995</v>
      </c>
      <c r="P2937" s="2">
        <v>255</v>
      </c>
      <c r="Q2937" s="2">
        <v>103.0218</v>
      </c>
      <c r="R2937" s="2">
        <v>212</v>
      </c>
      <c r="S2937" s="2">
        <v>106.8289</v>
      </c>
      <c r="T2937" s="2">
        <v>280</v>
      </c>
      <c r="U2937" s="2">
        <v>0.23344599999999999</v>
      </c>
      <c r="V2937" s="2">
        <v>271</v>
      </c>
      <c r="W2937" s="2">
        <v>2010</v>
      </c>
    </row>
    <row r="2938" spans="1:23" ht="12.3" hidden="1" x14ac:dyDescent="0.4">
      <c r="A2938" s="2" t="s">
        <v>314</v>
      </c>
      <c r="B2938" s="2"/>
      <c r="C2938" s="2"/>
      <c r="D2938" s="2"/>
      <c r="E2938" s="2"/>
      <c r="F2938" s="2"/>
      <c r="G2938" s="2"/>
      <c r="H2938" s="2"/>
      <c r="I2938" s="2">
        <v>64.799300000000002</v>
      </c>
      <c r="J2938" s="2">
        <v>280</v>
      </c>
      <c r="K2938" s="2">
        <v>64.257199999999997</v>
      </c>
      <c r="L2938" s="2">
        <v>290</v>
      </c>
      <c r="M2938" s="2">
        <v>92.912300000000002</v>
      </c>
      <c r="N2938" s="2">
        <v>306</v>
      </c>
      <c r="O2938" s="2">
        <v>87.671199999999999</v>
      </c>
      <c r="P2938" s="2">
        <v>335</v>
      </c>
      <c r="Q2938" s="2">
        <v>93.778700000000001</v>
      </c>
      <c r="R2938" s="2">
        <v>34</v>
      </c>
      <c r="S2938" s="2">
        <v>97.289100000000005</v>
      </c>
      <c r="T2938" s="2">
        <v>79</v>
      </c>
      <c r="U2938" s="2">
        <v>0.23199700000000001</v>
      </c>
      <c r="V2938" s="2">
        <v>272</v>
      </c>
      <c r="W2938" s="2">
        <v>2010</v>
      </c>
    </row>
    <row r="2939" spans="1:23" ht="12.3" hidden="1" x14ac:dyDescent="0.4">
      <c r="A2939" s="2" t="s">
        <v>275</v>
      </c>
      <c r="B2939" s="2"/>
      <c r="C2939" s="2"/>
      <c r="D2939" s="2"/>
      <c r="E2939" s="2"/>
      <c r="F2939" s="2"/>
      <c r="G2939" s="2"/>
      <c r="H2939" s="2"/>
      <c r="I2939" s="2">
        <v>67.736199999999997</v>
      </c>
      <c r="J2939" s="2">
        <v>152</v>
      </c>
      <c r="K2939" s="2">
        <v>67.893299999999996</v>
      </c>
      <c r="L2939" s="2">
        <v>139</v>
      </c>
      <c r="M2939" s="2">
        <v>100.4003</v>
      </c>
      <c r="N2939" s="2">
        <v>186</v>
      </c>
      <c r="O2939" s="2">
        <v>95.302999999999997</v>
      </c>
      <c r="P2939" s="2">
        <v>271</v>
      </c>
      <c r="Q2939" s="2">
        <v>106.5796</v>
      </c>
      <c r="R2939" s="2">
        <v>290</v>
      </c>
      <c r="S2939" s="2">
        <v>105.9058</v>
      </c>
      <c r="T2939" s="2">
        <v>265</v>
      </c>
      <c r="U2939" s="2">
        <v>0.22914799999999999</v>
      </c>
      <c r="V2939" s="2">
        <v>273</v>
      </c>
      <c r="W2939" s="2">
        <v>2010</v>
      </c>
    </row>
    <row r="2940" spans="1:23" ht="12.3" hidden="1" x14ac:dyDescent="0.4">
      <c r="A2940" s="2" t="s">
        <v>330</v>
      </c>
      <c r="B2940" s="2"/>
      <c r="C2940" s="2"/>
      <c r="D2940" s="2"/>
      <c r="E2940" s="2"/>
      <c r="F2940" s="2"/>
      <c r="G2940" s="2"/>
      <c r="H2940" s="2"/>
      <c r="I2940" s="2">
        <v>70.751599999999996</v>
      </c>
      <c r="J2940" s="2">
        <v>40</v>
      </c>
      <c r="K2940" s="2">
        <v>68.278300000000002</v>
      </c>
      <c r="L2940" s="2">
        <v>125</v>
      </c>
      <c r="M2940" s="2">
        <v>99.064700000000002</v>
      </c>
      <c r="N2940" s="2">
        <v>204</v>
      </c>
      <c r="O2940" s="2">
        <v>97.241600000000005</v>
      </c>
      <c r="P2940" s="2">
        <v>237</v>
      </c>
      <c r="Q2940" s="2">
        <v>103.2363</v>
      </c>
      <c r="R2940" s="2">
        <v>218</v>
      </c>
      <c r="S2940" s="2">
        <v>108.1204</v>
      </c>
      <c r="T2940" s="2">
        <v>295</v>
      </c>
      <c r="U2940" s="2">
        <v>0.228019</v>
      </c>
      <c r="V2940" s="2">
        <v>274</v>
      </c>
      <c r="W2940" s="2">
        <v>2010</v>
      </c>
    </row>
    <row r="2941" spans="1:23" ht="12.3" hidden="1" x14ac:dyDescent="0.4">
      <c r="A2941" s="2" t="s">
        <v>310</v>
      </c>
      <c r="B2941" s="2"/>
      <c r="C2941" s="2"/>
      <c r="D2941" s="2"/>
      <c r="E2941" s="2"/>
      <c r="F2941" s="2"/>
      <c r="G2941" s="2"/>
      <c r="H2941" s="2"/>
      <c r="I2941" s="2">
        <v>64.706000000000003</v>
      </c>
      <c r="J2941" s="2">
        <v>284</v>
      </c>
      <c r="K2941" s="2">
        <v>65.3018</v>
      </c>
      <c r="L2941" s="2">
        <v>264</v>
      </c>
      <c r="M2941" s="2">
        <v>91.538799999999995</v>
      </c>
      <c r="N2941" s="2">
        <v>316</v>
      </c>
      <c r="O2941" s="2">
        <v>90.878600000000006</v>
      </c>
      <c r="P2941" s="2">
        <v>315</v>
      </c>
      <c r="Q2941" s="2">
        <v>96.473399999999998</v>
      </c>
      <c r="R2941" s="2">
        <v>72</v>
      </c>
      <c r="S2941" s="2">
        <v>101.0925</v>
      </c>
      <c r="T2941" s="2">
        <v>165</v>
      </c>
      <c r="U2941" s="2">
        <v>0.227078</v>
      </c>
      <c r="V2941" s="2">
        <v>275</v>
      </c>
      <c r="W2941" s="2">
        <v>2010</v>
      </c>
    </row>
    <row r="2942" spans="1:23" ht="12.3" hidden="1" x14ac:dyDescent="0.4">
      <c r="A2942" s="2" t="s">
        <v>325</v>
      </c>
      <c r="B2942" s="2"/>
      <c r="C2942" s="2"/>
      <c r="D2942" s="2"/>
      <c r="E2942" s="2"/>
      <c r="F2942" s="2"/>
      <c r="G2942" s="2"/>
      <c r="H2942" s="2"/>
      <c r="I2942" s="2">
        <v>69.132999999999996</v>
      </c>
      <c r="J2942" s="2">
        <v>87</v>
      </c>
      <c r="K2942" s="2">
        <v>67.990300000000005</v>
      </c>
      <c r="L2942" s="2">
        <v>134</v>
      </c>
      <c r="M2942" s="2">
        <v>95.366500000000002</v>
      </c>
      <c r="N2942" s="2">
        <v>274</v>
      </c>
      <c r="O2942" s="2">
        <v>91.149799999999999</v>
      </c>
      <c r="P2942" s="2">
        <v>311</v>
      </c>
      <c r="Q2942" s="2">
        <v>95.894800000000004</v>
      </c>
      <c r="R2942" s="2">
        <v>54</v>
      </c>
      <c r="S2942" s="2">
        <v>101.56229999999999</v>
      </c>
      <c r="T2942" s="2">
        <v>170</v>
      </c>
      <c r="U2942" s="2">
        <v>0.22375100000000001</v>
      </c>
      <c r="V2942" s="2">
        <v>276</v>
      </c>
      <c r="W2942" s="2">
        <v>2010</v>
      </c>
    </row>
    <row r="2943" spans="1:23" ht="12.3" hidden="1" x14ac:dyDescent="0.4">
      <c r="A2943" s="2" t="s">
        <v>363</v>
      </c>
      <c r="B2943" s="2"/>
      <c r="C2943" s="2"/>
      <c r="D2943" s="2"/>
      <c r="E2943" s="2"/>
      <c r="F2943" s="2"/>
      <c r="G2943" s="2"/>
      <c r="H2943" s="2"/>
      <c r="I2943" s="2">
        <v>64.410300000000007</v>
      </c>
      <c r="J2943" s="2">
        <v>289</v>
      </c>
      <c r="K2943" s="2">
        <v>64.622600000000006</v>
      </c>
      <c r="L2943" s="2">
        <v>281</v>
      </c>
      <c r="M2943" s="2">
        <v>90.998699999999999</v>
      </c>
      <c r="N2943" s="2">
        <v>318</v>
      </c>
      <c r="O2943" s="2">
        <v>90.007199999999997</v>
      </c>
      <c r="P2943" s="2">
        <v>320</v>
      </c>
      <c r="Q2943" s="2">
        <v>100.932</v>
      </c>
      <c r="R2943" s="2">
        <v>161</v>
      </c>
      <c r="S2943" s="2">
        <v>100.5164</v>
      </c>
      <c r="T2943" s="2">
        <v>151</v>
      </c>
      <c r="U2943" s="2">
        <v>0.21926399999999999</v>
      </c>
      <c r="V2943" s="2">
        <v>277</v>
      </c>
      <c r="W2943" s="2">
        <v>2010</v>
      </c>
    </row>
    <row r="2944" spans="1:23" ht="12.3" hidden="1" x14ac:dyDescent="0.4">
      <c r="A2944" s="2" t="s">
        <v>193</v>
      </c>
      <c r="B2944" s="2"/>
      <c r="C2944" s="2"/>
      <c r="D2944" s="2"/>
      <c r="E2944" s="2"/>
      <c r="F2944" s="2"/>
      <c r="G2944" s="2"/>
      <c r="H2944" s="2"/>
      <c r="I2944" s="2">
        <v>67.605599999999995</v>
      </c>
      <c r="J2944" s="2">
        <v>160</v>
      </c>
      <c r="K2944" s="2">
        <v>67.409499999999994</v>
      </c>
      <c r="L2944" s="2">
        <v>165</v>
      </c>
      <c r="M2944" s="2">
        <v>98.795100000000005</v>
      </c>
      <c r="N2944" s="2">
        <v>214</v>
      </c>
      <c r="O2944" s="2">
        <v>97.706400000000002</v>
      </c>
      <c r="P2944" s="2">
        <v>231</v>
      </c>
      <c r="Q2944" s="2">
        <v>107.04219999999999</v>
      </c>
      <c r="R2944" s="2">
        <v>297</v>
      </c>
      <c r="S2944" s="2">
        <v>109.1606</v>
      </c>
      <c r="T2944" s="2">
        <v>308</v>
      </c>
      <c r="U2944" s="2">
        <v>0.21843399999999999</v>
      </c>
      <c r="V2944" s="2">
        <v>278</v>
      </c>
      <c r="W2944" s="2">
        <v>2010</v>
      </c>
    </row>
    <row r="2945" spans="1:23" ht="12.3" hidden="1" x14ac:dyDescent="0.4">
      <c r="A2945" s="2" t="s">
        <v>367</v>
      </c>
      <c r="B2945" s="2"/>
      <c r="C2945" s="2"/>
      <c r="D2945" s="2"/>
      <c r="E2945" s="2"/>
      <c r="F2945" s="2"/>
      <c r="G2945" s="2"/>
      <c r="H2945" s="2"/>
      <c r="I2945" s="2">
        <v>66.701899999999995</v>
      </c>
      <c r="J2945" s="2">
        <v>206</v>
      </c>
      <c r="K2945" s="2">
        <v>66.547600000000003</v>
      </c>
      <c r="L2945" s="2">
        <v>208</v>
      </c>
      <c r="M2945" s="2">
        <v>90.4542</v>
      </c>
      <c r="N2945" s="2">
        <v>320</v>
      </c>
      <c r="O2945" s="2">
        <v>90.490300000000005</v>
      </c>
      <c r="P2945" s="2">
        <v>317</v>
      </c>
      <c r="Q2945" s="2">
        <v>100.9979</v>
      </c>
      <c r="R2945" s="2">
        <v>164</v>
      </c>
      <c r="S2945" s="2">
        <v>101.2389</v>
      </c>
      <c r="T2945" s="2">
        <v>167</v>
      </c>
      <c r="U2945" s="2">
        <v>0.215724</v>
      </c>
      <c r="V2945" s="2">
        <v>279</v>
      </c>
      <c r="W2945" s="2">
        <v>2010</v>
      </c>
    </row>
    <row r="2946" spans="1:23" ht="12.3" hidden="1" x14ac:dyDescent="0.4">
      <c r="A2946" s="2" t="s">
        <v>316</v>
      </c>
      <c r="B2946" s="2"/>
      <c r="C2946" s="2"/>
      <c r="D2946" s="2"/>
      <c r="E2946" s="2"/>
      <c r="F2946" s="2"/>
      <c r="G2946" s="2"/>
      <c r="H2946" s="2"/>
      <c r="I2946" s="2">
        <v>70.382400000000004</v>
      </c>
      <c r="J2946" s="2">
        <v>52</v>
      </c>
      <c r="K2946" s="2">
        <v>70.262600000000006</v>
      </c>
      <c r="L2946" s="2">
        <v>48</v>
      </c>
      <c r="M2946" s="2">
        <v>101.7636</v>
      </c>
      <c r="N2946" s="2">
        <v>160</v>
      </c>
      <c r="O2946" s="2">
        <v>97.091399999999993</v>
      </c>
      <c r="P2946" s="2">
        <v>241</v>
      </c>
      <c r="Q2946" s="2">
        <v>103.2243</v>
      </c>
      <c r="R2946" s="2">
        <v>217</v>
      </c>
      <c r="S2946" s="2">
        <v>108.81570000000001</v>
      </c>
      <c r="T2946" s="2">
        <v>303</v>
      </c>
      <c r="U2946" s="2">
        <v>0.212315</v>
      </c>
      <c r="V2946" s="2">
        <v>280</v>
      </c>
      <c r="W2946" s="2">
        <v>2010</v>
      </c>
    </row>
    <row r="2947" spans="1:23" ht="12.3" hidden="1" x14ac:dyDescent="0.4">
      <c r="A2947" s="2" t="s">
        <v>370</v>
      </c>
      <c r="B2947" s="2"/>
      <c r="C2947" s="2"/>
      <c r="D2947" s="2"/>
      <c r="E2947" s="2"/>
      <c r="F2947" s="2"/>
      <c r="G2947" s="2"/>
      <c r="H2947" s="2"/>
      <c r="I2947" s="2">
        <v>68.686700000000002</v>
      </c>
      <c r="J2947" s="2">
        <v>109</v>
      </c>
      <c r="K2947" s="2">
        <v>68.644300000000001</v>
      </c>
      <c r="L2947" s="2">
        <v>103</v>
      </c>
      <c r="M2947" s="2">
        <v>94.982900000000001</v>
      </c>
      <c r="N2947" s="2">
        <v>278</v>
      </c>
      <c r="O2947" s="2">
        <v>94.783299999999997</v>
      </c>
      <c r="P2947" s="2">
        <v>279</v>
      </c>
      <c r="Q2947" s="2">
        <v>107.62820000000001</v>
      </c>
      <c r="R2947" s="2">
        <v>305</v>
      </c>
      <c r="S2947" s="2">
        <v>106.25790000000001</v>
      </c>
      <c r="T2947" s="2">
        <v>276</v>
      </c>
      <c r="U2947" s="2">
        <v>0.21178900000000001</v>
      </c>
      <c r="V2947" s="2">
        <v>281</v>
      </c>
      <c r="W2947" s="2">
        <v>2010</v>
      </c>
    </row>
    <row r="2948" spans="1:23" ht="12.3" hidden="1" x14ac:dyDescent="0.4">
      <c r="A2948" s="2" t="s">
        <v>302</v>
      </c>
      <c r="B2948" s="2"/>
      <c r="C2948" s="2"/>
      <c r="D2948" s="2"/>
      <c r="E2948" s="2"/>
      <c r="F2948" s="2"/>
      <c r="G2948" s="2"/>
      <c r="H2948" s="2"/>
      <c r="I2948" s="2">
        <v>68.4071</v>
      </c>
      <c r="J2948" s="2">
        <v>122</v>
      </c>
      <c r="K2948" s="2">
        <v>68.036100000000005</v>
      </c>
      <c r="L2948" s="2">
        <v>130</v>
      </c>
      <c r="M2948" s="2">
        <v>92.571299999999994</v>
      </c>
      <c r="N2948" s="2">
        <v>309</v>
      </c>
      <c r="O2948" s="2">
        <v>93.055899999999994</v>
      </c>
      <c r="P2948" s="2">
        <v>297</v>
      </c>
      <c r="Q2948" s="2">
        <v>105.62990000000001</v>
      </c>
      <c r="R2948" s="2">
        <v>273</v>
      </c>
      <c r="S2948" s="2">
        <v>104.3389</v>
      </c>
      <c r="T2948" s="2">
        <v>230</v>
      </c>
      <c r="U2948" s="2">
        <v>0.21146699999999999</v>
      </c>
      <c r="V2948" s="2">
        <v>282</v>
      </c>
      <c r="W2948" s="2">
        <v>2010</v>
      </c>
    </row>
    <row r="2949" spans="1:23" ht="12.3" hidden="1" x14ac:dyDescent="0.4">
      <c r="A2949" s="2" t="s">
        <v>294</v>
      </c>
      <c r="B2949" s="2"/>
      <c r="C2949" s="2"/>
      <c r="D2949" s="2"/>
      <c r="E2949" s="2"/>
      <c r="F2949" s="2"/>
      <c r="G2949" s="2"/>
      <c r="H2949" s="2"/>
      <c r="I2949" s="2">
        <v>63.864400000000003</v>
      </c>
      <c r="J2949" s="2">
        <v>302</v>
      </c>
      <c r="K2949" s="2">
        <v>64.063900000000004</v>
      </c>
      <c r="L2949" s="2">
        <v>298</v>
      </c>
      <c r="M2949" s="2">
        <v>101.25790000000001</v>
      </c>
      <c r="N2949" s="2">
        <v>168</v>
      </c>
      <c r="O2949" s="2">
        <v>102.23009999999999</v>
      </c>
      <c r="P2949" s="2">
        <v>156</v>
      </c>
      <c r="Q2949" s="2">
        <v>117.06</v>
      </c>
      <c r="R2949" s="2">
        <v>347</v>
      </c>
      <c r="S2949" s="2">
        <v>114.6935</v>
      </c>
      <c r="T2949" s="2">
        <v>345</v>
      </c>
      <c r="U2949" s="2">
        <v>0.21033299999999999</v>
      </c>
      <c r="V2949" s="2">
        <v>283</v>
      </c>
      <c r="W2949" s="2">
        <v>2010</v>
      </c>
    </row>
    <row r="2950" spans="1:23" ht="12.3" hidden="1" x14ac:dyDescent="0.4">
      <c r="A2950" s="2" t="s">
        <v>107</v>
      </c>
      <c r="B2950" s="2"/>
      <c r="C2950" s="2"/>
      <c r="D2950" s="2"/>
      <c r="E2950" s="2"/>
      <c r="F2950" s="2"/>
      <c r="G2950" s="2"/>
      <c r="H2950" s="2"/>
      <c r="I2950" s="2">
        <v>66.939800000000005</v>
      </c>
      <c r="J2950" s="2">
        <v>191</v>
      </c>
      <c r="K2950" s="2">
        <v>66.747500000000002</v>
      </c>
      <c r="L2950" s="2">
        <v>196</v>
      </c>
      <c r="M2950" s="2">
        <v>98.806899999999999</v>
      </c>
      <c r="N2950" s="2">
        <v>213</v>
      </c>
      <c r="O2950" s="2">
        <v>98.373599999999996</v>
      </c>
      <c r="P2950" s="2">
        <v>217</v>
      </c>
      <c r="Q2950" s="2">
        <v>108.1275</v>
      </c>
      <c r="R2950" s="2">
        <v>314</v>
      </c>
      <c r="S2950" s="2">
        <v>110.4847</v>
      </c>
      <c r="T2950" s="2">
        <v>327</v>
      </c>
      <c r="U2950" s="2">
        <v>0.20830000000000001</v>
      </c>
      <c r="V2950" s="2">
        <v>284</v>
      </c>
      <c r="W2950" s="2">
        <v>2010</v>
      </c>
    </row>
    <row r="2951" spans="1:23" ht="12.3" hidden="1" x14ac:dyDescent="0.4">
      <c r="A2951" s="2" t="s">
        <v>233</v>
      </c>
      <c r="B2951" s="2"/>
      <c r="C2951" s="2"/>
      <c r="D2951" s="2"/>
      <c r="E2951" s="2"/>
      <c r="F2951" s="2"/>
      <c r="G2951" s="2"/>
      <c r="H2951" s="2"/>
      <c r="I2951" s="2">
        <v>66.732900000000001</v>
      </c>
      <c r="J2951" s="2">
        <v>204</v>
      </c>
      <c r="K2951" s="2">
        <v>67.748900000000006</v>
      </c>
      <c r="L2951" s="2">
        <v>148</v>
      </c>
      <c r="M2951" s="2">
        <v>98.879300000000001</v>
      </c>
      <c r="N2951" s="2">
        <v>209</v>
      </c>
      <c r="O2951" s="2">
        <v>98.3583</v>
      </c>
      <c r="P2951" s="2">
        <v>220</v>
      </c>
      <c r="Q2951" s="2">
        <v>108.36060000000001</v>
      </c>
      <c r="R2951" s="2">
        <v>318</v>
      </c>
      <c r="S2951" s="2">
        <v>110.5569</v>
      </c>
      <c r="T2951" s="2">
        <v>328</v>
      </c>
      <c r="U2951" s="2">
        <v>0.20677000000000001</v>
      </c>
      <c r="V2951" s="2">
        <v>285</v>
      </c>
      <c r="W2951" s="2">
        <v>2010</v>
      </c>
    </row>
    <row r="2952" spans="1:23" ht="12.3" hidden="1" x14ac:dyDescent="0.4">
      <c r="A2952" s="2" t="s">
        <v>226</v>
      </c>
      <c r="B2952" s="2"/>
      <c r="C2952" s="2"/>
      <c r="D2952" s="2"/>
      <c r="E2952" s="2"/>
      <c r="F2952" s="2"/>
      <c r="G2952" s="2"/>
      <c r="H2952" s="2"/>
      <c r="I2952" s="2">
        <v>64.146299999999997</v>
      </c>
      <c r="J2952" s="2">
        <v>295</v>
      </c>
      <c r="K2952" s="2">
        <v>63.799199999999999</v>
      </c>
      <c r="L2952" s="2">
        <v>302</v>
      </c>
      <c r="M2952" s="2">
        <v>95.787300000000002</v>
      </c>
      <c r="N2952" s="2">
        <v>268</v>
      </c>
      <c r="O2952" s="2">
        <v>93.594399999999993</v>
      </c>
      <c r="P2952" s="2">
        <v>290</v>
      </c>
      <c r="Q2952" s="2">
        <v>102.9997</v>
      </c>
      <c r="R2952" s="2">
        <v>211</v>
      </c>
      <c r="S2952" s="2">
        <v>105.2539</v>
      </c>
      <c r="T2952" s="2">
        <v>252</v>
      </c>
      <c r="U2952" s="2">
        <v>0.205845</v>
      </c>
      <c r="V2952" s="2">
        <v>286</v>
      </c>
      <c r="W2952" s="2">
        <v>2010</v>
      </c>
    </row>
    <row r="2953" spans="1:23" ht="12.3" hidden="1" x14ac:dyDescent="0.4">
      <c r="A2953" s="2" t="s">
        <v>297</v>
      </c>
      <c r="B2953" s="2"/>
      <c r="C2953" s="2"/>
      <c r="D2953" s="2"/>
      <c r="E2953" s="2"/>
      <c r="F2953" s="2"/>
      <c r="G2953" s="2"/>
      <c r="H2953" s="2"/>
      <c r="I2953" s="2">
        <v>67.971599999999995</v>
      </c>
      <c r="J2953" s="2">
        <v>136</v>
      </c>
      <c r="K2953" s="2">
        <v>66.039000000000001</v>
      </c>
      <c r="L2953" s="2">
        <v>228</v>
      </c>
      <c r="M2953" s="2">
        <v>93.819699999999997</v>
      </c>
      <c r="N2953" s="2">
        <v>296</v>
      </c>
      <c r="O2953" s="2">
        <v>92.739000000000004</v>
      </c>
      <c r="P2953" s="2">
        <v>302</v>
      </c>
      <c r="Q2953" s="2">
        <v>97.025899999999993</v>
      </c>
      <c r="R2953" s="2">
        <v>80</v>
      </c>
      <c r="S2953" s="2">
        <v>104.35469999999999</v>
      </c>
      <c r="T2953" s="2">
        <v>231</v>
      </c>
      <c r="U2953" s="2">
        <v>0.20471500000000001</v>
      </c>
      <c r="V2953" s="2">
        <v>287</v>
      </c>
      <c r="W2953" s="2">
        <v>2010</v>
      </c>
    </row>
    <row r="2954" spans="1:23" ht="12.3" hidden="1" x14ac:dyDescent="0.4">
      <c r="A2954" s="2" t="s">
        <v>359</v>
      </c>
      <c r="B2954" s="2"/>
      <c r="C2954" s="2"/>
      <c r="D2954" s="2"/>
      <c r="E2954" s="2"/>
      <c r="F2954" s="2"/>
      <c r="G2954" s="2"/>
      <c r="H2954" s="2"/>
      <c r="I2954" s="2">
        <v>73.744</v>
      </c>
      <c r="J2954" s="2">
        <v>10</v>
      </c>
      <c r="K2954" s="2">
        <v>74.459800000000001</v>
      </c>
      <c r="L2954" s="2">
        <v>6</v>
      </c>
      <c r="M2954" s="2">
        <v>95.494399999999999</v>
      </c>
      <c r="N2954" s="2">
        <v>272</v>
      </c>
      <c r="O2954" s="2">
        <v>97.629300000000001</v>
      </c>
      <c r="P2954" s="2">
        <v>233</v>
      </c>
      <c r="Q2954" s="2">
        <v>107.35760000000001</v>
      </c>
      <c r="R2954" s="2">
        <v>300</v>
      </c>
      <c r="S2954" s="2">
        <v>109.8947</v>
      </c>
      <c r="T2954" s="2">
        <v>317</v>
      </c>
      <c r="U2954" s="2">
        <v>0.20408299999999999</v>
      </c>
      <c r="V2954" s="2">
        <v>288</v>
      </c>
      <c r="W2954" s="2">
        <v>2010</v>
      </c>
    </row>
    <row r="2955" spans="1:23" ht="12.3" hidden="1" x14ac:dyDescent="0.4">
      <c r="A2955" s="2" t="s">
        <v>125</v>
      </c>
      <c r="B2955" s="2"/>
      <c r="C2955" s="2"/>
      <c r="D2955" s="2"/>
      <c r="E2955" s="2"/>
      <c r="F2955" s="2"/>
      <c r="G2955" s="2"/>
      <c r="H2955" s="2"/>
      <c r="I2955" s="2">
        <v>66.456100000000006</v>
      </c>
      <c r="J2955" s="2">
        <v>223</v>
      </c>
      <c r="K2955" s="2">
        <v>67.176199999999994</v>
      </c>
      <c r="L2955" s="2">
        <v>178</v>
      </c>
      <c r="M2955" s="2">
        <v>98.602999999999994</v>
      </c>
      <c r="N2955" s="2">
        <v>218</v>
      </c>
      <c r="O2955" s="2">
        <v>98.6233</v>
      </c>
      <c r="P2955" s="2">
        <v>211</v>
      </c>
      <c r="Q2955" s="2">
        <v>110.0641</v>
      </c>
      <c r="R2955" s="2">
        <v>330</v>
      </c>
      <c r="S2955" s="2">
        <v>111.02760000000001</v>
      </c>
      <c r="T2955" s="2">
        <v>331</v>
      </c>
      <c r="U2955" s="2">
        <v>0.203848</v>
      </c>
      <c r="V2955" s="2">
        <v>289</v>
      </c>
      <c r="W2955" s="2">
        <v>2010</v>
      </c>
    </row>
    <row r="2956" spans="1:23" ht="12.3" hidden="1" x14ac:dyDescent="0.4">
      <c r="A2956" s="2" t="s">
        <v>300</v>
      </c>
      <c r="B2956" s="2"/>
      <c r="C2956" s="2"/>
      <c r="D2956" s="2"/>
      <c r="E2956" s="2"/>
      <c r="F2956" s="2"/>
      <c r="G2956" s="2"/>
      <c r="H2956" s="2"/>
      <c r="I2956" s="2">
        <v>72.201300000000003</v>
      </c>
      <c r="J2956" s="2">
        <v>22</v>
      </c>
      <c r="K2956" s="2">
        <v>72.483500000000006</v>
      </c>
      <c r="L2956" s="2">
        <v>16</v>
      </c>
      <c r="M2956" s="2">
        <v>97.741600000000005</v>
      </c>
      <c r="N2956" s="2">
        <v>234</v>
      </c>
      <c r="O2956" s="2">
        <v>95.233400000000003</v>
      </c>
      <c r="P2956" s="2">
        <v>274</v>
      </c>
      <c r="Q2956" s="2">
        <v>103.4936</v>
      </c>
      <c r="R2956" s="2">
        <v>227</v>
      </c>
      <c r="S2956" s="2">
        <v>107.3486</v>
      </c>
      <c r="T2956" s="2">
        <v>284</v>
      </c>
      <c r="U2956" s="2">
        <v>0.20147000000000001</v>
      </c>
      <c r="V2956" s="2">
        <v>290</v>
      </c>
      <c r="W2956" s="2">
        <v>2010</v>
      </c>
    </row>
    <row r="2957" spans="1:23" ht="12.3" hidden="1" x14ac:dyDescent="0.4">
      <c r="A2957" s="2" t="s">
        <v>247</v>
      </c>
      <c r="B2957" s="2"/>
      <c r="C2957" s="2"/>
      <c r="D2957" s="2"/>
      <c r="E2957" s="2"/>
      <c r="F2957" s="2"/>
      <c r="G2957" s="2"/>
      <c r="H2957" s="2"/>
      <c r="I2957" s="2">
        <v>66.882800000000003</v>
      </c>
      <c r="J2957" s="2">
        <v>195</v>
      </c>
      <c r="K2957" s="2">
        <v>66.850700000000003</v>
      </c>
      <c r="L2957" s="2">
        <v>192</v>
      </c>
      <c r="M2957" s="2">
        <v>99.017099999999999</v>
      </c>
      <c r="N2957" s="2">
        <v>207</v>
      </c>
      <c r="O2957" s="2">
        <v>96.847300000000004</v>
      </c>
      <c r="P2957" s="2">
        <v>244</v>
      </c>
      <c r="Q2957" s="2">
        <v>105.0449</v>
      </c>
      <c r="R2957" s="2">
        <v>263</v>
      </c>
      <c r="S2957" s="2">
        <v>109.2114</v>
      </c>
      <c r="T2957" s="2">
        <v>309</v>
      </c>
      <c r="U2957" s="2">
        <v>0.20073099999999999</v>
      </c>
      <c r="V2957" s="2">
        <v>291</v>
      </c>
      <c r="W2957" s="2">
        <v>2010</v>
      </c>
    </row>
    <row r="2958" spans="1:23" ht="12.3" hidden="1" x14ac:dyDescent="0.4">
      <c r="A2958" s="2" t="s">
        <v>266</v>
      </c>
      <c r="B2958" s="2"/>
      <c r="C2958" s="2"/>
      <c r="D2958" s="2"/>
      <c r="E2958" s="2"/>
      <c r="F2958" s="2"/>
      <c r="G2958" s="2"/>
      <c r="H2958" s="2"/>
      <c r="I2958" s="2">
        <v>69.944599999999994</v>
      </c>
      <c r="J2958" s="2">
        <v>66</v>
      </c>
      <c r="K2958" s="2">
        <v>68.919700000000006</v>
      </c>
      <c r="L2958" s="2">
        <v>89</v>
      </c>
      <c r="M2958" s="2">
        <v>96.204499999999996</v>
      </c>
      <c r="N2958" s="2">
        <v>259</v>
      </c>
      <c r="O2958" s="2">
        <v>95.516400000000004</v>
      </c>
      <c r="P2958" s="2">
        <v>269</v>
      </c>
      <c r="Q2958" s="2">
        <v>105.00149999999999</v>
      </c>
      <c r="R2958" s="2">
        <v>261</v>
      </c>
      <c r="S2958" s="2">
        <v>107.752</v>
      </c>
      <c r="T2958" s="2">
        <v>290</v>
      </c>
      <c r="U2958" s="2">
        <v>0.20002500000000001</v>
      </c>
      <c r="V2958" s="2">
        <v>292</v>
      </c>
      <c r="W2958" s="2">
        <v>2010</v>
      </c>
    </row>
    <row r="2959" spans="1:23" ht="12.3" hidden="1" x14ac:dyDescent="0.4">
      <c r="A2959" s="2" t="s">
        <v>79</v>
      </c>
      <c r="B2959" s="2"/>
      <c r="C2959" s="2"/>
      <c r="D2959" s="2"/>
      <c r="E2959" s="2"/>
      <c r="F2959" s="2"/>
      <c r="G2959" s="2"/>
      <c r="H2959" s="2"/>
      <c r="I2959" s="2">
        <v>66.872200000000007</v>
      </c>
      <c r="J2959" s="2">
        <v>196</v>
      </c>
      <c r="K2959" s="2">
        <v>66.697800000000001</v>
      </c>
      <c r="L2959" s="2">
        <v>197</v>
      </c>
      <c r="M2959" s="2">
        <v>96.603999999999999</v>
      </c>
      <c r="N2959" s="2">
        <v>254</v>
      </c>
      <c r="O2959" s="2">
        <v>96.590599999999995</v>
      </c>
      <c r="P2959" s="2">
        <v>250</v>
      </c>
      <c r="Q2959" s="2">
        <v>111.23139999999999</v>
      </c>
      <c r="R2959" s="2">
        <v>339</v>
      </c>
      <c r="S2959" s="2">
        <v>108.98439999999999</v>
      </c>
      <c r="T2959" s="2">
        <v>304</v>
      </c>
      <c r="U2959" s="2">
        <v>0.19967699999999999</v>
      </c>
      <c r="V2959" s="2">
        <v>293</v>
      </c>
      <c r="W2959" s="2">
        <v>2010</v>
      </c>
    </row>
    <row r="2960" spans="1:23" ht="12.3" hidden="1" x14ac:dyDescent="0.4">
      <c r="A2960" s="2" t="s">
        <v>305</v>
      </c>
      <c r="B2960" s="2"/>
      <c r="C2960" s="2"/>
      <c r="D2960" s="2"/>
      <c r="E2960" s="2"/>
      <c r="F2960" s="2"/>
      <c r="G2960" s="2"/>
      <c r="H2960" s="2"/>
      <c r="I2960" s="2">
        <v>65.385199999999998</v>
      </c>
      <c r="J2960" s="2">
        <v>257</v>
      </c>
      <c r="K2960" s="2">
        <v>64.130499999999998</v>
      </c>
      <c r="L2960" s="2">
        <v>293</v>
      </c>
      <c r="M2960" s="2">
        <v>94.691100000000006</v>
      </c>
      <c r="N2960" s="2">
        <v>284</v>
      </c>
      <c r="O2960" s="2">
        <v>93.435500000000005</v>
      </c>
      <c r="P2960" s="2">
        <v>292</v>
      </c>
      <c r="Q2960" s="2">
        <v>101.2855</v>
      </c>
      <c r="R2960" s="2">
        <v>173</v>
      </c>
      <c r="S2960" s="2">
        <v>105.876</v>
      </c>
      <c r="T2960" s="2">
        <v>263</v>
      </c>
      <c r="U2960" s="2">
        <v>0.191937</v>
      </c>
      <c r="V2960" s="2">
        <v>294</v>
      </c>
      <c r="W2960" s="2">
        <v>2010</v>
      </c>
    </row>
    <row r="2961" spans="1:23" ht="12.3" hidden="1" x14ac:dyDescent="0.4">
      <c r="A2961" s="2" t="s">
        <v>191</v>
      </c>
      <c r="B2961" s="2"/>
      <c r="C2961" s="2"/>
      <c r="D2961" s="2"/>
      <c r="E2961" s="2"/>
      <c r="F2961" s="2"/>
      <c r="G2961" s="2"/>
      <c r="H2961" s="2"/>
      <c r="I2961" s="2">
        <v>66.916499999999999</v>
      </c>
      <c r="J2961" s="2">
        <v>192</v>
      </c>
      <c r="K2961" s="2">
        <v>66.7761</v>
      </c>
      <c r="L2961" s="2">
        <v>194</v>
      </c>
      <c r="M2961" s="2">
        <v>98.481099999999998</v>
      </c>
      <c r="N2961" s="2">
        <v>219</v>
      </c>
      <c r="O2961" s="2">
        <v>96.875900000000001</v>
      </c>
      <c r="P2961" s="2">
        <v>243</v>
      </c>
      <c r="Q2961" s="2">
        <v>107.7209</v>
      </c>
      <c r="R2961" s="2">
        <v>307</v>
      </c>
      <c r="S2961" s="2">
        <v>109.8167</v>
      </c>
      <c r="T2961" s="2">
        <v>316</v>
      </c>
      <c r="U2961" s="2">
        <v>0.19125200000000001</v>
      </c>
      <c r="V2961" s="2">
        <v>295</v>
      </c>
      <c r="W2961" s="2">
        <v>2010</v>
      </c>
    </row>
    <row r="2962" spans="1:23" ht="12.3" hidden="1" x14ac:dyDescent="0.4">
      <c r="A2962" s="2" t="s">
        <v>313</v>
      </c>
      <c r="B2962" s="2"/>
      <c r="C2962" s="2"/>
      <c r="D2962" s="2"/>
      <c r="E2962" s="2"/>
      <c r="F2962" s="2"/>
      <c r="G2962" s="2"/>
      <c r="H2962" s="2"/>
      <c r="I2962" s="2">
        <v>60.265300000000003</v>
      </c>
      <c r="J2962" s="2">
        <v>340</v>
      </c>
      <c r="K2962" s="2">
        <v>60.3596</v>
      </c>
      <c r="L2962" s="2">
        <v>339</v>
      </c>
      <c r="M2962" s="2">
        <v>95.403599999999997</v>
      </c>
      <c r="N2962" s="2">
        <v>273</v>
      </c>
      <c r="O2962" s="2">
        <v>93.040599999999998</v>
      </c>
      <c r="P2962" s="2">
        <v>298</v>
      </c>
      <c r="Q2962" s="2">
        <v>99.900099999999995</v>
      </c>
      <c r="R2962" s="2">
        <v>140</v>
      </c>
      <c r="S2962" s="2">
        <v>105.5082</v>
      </c>
      <c r="T2962" s="2">
        <v>255</v>
      </c>
      <c r="U2962" s="2">
        <v>0.19059499999999999</v>
      </c>
      <c r="V2962" s="2">
        <v>296</v>
      </c>
      <c r="W2962" s="2">
        <v>2010</v>
      </c>
    </row>
    <row r="2963" spans="1:23" ht="12.3" hidden="1" x14ac:dyDescent="0.4">
      <c r="A2963" s="2" t="s">
        <v>260</v>
      </c>
      <c r="B2963" s="2"/>
      <c r="C2963" s="2"/>
      <c r="D2963" s="2"/>
      <c r="E2963" s="2"/>
      <c r="F2963" s="2"/>
      <c r="G2963" s="2"/>
      <c r="H2963" s="2"/>
      <c r="I2963" s="2">
        <v>68.8613</v>
      </c>
      <c r="J2963" s="2">
        <v>96</v>
      </c>
      <c r="K2963" s="2">
        <v>69.245999999999995</v>
      </c>
      <c r="L2963" s="2">
        <v>76</v>
      </c>
      <c r="M2963" s="2">
        <v>97.598299999999995</v>
      </c>
      <c r="N2963" s="2">
        <v>237</v>
      </c>
      <c r="O2963" s="2">
        <v>97.889099999999999</v>
      </c>
      <c r="P2963" s="2">
        <v>227</v>
      </c>
      <c r="Q2963" s="2">
        <v>111.1738</v>
      </c>
      <c r="R2963" s="2">
        <v>338</v>
      </c>
      <c r="S2963" s="2">
        <v>111.31319999999999</v>
      </c>
      <c r="T2963" s="2">
        <v>334</v>
      </c>
      <c r="U2963" s="2">
        <v>0.18574399999999999</v>
      </c>
      <c r="V2963" s="2">
        <v>297</v>
      </c>
      <c r="W2963" s="2">
        <v>2010</v>
      </c>
    </row>
    <row r="2964" spans="1:23" ht="12.3" hidden="1" x14ac:dyDescent="0.4">
      <c r="A2964" s="2" t="s">
        <v>153</v>
      </c>
      <c r="B2964" s="2"/>
      <c r="C2964" s="2"/>
      <c r="D2964" s="2"/>
      <c r="E2964" s="2"/>
      <c r="F2964" s="2"/>
      <c r="G2964" s="2"/>
      <c r="H2964" s="2"/>
      <c r="I2964" s="2">
        <v>71.3001</v>
      </c>
      <c r="J2964" s="2">
        <v>31</v>
      </c>
      <c r="K2964" s="2">
        <v>72.184399999999997</v>
      </c>
      <c r="L2964" s="2">
        <v>19</v>
      </c>
      <c r="M2964" s="2">
        <v>96.066500000000005</v>
      </c>
      <c r="N2964" s="2">
        <v>262</v>
      </c>
      <c r="O2964" s="2">
        <v>97.515699999999995</v>
      </c>
      <c r="P2964" s="2">
        <v>234</v>
      </c>
      <c r="Q2964" s="2">
        <v>111.7282</v>
      </c>
      <c r="R2964" s="2">
        <v>341</v>
      </c>
      <c r="S2964" s="2">
        <v>111.0731</v>
      </c>
      <c r="T2964" s="2">
        <v>332</v>
      </c>
      <c r="U2964" s="2">
        <v>0.18287100000000001</v>
      </c>
      <c r="V2964" s="2">
        <v>298</v>
      </c>
      <c r="W2964" s="2">
        <v>2010</v>
      </c>
    </row>
    <row r="2965" spans="1:23" ht="12.3" hidden="1" x14ac:dyDescent="0.4">
      <c r="A2965" s="2" t="s">
        <v>77</v>
      </c>
      <c r="B2965" s="2"/>
      <c r="C2965" s="2"/>
      <c r="D2965" s="2"/>
      <c r="E2965" s="2"/>
      <c r="F2965" s="2"/>
      <c r="G2965" s="2"/>
      <c r="H2965" s="2"/>
      <c r="I2965" s="2">
        <v>64.882300000000001</v>
      </c>
      <c r="J2965" s="2">
        <v>275</v>
      </c>
      <c r="K2965" s="2">
        <v>65.378399999999999</v>
      </c>
      <c r="L2965" s="2">
        <v>261</v>
      </c>
      <c r="M2965" s="2">
        <v>95.656999999999996</v>
      </c>
      <c r="N2965" s="2">
        <v>271</v>
      </c>
      <c r="O2965" s="2">
        <v>97.700299999999999</v>
      </c>
      <c r="P2965" s="2">
        <v>232</v>
      </c>
      <c r="Q2965" s="2">
        <v>110.2778</v>
      </c>
      <c r="R2965" s="2">
        <v>333</v>
      </c>
      <c r="S2965" s="2">
        <v>111.3112</v>
      </c>
      <c r="T2965" s="2">
        <v>333</v>
      </c>
      <c r="U2965" s="2">
        <v>0.18244099999999999</v>
      </c>
      <c r="V2965" s="2">
        <v>299</v>
      </c>
      <c r="W2965" s="2">
        <v>2010</v>
      </c>
    </row>
    <row r="2966" spans="1:23" ht="12.3" hidden="1" x14ac:dyDescent="0.4">
      <c r="A2966" s="2" t="s">
        <v>259</v>
      </c>
      <c r="B2966" s="2"/>
      <c r="C2966" s="2"/>
      <c r="D2966" s="2"/>
      <c r="E2966" s="2"/>
      <c r="F2966" s="2"/>
      <c r="G2966" s="2"/>
      <c r="H2966" s="2"/>
      <c r="I2966" s="2">
        <v>75.025700000000001</v>
      </c>
      <c r="J2966" s="2">
        <v>5</v>
      </c>
      <c r="K2966" s="2">
        <v>75.193600000000004</v>
      </c>
      <c r="L2966" s="2">
        <v>4</v>
      </c>
      <c r="M2966" s="2">
        <v>98.162199999999999</v>
      </c>
      <c r="N2966" s="2">
        <v>228</v>
      </c>
      <c r="O2966" s="2">
        <v>96.278000000000006</v>
      </c>
      <c r="P2966" s="2">
        <v>256</v>
      </c>
      <c r="Q2966" s="2">
        <v>107.87690000000001</v>
      </c>
      <c r="R2966" s="2">
        <v>309</v>
      </c>
      <c r="S2966" s="2">
        <v>109.9718</v>
      </c>
      <c r="T2966" s="2">
        <v>321</v>
      </c>
      <c r="U2966" s="2">
        <v>0.178095</v>
      </c>
      <c r="V2966" s="2">
        <v>300</v>
      </c>
      <c r="W2966" s="2">
        <v>2010</v>
      </c>
    </row>
    <row r="2967" spans="1:23" ht="12.3" hidden="1" x14ac:dyDescent="0.4">
      <c r="A2967" s="2" t="s">
        <v>339</v>
      </c>
      <c r="B2967" s="2"/>
      <c r="C2967" s="2"/>
      <c r="D2967" s="2"/>
      <c r="E2967" s="2"/>
      <c r="F2967" s="2"/>
      <c r="G2967" s="2"/>
      <c r="H2967" s="2"/>
      <c r="I2967" s="2">
        <v>65.727699999999999</v>
      </c>
      <c r="J2967" s="2">
        <v>248</v>
      </c>
      <c r="K2967" s="2">
        <v>65.409599999999998</v>
      </c>
      <c r="L2967" s="2">
        <v>257</v>
      </c>
      <c r="M2967" s="2">
        <v>95.142200000000003</v>
      </c>
      <c r="N2967" s="2">
        <v>277</v>
      </c>
      <c r="O2967" s="2">
        <v>95.930800000000005</v>
      </c>
      <c r="P2967" s="2">
        <v>259</v>
      </c>
      <c r="Q2967" s="2">
        <v>104.7766</v>
      </c>
      <c r="R2967" s="2">
        <v>257</v>
      </c>
      <c r="S2967" s="2">
        <v>109.61150000000001</v>
      </c>
      <c r="T2967" s="2">
        <v>314</v>
      </c>
      <c r="U2967" s="2">
        <v>0.177537</v>
      </c>
      <c r="V2967" s="2">
        <v>301</v>
      </c>
      <c r="W2967" s="2">
        <v>2010</v>
      </c>
    </row>
    <row r="2968" spans="1:23" ht="12.3" hidden="1" x14ac:dyDescent="0.4">
      <c r="A2968" s="2" t="s">
        <v>369</v>
      </c>
      <c r="B2968" s="2"/>
      <c r="C2968" s="2"/>
      <c r="D2968" s="2"/>
      <c r="E2968" s="2"/>
      <c r="F2968" s="2"/>
      <c r="G2968" s="2"/>
      <c r="H2968" s="2"/>
      <c r="I2968" s="2">
        <v>68.686499999999995</v>
      </c>
      <c r="J2968" s="2">
        <v>110</v>
      </c>
      <c r="K2968" s="2">
        <v>67.924300000000002</v>
      </c>
      <c r="L2968" s="2">
        <v>138</v>
      </c>
      <c r="M2968" s="2">
        <v>93.9499</v>
      </c>
      <c r="N2968" s="2">
        <v>294</v>
      </c>
      <c r="O2968" s="2">
        <v>93.795100000000005</v>
      </c>
      <c r="P2968" s="2">
        <v>289</v>
      </c>
      <c r="Q2968" s="2">
        <v>104.0256</v>
      </c>
      <c r="R2968" s="2">
        <v>245</v>
      </c>
      <c r="S2968" s="2">
        <v>107.35209999999999</v>
      </c>
      <c r="T2968" s="2">
        <v>285</v>
      </c>
      <c r="U2968" s="2">
        <v>0.17472199999999999</v>
      </c>
      <c r="V2968" s="2">
        <v>302</v>
      </c>
      <c r="W2968" s="2">
        <v>2010</v>
      </c>
    </row>
    <row r="2969" spans="1:23" ht="12.3" hidden="1" x14ac:dyDescent="0.4">
      <c r="A2969" s="2" t="s">
        <v>352</v>
      </c>
      <c r="B2969" s="2"/>
      <c r="C2969" s="2"/>
      <c r="D2969" s="2"/>
      <c r="E2969" s="2"/>
      <c r="F2969" s="2"/>
      <c r="G2969" s="2"/>
      <c r="H2969" s="2"/>
      <c r="I2969" s="2">
        <v>62.616100000000003</v>
      </c>
      <c r="J2969" s="2">
        <v>323</v>
      </c>
      <c r="K2969" s="2">
        <v>63.4908</v>
      </c>
      <c r="L2969" s="2">
        <v>311</v>
      </c>
      <c r="M2969" s="2">
        <v>88.396299999999997</v>
      </c>
      <c r="N2969" s="2">
        <v>331</v>
      </c>
      <c r="O2969" s="2">
        <v>89.334299999999999</v>
      </c>
      <c r="P2969" s="2">
        <v>325</v>
      </c>
      <c r="Q2969" s="2">
        <v>98.4529</v>
      </c>
      <c r="R2969" s="2">
        <v>114</v>
      </c>
      <c r="S2969" s="2">
        <v>102.33920000000001</v>
      </c>
      <c r="T2969" s="2">
        <v>185</v>
      </c>
      <c r="U2969" s="2">
        <v>0.17322699999999999</v>
      </c>
      <c r="V2969" s="2">
        <v>303</v>
      </c>
      <c r="W2969" s="2">
        <v>2010</v>
      </c>
    </row>
    <row r="2970" spans="1:23" ht="12.3" hidden="1" x14ac:dyDescent="0.4">
      <c r="A2970" s="2" t="s">
        <v>364</v>
      </c>
      <c r="B2970" s="2"/>
      <c r="C2970" s="2"/>
      <c r="D2970" s="2"/>
      <c r="E2970" s="2"/>
      <c r="F2970" s="2"/>
      <c r="G2970" s="2"/>
      <c r="H2970" s="2"/>
      <c r="I2970" s="2">
        <v>65.470399999999998</v>
      </c>
      <c r="J2970" s="2">
        <v>255</v>
      </c>
      <c r="K2970" s="2">
        <v>65.109399999999994</v>
      </c>
      <c r="L2970" s="2">
        <v>271</v>
      </c>
      <c r="M2970" s="2">
        <v>93.723299999999995</v>
      </c>
      <c r="N2970" s="2">
        <v>298</v>
      </c>
      <c r="O2970" s="2">
        <v>91.275800000000004</v>
      </c>
      <c r="P2970" s="2">
        <v>310</v>
      </c>
      <c r="Q2970" s="2">
        <v>104.3267</v>
      </c>
      <c r="R2970" s="2">
        <v>251</v>
      </c>
      <c r="S2970" s="2">
        <v>104.818</v>
      </c>
      <c r="T2970" s="2">
        <v>245</v>
      </c>
      <c r="U2970" s="2">
        <v>0.16925799999999999</v>
      </c>
      <c r="V2970" s="2">
        <v>304</v>
      </c>
      <c r="W2970" s="2">
        <v>2010</v>
      </c>
    </row>
    <row r="2971" spans="1:23" ht="12.3" hidden="1" x14ac:dyDescent="0.4">
      <c r="A2971" s="2" t="s">
        <v>251</v>
      </c>
      <c r="B2971" s="2"/>
      <c r="C2971" s="2"/>
      <c r="D2971" s="2"/>
      <c r="E2971" s="2"/>
      <c r="F2971" s="2"/>
      <c r="G2971" s="2"/>
      <c r="H2971" s="2"/>
      <c r="I2971" s="2">
        <v>66.899199999999993</v>
      </c>
      <c r="J2971" s="2">
        <v>193</v>
      </c>
      <c r="K2971" s="2">
        <v>66.669600000000003</v>
      </c>
      <c r="L2971" s="2">
        <v>199</v>
      </c>
      <c r="M2971" s="2">
        <v>94.776399999999995</v>
      </c>
      <c r="N2971" s="2">
        <v>280</v>
      </c>
      <c r="O2971" s="2">
        <v>91.065899999999999</v>
      </c>
      <c r="P2971" s="2">
        <v>312</v>
      </c>
      <c r="Q2971" s="2">
        <v>99.209100000000007</v>
      </c>
      <c r="R2971" s="2">
        <v>129</v>
      </c>
      <c r="S2971" s="2">
        <v>104.65819999999999</v>
      </c>
      <c r="T2971" s="2">
        <v>241</v>
      </c>
      <c r="U2971" s="2">
        <v>0.16800399999999999</v>
      </c>
      <c r="V2971" s="2">
        <v>305</v>
      </c>
      <c r="W2971" s="2">
        <v>2010</v>
      </c>
    </row>
    <row r="2972" spans="1:23" ht="12.3" hidden="1" x14ac:dyDescent="0.4">
      <c r="A2972" s="2" t="s">
        <v>296</v>
      </c>
      <c r="B2972" s="2"/>
      <c r="C2972" s="2"/>
      <c r="D2972" s="2"/>
      <c r="E2972" s="2"/>
      <c r="F2972" s="2"/>
      <c r="G2972" s="2"/>
      <c r="H2972" s="2"/>
      <c r="I2972" s="2">
        <v>69.775000000000006</v>
      </c>
      <c r="J2972" s="2">
        <v>72</v>
      </c>
      <c r="K2972" s="2">
        <v>68.954499999999996</v>
      </c>
      <c r="L2972" s="2">
        <v>87</v>
      </c>
      <c r="M2972" s="2">
        <v>94.430400000000006</v>
      </c>
      <c r="N2972" s="2">
        <v>288</v>
      </c>
      <c r="O2972" s="2">
        <v>93.152000000000001</v>
      </c>
      <c r="P2972" s="2">
        <v>295</v>
      </c>
      <c r="Q2972" s="2">
        <v>102.82510000000001</v>
      </c>
      <c r="R2972" s="2">
        <v>207</v>
      </c>
      <c r="S2972" s="2">
        <v>107.16670000000001</v>
      </c>
      <c r="T2972" s="2">
        <v>282</v>
      </c>
      <c r="U2972" s="2">
        <v>0.16634399999999999</v>
      </c>
      <c r="V2972" s="2">
        <v>306</v>
      </c>
      <c r="W2972" s="2">
        <v>2010</v>
      </c>
    </row>
    <row r="2973" spans="1:23" ht="12.3" hidden="1" x14ac:dyDescent="0.4">
      <c r="A2973" s="2" t="s">
        <v>249</v>
      </c>
      <c r="B2973" s="2"/>
      <c r="C2973" s="2"/>
      <c r="D2973" s="2"/>
      <c r="E2973" s="2"/>
      <c r="F2973" s="2"/>
      <c r="G2973" s="2"/>
      <c r="H2973" s="2"/>
      <c r="I2973" s="2">
        <v>72.586200000000005</v>
      </c>
      <c r="J2973" s="2">
        <v>18</v>
      </c>
      <c r="K2973" s="2">
        <v>72.280299999999997</v>
      </c>
      <c r="L2973" s="2">
        <v>18</v>
      </c>
      <c r="M2973" s="2">
        <v>87.851799999999997</v>
      </c>
      <c r="N2973" s="2">
        <v>335</v>
      </c>
      <c r="O2973" s="2">
        <v>92.214399999999998</v>
      </c>
      <c r="P2973" s="2">
        <v>303</v>
      </c>
      <c r="Q2973" s="2">
        <v>109.14149999999999</v>
      </c>
      <c r="R2973" s="2">
        <v>322</v>
      </c>
      <c r="S2973" s="2">
        <v>106.10120000000001</v>
      </c>
      <c r="T2973" s="2">
        <v>271</v>
      </c>
      <c r="U2973" s="2">
        <v>0.16614599999999999</v>
      </c>
      <c r="V2973" s="2">
        <v>307</v>
      </c>
      <c r="W2973" s="2">
        <v>2010</v>
      </c>
    </row>
    <row r="2974" spans="1:23" ht="12.3" hidden="1" x14ac:dyDescent="0.4">
      <c r="A2974" s="2" t="s">
        <v>271</v>
      </c>
      <c r="B2974" s="2"/>
      <c r="C2974" s="2"/>
      <c r="D2974" s="2"/>
      <c r="E2974" s="2"/>
      <c r="F2974" s="2"/>
      <c r="G2974" s="2"/>
      <c r="H2974" s="2"/>
      <c r="I2974" s="2">
        <v>64.674999999999997</v>
      </c>
      <c r="J2974" s="2">
        <v>285</v>
      </c>
      <c r="K2974" s="2">
        <v>65.263000000000005</v>
      </c>
      <c r="L2974" s="2">
        <v>266</v>
      </c>
      <c r="M2974" s="2">
        <v>93.129099999999994</v>
      </c>
      <c r="N2974" s="2">
        <v>303</v>
      </c>
      <c r="O2974" s="2">
        <v>90.446200000000005</v>
      </c>
      <c r="P2974" s="2">
        <v>318</v>
      </c>
      <c r="Q2974" s="2">
        <v>100.74209999999999</v>
      </c>
      <c r="R2974" s="2">
        <v>157</v>
      </c>
      <c r="S2974" s="2">
        <v>104.1914</v>
      </c>
      <c r="T2974" s="2">
        <v>227</v>
      </c>
      <c r="U2974" s="2">
        <v>0.16424800000000001</v>
      </c>
      <c r="V2974" s="2">
        <v>308</v>
      </c>
      <c r="W2974" s="2">
        <v>2010</v>
      </c>
    </row>
    <row r="2975" spans="1:23" ht="12.3" hidden="1" x14ac:dyDescent="0.4">
      <c r="A2975" s="2" t="s">
        <v>156</v>
      </c>
      <c r="B2975" s="2"/>
      <c r="C2975" s="2"/>
      <c r="D2975" s="2"/>
      <c r="E2975" s="2"/>
      <c r="F2975" s="2"/>
      <c r="G2975" s="2"/>
      <c r="H2975" s="2"/>
      <c r="I2975" s="2">
        <v>63.595500000000001</v>
      </c>
      <c r="J2975" s="2">
        <v>306</v>
      </c>
      <c r="K2975" s="2">
        <v>64.806799999999996</v>
      </c>
      <c r="L2975" s="2">
        <v>277</v>
      </c>
      <c r="M2975" s="2">
        <v>94.717200000000005</v>
      </c>
      <c r="N2975" s="2">
        <v>283</v>
      </c>
      <c r="O2975" s="2">
        <v>91.651300000000006</v>
      </c>
      <c r="P2975" s="2">
        <v>304</v>
      </c>
      <c r="Q2975" s="2">
        <v>100.1328</v>
      </c>
      <c r="R2975" s="2">
        <v>145</v>
      </c>
      <c r="S2975" s="2">
        <v>105.81270000000001</v>
      </c>
      <c r="T2975" s="2">
        <v>259</v>
      </c>
      <c r="U2975" s="2">
        <v>0.16079599999999999</v>
      </c>
      <c r="V2975" s="2">
        <v>309</v>
      </c>
      <c r="W2975" s="2">
        <v>2010</v>
      </c>
    </row>
    <row r="2976" spans="1:23" ht="12.3" hidden="1" x14ac:dyDescent="0.4">
      <c r="A2976" s="2" t="s">
        <v>303</v>
      </c>
      <c r="B2976" s="2"/>
      <c r="C2976" s="2"/>
      <c r="D2976" s="2"/>
      <c r="E2976" s="2"/>
      <c r="F2976" s="2"/>
      <c r="G2976" s="2"/>
      <c r="H2976" s="2"/>
      <c r="I2976" s="2">
        <v>68.094499999999996</v>
      </c>
      <c r="J2976" s="2">
        <v>133</v>
      </c>
      <c r="K2976" s="2">
        <v>68.496700000000004</v>
      </c>
      <c r="L2976" s="2">
        <v>111</v>
      </c>
      <c r="M2976" s="2">
        <v>90.234099999999998</v>
      </c>
      <c r="N2976" s="2">
        <v>322</v>
      </c>
      <c r="O2976" s="2">
        <v>89.654200000000003</v>
      </c>
      <c r="P2976" s="2">
        <v>323</v>
      </c>
      <c r="Q2976" s="2">
        <v>105.2955</v>
      </c>
      <c r="R2976" s="2">
        <v>266</v>
      </c>
      <c r="S2976" s="2">
        <v>104.60599999999999</v>
      </c>
      <c r="T2976" s="2">
        <v>240</v>
      </c>
      <c r="U2976" s="2">
        <v>0.14507400000000001</v>
      </c>
      <c r="V2976" s="2">
        <v>310</v>
      </c>
      <c r="W2976" s="2">
        <v>2010</v>
      </c>
    </row>
    <row r="2977" spans="1:23" ht="12.3" hidden="1" x14ac:dyDescent="0.4">
      <c r="A2977" s="2" t="s">
        <v>332</v>
      </c>
      <c r="B2977" s="2"/>
      <c r="C2977" s="2"/>
      <c r="D2977" s="2"/>
      <c r="E2977" s="2"/>
      <c r="F2977" s="2"/>
      <c r="G2977" s="2"/>
      <c r="H2977" s="2"/>
      <c r="I2977" s="2">
        <v>64.930000000000007</v>
      </c>
      <c r="J2977" s="2">
        <v>272</v>
      </c>
      <c r="K2977" s="2">
        <v>65.335700000000003</v>
      </c>
      <c r="L2977" s="2">
        <v>263</v>
      </c>
      <c r="M2977" s="2">
        <v>95.821600000000004</v>
      </c>
      <c r="N2977" s="2">
        <v>267</v>
      </c>
      <c r="O2977" s="2">
        <v>94.582800000000006</v>
      </c>
      <c r="P2977" s="2">
        <v>281</v>
      </c>
      <c r="Q2977" s="2">
        <v>107.0873</v>
      </c>
      <c r="R2977" s="2">
        <v>298</v>
      </c>
      <c r="S2977" s="2">
        <v>110.37</v>
      </c>
      <c r="T2977" s="2">
        <v>326</v>
      </c>
      <c r="U2977" s="2">
        <v>0.1449</v>
      </c>
      <c r="V2977" s="2">
        <v>311</v>
      </c>
      <c r="W2977" s="2">
        <v>2010</v>
      </c>
    </row>
    <row r="2978" spans="1:23" ht="12.3" hidden="1" x14ac:dyDescent="0.4">
      <c r="A2978" s="2" t="s">
        <v>277</v>
      </c>
      <c r="B2978" s="2"/>
      <c r="C2978" s="2"/>
      <c r="D2978" s="2"/>
      <c r="E2978" s="2"/>
      <c r="F2978" s="2"/>
      <c r="G2978" s="2"/>
      <c r="H2978" s="2"/>
      <c r="I2978" s="2">
        <v>64.868899999999996</v>
      </c>
      <c r="J2978" s="2">
        <v>276</v>
      </c>
      <c r="K2978" s="2">
        <v>65.0642</v>
      </c>
      <c r="L2978" s="2">
        <v>273</v>
      </c>
      <c r="M2978" s="2">
        <v>91.9255</v>
      </c>
      <c r="N2978" s="2">
        <v>315</v>
      </c>
      <c r="O2978" s="2">
        <v>88.753799999999998</v>
      </c>
      <c r="P2978" s="2">
        <v>330</v>
      </c>
      <c r="Q2978" s="2">
        <v>98.387699999999995</v>
      </c>
      <c r="R2978" s="2">
        <v>111</v>
      </c>
      <c r="S2978" s="2">
        <v>103.72799999999999</v>
      </c>
      <c r="T2978" s="2">
        <v>221</v>
      </c>
      <c r="U2978" s="2">
        <v>0.14271500000000001</v>
      </c>
      <c r="V2978" s="2">
        <v>312</v>
      </c>
      <c r="W2978" s="2">
        <v>2010</v>
      </c>
    </row>
    <row r="2979" spans="1:23" ht="12.3" hidden="1" x14ac:dyDescent="0.4">
      <c r="A2979" s="2" t="s">
        <v>342</v>
      </c>
      <c r="B2979" s="2"/>
      <c r="C2979" s="2"/>
      <c r="D2979" s="2"/>
      <c r="E2979" s="2"/>
      <c r="F2979" s="2"/>
      <c r="G2979" s="2"/>
      <c r="H2979" s="2"/>
      <c r="I2979" s="2">
        <v>68.483500000000006</v>
      </c>
      <c r="J2979" s="2">
        <v>120</v>
      </c>
      <c r="K2979" s="2">
        <v>67.302899999999994</v>
      </c>
      <c r="L2979" s="2">
        <v>169</v>
      </c>
      <c r="M2979" s="2">
        <v>87.796499999999995</v>
      </c>
      <c r="N2979" s="2">
        <v>336</v>
      </c>
      <c r="O2979" s="2">
        <v>84.958799999999997</v>
      </c>
      <c r="P2979" s="2">
        <v>343</v>
      </c>
      <c r="Q2979" s="2">
        <v>92.4101</v>
      </c>
      <c r="R2979" s="2">
        <v>22</v>
      </c>
      <c r="S2979" s="2">
        <v>99.6524</v>
      </c>
      <c r="T2979" s="2">
        <v>135</v>
      </c>
      <c r="U2979" s="2">
        <v>0.13770399999999999</v>
      </c>
      <c r="V2979" s="2">
        <v>313</v>
      </c>
      <c r="W2979" s="2">
        <v>2010</v>
      </c>
    </row>
    <row r="2980" spans="1:23" ht="12.3" hidden="1" x14ac:dyDescent="0.4">
      <c r="A2980" s="2" t="s">
        <v>295</v>
      </c>
      <c r="B2980" s="2"/>
      <c r="C2980" s="2"/>
      <c r="D2980" s="2"/>
      <c r="E2980" s="2"/>
      <c r="F2980" s="2"/>
      <c r="G2980" s="2"/>
      <c r="H2980" s="2"/>
      <c r="I2980" s="2">
        <v>64.721000000000004</v>
      </c>
      <c r="J2980" s="2">
        <v>283</v>
      </c>
      <c r="K2980" s="2">
        <v>64.875</v>
      </c>
      <c r="L2980" s="2">
        <v>275</v>
      </c>
      <c r="M2980" s="2">
        <v>95.976500000000001</v>
      </c>
      <c r="N2980" s="2">
        <v>263</v>
      </c>
      <c r="O2980" s="2">
        <v>93.38</v>
      </c>
      <c r="P2980" s="2">
        <v>294</v>
      </c>
      <c r="Q2980" s="2">
        <v>107.28230000000001</v>
      </c>
      <c r="R2980" s="2">
        <v>299</v>
      </c>
      <c r="S2980" s="2">
        <v>109.5466</v>
      </c>
      <c r="T2980" s="2">
        <v>313</v>
      </c>
      <c r="U2980" s="2">
        <v>0.13749600000000001</v>
      </c>
      <c r="V2980" s="2">
        <v>314</v>
      </c>
      <c r="W2980" s="2">
        <v>2010</v>
      </c>
    </row>
    <row r="2981" spans="1:23" ht="12.3" hidden="1" x14ac:dyDescent="0.4">
      <c r="A2981" s="2" t="s">
        <v>344</v>
      </c>
      <c r="B2981" s="2"/>
      <c r="C2981" s="2"/>
      <c r="D2981" s="2"/>
      <c r="E2981" s="2"/>
      <c r="F2981" s="2"/>
      <c r="G2981" s="2"/>
      <c r="H2981" s="2"/>
      <c r="I2981" s="2">
        <v>68.452799999999996</v>
      </c>
      <c r="J2981" s="2">
        <v>121</v>
      </c>
      <c r="K2981" s="2">
        <v>68.378399999999999</v>
      </c>
      <c r="L2981" s="2">
        <v>121</v>
      </c>
      <c r="M2981" s="2">
        <v>92.180800000000005</v>
      </c>
      <c r="N2981" s="2">
        <v>314</v>
      </c>
      <c r="O2981" s="2">
        <v>91.6267</v>
      </c>
      <c r="P2981" s="2">
        <v>305</v>
      </c>
      <c r="Q2981" s="2">
        <v>103.48779999999999</v>
      </c>
      <c r="R2981" s="2">
        <v>226</v>
      </c>
      <c r="S2981" s="2">
        <v>107.5712</v>
      </c>
      <c r="T2981" s="2">
        <v>289</v>
      </c>
      <c r="U2981" s="2">
        <v>0.136466</v>
      </c>
      <c r="V2981" s="2">
        <v>315</v>
      </c>
      <c r="W2981" s="2">
        <v>2010</v>
      </c>
    </row>
    <row r="2982" spans="1:23" ht="12.3" hidden="1" x14ac:dyDescent="0.4">
      <c r="A2982" s="2" t="s">
        <v>252</v>
      </c>
      <c r="B2982" s="2"/>
      <c r="C2982" s="2"/>
      <c r="D2982" s="2"/>
      <c r="E2982" s="2"/>
      <c r="F2982" s="2"/>
      <c r="G2982" s="2"/>
      <c r="H2982" s="2"/>
      <c r="I2982" s="2">
        <v>66.721100000000007</v>
      </c>
      <c r="J2982" s="2">
        <v>205</v>
      </c>
      <c r="K2982" s="2">
        <v>67.817400000000006</v>
      </c>
      <c r="L2982" s="2">
        <v>144</v>
      </c>
      <c r="M2982" s="2">
        <v>94.091300000000004</v>
      </c>
      <c r="N2982" s="2">
        <v>292</v>
      </c>
      <c r="O2982" s="2">
        <v>96.398600000000002</v>
      </c>
      <c r="P2982" s="2">
        <v>252</v>
      </c>
      <c r="Q2982" s="2">
        <v>109.6495</v>
      </c>
      <c r="R2982" s="2">
        <v>327</v>
      </c>
      <c r="S2982" s="2">
        <v>113.3999</v>
      </c>
      <c r="T2982" s="2">
        <v>343</v>
      </c>
      <c r="U2982" s="2">
        <v>0.13378200000000001</v>
      </c>
      <c r="V2982" s="2">
        <v>316</v>
      </c>
      <c r="W2982" s="2">
        <v>2010</v>
      </c>
    </row>
    <row r="2983" spans="1:23" ht="12.3" hidden="1" x14ac:dyDescent="0.4">
      <c r="A2983" s="2" t="s">
        <v>263</v>
      </c>
      <c r="B2983" s="2"/>
      <c r="C2983" s="2"/>
      <c r="D2983" s="2"/>
      <c r="E2983" s="2"/>
      <c r="F2983" s="2"/>
      <c r="G2983" s="2"/>
      <c r="H2983" s="2"/>
      <c r="I2983" s="2">
        <v>85.183899999999994</v>
      </c>
      <c r="J2983" s="2">
        <v>1</v>
      </c>
      <c r="K2983" s="2">
        <v>84.194900000000004</v>
      </c>
      <c r="L2983" s="2">
        <v>1</v>
      </c>
      <c r="M2983" s="2">
        <v>99.884600000000006</v>
      </c>
      <c r="N2983" s="2">
        <v>195</v>
      </c>
      <c r="O2983" s="2">
        <v>100.3164</v>
      </c>
      <c r="P2983" s="2">
        <v>187</v>
      </c>
      <c r="Q2983" s="2">
        <v>114.44159999999999</v>
      </c>
      <c r="R2983" s="2">
        <v>345</v>
      </c>
      <c r="S2983" s="2">
        <v>118.03740000000001</v>
      </c>
      <c r="T2983" s="2">
        <v>346</v>
      </c>
      <c r="U2983" s="2">
        <v>0.13345599999999999</v>
      </c>
      <c r="V2983" s="2">
        <v>317</v>
      </c>
      <c r="W2983" s="2">
        <v>2010</v>
      </c>
    </row>
    <row r="2984" spans="1:23" ht="12.3" hidden="1" x14ac:dyDescent="0.4">
      <c r="A2984" s="2" t="s">
        <v>224</v>
      </c>
      <c r="B2984" s="2"/>
      <c r="C2984" s="2"/>
      <c r="D2984" s="2"/>
      <c r="E2984" s="2"/>
      <c r="F2984" s="2"/>
      <c r="G2984" s="2"/>
      <c r="H2984" s="2"/>
      <c r="I2984" s="2">
        <v>71.180700000000002</v>
      </c>
      <c r="J2984" s="2">
        <v>33</v>
      </c>
      <c r="K2984" s="2">
        <v>70.752700000000004</v>
      </c>
      <c r="L2984" s="2">
        <v>36</v>
      </c>
      <c r="M2984" s="2">
        <v>94.6905</v>
      </c>
      <c r="N2984" s="2">
        <v>285</v>
      </c>
      <c r="O2984" s="2">
        <v>94.566599999999994</v>
      </c>
      <c r="P2984" s="2">
        <v>283</v>
      </c>
      <c r="Q2984" s="2">
        <v>111.9708</v>
      </c>
      <c r="R2984" s="2">
        <v>342</v>
      </c>
      <c r="S2984" s="2">
        <v>111.9046</v>
      </c>
      <c r="T2984" s="2">
        <v>340</v>
      </c>
      <c r="U2984" s="2">
        <v>0.12609600000000001</v>
      </c>
      <c r="V2984" s="2">
        <v>318</v>
      </c>
      <c r="W2984" s="2">
        <v>2010</v>
      </c>
    </row>
    <row r="2985" spans="1:23" ht="12.3" hidden="1" x14ac:dyDescent="0.4">
      <c r="A2985" s="2" t="s">
        <v>183</v>
      </c>
      <c r="B2985" s="2"/>
      <c r="C2985" s="2"/>
      <c r="D2985" s="2"/>
      <c r="E2985" s="2"/>
      <c r="F2985" s="2"/>
      <c r="G2985" s="2"/>
      <c r="H2985" s="2"/>
      <c r="I2985" s="2">
        <v>64.958399999999997</v>
      </c>
      <c r="J2985" s="2">
        <v>270</v>
      </c>
      <c r="K2985" s="2">
        <v>65.280100000000004</v>
      </c>
      <c r="L2985" s="2">
        <v>265</v>
      </c>
      <c r="M2985" s="2">
        <v>89.805700000000002</v>
      </c>
      <c r="N2985" s="2">
        <v>326</v>
      </c>
      <c r="O2985" s="2">
        <v>88.643600000000006</v>
      </c>
      <c r="P2985" s="2">
        <v>331</v>
      </c>
      <c r="Q2985" s="2">
        <v>102.4147</v>
      </c>
      <c r="R2985" s="2">
        <v>192</v>
      </c>
      <c r="S2985" s="2">
        <v>104.9641</v>
      </c>
      <c r="T2985" s="2">
        <v>248</v>
      </c>
      <c r="U2985" s="2">
        <v>0.12527099999999999</v>
      </c>
      <c r="V2985" s="2">
        <v>319</v>
      </c>
      <c r="W2985" s="2">
        <v>2010</v>
      </c>
    </row>
    <row r="2986" spans="1:23" ht="12.3" hidden="1" x14ac:dyDescent="0.4">
      <c r="A2986" s="2" t="s">
        <v>374</v>
      </c>
      <c r="B2986" s="2"/>
      <c r="C2986" s="2"/>
      <c r="D2986" s="2"/>
      <c r="E2986" s="2"/>
      <c r="F2986" s="2"/>
      <c r="G2986" s="2"/>
      <c r="H2986" s="2"/>
      <c r="I2986" s="2">
        <v>74.549800000000005</v>
      </c>
      <c r="J2986" s="2">
        <v>7</v>
      </c>
      <c r="K2986" s="2">
        <v>74.000799999999998</v>
      </c>
      <c r="L2986" s="2">
        <v>9</v>
      </c>
      <c r="M2986" s="2">
        <v>94.760099999999994</v>
      </c>
      <c r="N2986" s="2">
        <v>281</v>
      </c>
      <c r="O2986" s="2">
        <v>93.947500000000005</v>
      </c>
      <c r="P2986" s="2">
        <v>288</v>
      </c>
      <c r="Q2986" s="2">
        <v>104.6785</v>
      </c>
      <c r="R2986" s="2">
        <v>255</v>
      </c>
      <c r="S2986" s="2">
        <v>111.5598</v>
      </c>
      <c r="T2986" s="2">
        <v>338</v>
      </c>
      <c r="U2986" s="2">
        <v>0.12174699999999999</v>
      </c>
      <c r="V2986" s="2">
        <v>320</v>
      </c>
      <c r="W2986" s="2">
        <v>2010</v>
      </c>
    </row>
    <row r="2987" spans="1:23" ht="12.3" hidden="1" x14ac:dyDescent="0.4">
      <c r="A2987" s="2" t="s">
        <v>321</v>
      </c>
      <c r="B2987" s="2"/>
      <c r="C2987" s="2"/>
      <c r="D2987" s="2"/>
      <c r="E2987" s="2"/>
      <c r="F2987" s="2"/>
      <c r="G2987" s="2"/>
      <c r="H2987" s="2"/>
      <c r="I2987" s="2">
        <v>65.701700000000002</v>
      </c>
      <c r="J2987" s="2">
        <v>251</v>
      </c>
      <c r="K2987" s="2">
        <v>66.302599999999998</v>
      </c>
      <c r="L2987" s="2">
        <v>218</v>
      </c>
      <c r="M2987" s="2">
        <v>92.245900000000006</v>
      </c>
      <c r="N2987" s="2">
        <v>313</v>
      </c>
      <c r="O2987" s="2">
        <v>91.400700000000001</v>
      </c>
      <c r="P2987" s="2">
        <v>308</v>
      </c>
      <c r="Q2987" s="2">
        <v>104.86620000000001</v>
      </c>
      <c r="R2987" s="2">
        <v>258</v>
      </c>
      <c r="S2987" s="2">
        <v>108.6544</v>
      </c>
      <c r="T2987" s="2">
        <v>299</v>
      </c>
      <c r="U2987" s="2">
        <v>0.120409</v>
      </c>
      <c r="V2987" s="2">
        <v>321</v>
      </c>
      <c r="W2987" s="2">
        <v>2010</v>
      </c>
    </row>
    <row r="2988" spans="1:23" ht="12.3" hidden="1" x14ac:dyDescent="0.4">
      <c r="A2988" s="2" t="s">
        <v>202</v>
      </c>
      <c r="B2988" s="2"/>
      <c r="C2988" s="2"/>
      <c r="D2988" s="2"/>
      <c r="E2988" s="2"/>
      <c r="F2988" s="2"/>
      <c r="G2988" s="2"/>
      <c r="H2988" s="2"/>
      <c r="I2988" s="2">
        <v>67.848600000000005</v>
      </c>
      <c r="J2988" s="2">
        <v>141</v>
      </c>
      <c r="K2988" s="2">
        <v>67.877200000000002</v>
      </c>
      <c r="L2988" s="2">
        <v>141</v>
      </c>
      <c r="M2988" s="2">
        <v>89.064400000000006</v>
      </c>
      <c r="N2988" s="2">
        <v>330</v>
      </c>
      <c r="O2988" s="2">
        <v>88.148799999999994</v>
      </c>
      <c r="P2988" s="2">
        <v>333</v>
      </c>
      <c r="Q2988" s="2">
        <v>103.63249999999999</v>
      </c>
      <c r="R2988" s="2">
        <v>235</v>
      </c>
      <c r="S2988" s="2">
        <v>105.6947</v>
      </c>
      <c r="T2988" s="2">
        <v>258</v>
      </c>
      <c r="U2988" s="2">
        <v>0.11031000000000001</v>
      </c>
      <c r="V2988" s="2">
        <v>322</v>
      </c>
      <c r="W2988" s="2">
        <v>2010</v>
      </c>
    </row>
    <row r="2989" spans="1:23" ht="12.3" hidden="1" x14ac:dyDescent="0.4">
      <c r="A2989" s="2" t="s">
        <v>211</v>
      </c>
      <c r="B2989" s="2" t="e">
        <v>#N/A</v>
      </c>
      <c r="C2989" s="2"/>
      <c r="D2989" s="2"/>
      <c r="E2989" s="2"/>
      <c r="F2989" s="2"/>
      <c r="G2989" s="2"/>
      <c r="H2989" s="2"/>
      <c r="I2989" s="2">
        <v>73.058099999999996</v>
      </c>
      <c r="J2989" s="2">
        <v>15</v>
      </c>
      <c r="K2989" s="2">
        <v>71.460300000000004</v>
      </c>
      <c r="L2989" s="2">
        <v>27</v>
      </c>
      <c r="M2989" s="2">
        <v>90.518900000000002</v>
      </c>
      <c r="N2989" s="2">
        <v>319</v>
      </c>
      <c r="O2989" s="2">
        <v>91.305899999999994</v>
      </c>
      <c r="P2989" s="2">
        <v>309</v>
      </c>
      <c r="Q2989" s="2">
        <v>108.43859999999999</v>
      </c>
      <c r="R2989" s="2">
        <v>319</v>
      </c>
      <c r="S2989" s="2">
        <v>109.5368</v>
      </c>
      <c r="T2989" s="2">
        <v>312</v>
      </c>
      <c r="U2989" s="2">
        <v>0.10972700000000001</v>
      </c>
      <c r="V2989" s="2">
        <v>323</v>
      </c>
      <c r="W2989" s="2">
        <v>2010</v>
      </c>
    </row>
    <row r="2990" spans="1:23" ht="12.3" hidden="1" x14ac:dyDescent="0.4">
      <c r="A2990" s="2" t="s">
        <v>237</v>
      </c>
      <c r="B2990" s="2"/>
      <c r="C2990" s="2"/>
      <c r="D2990" s="2"/>
      <c r="E2990" s="2"/>
      <c r="F2990" s="2"/>
      <c r="G2990" s="2"/>
      <c r="H2990" s="2"/>
      <c r="I2990" s="2">
        <v>67.965699999999998</v>
      </c>
      <c r="J2990" s="2">
        <v>137</v>
      </c>
      <c r="K2990" s="2">
        <v>68.161600000000007</v>
      </c>
      <c r="L2990" s="2">
        <v>129</v>
      </c>
      <c r="M2990" s="2">
        <v>89.866799999999998</v>
      </c>
      <c r="N2990" s="2">
        <v>325</v>
      </c>
      <c r="O2990" s="2">
        <v>89.3108</v>
      </c>
      <c r="P2990" s="2">
        <v>326</v>
      </c>
      <c r="Q2990" s="2">
        <v>108.0715</v>
      </c>
      <c r="R2990" s="2">
        <v>312</v>
      </c>
      <c r="S2990" s="2">
        <v>107.47190000000001</v>
      </c>
      <c r="T2990" s="2">
        <v>288</v>
      </c>
      <c r="U2990" s="2">
        <v>0.106336</v>
      </c>
      <c r="V2990" s="2">
        <v>324</v>
      </c>
      <c r="W2990" s="2">
        <v>2010</v>
      </c>
    </row>
    <row r="2991" spans="1:23" ht="12.3" hidden="1" x14ac:dyDescent="0.4">
      <c r="A2991" s="2" t="s">
        <v>299</v>
      </c>
      <c r="B2991" s="2"/>
      <c r="C2991" s="2"/>
      <c r="D2991" s="2"/>
      <c r="E2991" s="2"/>
      <c r="F2991" s="2"/>
      <c r="G2991" s="2"/>
      <c r="H2991" s="2"/>
      <c r="I2991" s="2">
        <v>69.574299999999994</v>
      </c>
      <c r="J2991" s="2">
        <v>74</v>
      </c>
      <c r="K2991" s="2">
        <v>68.483900000000006</v>
      </c>
      <c r="L2991" s="2">
        <v>112</v>
      </c>
      <c r="M2991" s="2">
        <v>90.004199999999997</v>
      </c>
      <c r="N2991" s="2">
        <v>324</v>
      </c>
      <c r="O2991" s="2">
        <v>91.559600000000003</v>
      </c>
      <c r="P2991" s="2">
        <v>307</v>
      </c>
      <c r="Q2991" s="2">
        <v>104.35339999999999</v>
      </c>
      <c r="R2991" s="2">
        <v>252</v>
      </c>
      <c r="S2991" s="2">
        <v>110.2003</v>
      </c>
      <c r="T2991" s="2">
        <v>325</v>
      </c>
      <c r="U2991" s="2">
        <v>0.106114</v>
      </c>
      <c r="V2991" s="2">
        <v>325</v>
      </c>
      <c r="W2991" s="2">
        <v>2010</v>
      </c>
    </row>
    <row r="2992" spans="1:23" ht="12.3" hidden="1" x14ac:dyDescent="0.4">
      <c r="A2992" s="2" t="s">
        <v>272</v>
      </c>
      <c r="B2992" s="2"/>
      <c r="C2992" s="2"/>
      <c r="D2992" s="2"/>
      <c r="E2992" s="2"/>
      <c r="F2992" s="2"/>
      <c r="G2992" s="2"/>
      <c r="H2992" s="2"/>
      <c r="I2992" s="2">
        <v>72.243499999999997</v>
      </c>
      <c r="J2992" s="2">
        <v>21</v>
      </c>
      <c r="K2992" s="2">
        <v>70.827799999999996</v>
      </c>
      <c r="L2992" s="2">
        <v>33</v>
      </c>
      <c r="M2992" s="2">
        <v>88.025300000000001</v>
      </c>
      <c r="N2992" s="2">
        <v>333</v>
      </c>
      <c r="O2992" s="2">
        <v>87.830100000000002</v>
      </c>
      <c r="P2992" s="2">
        <v>334</v>
      </c>
      <c r="Q2992" s="2">
        <v>96.770200000000003</v>
      </c>
      <c r="R2992" s="2">
        <v>76</v>
      </c>
      <c r="S2992" s="2">
        <v>105.93510000000001</v>
      </c>
      <c r="T2992" s="2">
        <v>267</v>
      </c>
      <c r="U2992" s="2">
        <v>0.10383100000000001</v>
      </c>
      <c r="V2992" s="2">
        <v>326</v>
      </c>
      <c r="W2992" s="2">
        <v>2010</v>
      </c>
    </row>
    <row r="2993" spans="1:23" ht="12.3" hidden="1" x14ac:dyDescent="0.4">
      <c r="A2993" s="2" t="s">
        <v>368</v>
      </c>
      <c r="B2993" s="2" t="e">
        <v>#N/A</v>
      </c>
      <c r="C2993" s="2"/>
      <c r="D2993" s="2"/>
      <c r="E2993" s="2"/>
      <c r="F2993" s="2"/>
      <c r="G2993" s="2"/>
      <c r="H2993" s="2"/>
      <c r="I2993" s="2">
        <v>65.802099999999996</v>
      </c>
      <c r="J2993" s="2">
        <v>246</v>
      </c>
      <c r="K2993" s="2">
        <v>63.843699999999998</v>
      </c>
      <c r="L2993" s="2">
        <v>301</v>
      </c>
      <c r="M2993" s="2">
        <v>89.483999999999995</v>
      </c>
      <c r="N2993" s="2">
        <v>328</v>
      </c>
      <c r="O2993" s="2">
        <v>89.988600000000005</v>
      </c>
      <c r="P2993" s="2">
        <v>321</v>
      </c>
      <c r="Q2993" s="2">
        <v>110.40470000000001</v>
      </c>
      <c r="R2993" s="2">
        <v>336</v>
      </c>
      <c r="S2993" s="2">
        <v>108.9987</v>
      </c>
      <c r="T2993" s="2">
        <v>305</v>
      </c>
      <c r="U2993" s="2">
        <v>9.9391999999999994E-2</v>
      </c>
      <c r="V2993" s="2">
        <v>327</v>
      </c>
      <c r="W2993" s="2">
        <v>2010</v>
      </c>
    </row>
    <row r="2994" spans="1:23" ht="12.3" hidden="1" x14ac:dyDescent="0.4">
      <c r="A2994" s="2" t="s">
        <v>341</v>
      </c>
      <c r="B2994" s="2" t="e">
        <v>#N/A</v>
      </c>
      <c r="C2994" s="2"/>
      <c r="D2994" s="2"/>
      <c r="E2994" s="2"/>
      <c r="F2994" s="2"/>
      <c r="G2994" s="2"/>
      <c r="H2994" s="2"/>
      <c r="I2994" s="2">
        <v>65.719700000000003</v>
      </c>
      <c r="J2994" s="2">
        <v>250</v>
      </c>
      <c r="K2994" s="2">
        <v>65.859300000000005</v>
      </c>
      <c r="L2994" s="2">
        <v>235</v>
      </c>
      <c r="M2994" s="2">
        <v>90.329599999999999</v>
      </c>
      <c r="N2994" s="2">
        <v>321</v>
      </c>
      <c r="O2994" s="2">
        <v>88.621600000000001</v>
      </c>
      <c r="P2994" s="2">
        <v>332</v>
      </c>
      <c r="Q2994" s="2">
        <v>103.3897</v>
      </c>
      <c r="R2994" s="2">
        <v>222</v>
      </c>
      <c r="S2994" s="2">
        <v>107.3459</v>
      </c>
      <c r="T2994" s="2">
        <v>283</v>
      </c>
      <c r="U2994" s="2">
        <v>9.9363000000000007E-2</v>
      </c>
      <c r="V2994" s="2">
        <v>328</v>
      </c>
      <c r="W2994" s="2">
        <v>2010</v>
      </c>
    </row>
    <row r="2995" spans="1:23" ht="12.3" hidden="1" x14ac:dyDescent="0.4">
      <c r="A2995" s="2" t="s">
        <v>298</v>
      </c>
      <c r="B2995" s="2"/>
      <c r="C2995" s="2"/>
      <c r="D2995" s="2"/>
      <c r="E2995" s="2"/>
      <c r="F2995" s="2"/>
      <c r="G2995" s="2"/>
      <c r="H2995" s="2"/>
      <c r="I2995" s="2">
        <v>66.682900000000004</v>
      </c>
      <c r="J2995" s="2">
        <v>208</v>
      </c>
      <c r="K2995" s="2">
        <v>67.156499999999994</v>
      </c>
      <c r="L2995" s="2">
        <v>179</v>
      </c>
      <c r="M2995" s="2">
        <v>88.153199999999998</v>
      </c>
      <c r="N2995" s="2">
        <v>332</v>
      </c>
      <c r="O2995" s="2">
        <v>90.713899999999995</v>
      </c>
      <c r="P2995" s="2">
        <v>316</v>
      </c>
      <c r="Q2995" s="2">
        <v>109.1151</v>
      </c>
      <c r="R2995" s="2">
        <v>320</v>
      </c>
      <c r="S2995" s="2">
        <v>109.91200000000001</v>
      </c>
      <c r="T2995" s="2">
        <v>318</v>
      </c>
      <c r="U2995" s="2">
        <v>9.9065E-2</v>
      </c>
      <c r="V2995" s="2">
        <v>329</v>
      </c>
      <c r="W2995" s="2">
        <v>2010</v>
      </c>
    </row>
    <row r="2996" spans="1:23" ht="12.3" hidden="1" x14ac:dyDescent="0.4">
      <c r="A2996" s="2" t="s">
        <v>365</v>
      </c>
      <c r="B2996" s="2" t="e">
        <v>#N/A</v>
      </c>
      <c r="C2996" s="2"/>
      <c r="D2996" s="2"/>
      <c r="E2996" s="2"/>
      <c r="F2996" s="2"/>
      <c r="G2996" s="2"/>
      <c r="H2996" s="2"/>
      <c r="I2996" s="2">
        <v>68.357500000000002</v>
      </c>
      <c r="J2996" s="2">
        <v>126</v>
      </c>
      <c r="K2996" s="2">
        <v>67.701700000000002</v>
      </c>
      <c r="L2996" s="2">
        <v>150</v>
      </c>
      <c r="M2996" s="2">
        <v>86.144300000000001</v>
      </c>
      <c r="N2996" s="2">
        <v>342</v>
      </c>
      <c r="O2996" s="2">
        <v>87.256500000000003</v>
      </c>
      <c r="P2996" s="2">
        <v>338</v>
      </c>
      <c r="Q2996" s="2">
        <v>103.8916</v>
      </c>
      <c r="R2996" s="2">
        <v>241</v>
      </c>
      <c r="S2996" s="2">
        <v>105.8545</v>
      </c>
      <c r="T2996" s="2">
        <v>262</v>
      </c>
      <c r="U2996" s="2">
        <v>9.7796999999999995E-2</v>
      </c>
      <c r="V2996" s="2">
        <v>330</v>
      </c>
      <c r="W2996" s="2">
        <v>2010</v>
      </c>
    </row>
    <row r="2997" spans="1:23" ht="12.3" hidden="1" x14ac:dyDescent="0.4">
      <c r="A2997" s="2" t="s">
        <v>372</v>
      </c>
      <c r="B2997" s="2" t="e">
        <v>#N/A</v>
      </c>
      <c r="C2997" s="2"/>
      <c r="D2997" s="2"/>
      <c r="E2997" s="2"/>
      <c r="F2997" s="2"/>
      <c r="G2997" s="2"/>
      <c r="H2997" s="2"/>
      <c r="I2997" s="2">
        <v>64.960400000000007</v>
      </c>
      <c r="J2997" s="2">
        <v>269</v>
      </c>
      <c r="K2997" s="2">
        <v>62.538899999999998</v>
      </c>
      <c r="L2997" s="2">
        <v>323</v>
      </c>
      <c r="M2997" s="2">
        <v>93.232399999999998</v>
      </c>
      <c r="N2997" s="2">
        <v>301</v>
      </c>
      <c r="O2997" s="2">
        <v>88.786500000000004</v>
      </c>
      <c r="P2997" s="2">
        <v>329</v>
      </c>
      <c r="Q2997" s="2">
        <v>102.0578</v>
      </c>
      <c r="R2997" s="2">
        <v>183</v>
      </c>
      <c r="S2997" s="2">
        <v>107.8295</v>
      </c>
      <c r="T2997" s="2">
        <v>292</v>
      </c>
      <c r="U2997" s="2">
        <v>9.6682000000000004E-2</v>
      </c>
      <c r="V2997" s="2">
        <v>331</v>
      </c>
      <c r="W2997" s="2">
        <v>2010</v>
      </c>
    </row>
    <row r="2998" spans="1:23" ht="12.3" hidden="1" x14ac:dyDescent="0.4">
      <c r="A2998" s="2" t="s">
        <v>186</v>
      </c>
      <c r="B2998" s="2"/>
      <c r="C2998" s="2"/>
      <c r="D2998" s="2"/>
      <c r="E2998" s="2"/>
      <c r="F2998" s="2"/>
      <c r="G2998" s="2"/>
      <c r="H2998" s="2"/>
      <c r="I2998" s="2">
        <v>61.642699999999998</v>
      </c>
      <c r="J2998" s="2">
        <v>334</v>
      </c>
      <c r="K2998" s="2">
        <v>61.259</v>
      </c>
      <c r="L2998" s="2">
        <v>333</v>
      </c>
      <c r="M2998" s="2">
        <v>87.06</v>
      </c>
      <c r="N2998" s="2">
        <v>339</v>
      </c>
      <c r="O2998" s="2">
        <v>87.121399999999994</v>
      </c>
      <c r="P2998" s="2">
        <v>339</v>
      </c>
      <c r="Q2998" s="2">
        <v>109.16889999999999</v>
      </c>
      <c r="R2998" s="2">
        <v>324</v>
      </c>
      <c r="S2998" s="2">
        <v>105.8467</v>
      </c>
      <c r="T2998" s="2">
        <v>260</v>
      </c>
      <c r="U2998" s="2">
        <v>9.6309000000000006E-2</v>
      </c>
      <c r="V2998" s="2">
        <v>332</v>
      </c>
      <c r="W2998" s="2">
        <v>2010</v>
      </c>
    </row>
    <row r="2999" spans="1:23" ht="12.3" hidden="1" x14ac:dyDescent="0.4">
      <c r="A2999" s="2" t="s">
        <v>301</v>
      </c>
      <c r="B2999" s="2" t="e">
        <v>#N/A</v>
      </c>
      <c r="C2999" s="2"/>
      <c r="D2999" s="2"/>
      <c r="E2999" s="2"/>
      <c r="F2999" s="2"/>
      <c r="G2999" s="2"/>
      <c r="H2999" s="2"/>
      <c r="I2999" s="2">
        <v>67.945700000000002</v>
      </c>
      <c r="J2999" s="2">
        <v>138</v>
      </c>
      <c r="K2999" s="2">
        <v>68.403800000000004</v>
      </c>
      <c r="L2999" s="2">
        <v>117</v>
      </c>
      <c r="M2999" s="2">
        <v>92.481899999999996</v>
      </c>
      <c r="N2999" s="2">
        <v>310</v>
      </c>
      <c r="O2999" s="2">
        <v>93.44</v>
      </c>
      <c r="P2999" s="2">
        <v>291</v>
      </c>
      <c r="Q2999" s="2">
        <v>107.68340000000001</v>
      </c>
      <c r="R2999" s="2">
        <v>306</v>
      </c>
      <c r="S2999" s="2">
        <v>113.5744</v>
      </c>
      <c r="T2999" s="2">
        <v>344</v>
      </c>
      <c r="U2999" s="2">
        <v>9.5860000000000001E-2</v>
      </c>
      <c r="V2999" s="2">
        <v>333</v>
      </c>
      <c r="W2999" s="2">
        <v>2010</v>
      </c>
    </row>
    <row r="3000" spans="1:23" ht="12.3" hidden="1" x14ac:dyDescent="0.4">
      <c r="A3000" s="2" t="s">
        <v>242</v>
      </c>
      <c r="B3000" s="2" t="e">
        <v>#N/A</v>
      </c>
      <c r="C3000" s="2"/>
      <c r="D3000" s="2"/>
      <c r="E3000" s="2"/>
      <c r="F3000" s="2"/>
      <c r="G3000" s="2"/>
      <c r="H3000" s="2"/>
      <c r="I3000" s="2">
        <v>65.786799999999999</v>
      </c>
      <c r="J3000" s="2">
        <v>247</v>
      </c>
      <c r="K3000" s="2">
        <v>65.775899999999993</v>
      </c>
      <c r="L3000" s="2">
        <v>241</v>
      </c>
      <c r="M3000" s="2">
        <v>87.895799999999994</v>
      </c>
      <c r="N3000" s="2">
        <v>334</v>
      </c>
      <c r="O3000" s="2">
        <v>87.616</v>
      </c>
      <c r="P3000" s="2">
        <v>336</v>
      </c>
      <c r="Q3000" s="2">
        <v>106.0685</v>
      </c>
      <c r="R3000" s="2">
        <v>285</v>
      </c>
      <c r="S3000" s="2">
        <v>107.8807</v>
      </c>
      <c r="T3000" s="2">
        <v>293</v>
      </c>
      <c r="U3000" s="2">
        <v>8.3729999999999999E-2</v>
      </c>
      <c r="V3000" s="2">
        <v>334</v>
      </c>
      <c r="W3000" s="2">
        <v>2010</v>
      </c>
    </row>
    <row r="3001" spans="1:23" ht="12.3" hidden="1" x14ac:dyDescent="0.4">
      <c r="A3001" s="2" t="s">
        <v>366</v>
      </c>
      <c r="B3001" s="2" t="e">
        <v>#N/A</v>
      </c>
      <c r="C3001" s="2"/>
      <c r="D3001" s="2"/>
      <c r="E3001" s="2"/>
      <c r="F3001" s="2"/>
      <c r="G3001" s="2"/>
      <c r="H3001" s="2"/>
      <c r="I3001" s="2">
        <v>68.800399999999996</v>
      </c>
      <c r="J3001" s="2">
        <v>99</v>
      </c>
      <c r="K3001" s="2">
        <v>67.793899999999994</v>
      </c>
      <c r="L3001" s="2">
        <v>145</v>
      </c>
      <c r="M3001" s="2">
        <v>86.442700000000002</v>
      </c>
      <c r="N3001" s="2">
        <v>340</v>
      </c>
      <c r="O3001" s="2">
        <v>85.068100000000001</v>
      </c>
      <c r="P3001" s="2">
        <v>342</v>
      </c>
      <c r="Q3001" s="2">
        <v>101.14279999999999</v>
      </c>
      <c r="R3001" s="2">
        <v>169</v>
      </c>
      <c r="S3001" s="2">
        <v>104.9272</v>
      </c>
      <c r="T3001" s="2">
        <v>247</v>
      </c>
      <c r="U3001" s="2">
        <v>8.2197000000000006E-2</v>
      </c>
      <c r="V3001" s="2">
        <v>335</v>
      </c>
      <c r="W3001" s="2">
        <v>2010</v>
      </c>
    </row>
    <row r="3002" spans="1:23" ht="12.3" hidden="1" x14ac:dyDescent="0.4">
      <c r="A3002" s="2" t="s">
        <v>280</v>
      </c>
      <c r="B3002" s="2" t="e">
        <v>#N/A</v>
      </c>
      <c r="C3002" s="2"/>
      <c r="D3002" s="2"/>
      <c r="E3002" s="2"/>
      <c r="F3002" s="2"/>
      <c r="G3002" s="2"/>
      <c r="H3002" s="2"/>
      <c r="I3002" s="2">
        <v>71.002799999999993</v>
      </c>
      <c r="J3002" s="2">
        <v>36</v>
      </c>
      <c r="K3002" s="2">
        <v>70.822999999999993</v>
      </c>
      <c r="L3002" s="2">
        <v>34</v>
      </c>
      <c r="M3002" s="2">
        <v>89.488299999999995</v>
      </c>
      <c r="N3002" s="2">
        <v>327</v>
      </c>
      <c r="O3002" s="2">
        <v>89.413799999999995</v>
      </c>
      <c r="P3002" s="2">
        <v>324</v>
      </c>
      <c r="Q3002" s="2">
        <v>109.1307</v>
      </c>
      <c r="R3002" s="2">
        <v>321</v>
      </c>
      <c r="S3002" s="2">
        <v>110.6872</v>
      </c>
      <c r="T3002" s="2">
        <v>329</v>
      </c>
      <c r="U3002" s="2">
        <v>7.9111000000000001E-2</v>
      </c>
      <c r="V3002" s="2">
        <v>336</v>
      </c>
      <c r="W3002" s="2">
        <v>2010</v>
      </c>
    </row>
    <row r="3003" spans="1:23" ht="12.3" hidden="1" x14ac:dyDescent="0.4">
      <c r="A3003" s="2" t="s">
        <v>143</v>
      </c>
      <c r="B3003" s="2" t="e">
        <v>#N/A</v>
      </c>
      <c r="C3003" s="2"/>
      <c r="D3003" s="2"/>
      <c r="E3003" s="2"/>
      <c r="F3003" s="2"/>
      <c r="G3003" s="2"/>
      <c r="H3003" s="2"/>
      <c r="I3003" s="2">
        <v>64.052800000000005</v>
      </c>
      <c r="J3003" s="2">
        <v>297</v>
      </c>
      <c r="K3003" s="2">
        <v>64.096000000000004</v>
      </c>
      <c r="L3003" s="2">
        <v>296</v>
      </c>
      <c r="M3003" s="2">
        <v>87.629000000000005</v>
      </c>
      <c r="N3003" s="2">
        <v>337</v>
      </c>
      <c r="O3003" s="2">
        <v>89.875900000000001</v>
      </c>
      <c r="P3003" s="2">
        <v>322</v>
      </c>
      <c r="Q3003" s="2">
        <v>110.1696</v>
      </c>
      <c r="R3003" s="2">
        <v>332</v>
      </c>
      <c r="S3003" s="2">
        <v>111.3961</v>
      </c>
      <c r="T3003" s="2">
        <v>336</v>
      </c>
      <c r="U3003" s="2">
        <v>7.8088000000000005E-2</v>
      </c>
      <c r="V3003" s="2">
        <v>337</v>
      </c>
      <c r="W3003" s="2">
        <v>2010</v>
      </c>
    </row>
    <row r="3004" spans="1:23" ht="12.3" hidden="1" x14ac:dyDescent="0.4">
      <c r="A3004" s="2" t="s">
        <v>371</v>
      </c>
      <c r="B3004" s="2" t="e">
        <v>#N/A</v>
      </c>
      <c r="C3004" s="2"/>
      <c r="D3004" s="2"/>
      <c r="E3004" s="2"/>
      <c r="F3004" s="2"/>
      <c r="G3004" s="2"/>
      <c r="H3004" s="2"/>
      <c r="I3004" s="2">
        <v>67.665700000000001</v>
      </c>
      <c r="J3004" s="2">
        <v>155</v>
      </c>
      <c r="K3004" s="2">
        <v>67.885499999999993</v>
      </c>
      <c r="L3004" s="2">
        <v>140</v>
      </c>
      <c r="M3004" s="2">
        <v>83.453000000000003</v>
      </c>
      <c r="N3004" s="2">
        <v>344</v>
      </c>
      <c r="O3004" s="2">
        <v>85.312899999999999</v>
      </c>
      <c r="P3004" s="2">
        <v>340</v>
      </c>
      <c r="Q3004" s="2">
        <v>105.6468</v>
      </c>
      <c r="R3004" s="2">
        <v>275</v>
      </c>
      <c r="S3004" s="2">
        <v>105.8532</v>
      </c>
      <c r="T3004" s="2">
        <v>261</v>
      </c>
      <c r="U3004" s="2">
        <v>7.7211000000000002E-2</v>
      </c>
      <c r="V3004" s="2">
        <v>338</v>
      </c>
      <c r="W3004" s="2">
        <v>2010</v>
      </c>
    </row>
    <row r="3005" spans="1:23" ht="12.3" hidden="1" x14ac:dyDescent="0.4">
      <c r="A3005" s="2" t="s">
        <v>215</v>
      </c>
      <c r="B3005" s="2" t="e">
        <v>#N/A</v>
      </c>
      <c r="C3005" s="2"/>
      <c r="D3005" s="2"/>
      <c r="E3005" s="2"/>
      <c r="F3005" s="2"/>
      <c r="G3005" s="2"/>
      <c r="H3005" s="2"/>
      <c r="I3005" s="2">
        <v>67.070800000000006</v>
      </c>
      <c r="J3005" s="2">
        <v>185</v>
      </c>
      <c r="K3005" s="2">
        <v>66.518699999999995</v>
      </c>
      <c r="L3005" s="2">
        <v>210</v>
      </c>
      <c r="M3005" s="2">
        <v>90.019599999999997</v>
      </c>
      <c r="N3005" s="2">
        <v>323</v>
      </c>
      <c r="O3005" s="2">
        <v>89.008499999999998</v>
      </c>
      <c r="P3005" s="2">
        <v>328</v>
      </c>
      <c r="Q3005" s="2">
        <v>103.4975</v>
      </c>
      <c r="R3005" s="2">
        <v>228</v>
      </c>
      <c r="S3005" s="2">
        <v>110.8899</v>
      </c>
      <c r="T3005" s="2">
        <v>330</v>
      </c>
      <c r="U3005" s="2">
        <v>7.3934E-2</v>
      </c>
      <c r="V3005" s="2">
        <v>339</v>
      </c>
      <c r="W3005" s="2">
        <v>2010</v>
      </c>
    </row>
    <row r="3006" spans="1:23" ht="12.3" hidden="1" x14ac:dyDescent="0.4">
      <c r="A3006" s="2" t="s">
        <v>373</v>
      </c>
      <c r="B3006" s="2" t="e">
        <v>#N/A</v>
      </c>
      <c r="C3006" s="2"/>
      <c r="D3006" s="2"/>
      <c r="E3006" s="2"/>
      <c r="F3006" s="2"/>
      <c r="G3006" s="2"/>
      <c r="H3006" s="2"/>
      <c r="I3006" s="2">
        <v>69.142799999999994</v>
      </c>
      <c r="J3006" s="2">
        <v>86</v>
      </c>
      <c r="K3006" s="2">
        <v>68.638599999999997</v>
      </c>
      <c r="L3006" s="2">
        <v>105</v>
      </c>
      <c r="M3006" s="2">
        <v>87.602800000000002</v>
      </c>
      <c r="N3006" s="2">
        <v>338</v>
      </c>
      <c r="O3006" s="2">
        <v>87.396900000000002</v>
      </c>
      <c r="P3006" s="2">
        <v>337</v>
      </c>
      <c r="Q3006" s="2">
        <v>109.9778</v>
      </c>
      <c r="R3006" s="2">
        <v>329</v>
      </c>
      <c r="S3006" s="2">
        <v>109.91889999999999</v>
      </c>
      <c r="T3006" s="2">
        <v>319</v>
      </c>
      <c r="U3006" s="2">
        <v>6.6810999999999995E-2</v>
      </c>
      <c r="V3006" s="2">
        <v>340</v>
      </c>
      <c r="W3006" s="2">
        <v>2010</v>
      </c>
    </row>
    <row r="3007" spans="1:23" ht="12.3" hidden="1" x14ac:dyDescent="0.4">
      <c r="A3007" s="2" t="s">
        <v>348</v>
      </c>
      <c r="B3007" s="2" t="e">
        <v>#N/A</v>
      </c>
      <c r="C3007" s="2"/>
      <c r="D3007" s="2"/>
      <c r="E3007" s="2"/>
      <c r="F3007" s="2"/>
      <c r="G3007" s="2"/>
      <c r="H3007" s="2"/>
      <c r="I3007" s="2">
        <v>68.502700000000004</v>
      </c>
      <c r="J3007" s="2">
        <v>119</v>
      </c>
      <c r="K3007" s="2">
        <v>68.370599999999996</v>
      </c>
      <c r="L3007" s="2">
        <v>122</v>
      </c>
      <c r="M3007" s="2">
        <v>86.331800000000001</v>
      </c>
      <c r="N3007" s="2">
        <v>341</v>
      </c>
      <c r="O3007" s="2">
        <v>85.259200000000007</v>
      </c>
      <c r="P3007" s="2">
        <v>341</v>
      </c>
      <c r="Q3007" s="2">
        <v>103.9675</v>
      </c>
      <c r="R3007" s="2">
        <v>243</v>
      </c>
      <c r="S3007" s="2">
        <v>108.0093</v>
      </c>
      <c r="T3007" s="2">
        <v>294</v>
      </c>
      <c r="U3007" s="2">
        <v>6.1803999999999998E-2</v>
      </c>
      <c r="V3007" s="2">
        <v>341</v>
      </c>
      <c r="W3007" s="2">
        <v>2010</v>
      </c>
    </row>
    <row r="3008" spans="1:23" ht="12.3" hidden="1" x14ac:dyDescent="0.4">
      <c r="A3008" s="2" t="s">
        <v>329</v>
      </c>
      <c r="B3008" s="2" t="e">
        <v>#N/A</v>
      </c>
      <c r="C3008" s="2"/>
      <c r="D3008" s="2"/>
      <c r="E3008" s="2"/>
      <c r="F3008" s="2"/>
      <c r="G3008" s="2"/>
      <c r="H3008" s="2"/>
      <c r="I3008" s="2">
        <v>69.884399999999999</v>
      </c>
      <c r="J3008" s="2">
        <v>69</v>
      </c>
      <c r="K3008" s="2">
        <v>69.135999999999996</v>
      </c>
      <c r="L3008" s="2">
        <v>82</v>
      </c>
      <c r="M3008" s="2">
        <v>89.388499999999993</v>
      </c>
      <c r="N3008" s="2">
        <v>329</v>
      </c>
      <c r="O3008" s="2">
        <v>89.094099999999997</v>
      </c>
      <c r="P3008" s="2">
        <v>327</v>
      </c>
      <c r="Q3008" s="2">
        <v>104.0676</v>
      </c>
      <c r="R3008" s="2">
        <v>246</v>
      </c>
      <c r="S3008" s="2">
        <v>113.01139999999999</v>
      </c>
      <c r="T3008" s="2">
        <v>342</v>
      </c>
      <c r="U3008" s="2">
        <v>6.096E-2</v>
      </c>
      <c r="V3008" s="2">
        <v>342</v>
      </c>
      <c r="W3008" s="2">
        <v>2010</v>
      </c>
    </row>
    <row r="3009" spans="1:23" ht="12.3" hidden="1" x14ac:dyDescent="0.4">
      <c r="A3009" s="2" t="s">
        <v>378</v>
      </c>
      <c r="B3009" s="2" t="e">
        <v>#N/A</v>
      </c>
      <c r="C3009" s="2"/>
      <c r="D3009" s="2"/>
      <c r="E3009" s="2"/>
      <c r="F3009" s="2"/>
      <c r="G3009" s="2"/>
      <c r="H3009" s="2"/>
      <c r="I3009" s="2">
        <v>66.238299999999995</v>
      </c>
      <c r="J3009" s="2">
        <v>229</v>
      </c>
      <c r="K3009" s="2">
        <v>65.511200000000002</v>
      </c>
      <c r="L3009" s="2">
        <v>251</v>
      </c>
      <c r="M3009" s="2">
        <v>92.586200000000005</v>
      </c>
      <c r="N3009" s="2">
        <v>308</v>
      </c>
      <c r="O3009" s="2">
        <v>94.336100000000002</v>
      </c>
      <c r="P3009" s="2">
        <v>284</v>
      </c>
      <c r="Q3009" s="2">
        <v>109.21259999999999</v>
      </c>
      <c r="R3009" s="2">
        <v>326</v>
      </c>
      <c r="S3009" s="2">
        <v>120.4359</v>
      </c>
      <c r="T3009" s="2">
        <v>347</v>
      </c>
      <c r="U3009" s="2">
        <v>5.6843999999999999E-2</v>
      </c>
      <c r="V3009" s="2">
        <v>343</v>
      </c>
      <c r="W3009" s="2">
        <v>2010</v>
      </c>
    </row>
    <row r="3010" spans="1:23" ht="12.3" hidden="1" x14ac:dyDescent="0.4">
      <c r="A3010" s="2" t="s">
        <v>327</v>
      </c>
      <c r="B3010" s="2" t="e">
        <v>#N/A</v>
      </c>
      <c r="C3010" s="2"/>
      <c r="D3010" s="2"/>
      <c r="E3010" s="2"/>
      <c r="F3010" s="2"/>
      <c r="G3010" s="2"/>
      <c r="H3010" s="2"/>
      <c r="I3010" s="2">
        <v>63.85</v>
      </c>
      <c r="J3010" s="2">
        <v>303</v>
      </c>
      <c r="K3010" s="2">
        <v>64.835499999999996</v>
      </c>
      <c r="L3010" s="2">
        <v>276</v>
      </c>
      <c r="M3010" s="2">
        <v>83.088800000000006</v>
      </c>
      <c r="N3010" s="2">
        <v>345</v>
      </c>
      <c r="O3010" s="2">
        <v>82.202799999999996</v>
      </c>
      <c r="P3010" s="2">
        <v>345</v>
      </c>
      <c r="Q3010" s="2">
        <v>103.2856</v>
      </c>
      <c r="R3010" s="2">
        <v>220</v>
      </c>
      <c r="S3010" s="2">
        <v>105.3484</v>
      </c>
      <c r="T3010" s="2">
        <v>254</v>
      </c>
      <c r="U3010" s="2">
        <v>5.4529000000000001E-2</v>
      </c>
      <c r="V3010" s="2">
        <v>344</v>
      </c>
      <c r="W3010" s="2">
        <v>2010</v>
      </c>
    </row>
    <row r="3011" spans="1:23" ht="12.3" hidden="1" x14ac:dyDescent="0.4">
      <c r="A3011" s="2" t="s">
        <v>338</v>
      </c>
      <c r="B3011" s="2" t="e">
        <v>#N/A</v>
      </c>
      <c r="C3011" s="2"/>
      <c r="D3011" s="2"/>
      <c r="E3011" s="2"/>
      <c r="F3011" s="2"/>
      <c r="G3011" s="2"/>
      <c r="H3011" s="2"/>
      <c r="I3011" s="2">
        <v>70.453000000000003</v>
      </c>
      <c r="J3011" s="2">
        <v>50</v>
      </c>
      <c r="K3011" s="2">
        <v>70.074200000000005</v>
      </c>
      <c r="L3011" s="2">
        <v>54</v>
      </c>
      <c r="M3011" s="2">
        <v>84.235299999999995</v>
      </c>
      <c r="N3011" s="2">
        <v>343</v>
      </c>
      <c r="O3011" s="2">
        <v>83.096999999999994</v>
      </c>
      <c r="P3011" s="2">
        <v>344</v>
      </c>
      <c r="Q3011" s="2">
        <v>102.2119</v>
      </c>
      <c r="R3011" s="2">
        <v>187</v>
      </c>
      <c r="S3011" s="2">
        <v>108.7474</v>
      </c>
      <c r="T3011" s="2">
        <v>302</v>
      </c>
      <c r="U3011" s="2">
        <v>4.3367000000000003E-2</v>
      </c>
      <c r="V3011" s="2">
        <v>345</v>
      </c>
      <c r="W3011" s="2">
        <v>2010</v>
      </c>
    </row>
    <row r="3012" spans="1:23" ht="12.3" hidden="1" x14ac:dyDescent="0.4">
      <c r="A3012" s="2" t="s">
        <v>261</v>
      </c>
      <c r="B3012" s="2" t="e">
        <v>#N/A</v>
      </c>
      <c r="C3012" s="2"/>
      <c r="D3012" s="2"/>
      <c r="E3012" s="2"/>
      <c r="F3012" s="2"/>
      <c r="G3012" s="2"/>
      <c r="H3012" s="2"/>
      <c r="I3012" s="2">
        <v>75.383399999999995</v>
      </c>
      <c r="J3012" s="2">
        <v>4</v>
      </c>
      <c r="K3012" s="2">
        <v>74.116100000000003</v>
      </c>
      <c r="L3012" s="2">
        <v>8</v>
      </c>
      <c r="M3012" s="2">
        <v>80.468100000000007</v>
      </c>
      <c r="N3012" s="2">
        <v>347</v>
      </c>
      <c r="O3012" s="2">
        <v>80.932299999999998</v>
      </c>
      <c r="P3012" s="2">
        <v>346</v>
      </c>
      <c r="Q3012" s="2">
        <v>108.0646</v>
      </c>
      <c r="R3012" s="2">
        <v>311</v>
      </c>
      <c r="S3012" s="2">
        <v>112.3533</v>
      </c>
      <c r="T3012" s="2">
        <v>341</v>
      </c>
      <c r="U3012" s="2">
        <v>2.248E-2</v>
      </c>
      <c r="V3012" s="2">
        <v>346</v>
      </c>
      <c r="W3012" s="2">
        <v>2010</v>
      </c>
    </row>
    <row r="3013" spans="1:23" ht="12.3" hidden="1" x14ac:dyDescent="0.4">
      <c r="A3013" s="2" t="s">
        <v>375</v>
      </c>
      <c r="B3013" s="2" t="e">
        <v>#N/A</v>
      </c>
      <c r="C3013" s="2"/>
      <c r="D3013" s="2"/>
      <c r="E3013" s="2"/>
      <c r="F3013" s="2"/>
      <c r="G3013" s="2"/>
      <c r="H3013" s="2"/>
      <c r="I3013" s="2">
        <v>64.236900000000006</v>
      </c>
      <c r="J3013" s="2">
        <v>292</v>
      </c>
      <c r="K3013" s="2">
        <v>63.689799999999998</v>
      </c>
      <c r="L3013" s="2">
        <v>307</v>
      </c>
      <c r="M3013" s="2">
        <v>80.675299999999993</v>
      </c>
      <c r="N3013" s="2">
        <v>346</v>
      </c>
      <c r="O3013" s="2">
        <v>79.937100000000001</v>
      </c>
      <c r="P3013" s="2">
        <v>347</v>
      </c>
      <c r="Q3013" s="2">
        <v>107.3609</v>
      </c>
      <c r="R3013" s="2">
        <v>301</v>
      </c>
      <c r="S3013" s="2">
        <v>111.32080000000001</v>
      </c>
      <c r="T3013" s="2">
        <v>335</v>
      </c>
      <c r="U3013" s="2">
        <v>2.1700000000000001E-2</v>
      </c>
      <c r="V3013" s="2">
        <v>347</v>
      </c>
      <c r="W3013" s="2">
        <v>2010</v>
      </c>
    </row>
    <row r="3014" spans="1:23" ht="12.3" x14ac:dyDescent="0.4">
      <c r="A3014" s="2" t="s">
        <v>240</v>
      </c>
      <c r="B3014" s="2">
        <v>15</v>
      </c>
      <c r="C3014" s="25"/>
      <c r="D3014" s="25"/>
      <c r="E3014" s="2"/>
      <c r="F3014" s="2"/>
      <c r="G3014" s="2"/>
      <c r="H3014" s="2"/>
      <c r="I3014" s="2">
        <v>65.9529</v>
      </c>
      <c r="J3014" s="2">
        <v>212</v>
      </c>
      <c r="K3014" s="2">
        <v>66.257400000000004</v>
      </c>
      <c r="L3014" s="2">
        <v>201</v>
      </c>
      <c r="M3014" s="2">
        <v>108.7847</v>
      </c>
      <c r="N3014" s="2">
        <v>43</v>
      </c>
      <c r="O3014" s="2">
        <v>102.0475</v>
      </c>
      <c r="P3014" s="2">
        <v>160</v>
      </c>
      <c r="Q3014" s="2">
        <v>91.735600000000005</v>
      </c>
      <c r="R3014" s="2">
        <v>15</v>
      </c>
      <c r="S3014" s="2">
        <v>94.593400000000003</v>
      </c>
      <c r="T3014" s="2">
        <v>43</v>
      </c>
      <c r="U3014" s="2">
        <v>0.70522099999999999</v>
      </c>
      <c r="V3014" s="2">
        <v>87</v>
      </c>
      <c r="W3014" s="2">
        <v>2006</v>
      </c>
    </row>
    <row r="3015" spans="1:23" ht="12.3" x14ac:dyDescent="0.4">
      <c r="A3015" s="2" t="s">
        <v>181</v>
      </c>
      <c r="B3015" s="2">
        <v>14</v>
      </c>
      <c r="C3015" s="25"/>
      <c r="D3015" s="25"/>
      <c r="E3015" s="2"/>
      <c r="F3015" s="2"/>
      <c r="G3015" s="2"/>
      <c r="H3015" s="2"/>
      <c r="I3015" s="2">
        <v>64.530199999999994</v>
      </c>
      <c r="J3015" s="2">
        <v>261</v>
      </c>
      <c r="K3015" s="2">
        <v>65.0017</v>
      </c>
      <c r="L3015" s="2">
        <v>248</v>
      </c>
      <c r="M3015" s="2">
        <v>108.9603</v>
      </c>
      <c r="N3015" s="2">
        <v>41</v>
      </c>
      <c r="O3015" s="2">
        <v>102.73560000000001</v>
      </c>
      <c r="P3015" s="2">
        <v>149</v>
      </c>
      <c r="Q3015" s="2">
        <v>94.208500000000001</v>
      </c>
      <c r="R3015" s="2">
        <v>35</v>
      </c>
      <c r="S3015" s="2">
        <v>95.452699999999993</v>
      </c>
      <c r="T3015" s="2">
        <v>47</v>
      </c>
      <c r="U3015" s="2">
        <v>0.69963600000000004</v>
      </c>
      <c r="V3015" s="2">
        <v>89</v>
      </c>
      <c r="W3015" s="2">
        <v>2006</v>
      </c>
    </row>
    <row r="3016" spans="1:23" ht="12.3" x14ac:dyDescent="0.4">
      <c r="A3016" s="2" t="s">
        <v>234</v>
      </c>
      <c r="B3016" s="2">
        <v>12</v>
      </c>
      <c r="C3016" s="3" t="s">
        <v>33</v>
      </c>
      <c r="D3016" s="25"/>
      <c r="E3016" s="25"/>
      <c r="F3016" s="2"/>
      <c r="G3016" s="2"/>
      <c r="H3016" s="2"/>
      <c r="I3016" s="2">
        <v>69.058300000000003</v>
      </c>
      <c r="J3016" s="2">
        <v>94</v>
      </c>
      <c r="K3016" s="2">
        <v>67.601900000000001</v>
      </c>
      <c r="L3016" s="2">
        <v>130</v>
      </c>
      <c r="M3016" s="2">
        <v>111.8723</v>
      </c>
      <c r="N3016" s="2">
        <v>13</v>
      </c>
      <c r="O3016" s="2">
        <v>109.1174</v>
      </c>
      <c r="P3016" s="2">
        <v>48</v>
      </c>
      <c r="Q3016" s="2">
        <v>101.62739999999999</v>
      </c>
      <c r="R3016" s="2">
        <v>161</v>
      </c>
      <c r="S3016" s="2">
        <v>101.6682</v>
      </c>
      <c r="T3016" s="2">
        <v>157</v>
      </c>
      <c r="U3016" s="2">
        <v>0.69278300000000004</v>
      </c>
      <c r="V3016" s="2">
        <v>90</v>
      </c>
      <c r="W3016" s="2">
        <v>2006</v>
      </c>
    </row>
    <row r="3017" spans="1:23" ht="12.3" x14ac:dyDescent="0.4">
      <c r="A3017" s="2" t="s">
        <v>259</v>
      </c>
      <c r="B3017" s="2">
        <v>14</v>
      </c>
      <c r="C3017" s="3" t="s">
        <v>33</v>
      </c>
      <c r="D3017" s="2"/>
      <c r="E3017" s="2"/>
      <c r="F3017" s="2"/>
      <c r="G3017" s="2"/>
      <c r="H3017" s="2"/>
      <c r="I3017" s="2">
        <v>70.110399999999998</v>
      </c>
      <c r="J3017" s="2">
        <v>58</v>
      </c>
      <c r="K3017" s="2">
        <v>69.218299999999999</v>
      </c>
      <c r="L3017" s="2">
        <v>81</v>
      </c>
      <c r="M3017" s="2">
        <v>106.8762</v>
      </c>
      <c r="N3017" s="2">
        <v>70</v>
      </c>
      <c r="O3017" s="2">
        <v>105.88200000000001</v>
      </c>
      <c r="P3017" s="2">
        <v>88</v>
      </c>
      <c r="Q3017" s="2">
        <v>98.167199999999994</v>
      </c>
      <c r="R3017" s="2">
        <v>88</v>
      </c>
      <c r="S3017" s="2">
        <v>99.325999999999993</v>
      </c>
      <c r="T3017" s="2">
        <v>116</v>
      </c>
      <c r="U3017" s="2">
        <v>0.67591500000000004</v>
      </c>
      <c r="V3017" s="2">
        <v>93</v>
      </c>
      <c r="W3017" s="2">
        <v>2006</v>
      </c>
    </row>
    <row r="3018" spans="1:23" ht="12.3" x14ac:dyDescent="0.4">
      <c r="A3018" s="2" t="s">
        <v>77</v>
      </c>
      <c r="B3018" s="2">
        <v>15</v>
      </c>
      <c r="C3018" s="25"/>
      <c r="D3018" s="2"/>
      <c r="E3018" s="2"/>
      <c r="F3018" s="2"/>
      <c r="G3018" s="2"/>
      <c r="H3018" s="2"/>
      <c r="I3018" s="2">
        <v>65.292400000000001</v>
      </c>
      <c r="J3018" s="2">
        <v>235</v>
      </c>
      <c r="K3018" s="2">
        <v>66.189300000000003</v>
      </c>
      <c r="L3018" s="2">
        <v>210</v>
      </c>
      <c r="M3018" s="2">
        <v>103.949</v>
      </c>
      <c r="N3018" s="2">
        <v>132</v>
      </c>
      <c r="O3018" s="2">
        <v>99.131</v>
      </c>
      <c r="P3018" s="2">
        <v>214</v>
      </c>
      <c r="Q3018" s="2">
        <v>90.461799999999997</v>
      </c>
      <c r="R3018" s="2">
        <v>8</v>
      </c>
      <c r="S3018" s="2">
        <v>93.626000000000005</v>
      </c>
      <c r="T3018" s="2">
        <v>29</v>
      </c>
      <c r="U3018" s="2">
        <v>0.65859400000000001</v>
      </c>
      <c r="V3018" s="2">
        <v>101</v>
      </c>
      <c r="W3018" s="2">
        <v>2006</v>
      </c>
    </row>
    <row r="3019" spans="1:23" ht="12.3" x14ac:dyDescent="0.4">
      <c r="A3019" s="2" t="s">
        <v>138</v>
      </c>
      <c r="B3019" s="2">
        <v>16</v>
      </c>
      <c r="C3019" s="25"/>
      <c r="D3019" s="25"/>
      <c r="E3019" s="2"/>
      <c r="F3019" s="2"/>
      <c r="G3019" s="2"/>
      <c r="H3019" s="2"/>
      <c r="I3019" s="2">
        <v>68.654399999999995</v>
      </c>
      <c r="J3019" s="2">
        <v>108</v>
      </c>
      <c r="K3019" s="2">
        <v>68.482100000000003</v>
      </c>
      <c r="L3019" s="2">
        <v>106</v>
      </c>
      <c r="M3019" s="2">
        <v>108.4927</v>
      </c>
      <c r="N3019" s="2">
        <v>46</v>
      </c>
      <c r="O3019" s="2">
        <v>104.7593</v>
      </c>
      <c r="P3019" s="2">
        <v>109</v>
      </c>
      <c r="Q3019" s="2">
        <v>98.620500000000007</v>
      </c>
      <c r="R3019" s="2">
        <v>94</v>
      </c>
      <c r="S3019" s="2">
        <v>100.3129</v>
      </c>
      <c r="T3019" s="2">
        <v>132</v>
      </c>
      <c r="U3019" s="2">
        <v>0.62217100000000003</v>
      </c>
      <c r="V3019" s="2">
        <v>118</v>
      </c>
      <c r="W3019" s="2">
        <v>2006</v>
      </c>
    </row>
    <row r="3020" spans="1:23" ht="12.3" x14ac:dyDescent="0.4">
      <c r="A3020" s="2" t="s">
        <v>134</v>
      </c>
      <c r="B3020" s="2">
        <v>15</v>
      </c>
      <c r="C3020" s="25"/>
      <c r="D3020" s="25"/>
      <c r="E3020" s="25"/>
      <c r="F3020" s="25"/>
      <c r="G3020" s="2"/>
      <c r="H3020" s="2"/>
      <c r="I3020" s="2">
        <v>67.540000000000006</v>
      </c>
      <c r="J3020" s="2">
        <v>146</v>
      </c>
      <c r="K3020" s="2">
        <v>67.165300000000002</v>
      </c>
      <c r="L3020" s="2">
        <v>150</v>
      </c>
      <c r="M3020" s="2">
        <v>110.9961</v>
      </c>
      <c r="N3020" s="2">
        <v>25</v>
      </c>
      <c r="O3020" s="2">
        <v>108.9734</v>
      </c>
      <c r="P3020" s="2">
        <v>51</v>
      </c>
      <c r="Q3020" s="2">
        <v>102.4421</v>
      </c>
      <c r="R3020" s="2">
        <v>181</v>
      </c>
      <c r="S3020" s="2">
        <v>105.248</v>
      </c>
      <c r="T3020" s="2">
        <v>227</v>
      </c>
      <c r="U3020" s="2">
        <v>0.598692</v>
      </c>
      <c r="V3020" s="2">
        <v>126</v>
      </c>
      <c r="W3020" s="2">
        <v>2006</v>
      </c>
    </row>
    <row r="3021" spans="1:23" ht="12.3" x14ac:dyDescent="0.4">
      <c r="A3021" s="2" t="s">
        <v>339</v>
      </c>
      <c r="B3021" s="2">
        <v>16</v>
      </c>
      <c r="C3021" s="25"/>
      <c r="D3021" s="2"/>
      <c r="E3021" s="2"/>
      <c r="F3021" s="2"/>
      <c r="G3021" s="2"/>
      <c r="H3021" s="2"/>
      <c r="I3021" s="2">
        <v>64.127600000000001</v>
      </c>
      <c r="J3021" s="2">
        <v>273</v>
      </c>
      <c r="K3021" s="2">
        <v>65.224900000000005</v>
      </c>
      <c r="L3021" s="2">
        <v>241</v>
      </c>
      <c r="M3021" s="2">
        <v>106.4503</v>
      </c>
      <c r="N3021" s="2">
        <v>78</v>
      </c>
      <c r="O3021" s="2">
        <v>104.5827</v>
      </c>
      <c r="P3021" s="2">
        <v>111</v>
      </c>
      <c r="Q3021" s="2">
        <v>99.312600000000003</v>
      </c>
      <c r="R3021" s="2">
        <v>112</v>
      </c>
      <c r="S3021" s="2">
        <v>102.5629</v>
      </c>
      <c r="T3021" s="2">
        <v>176</v>
      </c>
      <c r="U3021" s="2">
        <v>0.55583499999999997</v>
      </c>
      <c r="V3021" s="2">
        <v>132</v>
      </c>
      <c r="W3021" s="2">
        <v>2006</v>
      </c>
    </row>
    <row r="3022" spans="1:23" ht="12.3" x14ac:dyDescent="0.4">
      <c r="A3022" s="2" t="s">
        <v>244</v>
      </c>
      <c r="B3022" s="2">
        <v>15</v>
      </c>
      <c r="C3022" s="25"/>
      <c r="D3022" s="2"/>
      <c r="E3022" s="2"/>
      <c r="F3022" s="2"/>
      <c r="G3022" s="2"/>
      <c r="H3022" s="2"/>
      <c r="I3022" s="2">
        <v>71.881100000000004</v>
      </c>
      <c r="J3022" s="2">
        <v>29</v>
      </c>
      <c r="K3022" s="2">
        <v>69.950100000000006</v>
      </c>
      <c r="L3022" s="2">
        <v>58</v>
      </c>
      <c r="M3022" s="2">
        <v>112.11920000000001</v>
      </c>
      <c r="N3022" s="2">
        <v>12</v>
      </c>
      <c r="O3022" s="2">
        <v>107.0975</v>
      </c>
      <c r="P3022" s="2">
        <v>73</v>
      </c>
      <c r="Q3022" s="2">
        <v>103.8058</v>
      </c>
      <c r="R3022" s="2">
        <v>217</v>
      </c>
      <c r="S3022" s="2">
        <v>106.8052</v>
      </c>
      <c r="T3022" s="2">
        <v>260</v>
      </c>
      <c r="U3022" s="2">
        <v>0.50785899999999995</v>
      </c>
      <c r="V3022" s="2">
        <v>153</v>
      </c>
      <c r="W3022" s="2">
        <v>2006</v>
      </c>
    </row>
    <row r="3023" spans="1:23" ht="12.3" x14ac:dyDescent="0.4">
      <c r="A3023" s="2" t="s">
        <v>251</v>
      </c>
      <c r="B3023" s="2">
        <v>16</v>
      </c>
      <c r="C3023" s="25"/>
      <c r="D3023" s="25"/>
      <c r="E3023" s="2"/>
      <c r="F3023" s="2"/>
      <c r="G3023" s="2"/>
      <c r="H3023" s="2"/>
      <c r="I3023" s="2">
        <v>65.804299999999998</v>
      </c>
      <c r="J3023" s="2">
        <v>220</v>
      </c>
      <c r="K3023" s="2">
        <v>66.266900000000007</v>
      </c>
      <c r="L3023" s="2">
        <v>198</v>
      </c>
      <c r="M3023" s="2">
        <v>96.303100000000001</v>
      </c>
      <c r="N3023" s="2">
        <v>255</v>
      </c>
      <c r="O3023" s="2">
        <v>95.327200000000005</v>
      </c>
      <c r="P3023" s="2">
        <v>271</v>
      </c>
      <c r="Q3023" s="2">
        <v>94.760999999999996</v>
      </c>
      <c r="R3023" s="2">
        <v>39</v>
      </c>
      <c r="S3023" s="2">
        <v>96.851500000000001</v>
      </c>
      <c r="T3023" s="2">
        <v>76</v>
      </c>
      <c r="U3023" s="2">
        <v>0.45451799999999998</v>
      </c>
      <c r="V3023" s="2">
        <v>173</v>
      </c>
      <c r="W3023" s="2">
        <v>2006</v>
      </c>
    </row>
    <row r="3024" spans="1:23" ht="12.3" x14ac:dyDescent="0.4">
      <c r="A3024" s="2" t="s">
        <v>338</v>
      </c>
      <c r="B3024" s="2">
        <v>16</v>
      </c>
      <c r="C3024" s="2"/>
      <c r="D3024" s="2"/>
      <c r="E3024" s="2"/>
      <c r="F3024" s="2"/>
      <c r="G3024" s="2"/>
      <c r="H3024" s="2"/>
      <c r="I3024" s="2">
        <v>68.303200000000004</v>
      </c>
      <c r="J3024" s="2">
        <v>122</v>
      </c>
      <c r="K3024" s="2">
        <v>66.913799999999995</v>
      </c>
      <c r="L3024" s="2">
        <v>163</v>
      </c>
      <c r="M3024" s="2">
        <v>95.180899999999994</v>
      </c>
      <c r="N3024" s="2">
        <v>280</v>
      </c>
      <c r="O3024" s="2">
        <v>95.065399999999997</v>
      </c>
      <c r="P3024" s="2">
        <v>275</v>
      </c>
      <c r="Q3024" s="2">
        <v>93.650400000000005</v>
      </c>
      <c r="R3024" s="2">
        <v>28</v>
      </c>
      <c r="S3024" s="2">
        <v>97.325100000000006</v>
      </c>
      <c r="T3024" s="2">
        <v>83</v>
      </c>
      <c r="U3024" s="2">
        <v>0.432869</v>
      </c>
      <c r="V3024" s="2">
        <v>187</v>
      </c>
      <c r="W3024" s="2">
        <v>2006</v>
      </c>
    </row>
    <row r="3025" spans="1:23" ht="12.3" x14ac:dyDescent="0.4">
      <c r="A3025" s="2" t="s">
        <v>135</v>
      </c>
      <c r="B3025" s="2">
        <v>16</v>
      </c>
      <c r="C3025" s="25"/>
      <c r="D3025" s="25"/>
      <c r="E3025" s="2"/>
      <c r="F3025" s="2"/>
      <c r="G3025" s="2"/>
      <c r="H3025" s="2"/>
      <c r="I3025" s="2">
        <v>69.427000000000007</v>
      </c>
      <c r="J3025" s="2">
        <v>79</v>
      </c>
      <c r="K3025" s="2">
        <v>70.230500000000006</v>
      </c>
      <c r="L3025" s="2">
        <v>51</v>
      </c>
      <c r="M3025" s="2">
        <v>96.286600000000007</v>
      </c>
      <c r="N3025" s="2">
        <v>257</v>
      </c>
      <c r="O3025" s="2">
        <v>91.748900000000006</v>
      </c>
      <c r="P3025" s="2">
        <v>312</v>
      </c>
      <c r="Q3025" s="2">
        <v>91.850300000000004</v>
      </c>
      <c r="R3025" s="2">
        <v>18</v>
      </c>
      <c r="S3025" s="2">
        <v>100.4858</v>
      </c>
      <c r="T3025" s="2">
        <v>138</v>
      </c>
      <c r="U3025" s="2">
        <v>0.25998399999999999</v>
      </c>
      <c r="V3025" s="2">
        <v>263</v>
      </c>
      <c r="W3025" s="2">
        <v>2006</v>
      </c>
    </row>
    <row r="3026" spans="1:23" ht="12.3" x14ac:dyDescent="0.4">
      <c r="A3026" s="2" t="s">
        <v>44</v>
      </c>
      <c r="B3026" s="2">
        <v>1</v>
      </c>
      <c r="C3026" s="3" t="s">
        <v>33</v>
      </c>
      <c r="D3026" s="3" t="s">
        <v>33</v>
      </c>
      <c r="E3026" s="3" t="s">
        <v>33</v>
      </c>
      <c r="F3026" s="3" t="s">
        <v>33</v>
      </c>
      <c r="G3026" s="3" t="s">
        <v>33</v>
      </c>
      <c r="H3026" s="25"/>
      <c r="I3026" s="2">
        <v>65.3035</v>
      </c>
      <c r="J3026" s="2">
        <v>243</v>
      </c>
      <c r="K3026" s="2">
        <v>66.158000000000001</v>
      </c>
      <c r="L3026" s="2">
        <v>212</v>
      </c>
      <c r="M3026" s="2">
        <v>118.43940000000001</v>
      </c>
      <c r="N3026" s="2">
        <v>1</v>
      </c>
      <c r="O3026" s="2">
        <v>120.2137</v>
      </c>
      <c r="P3026" s="2">
        <v>2</v>
      </c>
      <c r="Q3026" s="2">
        <v>92.210700000000003</v>
      </c>
      <c r="R3026" s="2">
        <v>15</v>
      </c>
      <c r="S3026" s="2">
        <v>88.470299999999995</v>
      </c>
      <c r="T3026" s="2">
        <v>3</v>
      </c>
      <c r="U3026" s="2">
        <v>0.97141699999999997</v>
      </c>
      <c r="V3026" s="2">
        <v>1</v>
      </c>
      <c r="W3026" s="2">
        <v>2005</v>
      </c>
    </row>
    <row r="3027" spans="1:23" ht="12.3" x14ac:dyDescent="0.4">
      <c r="A3027" s="2" t="s">
        <v>168</v>
      </c>
      <c r="B3027" s="2">
        <v>1</v>
      </c>
      <c r="C3027" s="3" t="s">
        <v>33</v>
      </c>
      <c r="D3027" s="3" t="s">
        <v>33</v>
      </c>
      <c r="E3027" s="3" t="s">
        <v>33</v>
      </c>
      <c r="F3027" s="4" t="s">
        <v>33</v>
      </c>
      <c r="G3027" s="4" t="s">
        <v>33</v>
      </c>
      <c r="H3027" s="4" t="s">
        <v>33</v>
      </c>
      <c r="I3027" s="2">
        <v>76.724999999999994</v>
      </c>
      <c r="J3027" s="2">
        <v>3</v>
      </c>
      <c r="K3027" s="2">
        <v>74.679100000000005</v>
      </c>
      <c r="L3027" s="2">
        <v>5</v>
      </c>
      <c r="M3027" s="2">
        <v>115.7773</v>
      </c>
      <c r="N3027" s="2">
        <v>7</v>
      </c>
      <c r="O3027" s="2">
        <v>119.3614</v>
      </c>
      <c r="P3027" s="2">
        <v>3</v>
      </c>
      <c r="Q3027" s="2">
        <v>92.015600000000006</v>
      </c>
      <c r="R3027" s="2">
        <v>11</v>
      </c>
      <c r="S3027" s="2">
        <v>91.036000000000001</v>
      </c>
      <c r="T3027" s="2">
        <v>9</v>
      </c>
      <c r="U3027" s="2">
        <v>0.95752199999999998</v>
      </c>
      <c r="V3027" s="2">
        <v>2</v>
      </c>
      <c r="W3027" s="2">
        <v>2005</v>
      </c>
    </row>
    <row r="3028" spans="1:23" ht="12.3" x14ac:dyDescent="0.4">
      <c r="A3028" s="2" t="s">
        <v>32</v>
      </c>
      <c r="B3028" s="2">
        <v>1</v>
      </c>
      <c r="C3028" s="4" t="s">
        <v>33</v>
      </c>
      <c r="D3028" s="4" t="s">
        <v>33</v>
      </c>
      <c r="E3028" s="2"/>
      <c r="F3028" s="2"/>
      <c r="G3028" s="2"/>
      <c r="H3028" s="2"/>
      <c r="I3028" s="2">
        <v>70.641599999999997</v>
      </c>
      <c r="J3028" s="2">
        <v>55</v>
      </c>
      <c r="K3028" s="2">
        <v>69.417000000000002</v>
      </c>
      <c r="L3028" s="2">
        <v>81</v>
      </c>
      <c r="M3028" s="2">
        <v>112.5574</v>
      </c>
      <c r="N3028" s="2">
        <v>15</v>
      </c>
      <c r="O3028" s="2">
        <v>115.3147</v>
      </c>
      <c r="P3028" s="2">
        <v>9</v>
      </c>
      <c r="Q3028" s="2">
        <v>92.901799999999994</v>
      </c>
      <c r="R3028" s="2">
        <v>19</v>
      </c>
      <c r="S3028" s="2">
        <v>90.007800000000003</v>
      </c>
      <c r="T3028" s="2">
        <v>6</v>
      </c>
      <c r="U3028" s="2">
        <v>0.94528500000000004</v>
      </c>
      <c r="V3028" s="2">
        <v>3</v>
      </c>
      <c r="W3028" s="2">
        <v>2005</v>
      </c>
    </row>
    <row r="3029" spans="1:23" ht="12.3" x14ac:dyDescent="0.4">
      <c r="A3029" s="2" t="s">
        <v>58</v>
      </c>
      <c r="B3029" s="2">
        <v>5</v>
      </c>
      <c r="C3029" s="3" t="s">
        <v>33</v>
      </c>
      <c r="D3029" s="4" t="s">
        <v>33</v>
      </c>
      <c r="E3029" s="4" t="s">
        <v>33</v>
      </c>
      <c r="F3029" s="4" t="s">
        <v>33</v>
      </c>
      <c r="G3029" s="4"/>
      <c r="H3029" s="2"/>
      <c r="I3029" s="2">
        <v>66.4375</v>
      </c>
      <c r="J3029" s="2">
        <v>196</v>
      </c>
      <c r="K3029" s="2">
        <v>67.073400000000007</v>
      </c>
      <c r="L3029" s="2">
        <v>171</v>
      </c>
      <c r="M3029" s="2">
        <v>116.98099999999999</v>
      </c>
      <c r="N3029" s="2">
        <v>4</v>
      </c>
      <c r="O3029" s="2">
        <v>118.3729</v>
      </c>
      <c r="P3029" s="2">
        <v>6</v>
      </c>
      <c r="Q3029" s="2">
        <v>95.164299999999997</v>
      </c>
      <c r="R3029" s="2">
        <v>39</v>
      </c>
      <c r="S3029" s="2">
        <v>94.442599999999999</v>
      </c>
      <c r="T3029" s="2">
        <v>33</v>
      </c>
      <c r="U3029" s="2">
        <v>0.93068399999999996</v>
      </c>
      <c r="V3029" s="2">
        <v>4</v>
      </c>
      <c r="W3029" s="2">
        <v>2005</v>
      </c>
    </row>
    <row r="3030" spans="1:23" ht="12.3" x14ac:dyDescent="0.4">
      <c r="A3030" s="2" t="s">
        <v>61</v>
      </c>
      <c r="B3030" s="2">
        <v>2</v>
      </c>
      <c r="C3030" s="3" t="s">
        <v>33</v>
      </c>
      <c r="D3030" s="25"/>
      <c r="E3030" s="25"/>
      <c r="F3030" s="2"/>
      <c r="G3030" s="2"/>
      <c r="H3030" s="2"/>
      <c r="I3030" s="2">
        <v>71.577799999999996</v>
      </c>
      <c r="J3030" s="2">
        <v>32</v>
      </c>
      <c r="K3030" s="2">
        <v>69.889099999999999</v>
      </c>
      <c r="L3030" s="2">
        <v>62</v>
      </c>
      <c r="M3030" s="2">
        <v>117.2191</v>
      </c>
      <c r="N3030" s="2">
        <v>2</v>
      </c>
      <c r="O3030" s="2">
        <v>124.7564</v>
      </c>
      <c r="P3030" s="2">
        <v>1</v>
      </c>
      <c r="Q3030" s="2">
        <v>102.1108</v>
      </c>
      <c r="R3030" s="2">
        <v>190</v>
      </c>
      <c r="S3030" s="2">
        <v>100.2004</v>
      </c>
      <c r="T3030" s="2">
        <v>135</v>
      </c>
      <c r="U3030" s="2">
        <v>0.92557999999999996</v>
      </c>
      <c r="V3030" s="2">
        <v>5</v>
      </c>
      <c r="W3030" s="2">
        <v>2005</v>
      </c>
    </row>
    <row r="3031" spans="1:23" ht="12.3" x14ac:dyDescent="0.4">
      <c r="A3031" s="2" t="s">
        <v>37</v>
      </c>
      <c r="B3031" s="2">
        <v>4</v>
      </c>
      <c r="C3031" s="3" t="s">
        <v>33</v>
      </c>
      <c r="D3031" s="2"/>
      <c r="E3031" s="2"/>
      <c r="F3031" s="2"/>
      <c r="G3031" s="2"/>
      <c r="H3031" s="2"/>
      <c r="I3031" s="2">
        <v>66.849599999999995</v>
      </c>
      <c r="J3031" s="2">
        <v>177</v>
      </c>
      <c r="K3031" s="2">
        <v>65.993799999999993</v>
      </c>
      <c r="L3031" s="2">
        <v>220</v>
      </c>
      <c r="M3031" s="2">
        <v>114.0505</v>
      </c>
      <c r="N3031" s="2">
        <v>11</v>
      </c>
      <c r="O3031" s="2">
        <v>114.798</v>
      </c>
      <c r="P3031" s="2">
        <v>11</v>
      </c>
      <c r="Q3031" s="2">
        <v>93.532700000000006</v>
      </c>
      <c r="R3031" s="2">
        <v>23</v>
      </c>
      <c r="S3031" s="2">
        <v>92.944999999999993</v>
      </c>
      <c r="T3031" s="2">
        <v>17</v>
      </c>
      <c r="U3031" s="2">
        <v>0.91896900000000004</v>
      </c>
      <c r="V3031" s="2">
        <v>6</v>
      </c>
      <c r="W3031" s="2">
        <v>2005</v>
      </c>
    </row>
    <row r="3032" spans="1:23" ht="12.3" x14ac:dyDescent="0.4">
      <c r="A3032" s="2" t="s">
        <v>78</v>
      </c>
      <c r="B3032" s="2">
        <v>5</v>
      </c>
      <c r="C3032" s="3" t="s">
        <v>33</v>
      </c>
      <c r="D3032" s="4" t="s">
        <v>33</v>
      </c>
      <c r="E3032" s="2"/>
      <c r="F3032" s="2"/>
      <c r="G3032" s="2"/>
      <c r="H3032" s="2"/>
      <c r="I3032" s="2">
        <v>65.817099999999996</v>
      </c>
      <c r="J3032" s="2">
        <v>219</v>
      </c>
      <c r="K3032" s="2">
        <v>67.885300000000001</v>
      </c>
      <c r="L3032" s="2">
        <v>132</v>
      </c>
      <c r="M3032" s="2">
        <v>111.8155</v>
      </c>
      <c r="N3032" s="2">
        <v>21</v>
      </c>
      <c r="O3032" s="2">
        <v>114.4969</v>
      </c>
      <c r="P3032" s="2">
        <v>12</v>
      </c>
      <c r="Q3032" s="2">
        <v>94.508600000000001</v>
      </c>
      <c r="R3032" s="2">
        <v>34</v>
      </c>
      <c r="S3032" s="2">
        <v>92.816199999999995</v>
      </c>
      <c r="T3032" s="2">
        <v>16</v>
      </c>
      <c r="U3032" s="2">
        <v>0.91790000000000005</v>
      </c>
      <c r="V3032" s="2">
        <v>7</v>
      </c>
      <c r="W3032" s="2">
        <v>2005</v>
      </c>
    </row>
    <row r="3033" spans="1:23" ht="12.3" x14ac:dyDescent="0.4">
      <c r="A3033" s="2" t="s">
        <v>72</v>
      </c>
      <c r="B3033" s="2">
        <v>2</v>
      </c>
      <c r="C3033" s="3" t="s">
        <v>33</v>
      </c>
      <c r="D3033" s="4" t="s">
        <v>33</v>
      </c>
      <c r="E3033" s="2"/>
      <c r="F3033" s="2"/>
      <c r="G3033" s="2"/>
      <c r="H3033" s="2"/>
      <c r="I3033" s="2">
        <v>67.646600000000007</v>
      </c>
      <c r="J3033" s="2">
        <v>148</v>
      </c>
      <c r="K3033" s="2">
        <v>67.327299999999994</v>
      </c>
      <c r="L3033" s="2">
        <v>160</v>
      </c>
      <c r="M3033" s="2">
        <v>115.681</v>
      </c>
      <c r="N3033" s="2">
        <v>8</v>
      </c>
      <c r="O3033" s="2">
        <v>118.6729</v>
      </c>
      <c r="P3033" s="2">
        <v>4</v>
      </c>
      <c r="Q3033" s="2">
        <v>97.874799999999993</v>
      </c>
      <c r="R3033" s="2">
        <v>78</v>
      </c>
      <c r="S3033" s="2">
        <v>96.258899999999997</v>
      </c>
      <c r="T3033" s="2">
        <v>59</v>
      </c>
      <c r="U3033" s="2">
        <v>0.91738200000000003</v>
      </c>
      <c r="V3033" s="2">
        <v>8</v>
      </c>
      <c r="W3033" s="2">
        <v>2005</v>
      </c>
    </row>
    <row r="3034" spans="1:23" ht="12.3" x14ac:dyDescent="0.4">
      <c r="A3034" s="2" t="s">
        <v>54</v>
      </c>
      <c r="B3034" s="2">
        <v>2</v>
      </c>
      <c r="C3034" s="4" t="s">
        <v>33</v>
      </c>
      <c r="D3034" s="2"/>
      <c r="E3034" s="2"/>
      <c r="F3034" s="2"/>
      <c r="G3034" s="2"/>
      <c r="H3034" s="2"/>
      <c r="I3034" s="2">
        <v>71.455600000000004</v>
      </c>
      <c r="J3034" s="2">
        <v>35</v>
      </c>
      <c r="K3034" s="2">
        <v>71.958100000000002</v>
      </c>
      <c r="L3034" s="2">
        <v>26</v>
      </c>
      <c r="M3034" s="2">
        <v>109.01649999999999</v>
      </c>
      <c r="N3034" s="2">
        <v>43</v>
      </c>
      <c r="O3034" s="2">
        <v>110.7366</v>
      </c>
      <c r="P3034" s="2">
        <v>34</v>
      </c>
      <c r="Q3034" s="2">
        <v>93.365200000000002</v>
      </c>
      <c r="R3034" s="2">
        <v>22</v>
      </c>
      <c r="S3034" s="2">
        <v>90.107500000000002</v>
      </c>
      <c r="T3034" s="2">
        <v>8</v>
      </c>
      <c r="U3034" s="2">
        <v>0.91456800000000005</v>
      </c>
      <c r="V3034" s="2">
        <v>9</v>
      </c>
      <c r="W3034" s="2">
        <v>2005</v>
      </c>
    </row>
    <row r="3035" spans="1:23" ht="12.3" x14ac:dyDescent="0.4">
      <c r="A3035" s="2" t="s">
        <v>45</v>
      </c>
      <c r="B3035" s="2">
        <v>2</v>
      </c>
      <c r="C3035" s="3" t="s">
        <v>33</v>
      </c>
      <c r="D3035" s="4" t="s">
        <v>33</v>
      </c>
      <c r="E3035" s="4" t="s">
        <v>33</v>
      </c>
      <c r="F3035" s="2"/>
      <c r="G3035" s="2"/>
      <c r="H3035" s="2"/>
      <c r="I3035" s="2">
        <v>67.741</v>
      </c>
      <c r="J3035" s="2">
        <v>146</v>
      </c>
      <c r="K3035" s="2">
        <v>68.174999999999997</v>
      </c>
      <c r="L3035" s="2">
        <v>120</v>
      </c>
      <c r="M3035" s="2">
        <v>108.32680000000001</v>
      </c>
      <c r="N3035" s="2">
        <v>50</v>
      </c>
      <c r="O3035" s="2">
        <v>110.0217</v>
      </c>
      <c r="P3035" s="2">
        <v>39</v>
      </c>
      <c r="Q3035" s="2">
        <v>91.086200000000005</v>
      </c>
      <c r="R3035" s="2">
        <v>8</v>
      </c>
      <c r="S3035" s="2">
        <v>89.608900000000006</v>
      </c>
      <c r="T3035" s="2">
        <v>5</v>
      </c>
      <c r="U3035" s="2">
        <v>0.91373099999999996</v>
      </c>
      <c r="V3035" s="2">
        <v>10</v>
      </c>
      <c r="W3035" s="2">
        <v>2005</v>
      </c>
    </row>
    <row r="3036" spans="1:23" ht="12.3" x14ac:dyDescent="0.4">
      <c r="A3036" s="2" t="s">
        <v>35</v>
      </c>
      <c r="B3036" s="2">
        <v>3</v>
      </c>
      <c r="C3036" s="2"/>
      <c r="D3036" s="2"/>
      <c r="E3036" s="2"/>
      <c r="F3036" s="2"/>
      <c r="G3036" s="2"/>
      <c r="H3036" s="2"/>
      <c r="I3036" s="2">
        <v>67.552300000000002</v>
      </c>
      <c r="J3036" s="2">
        <v>151</v>
      </c>
      <c r="K3036" s="2">
        <v>67.250900000000001</v>
      </c>
      <c r="L3036" s="2">
        <v>163</v>
      </c>
      <c r="M3036" s="2">
        <v>110.0578</v>
      </c>
      <c r="N3036" s="2">
        <v>32</v>
      </c>
      <c r="O3036" s="2">
        <v>114.3502</v>
      </c>
      <c r="P3036" s="2">
        <v>14</v>
      </c>
      <c r="Q3036" s="2">
        <v>95.756299999999996</v>
      </c>
      <c r="R3036" s="2">
        <v>44</v>
      </c>
      <c r="S3036" s="2">
        <v>93.648899999999998</v>
      </c>
      <c r="T3036" s="2">
        <v>27</v>
      </c>
      <c r="U3036" s="2">
        <v>0.90860300000000005</v>
      </c>
      <c r="V3036" s="2">
        <v>11</v>
      </c>
      <c r="W3036" s="2">
        <v>2005</v>
      </c>
    </row>
    <row r="3037" spans="1:23" ht="12.3" x14ac:dyDescent="0.4">
      <c r="A3037" s="2" t="s">
        <v>38</v>
      </c>
      <c r="B3037" s="2">
        <v>3</v>
      </c>
      <c r="C3037" s="4" t="s">
        <v>33</v>
      </c>
      <c r="D3037" s="2"/>
      <c r="E3037" s="2"/>
      <c r="F3037" s="2"/>
      <c r="G3037" s="2"/>
      <c r="H3037" s="2"/>
      <c r="I3037" s="2">
        <v>67.179500000000004</v>
      </c>
      <c r="J3037" s="2">
        <v>167</v>
      </c>
      <c r="K3037" s="2">
        <v>66.044499999999999</v>
      </c>
      <c r="L3037" s="2">
        <v>218</v>
      </c>
      <c r="M3037" s="2">
        <v>111.94840000000001</v>
      </c>
      <c r="N3037" s="2">
        <v>20</v>
      </c>
      <c r="O3037" s="2">
        <v>113.6718</v>
      </c>
      <c r="P3037" s="2">
        <v>19</v>
      </c>
      <c r="Q3037" s="2">
        <v>93.7</v>
      </c>
      <c r="R3037" s="2">
        <v>25</v>
      </c>
      <c r="S3037" s="2">
        <v>93.301100000000005</v>
      </c>
      <c r="T3037" s="2">
        <v>21</v>
      </c>
      <c r="U3037" s="2">
        <v>0.90645200000000004</v>
      </c>
      <c r="V3037" s="2">
        <v>12</v>
      </c>
      <c r="W3037" s="2">
        <v>2005</v>
      </c>
    </row>
    <row r="3038" spans="1:23" ht="12.3" x14ac:dyDescent="0.4">
      <c r="A3038" s="2" t="s">
        <v>86</v>
      </c>
      <c r="B3038" s="2">
        <v>4</v>
      </c>
      <c r="C3038" s="3" t="s">
        <v>33</v>
      </c>
      <c r="D3038" s="4" t="s">
        <v>33</v>
      </c>
      <c r="E3038" s="4" t="s">
        <v>33</v>
      </c>
      <c r="F3038" s="4" t="s">
        <v>33</v>
      </c>
      <c r="G3038" s="2"/>
      <c r="H3038" s="2"/>
      <c r="I3038" s="2">
        <v>70.565299999999993</v>
      </c>
      <c r="J3038" s="2">
        <v>58</v>
      </c>
      <c r="K3038" s="2">
        <v>69.810900000000004</v>
      </c>
      <c r="L3038" s="2">
        <v>66</v>
      </c>
      <c r="M3038" s="2">
        <v>113.8263</v>
      </c>
      <c r="N3038" s="2">
        <v>13</v>
      </c>
      <c r="O3038" s="2">
        <v>113.396</v>
      </c>
      <c r="P3038" s="2">
        <v>20</v>
      </c>
      <c r="Q3038" s="2">
        <v>89.668800000000005</v>
      </c>
      <c r="R3038" s="2">
        <v>3</v>
      </c>
      <c r="S3038" s="2">
        <v>93.3078</v>
      </c>
      <c r="T3038" s="2">
        <v>22</v>
      </c>
      <c r="U3038" s="2">
        <v>0.90398400000000001</v>
      </c>
      <c r="V3038" s="2">
        <v>13</v>
      </c>
      <c r="W3038" s="2">
        <v>2005</v>
      </c>
    </row>
    <row r="3039" spans="1:23" ht="12.3" x14ac:dyDescent="0.4">
      <c r="A3039" s="2" t="s">
        <v>23</v>
      </c>
      <c r="B3039" s="2">
        <v>4</v>
      </c>
      <c r="C3039" s="25"/>
      <c r="D3039" s="2"/>
      <c r="E3039" s="2"/>
      <c r="F3039" s="2"/>
      <c r="G3039" s="2"/>
      <c r="H3039" s="2"/>
      <c r="I3039" s="2">
        <v>66.895600000000002</v>
      </c>
      <c r="J3039" s="2">
        <v>174</v>
      </c>
      <c r="K3039" s="2">
        <v>67.366399999999999</v>
      </c>
      <c r="L3039" s="2">
        <v>155</v>
      </c>
      <c r="M3039" s="2">
        <v>112.5575</v>
      </c>
      <c r="N3039" s="2">
        <v>14</v>
      </c>
      <c r="O3039" s="2">
        <v>115.0698</v>
      </c>
      <c r="P3039" s="2">
        <v>10</v>
      </c>
      <c r="Q3039" s="2">
        <v>96.821399999999997</v>
      </c>
      <c r="R3039" s="2">
        <v>57</v>
      </c>
      <c r="S3039" s="2">
        <v>94.744</v>
      </c>
      <c r="T3039" s="2">
        <v>36</v>
      </c>
      <c r="U3039" s="2">
        <v>0.903362</v>
      </c>
      <c r="V3039" s="2">
        <v>14</v>
      </c>
      <c r="W3039" s="2">
        <v>2005</v>
      </c>
    </row>
    <row r="3040" spans="1:23" ht="12.3" x14ac:dyDescent="0.4">
      <c r="A3040" s="2" t="s">
        <v>131</v>
      </c>
      <c r="B3040" s="2">
        <v>1</v>
      </c>
      <c r="C3040" s="4" t="s">
        <v>33</v>
      </c>
      <c r="D3040" s="4" t="s">
        <v>33</v>
      </c>
      <c r="E3040" s="2"/>
      <c r="F3040" s="2"/>
      <c r="G3040" s="2"/>
      <c r="H3040" s="2"/>
      <c r="I3040" s="2">
        <v>73.931899999999999</v>
      </c>
      <c r="J3040" s="2">
        <v>12</v>
      </c>
      <c r="K3040" s="2">
        <v>73.020799999999994</v>
      </c>
      <c r="L3040" s="2">
        <v>14</v>
      </c>
      <c r="M3040" s="2">
        <v>115.4002</v>
      </c>
      <c r="N3040" s="2">
        <v>9</v>
      </c>
      <c r="O3040" s="2">
        <v>118.43</v>
      </c>
      <c r="P3040" s="2">
        <v>5</v>
      </c>
      <c r="Q3040" s="2">
        <v>98.916399999999996</v>
      </c>
      <c r="R3040" s="2">
        <v>106</v>
      </c>
      <c r="S3040" s="2">
        <v>97.949299999999994</v>
      </c>
      <c r="T3040" s="2">
        <v>83</v>
      </c>
      <c r="U3040" s="2">
        <v>0.89876100000000003</v>
      </c>
      <c r="V3040" s="2">
        <v>15</v>
      </c>
      <c r="W3040" s="2">
        <v>2005</v>
      </c>
    </row>
    <row r="3041" spans="1:23" ht="12.3" x14ac:dyDescent="0.4">
      <c r="A3041" s="2" t="s">
        <v>70</v>
      </c>
      <c r="B3041" s="2">
        <v>6</v>
      </c>
      <c r="C3041" s="3" t="s">
        <v>33</v>
      </c>
      <c r="D3041" s="2"/>
      <c r="E3041" s="2"/>
      <c r="F3041" s="2"/>
      <c r="G3041" s="2"/>
      <c r="H3041" s="2"/>
      <c r="I3041" s="2">
        <v>60.104599999999998</v>
      </c>
      <c r="J3041" s="2">
        <v>325</v>
      </c>
      <c r="K3041" s="2">
        <v>59.976300000000002</v>
      </c>
      <c r="L3041" s="2">
        <v>325</v>
      </c>
      <c r="M3041" s="2">
        <v>112.01</v>
      </c>
      <c r="N3041" s="2">
        <v>18</v>
      </c>
      <c r="O3041" s="2">
        <v>112.54989999999999</v>
      </c>
      <c r="P3041" s="2">
        <v>23</v>
      </c>
      <c r="Q3041" s="2">
        <v>94.733800000000002</v>
      </c>
      <c r="R3041" s="2">
        <v>37</v>
      </c>
      <c r="S3041" s="2">
        <v>93.3459</v>
      </c>
      <c r="T3041" s="2">
        <v>24</v>
      </c>
      <c r="U3041" s="2">
        <v>0.89580700000000002</v>
      </c>
      <c r="V3041" s="2">
        <v>16</v>
      </c>
      <c r="W3041" s="2">
        <v>2005</v>
      </c>
    </row>
    <row r="3042" spans="1:23" ht="12.3" x14ac:dyDescent="0.4">
      <c r="A3042" s="2" t="s">
        <v>49</v>
      </c>
      <c r="B3042" s="2">
        <v>5</v>
      </c>
      <c r="C3042" s="25"/>
      <c r="D3042" s="25"/>
      <c r="E3042" s="2"/>
      <c r="F3042" s="2"/>
      <c r="G3042" s="2"/>
      <c r="H3042" s="2"/>
      <c r="I3042" s="2">
        <v>65.007400000000004</v>
      </c>
      <c r="J3042" s="2">
        <v>256</v>
      </c>
      <c r="K3042" s="2">
        <v>64.434200000000004</v>
      </c>
      <c r="L3042" s="2">
        <v>274</v>
      </c>
      <c r="M3042" s="2">
        <v>114.414</v>
      </c>
      <c r="N3042" s="2">
        <v>10</v>
      </c>
      <c r="O3042" s="2">
        <v>115.93470000000001</v>
      </c>
      <c r="P3042" s="2">
        <v>8</v>
      </c>
      <c r="Q3042" s="2">
        <v>98.794600000000003</v>
      </c>
      <c r="R3042" s="2">
        <v>103</v>
      </c>
      <c r="S3042" s="2">
        <v>96.360299999999995</v>
      </c>
      <c r="T3042" s="2">
        <v>61</v>
      </c>
      <c r="U3042" s="2">
        <v>0.89347399999999999</v>
      </c>
      <c r="V3042" s="2">
        <v>17</v>
      </c>
      <c r="W3042" s="2">
        <v>2005</v>
      </c>
    </row>
    <row r="3043" spans="1:23" ht="12.3" x14ac:dyDescent="0.4">
      <c r="A3043" s="2" t="s">
        <v>43</v>
      </c>
      <c r="B3043" s="2">
        <v>3</v>
      </c>
      <c r="C3043" s="3" t="s">
        <v>33</v>
      </c>
      <c r="D3043" s="3" t="s">
        <v>33</v>
      </c>
      <c r="E3043" s="3" t="s">
        <v>33</v>
      </c>
      <c r="F3043" s="2"/>
      <c r="G3043" s="2"/>
      <c r="H3043" s="2"/>
      <c r="I3043" s="2">
        <v>70.724199999999996</v>
      </c>
      <c r="J3043" s="2">
        <v>53</v>
      </c>
      <c r="K3043" s="2">
        <v>69.760400000000004</v>
      </c>
      <c r="L3043" s="2">
        <v>69</v>
      </c>
      <c r="M3043" s="2">
        <v>111.7366</v>
      </c>
      <c r="N3043" s="2">
        <v>22</v>
      </c>
      <c r="O3043" s="2">
        <v>114.0151</v>
      </c>
      <c r="P3043" s="2">
        <v>16</v>
      </c>
      <c r="Q3043" s="2">
        <v>97.710700000000003</v>
      </c>
      <c r="R3043" s="2">
        <v>75</v>
      </c>
      <c r="S3043" s="2">
        <v>95.345799999999997</v>
      </c>
      <c r="T3043" s="2">
        <v>45</v>
      </c>
      <c r="U3043" s="2">
        <v>0.88659600000000005</v>
      </c>
      <c r="V3043" s="2">
        <v>18</v>
      </c>
      <c r="W3043" s="2">
        <v>2005</v>
      </c>
    </row>
    <row r="3044" spans="1:23" ht="12.3" x14ac:dyDescent="0.4">
      <c r="A3044" s="2" t="s">
        <v>76</v>
      </c>
      <c r="B3044" s="2">
        <v>6</v>
      </c>
      <c r="C3044" s="4" t="s">
        <v>33</v>
      </c>
      <c r="D3044" s="4" t="s">
        <v>33</v>
      </c>
      <c r="E3044" s="4" t="s">
        <v>33</v>
      </c>
      <c r="F3044" s="2"/>
      <c r="G3044" s="2"/>
      <c r="H3044" s="2"/>
      <c r="I3044" s="2">
        <v>63.467100000000002</v>
      </c>
      <c r="J3044" s="2">
        <v>293</v>
      </c>
      <c r="K3044" s="2">
        <v>63.684699999999999</v>
      </c>
      <c r="L3044" s="2">
        <v>293</v>
      </c>
      <c r="M3044" s="2">
        <v>105.86920000000001</v>
      </c>
      <c r="N3044" s="2">
        <v>68</v>
      </c>
      <c r="O3044" s="2">
        <v>108.8869</v>
      </c>
      <c r="P3044" s="2">
        <v>50</v>
      </c>
      <c r="Q3044" s="2">
        <v>94.531300000000002</v>
      </c>
      <c r="R3044" s="2">
        <v>35</v>
      </c>
      <c r="S3044" s="2">
        <v>91.066500000000005</v>
      </c>
      <c r="T3044" s="2">
        <v>10</v>
      </c>
      <c r="U3044" s="2">
        <v>0.88648000000000005</v>
      </c>
      <c r="V3044" s="2">
        <v>19</v>
      </c>
      <c r="W3044" s="2">
        <v>2005</v>
      </c>
    </row>
    <row r="3045" spans="1:23" ht="12.3" x14ac:dyDescent="0.4">
      <c r="A3045" s="2" t="s">
        <v>98</v>
      </c>
      <c r="B3045" s="2">
        <v>14</v>
      </c>
      <c r="C3045" s="2"/>
      <c r="D3045" s="2"/>
      <c r="E3045" s="2"/>
      <c r="F3045" s="2"/>
      <c r="G3045" s="2"/>
      <c r="H3045" s="2"/>
      <c r="I3045" s="2">
        <v>61.947400000000002</v>
      </c>
      <c r="J3045" s="2">
        <v>312</v>
      </c>
      <c r="K3045" s="2">
        <v>62.818100000000001</v>
      </c>
      <c r="L3045" s="2">
        <v>306</v>
      </c>
      <c r="M3045" s="2">
        <v>117.06189999999999</v>
      </c>
      <c r="N3045" s="2">
        <v>3</v>
      </c>
      <c r="O3045" s="2">
        <v>114.39960000000001</v>
      </c>
      <c r="P3045" s="2">
        <v>13</v>
      </c>
      <c r="Q3045" s="2">
        <v>92.366299999999995</v>
      </c>
      <c r="R3045" s="2">
        <v>17</v>
      </c>
      <c r="S3045" s="2">
        <v>95.724900000000005</v>
      </c>
      <c r="T3045" s="2">
        <v>49</v>
      </c>
      <c r="U3045" s="2">
        <v>0.88589799999999996</v>
      </c>
      <c r="V3045" s="2">
        <v>20</v>
      </c>
      <c r="W3045" s="2">
        <v>2005</v>
      </c>
    </row>
    <row r="3046" spans="1:23" ht="12.3" x14ac:dyDescent="0.4">
      <c r="A3046" s="2" t="s">
        <v>92</v>
      </c>
      <c r="B3046" s="2">
        <v>5</v>
      </c>
      <c r="C3046" s="4" t="s">
        <v>33</v>
      </c>
      <c r="D3046" s="2"/>
      <c r="E3046" s="2"/>
      <c r="F3046" s="2"/>
      <c r="G3046" s="2"/>
      <c r="H3046" s="2"/>
      <c r="I3046" s="2">
        <v>71.058999999999997</v>
      </c>
      <c r="J3046" s="2">
        <v>42</v>
      </c>
      <c r="K3046" s="2">
        <v>70.195599999999999</v>
      </c>
      <c r="L3046" s="2">
        <v>55</v>
      </c>
      <c r="M3046" s="2">
        <v>104.11539999999999</v>
      </c>
      <c r="N3046" s="2">
        <v>109</v>
      </c>
      <c r="O3046" s="2">
        <v>106.86709999999999</v>
      </c>
      <c r="P3046" s="2">
        <v>69</v>
      </c>
      <c r="Q3046" s="2">
        <v>92.221100000000007</v>
      </c>
      <c r="R3046" s="2">
        <v>16</v>
      </c>
      <c r="S3046" s="2">
        <v>89.422600000000003</v>
      </c>
      <c r="T3046" s="2">
        <v>4</v>
      </c>
      <c r="U3046" s="2">
        <v>0.88589200000000001</v>
      </c>
      <c r="V3046" s="2">
        <v>21</v>
      </c>
      <c r="W3046" s="2">
        <v>2005</v>
      </c>
    </row>
    <row r="3047" spans="1:23" ht="12.3" x14ac:dyDescent="0.4">
      <c r="A3047" s="2" t="s">
        <v>46</v>
      </c>
      <c r="B3047" s="2">
        <v>9</v>
      </c>
      <c r="C3047" s="25"/>
      <c r="D3047" s="2"/>
      <c r="E3047" s="2"/>
      <c r="F3047" s="2"/>
      <c r="G3047" s="2"/>
      <c r="H3047" s="2"/>
      <c r="I3047" s="2">
        <v>64.418599999999998</v>
      </c>
      <c r="J3047" s="2">
        <v>271</v>
      </c>
      <c r="K3047" s="2">
        <v>64.873699999999999</v>
      </c>
      <c r="L3047" s="2">
        <v>255</v>
      </c>
      <c r="M3047" s="2">
        <v>111.5947</v>
      </c>
      <c r="N3047" s="2">
        <v>23</v>
      </c>
      <c r="O3047" s="2">
        <v>113.95440000000001</v>
      </c>
      <c r="P3047" s="2">
        <v>17</v>
      </c>
      <c r="Q3047" s="2">
        <v>97.265500000000003</v>
      </c>
      <c r="R3047" s="2">
        <v>62</v>
      </c>
      <c r="S3047" s="2">
        <v>95.787899999999993</v>
      </c>
      <c r="T3047" s="2">
        <v>50</v>
      </c>
      <c r="U3047" s="2">
        <v>0.880494</v>
      </c>
      <c r="V3047" s="2">
        <v>22</v>
      </c>
      <c r="W3047" s="2">
        <v>2005</v>
      </c>
    </row>
    <row r="3048" spans="1:23" ht="12.3" x14ac:dyDescent="0.4">
      <c r="A3048" s="2" t="s">
        <v>55</v>
      </c>
      <c r="B3048" s="2">
        <v>10</v>
      </c>
      <c r="C3048" s="3" t="s">
        <v>33</v>
      </c>
      <c r="D3048" s="3" t="s">
        <v>33</v>
      </c>
      <c r="E3048" s="2"/>
      <c r="F3048" s="2"/>
      <c r="G3048" s="2"/>
      <c r="H3048" s="2"/>
      <c r="I3048" s="2">
        <v>65.905500000000004</v>
      </c>
      <c r="J3048" s="2">
        <v>216</v>
      </c>
      <c r="K3048" s="2">
        <v>63.6252</v>
      </c>
      <c r="L3048" s="2">
        <v>295</v>
      </c>
      <c r="M3048" s="2">
        <v>112.0655</v>
      </c>
      <c r="N3048" s="2">
        <v>17</v>
      </c>
      <c r="O3048" s="2">
        <v>114.1657</v>
      </c>
      <c r="P3048" s="2">
        <v>15</v>
      </c>
      <c r="Q3048" s="2">
        <v>100.84180000000001</v>
      </c>
      <c r="R3048" s="2">
        <v>150</v>
      </c>
      <c r="S3048" s="2">
        <v>96.755600000000001</v>
      </c>
      <c r="T3048" s="2">
        <v>66</v>
      </c>
      <c r="U3048" s="2">
        <v>0.87021099999999996</v>
      </c>
      <c r="V3048" s="2">
        <v>23</v>
      </c>
      <c r="W3048" s="2">
        <v>2005</v>
      </c>
    </row>
    <row r="3049" spans="1:23" ht="12.3" x14ac:dyDescent="0.4">
      <c r="A3049" s="2" t="s">
        <v>34</v>
      </c>
      <c r="B3049" s="2">
        <v>7</v>
      </c>
      <c r="C3049" s="4" t="s">
        <v>33</v>
      </c>
      <c r="D3049" s="2"/>
      <c r="E3049" s="2"/>
      <c r="F3049" s="2"/>
      <c r="G3049" s="2"/>
      <c r="H3049" s="2"/>
      <c r="I3049" s="2">
        <v>69.004999999999995</v>
      </c>
      <c r="J3049" s="2">
        <v>105</v>
      </c>
      <c r="K3049" s="2">
        <v>69.338200000000001</v>
      </c>
      <c r="L3049" s="2">
        <v>84</v>
      </c>
      <c r="M3049" s="2">
        <v>109.8523</v>
      </c>
      <c r="N3049" s="2">
        <v>34</v>
      </c>
      <c r="O3049" s="2">
        <v>109.8964</v>
      </c>
      <c r="P3049" s="2">
        <v>40</v>
      </c>
      <c r="Q3049" s="2">
        <v>92.832300000000004</v>
      </c>
      <c r="R3049" s="2">
        <v>18</v>
      </c>
      <c r="S3049" s="2">
        <v>93.400300000000001</v>
      </c>
      <c r="T3049" s="2">
        <v>26</v>
      </c>
      <c r="U3049" s="2">
        <v>0.86650499999999997</v>
      </c>
      <c r="V3049" s="2">
        <v>24</v>
      </c>
      <c r="W3049" s="2">
        <v>2005</v>
      </c>
    </row>
    <row r="3050" spans="1:23" ht="12.3" x14ac:dyDescent="0.4">
      <c r="A3050" s="2" t="s">
        <v>47</v>
      </c>
      <c r="B3050" s="2">
        <v>3</v>
      </c>
      <c r="C3050" s="4" t="s">
        <v>33</v>
      </c>
      <c r="D3050" s="2"/>
      <c r="E3050" s="2"/>
      <c r="F3050" s="2"/>
      <c r="G3050" s="2"/>
      <c r="H3050" s="2"/>
      <c r="I3050" s="2">
        <v>68.388400000000004</v>
      </c>
      <c r="J3050" s="2">
        <v>123</v>
      </c>
      <c r="K3050" s="2">
        <v>68.207899999999995</v>
      </c>
      <c r="L3050" s="2">
        <v>119</v>
      </c>
      <c r="M3050" s="2">
        <v>116.4325</v>
      </c>
      <c r="N3050" s="2">
        <v>6</v>
      </c>
      <c r="O3050" s="2">
        <v>117.93940000000001</v>
      </c>
      <c r="P3050" s="2">
        <v>7</v>
      </c>
      <c r="Q3050" s="2">
        <v>102.10250000000001</v>
      </c>
      <c r="R3050" s="2">
        <v>188</v>
      </c>
      <c r="S3050" s="2">
        <v>100.3467</v>
      </c>
      <c r="T3050" s="2">
        <v>137</v>
      </c>
      <c r="U3050" s="2">
        <v>0.86502900000000005</v>
      </c>
      <c r="V3050" s="2">
        <v>25</v>
      </c>
      <c r="W3050" s="2">
        <v>2005</v>
      </c>
    </row>
    <row r="3051" spans="1:23" ht="12.3" hidden="1" x14ac:dyDescent="0.4">
      <c r="A3051" s="2" t="s">
        <v>115</v>
      </c>
      <c r="B3051" s="2"/>
      <c r="C3051" s="2"/>
      <c r="D3051" s="2"/>
      <c r="E3051" s="2"/>
      <c r="F3051" s="2"/>
      <c r="G3051" s="2"/>
      <c r="H3051" s="2"/>
      <c r="I3051" s="2">
        <v>66.546300000000002</v>
      </c>
      <c r="J3051" s="2">
        <v>182</v>
      </c>
      <c r="K3051" s="2">
        <v>65.885999999999996</v>
      </c>
      <c r="L3051" s="2">
        <v>216</v>
      </c>
      <c r="M3051" s="2">
        <v>108.7184</v>
      </c>
      <c r="N3051" s="2">
        <v>47</v>
      </c>
      <c r="O3051" s="2">
        <v>110.66679999999999</v>
      </c>
      <c r="P3051" s="2">
        <v>35</v>
      </c>
      <c r="Q3051" s="2">
        <v>98.163399999999996</v>
      </c>
      <c r="R3051" s="2">
        <v>88</v>
      </c>
      <c r="S3051" s="2">
        <v>96.494399999999999</v>
      </c>
      <c r="T3051" s="2">
        <v>59</v>
      </c>
      <c r="U3051" s="2">
        <v>0.82862999999999998</v>
      </c>
      <c r="V3051" s="2">
        <v>38</v>
      </c>
      <c r="W3051" s="2">
        <v>2011</v>
      </c>
    </row>
    <row r="3052" spans="1:23" ht="12.3" x14ac:dyDescent="0.4">
      <c r="A3052" s="2" t="s">
        <v>95</v>
      </c>
      <c r="B3052" s="2">
        <v>4</v>
      </c>
      <c r="C3052" s="4" t="s">
        <v>33</v>
      </c>
      <c r="D3052" s="2"/>
      <c r="E3052" s="2"/>
      <c r="F3052" s="2"/>
      <c r="G3052" s="2"/>
      <c r="H3052" s="2"/>
      <c r="I3052" s="2">
        <v>64.899600000000007</v>
      </c>
      <c r="J3052" s="2">
        <v>259</v>
      </c>
      <c r="K3052" s="2">
        <v>65.185599999999994</v>
      </c>
      <c r="L3052" s="2">
        <v>247</v>
      </c>
      <c r="M3052" s="2">
        <v>109.54730000000001</v>
      </c>
      <c r="N3052" s="2">
        <v>40</v>
      </c>
      <c r="O3052" s="2">
        <v>112.0723</v>
      </c>
      <c r="P3052" s="2">
        <v>25</v>
      </c>
      <c r="Q3052" s="2">
        <v>97.370599999999996</v>
      </c>
      <c r="R3052" s="2">
        <v>65</v>
      </c>
      <c r="S3052" s="2">
        <v>95.647099999999995</v>
      </c>
      <c r="T3052" s="2">
        <v>48</v>
      </c>
      <c r="U3052" s="2">
        <v>0.86086600000000002</v>
      </c>
      <c r="V3052" s="2">
        <v>26</v>
      </c>
      <c r="W3052" s="2">
        <v>2005</v>
      </c>
    </row>
    <row r="3053" spans="1:23" ht="12.3" x14ac:dyDescent="0.4">
      <c r="A3053" s="2" t="s">
        <v>84</v>
      </c>
      <c r="B3053" s="2">
        <v>10</v>
      </c>
      <c r="C3053" s="2"/>
      <c r="D3053" s="2"/>
      <c r="E3053" s="2"/>
      <c r="F3053" s="2"/>
      <c r="G3053" s="2"/>
      <c r="H3053" s="2"/>
      <c r="I3053" s="2">
        <v>68.472300000000004</v>
      </c>
      <c r="J3053" s="2">
        <v>120</v>
      </c>
      <c r="K3053" s="2">
        <v>68.790800000000004</v>
      </c>
      <c r="L3053" s="2">
        <v>101</v>
      </c>
      <c r="M3053" s="2">
        <v>105.9579</v>
      </c>
      <c r="N3053" s="2">
        <v>65</v>
      </c>
      <c r="O3053" s="2">
        <v>110.5638</v>
      </c>
      <c r="P3053" s="2">
        <v>37</v>
      </c>
      <c r="Q3053" s="2">
        <v>97.1935</v>
      </c>
      <c r="R3053" s="2">
        <v>61</v>
      </c>
      <c r="S3053" s="2">
        <v>94.792500000000004</v>
      </c>
      <c r="T3053" s="2">
        <v>38</v>
      </c>
      <c r="U3053" s="2">
        <v>0.85444200000000003</v>
      </c>
      <c r="V3053" s="2">
        <v>27</v>
      </c>
      <c r="W3053" s="2">
        <v>2005</v>
      </c>
    </row>
    <row r="3054" spans="1:23" ht="12.3" hidden="1" x14ac:dyDescent="0.4">
      <c r="A3054" s="2" t="s">
        <v>159</v>
      </c>
      <c r="B3054" s="2"/>
      <c r="C3054" s="2"/>
      <c r="D3054" s="2"/>
      <c r="E3054" s="2"/>
      <c r="F3054" s="2"/>
      <c r="G3054" s="2"/>
      <c r="H3054" s="2"/>
      <c r="I3054" s="2">
        <v>66.004199999999997</v>
      </c>
      <c r="J3054" s="2">
        <v>210</v>
      </c>
      <c r="K3054" s="2">
        <v>65.085599999999999</v>
      </c>
      <c r="L3054" s="2">
        <v>249</v>
      </c>
      <c r="M3054" s="2">
        <v>104.7784</v>
      </c>
      <c r="N3054" s="2">
        <v>100</v>
      </c>
      <c r="O3054" s="2">
        <v>106.3344</v>
      </c>
      <c r="P3054" s="2">
        <v>86</v>
      </c>
      <c r="Q3054" s="2">
        <v>94.264499999999998</v>
      </c>
      <c r="R3054" s="2">
        <v>27</v>
      </c>
      <c r="S3054" s="2">
        <v>93.103399999999993</v>
      </c>
      <c r="T3054" s="2">
        <v>24</v>
      </c>
      <c r="U3054" s="2">
        <v>0.82172800000000001</v>
      </c>
      <c r="V3054" s="2">
        <v>41</v>
      </c>
      <c r="W3054" s="2">
        <v>2011</v>
      </c>
    </row>
    <row r="3055" spans="1:23" ht="12.3" x14ac:dyDescent="0.4">
      <c r="A3055" s="2" t="s">
        <v>82</v>
      </c>
      <c r="B3055" s="2">
        <v>7</v>
      </c>
      <c r="C3055" s="3" t="s">
        <v>33</v>
      </c>
      <c r="D3055" s="25"/>
      <c r="E3055" s="2"/>
      <c r="F3055" s="2"/>
      <c r="G3055" s="2"/>
      <c r="H3055" s="2"/>
      <c r="I3055" s="2">
        <v>63.823</v>
      </c>
      <c r="J3055" s="2">
        <v>284</v>
      </c>
      <c r="K3055" s="2">
        <v>64.196899999999999</v>
      </c>
      <c r="L3055" s="2">
        <v>284</v>
      </c>
      <c r="M3055" s="2">
        <v>104.85469999999999</v>
      </c>
      <c r="N3055" s="2">
        <v>92</v>
      </c>
      <c r="O3055" s="2">
        <v>106.9693</v>
      </c>
      <c r="P3055" s="2">
        <v>67</v>
      </c>
      <c r="Q3055" s="2">
        <v>94.084699999999998</v>
      </c>
      <c r="R3055" s="2">
        <v>30</v>
      </c>
      <c r="S3055" s="2">
        <v>92.393699999999995</v>
      </c>
      <c r="T3055" s="2">
        <v>15</v>
      </c>
      <c r="U3055" s="2">
        <v>0.84350599999999998</v>
      </c>
      <c r="V3055" s="2">
        <v>28</v>
      </c>
      <c r="W3055" s="2">
        <v>2005</v>
      </c>
    </row>
    <row r="3056" spans="1:23" ht="12.3" x14ac:dyDescent="0.4">
      <c r="A3056" s="2" t="s">
        <v>115</v>
      </c>
      <c r="B3056" s="2">
        <v>12</v>
      </c>
      <c r="C3056" s="25"/>
      <c r="D3056" s="2"/>
      <c r="E3056" s="2"/>
      <c r="F3056" s="2"/>
      <c r="G3056" s="2"/>
      <c r="H3056" s="2"/>
      <c r="I3056" s="2">
        <v>66.519000000000005</v>
      </c>
      <c r="J3056" s="2">
        <v>192</v>
      </c>
      <c r="K3056" s="2">
        <v>66.275599999999997</v>
      </c>
      <c r="L3056" s="2">
        <v>208</v>
      </c>
      <c r="M3056" s="2">
        <v>113.89490000000001</v>
      </c>
      <c r="N3056" s="2">
        <v>12</v>
      </c>
      <c r="O3056" s="2">
        <v>112.06489999999999</v>
      </c>
      <c r="P3056" s="2">
        <v>26</v>
      </c>
      <c r="Q3056" s="2">
        <v>97.835999999999999</v>
      </c>
      <c r="R3056" s="2">
        <v>77</v>
      </c>
      <c r="S3056" s="2">
        <v>97.262200000000007</v>
      </c>
      <c r="T3056" s="2">
        <v>73</v>
      </c>
      <c r="U3056" s="2">
        <v>0.83605700000000005</v>
      </c>
      <c r="V3056" s="2">
        <v>29</v>
      </c>
      <c r="W3056" s="2">
        <v>2005</v>
      </c>
    </row>
    <row r="3057" spans="1:23" ht="12.3" x14ac:dyDescent="0.4">
      <c r="A3057" s="2" t="s">
        <v>67</v>
      </c>
      <c r="B3057" s="2">
        <v>8</v>
      </c>
      <c r="C3057" s="2"/>
      <c r="D3057" s="2"/>
      <c r="E3057" s="2"/>
      <c r="F3057" s="2"/>
      <c r="G3057" s="2"/>
      <c r="H3057" s="2"/>
      <c r="I3057" s="2">
        <v>69.051500000000004</v>
      </c>
      <c r="J3057" s="2">
        <v>102</v>
      </c>
      <c r="K3057" s="2">
        <v>67.960400000000007</v>
      </c>
      <c r="L3057" s="2">
        <v>125</v>
      </c>
      <c r="M3057" s="2">
        <v>111.38039999999999</v>
      </c>
      <c r="N3057" s="2">
        <v>26</v>
      </c>
      <c r="O3057" s="2">
        <v>110.8698</v>
      </c>
      <c r="P3057" s="2">
        <v>33</v>
      </c>
      <c r="Q3057" s="2">
        <v>98.966800000000006</v>
      </c>
      <c r="R3057" s="2">
        <v>108</v>
      </c>
      <c r="S3057" s="2">
        <v>96.702500000000001</v>
      </c>
      <c r="T3057" s="2">
        <v>65</v>
      </c>
      <c r="U3057" s="2">
        <v>0.82810399999999995</v>
      </c>
      <c r="V3057" s="2">
        <v>31</v>
      </c>
      <c r="W3057" s="2">
        <v>2005</v>
      </c>
    </row>
    <row r="3058" spans="1:23" ht="12.3" x14ac:dyDescent="0.4">
      <c r="A3058" s="2" t="s">
        <v>75</v>
      </c>
      <c r="B3058" s="2">
        <v>8</v>
      </c>
      <c r="C3058" s="25"/>
      <c r="D3058" s="25"/>
      <c r="E3058" s="25"/>
      <c r="F3058" s="25"/>
      <c r="G3058" s="25"/>
      <c r="H3058" s="2"/>
      <c r="I3058" s="2">
        <v>67.285899999999998</v>
      </c>
      <c r="J3058" s="2">
        <v>164</v>
      </c>
      <c r="K3058" s="2">
        <v>68.7136</v>
      </c>
      <c r="L3058" s="2">
        <v>107</v>
      </c>
      <c r="M3058" s="2">
        <v>101.2773</v>
      </c>
      <c r="N3058" s="2">
        <v>173</v>
      </c>
      <c r="O3058" s="2">
        <v>101.1123</v>
      </c>
      <c r="P3058" s="2">
        <v>167</v>
      </c>
      <c r="Q3058" s="2">
        <v>93.218000000000004</v>
      </c>
      <c r="R3058" s="2">
        <v>21</v>
      </c>
      <c r="S3058" s="2">
        <v>88.239599999999996</v>
      </c>
      <c r="T3058" s="2">
        <v>2</v>
      </c>
      <c r="U3058" s="2">
        <v>0.82721599999999995</v>
      </c>
      <c r="V3058" s="2">
        <v>32</v>
      </c>
      <c r="W3058" s="2">
        <v>2005</v>
      </c>
    </row>
    <row r="3059" spans="1:23" ht="12.3" x14ac:dyDescent="0.4">
      <c r="A3059" s="2" t="s">
        <v>85</v>
      </c>
      <c r="B3059" s="2">
        <v>6</v>
      </c>
      <c r="C3059" s="2"/>
      <c r="D3059" s="2"/>
      <c r="E3059" s="2"/>
      <c r="F3059" s="2"/>
      <c r="G3059" s="2"/>
      <c r="H3059" s="2"/>
      <c r="I3059" s="2">
        <v>66.919899999999998</v>
      </c>
      <c r="J3059" s="2">
        <v>173</v>
      </c>
      <c r="K3059" s="2">
        <v>67.017399999999995</v>
      </c>
      <c r="L3059" s="2">
        <v>173</v>
      </c>
      <c r="M3059" s="2">
        <v>110.28230000000001</v>
      </c>
      <c r="N3059" s="2">
        <v>30</v>
      </c>
      <c r="O3059" s="2">
        <v>113.3772</v>
      </c>
      <c r="P3059" s="2">
        <v>21</v>
      </c>
      <c r="Q3059" s="2">
        <v>104.2854</v>
      </c>
      <c r="R3059" s="2">
        <v>237</v>
      </c>
      <c r="S3059" s="2">
        <v>99.493099999999998</v>
      </c>
      <c r="T3059" s="2">
        <v>117</v>
      </c>
      <c r="U3059" s="2">
        <v>0.81791199999999997</v>
      </c>
      <c r="V3059" s="2">
        <v>33</v>
      </c>
      <c r="W3059" s="2">
        <v>2005</v>
      </c>
    </row>
    <row r="3060" spans="1:23" ht="12.3" hidden="1" x14ac:dyDescent="0.4">
      <c r="A3060" s="2" t="s">
        <v>129</v>
      </c>
      <c r="B3060" s="2"/>
      <c r="C3060" s="2"/>
      <c r="D3060" s="2"/>
      <c r="E3060" s="2"/>
      <c r="F3060" s="2"/>
      <c r="G3060" s="2"/>
      <c r="H3060" s="2"/>
      <c r="I3060" s="2">
        <v>69.481800000000007</v>
      </c>
      <c r="J3060" s="2">
        <v>51</v>
      </c>
      <c r="K3060" s="2">
        <v>68.2881</v>
      </c>
      <c r="L3060" s="2">
        <v>83</v>
      </c>
      <c r="M3060" s="2">
        <v>112.7513</v>
      </c>
      <c r="N3060" s="2">
        <v>15</v>
      </c>
      <c r="O3060" s="2">
        <v>115.2333</v>
      </c>
      <c r="P3060" s="2">
        <v>11</v>
      </c>
      <c r="Q3060" s="2">
        <v>105.0448</v>
      </c>
      <c r="R3060" s="2">
        <v>259</v>
      </c>
      <c r="S3060" s="2">
        <v>101.8797</v>
      </c>
      <c r="T3060" s="2">
        <v>171</v>
      </c>
      <c r="U3060" s="2">
        <v>0.80477399999999999</v>
      </c>
      <c r="V3060" s="2">
        <v>47</v>
      </c>
      <c r="W3060" s="2">
        <v>2011</v>
      </c>
    </row>
    <row r="3061" spans="1:23" ht="12.3" x14ac:dyDescent="0.4">
      <c r="A3061" s="2" t="s">
        <v>126</v>
      </c>
      <c r="B3061" s="2">
        <v>8</v>
      </c>
      <c r="C3061" s="4" t="s">
        <v>33</v>
      </c>
      <c r="D3061" s="2"/>
      <c r="E3061" s="2"/>
      <c r="F3061" s="2"/>
      <c r="G3061" s="2"/>
      <c r="H3061" s="2"/>
      <c r="I3061" s="2">
        <v>64.131299999999996</v>
      </c>
      <c r="J3061" s="2">
        <v>281</v>
      </c>
      <c r="K3061" s="2">
        <v>64.432000000000002</v>
      </c>
      <c r="L3061" s="2">
        <v>275</v>
      </c>
      <c r="M3061" s="2">
        <v>111.96639999999999</v>
      </c>
      <c r="N3061" s="2">
        <v>19</v>
      </c>
      <c r="O3061" s="2">
        <v>111.96</v>
      </c>
      <c r="P3061" s="2">
        <v>27</v>
      </c>
      <c r="Q3061" s="2">
        <v>98.072299999999998</v>
      </c>
      <c r="R3061" s="2">
        <v>86</v>
      </c>
      <c r="S3061" s="2">
        <v>98.343500000000006</v>
      </c>
      <c r="T3061" s="2">
        <v>89</v>
      </c>
      <c r="U3061" s="2">
        <v>0.81626900000000002</v>
      </c>
      <c r="V3061" s="2">
        <v>34</v>
      </c>
      <c r="W3061" s="2">
        <v>2005</v>
      </c>
    </row>
    <row r="3062" spans="1:23" ht="12.3" hidden="1" x14ac:dyDescent="0.4">
      <c r="A3062" s="2" t="s">
        <v>262</v>
      </c>
      <c r="B3062" s="2"/>
      <c r="C3062" s="2"/>
      <c r="D3062" s="2"/>
      <c r="E3062" s="2"/>
      <c r="F3062" s="2"/>
      <c r="G3062" s="2"/>
      <c r="H3062" s="2"/>
      <c r="I3062" s="2">
        <v>66.703000000000003</v>
      </c>
      <c r="J3062" s="2">
        <v>176</v>
      </c>
      <c r="K3062" s="2">
        <v>66.169399999999996</v>
      </c>
      <c r="L3062" s="2">
        <v>200</v>
      </c>
      <c r="M3062" s="2">
        <v>116.8747</v>
      </c>
      <c r="N3062" s="2">
        <v>5</v>
      </c>
      <c r="O3062" s="2">
        <v>115.321</v>
      </c>
      <c r="P3062" s="2">
        <v>10</v>
      </c>
      <c r="Q3062" s="2">
        <v>100.02209999999999</v>
      </c>
      <c r="R3062" s="2">
        <v>126</v>
      </c>
      <c r="S3062" s="2">
        <v>102.3013</v>
      </c>
      <c r="T3062" s="2">
        <v>185</v>
      </c>
      <c r="U3062" s="2">
        <v>0.79861599999999999</v>
      </c>
      <c r="V3062" s="2">
        <v>49</v>
      </c>
      <c r="W3062" s="2">
        <v>2011</v>
      </c>
    </row>
    <row r="3063" spans="1:23" ht="12.3" hidden="1" x14ac:dyDescent="0.4">
      <c r="A3063" s="2" t="s">
        <v>119</v>
      </c>
      <c r="B3063" s="2"/>
      <c r="C3063" s="2"/>
      <c r="D3063" s="2"/>
      <c r="E3063" s="2"/>
      <c r="F3063" s="2"/>
      <c r="G3063" s="2"/>
      <c r="H3063" s="2"/>
      <c r="I3063" s="2">
        <v>68.725200000000001</v>
      </c>
      <c r="J3063" s="2">
        <v>78</v>
      </c>
      <c r="K3063" s="2">
        <v>69.043000000000006</v>
      </c>
      <c r="L3063" s="2">
        <v>58</v>
      </c>
      <c r="M3063" s="2">
        <v>96.940700000000007</v>
      </c>
      <c r="N3063" s="2">
        <v>264</v>
      </c>
      <c r="O3063" s="2">
        <v>102.36579999999999</v>
      </c>
      <c r="P3063" s="2">
        <v>150</v>
      </c>
      <c r="Q3063" s="2">
        <v>95.120699999999999</v>
      </c>
      <c r="R3063" s="2">
        <v>38</v>
      </c>
      <c r="S3063" s="2">
        <v>90.959800000000001</v>
      </c>
      <c r="T3063" s="2">
        <v>11</v>
      </c>
      <c r="U3063" s="2">
        <v>0.79552299999999998</v>
      </c>
      <c r="V3063" s="2">
        <v>50</v>
      </c>
      <c r="W3063" s="2">
        <v>2011</v>
      </c>
    </row>
    <row r="3064" spans="1:23" ht="12.3" hidden="1" x14ac:dyDescent="0.4">
      <c r="A3064" s="2" t="s">
        <v>49</v>
      </c>
      <c r="B3064" s="2"/>
      <c r="C3064" s="2"/>
      <c r="D3064" s="2"/>
      <c r="E3064" s="2"/>
      <c r="F3064" s="2"/>
      <c r="G3064" s="2"/>
      <c r="H3064" s="2"/>
      <c r="I3064" s="2">
        <v>65.486000000000004</v>
      </c>
      <c r="J3064" s="2">
        <v>234</v>
      </c>
      <c r="K3064" s="2">
        <v>64.677800000000005</v>
      </c>
      <c r="L3064" s="2">
        <v>264</v>
      </c>
      <c r="M3064" s="2">
        <v>100.96</v>
      </c>
      <c r="N3064" s="2">
        <v>189</v>
      </c>
      <c r="O3064" s="2">
        <v>102.4183</v>
      </c>
      <c r="P3064" s="2">
        <v>149</v>
      </c>
      <c r="Q3064" s="2">
        <v>90.256900000000002</v>
      </c>
      <c r="R3064" s="2">
        <v>6</v>
      </c>
      <c r="S3064" s="2">
        <v>91.223600000000005</v>
      </c>
      <c r="T3064" s="2">
        <v>12</v>
      </c>
      <c r="U3064" s="2">
        <v>0.79103000000000001</v>
      </c>
      <c r="V3064" s="2">
        <v>51</v>
      </c>
      <c r="W3064" s="2">
        <v>2011</v>
      </c>
    </row>
    <row r="3065" spans="1:23" ht="12.3" hidden="1" x14ac:dyDescent="0.4">
      <c r="A3065" s="2" t="s">
        <v>136</v>
      </c>
      <c r="B3065" s="2"/>
      <c r="C3065" s="2"/>
      <c r="D3065" s="2"/>
      <c r="E3065" s="2"/>
      <c r="F3065" s="2"/>
      <c r="G3065" s="2"/>
      <c r="H3065" s="2"/>
      <c r="I3065" s="2">
        <v>65.082800000000006</v>
      </c>
      <c r="J3065" s="2">
        <v>250</v>
      </c>
      <c r="K3065" s="2">
        <v>63.661700000000003</v>
      </c>
      <c r="L3065" s="2">
        <v>304</v>
      </c>
      <c r="M3065" s="2">
        <v>102.64019999999999</v>
      </c>
      <c r="N3065" s="2">
        <v>148</v>
      </c>
      <c r="O3065" s="2">
        <v>103.7345</v>
      </c>
      <c r="P3065" s="2">
        <v>119</v>
      </c>
      <c r="Q3065" s="2">
        <v>91.932100000000005</v>
      </c>
      <c r="R3065" s="2">
        <v>11</v>
      </c>
      <c r="S3065" s="2">
        <v>92.422799999999995</v>
      </c>
      <c r="T3065" s="2">
        <v>19</v>
      </c>
      <c r="U3065" s="2">
        <v>0.79047599999999996</v>
      </c>
      <c r="V3065" s="2">
        <v>52</v>
      </c>
      <c r="W3065" s="2">
        <v>2011</v>
      </c>
    </row>
    <row r="3066" spans="1:23" ht="12.3" x14ac:dyDescent="0.4">
      <c r="A3066" s="2" t="s">
        <v>232</v>
      </c>
      <c r="B3066" s="2">
        <v>12</v>
      </c>
      <c r="C3066" s="25"/>
      <c r="D3066" s="2"/>
      <c r="E3066" s="2"/>
      <c r="F3066" s="2"/>
      <c r="G3066" s="2"/>
      <c r="H3066" s="2"/>
      <c r="I3066" s="2">
        <v>70.552000000000007</v>
      </c>
      <c r="J3066" s="2">
        <v>59</v>
      </c>
      <c r="K3066" s="2">
        <v>71.497100000000003</v>
      </c>
      <c r="L3066" s="2">
        <v>32</v>
      </c>
      <c r="M3066" s="2">
        <v>109.0921</v>
      </c>
      <c r="N3066" s="2">
        <v>42</v>
      </c>
      <c r="O3066" s="2">
        <v>108.32170000000001</v>
      </c>
      <c r="P3066" s="2">
        <v>54</v>
      </c>
      <c r="Q3066" s="2">
        <v>94.330200000000005</v>
      </c>
      <c r="R3066" s="2">
        <v>32</v>
      </c>
      <c r="S3066" s="2">
        <v>95.215699999999998</v>
      </c>
      <c r="T3066" s="2">
        <v>41</v>
      </c>
      <c r="U3066" s="2">
        <v>0.81503199999999998</v>
      </c>
      <c r="V3066" s="2">
        <v>35</v>
      </c>
      <c r="W3066" s="2">
        <v>2005</v>
      </c>
    </row>
    <row r="3067" spans="1:23" ht="12.3" x14ac:dyDescent="0.4">
      <c r="A3067" s="2" t="s">
        <v>229</v>
      </c>
      <c r="B3067" s="2">
        <v>7</v>
      </c>
      <c r="C3067" s="4" t="s">
        <v>33</v>
      </c>
      <c r="D3067" s="4" t="s">
        <v>33</v>
      </c>
      <c r="E3067" s="4" t="s">
        <v>33</v>
      </c>
      <c r="F3067" s="2"/>
      <c r="G3067" s="2"/>
      <c r="H3067" s="2"/>
      <c r="I3067" s="2">
        <v>64.240099999999998</v>
      </c>
      <c r="J3067" s="2">
        <v>277</v>
      </c>
      <c r="K3067" s="2">
        <v>64.682699999999997</v>
      </c>
      <c r="L3067" s="2">
        <v>264</v>
      </c>
      <c r="M3067" s="2">
        <v>108.9222</v>
      </c>
      <c r="N3067" s="2">
        <v>45</v>
      </c>
      <c r="O3067" s="2">
        <v>112.3967</v>
      </c>
      <c r="P3067" s="2">
        <v>24</v>
      </c>
      <c r="Q3067" s="2">
        <v>101.9979</v>
      </c>
      <c r="R3067" s="2">
        <v>182</v>
      </c>
      <c r="S3067" s="2">
        <v>98.949700000000007</v>
      </c>
      <c r="T3067" s="2">
        <v>104</v>
      </c>
      <c r="U3067" s="2">
        <v>0.81235199999999996</v>
      </c>
      <c r="V3067" s="2">
        <v>37</v>
      </c>
      <c r="W3067" s="2">
        <v>2005</v>
      </c>
    </row>
    <row r="3068" spans="1:23" ht="12.3" hidden="1" x14ac:dyDescent="0.4">
      <c r="A3068" s="2" t="s">
        <v>36</v>
      </c>
      <c r="B3068" s="2"/>
      <c r="C3068" s="2"/>
      <c r="D3068" s="2"/>
      <c r="E3068" s="2"/>
      <c r="F3068" s="2"/>
      <c r="G3068" s="2"/>
      <c r="H3068" s="2"/>
      <c r="I3068" s="2">
        <v>71.938999999999993</v>
      </c>
      <c r="J3068" s="2">
        <v>20</v>
      </c>
      <c r="K3068" s="2">
        <v>71.537599999999998</v>
      </c>
      <c r="L3068" s="2">
        <v>17</v>
      </c>
      <c r="M3068" s="2">
        <v>106.7872</v>
      </c>
      <c r="N3068" s="2">
        <v>64</v>
      </c>
      <c r="O3068" s="2">
        <v>106.874</v>
      </c>
      <c r="P3068" s="2">
        <v>77</v>
      </c>
      <c r="Q3068" s="2">
        <v>94.352999999999994</v>
      </c>
      <c r="R3068" s="2">
        <v>29</v>
      </c>
      <c r="S3068" s="2">
        <v>95.432599999999994</v>
      </c>
      <c r="T3068" s="2">
        <v>48</v>
      </c>
      <c r="U3068" s="2">
        <v>0.78619799999999995</v>
      </c>
      <c r="V3068" s="2">
        <v>55</v>
      </c>
      <c r="W3068" s="2">
        <v>2011</v>
      </c>
    </row>
    <row r="3069" spans="1:23" ht="12.3" hidden="1" x14ac:dyDescent="0.4">
      <c r="A3069" s="2" t="s">
        <v>192</v>
      </c>
      <c r="B3069" s="2"/>
      <c r="C3069" s="2"/>
      <c r="D3069" s="2"/>
      <c r="E3069" s="2"/>
      <c r="F3069" s="2"/>
      <c r="G3069" s="2"/>
      <c r="H3069" s="2"/>
      <c r="I3069" s="2">
        <v>64.322699999999998</v>
      </c>
      <c r="J3069" s="2">
        <v>277</v>
      </c>
      <c r="K3069" s="2">
        <v>65.564300000000003</v>
      </c>
      <c r="L3069" s="2">
        <v>232</v>
      </c>
      <c r="M3069" s="2">
        <v>111.02500000000001</v>
      </c>
      <c r="N3069" s="2">
        <v>23</v>
      </c>
      <c r="O3069" s="2">
        <v>109.0325</v>
      </c>
      <c r="P3069" s="2">
        <v>56</v>
      </c>
      <c r="Q3069" s="2">
        <v>95.346199999999996</v>
      </c>
      <c r="R3069" s="2">
        <v>41</v>
      </c>
      <c r="S3069" s="2">
        <v>97.470100000000002</v>
      </c>
      <c r="T3069" s="2">
        <v>75</v>
      </c>
      <c r="U3069" s="2">
        <v>0.78400300000000001</v>
      </c>
      <c r="V3069" s="2">
        <v>56</v>
      </c>
      <c r="W3069" s="2">
        <v>2011</v>
      </c>
    </row>
    <row r="3070" spans="1:23" ht="12.3" x14ac:dyDescent="0.4">
      <c r="A3070" s="2" t="s">
        <v>90</v>
      </c>
      <c r="B3070" s="2">
        <v>10</v>
      </c>
      <c r="C3070" s="2"/>
      <c r="D3070" s="2"/>
      <c r="E3070" s="2"/>
      <c r="F3070" s="2"/>
      <c r="G3070" s="2"/>
      <c r="H3070" s="2"/>
      <c r="I3070" s="2">
        <v>64.490899999999996</v>
      </c>
      <c r="J3070" s="2">
        <v>269</v>
      </c>
      <c r="K3070" s="2">
        <v>64.507199999999997</v>
      </c>
      <c r="L3070" s="2">
        <v>271</v>
      </c>
      <c r="M3070" s="2">
        <v>110.4606</v>
      </c>
      <c r="N3070" s="2">
        <v>29</v>
      </c>
      <c r="O3070" s="2">
        <v>113.12309999999999</v>
      </c>
      <c r="P3070" s="2">
        <v>22</v>
      </c>
      <c r="Q3070" s="2">
        <v>100.2475</v>
      </c>
      <c r="R3070" s="2">
        <v>136</v>
      </c>
      <c r="S3070" s="2">
        <v>99.631100000000004</v>
      </c>
      <c r="T3070" s="2">
        <v>121</v>
      </c>
      <c r="U3070" s="2">
        <v>0.81161300000000003</v>
      </c>
      <c r="V3070" s="2">
        <v>38</v>
      </c>
      <c r="W3070" s="2">
        <v>2005</v>
      </c>
    </row>
    <row r="3071" spans="1:23" ht="12.3" hidden="1" x14ac:dyDescent="0.4">
      <c r="A3071" s="2" t="s">
        <v>241</v>
      </c>
      <c r="B3071" s="2"/>
      <c r="C3071" s="2"/>
      <c r="D3071" s="2"/>
      <c r="E3071" s="2"/>
      <c r="F3071" s="2"/>
      <c r="G3071" s="2"/>
      <c r="H3071" s="2"/>
      <c r="I3071" s="2">
        <v>69.500100000000003</v>
      </c>
      <c r="J3071" s="2">
        <v>49</v>
      </c>
      <c r="K3071" s="2">
        <v>68.922200000000004</v>
      </c>
      <c r="L3071" s="2">
        <v>61</v>
      </c>
      <c r="M3071" s="2">
        <v>112.26519999999999</v>
      </c>
      <c r="N3071" s="2">
        <v>19</v>
      </c>
      <c r="O3071" s="2">
        <v>112.3747</v>
      </c>
      <c r="P3071" s="2">
        <v>24</v>
      </c>
      <c r="Q3071" s="2">
        <v>97.909400000000005</v>
      </c>
      <c r="R3071" s="2">
        <v>81</v>
      </c>
      <c r="S3071" s="2">
        <v>100.62739999999999</v>
      </c>
      <c r="T3071" s="2">
        <v>134</v>
      </c>
      <c r="U3071" s="2">
        <v>0.78070200000000001</v>
      </c>
      <c r="V3071" s="2">
        <v>58</v>
      </c>
      <c r="W3071" s="2">
        <v>2011</v>
      </c>
    </row>
    <row r="3072" spans="1:23" ht="12.3" hidden="1" x14ac:dyDescent="0.4">
      <c r="A3072" s="2" t="s">
        <v>239</v>
      </c>
      <c r="B3072" s="2"/>
      <c r="C3072" s="2"/>
      <c r="D3072" s="2"/>
      <c r="E3072" s="2"/>
      <c r="F3072" s="2"/>
      <c r="G3072" s="2"/>
      <c r="H3072" s="2"/>
      <c r="I3072" s="2">
        <v>69.038300000000007</v>
      </c>
      <c r="J3072" s="2">
        <v>68</v>
      </c>
      <c r="K3072" s="2">
        <v>68.7346</v>
      </c>
      <c r="L3072" s="2">
        <v>66</v>
      </c>
      <c r="M3072" s="2">
        <v>105.3583</v>
      </c>
      <c r="N3072" s="2">
        <v>85</v>
      </c>
      <c r="O3072" s="2">
        <v>106.83369999999999</v>
      </c>
      <c r="P3072" s="2">
        <v>79</v>
      </c>
      <c r="Q3072" s="2">
        <v>96.334699999999998</v>
      </c>
      <c r="R3072" s="2">
        <v>53</v>
      </c>
      <c r="S3072" s="2">
        <v>95.689400000000006</v>
      </c>
      <c r="T3072" s="2">
        <v>52</v>
      </c>
      <c r="U3072" s="2">
        <v>0.78021300000000005</v>
      </c>
      <c r="V3072" s="2">
        <v>59</v>
      </c>
      <c r="W3072" s="2">
        <v>2011</v>
      </c>
    </row>
    <row r="3073" spans="1:23" ht="12.3" x14ac:dyDescent="0.4">
      <c r="A3073" s="2" t="s">
        <v>59</v>
      </c>
      <c r="B3073" s="2">
        <v>6</v>
      </c>
      <c r="C3073" s="4" t="s">
        <v>33</v>
      </c>
      <c r="D3073" s="4" t="s">
        <v>33</v>
      </c>
      <c r="E3073" s="2"/>
      <c r="F3073" s="2"/>
      <c r="G3073" s="2"/>
      <c r="H3073" s="2"/>
      <c r="I3073" s="2">
        <v>70.939499999999995</v>
      </c>
      <c r="J3073" s="2">
        <v>46</v>
      </c>
      <c r="K3073" s="2">
        <v>70.421599999999998</v>
      </c>
      <c r="L3073" s="2">
        <v>51</v>
      </c>
      <c r="M3073" s="2">
        <v>108.3214</v>
      </c>
      <c r="N3073" s="2">
        <v>51</v>
      </c>
      <c r="O3073" s="2">
        <v>107.81359999999999</v>
      </c>
      <c r="P3073" s="2">
        <v>61</v>
      </c>
      <c r="Q3073" s="2">
        <v>97.950299999999999</v>
      </c>
      <c r="R3073" s="2">
        <v>80</v>
      </c>
      <c r="S3073" s="2">
        <v>95.236000000000004</v>
      </c>
      <c r="T3073" s="2">
        <v>42</v>
      </c>
      <c r="U3073" s="2">
        <v>0.80635800000000002</v>
      </c>
      <c r="V3073" s="2">
        <v>39</v>
      </c>
      <c r="W3073" s="2">
        <v>2005</v>
      </c>
    </row>
    <row r="3074" spans="1:23" ht="12.3" x14ac:dyDescent="0.4">
      <c r="A3074" s="2" t="s">
        <v>48</v>
      </c>
      <c r="B3074" s="2">
        <v>9</v>
      </c>
      <c r="C3074" s="4" t="s">
        <v>33</v>
      </c>
      <c r="D3074" s="2"/>
      <c r="E3074" s="2"/>
      <c r="F3074" s="2"/>
      <c r="G3074" s="2"/>
      <c r="H3074" s="2"/>
      <c r="I3074" s="2">
        <v>68.984800000000007</v>
      </c>
      <c r="J3074" s="2">
        <v>106</v>
      </c>
      <c r="K3074" s="2">
        <v>70.145600000000002</v>
      </c>
      <c r="L3074" s="2">
        <v>57</v>
      </c>
      <c r="M3074" s="2">
        <v>104.6399</v>
      </c>
      <c r="N3074" s="2">
        <v>101</v>
      </c>
      <c r="O3074" s="2">
        <v>105.8001</v>
      </c>
      <c r="P3074" s="2">
        <v>89</v>
      </c>
      <c r="Q3074" s="2">
        <v>95.862700000000004</v>
      </c>
      <c r="R3074" s="2">
        <v>45</v>
      </c>
      <c r="S3074" s="2">
        <v>93.693600000000004</v>
      </c>
      <c r="T3074" s="2">
        <v>28</v>
      </c>
      <c r="U3074" s="2">
        <v>0.80178799999999995</v>
      </c>
      <c r="V3074" s="2">
        <v>40</v>
      </c>
      <c r="W3074" s="2">
        <v>2005</v>
      </c>
    </row>
    <row r="3075" spans="1:23" ht="12.3" hidden="1" x14ac:dyDescent="0.4">
      <c r="A3075" s="2" t="s">
        <v>255</v>
      </c>
      <c r="B3075" s="2"/>
      <c r="C3075" s="2"/>
      <c r="D3075" s="2"/>
      <c r="E3075" s="2"/>
      <c r="F3075" s="2"/>
      <c r="G3075" s="2"/>
      <c r="H3075" s="2"/>
      <c r="I3075" s="2">
        <v>64.018299999999996</v>
      </c>
      <c r="J3075" s="2">
        <v>289</v>
      </c>
      <c r="K3075" s="2">
        <v>64.208500000000001</v>
      </c>
      <c r="L3075" s="2">
        <v>285</v>
      </c>
      <c r="M3075" s="2">
        <v>111.4175</v>
      </c>
      <c r="N3075" s="2">
        <v>21</v>
      </c>
      <c r="O3075" s="2">
        <v>112.24979999999999</v>
      </c>
      <c r="P3075" s="2">
        <v>25</v>
      </c>
      <c r="Q3075" s="2">
        <v>100.244</v>
      </c>
      <c r="R3075" s="2">
        <v>137</v>
      </c>
      <c r="S3075" s="2">
        <v>101.123</v>
      </c>
      <c r="T3075" s="2">
        <v>149</v>
      </c>
      <c r="U3075" s="2">
        <v>0.76861100000000004</v>
      </c>
      <c r="V3075" s="2">
        <v>62</v>
      </c>
      <c r="W3075" s="2">
        <v>2011</v>
      </c>
    </row>
    <row r="3076" spans="1:23" ht="12.3" hidden="1" x14ac:dyDescent="0.4">
      <c r="A3076" s="2" t="s">
        <v>60</v>
      </c>
      <c r="B3076" s="2"/>
      <c r="C3076" s="2"/>
      <c r="D3076" s="2"/>
      <c r="E3076" s="2"/>
      <c r="F3076" s="2"/>
      <c r="G3076" s="2"/>
      <c r="H3076" s="2"/>
      <c r="I3076" s="2">
        <v>65.849900000000005</v>
      </c>
      <c r="J3076" s="2">
        <v>222</v>
      </c>
      <c r="K3076" s="2">
        <v>65.123900000000006</v>
      </c>
      <c r="L3076" s="2">
        <v>248</v>
      </c>
      <c r="M3076" s="2">
        <v>107.36709999999999</v>
      </c>
      <c r="N3076" s="2">
        <v>56</v>
      </c>
      <c r="O3076" s="2">
        <v>109.58159999999999</v>
      </c>
      <c r="P3076" s="2">
        <v>47</v>
      </c>
      <c r="Q3076" s="2">
        <v>101.7621</v>
      </c>
      <c r="R3076" s="2">
        <v>181</v>
      </c>
      <c r="S3076" s="2">
        <v>98.757199999999997</v>
      </c>
      <c r="T3076" s="2">
        <v>103</v>
      </c>
      <c r="U3076" s="2">
        <v>0.76782300000000003</v>
      </c>
      <c r="V3076" s="2">
        <v>63</v>
      </c>
      <c r="W3076" s="2">
        <v>2011</v>
      </c>
    </row>
    <row r="3077" spans="1:23" ht="12.3" hidden="1" x14ac:dyDescent="0.4">
      <c r="A3077" s="2" t="s">
        <v>250</v>
      </c>
      <c r="B3077" s="2"/>
      <c r="C3077" s="2"/>
      <c r="D3077" s="2"/>
      <c r="E3077" s="2"/>
      <c r="F3077" s="2"/>
      <c r="G3077" s="2"/>
      <c r="H3077" s="2"/>
      <c r="I3077" s="2">
        <v>71.161299999999997</v>
      </c>
      <c r="J3077" s="2">
        <v>27</v>
      </c>
      <c r="K3077" s="2">
        <v>71.762500000000003</v>
      </c>
      <c r="L3077" s="2">
        <v>15</v>
      </c>
      <c r="M3077" s="2">
        <v>106.30159999999999</v>
      </c>
      <c r="N3077" s="2">
        <v>75</v>
      </c>
      <c r="O3077" s="2">
        <v>104.5035</v>
      </c>
      <c r="P3077" s="2">
        <v>106</v>
      </c>
      <c r="Q3077" s="2">
        <v>93.925700000000006</v>
      </c>
      <c r="R3077" s="2">
        <v>26</v>
      </c>
      <c r="S3077" s="2">
        <v>94.195300000000003</v>
      </c>
      <c r="T3077" s="2">
        <v>36</v>
      </c>
      <c r="U3077" s="2">
        <v>0.76750499999999999</v>
      </c>
      <c r="V3077" s="2">
        <v>64</v>
      </c>
      <c r="W3077" s="2">
        <v>2011</v>
      </c>
    </row>
    <row r="3078" spans="1:23" ht="12.3" hidden="1" x14ac:dyDescent="0.4">
      <c r="A3078" s="2" t="s">
        <v>124</v>
      </c>
      <c r="B3078" s="2"/>
      <c r="C3078" s="2"/>
      <c r="D3078" s="2"/>
      <c r="E3078" s="2"/>
      <c r="F3078" s="2"/>
      <c r="G3078" s="2"/>
      <c r="H3078" s="2"/>
      <c r="I3078" s="2">
        <v>63.914099999999998</v>
      </c>
      <c r="J3078" s="2">
        <v>293</v>
      </c>
      <c r="K3078" s="2">
        <v>64.427700000000002</v>
      </c>
      <c r="L3078" s="2">
        <v>275</v>
      </c>
      <c r="M3078" s="2">
        <v>110.88509999999999</v>
      </c>
      <c r="N3078" s="2">
        <v>26</v>
      </c>
      <c r="O3078" s="2">
        <v>113.05970000000001</v>
      </c>
      <c r="P3078" s="2">
        <v>22</v>
      </c>
      <c r="Q3078" s="2">
        <v>106.1469</v>
      </c>
      <c r="R3078" s="2">
        <v>279</v>
      </c>
      <c r="S3078" s="2">
        <v>102.2499</v>
      </c>
      <c r="T3078" s="2">
        <v>183</v>
      </c>
      <c r="U3078" s="2">
        <v>0.76055200000000001</v>
      </c>
      <c r="V3078" s="2">
        <v>65</v>
      </c>
      <c r="W3078" s="2">
        <v>2011</v>
      </c>
    </row>
    <row r="3079" spans="1:23" ht="12.3" hidden="1" x14ac:dyDescent="0.4">
      <c r="A3079" s="2" t="s">
        <v>222</v>
      </c>
      <c r="B3079" s="2"/>
      <c r="C3079" s="2"/>
      <c r="D3079" s="2"/>
      <c r="E3079" s="2"/>
      <c r="F3079" s="2"/>
      <c r="G3079" s="2"/>
      <c r="H3079" s="2"/>
      <c r="I3079" s="2">
        <v>66.066800000000001</v>
      </c>
      <c r="J3079" s="2">
        <v>204</v>
      </c>
      <c r="K3079" s="2">
        <v>66.846599999999995</v>
      </c>
      <c r="L3079" s="2">
        <v>162</v>
      </c>
      <c r="M3079" s="2">
        <v>107.0581</v>
      </c>
      <c r="N3079" s="2">
        <v>59</v>
      </c>
      <c r="O3079" s="2">
        <v>108.4453</v>
      </c>
      <c r="P3079" s="2">
        <v>59</v>
      </c>
      <c r="Q3079" s="2">
        <v>97.360200000000006</v>
      </c>
      <c r="R3079" s="2">
        <v>75</v>
      </c>
      <c r="S3079" s="2">
        <v>98.124300000000005</v>
      </c>
      <c r="T3079" s="2">
        <v>91</v>
      </c>
      <c r="U3079" s="2">
        <v>0.75953300000000001</v>
      </c>
      <c r="V3079" s="2">
        <v>66</v>
      </c>
      <c r="W3079" s="2">
        <v>2011</v>
      </c>
    </row>
    <row r="3080" spans="1:23" ht="12.3" hidden="1" x14ac:dyDescent="0.4">
      <c r="A3080" s="2" t="s">
        <v>95</v>
      </c>
      <c r="B3080" s="2"/>
      <c r="C3080" s="2"/>
      <c r="D3080" s="2"/>
      <c r="E3080" s="2"/>
      <c r="F3080" s="2"/>
      <c r="G3080" s="2"/>
      <c r="H3080" s="2"/>
      <c r="I3080" s="2">
        <v>64.186300000000003</v>
      </c>
      <c r="J3080" s="2">
        <v>281</v>
      </c>
      <c r="K3080" s="2">
        <v>63.837200000000003</v>
      </c>
      <c r="L3080" s="2">
        <v>299</v>
      </c>
      <c r="M3080" s="2">
        <v>111.52630000000001</v>
      </c>
      <c r="N3080" s="2">
        <v>20</v>
      </c>
      <c r="O3080" s="2">
        <v>114.5217</v>
      </c>
      <c r="P3080" s="2">
        <v>12</v>
      </c>
      <c r="Q3080" s="2">
        <v>107.3856</v>
      </c>
      <c r="R3080" s="2">
        <v>299</v>
      </c>
      <c r="S3080" s="2">
        <v>103.7634</v>
      </c>
      <c r="T3080" s="2">
        <v>216</v>
      </c>
      <c r="U3080" s="2">
        <v>0.75666599999999995</v>
      </c>
      <c r="V3080" s="2">
        <v>67</v>
      </c>
      <c r="W3080" s="2">
        <v>2011</v>
      </c>
    </row>
    <row r="3081" spans="1:23" ht="12.3" hidden="1" x14ac:dyDescent="0.4">
      <c r="A3081" s="2" t="s">
        <v>75</v>
      </c>
      <c r="B3081" s="2"/>
      <c r="C3081" s="2"/>
      <c r="D3081" s="2"/>
      <c r="E3081" s="2"/>
      <c r="F3081" s="2"/>
      <c r="G3081" s="2"/>
      <c r="H3081" s="2"/>
      <c r="I3081" s="2">
        <v>65.408500000000004</v>
      </c>
      <c r="J3081" s="2">
        <v>241</v>
      </c>
      <c r="K3081" s="2">
        <v>66.199799999999996</v>
      </c>
      <c r="L3081" s="2">
        <v>199</v>
      </c>
      <c r="M3081" s="2">
        <v>105.3302</v>
      </c>
      <c r="N3081" s="2">
        <v>86</v>
      </c>
      <c r="O3081" s="2">
        <v>107.46339999999999</v>
      </c>
      <c r="P3081" s="2">
        <v>72</v>
      </c>
      <c r="Q3081" s="2">
        <v>102.8588</v>
      </c>
      <c r="R3081" s="2">
        <v>200</v>
      </c>
      <c r="S3081" s="2">
        <v>97.373999999999995</v>
      </c>
      <c r="T3081" s="2">
        <v>71</v>
      </c>
      <c r="U3081" s="2">
        <v>0.75653899999999996</v>
      </c>
      <c r="V3081" s="2">
        <v>68</v>
      </c>
      <c r="W3081" s="2">
        <v>2011</v>
      </c>
    </row>
    <row r="3082" spans="1:23" ht="12.3" hidden="1" x14ac:dyDescent="0.4">
      <c r="A3082" s="2" t="s">
        <v>219</v>
      </c>
      <c r="B3082" s="2"/>
      <c r="C3082" s="2"/>
      <c r="D3082" s="2"/>
      <c r="E3082" s="2"/>
      <c r="F3082" s="2"/>
      <c r="G3082" s="2"/>
      <c r="H3082" s="2"/>
      <c r="I3082" s="2">
        <v>67.427899999999994</v>
      </c>
      <c r="J3082" s="2">
        <v>146</v>
      </c>
      <c r="K3082" s="2">
        <v>67.674400000000006</v>
      </c>
      <c r="L3082" s="2">
        <v>115</v>
      </c>
      <c r="M3082" s="2">
        <v>103.5034</v>
      </c>
      <c r="N3082" s="2">
        <v>125</v>
      </c>
      <c r="O3082" s="2">
        <v>103.628</v>
      </c>
      <c r="P3082" s="2">
        <v>122</v>
      </c>
      <c r="Q3082" s="2">
        <v>93.0535</v>
      </c>
      <c r="R3082" s="2">
        <v>17</v>
      </c>
      <c r="S3082" s="2">
        <v>93.916200000000003</v>
      </c>
      <c r="T3082" s="2">
        <v>31</v>
      </c>
      <c r="U3082" s="2">
        <v>0.75614300000000001</v>
      </c>
      <c r="V3082" s="2">
        <v>69</v>
      </c>
      <c r="W3082" s="2">
        <v>2011</v>
      </c>
    </row>
    <row r="3083" spans="1:23" ht="12.3" hidden="1" x14ac:dyDescent="0.4">
      <c r="A3083" s="2" t="s">
        <v>57</v>
      </c>
      <c r="B3083" s="2"/>
      <c r="C3083" s="2"/>
      <c r="D3083" s="2"/>
      <c r="E3083" s="2"/>
      <c r="F3083" s="2"/>
      <c r="G3083" s="2"/>
      <c r="H3083" s="2"/>
      <c r="I3083" s="2">
        <v>68.5989</v>
      </c>
      <c r="J3083" s="2">
        <v>81</v>
      </c>
      <c r="K3083" s="2">
        <v>68.656999999999996</v>
      </c>
      <c r="L3083" s="2">
        <v>67</v>
      </c>
      <c r="M3083" s="2">
        <v>103.3267</v>
      </c>
      <c r="N3083" s="2">
        <v>127</v>
      </c>
      <c r="O3083" s="2">
        <v>109.08499999999999</v>
      </c>
      <c r="P3083" s="2">
        <v>54</v>
      </c>
      <c r="Q3083" s="2">
        <v>102.1439</v>
      </c>
      <c r="R3083" s="2">
        <v>190</v>
      </c>
      <c r="S3083" s="2">
        <v>99.445499999999996</v>
      </c>
      <c r="T3083" s="2">
        <v>113</v>
      </c>
      <c r="U3083" s="2">
        <v>0.74344500000000002</v>
      </c>
      <c r="V3083" s="2">
        <v>70</v>
      </c>
      <c r="W3083" s="2">
        <v>2011</v>
      </c>
    </row>
    <row r="3084" spans="1:23" ht="12.3" hidden="1" x14ac:dyDescent="0.4">
      <c r="A3084" s="2" t="s">
        <v>157</v>
      </c>
      <c r="B3084" s="2"/>
      <c r="C3084" s="2"/>
      <c r="D3084" s="2"/>
      <c r="E3084" s="2"/>
      <c r="F3084" s="2"/>
      <c r="G3084" s="2"/>
      <c r="H3084" s="2"/>
      <c r="I3084" s="2">
        <v>67.083399999999997</v>
      </c>
      <c r="J3084" s="2">
        <v>166</v>
      </c>
      <c r="K3084" s="2">
        <v>67.006299999999996</v>
      </c>
      <c r="L3084" s="2">
        <v>152</v>
      </c>
      <c r="M3084" s="2">
        <v>105.163</v>
      </c>
      <c r="N3084" s="2">
        <v>90</v>
      </c>
      <c r="O3084" s="2">
        <v>107.15989999999999</v>
      </c>
      <c r="P3084" s="2">
        <v>75</v>
      </c>
      <c r="Q3084" s="2">
        <v>101.627</v>
      </c>
      <c r="R3084" s="2">
        <v>177</v>
      </c>
      <c r="S3084" s="2">
        <v>97.941800000000001</v>
      </c>
      <c r="T3084" s="2">
        <v>83</v>
      </c>
      <c r="U3084" s="2">
        <v>0.73777199999999998</v>
      </c>
      <c r="V3084" s="2">
        <v>71</v>
      </c>
      <c r="W3084" s="2">
        <v>2011</v>
      </c>
    </row>
    <row r="3085" spans="1:23" ht="12.3" hidden="1" x14ac:dyDescent="0.4">
      <c r="A3085" s="2" t="s">
        <v>175</v>
      </c>
      <c r="B3085" s="2"/>
      <c r="C3085" s="2"/>
      <c r="D3085" s="2"/>
      <c r="E3085" s="2"/>
      <c r="F3085" s="2"/>
      <c r="G3085" s="2"/>
      <c r="H3085" s="2"/>
      <c r="I3085" s="2">
        <v>66.188900000000004</v>
      </c>
      <c r="J3085" s="2">
        <v>200</v>
      </c>
      <c r="K3085" s="2">
        <v>65.519499999999994</v>
      </c>
      <c r="L3085" s="2">
        <v>236</v>
      </c>
      <c r="M3085" s="2">
        <v>109.6922</v>
      </c>
      <c r="N3085" s="2">
        <v>37</v>
      </c>
      <c r="O3085" s="2">
        <v>110.6885</v>
      </c>
      <c r="P3085" s="2">
        <v>34</v>
      </c>
      <c r="Q3085" s="2">
        <v>100.13420000000001</v>
      </c>
      <c r="R3085" s="2">
        <v>133</v>
      </c>
      <c r="S3085" s="2">
        <v>101.1891</v>
      </c>
      <c r="T3085" s="2">
        <v>151</v>
      </c>
      <c r="U3085" s="2">
        <v>0.73728199999999999</v>
      </c>
      <c r="V3085" s="2">
        <v>72</v>
      </c>
      <c r="W3085" s="2">
        <v>2011</v>
      </c>
    </row>
    <row r="3086" spans="1:23" ht="12.3" hidden="1" x14ac:dyDescent="0.4">
      <c r="A3086" s="2" t="s">
        <v>72</v>
      </c>
      <c r="B3086" s="2"/>
      <c r="C3086" s="2"/>
      <c r="D3086" s="2"/>
      <c r="E3086" s="2"/>
      <c r="F3086" s="2"/>
      <c r="G3086" s="2"/>
      <c r="H3086" s="2"/>
      <c r="I3086" s="2">
        <v>66.2971</v>
      </c>
      <c r="J3086" s="2">
        <v>195</v>
      </c>
      <c r="K3086" s="2">
        <v>66.025000000000006</v>
      </c>
      <c r="L3086" s="2">
        <v>209</v>
      </c>
      <c r="M3086" s="2">
        <v>101.066</v>
      </c>
      <c r="N3086" s="2">
        <v>188</v>
      </c>
      <c r="O3086" s="2">
        <v>103.7047</v>
      </c>
      <c r="P3086" s="2">
        <v>120</v>
      </c>
      <c r="Q3086" s="2">
        <v>98.9114</v>
      </c>
      <c r="R3086" s="2">
        <v>104</v>
      </c>
      <c r="S3086" s="2">
        <v>95.026399999999995</v>
      </c>
      <c r="T3086" s="2">
        <v>43</v>
      </c>
      <c r="U3086" s="2">
        <v>0.732043</v>
      </c>
      <c r="V3086" s="2">
        <v>73</v>
      </c>
      <c r="W3086" s="2">
        <v>2011</v>
      </c>
    </row>
    <row r="3087" spans="1:23" ht="12.3" x14ac:dyDescent="0.4">
      <c r="A3087" s="2" t="s">
        <v>146</v>
      </c>
      <c r="B3087" s="2">
        <v>9</v>
      </c>
      <c r="C3087" s="4" t="s">
        <v>33</v>
      </c>
      <c r="D3087" s="2"/>
      <c r="E3087" s="2"/>
      <c r="F3087" s="2"/>
      <c r="G3087" s="2"/>
      <c r="H3087" s="2"/>
      <c r="I3087" s="2">
        <v>67.289400000000001</v>
      </c>
      <c r="J3087" s="2">
        <v>162</v>
      </c>
      <c r="K3087" s="2">
        <v>67.611099999999993</v>
      </c>
      <c r="L3087" s="2">
        <v>146</v>
      </c>
      <c r="M3087" s="2">
        <v>100.2753</v>
      </c>
      <c r="N3087" s="2">
        <v>194</v>
      </c>
      <c r="O3087" s="2">
        <v>101.2715</v>
      </c>
      <c r="P3087" s="2">
        <v>163</v>
      </c>
      <c r="Q3087" s="2">
        <v>93.927999999999997</v>
      </c>
      <c r="R3087" s="2">
        <v>29</v>
      </c>
      <c r="S3087" s="2">
        <v>90.022499999999994</v>
      </c>
      <c r="T3087" s="2">
        <v>7</v>
      </c>
      <c r="U3087" s="2">
        <v>0.79479500000000003</v>
      </c>
      <c r="V3087" s="2">
        <v>43</v>
      </c>
      <c r="W3087" s="2">
        <v>2005</v>
      </c>
    </row>
    <row r="3088" spans="1:23" ht="12.3" hidden="1" x14ac:dyDescent="0.4">
      <c r="A3088" s="2" t="s">
        <v>123</v>
      </c>
      <c r="B3088" s="2"/>
      <c r="C3088" s="2"/>
      <c r="D3088" s="2"/>
      <c r="E3088" s="2"/>
      <c r="F3088" s="2"/>
      <c r="G3088" s="2"/>
      <c r="H3088" s="2"/>
      <c r="I3088" s="2">
        <v>64.412199999999999</v>
      </c>
      <c r="J3088" s="2">
        <v>272</v>
      </c>
      <c r="K3088" s="2">
        <v>64.118399999999994</v>
      </c>
      <c r="L3088" s="2">
        <v>290</v>
      </c>
      <c r="M3088" s="2">
        <v>101.7578</v>
      </c>
      <c r="N3088" s="2">
        <v>169</v>
      </c>
      <c r="O3088" s="2">
        <v>106.5416</v>
      </c>
      <c r="P3088" s="2">
        <v>82</v>
      </c>
      <c r="Q3088" s="2">
        <v>100.8004</v>
      </c>
      <c r="R3088" s="2">
        <v>152</v>
      </c>
      <c r="S3088" s="2">
        <v>97.956500000000005</v>
      </c>
      <c r="T3088" s="2">
        <v>85</v>
      </c>
      <c r="U3088" s="2">
        <v>0.72434900000000002</v>
      </c>
      <c r="V3088" s="2">
        <v>75</v>
      </c>
      <c r="W3088" s="2">
        <v>2011</v>
      </c>
    </row>
    <row r="3089" spans="1:23" ht="12.3" hidden="1" x14ac:dyDescent="0.4">
      <c r="A3089" s="2" t="s">
        <v>212</v>
      </c>
      <c r="B3089" s="2"/>
      <c r="C3089" s="2"/>
      <c r="D3089" s="2"/>
      <c r="E3089" s="2"/>
      <c r="F3089" s="2"/>
      <c r="G3089" s="2"/>
      <c r="H3089" s="2"/>
      <c r="I3089" s="2">
        <v>67.928299999999993</v>
      </c>
      <c r="J3089" s="2">
        <v>115</v>
      </c>
      <c r="K3089" s="2">
        <v>68.018799999999999</v>
      </c>
      <c r="L3089" s="2">
        <v>98</v>
      </c>
      <c r="M3089" s="2">
        <v>106.2979</v>
      </c>
      <c r="N3089" s="2">
        <v>76</v>
      </c>
      <c r="O3089" s="2">
        <v>106.42749999999999</v>
      </c>
      <c r="P3089" s="2">
        <v>85</v>
      </c>
      <c r="Q3089" s="2">
        <v>97.193600000000004</v>
      </c>
      <c r="R3089" s="2">
        <v>71</v>
      </c>
      <c r="S3089" s="2">
        <v>98.071899999999999</v>
      </c>
      <c r="T3089" s="2">
        <v>88</v>
      </c>
      <c r="U3089" s="2">
        <v>0.71915399999999996</v>
      </c>
      <c r="V3089" s="2">
        <v>76</v>
      </c>
      <c r="W3089" s="2">
        <v>2011</v>
      </c>
    </row>
    <row r="3090" spans="1:23" ht="12.3" hidden="1" x14ac:dyDescent="0.4">
      <c r="A3090" s="2" t="s">
        <v>22</v>
      </c>
      <c r="B3090" s="2"/>
      <c r="C3090" s="2"/>
      <c r="D3090" s="2"/>
      <c r="E3090" s="2"/>
      <c r="F3090" s="2"/>
      <c r="G3090" s="2"/>
      <c r="H3090" s="2"/>
      <c r="I3090" s="2">
        <v>62.2864</v>
      </c>
      <c r="J3090" s="2">
        <v>324</v>
      </c>
      <c r="K3090" s="2">
        <v>63.2639</v>
      </c>
      <c r="L3090" s="2">
        <v>315</v>
      </c>
      <c r="M3090" s="2">
        <v>110.9846</v>
      </c>
      <c r="N3090" s="2">
        <v>25</v>
      </c>
      <c r="O3090" s="2">
        <v>109.8479</v>
      </c>
      <c r="P3090" s="2">
        <v>43</v>
      </c>
      <c r="Q3090" s="2">
        <v>99.837400000000002</v>
      </c>
      <c r="R3090" s="2">
        <v>120</v>
      </c>
      <c r="S3090" s="2">
        <v>101.5907</v>
      </c>
      <c r="T3090" s="2">
        <v>163</v>
      </c>
      <c r="U3090" s="2">
        <v>0.710673</v>
      </c>
      <c r="V3090" s="2">
        <v>77</v>
      </c>
      <c r="W3090" s="2">
        <v>2011</v>
      </c>
    </row>
    <row r="3091" spans="1:23" ht="12.3" x14ac:dyDescent="0.4">
      <c r="A3091" s="2" t="s">
        <v>122</v>
      </c>
      <c r="B3091" s="2">
        <v>12</v>
      </c>
      <c r="C3091" s="3" t="s">
        <v>33</v>
      </c>
      <c r="D3091" s="3" t="s">
        <v>33</v>
      </c>
      <c r="E3091" s="25"/>
      <c r="F3091" s="25"/>
      <c r="G3091" s="2"/>
      <c r="H3091" s="2"/>
      <c r="I3091" s="2">
        <v>67.756200000000007</v>
      </c>
      <c r="J3091" s="2">
        <v>145</v>
      </c>
      <c r="K3091" s="2">
        <v>70.499099999999999</v>
      </c>
      <c r="L3091" s="2">
        <v>49</v>
      </c>
      <c r="M3091" s="2">
        <v>107.479</v>
      </c>
      <c r="N3091" s="2">
        <v>54</v>
      </c>
      <c r="O3091" s="2">
        <v>106.187</v>
      </c>
      <c r="P3091" s="2">
        <v>80</v>
      </c>
      <c r="Q3091" s="2">
        <v>93.784099999999995</v>
      </c>
      <c r="R3091" s="2">
        <v>27</v>
      </c>
      <c r="S3091" s="2">
        <v>94.892600000000002</v>
      </c>
      <c r="T3091" s="2">
        <v>39</v>
      </c>
      <c r="U3091" s="2">
        <v>0.78469500000000003</v>
      </c>
      <c r="V3091" s="2">
        <v>44</v>
      </c>
      <c r="W3091" s="2">
        <v>2005</v>
      </c>
    </row>
    <row r="3092" spans="1:23" ht="12.3" hidden="1" x14ac:dyDescent="0.4">
      <c r="A3092" s="2" t="s">
        <v>105</v>
      </c>
      <c r="B3092" s="2"/>
      <c r="C3092" s="2"/>
      <c r="D3092" s="2"/>
      <c r="E3092" s="2"/>
      <c r="F3092" s="2"/>
      <c r="G3092" s="2"/>
      <c r="H3092" s="2"/>
      <c r="I3092" s="2">
        <v>67.631200000000007</v>
      </c>
      <c r="J3092" s="2">
        <v>132</v>
      </c>
      <c r="K3092" s="2">
        <v>67.381500000000003</v>
      </c>
      <c r="L3092" s="2">
        <v>132</v>
      </c>
      <c r="M3092" s="2">
        <v>112.65009999999999</v>
      </c>
      <c r="N3092" s="2">
        <v>17</v>
      </c>
      <c r="O3092" s="2">
        <v>110.5637</v>
      </c>
      <c r="P3092" s="2">
        <v>36</v>
      </c>
      <c r="Q3092" s="2">
        <v>101.36709999999999</v>
      </c>
      <c r="R3092" s="2">
        <v>170</v>
      </c>
      <c r="S3092" s="2">
        <v>102.3897</v>
      </c>
      <c r="T3092" s="2">
        <v>190</v>
      </c>
      <c r="U3092" s="2">
        <v>0.70749899999999999</v>
      </c>
      <c r="V3092" s="2">
        <v>79</v>
      </c>
      <c r="W3092" s="2">
        <v>2011</v>
      </c>
    </row>
    <row r="3093" spans="1:23" ht="12.3" hidden="1" x14ac:dyDescent="0.4">
      <c r="A3093" s="2" t="s">
        <v>51</v>
      </c>
      <c r="B3093" s="2"/>
      <c r="C3093" s="2"/>
      <c r="D3093" s="2"/>
      <c r="E3093" s="2"/>
      <c r="F3093" s="2"/>
      <c r="G3093" s="2"/>
      <c r="H3093" s="2"/>
      <c r="I3093" s="2">
        <v>67.5839</v>
      </c>
      <c r="J3093" s="2">
        <v>134</v>
      </c>
      <c r="K3093" s="2">
        <v>67.525199999999998</v>
      </c>
      <c r="L3093" s="2">
        <v>124</v>
      </c>
      <c r="M3093" s="2">
        <v>109.2045</v>
      </c>
      <c r="N3093" s="2">
        <v>45</v>
      </c>
      <c r="O3093" s="2">
        <v>110.01309999999999</v>
      </c>
      <c r="P3093" s="2">
        <v>38</v>
      </c>
      <c r="Q3093" s="2">
        <v>101.7859</v>
      </c>
      <c r="R3093" s="2">
        <v>182</v>
      </c>
      <c r="S3093" s="2">
        <v>101.9434</v>
      </c>
      <c r="T3093" s="2">
        <v>173</v>
      </c>
      <c r="U3093" s="2">
        <v>0.70601000000000003</v>
      </c>
      <c r="V3093" s="2">
        <v>80</v>
      </c>
      <c r="W3093" s="2">
        <v>2011</v>
      </c>
    </row>
    <row r="3094" spans="1:23" ht="12.3" hidden="1" x14ac:dyDescent="0.4">
      <c r="A3094" s="2" t="s">
        <v>197</v>
      </c>
      <c r="B3094" s="2"/>
      <c r="C3094" s="2"/>
      <c r="D3094" s="2"/>
      <c r="E3094" s="2"/>
      <c r="F3094" s="2"/>
      <c r="G3094" s="2"/>
      <c r="H3094" s="2"/>
      <c r="I3094" s="2">
        <v>67.811300000000003</v>
      </c>
      <c r="J3094" s="2">
        <v>125</v>
      </c>
      <c r="K3094" s="2">
        <v>67.897400000000005</v>
      </c>
      <c r="L3094" s="2">
        <v>106</v>
      </c>
      <c r="M3094" s="2">
        <v>106.4726</v>
      </c>
      <c r="N3094" s="2">
        <v>69</v>
      </c>
      <c r="O3094" s="2">
        <v>108.11239999999999</v>
      </c>
      <c r="P3094" s="2">
        <v>65</v>
      </c>
      <c r="Q3094" s="2">
        <v>100.1246</v>
      </c>
      <c r="R3094" s="2">
        <v>132</v>
      </c>
      <c r="S3094" s="2">
        <v>100.3995</v>
      </c>
      <c r="T3094" s="2">
        <v>131</v>
      </c>
      <c r="U3094" s="2">
        <v>0.70081199999999999</v>
      </c>
      <c r="V3094" s="2">
        <v>81</v>
      </c>
      <c r="W3094" s="2">
        <v>2011</v>
      </c>
    </row>
    <row r="3095" spans="1:23" ht="12.3" x14ac:dyDescent="0.4">
      <c r="A3095" s="2" t="s">
        <v>220</v>
      </c>
      <c r="B3095" s="2">
        <v>13</v>
      </c>
      <c r="C3095" s="4" t="s">
        <v>33</v>
      </c>
      <c r="D3095" s="2"/>
      <c r="E3095" s="2"/>
      <c r="F3095" s="2"/>
      <c r="G3095" s="2"/>
      <c r="H3095" s="2"/>
      <c r="I3095" s="2">
        <v>65.540000000000006</v>
      </c>
      <c r="J3095" s="2">
        <v>234</v>
      </c>
      <c r="K3095" s="2">
        <v>66.011499999999998</v>
      </c>
      <c r="L3095" s="2">
        <v>219</v>
      </c>
      <c r="M3095" s="2">
        <v>111.00109999999999</v>
      </c>
      <c r="N3095" s="2">
        <v>27</v>
      </c>
      <c r="O3095" s="2">
        <v>111.3507</v>
      </c>
      <c r="P3095" s="2">
        <v>30</v>
      </c>
      <c r="Q3095" s="2">
        <v>94.387699999999995</v>
      </c>
      <c r="R3095" s="2">
        <v>33</v>
      </c>
      <c r="S3095" s="2">
        <v>99.552300000000002</v>
      </c>
      <c r="T3095" s="2">
        <v>118</v>
      </c>
      <c r="U3095" s="2">
        <v>0.78381100000000004</v>
      </c>
      <c r="V3095" s="2">
        <v>46</v>
      </c>
      <c r="W3095" s="2">
        <v>2005</v>
      </c>
    </row>
    <row r="3096" spans="1:23" ht="12.3" x14ac:dyDescent="0.4">
      <c r="A3096" s="2" t="s">
        <v>145</v>
      </c>
      <c r="B3096" s="2">
        <v>9</v>
      </c>
      <c r="C3096" s="3" t="s">
        <v>33</v>
      </c>
      <c r="D3096" s="2"/>
      <c r="E3096" s="2"/>
      <c r="F3096" s="2"/>
      <c r="G3096" s="2"/>
      <c r="H3096" s="2"/>
      <c r="I3096" s="2">
        <v>67.555000000000007</v>
      </c>
      <c r="J3096" s="2">
        <v>150</v>
      </c>
      <c r="K3096" s="2">
        <v>66.902000000000001</v>
      </c>
      <c r="L3096" s="2">
        <v>178</v>
      </c>
      <c r="M3096" s="2">
        <v>102.86669999999999</v>
      </c>
      <c r="N3096" s="2">
        <v>130</v>
      </c>
      <c r="O3096" s="2">
        <v>102.25109999999999</v>
      </c>
      <c r="P3096" s="2">
        <v>145</v>
      </c>
      <c r="Q3096" s="2">
        <v>92.198999999999998</v>
      </c>
      <c r="R3096" s="2">
        <v>14</v>
      </c>
      <c r="S3096" s="2">
        <v>91.863500000000002</v>
      </c>
      <c r="T3096" s="2">
        <v>12</v>
      </c>
      <c r="U3096" s="2">
        <v>0.77416499999999999</v>
      </c>
      <c r="V3096" s="2">
        <v>48</v>
      </c>
      <c r="W3096" s="2">
        <v>2005</v>
      </c>
    </row>
    <row r="3097" spans="1:23" ht="12.3" x14ac:dyDescent="0.4">
      <c r="A3097" s="2" t="s">
        <v>52</v>
      </c>
      <c r="B3097" s="2">
        <v>8</v>
      </c>
      <c r="C3097" s="2"/>
      <c r="D3097" s="2"/>
      <c r="E3097" s="2"/>
      <c r="F3097" s="2"/>
      <c r="G3097" s="2"/>
      <c r="H3097" s="2"/>
      <c r="I3097" s="2">
        <v>68.920400000000001</v>
      </c>
      <c r="J3097" s="2">
        <v>109</v>
      </c>
      <c r="K3097" s="2">
        <v>68.0227</v>
      </c>
      <c r="L3097" s="2">
        <v>123</v>
      </c>
      <c r="M3097" s="2">
        <v>101.0188</v>
      </c>
      <c r="N3097" s="2">
        <v>179</v>
      </c>
      <c r="O3097" s="2">
        <v>104.6802</v>
      </c>
      <c r="P3097" s="2">
        <v>106</v>
      </c>
      <c r="Q3097" s="2">
        <v>98.339699999999993</v>
      </c>
      <c r="R3097" s="2">
        <v>89</v>
      </c>
      <c r="S3097" s="2">
        <v>94.071799999999996</v>
      </c>
      <c r="T3097" s="2">
        <v>31</v>
      </c>
      <c r="U3097" s="2">
        <v>0.77360600000000002</v>
      </c>
      <c r="V3097" s="2">
        <v>49</v>
      </c>
      <c r="W3097" s="2">
        <v>2005</v>
      </c>
    </row>
    <row r="3098" spans="1:23" ht="12.3" hidden="1" x14ac:dyDescent="0.4">
      <c r="A3098" s="2" t="s">
        <v>188</v>
      </c>
      <c r="B3098" s="2"/>
      <c r="C3098" s="2"/>
      <c r="D3098" s="2"/>
      <c r="E3098" s="2"/>
      <c r="F3098" s="2"/>
      <c r="G3098" s="2"/>
      <c r="H3098" s="2"/>
      <c r="I3098" s="2">
        <v>69.452200000000005</v>
      </c>
      <c r="J3098" s="2">
        <v>53</v>
      </c>
      <c r="K3098" s="2">
        <v>69.521600000000007</v>
      </c>
      <c r="L3098" s="2">
        <v>49</v>
      </c>
      <c r="M3098" s="2">
        <v>103.6778</v>
      </c>
      <c r="N3098" s="2">
        <v>121</v>
      </c>
      <c r="O3098" s="2">
        <v>104.8567</v>
      </c>
      <c r="P3098" s="2">
        <v>105</v>
      </c>
      <c r="Q3098" s="2">
        <v>99.913700000000006</v>
      </c>
      <c r="R3098" s="2">
        <v>121</v>
      </c>
      <c r="S3098" s="2">
        <v>98.112300000000005</v>
      </c>
      <c r="T3098" s="2">
        <v>90</v>
      </c>
      <c r="U3098" s="2">
        <v>0.682338</v>
      </c>
      <c r="V3098" s="2">
        <v>85</v>
      </c>
      <c r="W3098" s="2">
        <v>2011</v>
      </c>
    </row>
    <row r="3099" spans="1:23" ht="12.3" hidden="1" x14ac:dyDescent="0.4">
      <c r="A3099" s="2" t="s">
        <v>146</v>
      </c>
      <c r="B3099" s="2"/>
      <c r="C3099" s="2"/>
      <c r="D3099" s="2"/>
      <c r="E3099" s="2"/>
      <c r="F3099" s="2"/>
      <c r="G3099" s="2"/>
      <c r="H3099" s="2"/>
      <c r="I3099" s="2">
        <v>70.815200000000004</v>
      </c>
      <c r="J3099" s="2">
        <v>30</v>
      </c>
      <c r="K3099" s="2">
        <v>70.353800000000007</v>
      </c>
      <c r="L3099" s="2">
        <v>35</v>
      </c>
      <c r="M3099" s="2">
        <v>104.7851</v>
      </c>
      <c r="N3099" s="2">
        <v>99</v>
      </c>
      <c r="O3099" s="2">
        <v>106.83929999999999</v>
      </c>
      <c r="P3099" s="2">
        <v>78</v>
      </c>
      <c r="Q3099" s="2">
        <v>98.323899999999995</v>
      </c>
      <c r="R3099" s="2">
        <v>92</v>
      </c>
      <c r="S3099" s="2">
        <v>100.01220000000001</v>
      </c>
      <c r="T3099" s="2">
        <v>124</v>
      </c>
      <c r="U3099" s="2">
        <v>0.68122099999999997</v>
      </c>
      <c r="V3099" s="2">
        <v>86</v>
      </c>
      <c r="W3099" s="2">
        <v>2011</v>
      </c>
    </row>
    <row r="3100" spans="1:23" ht="12.3" hidden="1" x14ac:dyDescent="0.4">
      <c r="A3100" s="2" t="s">
        <v>158</v>
      </c>
      <c r="B3100" s="2"/>
      <c r="C3100" s="2"/>
      <c r="D3100" s="2"/>
      <c r="E3100" s="2"/>
      <c r="F3100" s="2"/>
      <c r="G3100" s="2"/>
      <c r="H3100" s="2"/>
      <c r="I3100" s="2">
        <v>66.956299999999999</v>
      </c>
      <c r="J3100" s="2">
        <v>171</v>
      </c>
      <c r="K3100" s="2">
        <v>66.280900000000003</v>
      </c>
      <c r="L3100" s="2">
        <v>191</v>
      </c>
      <c r="M3100" s="2">
        <v>103.91679999999999</v>
      </c>
      <c r="N3100" s="2">
        <v>115</v>
      </c>
      <c r="O3100" s="2">
        <v>105.2474</v>
      </c>
      <c r="P3100" s="2">
        <v>96</v>
      </c>
      <c r="Q3100" s="2">
        <v>96.492099999999994</v>
      </c>
      <c r="R3100" s="2">
        <v>56</v>
      </c>
      <c r="S3100" s="2">
        <v>98.577600000000004</v>
      </c>
      <c r="T3100" s="2">
        <v>99</v>
      </c>
      <c r="U3100" s="2">
        <v>0.67981100000000005</v>
      </c>
      <c r="V3100" s="2">
        <v>87</v>
      </c>
      <c r="W3100" s="2">
        <v>2011</v>
      </c>
    </row>
    <row r="3101" spans="1:23" ht="12.3" hidden="1" x14ac:dyDescent="0.4">
      <c r="A3101" s="2" t="s">
        <v>221</v>
      </c>
      <c r="B3101" s="2"/>
      <c r="C3101" s="2"/>
      <c r="D3101" s="2"/>
      <c r="E3101" s="2"/>
      <c r="F3101" s="2"/>
      <c r="G3101" s="2"/>
      <c r="H3101" s="2"/>
      <c r="I3101" s="2">
        <v>66.012799999999999</v>
      </c>
      <c r="J3101" s="2">
        <v>209</v>
      </c>
      <c r="K3101" s="2">
        <v>66.407300000000006</v>
      </c>
      <c r="L3101" s="2">
        <v>184</v>
      </c>
      <c r="M3101" s="2">
        <v>98.233900000000006</v>
      </c>
      <c r="N3101" s="2">
        <v>240</v>
      </c>
      <c r="O3101" s="2">
        <v>97.196399999999997</v>
      </c>
      <c r="P3101" s="2">
        <v>255</v>
      </c>
      <c r="Q3101" s="2">
        <v>87.042699999999996</v>
      </c>
      <c r="R3101" s="2">
        <v>1</v>
      </c>
      <c r="S3101" s="2">
        <v>91.304199999999994</v>
      </c>
      <c r="T3101" s="2">
        <v>13</v>
      </c>
      <c r="U3101" s="2">
        <v>0.67242500000000005</v>
      </c>
      <c r="V3101" s="2">
        <v>88</v>
      </c>
      <c r="W3101" s="2">
        <v>2011</v>
      </c>
    </row>
    <row r="3102" spans="1:23" ht="12.3" hidden="1" x14ac:dyDescent="0.4">
      <c r="A3102" s="2" t="s">
        <v>69</v>
      </c>
      <c r="B3102" s="2"/>
      <c r="C3102" s="2"/>
      <c r="D3102" s="2"/>
      <c r="E3102" s="2"/>
      <c r="F3102" s="2"/>
      <c r="G3102" s="2"/>
      <c r="H3102" s="2"/>
      <c r="I3102" s="2">
        <v>66.401799999999994</v>
      </c>
      <c r="J3102" s="2">
        <v>189</v>
      </c>
      <c r="K3102" s="2">
        <v>67.1751</v>
      </c>
      <c r="L3102" s="2">
        <v>144</v>
      </c>
      <c r="M3102" s="2">
        <v>104.41379999999999</v>
      </c>
      <c r="N3102" s="2">
        <v>103</v>
      </c>
      <c r="O3102" s="2">
        <v>105.0278</v>
      </c>
      <c r="P3102" s="2">
        <v>103</v>
      </c>
      <c r="Q3102" s="2">
        <v>100.6207</v>
      </c>
      <c r="R3102" s="2">
        <v>147</v>
      </c>
      <c r="S3102" s="2">
        <v>98.684299999999993</v>
      </c>
      <c r="T3102" s="2">
        <v>101</v>
      </c>
      <c r="U3102" s="2">
        <v>0.671821</v>
      </c>
      <c r="V3102" s="2">
        <v>89</v>
      </c>
      <c r="W3102" s="2">
        <v>2011</v>
      </c>
    </row>
    <row r="3103" spans="1:23" ht="12.3" x14ac:dyDescent="0.4">
      <c r="A3103" s="2" t="s">
        <v>216</v>
      </c>
      <c r="B3103" s="2">
        <v>11</v>
      </c>
      <c r="C3103" s="2"/>
      <c r="D3103" s="2"/>
      <c r="E3103" s="2"/>
      <c r="F3103" s="2"/>
      <c r="G3103" s="2"/>
      <c r="H3103" s="2"/>
      <c r="I3103" s="2">
        <v>65.729299999999995</v>
      </c>
      <c r="J3103" s="2">
        <v>223</v>
      </c>
      <c r="K3103" s="2">
        <v>66.128200000000007</v>
      </c>
      <c r="L3103" s="2">
        <v>214</v>
      </c>
      <c r="M3103" s="2">
        <v>109.6499</v>
      </c>
      <c r="N3103" s="2">
        <v>37</v>
      </c>
      <c r="O3103" s="2">
        <v>109.6448</v>
      </c>
      <c r="P3103" s="2">
        <v>41</v>
      </c>
      <c r="Q3103" s="2">
        <v>100.8051</v>
      </c>
      <c r="R3103" s="2">
        <v>149</v>
      </c>
      <c r="S3103" s="2">
        <v>98.655699999999996</v>
      </c>
      <c r="T3103" s="2">
        <v>95</v>
      </c>
      <c r="U3103" s="2">
        <v>0.771096</v>
      </c>
      <c r="V3103" s="2">
        <v>50</v>
      </c>
      <c r="W3103" s="2">
        <v>2005</v>
      </c>
    </row>
    <row r="3104" spans="1:23" ht="12.3" hidden="1" x14ac:dyDescent="0.4">
      <c r="A3104" s="2" t="s">
        <v>41</v>
      </c>
      <c r="B3104" s="2"/>
      <c r="C3104" s="2"/>
      <c r="D3104" s="2"/>
      <c r="E3104" s="2"/>
      <c r="F3104" s="2"/>
      <c r="G3104" s="2"/>
      <c r="H3104" s="2"/>
      <c r="I3104" s="2">
        <v>67.872399999999999</v>
      </c>
      <c r="J3104" s="2">
        <v>120</v>
      </c>
      <c r="K3104" s="2">
        <v>67.462100000000007</v>
      </c>
      <c r="L3104" s="2">
        <v>128</v>
      </c>
      <c r="M3104" s="2">
        <v>100.6418</v>
      </c>
      <c r="N3104" s="2">
        <v>195</v>
      </c>
      <c r="O3104" s="2">
        <v>104.3674</v>
      </c>
      <c r="P3104" s="2">
        <v>110</v>
      </c>
      <c r="Q3104" s="2">
        <v>101.41759999999999</v>
      </c>
      <c r="R3104" s="2">
        <v>173</v>
      </c>
      <c r="S3104" s="2">
        <v>98.491399999999999</v>
      </c>
      <c r="T3104" s="2">
        <v>98</v>
      </c>
      <c r="U3104" s="2">
        <v>0.66069800000000001</v>
      </c>
      <c r="V3104" s="2">
        <v>91</v>
      </c>
      <c r="W3104" s="2">
        <v>2011</v>
      </c>
    </row>
    <row r="3105" spans="1:23" ht="12.3" hidden="1" x14ac:dyDescent="0.4">
      <c r="A3105" s="2" t="s">
        <v>120</v>
      </c>
      <c r="B3105" s="2"/>
      <c r="C3105" s="2"/>
      <c r="D3105" s="2"/>
      <c r="E3105" s="2"/>
      <c r="F3105" s="2"/>
      <c r="G3105" s="2"/>
      <c r="H3105" s="2"/>
      <c r="I3105" s="2">
        <v>72.221100000000007</v>
      </c>
      <c r="J3105" s="2">
        <v>18</v>
      </c>
      <c r="K3105" s="2">
        <v>72.665899999999993</v>
      </c>
      <c r="L3105" s="2">
        <v>9</v>
      </c>
      <c r="M3105" s="2">
        <v>104.83410000000001</v>
      </c>
      <c r="N3105" s="2">
        <v>95</v>
      </c>
      <c r="O3105" s="2">
        <v>108.22629999999999</v>
      </c>
      <c r="P3105" s="2">
        <v>63</v>
      </c>
      <c r="Q3105" s="2">
        <v>104.0628</v>
      </c>
      <c r="R3105" s="2">
        <v>237</v>
      </c>
      <c r="S3105" s="2">
        <v>102.2521</v>
      </c>
      <c r="T3105" s="2">
        <v>184</v>
      </c>
      <c r="U3105" s="2">
        <v>0.65768800000000005</v>
      </c>
      <c r="V3105" s="2">
        <v>92</v>
      </c>
      <c r="W3105" s="2">
        <v>2011</v>
      </c>
    </row>
    <row r="3106" spans="1:23" ht="12.3" hidden="1" x14ac:dyDescent="0.4">
      <c r="A3106" s="2" t="s">
        <v>40</v>
      </c>
      <c r="B3106" s="2"/>
      <c r="C3106" s="2"/>
      <c r="D3106" s="2"/>
      <c r="E3106" s="2"/>
      <c r="F3106" s="2"/>
      <c r="G3106" s="2"/>
      <c r="H3106" s="2"/>
      <c r="I3106" s="2">
        <v>65.421700000000001</v>
      </c>
      <c r="J3106" s="2">
        <v>239</v>
      </c>
      <c r="K3106" s="2">
        <v>66.109899999999996</v>
      </c>
      <c r="L3106" s="2">
        <v>205</v>
      </c>
      <c r="M3106" s="2">
        <v>105.7325</v>
      </c>
      <c r="N3106" s="2">
        <v>79</v>
      </c>
      <c r="O3106" s="2">
        <v>107.6388</v>
      </c>
      <c r="P3106" s="2">
        <v>67</v>
      </c>
      <c r="Q3106" s="2">
        <v>104.7522</v>
      </c>
      <c r="R3106" s="2">
        <v>256</v>
      </c>
      <c r="S3106" s="2">
        <v>101.7132</v>
      </c>
      <c r="T3106" s="2">
        <v>167</v>
      </c>
      <c r="U3106" s="2">
        <v>0.65727599999999997</v>
      </c>
      <c r="V3106" s="2">
        <v>93</v>
      </c>
      <c r="W3106" s="2">
        <v>2011</v>
      </c>
    </row>
    <row r="3107" spans="1:23" ht="12.3" hidden="1" x14ac:dyDescent="0.4">
      <c r="A3107" s="2" t="s">
        <v>64</v>
      </c>
      <c r="B3107" s="2"/>
      <c r="C3107" s="2"/>
      <c r="D3107" s="2"/>
      <c r="E3107" s="2"/>
      <c r="F3107" s="2"/>
      <c r="G3107" s="2"/>
      <c r="H3107" s="2"/>
      <c r="I3107" s="2">
        <v>65.941100000000006</v>
      </c>
      <c r="J3107" s="2">
        <v>215</v>
      </c>
      <c r="K3107" s="2">
        <v>66.285300000000007</v>
      </c>
      <c r="L3107" s="2">
        <v>190</v>
      </c>
      <c r="M3107" s="2">
        <v>99.913799999999995</v>
      </c>
      <c r="N3107" s="2">
        <v>206</v>
      </c>
      <c r="O3107" s="2">
        <v>101.66719999999999</v>
      </c>
      <c r="P3107" s="2">
        <v>168</v>
      </c>
      <c r="Q3107" s="2">
        <v>96.976200000000006</v>
      </c>
      <c r="R3107" s="2">
        <v>66</v>
      </c>
      <c r="S3107" s="2">
        <v>96.267200000000003</v>
      </c>
      <c r="T3107" s="2">
        <v>57</v>
      </c>
      <c r="U3107" s="2">
        <v>0.65195400000000003</v>
      </c>
      <c r="V3107" s="2">
        <v>94</v>
      </c>
      <c r="W3107" s="2">
        <v>2011</v>
      </c>
    </row>
    <row r="3108" spans="1:23" ht="12.3" hidden="1" x14ac:dyDescent="0.4">
      <c r="A3108" s="2" t="s">
        <v>52</v>
      </c>
      <c r="B3108" s="2"/>
      <c r="C3108" s="2"/>
      <c r="D3108" s="2"/>
      <c r="E3108" s="2"/>
      <c r="F3108" s="2"/>
      <c r="G3108" s="2"/>
      <c r="H3108" s="2"/>
      <c r="I3108" s="2">
        <v>65.760800000000003</v>
      </c>
      <c r="J3108" s="2">
        <v>223</v>
      </c>
      <c r="K3108" s="2">
        <v>65.549800000000005</v>
      </c>
      <c r="L3108" s="2">
        <v>234</v>
      </c>
      <c r="M3108" s="2">
        <v>100.3185</v>
      </c>
      <c r="N3108" s="2">
        <v>200</v>
      </c>
      <c r="O3108" s="2">
        <v>103.53279999999999</v>
      </c>
      <c r="P3108" s="2">
        <v>125</v>
      </c>
      <c r="Q3108" s="2">
        <v>98.639700000000005</v>
      </c>
      <c r="R3108" s="2">
        <v>97</v>
      </c>
      <c r="S3108" s="2">
        <v>98.223799999999997</v>
      </c>
      <c r="T3108" s="2">
        <v>94</v>
      </c>
      <c r="U3108" s="2">
        <v>0.64688199999999996</v>
      </c>
      <c r="V3108" s="2">
        <v>95</v>
      </c>
      <c r="W3108" s="2">
        <v>2011</v>
      </c>
    </row>
    <row r="3109" spans="1:23" ht="12.3" hidden="1" x14ac:dyDescent="0.4">
      <c r="A3109" s="2" t="s">
        <v>74</v>
      </c>
      <c r="B3109" s="2"/>
      <c r="C3109" s="2"/>
      <c r="D3109" s="2"/>
      <c r="E3109" s="2"/>
      <c r="F3109" s="2"/>
      <c r="G3109" s="2"/>
      <c r="H3109" s="2"/>
      <c r="I3109" s="2">
        <v>67.281199999999998</v>
      </c>
      <c r="J3109" s="2">
        <v>152</v>
      </c>
      <c r="K3109" s="2">
        <v>67.130200000000002</v>
      </c>
      <c r="L3109" s="2">
        <v>147</v>
      </c>
      <c r="M3109" s="2">
        <v>103.61579999999999</v>
      </c>
      <c r="N3109" s="2">
        <v>122</v>
      </c>
      <c r="O3109" s="2">
        <v>104.1046</v>
      </c>
      <c r="P3109" s="2">
        <v>115</v>
      </c>
      <c r="Q3109" s="2">
        <v>99.347499999999997</v>
      </c>
      <c r="R3109" s="2">
        <v>109</v>
      </c>
      <c r="S3109" s="2">
        <v>98.777299999999997</v>
      </c>
      <c r="T3109" s="2">
        <v>104</v>
      </c>
      <c r="U3109" s="2">
        <v>0.64658899999999997</v>
      </c>
      <c r="V3109" s="2">
        <v>96</v>
      </c>
      <c r="W3109" s="2">
        <v>2011</v>
      </c>
    </row>
    <row r="3110" spans="1:23" ht="12.3" hidden="1" x14ac:dyDescent="0.4">
      <c r="A3110" s="2" t="s">
        <v>290</v>
      </c>
      <c r="B3110" s="2"/>
      <c r="C3110" s="2"/>
      <c r="D3110" s="2"/>
      <c r="E3110" s="2"/>
      <c r="F3110" s="2"/>
      <c r="G3110" s="2"/>
      <c r="H3110" s="2"/>
      <c r="I3110" s="2">
        <v>64.549199999999999</v>
      </c>
      <c r="J3110" s="2">
        <v>268</v>
      </c>
      <c r="K3110" s="2">
        <v>64.2851</v>
      </c>
      <c r="L3110" s="2">
        <v>282</v>
      </c>
      <c r="M3110" s="2">
        <v>109.651</v>
      </c>
      <c r="N3110" s="2">
        <v>38</v>
      </c>
      <c r="O3110" s="2">
        <v>109.8527</v>
      </c>
      <c r="P3110" s="2">
        <v>42</v>
      </c>
      <c r="Q3110" s="2">
        <v>105.2555</v>
      </c>
      <c r="R3110" s="2">
        <v>263</v>
      </c>
      <c r="S3110" s="2">
        <v>104.307</v>
      </c>
      <c r="T3110" s="2">
        <v>235</v>
      </c>
      <c r="U3110" s="2">
        <v>0.644679</v>
      </c>
      <c r="V3110" s="2">
        <v>97</v>
      </c>
      <c r="W3110" s="2">
        <v>2011</v>
      </c>
    </row>
    <row r="3111" spans="1:23" ht="12.3" hidden="1" x14ac:dyDescent="0.4">
      <c r="A3111" s="2" t="s">
        <v>200</v>
      </c>
      <c r="B3111" s="2"/>
      <c r="C3111" s="2"/>
      <c r="D3111" s="2"/>
      <c r="E3111" s="2"/>
      <c r="F3111" s="2"/>
      <c r="G3111" s="2"/>
      <c r="H3111" s="2"/>
      <c r="I3111" s="2">
        <v>66.601200000000006</v>
      </c>
      <c r="J3111" s="2">
        <v>181</v>
      </c>
      <c r="K3111" s="2">
        <v>67.710700000000003</v>
      </c>
      <c r="L3111" s="2">
        <v>111</v>
      </c>
      <c r="M3111" s="2">
        <v>107.21850000000001</v>
      </c>
      <c r="N3111" s="2">
        <v>57</v>
      </c>
      <c r="O3111" s="2">
        <v>106.61920000000001</v>
      </c>
      <c r="P3111" s="2">
        <v>81</v>
      </c>
      <c r="Q3111" s="2">
        <v>101.64660000000001</v>
      </c>
      <c r="R3111" s="2">
        <v>178</v>
      </c>
      <c r="S3111" s="2">
        <v>101.2957</v>
      </c>
      <c r="T3111" s="2">
        <v>154</v>
      </c>
      <c r="U3111" s="2">
        <v>0.64314199999999999</v>
      </c>
      <c r="V3111" s="2">
        <v>98</v>
      </c>
      <c r="W3111" s="2">
        <v>2011</v>
      </c>
    </row>
    <row r="3112" spans="1:23" ht="12.3" x14ac:dyDescent="0.4">
      <c r="A3112" s="2" t="s">
        <v>63</v>
      </c>
      <c r="B3112" s="2">
        <v>7</v>
      </c>
      <c r="C3112" s="2"/>
      <c r="D3112" s="2"/>
      <c r="E3112" s="2"/>
      <c r="F3112" s="2"/>
      <c r="G3112" s="2"/>
      <c r="H3112" s="2"/>
      <c r="I3112" s="2">
        <v>70.814099999999996</v>
      </c>
      <c r="J3112" s="2">
        <v>49</v>
      </c>
      <c r="K3112" s="2">
        <v>71.375200000000007</v>
      </c>
      <c r="L3112" s="2">
        <v>36</v>
      </c>
      <c r="M3112" s="2">
        <v>108.7615</v>
      </c>
      <c r="N3112" s="2">
        <v>47</v>
      </c>
      <c r="O3112" s="2">
        <v>111.2419</v>
      </c>
      <c r="P3112" s="2">
        <v>32</v>
      </c>
      <c r="Q3112" s="2">
        <v>99.874700000000004</v>
      </c>
      <c r="R3112" s="2">
        <v>125</v>
      </c>
      <c r="S3112" s="2">
        <v>100.18129999999999</v>
      </c>
      <c r="T3112" s="2">
        <v>133</v>
      </c>
      <c r="U3112" s="2">
        <v>0.76929700000000001</v>
      </c>
      <c r="V3112" s="2">
        <v>52</v>
      </c>
      <c r="W3112" s="2">
        <v>2005</v>
      </c>
    </row>
    <row r="3113" spans="1:23" ht="12.3" hidden="1" x14ac:dyDescent="0.4">
      <c r="A3113" s="2" t="s">
        <v>87</v>
      </c>
      <c r="B3113" s="2"/>
      <c r="C3113" s="2"/>
      <c r="D3113" s="2"/>
      <c r="E3113" s="2"/>
      <c r="F3113" s="2"/>
      <c r="G3113" s="2"/>
      <c r="H3113" s="2"/>
      <c r="I3113" s="2">
        <v>61.631300000000003</v>
      </c>
      <c r="J3113" s="2">
        <v>334</v>
      </c>
      <c r="K3113" s="2">
        <v>60.791400000000003</v>
      </c>
      <c r="L3113" s="2">
        <v>338</v>
      </c>
      <c r="M3113" s="2">
        <v>99.817999999999998</v>
      </c>
      <c r="N3113" s="2">
        <v>210</v>
      </c>
      <c r="O3113" s="2">
        <v>101.6327</v>
      </c>
      <c r="P3113" s="2">
        <v>169</v>
      </c>
      <c r="Q3113" s="2">
        <v>100.0633</v>
      </c>
      <c r="R3113" s="2">
        <v>128</v>
      </c>
      <c r="S3113" s="2">
        <v>96.686599999999999</v>
      </c>
      <c r="T3113" s="2">
        <v>62</v>
      </c>
      <c r="U3113" s="2">
        <v>0.639625</v>
      </c>
      <c r="V3113" s="2">
        <v>100</v>
      </c>
      <c r="W3113" s="2">
        <v>2011</v>
      </c>
    </row>
    <row r="3114" spans="1:23" ht="12.3" hidden="1" x14ac:dyDescent="0.4">
      <c r="A3114" s="2" t="s">
        <v>55</v>
      </c>
      <c r="B3114" s="2"/>
      <c r="C3114" s="2"/>
      <c r="D3114" s="2"/>
      <c r="E3114" s="2"/>
      <c r="F3114" s="2"/>
      <c r="G3114" s="2"/>
      <c r="H3114" s="2"/>
      <c r="I3114" s="2">
        <v>67.832300000000004</v>
      </c>
      <c r="J3114" s="2">
        <v>124</v>
      </c>
      <c r="K3114" s="2">
        <v>67.214299999999994</v>
      </c>
      <c r="L3114" s="2">
        <v>141</v>
      </c>
      <c r="M3114" s="2">
        <v>104.2646</v>
      </c>
      <c r="N3114" s="2">
        <v>110</v>
      </c>
      <c r="O3114" s="2">
        <v>107.6056</v>
      </c>
      <c r="P3114" s="2">
        <v>68</v>
      </c>
      <c r="Q3114" s="2">
        <v>103.98050000000001</v>
      </c>
      <c r="R3114" s="2">
        <v>232</v>
      </c>
      <c r="S3114" s="2">
        <v>102.37479999999999</v>
      </c>
      <c r="T3114" s="2">
        <v>188</v>
      </c>
      <c r="U3114" s="2">
        <v>0.63946899999999995</v>
      </c>
      <c r="V3114" s="2">
        <v>101</v>
      </c>
      <c r="W3114" s="2">
        <v>2011</v>
      </c>
    </row>
    <row r="3115" spans="1:23" ht="12.3" hidden="1" x14ac:dyDescent="0.4">
      <c r="A3115" s="2" t="s">
        <v>92</v>
      </c>
      <c r="B3115" s="2"/>
      <c r="C3115" s="2"/>
      <c r="D3115" s="2"/>
      <c r="E3115" s="2"/>
      <c r="F3115" s="2"/>
      <c r="G3115" s="2"/>
      <c r="H3115" s="2"/>
      <c r="I3115" s="2">
        <v>69.055400000000006</v>
      </c>
      <c r="J3115" s="2">
        <v>67</v>
      </c>
      <c r="K3115" s="2">
        <v>69.200599999999994</v>
      </c>
      <c r="L3115" s="2">
        <v>54</v>
      </c>
      <c r="M3115" s="2">
        <v>97.291700000000006</v>
      </c>
      <c r="N3115" s="2">
        <v>259</v>
      </c>
      <c r="O3115" s="2">
        <v>99.729900000000001</v>
      </c>
      <c r="P3115" s="2">
        <v>208</v>
      </c>
      <c r="Q3115" s="2">
        <v>96.613</v>
      </c>
      <c r="R3115" s="2">
        <v>59</v>
      </c>
      <c r="S3115" s="2">
        <v>94.991500000000002</v>
      </c>
      <c r="T3115" s="2">
        <v>42</v>
      </c>
      <c r="U3115" s="2">
        <v>0.63640699999999994</v>
      </c>
      <c r="V3115" s="2">
        <v>102</v>
      </c>
      <c r="W3115" s="2">
        <v>2011</v>
      </c>
    </row>
    <row r="3116" spans="1:23" ht="12.3" hidden="1" x14ac:dyDescent="0.4">
      <c r="A3116" s="2" t="s">
        <v>234</v>
      </c>
      <c r="B3116" s="2"/>
      <c r="C3116" s="2"/>
      <c r="D3116" s="2"/>
      <c r="E3116" s="2"/>
      <c r="F3116" s="2"/>
      <c r="G3116" s="2"/>
      <c r="H3116" s="2"/>
      <c r="I3116" s="2">
        <v>63.642699999999998</v>
      </c>
      <c r="J3116" s="2">
        <v>303</v>
      </c>
      <c r="K3116" s="2">
        <v>63.432499999999997</v>
      </c>
      <c r="L3116" s="2">
        <v>310</v>
      </c>
      <c r="M3116" s="2">
        <v>102.7518</v>
      </c>
      <c r="N3116" s="2">
        <v>145</v>
      </c>
      <c r="O3116" s="2">
        <v>99.323400000000007</v>
      </c>
      <c r="P3116" s="2">
        <v>219</v>
      </c>
      <c r="Q3116" s="2">
        <v>94.552400000000006</v>
      </c>
      <c r="R3116" s="2">
        <v>31</v>
      </c>
      <c r="S3116" s="2">
        <v>94.611400000000003</v>
      </c>
      <c r="T3116" s="2">
        <v>38</v>
      </c>
      <c r="U3116" s="2">
        <v>0.63620699999999997</v>
      </c>
      <c r="V3116" s="2">
        <v>103</v>
      </c>
      <c r="W3116" s="2">
        <v>2011</v>
      </c>
    </row>
    <row r="3117" spans="1:23" ht="12.3" hidden="1" x14ac:dyDescent="0.4">
      <c r="A3117" s="2" t="s">
        <v>182</v>
      </c>
      <c r="B3117" s="2"/>
      <c r="C3117" s="2"/>
      <c r="D3117" s="2"/>
      <c r="E3117" s="2"/>
      <c r="F3117" s="2"/>
      <c r="G3117" s="2"/>
      <c r="H3117" s="2"/>
      <c r="I3117" s="2">
        <v>68.792100000000005</v>
      </c>
      <c r="J3117" s="2">
        <v>77</v>
      </c>
      <c r="K3117" s="2">
        <v>69.571700000000007</v>
      </c>
      <c r="L3117" s="2">
        <v>45</v>
      </c>
      <c r="M3117" s="2">
        <v>106.4689</v>
      </c>
      <c r="N3117" s="2">
        <v>70</v>
      </c>
      <c r="O3117" s="2">
        <v>106.5348</v>
      </c>
      <c r="P3117" s="2">
        <v>83</v>
      </c>
      <c r="Q3117" s="2">
        <v>98.671700000000001</v>
      </c>
      <c r="R3117" s="2">
        <v>98</v>
      </c>
      <c r="S3117" s="2">
        <v>101.52</v>
      </c>
      <c r="T3117" s="2">
        <v>160</v>
      </c>
      <c r="U3117" s="2">
        <v>0.63517500000000005</v>
      </c>
      <c r="V3117" s="2">
        <v>104</v>
      </c>
      <c r="W3117" s="2">
        <v>2011</v>
      </c>
    </row>
    <row r="3118" spans="1:23" ht="12.3" hidden="1" x14ac:dyDescent="0.4">
      <c r="A3118" s="2" t="s">
        <v>84</v>
      </c>
      <c r="B3118" s="2"/>
      <c r="C3118" s="2"/>
      <c r="D3118" s="2"/>
      <c r="E3118" s="2"/>
      <c r="F3118" s="2"/>
      <c r="G3118" s="2"/>
      <c r="H3118" s="2"/>
      <c r="I3118" s="2">
        <v>67.235299999999995</v>
      </c>
      <c r="J3118" s="2">
        <v>156</v>
      </c>
      <c r="K3118" s="2">
        <v>67.930599999999998</v>
      </c>
      <c r="L3118" s="2">
        <v>104</v>
      </c>
      <c r="M3118" s="2">
        <v>98.923500000000004</v>
      </c>
      <c r="N3118" s="2">
        <v>226</v>
      </c>
      <c r="O3118" s="2">
        <v>101.7055</v>
      </c>
      <c r="P3118" s="2">
        <v>163</v>
      </c>
      <c r="Q3118" s="2">
        <v>100.6361</v>
      </c>
      <c r="R3118" s="2">
        <v>149</v>
      </c>
      <c r="S3118" s="2">
        <v>96.983500000000006</v>
      </c>
      <c r="T3118" s="2">
        <v>66</v>
      </c>
      <c r="U3118" s="2">
        <v>0.63337500000000002</v>
      </c>
      <c r="V3118" s="2">
        <v>105</v>
      </c>
      <c r="W3118" s="2">
        <v>2011</v>
      </c>
    </row>
    <row r="3119" spans="1:23" ht="12.3" hidden="1" x14ac:dyDescent="0.4">
      <c r="A3119" s="2" t="s">
        <v>210</v>
      </c>
      <c r="B3119" s="2"/>
      <c r="C3119" s="2"/>
      <c r="D3119" s="2"/>
      <c r="E3119" s="2"/>
      <c r="F3119" s="2"/>
      <c r="G3119" s="2"/>
      <c r="H3119" s="2"/>
      <c r="I3119" s="2">
        <v>63.324599999999997</v>
      </c>
      <c r="J3119" s="2">
        <v>308</v>
      </c>
      <c r="K3119" s="2">
        <v>64.169600000000003</v>
      </c>
      <c r="L3119" s="2">
        <v>288</v>
      </c>
      <c r="M3119" s="2">
        <v>100.5033</v>
      </c>
      <c r="N3119" s="2">
        <v>197</v>
      </c>
      <c r="O3119" s="2">
        <v>96.233000000000004</v>
      </c>
      <c r="P3119" s="2">
        <v>271</v>
      </c>
      <c r="Q3119" s="2">
        <v>93.552499999999995</v>
      </c>
      <c r="R3119" s="2">
        <v>21</v>
      </c>
      <c r="S3119" s="2">
        <v>91.799199999999999</v>
      </c>
      <c r="T3119" s="2">
        <v>15</v>
      </c>
      <c r="U3119" s="2">
        <v>0.63237900000000002</v>
      </c>
      <c r="V3119" s="2">
        <v>106</v>
      </c>
      <c r="W3119" s="2">
        <v>2011</v>
      </c>
    </row>
    <row r="3120" spans="1:23" ht="12.3" x14ac:dyDescent="0.4">
      <c r="A3120" s="2" t="s">
        <v>128</v>
      </c>
      <c r="B3120" s="2">
        <v>11</v>
      </c>
      <c r="C3120" s="4" t="s">
        <v>33</v>
      </c>
      <c r="D3120" s="2"/>
      <c r="E3120" s="2"/>
      <c r="F3120" s="2"/>
      <c r="G3120" s="2"/>
      <c r="H3120" s="2"/>
      <c r="I3120" s="2">
        <v>72.225800000000007</v>
      </c>
      <c r="J3120" s="2">
        <v>27</v>
      </c>
      <c r="K3120" s="2">
        <v>71.380099999999999</v>
      </c>
      <c r="L3120" s="2">
        <v>35</v>
      </c>
      <c r="M3120" s="2">
        <v>107.0809</v>
      </c>
      <c r="N3120" s="2">
        <v>58</v>
      </c>
      <c r="O3120" s="2">
        <v>108.0639</v>
      </c>
      <c r="P3120" s="2">
        <v>59</v>
      </c>
      <c r="Q3120" s="2">
        <v>98.575000000000003</v>
      </c>
      <c r="R3120" s="2">
        <v>95</v>
      </c>
      <c r="S3120" s="2">
        <v>97.668999999999997</v>
      </c>
      <c r="T3120" s="2">
        <v>80</v>
      </c>
      <c r="U3120" s="2">
        <v>0.76189499999999999</v>
      </c>
      <c r="V3120" s="2">
        <v>57</v>
      </c>
      <c r="W3120" s="2">
        <v>2005</v>
      </c>
    </row>
    <row r="3121" spans="1:23" ht="12.3" hidden="1" x14ac:dyDescent="0.4">
      <c r="A3121" s="2" t="s">
        <v>53</v>
      </c>
      <c r="B3121" s="2"/>
      <c r="C3121" s="2"/>
      <c r="D3121" s="2"/>
      <c r="E3121" s="2"/>
      <c r="F3121" s="2"/>
      <c r="G3121" s="2"/>
      <c r="H3121" s="2"/>
      <c r="I3121" s="2">
        <v>67.368899999999996</v>
      </c>
      <c r="J3121" s="2">
        <v>148</v>
      </c>
      <c r="K3121" s="2">
        <v>68.046099999999996</v>
      </c>
      <c r="L3121" s="2">
        <v>96</v>
      </c>
      <c r="M3121" s="2">
        <v>102.6404</v>
      </c>
      <c r="N3121" s="2">
        <v>147</v>
      </c>
      <c r="O3121" s="2">
        <v>102.48739999999999</v>
      </c>
      <c r="P3121" s="2">
        <v>148</v>
      </c>
      <c r="Q3121" s="2">
        <v>96.759799999999998</v>
      </c>
      <c r="R3121" s="2">
        <v>63</v>
      </c>
      <c r="S3121" s="2">
        <v>97.947199999999995</v>
      </c>
      <c r="T3121" s="2">
        <v>84</v>
      </c>
      <c r="U3121" s="2">
        <v>0.62740099999999999</v>
      </c>
      <c r="V3121" s="2">
        <v>108</v>
      </c>
      <c r="W3121" s="2">
        <v>2011</v>
      </c>
    </row>
    <row r="3122" spans="1:23" ht="12.3" hidden="1" x14ac:dyDescent="0.4">
      <c r="A3122" s="2" t="s">
        <v>334</v>
      </c>
      <c r="B3122" s="2"/>
      <c r="C3122" s="2"/>
      <c r="D3122" s="2"/>
      <c r="E3122" s="2"/>
      <c r="F3122" s="2"/>
      <c r="G3122" s="2"/>
      <c r="H3122" s="2"/>
      <c r="I3122" s="2">
        <v>67.475499999999997</v>
      </c>
      <c r="J3122" s="2">
        <v>140</v>
      </c>
      <c r="K3122" s="2">
        <v>67.002600000000001</v>
      </c>
      <c r="L3122" s="2">
        <v>153</v>
      </c>
      <c r="M3122" s="2">
        <v>107.6657</v>
      </c>
      <c r="N3122" s="2">
        <v>55</v>
      </c>
      <c r="O3122" s="2">
        <v>103.69970000000001</v>
      </c>
      <c r="P3122" s="2">
        <v>121</v>
      </c>
      <c r="Q3122" s="2">
        <v>95.393600000000006</v>
      </c>
      <c r="R3122" s="2">
        <v>42</v>
      </c>
      <c r="S3122" s="2">
        <v>99.147300000000001</v>
      </c>
      <c r="T3122" s="2">
        <v>107</v>
      </c>
      <c r="U3122" s="2">
        <v>0.62627299999999997</v>
      </c>
      <c r="V3122" s="2">
        <v>109</v>
      </c>
      <c r="W3122" s="2">
        <v>2011</v>
      </c>
    </row>
    <row r="3123" spans="1:23" ht="12.3" hidden="1" x14ac:dyDescent="0.4">
      <c r="A3123" s="2" t="s">
        <v>80</v>
      </c>
      <c r="B3123" s="2"/>
      <c r="C3123" s="2"/>
      <c r="D3123" s="2"/>
      <c r="E3123" s="2"/>
      <c r="F3123" s="2"/>
      <c r="G3123" s="2"/>
      <c r="H3123" s="2"/>
      <c r="I3123" s="2">
        <v>68.119799999999998</v>
      </c>
      <c r="J3123" s="2">
        <v>105</v>
      </c>
      <c r="K3123" s="2">
        <v>67.311000000000007</v>
      </c>
      <c r="L3123" s="2">
        <v>137</v>
      </c>
      <c r="M3123" s="2">
        <v>101.9713</v>
      </c>
      <c r="N3123" s="2">
        <v>162</v>
      </c>
      <c r="O3123" s="2">
        <v>105.5514</v>
      </c>
      <c r="P3123" s="2">
        <v>94</v>
      </c>
      <c r="Q3123" s="2">
        <v>97.263099999999994</v>
      </c>
      <c r="R3123" s="2">
        <v>73</v>
      </c>
      <c r="S3123" s="2">
        <v>101.09269999999999</v>
      </c>
      <c r="T3123" s="2">
        <v>148</v>
      </c>
      <c r="U3123" s="2">
        <v>0.62160099999999996</v>
      </c>
      <c r="V3123" s="2">
        <v>110</v>
      </c>
      <c r="W3123" s="2">
        <v>2011</v>
      </c>
    </row>
    <row r="3124" spans="1:23" ht="12.3" hidden="1" x14ac:dyDescent="0.4">
      <c r="A3124" s="2" t="s">
        <v>108</v>
      </c>
      <c r="B3124" s="2"/>
      <c r="C3124" s="2"/>
      <c r="D3124" s="2"/>
      <c r="E3124" s="2"/>
      <c r="F3124" s="2"/>
      <c r="G3124" s="2"/>
      <c r="H3124" s="2"/>
      <c r="I3124" s="2">
        <v>65.506200000000007</v>
      </c>
      <c r="J3124" s="2">
        <v>233</v>
      </c>
      <c r="K3124" s="2">
        <v>65.152199999999993</v>
      </c>
      <c r="L3124" s="2">
        <v>246</v>
      </c>
      <c r="M3124" s="2">
        <v>102.76949999999999</v>
      </c>
      <c r="N3124" s="2">
        <v>144</v>
      </c>
      <c r="O3124" s="2">
        <v>101.6739</v>
      </c>
      <c r="P3124" s="2">
        <v>167</v>
      </c>
      <c r="Q3124" s="2">
        <v>96.748800000000003</v>
      </c>
      <c r="R3124" s="2">
        <v>62</v>
      </c>
      <c r="S3124" s="2">
        <v>97.402299999999997</v>
      </c>
      <c r="T3124" s="2">
        <v>72</v>
      </c>
      <c r="U3124" s="2">
        <v>0.62095199999999995</v>
      </c>
      <c r="V3124" s="2">
        <v>111</v>
      </c>
      <c r="W3124" s="2">
        <v>2011</v>
      </c>
    </row>
    <row r="3125" spans="1:23" ht="12.3" hidden="1" x14ac:dyDescent="0.4">
      <c r="A3125" s="2" t="s">
        <v>59</v>
      </c>
      <c r="B3125" s="2"/>
      <c r="C3125" s="2"/>
      <c r="D3125" s="2"/>
      <c r="E3125" s="2"/>
      <c r="F3125" s="2"/>
      <c r="G3125" s="2"/>
      <c r="H3125" s="2"/>
      <c r="I3125" s="2">
        <v>70.746899999999997</v>
      </c>
      <c r="J3125" s="2">
        <v>33</v>
      </c>
      <c r="K3125" s="2">
        <v>70.580500000000001</v>
      </c>
      <c r="L3125" s="2">
        <v>31</v>
      </c>
      <c r="M3125" s="2">
        <v>102.69459999999999</v>
      </c>
      <c r="N3125" s="2">
        <v>146</v>
      </c>
      <c r="O3125" s="2">
        <v>105.85769999999999</v>
      </c>
      <c r="P3125" s="2">
        <v>93</v>
      </c>
      <c r="Q3125" s="2">
        <v>105.5796</v>
      </c>
      <c r="R3125" s="2">
        <v>270</v>
      </c>
      <c r="S3125" s="2">
        <v>101.4319</v>
      </c>
      <c r="T3125" s="2">
        <v>159</v>
      </c>
      <c r="U3125" s="2">
        <v>0.62037500000000001</v>
      </c>
      <c r="V3125" s="2">
        <v>112</v>
      </c>
      <c r="W3125" s="2">
        <v>2011</v>
      </c>
    </row>
    <row r="3126" spans="1:23" ht="12.3" hidden="1" x14ac:dyDescent="0.4">
      <c r="A3126" s="2" t="s">
        <v>171</v>
      </c>
      <c r="B3126" s="2"/>
      <c r="C3126" s="2"/>
      <c r="D3126" s="2"/>
      <c r="E3126" s="2"/>
      <c r="F3126" s="2"/>
      <c r="G3126" s="2"/>
      <c r="H3126" s="2"/>
      <c r="I3126" s="2">
        <v>62.441899999999997</v>
      </c>
      <c r="J3126" s="2">
        <v>321</v>
      </c>
      <c r="K3126" s="2">
        <v>62.4754</v>
      </c>
      <c r="L3126" s="2">
        <v>324</v>
      </c>
      <c r="M3126" s="2">
        <v>102.77589999999999</v>
      </c>
      <c r="N3126" s="2">
        <v>143</v>
      </c>
      <c r="O3126" s="2">
        <v>103.1893</v>
      </c>
      <c r="P3126" s="2">
        <v>135</v>
      </c>
      <c r="Q3126" s="2">
        <v>99.619299999999996</v>
      </c>
      <c r="R3126" s="2">
        <v>112</v>
      </c>
      <c r="S3126" s="2">
        <v>99.252399999999994</v>
      </c>
      <c r="T3126" s="2">
        <v>111</v>
      </c>
      <c r="U3126" s="2">
        <v>0.61000799999999999</v>
      </c>
      <c r="V3126" s="2">
        <v>113</v>
      </c>
      <c r="W3126" s="2">
        <v>2011</v>
      </c>
    </row>
    <row r="3127" spans="1:23" ht="12.3" hidden="1" x14ac:dyDescent="0.4">
      <c r="A3127" s="2" t="s">
        <v>177</v>
      </c>
      <c r="B3127" s="2"/>
      <c r="C3127" s="2"/>
      <c r="D3127" s="2"/>
      <c r="E3127" s="2"/>
      <c r="F3127" s="2"/>
      <c r="G3127" s="2"/>
      <c r="H3127" s="2"/>
      <c r="I3127" s="2">
        <v>64.725399999999993</v>
      </c>
      <c r="J3127" s="2">
        <v>263</v>
      </c>
      <c r="K3127" s="2">
        <v>65.057900000000004</v>
      </c>
      <c r="L3127" s="2">
        <v>251</v>
      </c>
      <c r="M3127" s="2">
        <v>104.396</v>
      </c>
      <c r="N3127" s="2">
        <v>105</v>
      </c>
      <c r="O3127" s="2">
        <v>103.75620000000001</v>
      </c>
      <c r="P3127" s="2">
        <v>118</v>
      </c>
      <c r="Q3127" s="2">
        <v>97.924999999999997</v>
      </c>
      <c r="R3127" s="2">
        <v>82</v>
      </c>
      <c r="S3127" s="2">
        <v>99.886700000000005</v>
      </c>
      <c r="T3127" s="2">
        <v>122</v>
      </c>
      <c r="U3127" s="2">
        <v>0.60756399999999999</v>
      </c>
      <c r="V3127" s="2">
        <v>114</v>
      </c>
      <c r="W3127" s="2">
        <v>2011</v>
      </c>
    </row>
    <row r="3128" spans="1:23" ht="12.3" hidden="1" x14ac:dyDescent="0.4">
      <c r="A3128" s="2" t="s">
        <v>90</v>
      </c>
      <c r="B3128" s="2"/>
      <c r="C3128" s="2"/>
      <c r="D3128" s="2"/>
      <c r="E3128" s="2"/>
      <c r="F3128" s="2"/>
      <c r="G3128" s="2"/>
      <c r="H3128" s="2"/>
      <c r="I3128" s="2">
        <v>62.761400000000002</v>
      </c>
      <c r="J3128" s="2">
        <v>317</v>
      </c>
      <c r="K3128" s="2">
        <v>64.398300000000006</v>
      </c>
      <c r="L3128" s="2">
        <v>277</v>
      </c>
      <c r="M3128" s="2">
        <v>106.0163</v>
      </c>
      <c r="N3128" s="2">
        <v>78</v>
      </c>
      <c r="O3128" s="2">
        <v>104.887</v>
      </c>
      <c r="P3128" s="2">
        <v>104</v>
      </c>
      <c r="Q3128" s="2">
        <v>100.8781</v>
      </c>
      <c r="R3128" s="2">
        <v>155</v>
      </c>
      <c r="S3128" s="2">
        <v>101.03279999999999</v>
      </c>
      <c r="T3128" s="2">
        <v>143</v>
      </c>
      <c r="U3128" s="2">
        <v>0.60600399999999999</v>
      </c>
      <c r="V3128" s="2">
        <v>115</v>
      </c>
      <c r="W3128" s="2">
        <v>2011</v>
      </c>
    </row>
    <row r="3129" spans="1:23" ht="12.3" x14ac:dyDescent="0.4">
      <c r="A3129" s="2" t="s">
        <v>77</v>
      </c>
      <c r="B3129" s="2">
        <v>13</v>
      </c>
      <c r="C3129" s="2"/>
      <c r="D3129" s="2"/>
      <c r="E3129" s="2"/>
      <c r="F3129" s="2"/>
      <c r="G3129" s="2"/>
      <c r="H3129" s="2"/>
      <c r="I3129" s="2">
        <v>67.050200000000004</v>
      </c>
      <c r="J3129" s="2">
        <v>170</v>
      </c>
      <c r="K3129" s="2">
        <v>68.869100000000003</v>
      </c>
      <c r="L3129" s="2">
        <v>98</v>
      </c>
      <c r="M3129" s="2">
        <v>101.41240000000001</v>
      </c>
      <c r="N3129" s="2">
        <v>166</v>
      </c>
      <c r="O3129" s="2">
        <v>100.87560000000001</v>
      </c>
      <c r="P3129" s="2">
        <v>176</v>
      </c>
      <c r="Q3129" s="2">
        <v>89.9084</v>
      </c>
      <c r="R3129" s="2">
        <v>5</v>
      </c>
      <c r="S3129" s="2">
        <v>91.325100000000006</v>
      </c>
      <c r="T3129" s="2">
        <v>11</v>
      </c>
      <c r="U3129" s="2">
        <v>0.75837900000000003</v>
      </c>
      <c r="V3129" s="2">
        <v>60</v>
      </c>
      <c r="W3129" s="2">
        <v>2005</v>
      </c>
    </row>
    <row r="3130" spans="1:23" ht="12.3" hidden="1" x14ac:dyDescent="0.4">
      <c r="A3130" s="2" t="s">
        <v>138</v>
      </c>
      <c r="B3130" s="2"/>
      <c r="C3130" s="2"/>
      <c r="D3130" s="2"/>
      <c r="E3130" s="2"/>
      <c r="F3130" s="2"/>
      <c r="G3130" s="2"/>
      <c r="H3130" s="2"/>
      <c r="I3130" s="2">
        <v>67.403499999999994</v>
      </c>
      <c r="J3130" s="2">
        <v>147</v>
      </c>
      <c r="K3130" s="2">
        <v>67.444699999999997</v>
      </c>
      <c r="L3130" s="2">
        <v>129</v>
      </c>
      <c r="M3130" s="2">
        <v>111.17489999999999</v>
      </c>
      <c r="N3130" s="2">
        <v>22</v>
      </c>
      <c r="O3130" s="2">
        <v>109.2077</v>
      </c>
      <c r="P3130" s="2">
        <v>50</v>
      </c>
      <c r="Q3130" s="2">
        <v>107.67400000000001</v>
      </c>
      <c r="R3130" s="2">
        <v>303</v>
      </c>
      <c r="S3130" s="2">
        <v>105.23909999999999</v>
      </c>
      <c r="T3130" s="2">
        <v>247</v>
      </c>
      <c r="U3130" s="2">
        <v>0.60484599999999999</v>
      </c>
      <c r="V3130" s="2">
        <v>117</v>
      </c>
      <c r="W3130" s="2">
        <v>2011</v>
      </c>
    </row>
    <row r="3131" spans="1:23" ht="12.3" hidden="1" x14ac:dyDescent="0.4">
      <c r="A3131" s="2" t="s">
        <v>204</v>
      </c>
      <c r="B3131" s="2"/>
      <c r="C3131" s="2"/>
      <c r="D3131" s="2"/>
      <c r="E3131" s="2"/>
      <c r="F3131" s="2"/>
      <c r="G3131" s="2"/>
      <c r="H3131" s="2"/>
      <c r="I3131" s="2">
        <v>62.275799999999997</v>
      </c>
      <c r="J3131" s="2">
        <v>325</v>
      </c>
      <c r="K3131" s="2">
        <v>61.801099999999998</v>
      </c>
      <c r="L3131" s="2">
        <v>328</v>
      </c>
      <c r="M3131" s="2">
        <v>102.4205</v>
      </c>
      <c r="N3131" s="2">
        <v>152</v>
      </c>
      <c r="O3131" s="2">
        <v>104.3557</v>
      </c>
      <c r="P3131" s="2">
        <v>111</v>
      </c>
      <c r="Q3131" s="2">
        <v>103.4637</v>
      </c>
      <c r="R3131" s="2">
        <v>212</v>
      </c>
      <c r="S3131" s="2">
        <v>100.5942</v>
      </c>
      <c r="T3131" s="2">
        <v>133</v>
      </c>
      <c r="U3131" s="2">
        <v>0.60400399999999999</v>
      </c>
      <c r="V3131" s="2">
        <v>118</v>
      </c>
      <c r="W3131" s="2">
        <v>2011</v>
      </c>
    </row>
    <row r="3132" spans="1:23" ht="12.3" x14ac:dyDescent="0.4">
      <c r="A3132" s="2" t="s">
        <v>190</v>
      </c>
      <c r="B3132" s="2">
        <v>12</v>
      </c>
      <c r="C3132" s="2"/>
      <c r="D3132" s="2"/>
      <c r="E3132" s="2"/>
      <c r="F3132" s="2"/>
      <c r="G3132" s="2"/>
      <c r="H3132" s="2"/>
      <c r="I3132" s="2">
        <v>66.806299999999993</v>
      </c>
      <c r="J3132" s="2">
        <v>179</v>
      </c>
      <c r="K3132" s="2">
        <v>67.101200000000006</v>
      </c>
      <c r="L3132" s="2">
        <v>168</v>
      </c>
      <c r="M3132" s="2">
        <v>104.8468</v>
      </c>
      <c r="N3132" s="2">
        <v>93</v>
      </c>
      <c r="O3132" s="2">
        <v>102.89879999999999</v>
      </c>
      <c r="P3132" s="2">
        <v>131</v>
      </c>
      <c r="Q3132" s="2">
        <v>90.377399999999994</v>
      </c>
      <c r="R3132" s="2">
        <v>6</v>
      </c>
      <c r="S3132" s="2">
        <v>93.242599999999996</v>
      </c>
      <c r="T3132" s="2">
        <v>19</v>
      </c>
      <c r="U3132" s="2">
        <v>0.75643499999999997</v>
      </c>
      <c r="V3132" s="2">
        <v>62</v>
      </c>
      <c r="W3132" s="2">
        <v>2005</v>
      </c>
    </row>
    <row r="3133" spans="1:23" ht="12.3" x14ac:dyDescent="0.4">
      <c r="A3133" s="2" t="s">
        <v>65</v>
      </c>
      <c r="B3133" s="2">
        <v>11</v>
      </c>
      <c r="C3133" s="2"/>
      <c r="D3133" s="2"/>
      <c r="E3133" s="2"/>
      <c r="F3133" s="2"/>
      <c r="G3133" s="2"/>
      <c r="H3133" s="2"/>
      <c r="I3133" s="2">
        <v>70.571100000000001</v>
      </c>
      <c r="J3133" s="2">
        <v>57</v>
      </c>
      <c r="K3133" s="2">
        <v>70.139499999999998</v>
      </c>
      <c r="L3133" s="2">
        <v>58</v>
      </c>
      <c r="M3133" s="2">
        <v>103.89790000000001</v>
      </c>
      <c r="N3133" s="2">
        <v>112</v>
      </c>
      <c r="O3133" s="2">
        <v>106.0566</v>
      </c>
      <c r="P3133" s="2">
        <v>85</v>
      </c>
      <c r="Q3133" s="2">
        <v>99.9435</v>
      </c>
      <c r="R3133" s="2">
        <v>129</v>
      </c>
      <c r="S3133" s="2">
        <v>96.214500000000001</v>
      </c>
      <c r="T3133" s="2">
        <v>57</v>
      </c>
      <c r="U3133" s="2">
        <v>0.753992</v>
      </c>
      <c r="V3133" s="2">
        <v>63</v>
      </c>
      <c r="W3133" s="2">
        <v>2005</v>
      </c>
    </row>
    <row r="3134" spans="1:23" ht="12.3" x14ac:dyDescent="0.4">
      <c r="A3134" s="2" t="s">
        <v>219</v>
      </c>
      <c r="B3134" s="2">
        <v>11</v>
      </c>
      <c r="C3134" s="2"/>
      <c r="D3134" s="2"/>
      <c r="E3134" s="2"/>
      <c r="F3134" s="2"/>
      <c r="G3134" s="2"/>
      <c r="H3134" s="2"/>
      <c r="I3134" s="2">
        <v>67.288499999999999</v>
      </c>
      <c r="J3134" s="2">
        <v>163</v>
      </c>
      <c r="K3134" s="2">
        <v>67.339600000000004</v>
      </c>
      <c r="L3134" s="2">
        <v>159</v>
      </c>
      <c r="M3134" s="2">
        <v>112.1421</v>
      </c>
      <c r="N3134" s="2">
        <v>16</v>
      </c>
      <c r="O3134" s="2">
        <v>111.2898</v>
      </c>
      <c r="P3134" s="2">
        <v>31</v>
      </c>
      <c r="Q3134" s="2">
        <v>98.731899999999996</v>
      </c>
      <c r="R3134" s="2">
        <v>100</v>
      </c>
      <c r="S3134" s="2">
        <v>101.36750000000001</v>
      </c>
      <c r="T3134" s="2">
        <v>162</v>
      </c>
      <c r="U3134" s="2">
        <v>0.74534400000000001</v>
      </c>
      <c r="V3134" s="2">
        <v>67</v>
      </c>
      <c r="W3134" s="2">
        <v>2005</v>
      </c>
    </row>
    <row r="3135" spans="1:23" ht="12.3" hidden="1" x14ac:dyDescent="0.4">
      <c r="A3135" s="2" t="s">
        <v>48</v>
      </c>
      <c r="B3135" s="2"/>
      <c r="C3135" s="2"/>
      <c r="D3135" s="2"/>
      <c r="E3135" s="2"/>
      <c r="F3135" s="2"/>
      <c r="G3135" s="2"/>
      <c r="H3135" s="2"/>
      <c r="I3135" s="2">
        <v>67.656800000000004</v>
      </c>
      <c r="J3135" s="2">
        <v>131</v>
      </c>
      <c r="K3135" s="2">
        <v>67.894000000000005</v>
      </c>
      <c r="L3135" s="2">
        <v>107</v>
      </c>
      <c r="M3135" s="2">
        <v>103.0582</v>
      </c>
      <c r="N3135" s="2">
        <v>135</v>
      </c>
      <c r="O3135" s="2">
        <v>106.0317</v>
      </c>
      <c r="P3135" s="2">
        <v>88</v>
      </c>
      <c r="Q3135" s="2">
        <v>103.627</v>
      </c>
      <c r="R3135" s="2">
        <v>221</v>
      </c>
      <c r="S3135" s="2">
        <v>102.6152</v>
      </c>
      <c r="T3135" s="2">
        <v>194</v>
      </c>
      <c r="U3135" s="2">
        <v>0.59306400000000004</v>
      </c>
      <c r="V3135" s="2">
        <v>122</v>
      </c>
      <c r="W3135" s="2">
        <v>2011</v>
      </c>
    </row>
    <row r="3136" spans="1:23" ht="12.3" hidden="1" x14ac:dyDescent="0.4">
      <c r="A3136" s="2" t="s">
        <v>243</v>
      </c>
      <c r="B3136" s="2"/>
      <c r="C3136" s="2"/>
      <c r="D3136" s="2"/>
      <c r="E3136" s="2"/>
      <c r="F3136" s="2"/>
      <c r="G3136" s="2"/>
      <c r="H3136" s="2"/>
      <c r="I3136" s="2">
        <v>64.765600000000006</v>
      </c>
      <c r="J3136" s="2">
        <v>261</v>
      </c>
      <c r="K3136" s="2">
        <v>66.485399999999998</v>
      </c>
      <c r="L3136" s="2">
        <v>179</v>
      </c>
      <c r="M3136" s="2">
        <v>106.4294</v>
      </c>
      <c r="N3136" s="2">
        <v>71</v>
      </c>
      <c r="O3136" s="2">
        <v>107.5784</v>
      </c>
      <c r="P3136" s="2">
        <v>71</v>
      </c>
      <c r="Q3136" s="2">
        <v>106.0964</v>
      </c>
      <c r="R3136" s="2">
        <v>278</v>
      </c>
      <c r="S3136" s="2">
        <v>104.1634</v>
      </c>
      <c r="T3136" s="2">
        <v>229</v>
      </c>
      <c r="U3136" s="2">
        <v>0.59169499999999997</v>
      </c>
      <c r="V3136" s="2">
        <v>123</v>
      </c>
      <c r="W3136" s="2">
        <v>2011</v>
      </c>
    </row>
    <row r="3137" spans="1:23" ht="12.3" hidden="1" x14ac:dyDescent="0.4">
      <c r="A3137" s="2" t="s">
        <v>181</v>
      </c>
      <c r="B3137" s="2"/>
      <c r="C3137" s="2"/>
      <c r="D3137" s="2"/>
      <c r="E3137" s="2"/>
      <c r="F3137" s="2"/>
      <c r="G3137" s="2"/>
      <c r="H3137" s="2"/>
      <c r="I3137" s="2">
        <v>63.690899999999999</v>
      </c>
      <c r="J3137" s="2">
        <v>301</v>
      </c>
      <c r="K3137" s="2">
        <v>63.640700000000002</v>
      </c>
      <c r="L3137" s="2">
        <v>306</v>
      </c>
      <c r="M3137" s="2">
        <v>104.7921</v>
      </c>
      <c r="N3137" s="2">
        <v>97</v>
      </c>
      <c r="O3137" s="2">
        <v>102.62</v>
      </c>
      <c r="P3137" s="2">
        <v>147</v>
      </c>
      <c r="Q3137" s="2">
        <v>96.1096</v>
      </c>
      <c r="R3137" s="2">
        <v>51</v>
      </c>
      <c r="S3137" s="2">
        <v>99.478099999999998</v>
      </c>
      <c r="T3137" s="2">
        <v>115</v>
      </c>
      <c r="U3137" s="2">
        <v>0.58845800000000004</v>
      </c>
      <c r="V3137" s="2">
        <v>124</v>
      </c>
      <c r="W3137" s="2">
        <v>2011</v>
      </c>
    </row>
    <row r="3138" spans="1:23" ht="12.3" hidden="1" x14ac:dyDescent="0.4">
      <c r="A3138" s="2" t="s">
        <v>213</v>
      </c>
      <c r="B3138" s="2"/>
      <c r="C3138" s="2"/>
      <c r="D3138" s="2"/>
      <c r="E3138" s="2"/>
      <c r="F3138" s="2"/>
      <c r="G3138" s="2"/>
      <c r="H3138" s="2"/>
      <c r="I3138" s="2">
        <v>67.185699999999997</v>
      </c>
      <c r="J3138" s="2">
        <v>159</v>
      </c>
      <c r="K3138" s="2">
        <v>66.496499999999997</v>
      </c>
      <c r="L3138" s="2">
        <v>178</v>
      </c>
      <c r="M3138" s="2">
        <v>105.15689999999999</v>
      </c>
      <c r="N3138" s="2">
        <v>91</v>
      </c>
      <c r="O3138" s="2">
        <v>103.1803</v>
      </c>
      <c r="P3138" s="2">
        <v>136</v>
      </c>
      <c r="Q3138" s="2">
        <v>96.414500000000004</v>
      </c>
      <c r="R3138" s="2">
        <v>55</v>
      </c>
      <c r="S3138" s="2">
        <v>100.02930000000001</v>
      </c>
      <c r="T3138" s="2">
        <v>125</v>
      </c>
      <c r="U3138" s="2">
        <v>0.58823300000000001</v>
      </c>
      <c r="V3138" s="2">
        <v>125</v>
      </c>
      <c r="W3138" s="2">
        <v>2011</v>
      </c>
    </row>
    <row r="3139" spans="1:23" ht="12.3" hidden="1" x14ac:dyDescent="0.4">
      <c r="A3139" s="2" t="s">
        <v>362</v>
      </c>
      <c r="B3139" s="2"/>
      <c r="C3139" s="2"/>
      <c r="D3139" s="2"/>
      <c r="E3139" s="2"/>
      <c r="F3139" s="2"/>
      <c r="G3139" s="2"/>
      <c r="H3139" s="2"/>
      <c r="I3139" s="2">
        <v>69.035799999999995</v>
      </c>
      <c r="J3139" s="2">
        <v>69</v>
      </c>
      <c r="K3139" s="2">
        <v>68.780199999999994</v>
      </c>
      <c r="L3139" s="2">
        <v>65</v>
      </c>
      <c r="M3139" s="2">
        <v>117.75830000000001</v>
      </c>
      <c r="N3139" s="2">
        <v>3</v>
      </c>
      <c r="O3139" s="2">
        <v>112.0515</v>
      </c>
      <c r="P3139" s="2">
        <v>26</v>
      </c>
      <c r="Q3139" s="2">
        <v>106.91970000000001</v>
      </c>
      <c r="R3139" s="2">
        <v>290</v>
      </c>
      <c r="S3139" s="2">
        <v>108.7264</v>
      </c>
      <c r="T3139" s="2">
        <v>305</v>
      </c>
      <c r="U3139" s="2">
        <v>0.58574999999999999</v>
      </c>
      <c r="V3139" s="2">
        <v>126</v>
      </c>
      <c r="W3139" s="2">
        <v>2011</v>
      </c>
    </row>
    <row r="3140" spans="1:23" ht="12.3" hidden="1" x14ac:dyDescent="0.4">
      <c r="A3140" s="2" t="s">
        <v>254</v>
      </c>
      <c r="B3140" s="2"/>
      <c r="C3140" s="2"/>
      <c r="D3140" s="2"/>
      <c r="E3140" s="2"/>
      <c r="F3140" s="2"/>
      <c r="G3140" s="2"/>
      <c r="H3140" s="2"/>
      <c r="I3140" s="2">
        <v>65.466300000000004</v>
      </c>
      <c r="J3140" s="2">
        <v>235</v>
      </c>
      <c r="K3140" s="2">
        <v>66.479900000000001</v>
      </c>
      <c r="L3140" s="2">
        <v>180</v>
      </c>
      <c r="M3140" s="2">
        <v>107.0167</v>
      </c>
      <c r="N3140" s="2">
        <v>61</v>
      </c>
      <c r="O3140" s="2">
        <v>104.479</v>
      </c>
      <c r="P3140" s="2">
        <v>107</v>
      </c>
      <c r="Q3140" s="2">
        <v>99.791300000000007</v>
      </c>
      <c r="R3140" s="2">
        <v>117</v>
      </c>
      <c r="S3140" s="2">
        <v>101.3943</v>
      </c>
      <c r="T3140" s="2">
        <v>158</v>
      </c>
      <c r="U3140" s="2">
        <v>0.58531599999999995</v>
      </c>
      <c r="V3140" s="2">
        <v>127</v>
      </c>
      <c r="W3140" s="2">
        <v>2011</v>
      </c>
    </row>
    <row r="3141" spans="1:23" ht="12.3" hidden="1" x14ac:dyDescent="0.4">
      <c r="A3141" s="2" t="s">
        <v>216</v>
      </c>
      <c r="B3141" s="2"/>
      <c r="C3141" s="2"/>
      <c r="D3141" s="2"/>
      <c r="E3141" s="2"/>
      <c r="F3141" s="2"/>
      <c r="G3141" s="2"/>
      <c r="H3141" s="2"/>
      <c r="I3141" s="2">
        <v>59.578600000000002</v>
      </c>
      <c r="J3141" s="2">
        <v>343</v>
      </c>
      <c r="K3141" s="2">
        <v>60.558999999999997</v>
      </c>
      <c r="L3141" s="2">
        <v>340</v>
      </c>
      <c r="M3141" s="2">
        <v>105.4965</v>
      </c>
      <c r="N3141" s="2">
        <v>81</v>
      </c>
      <c r="O3141" s="2">
        <v>107.379</v>
      </c>
      <c r="P3141" s="2">
        <v>73</v>
      </c>
      <c r="Q3141" s="2">
        <v>102.59050000000001</v>
      </c>
      <c r="R3141" s="2">
        <v>197</v>
      </c>
      <c r="S3141" s="2">
        <v>104.26130000000001</v>
      </c>
      <c r="T3141" s="2">
        <v>234</v>
      </c>
      <c r="U3141" s="2">
        <v>0.58390900000000001</v>
      </c>
      <c r="V3141" s="2">
        <v>128</v>
      </c>
      <c r="W3141" s="2">
        <v>2011</v>
      </c>
    </row>
    <row r="3142" spans="1:23" ht="12.3" hidden="1" x14ac:dyDescent="0.4">
      <c r="A3142" s="2" t="s">
        <v>304</v>
      </c>
      <c r="B3142" s="2"/>
      <c r="C3142" s="2"/>
      <c r="D3142" s="2"/>
      <c r="E3142" s="2"/>
      <c r="F3142" s="2"/>
      <c r="G3142" s="2"/>
      <c r="H3142" s="2"/>
      <c r="I3142" s="2">
        <v>65.113</v>
      </c>
      <c r="J3142" s="2">
        <v>248</v>
      </c>
      <c r="K3142" s="2">
        <v>64.485399999999998</v>
      </c>
      <c r="L3142" s="2">
        <v>272</v>
      </c>
      <c r="M3142" s="2">
        <v>101.934</v>
      </c>
      <c r="N3142" s="2">
        <v>164</v>
      </c>
      <c r="O3142" s="2">
        <v>104.0714</v>
      </c>
      <c r="P3142" s="2">
        <v>116</v>
      </c>
      <c r="Q3142" s="2">
        <v>99.8185</v>
      </c>
      <c r="R3142" s="2">
        <v>118</v>
      </c>
      <c r="S3142" s="2">
        <v>101.1446</v>
      </c>
      <c r="T3142" s="2">
        <v>150</v>
      </c>
      <c r="U3142" s="2">
        <v>0.581287</v>
      </c>
      <c r="V3142" s="2">
        <v>129</v>
      </c>
      <c r="W3142" s="2">
        <v>2011</v>
      </c>
    </row>
    <row r="3143" spans="1:23" ht="12.3" hidden="1" x14ac:dyDescent="0.4">
      <c r="A3143" s="2" t="s">
        <v>116</v>
      </c>
      <c r="B3143" s="2"/>
      <c r="C3143" s="2"/>
      <c r="D3143" s="2"/>
      <c r="E3143" s="2"/>
      <c r="F3143" s="2"/>
      <c r="G3143" s="2"/>
      <c r="H3143" s="2"/>
      <c r="I3143" s="2">
        <v>64.803299999999993</v>
      </c>
      <c r="J3143" s="2">
        <v>259</v>
      </c>
      <c r="K3143" s="2">
        <v>65.069900000000004</v>
      </c>
      <c r="L3143" s="2">
        <v>250</v>
      </c>
      <c r="M3143" s="2">
        <v>96.612799999999993</v>
      </c>
      <c r="N3143" s="2">
        <v>271</v>
      </c>
      <c r="O3143" s="2">
        <v>97.135099999999994</v>
      </c>
      <c r="P3143" s="2">
        <v>257</v>
      </c>
      <c r="Q3143" s="2">
        <v>97.173599999999993</v>
      </c>
      <c r="R3143" s="2">
        <v>70</v>
      </c>
      <c r="S3143" s="2">
        <v>94.493499999999997</v>
      </c>
      <c r="T3143" s="2">
        <v>37</v>
      </c>
      <c r="U3143" s="2">
        <v>0.57861099999999999</v>
      </c>
      <c r="V3143" s="2">
        <v>130</v>
      </c>
      <c r="W3143" s="2">
        <v>2011</v>
      </c>
    </row>
    <row r="3144" spans="1:23" ht="12.3" hidden="1" x14ac:dyDescent="0.4">
      <c r="A3144" s="2" t="s">
        <v>258</v>
      </c>
      <c r="B3144" s="2"/>
      <c r="C3144" s="2"/>
      <c r="D3144" s="2"/>
      <c r="E3144" s="2"/>
      <c r="F3144" s="2"/>
      <c r="G3144" s="2"/>
      <c r="H3144" s="2"/>
      <c r="I3144" s="2">
        <v>67.208299999999994</v>
      </c>
      <c r="J3144" s="2">
        <v>157</v>
      </c>
      <c r="K3144" s="2">
        <v>67.302000000000007</v>
      </c>
      <c r="L3144" s="2">
        <v>138</v>
      </c>
      <c r="M3144" s="2">
        <v>101.0973</v>
      </c>
      <c r="N3144" s="2">
        <v>186</v>
      </c>
      <c r="O3144" s="2">
        <v>101.0309</v>
      </c>
      <c r="P3144" s="2">
        <v>182</v>
      </c>
      <c r="Q3144" s="2">
        <v>99.335800000000006</v>
      </c>
      <c r="R3144" s="2">
        <v>108</v>
      </c>
      <c r="S3144" s="2">
        <v>98.337400000000002</v>
      </c>
      <c r="T3144" s="2">
        <v>95</v>
      </c>
      <c r="U3144" s="2">
        <v>0.57706900000000005</v>
      </c>
      <c r="V3144" s="2">
        <v>131</v>
      </c>
      <c r="W3144" s="2">
        <v>2011</v>
      </c>
    </row>
    <row r="3145" spans="1:23" ht="12.3" hidden="1" x14ac:dyDescent="0.4">
      <c r="A3145" s="2" t="s">
        <v>122</v>
      </c>
      <c r="B3145" s="2"/>
      <c r="C3145" s="2"/>
      <c r="D3145" s="2"/>
      <c r="E3145" s="2"/>
      <c r="F3145" s="2"/>
      <c r="G3145" s="2"/>
      <c r="H3145" s="2"/>
      <c r="I3145" s="2">
        <v>66.6387</v>
      </c>
      <c r="J3145" s="2">
        <v>179</v>
      </c>
      <c r="K3145" s="2">
        <v>66.795100000000005</v>
      </c>
      <c r="L3145" s="2">
        <v>163</v>
      </c>
      <c r="M3145" s="2">
        <v>101.7077</v>
      </c>
      <c r="N3145" s="2">
        <v>171</v>
      </c>
      <c r="O3145" s="2">
        <v>103.3567</v>
      </c>
      <c r="P3145" s="2">
        <v>128</v>
      </c>
      <c r="Q3145" s="2">
        <v>103.44289999999999</v>
      </c>
      <c r="R3145" s="2">
        <v>211</v>
      </c>
      <c r="S3145" s="2">
        <v>100.8473</v>
      </c>
      <c r="T3145" s="2">
        <v>137</v>
      </c>
      <c r="U3145" s="2">
        <v>0.57019500000000001</v>
      </c>
      <c r="V3145" s="2">
        <v>132</v>
      </c>
      <c r="W3145" s="2">
        <v>2011</v>
      </c>
    </row>
    <row r="3146" spans="1:23" ht="12.3" hidden="1" x14ac:dyDescent="0.4">
      <c r="A3146" s="2" t="s">
        <v>132</v>
      </c>
      <c r="B3146" s="2"/>
      <c r="C3146" s="2"/>
      <c r="D3146" s="2"/>
      <c r="E3146" s="2"/>
      <c r="F3146" s="2"/>
      <c r="G3146" s="2"/>
      <c r="H3146" s="2"/>
      <c r="I3146" s="2">
        <v>70.538700000000006</v>
      </c>
      <c r="J3146" s="2">
        <v>35</v>
      </c>
      <c r="K3146" s="2">
        <v>71.050700000000006</v>
      </c>
      <c r="L3146" s="2">
        <v>24</v>
      </c>
      <c r="M3146" s="2">
        <v>103.3185</v>
      </c>
      <c r="N3146" s="2">
        <v>128</v>
      </c>
      <c r="O3146" s="2">
        <v>105.8753</v>
      </c>
      <c r="P3146" s="2">
        <v>92</v>
      </c>
      <c r="Q3146" s="2">
        <v>102.36660000000001</v>
      </c>
      <c r="R3146" s="2">
        <v>193</v>
      </c>
      <c r="S3146" s="2">
        <v>103.31059999999999</v>
      </c>
      <c r="T3146" s="2">
        <v>211</v>
      </c>
      <c r="U3146" s="2">
        <v>0.57003800000000004</v>
      </c>
      <c r="V3146" s="2">
        <v>133</v>
      </c>
      <c r="W3146" s="2">
        <v>2011</v>
      </c>
    </row>
    <row r="3147" spans="1:23" ht="12.3" hidden="1" x14ac:dyDescent="0.4">
      <c r="A3147" s="2" t="s">
        <v>199</v>
      </c>
      <c r="B3147" s="2"/>
      <c r="C3147" s="2"/>
      <c r="D3147" s="2"/>
      <c r="E3147" s="2"/>
      <c r="F3147" s="2"/>
      <c r="G3147" s="2"/>
      <c r="H3147" s="2"/>
      <c r="I3147" s="2">
        <v>63.116500000000002</v>
      </c>
      <c r="J3147" s="2">
        <v>311</v>
      </c>
      <c r="K3147" s="2">
        <v>62.936100000000003</v>
      </c>
      <c r="L3147" s="2">
        <v>319</v>
      </c>
      <c r="M3147" s="2">
        <v>110.3678</v>
      </c>
      <c r="N3147" s="2">
        <v>31</v>
      </c>
      <c r="O3147" s="2">
        <v>109.9097</v>
      </c>
      <c r="P3147" s="2">
        <v>40</v>
      </c>
      <c r="Q3147" s="2">
        <v>108.4709</v>
      </c>
      <c r="R3147" s="2">
        <v>314</v>
      </c>
      <c r="S3147" s="2">
        <v>107.328</v>
      </c>
      <c r="T3147" s="2">
        <v>280</v>
      </c>
      <c r="U3147" s="2">
        <v>0.56791400000000003</v>
      </c>
      <c r="V3147" s="2">
        <v>134</v>
      </c>
      <c r="W3147" s="2">
        <v>2011</v>
      </c>
    </row>
    <row r="3148" spans="1:23" ht="12.3" x14ac:dyDescent="0.4">
      <c r="A3148" s="2" t="s">
        <v>117</v>
      </c>
      <c r="B3148" s="2">
        <v>13</v>
      </c>
      <c r="C3148" s="2"/>
      <c r="D3148" s="2"/>
      <c r="E3148" s="2"/>
      <c r="F3148" s="2"/>
      <c r="G3148" s="2"/>
      <c r="H3148" s="2"/>
      <c r="I3148" s="2">
        <v>69.137</v>
      </c>
      <c r="J3148" s="2">
        <v>99</v>
      </c>
      <c r="K3148" s="2">
        <v>68.635300000000001</v>
      </c>
      <c r="L3148" s="2">
        <v>112</v>
      </c>
      <c r="M3148" s="2">
        <v>104.2163</v>
      </c>
      <c r="N3148" s="2">
        <v>107</v>
      </c>
      <c r="O3148" s="2">
        <v>106.22069999999999</v>
      </c>
      <c r="P3148" s="2">
        <v>78</v>
      </c>
      <c r="Q3148" s="2">
        <v>97.942700000000002</v>
      </c>
      <c r="R3148" s="2">
        <v>79</v>
      </c>
      <c r="S3148" s="2">
        <v>96.808499999999995</v>
      </c>
      <c r="T3148" s="2">
        <v>68</v>
      </c>
      <c r="U3148" s="2">
        <v>0.74402900000000005</v>
      </c>
      <c r="V3148" s="2">
        <v>69</v>
      </c>
      <c r="W3148" s="2">
        <v>2005</v>
      </c>
    </row>
    <row r="3149" spans="1:23" ht="12.3" hidden="1" x14ac:dyDescent="0.4">
      <c r="A3149" s="2" t="s">
        <v>220</v>
      </c>
      <c r="B3149" s="2"/>
      <c r="C3149" s="2"/>
      <c r="D3149" s="2"/>
      <c r="E3149" s="2"/>
      <c r="F3149" s="2"/>
      <c r="G3149" s="2"/>
      <c r="H3149" s="2"/>
      <c r="I3149" s="2">
        <v>64.872699999999995</v>
      </c>
      <c r="J3149" s="2">
        <v>256</v>
      </c>
      <c r="K3149" s="2">
        <v>65.424999999999997</v>
      </c>
      <c r="L3149" s="2">
        <v>238</v>
      </c>
      <c r="M3149" s="2">
        <v>103.05549999999999</v>
      </c>
      <c r="N3149" s="2">
        <v>136</v>
      </c>
      <c r="O3149" s="2">
        <v>100.2732</v>
      </c>
      <c r="P3149" s="2">
        <v>194</v>
      </c>
      <c r="Q3149" s="2">
        <v>93.860399999999998</v>
      </c>
      <c r="R3149" s="2">
        <v>25</v>
      </c>
      <c r="S3149" s="2">
        <v>98.014700000000005</v>
      </c>
      <c r="T3149" s="2">
        <v>87</v>
      </c>
      <c r="U3149" s="2">
        <v>0.56512399999999996</v>
      </c>
      <c r="V3149" s="2">
        <v>136</v>
      </c>
      <c r="W3149" s="2">
        <v>2011</v>
      </c>
    </row>
    <row r="3150" spans="1:23" ht="12.3" hidden="1" x14ac:dyDescent="0.4">
      <c r="A3150" s="2" t="s">
        <v>118</v>
      </c>
      <c r="B3150" s="2"/>
      <c r="C3150" s="2"/>
      <c r="D3150" s="2"/>
      <c r="E3150" s="2"/>
      <c r="F3150" s="2"/>
      <c r="G3150" s="2"/>
      <c r="H3150" s="2"/>
      <c r="I3150" s="2">
        <v>68.500100000000003</v>
      </c>
      <c r="J3150" s="2">
        <v>84</v>
      </c>
      <c r="K3150" s="2">
        <v>68.153199999999998</v>
      </c>
      <c r="L3150" s="2">
        <v>91</v>
      </c>
      <c r="M3150" s="2">
        <v>101.2216</v>
      </c>
      <c r="N3150" s="2">
        <v>183</v>
      </c>
      <c r="O3150" s="2">
        <v>103.264</v>
      </c>
      <c r="P3150" s="2">
        <v>132</v>
      </c>
      <c r="Q3150" s="2">
        <v>102.45869999999999</v>
      </c>
      <c r="R3150" s="2">
        <v>195</v>
      </c>
      <c r="S3150" s="2">
        <v>101.0106</v>
      </c>
      <c r="T3150" s="2">
        <v>140</v>
      </c>
      <c r="U3150" s="2">
        <v>0.56309600000000004</v>
      </c>
      <c r="V3150" s="2">
        <v>137</v>
      </c>
      <c r="W3150" s="2">
        <v>2011</v>
      </c>
    </row>
    <row r="3151" spans="1:23" ht="12.3" hidden="1" x14ac:dyDescent="0.4">
      <c r="A3151" s="2" t="s">
        <v>38</v>
      </c>
      <c r="B3151" s="2"/>
      <c r="C3151" s="2"/>
      <c r="D3151" s="2"/>
      <c r="E3151" s="2"/>
      <c r="F3151" s="2"/>
      <c r="G3151" s="2"/>
      <c r="H3151" s="2"/>
      <c r="I3151" s="2">
        <v>65.590699999999998</v>
      </c>
      <c r="J3151" s="2">
        <v>229</v>
      </c>
      <c r="K3151" s="2">
        <v>65.259900000000002</v>
      </c>
      <c r="L3151" s="2">
        <v>244</v>
      </c>
      <c r="M3151" s="2">
        <v>99.710999999999999</v>
      </c>
      <c r="N3151" s="2">
        <v>211</v>
      </c>
      <c r="O3151" s="2">
        <v>103.1562</v>
      </c>
      <c r="P3151" s="2">
        <v>138</v>
      </c>
      <c r="Q3151" s="2">
        <v>104.1164</v>
      </c>
      <c r="R3151" s="2">
        <v>240</v>
      </c>
      <c r="S3151" s="2">
        <v>100.9627</v>
      </c>
      <c r="T3151" s="2">
        <v>139</v>
      </c>
      <c r="U3151" s="2">
        <v>0.56148200000000004</v>
      </c>
      <c r="V3151" s="2">
        <v>138</v>
      </c>
      <c r="W3151" s="2">
        <v>2011</v>
      </c>
    </row>
    <row r="3152" spans="1:23" ht="12.3" hidden="1" x14ac:dyDescent="0.4">
      <c r="A3152" s="2" t="s">
        <v>99</v>
      </c>
      <c r="B3152" s="2"/>
      <c r="C3152" s="2"/>
      <c r="D3152" s="2"/>
      <c r="E3152" s="2"/>
      <c r="F3152" s="2"/>
      <c r="G3152" s="2"/>
      <c r="H3152" s="2"/>
      <c r="I3152" s="2">
        <v>64.466499999999996</v>
      </c>
      <c r="J3152" s="2">
        <v>270</v>
      </c>
      <c r="K3152" s="2">
        <v>63.837899999999998</v>
      </c>
      <c r="L3152" s="2">
        <v>298</v>
      </c>
      <c r="M3152" s="2">
        <v>98.501199999999997</v>
      </c>
      <c r="N3152" s="2">
        <v>233</v>
      </c>
      <c r="O3152" s="2">
        <v>102.16670000000001</v>
      </c>
      <c r="P3152" s="2">
        <v>155</v>
      </c>
      <c r="Q3152" s="2">
        <v>103.5557</v>
      </c>
      <c r="R3152" s="2">
        <v>219</v>
      </c>
      <c r="S3152" s="2">
        <v>100.0851</v>
      </c>
      <c r="T3152" s="2">
        <v>126</v>
      </c>
      <c r="U3152" s="2">
        <v>0.55890600000000001</v>
      </c>
      <c r="V3152" s="2">
        <v>139</v>
      </c>
      <c r="W3152" s="2">
        <v>2011</v>
      </c>
    </row>
    <row r="3153" spans="1:23" ht="12.3" hidden="1" x14ac:dyDescent="0.4">
      <c r="A3153" s="2" t="s">
        <v>206</v>
      </c>
      <c r="B3153" s="2"/>
      <c r="C3153" s="2"/>
      <c r="D3153" s="2"/>
      <c r="E3153" s="2"/>
      <c r="F3153" s="2"/>
      <c r="G3153" s="2"/>
      <c r="H3153" s="2"/>
      <c r="I3153" s="2">
        <v>65.382400000000004</v>
      </c>
      <c r="J3153" s="2">
        <v>244</v>
      </c>
      <c r="K3153" s="2">
        <v>66.203500000000005</v>
      </c>
      <c r="L3153" s="2">
        <v>198</v>
      </c>
      <c r="M3153" s="2">
        <v>102.2944</v>
      </c>
      <c r="N3153" s="2">
        <v>156</v>
      </c>
      <c r="O3153" s="2">
        <v>104.2182</v>
      </c>
      <c r="P3153" s="2">
        <v>113</v>
      </c>
      <c r="Q3153" s="2">
        <v>104.1974</v>
      </c>
      <c r="R3153" s="2">
        <v>244</v>
      </c>
      <c r="S3153" s="2">
        <v>102.1559</v>
      </c>
      <c r="T3153" s="2">
        <v>178</v>
      </c>
      <c r="U3153" s="2">
        <v>0.55721200000000004</v>
      </c>
      <c r="V3153" s="2">
        <v>140</v>
      </c>
      <c r="W3153" s="2">
        <v>2011</v>
      </c>
    </row>
    <row r="3154" spans="1:23" ht="12.3" hidden="1" x14ac:dyDescent="0.4">
      <c r="A3154" s="2" t="s">
        <v>70</v>
      </c>
      <c r="B3154" s="2"/>
      <c r="C3154" s="2"/>
      <c r="D3154" s="2"/>
      <c r="E3154" s="2"/>
      <c r="F3154" s="2"/>
      <c r="G3154" s="2"/>
      <c r="H3154" s="2"/>
      <c r="I3154" s="2">
        <v>68.337900000000005</v>
      </c>
      <c r="J3154" s="2">
        <v>91</v>
      </c>
      <c r="K3154" s="2">
        <v>68.334000000000003</v>
      </c>
      <c r="L3154" s="2">
        <v>79</v>
      </c>
      <c r="M3154" s="2">
        <v>98.001800000000003</v>
      </c>
      <c r="N3154" s="2">
        <v>245</v>
      </c>
      <c r="O3154" s="2">
        <v>101.41419999999999</v>
      </c>
      <c r="P3154" s="2">
        <v>177</v>
      </c>
      <c r="Q3154" s="2">
        <v>104.06659999999999</v>
      </c>
      <c r="R3154" s="2">
        <v>238</v>
      </c>
      <c r="S3154" s="2">
        <v>99.44</v>
      </c>
      <c r="T3154" s="2">
        <v>112</v>
      </c>
      <c r="U3154" s="2">
        <v>0.55627899999999997</v>
      </c>
      <c r="V3154" s="2">
        <v>141</v>
      </c>
      <c r="W3154" s="2">
        <v>2011</v>
      </c>
    </row>
    <row r="3155" spans="1:23" ht="12.3" hidden="1" x14ac:dyDescent="0.4">
      <c r="A3155" s="2" t="s">
        <v>103</v>
      </c>
      <c r="B3155" s="2"/>
      <c r="C3155" s="2"/>
      <c r="D3155" s="2"/>
      <c r="E3155" s="2"/>
      <c r="F3155" s="2"/>
      <c r="G3155" s="2"/>
      <c r="H3155" s="2"/>
      <c r="I3155" s="2">
        <v>62.961500000000001</v>
      </c>
      <c r="J3155" s="2">
        <v>314</v>
      </c>
      <c r="K3155" s="2">
        <v>63.001600000000003</v>
      </c>
      <c r="L3155" s="2">
        <v>317</v>
      </c>
      <c r="M3155" s="2">
        <v>96.854399999999998</v>
      </c>
      <c r="N3155" s="2">
        <v>265</v>
      </c>
      <c r="O3155" s="2">
        <v>101.5585</v>
      </c>
      <c r="P3155" s="2">
        <v>174</v>
      </c>
      <c r="Q3155" s="2">
        <v>104.3113</v>
      </c>
      <c r="R3155" s="2">
        <v>246</v>
      </c>
      <c r="S3155" s="2">
        <v>99.590299999999999</v>
      </c>
      <c r="T3155" s="2">
        <v>116</v>
      </c>
      <c r="U3155" s="2">
        <v>0.55602700000000005</v>
      </c>
      <c r="V3155" s="2">
        <v>142</v>
      </c>
      <c r="W3155" s="2">
        <v>2011</v>
      </c>
    </row>
    <row r="3156" spans="1:23" ht="12.3" hidden="1" x14ac:dyDescent="0.4">
      <c r="A3156" s="2" t="s">
        <v>150</v>
      </c>
      <c r="B3156" s="2"/>
      <c r="C3156" s="2"/>
      <c r="D3156" s="2"/>
      <c r="E3156" s="2"/>
      <c r="F3156" s="2"/>
      <c r="G3156" s="2"/>
      <c r="H3156" s="2"/>
      <c r="I3156" s="2">
        <v>66.171400000000006</v>
      </c>
      <c r="J3156" s="2">
        <v>202</v>
      </c>
      <c r="K3156" s="2">
        <v>65.920299999999997</v>
      </c>
      <c r="L3156" s="2">
        <v>214</v>
      </c>
      <c r="M3156" s="2">
        <v>104.58969999999999</v>
      </c>
      <c r="N3156" s="2">
        <v>102</v>
      </c>
      <c r="O3156" s="2">
        <v>103.32980000000001</v>
      </c>
      <c r="P3156" s="2">
        <v>129</v>
      </c>
      <c r="Q3156" s="2">
        <v>100.1366</v>
      </c>
      <c r="R3156" s="2">
        <v>134</v>
      </c>
      <c r="S3156" s="2">
        <v>101.3835</v>
      </c>
      <c r="T3156" s="2">
        <v>157</v>
      </c>
      <c r="U3156" s="2">
        <v>0.55445100000000003</v>
      </c>
      <c r="V3156" s="2">
        <v>143</v>
      </c>
      <c r="W3156" s="2">
        <v>2011</v>
      </c>
    </row>
    <row r="3157" spans="1:23" ht="12.3" hidden="1" x14ac:dyDescent="0.4">
      <c r="A3157" s="2" t="s">
        <v>156</v>
      </c>
      <c r="B3157" s="2"/>
      <c r="C3157" s="2"/>
      <c r="D3157" s="2"/>
      <c r="E3157" s="2"/>
      <c r="F3157" s="2"/>
      <c r="G3157" s="2"/>
      <c r="H3157" s="2"/>
      <c r="I3157" s="2">
        <v>67.862700000000004</v>
      </c>
      <c r="J3157" s="2">
        <v>121</v>
      </c>
      <c r="K3157" s="2">
        <v>67.432199999999995</v>
      </c>
      <c r="L3157" s="2">
        <v>130</v>
      </c>
      <c r="M3157" s="2">
        <v>101.77670000000001</v>
      </c>
      <c r="N3157" s="2">
        <v>168</v>
      </c>
      <c r="O3157" s="2">
        <v>99.416799999999995</v>
      </c>
      <c r="P3157" s="2">
        <v>218</v>
      </c>
      <c r="Q3157" s="2">
        <v>95.780600000000007</v>
      </c>
      <c r="R3157" s="2">
        <v>46</v>
      </c>
      <c r="S3157" s="2">
        <v>97.632199999999997</v>
      </c>
      <c r="T3157" s="2">
        <v>80</v>
      </c>
      <c r="U3157" s="2">
        <v>0.55189100000000002</v>
      </c>
      <c r="V3157" s="2">
        <v>144</v>
      </c>
      <c r="W3157" s="2">
        <v>2011</v>
      </c>
    </row>
    <row r="3158" spans="1:23" ht="12.3" hidden="1" x14ac:dyDescent="0.4">
      <c r="A3158" s="2" t="s">
        <v>227</v>
      </c>
      <c r="B3158" s="2"/>
      <c r="C3158" s="2"/>
      <c r="D3158" s="2"/>
      <c r="E3158" s="2"/>
      <c r="F3158" s="2"/>
      <c r="G3158" s="2"/>
      <c r="H3158" s="2"/>
      <c r="I3158" s="2">
        <v>67.980800000000002</v>
      </c>
      <c r="J3158" s="2">
        <v>113</v>
      </c>
      <c r="K3158" s="2">
        <v>68.278099999999995</v>
      </c>
      <c r="L3158" s="2">
        <v>84</v>
      </c>
      <c r="M3158" s="2">
        <v>102.8858</v>
      </c>
      <c r="N3158" s="2">
        <v>140</v>
      </c>
      <c r="O3158" s="2">
        <v>100.6694</v>
      </c>
      <c r="P3158" s="2">
        <v>188</v>
      </c>
      <c r="Q3158" s="2">
        <v>97.376900000000006</v>
      </c>
      <c r="R3158" s="2">
        <v>77</v>
      </c>
      <c r="S3158" s="2">
        <v>98.877399999999994</v>
      </c>
      <c r="T3158" s="2">
        <v>105</v>
      </c>
      <c r="U3158" s="2">
        <v>0.551454</v>
      </c>
      <c r="V3158" s="2">
        <v>145</v>
      </c>
      <c r="W3158" s="2">
        <v>2011</v>
      </c>
    </row>
    <row r="3159" spans="1:23" ht="12.3" hidden="1" x14ac:dyDescent="0.4">
      <c r="A3159" s="2" t="s">
        <v>173</v>
      </c>
      <c r="B3159" s="2"/>
      <c r="C3159" s="2"/>
      <c r="D3159" s="2"/>
      <c r="E3159" s="2"/>
      <c r="F3159" s="2"/>
      <c r="G3159" s="2"/>
      <c r="H3159" s="2"/>
      <c r="I3159" s="2">
        <v>67.117099999999994</v>
      </c>
      <c r="J3159" s="2">
        <v>164</v>
      </c>
      <c r="K3159" s="2">
        <v>67.284499999999994</v>
      </c>
      <c r="L3159" s="2">
        <v>139</v>
      </c>
      <c r="M3159" s="2">
        <v>99.399600000000007</v>
      </c>
      <c r="N3159" s="2">
        <v>215</v>
      </c>
      <c r="O3159" s="2">
        <v>100.6979</v>
      </c>
      <c r="P3159" s="2">
        <v>187</v>
      </c>
      <c r="Q3159" s="2">
        <v>102.25149999999999</v>
      </c>
      <c r="R3159" s="2">
        <v>192</v>
      </c>
      <c r="S3159" s="2">
        <v>99.121799999999993</v>
      </c>
      <c r="T3159" s="2">
        <v>106</v>
      </c>
      <c r="U3159" s="2">
        <v>0.54523100000000002</v>
      </c>
      <c r="V3159" s="2">
        <v>146</v>
      </c>
      <c r="W3159" s="2">
        <v>2011</v>
      </c>
    </row>
    <row r="3160" spans="1:23" ht="12.3" hidden="1" x14ac:dyDescent="0.4">
      <c r="A3160" s="2" t="s">
        <v>217</v>
      </c>
      <c r="B3160" s="2"/>
      <c r="C3160" s="2"/>
      <c r="D3160" s="2"/>
      <c r="E3160" s="2"/>
      <c r="F3160" s="2"/>
      <c r="G3160" s="2"/>
      <c r="H3160" s="2"/>
      <c r="I3160" s="2">
        <v>68.097700000000003</v>
      </c>
      <c r="J3160" s="2">
        <v>106</v>
      </c>
      <c r="K3160" s="2">
        <v>67.848399999999998</v>
      </c>
      <c r="L3160" s="2">
        <v>108</v>
      </c>
      <c r="M3160" s="2">
        <v>104.73439999999999</v>
      </c>
      <c r="N3160" s="2">
        <v>101</v>
      </c>
      <c r="O3160" s="2">
        <v>103.1546</v>
      </c>
      <c r="P3160" s="2">
        <v>139</v>
      </c>
      <c r="Q3160" s="2">
        <v>103.99299999999999</v>
      </c>
      <c r="R3160" s="2">
        <v>234</v>
      </c>
      <c r="S3160" s="2">
        <v>101.6225</v>
      </c>
      <c r="T3160" s="2">
        <v>164</v>
      </c>
      <c r="U3160" s="2">
        <v>0.54291400000000001</v>
      </c>
      <c r="V3160" s="2">
        <v>147</v>
      </c>
      <c r="W3160" s="2">
        <v>2011</v>
      </c>
    </row>
    <row r="3161" spans="1:23" ht="12.3" hidden="1" x14ac:dyDescent="0.4">
      <c r="A3161" s="2" t="s">
        <v>106</v>
      </c>
      <c r="B3161" s="2"/>
      <c r="C3161" s="2"/>
      <c r="D3161" s="2"/>
      <c r="E3161" s="2"/>
      <c r="F3161" s="2"/>
      <c r="G3161" s="2"/>
      <c r="H3161" s="2"/>
      <c r="I3161" s="2">
        <v>64.875500000000002</v>
      </c>
      <c r="J3161" s="2">
        <v>254</v>
      </c>
      <c r="K3161" s="2">
        <v>64.074399999999997</v>
      </c>
      <c r="L3161" s="2">
        <v>291</v>
      </c>
      <c r="M3161" s="2">
        <v>103.91889999999999</v>
      </c>
      <c r="N3161" s="2">
        <v>114</v>
      </c>
      <c r="O3161" s="2">
        <v>105.45950000000001</v>
      </c>
      <c r="P3161" s="2">
        <v>95</v>
      </c>
      <c r="Q3161" s="2">
        <v>103.7672</v>
      </c>
      <c r="R3161" s="2">
        <v>227</v>
      </c>
      <c r="S3161" s="2">
        <v>104.10599999999999</v>
      </c>
      <c r="T3161" s="2">
        <v>227</v>
      </c>
      <c r="U3161" s="2">
        <v>0.53706900000000002</v>
      </c>
      <c r="V3161" s="2">
        <v>148</v>
      </c>
      <c r="W3161" s="2">
        <v>2011</v>
      </c>
    </row>
    <row r="3162" spans="1:23" ht="12.3" hidden="1" x14ac:dyDescent="0.4">
      <c r="A3162" s="2" t="s">
        <v>195</v>
      </c>
      <c r="B3162" s="2"/>
      <c r="C3162" s="2"/>
      <c r="D3162" s="2"/>
      <c r="E3162" s="2"/>
      <c r="F3162" s="2"/>
      <c r="G3162" s="2"/>
      <c r="H3162" s="2"/>
      <c r="I3162" s="2">
        <v>63.740699999999997</v>
      </c>
      <c r="J3162" s="2">
        <v>299</v>
      </c>
      <c r="K3162" s="2">
        <v>63.654899999999998</v>
      </c>
      <c r="L3162" s="2">
        <v>305</v>
      </c>
      <c r="M3162" s="2">
        <v>106.4243</v>
      </c>
      <c r="N3162" s="2">
        <v>72</v>
      </c>
      <c r="O3162" s="2">
        <v>102.32859999999999</v>
      </c>
      <c r="P3162" s="2">
        <v>151</v>
      </c>
      <c r="Q3162" s="2">
        <v>100.7454</v>
      </c>
      <c r="R3162" s="2">
        <v>150</v>
      </c>
      <c r="S3162" s="2">
        <v>101.0288</v>
      </c>
      <c r="T3162" s="2">
        <v>142</v>
      </c>
      <c r="U3162" s="2">
        <v>0.53668700000000003</v>
      </c>
      <c r="V3162" s="2">
        <v>149</v>
      </c>
      <c r="W3162" s="2">
        <v>2011</v>
      </c>
    </row>
    <row r="3163" spans="1:23" ht="12.3" hidden="1" x14ac:dyDescent="0.4">
      <c r="A3163" s="2" t="s">
        <v>17</v>
      </c>
      <c r="B3163" s="2"/>
      <c r="C3163" s="2"/>
      <c r="D3163" s="2"/>
      <c r="E3163" s="2"/>
      <c r="F3163" s="2"/>
      <c r="G3163" s="2"/>
      <c r="H3163" s="2"/>
      <c r="I3163" s="2">
        <v>68.057599999999994</v>
      </c>
      <c r="J3163" s="2">
        <v>108</v>
      </c>
      <c r="K3163" s="2">
        <v>68.294399999999996</v>
      </c>
      <c r="L3163" s="2">
        <v>82</v>
      </c>
      <c r="M3163" s="2">
        <v>97.349699999999999</v>
      </c>
      <c r="N3163" s="2">
        <v>258</v>
      </c>
      <c r="O3163" s="2">
        <v>98.450199999999995</v>
      </c>
      <c r="P3163" s="2">
        <v>232</v>
      </c>
      <c r="Q3163" s="2">
        <v>99.725800000000007</v>
      </c>
      <c r="R3163" s="2">
        <v>115</v>
      </c>
      <c r="S3163" s="2">
        <v>97.295400000000001</v>
      </c>
      <c r="T3163" s="2">
        <v>70</v>
      </c>
      <c r="U3163" s="2">
        <v>0.53387200000000001</v>
      </c>
      <c r="V3163" s="2">
        <v>150</v>
      </c>
      <c r="W3163" s="2">
        <v>2011</v>
      </c>
    </row>
    <row r="3164" spans="1:23" ht="12.3" hidden="1" x14ac:dyDescent="0.4">
      <c r="A3164" s="2" t="s">
        <v>151</v>
      </c>
      <c r="B3164" s="2"/>
      <c r="C3164" s="2"/>
      <c r="D3164" s="2"/>
      <c r="E3164" s="2"/>
      <c r="F3164" s="2"/>
      <c r="G3164" s="2"/>
      <c r="H3164" s="2"/>
      <c r="I3164" s="2">
        <v>68.154600000000002</v>
      </c>
      <c r="J3164" s="2">
        <v>101</v>
      </c>
      <c r="K3164" s="2">
        <v>68.419399999999996</v>
      </c>
      <c r="L3164" s="2">
        <v>75</v>
      </c>
      <c r="M3164" s="2">
        <v>105.5204</v>
      </c>
      <c r="N3164" s="2">
        <v>80</v>
      </c>
      <c r="O3164" s="2">
        <v>105.943</v>
      </c>
      <c r="P3164" s="2">
        <v>90</v>
      </c>
      <c r="Q3164" s="2">
        <v>102.5518</v>
      </c>
      <c r="R3164" s="2">
        <v>196</v>
      </c>
      <c r="S3164" s="2">
        <v>104.7568</v>
      </c>
      <c r="T3164" s="2">
        <v>240</v>
      </c>
      <c r="U3164" s="2">
        <v>0.53232699999999999</v>
      </c>
      <c r="V3164" s="2">
        <v>151</v>
      </c>
      <c r="W3164" s="2">
        <v>2011</v>
      </c>
    </row>
    <row r="3165" spans="1:23" ht="12.3" hidden="1" x14ac:dyDescent="0.4">
      <c r="A3165" s="2" t="s">
        <v>307</v>
      </c>
      <c r="B3165" s="2"/>
      <c r="C3165" s="2"/>
      <c r="D3165" s="2"/>
      <c r="E3165" s="2"/>
      <c r="F3165" s="2"/>
      <c r="G3165" s="2"/>
      <c r="H3165" s="2"/>
      <c r="I3165" s="2">
        <v>65.717600000000004</v>
      </c>
      <c r="J3165" s="2">
        <v>225</v>
      </c>
      <c r="K3165" s="2">
        <v>64.754400000000004</v>
      </c>
      <c r="L3165" s="2">
        <v>260</v>
      </c>
      <c r="M3165" s="2">
        <v>101.4025</v>
      </c>
      <c r="N3165" s="2">
        <v>175</v>
      </c>
      <c r="O3165" s="2">
        <v>101.3411</v>
      </c>
      <c r="P3165" s="2">
        <v>179</v>
      </c>
      <c r="Q3165" s="2">
        <v>98.227699999999999</v>
      </c>
      <c r="R3165" s="2">
        <v>89</v>
      </c>
      <c r="S3165" s="2">
        <v>100.37779999999999</v>
      </c>
      <c r="T3165" s="2">
        <v>129</v>
      </c>
      <c r="U3165" s="2">
        <v>0.52743399999999996</v>
      </c>
      <c r="V3165" s="2">
        <v>152</v>
      </c>
      <c r="W3165" s="2">
        <v>2011</v>
      </c>
    </row>
    <row r="3166" spans="1:23" ht="12.3" hidden="1" x14ac:dyDescent="0.4">
      <c r="A3166" s="2" t="s">
        <v>66</v>
      </c>
      <c r="B3166" s="2"/>
      <c r="C3166" s="2"/>
      <c r="D3166" s="2"/>
      <c r="E3166" s="2"/>
      <c r="F3166" s="2"/>
      <c r="G3166" s="2"/>
      <c r="H3166" s="2"/>
      <c r="I3166" s="2">
        <v>68.034499999999994</v>
      </c>
      <c r="J3166" s="2">
        <v>110</v>
      </c>
      <c r="K3166" s="2">
        <v>67.597899999999996</v>
      </c>
      <c r="L3166" s="2">
        <v>118</v>
      </c>
      <c r="M3166" s="2">
        <v>99.911799999999999</v>
      </c>
      <c r="N3166" s="2">
        <v>207</v>
      </c>
      <c r="O3166" s="2">
        <v>99.968299999999999</v>
      </c>
      <c r="P3166" s="2">
        <v>201</v>
      </c>
      <c r="Q3166" s="2">
        <v>98.415300000000002</v>
      </c>
      <c r="R3166" s="2">
        <v>94</v>
      </c>
      <c r="S3166" s="2">
        <v>99.15</v>
      </c>
      <c r="T3166" s="2">
        <v>108</v>
      </c>
      <c r="U3166" s="2">
        <v>0.52361100000000005</v>
      </c>
      <c r="V3166" s="2">
        <v>153</v>
      </c>
      <c r="W3166" s="2">
        <v>2011</v>
      </c>
    </row>
    <row r="3167" spans="1:23" ht="12.3" hidden="1" x14ac:dyDescent="0.4">
      <c r="A3167" s="2" t="s">
        <v>145</v>
      </c>
      <c r="B3167" s="2"/>
      <c r="C3167" s="2"/>
      <c r="D3167" s="2"/>
      <c r="E3167" s="2"/>
      <c r="F3167" s="2"/>
      <c r="G3167" s="2"/>
      <c r="H3167" s="2"/>
      <c r="I3167" s="2">
        <v>68.375100000000003</v>
      </c>
      <c r="J3167" s="2">
        <v>90</v>
      </c>
      <c r="K3167" s="2">
        <v>68.312899999999999</v>
      </c>
      <c r="L3167" s="2">
        <v>81</v>
      </c>
      <c r="M3167" s="2">
        <v>101.1435</v>
      </c>
      <c r="N3167" s="2">
        <v>184</v>
      </c>
      <c r="O3167" s="2">
        <v>102.8014</v>
      </c>
      <c r="P3167" s="2">
        <v>144</v>
      </c>
      <c r="Q3167" s="2">
        <v>103.82640000000001</v>
      </c>
      <c r="R3167" s="2">
        <v>229</v>
      </c>
      <c r="S3167" s="2">
        <v>102.03360000000001</v>
      </c>
      <c r="T3167" s="2">
        <v>176</v>
      </c>
      <c r="U3167" s="2">
        <v>0.52153899999999997</v>
      </c>
      <c r="V3167" s="2">
        <v>154</v>
      </c>
      <c r="W3167" s="2">
        <v>2011</v>
      </c>
    </row>
    <row r="3168" spans="1:23" ht="12.3" hidden="1" x14ac:dyDescent="0.4">
      <c r="A3168" s="2" t="s">
        <v>337</v>
      </c>
      <c r="B3168" s="2"/>
      <c r="C3168" s="2"/>
      <c r="D3168" s="2"/>
      <c r="E3168" s="2"/>
      <c r="F3168" s="2"/>
      <c r="G3168" s="2"/>
      <c r="H3168" s="2"/>
      <c r="I3168" s="2">
        <v>71.349999999999994</v>
      </c>
      <c r="J3168" s="2">
        <v>24</v>
      </c>
      <c r="K3168" s="2">
        <v>70.449100000000001</v>
      </c>
      <c r="L3168" s="2">
        <v>33</v>
      </c>
      <c r="M3168" s="2">
        <v>104.4127</v>
      </c>
      <c r="N3168" s="2">
        <v>104</v>
      </c>
      <c r="O3168" s="2">
        <v>105.13720000000001</v>
      </c>
      <c r="P3168" s="2">
        <v>100</v>
      </c>
      <c r="Q3168" s="2">
        <v>101.7413</v>
      </c>
      <c r="R3168" s="2">
        <v>179</v>
      </c>
      <c r="S3168" s="2">
        <v>104.41079999999999</v>
      </c>
      <c r="T3168" s="2">
        <v>236</v>
      </c>
      <c r="U3168" s="2">
        <v>0.519922</v>
      </c>
      <c r="V3168" s="2">
        <v>155</v>
      </c>
      <c r="W3168" s="2">
        <v>2011</v>
      </c>
    </row>
    <row r="3169" spans="1:23" ht="12.3" hidden="1" x14ac:dyDescent="0.4">
      <c r="A3169" s="2" t="s">
        <v>140</v>
      </c>
      <c r="B3169" s="2"/>
      <c r="C3169" s="2"/>
      <c r="D3169" s="2"/>
      <c r="E3169" s="2"/>
      <c r="F3169" s="2"/>
      <c r="G3169" s="2"/>
      <c r="H3169" s="2"/>
      <c r="I3169" s="2">
        <v>61.402999999999999</v>
      </c>
      <c r="J3169" s="2">
        <v>338</v>
      </c>
      <c r="K3169" s="2">
        <v>61.165500000000002</v>
      </c>
      <c r="L3169" s="2">
        <v>337</v>
      </c>
      <c r="M3169" s="2">
        <v>103.9691</v>
      </c>
      <c r="N3169" s="2">
        <v>113</v>
      </c>
      <c r="O3169" s="2">
        <v>101.9799</v>
      </c>
      <c r="P3169" s="2">
        <v>158</v>
      </c>
      <c r="Q3169" s="2">
        <v>101.17740000000001</v>
      </c>
      <c r="R3169" s="2">
        <v>164</v>
      </c>
      <c r="S3169" s="2">
        <v>101.294</v>
      </c>
      <c r="T3169" s="2">
        <v>153</v>
      </c>
      <c r="U3169" s="2">
        <v>0.51939199999999996</v>
      </c>
      <c r="V3169" s="2">
        <v>156</v>
      </c>
      <c r="W3169" s="2">
        <v>2011</v>
      </c>
    </row>
    <row r="3170" spans="1:23" ht="12.3" hidden="1" x14ac:dyDescent="0.4">
      <c r="A3170" s="2" t="s">
        <v>274</v>
      </c>
      <c r="B3170" s="2"/>
      <c r="C3170" s="2"/>
      <c r="D3170" s="2"/>
      <c r="E3170" s="2"/>
      <c r="F3170" s="2"/>
      <c r="G3170" s="2"/>
      <c r="H3170" s="2"/>
      <c r="I3170" s="2">
        <v>68.406499999999994</v>
      </c>
      <c r="J3170" s="2">
        <v>87</v>
      </c>
      <c r="K3170" s="2">
        <v>67.542000000000002</v>
      </c>
      <c r="L3170" s="2">
        <v>122</v>
      </c>
      <c r="M3170" s="2">
        <v>105.3272</v>
      </c>
      <c r="N3170" s="2">
        <v>87</v>
      </c>
      <c r="O3170" s="2">
        <v>103.0197</v>
      </c>
      <c r="P3170" s="2">
        <v>141</v>
      </c>
      <c r="Q3170" s="2">
        <v>98.127099999999999</v>
      </c>
      <c r="R3170" s="2">
        <v>87</v>
      </c>
      <c r="S3170" s="2">
        <v>102.3758</v>
      </c>
      <c r="T3170" s="2">
        <v>189</v>
      </c>
      <c r="U3170" s="2">
        <v>0.51801799999999998</v>
      </c>
      <c r="V3170" s="2">
        <v>157</v>
      </c>
      <c r="W3170" s="2">
        <v>2011</v>
      </c>
    </row>
    <row r="3171" spans="1:23" ht="12.3" hidden="1" x14ac:dyDescent="0.4">
      <c r="A3171" s="2" t="s">
        <v>126</v>
      </c>
      <c r="B3171" s="2"/>
      <c r="C3171" s="2"/>
      <c r="D3171" s="2"/>
      <c r="E3171" s="2"/>
      <c r="F3171" s="2"/>
      <c r="G3171" s="2"/>
      <c r="H3171" s="2"/>
      <c r="I3171" s="2">
        <v>61.340600000000002</v>
      </c>
      <c r="J3171" s="2">
        <v>339</v>
      </c>
      <c r="K3171" s="2">
        <v>61.244199999999999</v>
      </c>
      <c r="L3171" s="2">
        <v>335</v>
      </c>
      <c r="M3171" s="2">
        <v>104.3901</v>
      </c>
      <c r="N3171" s="2">
        <v>106</v>
      </c>
      <c r="O3171" s="2">
        <v>103.2196</v>
      </c>
      <c r="P3171" s="2">
        <v>134</v>
      </c>
      <c r="Q3171" s="2">
        <v>101.9355</v>
      </c>
      <c r="R3171" s="2">
        <v>186</v>
      </c>
      <c r="S3171" s="2">
        <v>102.6347</v>
      </c>
      <c r="T3171" s="2">
        <v>195</v>
      </c>
      <c r="U3171" s="2">
        <v>0.51633200000000001</v>
      </c>
      <c r="V3171" s="2">
        <v>158</v>
      </c>
      <c r="W3171" s="2">
        <v>2011</v>
      </c>
    </row>
    <row r="3172" spans="1:23" ht="12.3" hidden="1" x14ac:dyDescent="0.4">
      <c r="A3172" s="2" t="s">
        <v>231</v>
      </c>
      <c r="B3172" s="2"/>
      <c r="C3172" s="2"/>
      <c r="D3172" s="2"/>
      <c r="E3172" s="2"/>
      <c r="F3172" s="2"/>
      <c r="G3172" s="2"/>
      <c r="H3172" s="2"/>
      <c r="I3172" s="2">
        <v>64.247900000000001</v>
      </c>
      <c r="J3172" s="2">
        <v>278</v>
      </c>
      <c r="K3172" s="2">
        <v>64.860100000000003</v>
      </c>
      <c r="L3172" s="2">
        <v>256</v>
      </c>
      <c r="M3172" s="2">
        <v>103.04949999999999</v>
      </c>
      <c r="N3172" s="2">
        <v>137</v>
      </c>
      <c r="O3172" s="2">
        <v>103.25790000000001</v>
      </c>
      <c r="P3172" s="2">
        <v>133</v>
      </c>
      <c r="Q3172" s="2">
        <v>104.66419999999999</v>
      </c>
      <c r="R3172" s="2">
        <v>254</v>
      </c>
      <c r="S3172" s="2">
        <v>102.809</v>
      </c>
      <c r="T3172" s="2">
        <v>196</v>
      </c>
      <c r="U3172" s="2">
        <v>0.51252500000000001</v>
      </c>
      <c r="V3172" s="2">
        <v>159</v>
      </c>
      <c r="W3172" s="2">
        <v>2011</v>
      </c>
    </row>
    <row r="3173" spans="1:23" ht="12.3" hidden="1" x14ac:dyDescent="0.4">
      <c r="A3173" s="2" t="s">
        <v>134</v>
      </c>
      <c r="B3173" s="2"/>
      <c r="C3173" s="2"/>
      <c r="D3173" s="2"/>
      <c r="E3173" s="2"/>
      <c r="F3173" s="2"/>
      <c r="G3173" s="2"/>
      <c r="H3173" s="2"/>
      <c r="I3173" s="2">
        <v>67.764200000000002</v>
      </c>
      <c r="J3173" s="2">
        <v>129</v>
      </c>
      <c r="K3173" s="2">
        <v>67.938199999999995</v>
      </c>
      <c r="L3173" s="2">
        <v>103</v>
      </c>
      <c r="M3173" s="2">
        <v>103.8991</v>
      </c>
      <c r="N3173" s="2">
        <v>116</v>
      </c>
      <c r="O3173" s="2">
        <v>102.2577</v>
      </c>
      <c r="P3173" s="2">
        <v>153</v>
      </c>
      <c r="Q3173" s="2">
        <v>101.1401</v>
      </c>
      <c r="R3173" s="2">
        <v>162</v>
      </c>
      <c r="S3173" s="2">
        <v>102.23909999999999</v>
      </c>
      <c r="T3173" s="2">
        <v>182</v>
      </c>
      <c r="U3173" s="2">
        <v>0.50052200000000002</v>
      </c>
      <c r="V3173" s="2">
        <v>160</v>
      </c>
      <c r="W3173" s="2">
        <v>2011</v>
      </c>
    </row>
    <row r="3174" spans="1:23" ht="12.3" hidden="1" x14ac:dyDescent="0.4">
      <c r="A3174" s="2" t="s">
        <v>236</v>
      </c>
      <c r="B3174" s="2"/>
      <c r="C3174" s="2"/>
      <c r="D3174" s="2"/>
      <c r="E3174" s="2"/>
      <c r="F3174" s="2"/>
      <c r="G3174" s="2"/>
      <c r="H3174" s="2"/>
      <c r="I3174" s="2">
        <v>65.928399999999996</v>
      </c>
      <c r="J3174" s="2">
        <v>218</v>
      </c>
      <c r="K3174" s="2">
        <v>66.139899999999997</v>
      </c>
      <c r="L3174" s="2">
        <v>202</v>
      </c>
      <c r="M3174" s="2">
        <v>100.87479999999999</v>
      </c>
      <c r="N3174" s="2">
        <v>190</v>
      </c>
      <c r="O3174" s="2">
        <v>101.7276</v>
      </c>
      <c r="P3174" s="2">
        <v>162</v>
      </c>
      <c r="Q3174" s="2">
        <v>104.6951</v>
      </c>
      <c r="R3174" s="2">
        <v>255</v>
      </c>
      <c r="S3174" s="2">
        <v>101.7795</v>
      </c>
      <c r="T3174" s="2">
        <v>169</v>
      </c>
      <c r="U3174" s="2">
        <v>0.49853199999999998</v>
      </c>
      <c r="V3174" s="2">
        <v>161</v>
      </c>
      <c r="W3174" s="2">
        <v>2011</v>
      </c>
    </row>
    <row r="3175" spans="1:23" ht="12.3" hidden="1" x14ac:dyDescent="0.4">
      <c r="A3175" s="2" t="s">
        <v>226</v>
      </c>
      <c r="B3175" s="2"/>
      <c r="C3175" s="2"/>
      <c r="D3175" s="2"/>
      <c r="E3175" s="2"/>
      <c r="F3175" s="2"/>
      <c r="G3175" s="2"/>
      <c r="H3175" s="2"/>
      <c r="I3175" s="2">
        <v>62.033099999999997</v>
      </c>
      <c r="J3175" s="2">
        <v>327</v>
      </c>
      <c r="K3175" s="2">
        <v>61.538200000000003</v>
      </c>
      <c r="L3175" s="2">
        <v>330</v>
      </c>
      <c r="M3175" s="2">
        <v>104.80110000000001</v>
      </c>
      <c r="N3175" s="2">
        <v>96</v>
      </c>
      <c r="O3175" s="2">
        <v>102.9928</v>
      </c>
      <c r="P3175" s="2">
        <v>142</v>
      </c>
      <c r="Q3175" s="2">
        <v>100.9949</v>
      </c>
      <c r="R3175" s="2">
        <v>157</v>
      </c>
      <c r="S3175" s="2">
        <v>103.17749999999999</v>
      </c>
      <c r="T3175" s="2">
        <v>209</v>
      </c>
      <c r="U3175" s="2">
        <v>0.49484899999999998</v>
      </c>
      <c r="V3175" s="2">
        <v>162</v>
      </c>
      <c r="W3175" s="2">
        <v>2011</v>
      </c>
    </row>
    <row r="3176" spans="1:23" ht="12.3" hidden="1" x14ac:dyDescent="0.4">
      <c r="A3176" s="2" t="s">
        <v>149</v>
      </c>
      <c r="B3176" s="2"/>
      <c r="C3176" s="2"/>
      <c r="D3176" s="2"/>
      <c r="E3176" s="2"/>
      <c r="F3176" s="2"/>
      <c r="G3176" s="2"/>
      <c r="H3176" s="2"/>
      <c r="I3176" s="2">
        <v>70.441100000000006</v>
      </c>
      <c r="J3176" s="2">
        <v>36</v>
      </c>
      <c r="K3176" s="2">
        <v>70.226200000000006</v>
      </c>
      <c r="L3176" s="2">
        <v>38</v>
      </c>
      <c r="M3176" s="2">
        <v>98.427599999999998</v>
      </c>
      <c r="N3176" s="2">
        <v>234</v>
      </c>
      <c r="O3176" s="2">
        <v>100.79389999999999</v>
      </c>
      <c r="P3176" s="2">
        <v>185</v>
      </c>
      <c r="Q3176" s="2">
        <v>103.4871</v>
      </c>
      <c r="R3176" s="2">
        <v>214</v>
      </c>
      <c r="S3176" s="2">
        <v>101.01560000000001</v>
      </c>
      <c r="T3176" s="2">
        <v>141</v>
      </c>
      <c r="U3176" s="2">
        <v>0.49368200000000001</v>
      </c>
      <c r="V3176" s="2">
        <v>163</v>
      </c>
      <c r="W3176" s="2">
        <v>2011</v>
      </c>
    </row>
    <row r="3177" spans="1:23" ht="12.3" x14ac:dyDescent="0.4">
      <c r="A3177" s="2" t="s">
        <v>262</v>
      </c>
      <c r="B3177" s="2">
        <v>10</v>
      </c>
      <c r="C3177" s="2"/>
      <c r="D3177" s="2"/>
      <c r="E3177" s="2"/>
      <c r="F3177" s="2"/>
      <c r="G3177" s="2"/>
      <c r="H3177" s="2"/>
      <c r="I3177" s="2">
        <v>66.445700000000002</v>
      </c>
      <c r="J3177" s="2">
        <v>195</v>
      </c>
      <c r="K3177" s="2">
        <v>65.7821</v>
      </c>
      <c r="L3177" s="2">
        <v>230</v>
      </c>
      <c r="M3177" s="2">
        <v>104.2514</v>
      </c>
      <c r="N3177" s="2">
        <v>106</v>
      </c>
      <c r="O3177" s="2">
        <v>105.6669</v>
      </c>
      <c r="P3177" s="2">
        <v>90</v>
      </c>
      <c r="Q3177" s="2">
        <v>97.331999999999994</v>
      </c>
      <c r="R3177" s="2">
        <v>63</v>
      </c>
      <c r="S3177" s="2">
        <v>97.126199999999997</v>
      </c>
      <c r="T3177" s="2">
        <v>71</v>
      </c>
      <c r="U3177" s="2">
        <v>0.72496499999999997</v>
      </c>
      <c r="V3177" s="2">
        <v>77</v>
      </c>
      <c r="W3177" s="2">
        <v>2005</v>
      </c>
    </row>
    <row r="3178" spans="1:23" ht="12.3" hidden="1" x14ac:dyDescent="0.4">
      <c r="A3178" s="2" t="s">
        <v>232</v>
      </c>
      <c r="B3178" s="2"/>
      <c r="C3178" s="2"/>
      <c r="D3178" s="2"/>
      <c r="E3178" s="2"/>
      <c r="F3178" s="2"/>
      <c r="G3178" s="2"/>
      <c r="H3178" s="2"/>
      <c r="I3178" s="2">
        <v>65.020899999999997</v>
      </c>
      <c r="J3178" s="2">
        <v>253</v>
      </c>
      <c r="K3178" s="2">
        <v>64.617099999999994</v>
      </c>
      <c r="L3178" s="2">
        <v>269</v>
      </c>
      <c r="M3178" s="2">
        <v>99.244900000000001</v>
      </c>
      <c r="N3178" s="2">
        <v>219</v>
      </c>
      <c r="O3178" s="2">
        <v>99.553100000000001</v>
      </c>
      <c r="P3178" s="2">
        <v>213</v>
      </c>
      <c r="Q3178" s="2">
        <v>100.5518</v>
      </c>
      <c r="R3178" s="2">
        <v>142</v>
      </c>
      <c r="S3178" s="2">
        <v>99.811999999999998</v>
      </c>
      <c r="T3178" s="2">
        <v>120</v>
      </c>
      <c r="U3178" s="2">
        <v>0.492531</v>
      </c>
      <c r="V3178" s="2">
        <v>165</v>
      </c>
      <c r="W3178" s="2">
        <v>2011</v>
      </c>
    </row>
    <row r="3179" spans="1:23" ht="12.3" hidden="1" x14ac:dyDescent="0.4">
      <c r="A3179" s="2" t="s">
        <v>162</v>
      </c>
      <c r="B3179" s="2"/>
      <c r="C3179" s="2"/>
      <c r="D3179" s="2"/>
      <c r="E3179" s="2"/>
      <c r="F3179" s="2"/>
      <c r="G3179" s="2"/>
      <c r="H3179" s="2"/>
      <c r="I3179" s="2">
        <v>67.873000000000005</v>
      </c>
      <c r="J3179" s="2">
        <v>119</v>
      </c>
      <c r="K3179" s="2">
        <v>68.517799999999994</v>
      </c>
      <c r="L3179" s="2">
        <v>71</v>
      </c>
      <c r="M3179" s="2">
        <v>103.8014</v>
      </c>
      <c r="N3179" s="2">
        <v>118</v>
      </c>
      <c r="O3179" s="2">
        <v>103.5467</v>
      </c>
      <c r="P3179" s="2">
        <v>124</v>
      </c>
      <c r="Q3179" s="2">
        <v>101.292</v>
      </c>
      <c r="R3179" s="2">
        <v>168</v>
      </c>
      <c r="S3179" s="2">
        <v>103.9821</v>
      </c>
      <c r="T3179" s="2">
        <v>224</v>
      </c>
      <c r="U3179" s="2">
        <v>0.48793900000000001</v>
      </c>
      <c r="V3179" s="2">
        <v>166</v>
      </c>
      <c r="W3179" s="2">
        <v>2011</v>
      </c>
    </row>
    <row r="3180" spans="1:23" ht="12.3" hidden="1" x14ac:dyDescent="0.4">
      <c r="A3180" s="2" t="s">
        <v>214</v>
      </c>
      <c r="B3180" s="2"/>
      <c r="C3180" s="2"/>
      <c r="D3180" s="2"/>
      <c r="E3180" s="2"/>
      <c r="F3180" s="2"/>
      <c r="G3180" s="2"/>
      <c r="H3180" s="2"/>
      <c r="I3180" s="2">
        <v>68.082800000000006</v>
      </c>
      <c r="J3180" s="2">
        <v>107</v>
      </c>
      <c r="K3180" s="2">
        <v>68.591999999999999</v>
      </c>
      <c r="L3180" s="2">
        <v>68</v>
      </c>
      <c r="M3180" s="2">
        <v>97.629499999999993</v>
      </c>
      <c r="N3180" s="2">
        <v>253</v>
      </c>
      <c r="O3180" s="2">
        <v>96.984200000000001</v>
      </c>
      <c r="P3180" s="2">
        <v>258</v>
      </c>
      <c r="Q3180" s="2">
        <v>94.271100000000004</v>
      </c>
      <c r="R3180" s="2">
        <v>28</v>
      </c>
      <c r="S3180" s="2">
        <v>97.428799999999995</v>
      </c>
      <c r="T3180" s="2">
        <v>74</v>
      </c>
      <c r="U3180" s="2">
        <v>0.48685600000000001</v>
      </c>
      <c r="V3180" s="2">
        <v>167</v>
      </c>
      <c r="W3180" s="2">
        <v>2011</v>
      </c>
    </row>
    <row r="3181" spans="1:23" ht="12.3" hidden="1" x14ac:dyDescent="0.4">
      <c r="A3181" s="2" t="s">
        <v>189</v>
      </c>
      <c r="B3181" s="2"/>
      <c r="C3181" s="2"/>
      <c r="D3181" s="2"/>
      <c r="E3181" s="2"/>
      <c r="F3181" s="2"/>
      <c r="G3181" s="2"/>
      <c r="H3181" s="2"/>
      <c r="I3181" s="2">
        <v>61.455599999999997</v>
      </c>
      <c r="J3181" s="2">
        <v>337</v>
      </c>
      <c r="K3181" s="2">
        <v>60.443300000000001</v>
      </c>
      <c r="L3181" s="2">
        <v>342</v>
      </c>
      <c r="M3181" s="2">
        <v>96.942899999999995</v>
      </c>
      <c r="N3181" s="2">
        <v>263</v>
      </c>
      <c r="O3181" s="2">
        <v>96.336500000000001</v>
      </c>
      <c r="P3181" s="2">
        <v>270</v>
      </c>
      <c r="Q3181" s="2">
        <v>96.061000000000007</v>
      </c>
      <c r="R3181" s="2">
        <v>48</v>
      </c>
      <c r="S3181" s="2">
        <v>96.822500000000005</v>
      </c>
      <c r="T3181" s="2">
        <v>65</v>
      </c>
      <c r="U3181" s="2">
        <v>0.48553499999999999</v>
      </c>
      <c r="V3181" s="2">
        <v>168</v>
      </c>
      <c r="W3181" s="2">
        <v>2011</v>
      </c>
    </row>
    <row r="3182" spans="1:23" ht="12.3" hidden="1" x14ac:dyDescent="0.4">
      <c r="A3182" s="2" t="s">
        <v>169</v>
      </c>
      <c r="B3182" s="2"/>
      <c r="C3182" s="2"/>
      <c r="D3182" s="2"/>
      <c r="E3182" s="2"/>
      <c r="F3182" s="2"/>
      <c r="G3182" s="2"/>
      <c r="H3182" s="2"/>
      <c r="I3182" s="2">
        <v>72.188599999999994</v>
      </c>
      <c r="J3182" s="2">
        <v>19</v>
      </c>
      <c r="K3182" s="2">
        <v>72.83</v>
      </c>
      <c r="L3182" s="2">
        <v>8</v>
      </c>
      <c r="M3182" s="2">
        <v>103.74420000000001</v>
      </c>
      <c r="N3182" s="2">
        <v>120</v>
      </c>
      <c r="O3182" s="2">
        <v>104.4419</v>
      </c>
      <c r="P3182" s="2">
        <v>108</v>
      </c>
      <c r="Q3182" s="2">
        <v>106.29219999999999</v>
      </c>
      <c r="R3182" s="2">
        <v>282</v>
      </c>
      <c r="S3182" s="2">
        <v>105.0651</v>
      </c>
      <c r="T3182" s="2">
        <v>244</v>
      </c>
      <c r="U3182" s="2">
        <v>0.48290100000000002</v>
      </c>
      <c r="V3182" s="2">
        <v>169</v>
      </c>
      <c r="W3182" s="2">
        <v>2011</v>
      </c>
    </row>
    <row r="3183" spans="1:23" ht="12.3" hidden="1" x14ac:dyDescent="0.4">
      <c r="A3183" s="2" t="s">
        <v>225</v>
      </c>
      <c r="B3183" s="2"/>
      <c r="C3183" s="2"/>
      <c r="D3183" s="2"/>
      <c r="E3183" s="2"/>
      <c r="F3183" s="2"/>
      <c r="G3183" s="2"/>
      <c r="H3183" s="2"/>
      <c r="I3183" s="2">
        <v>67.145300000000006</v>
      </c>
      <c r="J3183" s="2">
        <v>162</v>
      </c>
      <c r="K3183" s="2">
        <v>65.982500000000002</v>
      </c>
      <c r="L3183" s="2">
        <v>211</v>
      </c>
      <c r="M3183" s="2">
        <v>103.2195</v>
      </c>
      <c r="N3183" s="2">
        <v>130</v>
      </c>
      <c r="O3183" s="2">
        <v>101.7016</v>
      </c>
      <c r="P3183" s="2">
        <v>164</v>
      </c>
      <c r="Q3183" s="2">
        <v>100.86879999999999</v>
      </c>
      <c r="R3183" s="2">
        <v>154</v>
      </c>
      <c r="S3183" s="2">
        <v>102.3402</v>
      </c>
      <c r="T3183" s="2">
        <v>186</v>
      </c>
      <c r="U3183" s="2">
        <v>0.48201300000000002</v>
      </c>
      <c r="V3183" s="2">
        <v>170</v>
      </c>
      <c r="W3183" s="2">
        <v>2011</v>
      </c>
    </row>
    <row r="3184" spans="1:23" ht="12.3" hidden="1" x14ac:dyDescent="0.4">
      <c r="A3184" s="2" t="s">
        <v>278</v>
      </c>
      <c r="B3184" s="2"/>
      <c r="C3184" s="2"/>
      <c r="D3184" s="2"/>
      <c r="E3184" s="2"/>
      <c r="F3184" s="2"/>
      <c r="G3184" s="2"/>
      <c r="H3184" s="2"/>
      <c r="I3184" s="2">
        <v>68.288600000000002</v>
      </c>
      <c r="J3184" s="2">
        <v>97</v>
      </c>
      <c r="K3184" s="2">
        <v>67.564700000000002</v>
      </c>
      <c r="L3184" s="2">
        <v>119</v>
      </c>
      <c r="M3184" s="2">
        <v>101.857</v>
      </c>
      <c r="N3184" s="2">
        <v>166</v>
      </c>
      <c r="O3184" s="2">
        <v>103.1472</v>
      </c>
      <c r="P3184" s="2">
        <v>140</v>
      </c>
      <c r="Q3184" s="2">
        <v>103.5205</v>
      </c>
      <c r="R3184" s="2">
        <v>216</v>
      </c>
      <c r="S3184" s="2">
        <v>103.89149999999999</v>
      </c>
      <c r="T3184" s="2">
        <v>219</v>
      </c>
      <c r="U3184" s="2">
        <v>0.47934100000000002</v>
      </c>
      <c r="V3184" s="2">
        <v>171</v>
      </c>
      <c r="W3184" s="2">
        <v>2011</v>
      </c>
    </row>
    <row r="3185" spans="1:23" ht="12.3" hidden="1" x14ac:dyDescent="0.4">
      <c r="A3185" s="2" t="s">
        <v>360</v>
      </c>
      <c r="B3185" s="2"/>
      <c r="C3185" s="2"/>
      <c r="D3185" s="2"/>
      <c r="E3185" s="2"/>
      <c r="F3185" s="2"/>
      <c r="G3185" s="2"/>
      <c r="H3185" s="2"/>
      <c r="I3185" s="2">
        <v>68.423599999999993</v>
      </c>
      <c r="J3185" s="2">
        <v>86</v>
      </c>
      <c r="K3185" s="2">
        <v>68.173400000000001</v>
      </c>
      <c r="L3185" s="2">
        <v>90</v>
      </c>
      <c r="M3185" s="2">
        <v>107.02460000000001</v>
      </c>
      <c r="N3185" s="2">
        <v>60</v>
      </c>
      <c r="O3185" s="2">
        <v>102.226</v>
      </c>
      <c r="P3185" s="2">
        <v>154</v>
      </c>
      <c r="Q3185" s="2">
        <v>103.6992</v>
      </c>
      <c r="R3185" s="2">
        <v>223</v>
      </c>
      <c r="S3185" s="2">
        <v>102.98950000000001</v>
      </c>
      <c r="T3185" s="2">
        <v>201</v>
      </c>
      <c r="U3185" s="2">
        <v>0.47861999999999999</v>
      </c>
      <c r="V3185" s="2">
        <v>172</v>
      </c>
      <c r="W3185" s="2">
        <v>2011</v>
      </c>
    </row>
    <row r="3186" spans="1:23" ht="12.3" hidden="1" x14ac:dyDescent="0.4">
      <c r="A3186" s="2" t="s">
        <v>112</v>
      </c>
      <c r="B3186" s="2"/>
      <c r="C3186" s="2"/>
      <c r="D3186" s="2"/>
      <c r="E3186" s="2"/>
      <c r="F3186" s="2"/>
      <c r="G3186" s="2"/>
      <c r="H3186" s="2"/>
      <c r="I3186" s="2">
        <v>67.431100000000001</v>
      </c>
      <c r="J3186" s="2">
        <v>145</v>
      </c>
      <c r="K3186" s="2">
        <v>66.775099999999995</v>
      </c>
      <c r="L3186" s="2">
        <v>165</v>
      </c>
      <c r="M3186" s="2">
        <v>99.143299999999996</v>
      </c>
      <c r="N3186" s="2">
        <v>222</v>
      </c>
      <c r="O3186" s="2">
        <v>100.83410000000001</v>
      </c>
      <c r="P3186" s="2">
        <v>184</v>
      </c>
      <c r="Q3186" s="2">
        <v>101.0163</v>
      </c>
      <c r="R3186" s="2">
        <v>159</v>
      </c>
      <c r="S3186" s="2">
        <v>101.63339999999999</v>
      </c>
      <c r="T3186" s="2">
        <v>165</v>
      </c>
      <c r="U3186" s="2">
        <v>0.47731400000000002</v>
      </c>
      <c r="V3186" s="2">
        <v>173</v>
      </c>
      <c r="W3186" s="2">
        <v>2011</v>
      </c>
    </row>
    <row r="3187" spans="1:23" ht="12.3" hidden="1" x14ac:dyDescent="0.4">
      <c r="A3187" s="2" t="s">
        <v>101</v>
      </c>
      <c r="B3187" s="2"/>
      <c r="C3187" s="2"/>
      <c r="D3187" s="2"/>
      <c r="E3187" s="2"/>
      <c r="F3187" s="2"/>
      <c r="G3187" s="2"/>
      <c r="H3187" s="2"/>
      <c r="I3187" s="2">
        <v>64.724400000000003</v>
      </c>
      <c r="J3187" s="2">
        <v>264</v>
      </c>
      <c r="K3187" s="2">
        <v>64.515500000000003</v>
      </c>
      <c r="L3187" s="2">
        <v>271</v>
      </c>
      <c r="M3187" s="2">
        <v>102.9209</v>
      </c>
      <c r="N3187" s="2">
        <v>139</v>
      </c>
      <c r="O3187" s="2">
        <v>101.74120000000001</v>
      </c>
      <c r="P3187" s="2">
        <v>161</v>
      </c>
      <c r="Q3187" s="2">
        <v>98.935000000000002</v>
      </c>
      <c r="R3187" s="2">
        <v>105</v>
      </c>
      <c r="S3187" s="2">
        <v>102.5705</v>
      </c>
      <c r="T3187" s="2">
        <v>193</v>
      </c>
      <c r="U3187" s="2">
        <v>0.47667799999999999</v>
      </c>
      <c r="V3187" s="2">
        <v>174</v>
      </c>
      <c r="W3187" s="2">
        <v>2011</v>
      </c>
    </row>
    <row r="3188" spans="1:23" ht="12.3" hidden="1" x14ac:dyDescent="0.4">
      <c r="A3188" s="2" t="s">
        <v>170</v>
      </c>
      <c r="B3188" s="2"/>
      <c r="C3188" s="2"/>
      <c r="D3188" s="2"/>
      <c r="E3188" s="2"/>
      <c r="F3188" s="2"/>
      <c r="G3188" s="2"/>
      <c r="H3188" s="2"/>
      <c r="I3188" s="2">
        <v>65.272999999999996</v>
      </c>
      <c r="J3188" s="2">
        <v>246</v>
      </c>
      <c r="K3188" s="2">
        <v>65.538300000000007</v>
      </c>
      <c r="L3188" s="2">
        <v>235</v>
      </c>
      <c r="M3188" s="2">
        <v>104.0723</v>
      </c>
      <c r="N3188" s="2">
        <v>112</v>
      </c>
      <c r="O3188" s="2">
        <v>101.6884</v>
      </c>
      <c r="P3188" s="2">
        <v>165</v>
      </c>
      <c r="Q3188" s="2">
        <v>103.0902</v>
      </c>
      <c r="R3188" s="2">
        <v>204</v>
      </c>
      <c r="S3188" s="2">
        <v>102.82470000000001</v>
      </c>
      <c r="T3188" s="2">
        <v>197</v>
      </c>
      <c r="U3188" s="2">
        <v>0.46809499999999998</v>
      </c>
      <c r="V3188" s="2">
        <v>175</v>
      </c>
      <c r="W3188" s="2">
        <v>2011</v>
      </c>
    </row>
    <row r="3189" spans="1:23" ht="12.3" hidden="1" x14ac:dyDescent="0.4">
      <c r="A3189" s="2" t="s">
        <v>142</v>
      </c>
      <c r="B3189" s="2"/>
      <c r="C3189" s="2"/>
      <c r="D3189" s="2"/>
      <c r="E3189" s="2"/>
      <c r="F3189" s="2"/>
      <c r="G3189" s="2"/>
      <c r="H3189" s="2"/>
      <c r="I3189" s="2">
        <v>67.884100000000004</v>
      </c>
      <c r="J3189" s="2">
        <v>117</v>
      </c>
      <c r="K3189" s="2">
        <v>67.027600000000007</v>
      </c>
      <c r="L3189" s="2">
        <v>150</v>
      </c>
      <c r="M3189" s="2">
        <v>98.419899999999998</v>
      </c>
      <c r="N3189" s="2">
        <v>235</v>
      </c>
      <c r="O3189" s="2">
        <v>99.894300000000001</v>
      </c>
      <c r="P3189" s="2">
        <v>204</v>
      </c>
      <c r="Q3189" s="2">
        <v>103.4742</v>
      </c>
      <c r="R3189" s="2">
        <v>213</v>
      </c>
      <c r="S3189" s="2">
        <v>101.0782</v>
      </c>
      <c r="T3189" s="2">
        <v>146</v>
      </c>
      <c r="U3189" s="2">
        <v>0.46617799999999998</v>
      </c>
      <c r="V3189" s="2">
        <v>176</v>
      </c>
      <c r="W3189" s="2">
        <v>2011</v>
      </c>
    </row>
    <row r="3190" spans="1:23" ht="12.3" hidden="1" x14ac:dyDescent="0.4">
      <c r="A3190" s="2" t="s">
        <v>184</v>
      </c>
      <c r="B3190" s="2"/>
      <c r="C3190" s="2"/>
      <c r="D3190" s="2"/>
      <c r="E3190" s="2"/>
      <c r="F3190" s="2"/>
      <c r="G3190" s="2"/>
      <c r="H3190" s="2"/>
      <c r="I3190" s="2">
        <v>68.288700000000006</v>
      </c>
      <c r="J3190" s="2">
        <v>96</v>
      </c>
      <c r="K3190" s="2">
        <v>67.997</v>
      </c>
      <c r="L3190" s="2">
        <v>99</v>
      </c>
      <c r="M3190" s="2">
        <v>110.1336</v>
      </c>
      <c r="N3190" s="2">
        <v>33</v>
      </c>
      <c r="O3190" s="2">
        <v>107.288</v>
      </c>
      <c r="P3190" s="2">
        <v>74</v>
      </c>
      <c r="Q3190" s="2">
        <v>104.62009999999999</v>
      </c>
      <c r="R3190" s="2">
        <v>253</v>
      </c>
      <c r="S3190" s="2">
        <v>108.6425</v>
      </c>
      <c r="T3190" s="2">
        <v>303</v>
      </c>
      <c r="U3190" s="2">
        <v>0.46399400000000002</v>
      </c>
      <c r="V3190" s="2">
        <v>177</v>
      </c>
      <c r="W3190" s="2">
        <v>2011</v>
      </c>
    </row>
    <row r="3191" spans="1:23" ht="12.3" hidden="1" x14ac:dyDescent="0.4">
      <c r="A3191" s="2" t="s">
        <v>283</v>
      </c>
      <c r="B3191" s="2"/>
      <c r="C3191" s="2"/>
      <c r="D3191" s="2"/>
      <c r="E3191" s="2"/>
      <c r="F3191" s="2"/>
      <c r="G3191" s="2"/>
      <c r="H3191" s="2"/>
      <c r="I3191" s="2">
        <v>67.433300000000003</v>
      </c>
      <c r="J3191" s="2">
        <v>144</v>
      </c>
      <c r="K3191" s="2">
        <v>65.7714</v>
      </c>
      <c r="L3191" s="2">
        <v>223</v>
      </c>
      <c r="M3191" s="2">
        <v>101.64960000000001</v>
      </c>
      <c r="N3191" s="2">
        <v>173</v>
      </c>
      <c r="O3191" s="2">
        <v>101.6267</v>
      </c>
      <c r="P3191" s="2">
        <v>170</v>
      </c>
      <c r="Q3191" s="2">
        <v>100.05710000000001</v>
      </c>
      <c r="R3191" s="2">
        <v>127</v>
      </c>
      <c r="S3191" s="2">
        <v>103.0261</v>
      </c>
      <c r="T3191" s="2">
        <v>202</v>
      </c>
      <c r="U3191" s="2">
        <v>0.46076299999999998</v>
      </c>
      <c r="V3191" s="2">
        <v>178</v>
      </c>
      <c r="W3191" s="2">
        <v>2011</v>
      </c>
    </row>
    <row r="3192" spans="1:23" ht="12.3" hidden="1" x14ac:dyDescent="0.4">
      <c r="A3192" s="2" t="s">
        <v>326</v>
      </c>
      <c r="B3192" s="2"/>
      <c r="C3192" s="2"/>
      <c r="D3192" s="2"/>
      <c r="E3192" s="2"/>
      <c r="F3192" s="2"/>
      <c r="G3192" s="2"/>
      <c r="H3192" s="2"/>
      <c r="I3192" s="2">
        <v>71.179100000000005</v>
      </c>
      <c r="J3192" s="2">
        <v>26</v>
      </c>
      <c r="K3192" s="2">
        <v>71.348200000000006</v>
      </c>
      <c r="L3192" s="2">
        <v>19</v>
      </c>
      <c r="M3192" s="2">
        <v>102.0065</v>
      </c>
      <c r="N3192" s="2">
        <v>160</v>
      </c>
      <c r="O3192" s="2">
        <v>101.447</v>
      </c>
      <c r="P3192" s="2">
        <v>176</v>
      </c>
      <c r="Q3192" s="2">
        <v>100.086</v>
      </c>
      <c r="R3192" s="2">
        <v>130</v>
      </c>
      <c r="S3192" s="2">
        <v>102.92619999999999</v>
      </c>
      <c r="T3192" s="2">
        <v>199</v>
      </c>
      <c r="U3192" s="2">
        <v>0.45847900000000003</v>
      </c>
      <c r="V3192" s="2">
        <v>179</v>
      </c>
      <c r="W3192" s="2">
        <v>2011</v>
      </c>
    </row>
    <row r="3193" spans="1:23" ht="12.3" hidden="1" x14ac:dyDescent="0.4">
      <c r="A3193" s="2" t="s">
        <v>340</v>
      </c>
      <c r="B3193" s="2"/>
      <c r="C3193" s="2"/>
      <c r="D3193" s="2"/>
      <c r="E3193" s="2"/>
      <c r="F3193" s="2"/>
      <c r="G3193" s="2"/>
      <c r="H3193" s="2"/>
      <c r="I3193" s="2">
        <v>66.4054</v>
      </c>
      <c r="J3193" s="2">
        <v>187</v>
      </c>
      <c r="K3193" s="2">
        <v>66.286000000000001</v>
      </c>
      <c r="L3193" s="2">
        <v>189</v>
      </c>
      <c r="M3193" s="2">
        <v>101.31570000000001</v>
      </c>
      <c r="N3193" s="2">
        <v>178</v>
      </c>
      <c r="O3193" s="2">
        <v>101.6833</v>
      </c>
      <c r="P3193" s="2">
        <v>166</v>
      </c>
      <c r="Q3193" s="2">
        <v>100.1497</v>
      </c>
      <c r="R3193" s="2">
        <v>135</v>
      </c>
      <c r="S3193" s="2">
        <v>103.1752</v>
      </c>
      <c r="T3193" s="2">
        <v>208</v>
      </c>
      <c r="U3193" s="2">
        <v>0.45822400000000002</v>
      </c>
      <c r="V3193" s="2">
        <v>180</v>
      </c>
      <c r="W3193" s="2">
        <v>2011</v>
      </c>
    </row>
    <row r="3194" spans="1:23" ht="12.3" hidden="1" x14ac:dyDescent="0.4">
      <c r="A3194" s="2" t="s">
        <v>77</v>
      </c>
      <c r="B3194" s="2"/>
      <c r="C3194" s="2"/>
      <c r="D3194" s="2"/>
      <c r="E3194" s="2"/>
      <c r="F3194" s="2"/>
      <c r="G3194" s="2"/>
      <c r="H3194" s="2"/>
      <c r="I3194" s="2">
        <v>64.154399999999995</v>
      </c>
      <c r="J3194" s="2">
        <v>283</v>
      </c>
      <c r="K3194" s="2">
        <v>64.369200000000006</v>
      </c>
      <c r="L3194" s="2">
        <v>280</v>
      </c>
      <c r="M3194" s="2">
        <v>101.26519999999999</v>
      </c>
      <c r="N3194" s="2">
        <v>181</v>
      </c>
      <c r="O3194" s="2">
        <v>100.2454</v>
      </c>
      <c r="P3194" s="2">
        <v>195</v>
      </c>
      <c r="Q3194" s="2">
        <v>103.5187</v>
      </c>
      <c r="R3194" s="2">
        <v>215</v>
      </c>
      <c r="S3194" s="2">
        <v>101.7607</v>
      </c>
      <c r="T3194" s="2">
        <v>168</v>
      </c>
      <c r="U3194" s="2">
        <v>0.45697399999999999</v>
      </c>
      <c r="V3194" s="2">
        <v>181</v>
      </c>
      <c r="W3194" s="2">
        <v>2011</v>
      </c>
    </row>
    <row r="3195" spans="1:23" ht="12.3" hidden="1" x14ac:dyDescent="0.4">
      <c r="A3195" s="2" t="s">
        <v>322</v>
      </c>
      <c r="B3195" s="2"/>
      <c r="C3195" s="2"/>
      <c r="D3195" s="2"/>
      <c r="E3195" s="2"/>
      <c r="F3195" s="2"/>
      <c r="G3195" s="2"/>
      <c r="H3195" s="2"/>
      <c r="I3195" s="2">
        <v>67.168800000000005</v>
      </c>
      <c r="J3195" s="2">
        <v>161</v>
      </c>
      <c r="K3195" s="2">
        <v>66.453699999999998</v>
      </c>
      <c r="L3195" s="2">
        <v>182</v>
      </c>
      <c r="M3195" s="2">
        <v>108.2871</v>
      </c>
      <c r="N3195" s="2">
        <v>49</v>
      </c>
      <c r="O3195" s="2">
        <v>103.8082</v>
      </c>
      <c r="P3195" s="2">
        <v>117</v>
      </c>
      <c r="Q3195" s="2">
        <v>104.07340000000001</v>
      </c>
      <c r="R3195" s="2">
        <v>239</v>
      </c>
      <c r="S3195" s="2">
        <v>105.39960000000001</v>
      </c>
      <c r="T3195" s="2">
        <v>253</v>
      </c>
      <c r="U3195" s="2">
        <v>0.456372</v>
      </c>
      <c r="V3195" s="2">
        <v>182</v>
      </c>
      <c r="W3195" s="2">
        <v>2011</v>
      </c>
    </row>
    <row r="3196" spans="1:23" ht="12.3" hidden="1" x14ac:dyDescent="0.4">
      <c r="A3196" s="2" t="s">
        <v>160</v>
      </c>
      <c r="B3196" s="2"/>
      <c r="C3196" s="2"/>
      <c r="D3196" s="2"/>
      <c r="E3196" s="2"/>
      <c r="F3196" s="2"/>
      <c r="G3196" s="2"/>
      <c r="H3196" s="2"/>
      <c r="I3196" s="2">
        <v>66.656099999999995</v>
      </c>
      <c r="J3196" s="2">
        <v>177</v>
      </c>
      <c r="K3196" s="2">
        <v>66.658000000000001</v>
      </c>
      <c r="L3196" s="2">
        <v>171</v>
      </c>
      <c r="M3196" s="2">
        <v>99.382999999999996</v>
      </c>
      <c r="N3196" s="2">
        <v>217</v>
      </c>
      <c r="O3196" s="2">
        <v>98.350499999999997</v>
      </c>
      <c r="P3196" s="2">
        <v>237</v>
      </c>
      <c r="Q3196" s="2">
        <v>99.919600000000003</v>
      </c>
      <c r="R3196" s="2">
        <v>123</v>
      </c>
      <c r="S3196" s="2">
        <v>99.944500000000005</v>
      </c>
      <c r="T3196" s="2">
        <v>123</v>
      </c>
      <c r="U3196" s="2">
        <v>0.45390999999999998</v>
      </c>
      <c r="V3196" s="2">
        <v>183</v>
      </c>
      <c r="W3196" s="2">
        <v>2011</v>
      </c>
    </row>
    <row r="3197" spans="1:23" ht="12.3" hidden="1" x14ac:dyDescent="0.4">
      <c r="A3197" s="2" t="s">
        <v>218</v>
      </c>
      <c r="B3197" s="2"/>
      <c r="C3197" s="2"/>
      <c r="D3197" s="2"/>
      <c r="E3197" s="2"/>
      <c r="F3197" s="2"/>
      <c r="G3197" s="2"/>
      <c r="H3197" s="2"/>
      <c r="I3197" s="2">
        <v>64.392499999999998</v>
      </c>
      <c r="J3197" s="2">
        <v>273</v>
      </c>
      <c r="K3197" s="2">
        <v>64.220299999999995</v>
      </c>
      <c r="L3197" s="2">
        <v>284</v>
      </c>
      <c r="M3197" s="2">
        <v>103.068</v>
      </c>
      <c r="N3197" s="2">
        <v>134</v>
      </c>
      <c r="O3197" s="2">
        <v>100.21259999999999</v>
      </c>
      <c r="P3197" s="2">
        <v>198</v>
      </c>
      <c r="Q3197" s="2">
        <v>101.8304</v>
      </c>
      <c r="R3197" s="2">
        <v>183</v>
      </c>
      <c r="S3197" s="2">
        <v>101.9478</v>
      </c>
      <c r="T3197" s="2">
        <v>174</v>
      </c>
      <c r="U3197" s="2">
        <v>0.45080300000000001</v>
      </c>
      <c r="V3197" s="2">
        <v>184</v>
      </c>
      <c r="W3197" s="2">
        <v>2011</v>
      </c>
    </row>
    <row r="3198" spans="1:23" ht="12.3" hidden="1" x14ac:dyDescent="0.4">
      <c r="A3198" s="2" t="s">
        <v>333</v>
      </c>
      <c r="B3198" s="2"/>
      <c r="C3198" s="2"/>
      <c r="D3198" s="2"/>
      <c r="E3198" s="2"/>
      <c r="F3198" s="2"/>
      <c r="G3198" s="2"/>
      <c r="H3198" s="2"/>
      <c r="I3198" s="2">
        <v>66.338999999999999</v>
      </c>
      <c r="J3198" s="2">
        <v>193</v>
      </c>
      <c r="K3198" s="2">
        <v>67.039400000000001</v>
      </c>
      <c r="L3198" s="2">
        <v>149</v>
      </c>
      <c r="M3198" s="2">
        <v>102.29730000000001</v>
      </c>
      <c r="N3198" s="2">
        <v>155</v>
      </c>
      <c r="O3198" s="2">
        <v>103.4057</v>
      </c>
      <c r="P3198" s="2">
        <v>127</v>
      </c>
      <c r="Q3198" s="2">
        <v>105.32470000000001</v>
      </c>
      <c r="R3198" s="2">
        <v>266</v>
      </c>
      <c r="S3198" s="2">
        <v>105.318</v>
      </c>
      <c r="T3198" s="2">
        <v>249</v>
      </c>
      <c r="U3198" s="2">
        <v>0.44751200000000002</v>
      </c>
      <c r="V3198" s="2">
        <v>185</v>
      </c>
      <c r="W3198" s="2">
        <v>2011</v>
      </c>
    </row>
    <row r="3199" spans="1:23" ht="12.3" hidden="1" x14ac:dyDescent="0.4">
      <c r="A3199" s="2" t="s">
        <v>228</v>
      </c>
      <c r="B3199" s="2"/>
      <c r="C3199" s="2"/>
      <c r="D3199" s="2"/>
      <c r="E3199" s="2"/>
      <c r="F3199" s="2"/>
      <c r="G3199" s="2"/>
      <c r="H3199" s="2"/>
      <c r="I3199" s="2">
        <v>67.300299999999993</v>
      </c>
      <c r="J3199" s="2">
        <v>151</v>
      </c>
      <c r="K3199" s="2">
        <v>66.962999999999994</v>
      </c>
      <c r="L3199" s="2">
        <v>155</v>
      </c>
      <c r="M3199" s="2">
        <v>99.837400000000002</v>
      </c>
      <c r="N3199" s="2">
        <v>208</v>
      </c>
      <c r="O3199" s="2">
        <v>95.770499999999998</v>
      </c>
      <c r="P3199" s="2">
        <v>275</v>
      </c>
      <c r="Q3199" s="2">
        <v>97.15</v>
      </c>
      <c r="R3199" s="2">
        <v>69</v>
      </c>
      <c r="S3199" s="2">
        <v>97.588499999999996</v>
      </c>
      <c r="T3199" s="2">
        <v>78</v>
      </c>
      <c r="U3199" s="2">
        <v>0.44614399999999999</v>
      </c>
      <c r="V3199" s="2">
        <v>186</v>
      </c>
      <c r="W3199" s="2">
        <v>2011</v>
      </c>
    </row>
    <row r="3200" spans="1:23" ht="12.3" hidden="1" x14ac:dyDescent="0.4">
      <c r="A3200" s="2" t="s">
        <v>167</v>
      </c>
      <c r="B3200" s="2"/>
      <c r="C3200" s="2"/>
      <c r="D3200" s="2"/>
      <c r="E3200" s="2"/>
      <c r="F3200" s="2"/>
      <c r="G3200" s="2"/>
      <c r="H3200" s="2"/>
      <c r="I3200" s="2">
        <v>64.121899999999997</v>
      </c>
      <c r="J3200" s="2">
        <v>286</v>
      </c>
      <c r="K3200" s="2">
        <v>64.317800000000005</v>
      </c>
      <c r="L3200" s="2">
        <v>281</v>
      </c>
      <c r="M3200" s="2">
        <v>100.2453</v>
      </c>
      <c r="N3200" s="2">
        <v>201</v>
      </c>
      <c r="O3200" s="2">
        <v>103.62179999999999</v>
      </c>
      <c r="P3200" s="2">
        <v>123</v>
      </c>
      <c r="Q3200" s="2">
        <v>107.1343</v>
      </c>
      <c r="R3200" s="2">
        <v>296</v>
      </c>
      <c r="S3200" s="2">
        <v>105.6065</v>
      </c>
      <c r="T3200" s="2">
        <v>256</v>
      </c>
      <c r="U3200" s="2">
        <v>0.44567099999999998</v>
      </c>
      <c r="V3200" s="2">
        <v>187</v>
      </c>
      <c r="W3200" s="2">
        <v>2011</v>
      </c>
    </row>
    <row r="3201" spans="1:23" ht="12.3" hidden="1" x14ac:dyDescent="0.4">
      <c r="A3201" s="2" t="s">
        <v>246</v>
      </c>
      <c r="B3201" s="2"/>
      <c r="C3201" s="2"/>
      <c r="D3201" s="2"/>
      <c r="E3201" s="2"/>
      <c r="F3201" s="2"/>
      <c r="G3201" s="2"/>
      <c r="H3201" s="2"/>
      <c r="I3201" s="2">
        <v>69.317300000000003</v>
      </c>
      <c r="J3201" s="2">
        <v>55</v>
      </c>
      <c r="K3201" s="2">
        <v>69.873800000000003</v>
      </c>
      <c r="L3201" s="2">
        <v>42</v>
      </c>
      <c r="M3201" s="2">
        <v>99.198999999999998</v>
      </c>
      <c r="N3201" s="2">
        <v>221</v>
      </c>
      <c r="O3201" s="2">
        <v>96.448599999999999</v>
      </c>
      <c r="P3201" s="2">
        <v>269</v>
      </c>
      <c r="Q3201" s="2">
        <v>99.828000000000003</v>
      </c>
      <c r="R3201" s="2">
        <v>119</v>
      </c>
      <c r="S3201" s="2">
        <v>98.443100000000001</v>
      </c>
      <c r="T3201" s="2">
        <v>96</v>
      </c>
      <c r="U3201" s="2">
        <v>0.44142300000000001</v>
      </c>
      <c r="V3201" s="2">
        <v>188</v>
      </c>
      <c r="W3201" s="2">
        <v>2011</v>
      </c>
    </row>
    <row r="3202" spans="1:23" ht="12.3" hidden="1" x14ac:dyDescent="0.4">
      <c r="A3202" s="2" t="s">
        <v>155</v>
      </c>
      <c r="B3202" s="2"/>
      <c r="C3202" s="2"/>
      <c r="D3202" s="2"/>
      <c r="E3202" s="2"/>
      <c r="F3202" s="2"/>
      <c r="G3202" s="2"/>
      <c r="H3202" s="2"/>
      <c r="I3202" s="2">
        <v>68.314700000000002</v>
      </c>
      <c r="J3202" s="2">
        <v>93</v>
      </c>
      <c r="K3202" s="2">
        <v>68.076599999999999</v>
      </c>
      <c r="L3202" s="2">
        <v>94</v>
      </c>
      <c r="M3202" s="2">
        <v>96.119100000000003</v>
      </c>
      <c r="N3202" s="2">
        <v>275</v>
      </c>
      <c r="O3202" s="2">
        <v>96.099400000000003</v>
      </c>
      <c r="P3202" s="2">
        <v>273</v>
      </c>
      <c r="Q3202" s="2">
        <v>99.475099999999998</v>
      </c>
      <c r="R3202" s="2">
        <v>111</v>
      </c>
      <c r="S3202" s="2">
        <v>98.1554</v>
      </c>
      <c r="T3202" s="2">
        <v>92</v>
      </c>
      <c r="U3202" s="2">
        <v>0.439438</v>
      </c>
      <c r="V3202" s="2">
        <v>189</v>
      </c>
      <c r="W3202" s="2">
        <v>2011</v>
      </c>
    </row>
    <row r="3203" spans="1:23" ht="12.3" hidden="1" x14ac:dyDescent="0.4">
      <c r="A3203" s="2" t="s">
        <v>91</v>
      </c>
      <c r="B3203" s="2"/>
      <c r="C3203" s="2"/>
      <c r="D3203" s="2"/>
      <c r="E3203" s="2"/>
      <c r="F3203" s="2"/>
      <c r="G3203" s="2"/>
      <c r="H3203" s="2"/>
      <c r="I3203" s="2">
        <v>64.141599999999997</v>
      </c>
      <c r="J3203" s="2">
        <v>285</v>
      </c>
      <c r="K3203" s="2">
        <v>63.684399999999997</v>
      </c>
      <c r="L3203" s="2">
        <v>303</v>
      </c>
      <c r="M3203" s="2">
        <v>100.1254</v>
      </c>
      <c r="N3203" s="2">
        <v>203</v>
      </c>
      <c r="O3203" s="2">
        <v>105.0967</v>
      </c>
      <c r="P3203" s="2">
        <v>101</v>
      </c>
      <c r="Q3203" s="2">
        <v>108.029</v>
      </c>
      <c r="R3203" s="2">
        <v>311</v>
      </c>
      <c r="S3203" s="2">
        <v>107.3747</v>
      </c>
      <c r="T3203" s="2">
        <v>281</v>
      </c>
      <c r="U3203" s="2">
        <v>0.43866100000000002</v>
      </c>
      <c r="V3203" s="2">
        <v>190</v>
      </c>
      <c r="W3203" s="2">
        <v>2011</v>
      </c>
    </row>
    <row r="3204" spans="1:23" ht="12.3" hidden="1" x14ac:dyDescent="0.4">
      <c r="A3204" s="2" t="s">
        <v>292</v>
      </c>
      <c r="B3204" s="2"/>
      <c r="C3204" s="2"/>
      <c r="D3204" s="2"/>
      <c r="E3204" s="2"/>
      <c r="F3204" s="2"/>
      <c r="G3204" s="2"/>
      <c r="H3204" s="2"/>
      <c r="I3204" s="2">
        <v>65.974500000000006</v>
      </c>
      <c r="J3204" s="2">
        <v>212</v>
      </c>
      <c r="K3204" s="2">
        <v>67.47</v>
      </c>
      <c r="L3204" s="2">
        <v>127</v>
      </c>
      <c r="M3204" s="2">
        <v>98.557299999999998</v>
      </c>
      <c r="N3204" s="2">
        <v>232</v>
      </c>
      <c r="O3204" s="2">
        <v>99.154300000000006</v>
      </c>
      <c r="P3204" s="2">
        <v>226</v>
      </c>
      <c r="Q3204" s="2">
        <v>102.1412</v>
      </c>
      <c r="R3204" s="2">
        <v>189</v>
      </c>
      <c r="S3204" s="2">
        <v>101.57210000000001</v>
      </c>
      <c r="T3204" s="2">
        <v>162</v>
      </c>
      <c r="U3204" s="2">
        <v>0.43117800000000001</v>
      </c>
      <c r="V3204" s="2">
        <v>191</v>
      </c>
      <c r="W3204" s="2">
        <v>2011</v>
      </c>
    </row>
    <row r="3205" spans="1:23" ht="12.3" hidden="1" x14ac:dyDescent="0.4">
      <c r="A3205" s="2" t="s">
        <v>172</v>
      </c>
      <c r="B3205" s="2"/>
      <c r="C3205" s="2"/>
      <c r="D3205" s="2"/>
      <c r="E3205" s="2"/>
      <c r="F3205" s="2"/>
      <c r="G3205" s="2"/>
      <c r="H3205" s="2"/>
      <c r="I3205" s="2">
        <v>65.065799999999996</v>
      </c>
      <c r="J3205" s="2">
        <v>251</v>
      </c>
      <c r="K3205" s="2">
        <v>65.603899999999996</v>
      </c>
      <c r="L3205" s="2">
        <v>230</v>
      </c>
      <c r="M3205" s="2">
        <v>101.116</v>
      </c>
      <c r="N3205" s="2">
        <v>185</v>
      </c>
      <c r="O3205" s="2">
        <v>99.247600000000006</v>
      </c>
      <c r="P3205" s="2">
        <v>223</v>
      </c>
      <c r="Q3205" s="2">
        <v>101.2445</v>
      </c>
      <c r="R3205" s="2">
        <v>167</v>
      </c>
      <c r="S3205" s="2">
        <v>101.67829999999999</v>
      </c>
      <c r="T3205" s="2">
        <v>166</v>
      </c>
      <c r="U3205" s="2">
        <v>0.43088100000000001</v>
      </c>
      <c r="V3205" s="2">
        <v>192</v>
      </c>
      <c r="W3205" s="2">
        <v>2011</v>
      </c>
    </row>
    <row r="3206" spans="1:23" ht="12.3" hidden="1" x14ac:dyDescent="0.4">
      <c r="A3206" s="2" t="s">
        <v>107</v>
      </c>
      <c r="B3206" s="2"/>
      <c r="C3206" s="2"/>
      <c r="D3206" s="2"/>
      <c r="E3206" s="2"/>
      <c r="F3206" s="2"/>
      <c r="G3206" s="2"/>
      <c r="H3206" s="2"/>
      <c r="I3206" s="2">
        <v>67.435900000000004</v>
      </c>
      <c r="J3206" s="2">
        <v>143</v>
      </c>
      <c r="K3206" s="2">
        <v>66.454300000000003</v>
      </c>
      <c r="L3206" s="2">
        <v>181</v>
      </c>
      <c r="M3206" s="2">
        <v>105.4665</v>
      </c>
      <c r="N3206" s="2">
        <v>82</v>
      </c>
      <c r="O3206" s="2">
        <v>105.1609</v>
      </c>
      <c r="P3206" s="2">
        <v>99</v>
      </c>
      <c r="Q3206" s="2">
        <v>104.3349</v>
      </c>
      <c r="R3206" s="2">
        <v>248</v>
      </c>
      <c r="S3206" s="2">
        <v>107.8822</v>
      </c>
      <c r="T3206" s="2">
        <v>295</v>
      </c>
      <c r="U3206" s="2">
        <v>0.42707000000000001</v>
      </c>
      <c r="V3206" s="2">
        <v>193</v>
      </c>
      <c r="W3206" s="2">
        <v>2011</v>
      </c>
    </row>
    <row r="3207" spans="1:23" ht="12.3" x14ac:dyDescent="0.4">
      <c r="A3207" s="2" t="s">
        <v>151</v>
      </c>
      <c r="B3207" s="2">
        <v>13</v>
      </c>
      <c r="C3207" s="2"/>
      <c r="D3207" s="2"/>
      <c r="E3207" s="2"/>
      <c r="F3207" s="2"/>
      <c r="G3207" s="2"/>
      <c r="H3207" s="2"/>
      <c r="I3207" s="2">
        <v>65.641999999999996</v>
      </c>
      <c r="J3207" s="2">
        <v>227</v>
      </c>
      <c r="K3207" s="2">
        <v>66.482900000000001</v>
      </c>
      <c r="L3207" s="2">
        <v>200</v>
      </c>
      <c r="M3207" s="2">
        <v>108.3516</v>
      </c>
      <c r="N3207" s="2">
        <v>48</v>
      </c>
      <c r="O3207" s="2">
        <v>108.6439</v>
      </c>
      <c r="P3207" s="2">
        <v>52</v>
      </c>
      <c r="Q3207" s="2">
        <v>102.8064</v>
      </c>
      <c r="R3207" s="2">
        <v>206</v>
      </c>
      <c r="S3207" s="2">
        <v>101.6448</v>
      </c>
      <c r="T3207" s="2">
        <v>168</v>
      </c>
      <c r="U3207" s="2">
        <v>0.682612</v>
      </c>
      <c r="V3207" s="2">
        <v>87</v>
      </c>
      <c r="W3207" s="2">
        <v>2005</v>
      </c>
    </row>
    <row r="3208" spans="1:23" ht="12.3" hidden="1" x14ac:dyDescent="0.4">
      <c r="A3208" s="2" t="s">
        <v>308</v>
      </c>
      <c r="B3208" s="2"/>
      <c r="C3208" s="2"/>
      <c r="D3208" s="2"/>
      <c r="E3208" s="2"/>
      <c r="F3208" s="2"/>
      <c r="G3208" s="2"/>
      <c r="H3208" s="2"/>
      <c r="I3208" s="2">
        <v>62.8688</v>
      </c>
      <c r="J3208" s="2">
        <v>315</v>
      </c>
      <c r="K3208" s="2">
        <v>64.070899999999995</v>
      </c>
      <c r="L3208" s="2">
        <v>292</v>
      </c>
      <c r="M3208" s="2">
        <v>104.87609999999999</v>
      </c>
      <c r="N3208" s="2">
        <v>94</v>
      </c>
      <c r="O3208" s="2">
        <v>107.59829999999999</v>
      </c>
      <c r="P3208" s="2">
        <v>69</v>
      </c>
      <c r="Q3208" s="2">
        <v>111.2406</v>
      </c>
      <c r="R3208" s="2">
        <v>337</v>
      </c>
      <c r="S3208" s="2">
        <v>110.7565</v>
      </c>
      <c r="T3208" s="2">
        <v>329</v>
      </c>
      <c r="U3208" s="2">
        <v>0.41758699999999999</v>
      </c>
      <c r="V3208" s="2">
        <v>195</v>
      </c>
      <c r="W3208" s="2">
        <v>2011</v>
      </c>
    </row>
    <row r="3209" spans="1:23" ht="12.3" hidden="1" x14ac:dyDescent="0.4">
      <c r="A3209" s="2" t="s">
        <v>277</v>
      </c>
      <c r="B3209" s="2"/>
      <c r="C3209" s="2"/>
      <c r="D3209" s="2"/>
      <c r="E3209" s="2"/>
      <c r="F3209" s="2"/>
      <c r="G3209" s="2"/>
      <c r="H3209" s="2"/>
      <c r="I3209" s="2">
        <v>67.552499999999995</v>
      </c>
      <c r="J3209" s="2">
        <v>135</v>
      </c>
      <c r="K3209" s="2">
        <v>67.558300000000003</v>
      </c>
      <c r="L3209" s="2">
        <v>121</v>
      </c>
      <c r="M3209" s="2">
        <v>98.828299999999999</v>
      </c>
      <c r="N3209" s="2">
        <v>228</v>
      </c>
      <c r="O3209" s="2">
        <v>97.843599999999995</v>
      </c>
      <c r="P3209" s="2">
        <v>247</v>
      </c>
      <c r="Q3209" s="2">
        <v>97.973100000000002</v>
      </c>
      <c r="R3209" s="2">
        <v>83</v>
      </c>
      <c r="S3209" s="2">
        <v>100.723</v>
      </c>
      <c r="T3209" s="2">
        <v>135</v>
      </c>
      <c r="U3209" s="2">
        <v>0.41737800000000003</v>
      </c>
      <c r="V3209" s="2">
        <v>196</v>
      </c>
      <c r="W3209" s="2">
        <v>2011</v>
      </c>
    </row>
    <row r="3210" spans="1:23" ht="12.3" hidden="1" x14ac:dyDescent="0.4">
      <c r="A3210" s="2" t="s">
        <v>263</v>
      </c>
      <c r="B3210" s="2"/>
      <c r="C3210" s="2"/>
      <c r="D3210" s="2"/>
      <c r="E3210" s="2"/>
      <c r="F3210" s="2"/>
      <c r="G3210" s="2"/>
      <c r="H3210" s="2"/>
      <c r="I3210" s="2">
        <v>75.955500000000001</v>
      </c>
      <c r="J3210" s="2">
        <v>2</v>
      </c>
      <c r="K3210" s="2">
        <v>75.642399999999995</v>
      </c>
      <c r="L3210" s="2">
        <v>2</v>
      </c>
      <c r="M3210" s="2">
        <v>109.8344</v>
      </c>
      <c r="N3210" s="2">
        <v>36</v>
      </c>
      <c r="O3210" s="2">
        <v>109.907</v>
      </c>
      <c r="P3210" s="2">
        <v>41</v>
      </c>
      <c r="Q3210" s="2">
        <v>107.9828</v>
      </c>
      <c r="R3210" s="2">
        <v>308</v>
      </c>
      <c r="S3210" s="2">
        <v>113.2758</v>
      </c>
      <c r="T3210" s="2">
        <v>340</v>
      </c>
      <c r="U3210" s="2">
        <v>0.41406100000000001</v>
      </c>
      <c r="V3210" s="2">
        <v>197</v>
      </c>
      <c r="W3210" s="2">
        <v>2011</v>
      </c>
    </row>
    <row r="3211" spans="1:23" ht="12.3" hidden="1" x14ac:dyDescent="0.4">
      <c r="A3211" s="2" t="s">
        <v>207</v>
      </c>
      <c r="B3211" s="2"/>
      <c r="C3211" s="2"/>
      <c r="D3211" s="2"/>
      <c r="E3211" s="2"/>
      <c r="F3211" s="2"/>
      <c r="G3211" s="2"/>
      <c r="H3211" s="2"/>
      <c r="I3211" s="2">
        <v>69.256</v>
      </c>
      <c r="J3211" s="2">
        <v>58</v>
      </c>
      <c r="K3211" s="2">
        <v>69.559899999999999</v>
      </c>
      <c r="L3211" s="2">
        <v>47</v>
      </c>
      <c r="M3211" s="2">
        <v>96.628200000000007</v>
      </c>
      <c r="N3211" s="2">
        <v>270</v>
      </c>
      <c r="O3211" s="2">
        <v>101.8593</v>
      </c>
      <c r="P3211" s="2">
        <v>159</v>
      </c>
      <c r="Q3211" s="2">
        <v>109.89319999999999</v>
      </c>
      <c r="R3211" s="2">
        <v>327</v>
      </c>
      <c r="S3211" s="2">
        <v>105.1285</v>
      </c>
      <c r="T3211" s="2">
        <v>246</v>
      </c>
      <c r="U3211" s="2">
        <v>0.410163</v>
      </c>
      <c r="V3211" s="2">
        <v>198</v>
      </c>
      <c r="W3211" s="2">
        <v>2011</v>
      </c>
    </row>
    <row r="3212" spans="1:23" ht="12.3" hidden="1" x14ac:dyDescent="0.4">
      <c r="A3212" s="2" t="s">
        <v>245</v>
      </c>
      <c r="B3212" s="2"/>
      <c r="C3212" s="2"/>
      <c r="D3212" s="2"/>
      <c r="E3212" s="2"/>
      <c r="F3212" s="2"/>
      <c r="G3212" s="2"/>
      <c r="H3212" s="2"/>
      <c r="I3212" s="2">
        <v>65.937799999999996</v>
      </c>
      <c r="J3212" s="2">
        <v>217</v>
      </c>
      <c r="K3212" s="2">
        <v>66.692099999999996</v>
      </c>
      <c r="L3212" s="2">
        <v>169</v>
      </c>
      <c r="M3212" s="2">
        <v>98.162599999999998</v>
      </c>
      <c r="N3212" s="2">
        <v>241</v>
      </c>
      <c r="O3212" s="2">
        <v>99.600899999999996</v>
      </c>
      <c r="P3212" s="2">
        <v>211</v>
      </c>
      <c r="Q3212" s="2">
        <v>103.32850000000001</v>
      </c>
      <c r="R3212" s="2">
        <v>207</v>
      </c>
      <c r="S3212" s="2">
        <v>102.9391</v>
      </c>
      <c r="T3212" s="2">
        <v>200</v>
      </c>
      <c r="U3212" s="2">
        <v>0.40634100000000001</v>
      </c>
      <c r="V3212" s="2">
        <v>199</v>
      </c>
      <c r="W3212" s="2">
        <v>2011</v>
      </c>
    </row>
    <row r="3213" spans="1:23" ht="12.3" hidden="1" x14ac:dyDescent="0.4">
      <c r="A3213" s="2" t="s">
        <v>161</v>
      </c>
      <c r="B3213" s="2"/>
      <c r="C3213" s="2"/>
      <c r="D3213" s="2"/>
      <c r="E3213" s="2"/>
      <c r="F3213" s="2"/>
      <c r="G3213" s="2"/>
      <c r="H3213" s="2"/>
      <c r="I3213" s="2">
        <v>65.872200000000007</v>
      </c>
      <c r="J3213" s="2">
        <v>221</v>
      </c>
      <c r="K3213" s="2">
        <v>65.764399999999995</v>
      </c>
      <c r="L3213" s="2">
        <v>224</v>
      </c>
      <c r="M3213" s="2">
        <v>101.3182</v>
      </c>
      <c r="N3213" s="2">
        <v>177</v>
      </c>
      <c r="O3213" s="2">
        <v>100.2368</v>
      </c>
      <c r="P3213" s="2">
        <v>196</v>
      </c>
      <c r="Q3213" s="2">
        <v>101.5402</v>
      </c>
      <c r="R3213" s="2">
        <v>176</v>
      </c>
      <c r="S3213" s="2">
        <v>103.7162</v>
      </c>
      <c r="T3213" s="2">
        <v>213</v>
      </c>
      <c r="U3213" s="2">
        <v>0.40313700000000002</v>
      </c>
      <c r="V3213" s="2">
        <v>200</v>
      </c>
      <c r="W3213" s="2">
        <v>2011</v>
      </c>
    </row>
    <row r="3214" spans="1:23" ht="12.3" hidden="1" x14ac:dyDescent="0.4">
      <c r="A3214" s="2" t="s">
        <v>318</v>
      </c>
      <c r="B3214" s="2"/>
      <c r="C3214" s="2"/>
      <c r="D3214" s="2"/>
      <c r="E3214" s="2"/>
      <c r="F3214" s="2"/>
      <c r="G3214" s="2"/>
      <c r="H3214" s="2"/>
      <c r="I3214" s="2">
        <v>67.544700000000006</v>
      </c>
      <c r="J3214" s="2">
        <v>136</v>
      </c>
      <c r="K3214" s="2">
        <v>66.546400000000006</v>
      </c>
      <c r="L3214" s="2">
        <v>176</v>
      </c>
      <c r="M3214" s="2">
        <v>98.725800000000007</v>
      </c>
      <c r="N3214" s="2">
        <v>230</v>
      </c>
      <c r="O3214" s="2">
        <v>99.431299999999993</v>
      </c>
      <c r="P3214" s="2">
        <v>217</v>
      </c>
      <c r="Q3214" s="2">
        <v>100.98739999999999</v>
      </c>
      <c r="R3214" s="2">
        <v>156</v>
      </c>
      <c r="S3214" s="2">
        <v>102.9246</v>
      </c>
      <c r="T3214" s="2">
        <v>198</v>
      </c>
      <c r="U3214" s="2">
        <v>0.40200999999999998</v>
      </c>
      <c r="V3214" s="2">
        <v>201</v>
      </c>
      <c r="W3214" s="2">
        <v>2011</v>
      </c>
    </row>
    <row r="3215" spans="1:23" ht="12.3" hidden="1" x14ac:dyDescent="0.4">
      <c r="A3215" s="2" t="s">
        <v>114</v>
      </c>
      <c r="B3215" s="2"/>
      <c r="C3215" s="2"/>
      <c r="D3215" s="2"/>
      <c r="E3215" s="2"/>
      <c r="F3215" s="2"/>
      <c r="G3215" s="2"/>
      <c r="H3215" s="2"/>
      <c r="I3215" s="2">
        <v>70.355099999999993</v>
      </c>
      <c r="J3215" s="2">
        <v>39</v>
      </c>
      <c r="K3215" s="2">
        <v>70.799499999999995</v>
      </c>
      <c r="L3215" s="2">
        <v>27</v>
      </c>
      <c r="M3215" s="2">
        <v>101.7302</v>
      </c>
      <c r="N3215" s="2">
        <v>170</v>
      </c>
      <c r="O3215" s="2">
        <v>100.297</v>
      </c>
      <c r="P3215" s="2">
        <v>193</v>
      </c>
      <c r="Q3215" s="2">
        <v>101.00279999999999</v>
      </c>
      <c r="R3215" s="2">
        <v>158</v>
      </c>
      <c r="S3215" s="2">
        <v>103.86409999999999</v>
      </c>
      <c r="T3215" s="2">
        <v>218</v>
      </c>
      <c r="U3215" s="2">
        <v>0.40085700000000002</v>
      </c>
      <c r="V3215" s="2">
        <v>202</v>
      </c>
      <c r="W3215" s="2">
        <v>2011</v>
      </c>
    </row>
    <row r="3216" spans="1:23" ht="12.3" hidden="1" x14ac:dyDescent="0.4">
      <c r="A3216" s="2" t="s">
        <v>174</v>
      </c>
      <c r="B3216" s="2"/>
      <c r="C3216" s="2"/>
      <c r="D3216" s="2"/>
      <c r="E3216" s="2"/>
      <c r="F3216" s="2"/>
      <c r="G3216" s="2"/>
      <c r="H3216" s="2"/>
      <c r="I3216" s="2">
        <v>63.275500000000001</v>
      </c>
      <c r="J3216" s="2">
        <v>309</v>
      </c>
      <c r="K3216" s="2">
        <v>64.719899999999996</v>
      </c>
      <c r="L3216" s="2">
        <v>262</v>
      </c>
      <c r="M3216" s="2">
        <v>98.917400000000001</v>
      </c>
      <c r="N3216" s="2">
        <v>227</v>
      </c>
      <c r="O3216" s="2">
        <v>98.326800000000006</v>
      </c>
      <c r="P3216" s="2">
        <v>239</v>
      </c>
      <c r="Q3216" s="2">
        <v>103.9845</v>
      </c>
      <c r="R3216" s="2">
        <v>233</v>
      </c>
      <c r="S3216" s="2">
        <v>101.9753</v>
      </c>
      <c r="T3216" s="2">
        <v>175</v>
      </c>
      <c r="U3216" s="2">
        <v>0.39675899999999997</v>
      </c>
      <c r="V3216" s="2">
        <v>203</v>
      </c>
      <c r="W3216" s="2">
        <v>2011</v>
      </c>
    </row>
    <row r="3217" spans="1:23" ht="12.3" hidden="1" x14ac:dyDescent="0.4">
      <c r="A3217" s="2" t="s">
        <v>273</v>
      </c>
      <c r="B3217" s="2"/>
      <c r="C3217" s="2"/>
      <c r="D3217" s="2"/>
      <c r="E3217" s="2"/>
      <c r="F3217" s="2"/>
      <c r="G3217" s="2"/>
      <c r="H3217" s="2"/>
      <c r="I3217" s="2">
        <v>66.490899999999996</v>
      </c>
      <c r="J3217" s="2">
        <v>183</v>
      </c>
      <c r="K3217" s="2">
        <v>65.847399999999993</v>
      </c>
      <c r="L3217" s="2">
        <v>218</v>
      </c>
      <c r="M3217" s="2">
        <v>101.303</v>
      </c>
      <c r="N3217" s="2">
        <v>179</v>
      </c>
      <c r="O3217" s="2">
        <v>101.8252</v>
      </c>
      <c r="P3217" s="2">
        <v>160</v>
      </c>
      <c r="Q3217" s="2">
        <v>105.6544</v>
      </c>
      <c r="R3217" s="2">
        <v>271</v>
      </c>
      <c r="S3217" s="2">
        <v>105.6195</v>
      </c>
      <c r="T3217" s="2">
        <v>257</v>
      </c>
      <c r="U3217" s="2">
        <v>0.39634200000000003</v>
      </c>
      <c r="V3217" s="2">
        <v>204</v>
      </c>
      <c r="W3217" s="2">
        <v>2011</v>
      </c>
    </row>
    <row r="3218" spans="1:23" ht="12.3" hidden="1" x14ac:dyDescent="0.4">
      <c r="A3218" s="2" t="s">
        <v>196</v>
      </c>
      <c r="B3218" s="2"/>
      <c r="C3218" s="2"/>
      <c r="D3218" s="2"/>
      <c r="E3218" s="2"/>
      <c r="F3218" s="2"/>
      <c r="G3218" s="2"/>
      <c r="H3218" s="2"/>
      <c r="I3218" s="2">
        <v>68.650599999999997</v>
      </c>
      <c r="J3218" s="2">
        <v>80</v>
      </c>
      <c r="K3218" s="2">
        <v>69.268799999999999</v>
      </c>
      <c r="L3218" s="2">
        <v>52</v>
      </c>
      <c r="M3218" s="2">
        <v>97.753100000000003</v>
      </c>
      <c r="N3218" s="2">
        <v>250</v>
      </c>
      <c r="O3218" s="2">
        <v>97.418599999999998</v>
      </c>
      <c r="P3218" s="2">
        <v>251</v>
      </c>
      <c r="Q3218" s="2">
        <v>100.628</v>
      </c>
      <c r="R3218" s="2">
        <v>148</v>
      </c>
      <c r="S3218" s="2">
        <v>101.08029999999999</v>
      </c>
      <c r="T3218" s="2">
        <v>147</v>
      </c>
      <c r="U3218" s="2">
        <v>0.395482</v>
      </c>
      <c r="V3218" s="2">
        <v>205</v>
      </c>
      <c r="W3218" s="2">
        <v>2011</v>
      </c>
    </row>
    <row r="3219" spans="1:23" ht="12.3" hidden="1" x14ac:dyDescent="0.4">
      <c r="A3219" s="2" t="s">
        <v>291</v>
      </c>
      <c r="B3219" s="2"/>
      <c r="C3219" s="2"/>
      <c r="D3219" s="2"/>
      <c r="E3219" s="2"/>
      <c r="F3219" s="2"/>
      <c r="G3219" s="2"/>
      <c r="H3219" s="2"/>
      <c r="I3219" s="2">
        <v>68.290499999999994</v>
      </c>
      <c r="J3219" s="2">
        <v>95</v>
      </c>
      <c r="K3219" s="2">
        <v>67.914699999999996</v>
      </c>
      <c r="L3219" s="2">
        <v>105</v>
      </c>
      <c r="M3219" s="2">
        <v>100.1772</v>
      </c>
      <c r="N3219" s="2">
        <v>202</v>
      </c>
      <c r="O3219" s="2">
        <v>100.0671</v>
      </c>
      <c r="P3219" s="2">
        <v>200</v>
      </c>
      <c r="Q3219" s="2">
        <v>104.38160000000001</v>
      </c>
      <c r="R3219" s="2">
        <v>249</v>
      </c>
      <c r="S3219" s="2">
        <v>104.0463</v>
      </c>
      <c r="T3219" s="2">
        <v>225</v>
      </c>
      <c r="U3219" s="2">
        <v>0.38973099999999999</v>
      </c>
      <c r="V3219" s="2">
        <v>206</v>
      </c>
      <c r="W3219" s="2">
        <v>2011</v>
      </c>
    </row>
    <row r="3220" spans="1:23" ht="12.3" hidden="1" x14ac:dyDescent="0.4">
      <c r="A3220" s="2" t="s">
        <v>309</v>
      </c>
      <c r="B3220" s="2"/>
      <c r="C3220" s="2"/>
      <c r="D3220" s="2"/>
      <c r="E3220" s="2"/>
      <c r="F3220" s="2"/>
      <c r="G3220" s="2"/>
      <c r="H3220" s="2"/>
      <c r="I3220" s="2">
        <v>64.765299999999996</v>
      </c>
      <c r="J3220" s="2">
        <v>262</v>
      </c>
      <c r="K3220" s="2">
        <v>66.319699999999997</v>
      </c>
      <c r="L3220" s="2">
        <v>187</v>
      </c>
      <c r="M3220" s="2">
        <v>105.2504</v>
      </c>
      <c r="N3220" s="2">
        <v>89</v>
      </c>
      <c r="O3220" s="2">
        <v>103.4675</v>
      </c>
      <c r="P3220" s="2">
        <v>126</v>
      </c>
      <c r="Q3220" s="2">
        <v>103.2128</v>
      </c>
      <c r="R3220" s="2">
        <v>206</v>
      </c>
      <c r="S3220" s="2">
        <v>107.584</v>
      </c>
      <c r="T3220" s="2">
        <v>286</v>
      </c>
      <c r="U3220" s="2">
        <v>0.389679</v>
      </c>
      <c r="V3220" s="2">
        <v>207</v>
      </c>
      <c r="W3220" s="2">
        <v>2011</v>
      </c>
    </row>
    <row r="3221" spans="1:23" ht="12.3" hidden="1" x14ac:dyDescent="0.4">
      <c r="A3221" s="2" t="s">
        <v>253</v>
      </c>
      <c r="B3221" s="2"/>
      <c r="C3221" s="2"/>
      <c r="D3221" s="2"/>
      <c r="E3221" s="2"/>
      <c r="F3221" s="2"/>
      <c r="G3221" s="2"/>
      <c r="H3221" s="2"/>
      <c r="I3221" s="2">
        <v>67.858900000000006</v>
      </c>
      <c r="J3221" s="2">
        <v>122</v>
      </c>
      <c r="K3221" s="2">
        <v>66.980500000000006</v>
      </c>
      <c r="L3221" s="2">
        <v>154</v>
      </c>
      <c r="M3221" s="2">
        <v>104.9512</v>
      </c>
      <c r="N3221" s="2">
        <v>93</v>
      </c>
      <c r="O3221" s="2">
        <v>103.2822</v>
      </c>
      <c r="P3221" s="2">
        <v>131</v>
      </c>
      <c r="Q3221" s="2">
        <v>107.959</v>
      </c>
      <c r="R3221" s="2">
        <v>307</v>
      </c>
      <c r="S3221" s="2">
        <v>107.4349</v>
      </c>
      <c r="T3221" s="2">
        <v>282</v>
      </c>
      <c r="U3221" s="2">
        <v>0.388569</v>
      </c>
      <c r="V3221" s="2">
        <v>208</v>
      </c>
      <c r="W3221" s="2">
        <v>2011</v>
      </c>
    </row>
    <row r="3222" spans="1:23" ht="12.3" hidden="1" x14ac:dyDescent="0.4">
      <c r="A3222" s="2" t="s">
        <v>271</v>
      </c>
      <c r="B3222" s="2"/>
      <c r="C3222" s="2"/>
      <c r="D3222" s="2"/>
      <c r="E3222" s="2"/>
      <c r="F3222" s="2"/>
      <c r="G3222" s="2"/>
      <c r="H3222" s="2"/>
      <c r="I3222" s="2">
        <v>68.394800000000004</v>
      </c>
      <c r="J3222" s="2">
        <v>88</v>
      </c>
      <c r="K3222" s="2">
        <v>68.2547</v>
      </c>
      <c r="L3222" s="2">
        <v>85</v>
      </c>
      <c r="M3222" s="2">
        <v>102.5363</v>
      </c>
      <c r="N3222" s="2">
        <v>149</v>
      </c>
      <c r="O3222" s="2">
        <v>99.157200000000003</v>
      </c>
      <c r="P3222" s="2">
        <v>225</v>
      </c>
      <c r="Q3222" s="2">
        <v>103.5416</v>
      </c>
      <c r="R3222" s="2">
        <v>217</v>
      </c>
      <c r="S3222" s="2">
        <v>103.1849</v>
      </c>
      <c r="T3222" s="2">
        <v>210</v>
      </c>
      <c r="U3222" s="2">
        <v>0.38748899999999997</v>
      </c>
      <c r="V3222" s="2">
        <v>209</v>
      </c>
      <c r="W3222" s="2">
        <v>2011</v>
      </c>
    </row>
    <row r="3223" spans="1:23" ht="12.3" x14ac:dyDescent="0.4">
      <c r="A3223" s="2" t="s">
        <v>289</v>
      </c>
      <c r="B3223" s="2">
        <v>14</v>
      </c>
      <c r="C3223" s="4" t="s">
        <v>33</v>
      </c>
      <c r="D3223" s="2"/>
      <c r="E3223" s="2"/>
      <c r="F3223" s="2"/>
      <c r="G3223" s="2"/>
      <c r="H3223" s="2"/>
      <c r="I3223" s="2">
        <v>63.541400000000003</v>
      </c>
      <c r="J3223" s="2">
        <v>289</v>
      </c>
      <c r="K3223" s="2">
        <v>64.312700000000007</v>
      </c>
      <c r="L3223" s="2">
        <v>282</v>
      </c>
      <c r="M3223" s="2">
        <v>99.955399999999997</v>
      </c>
      <c r="N3223" s="2">
        <v>201</v>
      </c>
      <c r="O3223" s="2">
        <v>99.388199999999998</v>
      </c>
      <c r="P3223" s="2">
        <v>202</v>
      </c>
      <c r="Q3223" s="2">
        <v>91.5929</v>
      </c>
      <c r="R3223" s="2">
        <v>9</v>
      </c>
      <c r="S3223" s="2">
        <v>93.382300000000001</v>
      </c>
      <c r="T3223" s="2">
        <v>25</v>
      </c>
      <c r="U3223" s="2">
        <v>0.67190499999999997</v>
      </c>
      <c r="V3223" s="2">
        <v>93</v>
      </c>
      <c r="W3223" s="2">
        <v>2005</v>
      </c>
    </row>
    <row r="3224" spans="1:23" ht="12.3" hidden="1" x14ac:dyDescent="0.4">
      <c r="A3224" s="2" t="s">
        <v>336</v>
      </c>
      <c r="B3224" s="2"/>
      <c r="C3224" s="2"/>
      <c r="D3224" s="2"/>
      <c r="E3224" s="2"/>
      <c r="F3224" s="2"/>
      <c r="G3224" s="2"/>
      <c r="H3224" s="2"/>
      <c r="I3224" s="2">
        <v>62.5503</v>
      </c>
      <c r="J3224" s="2">
        <v>320</v>
      </c>
      <c r="K3224" s="2">
        <v>63.616300000000003</v>
      </c>
      <c r="L3224" s="2">
        <v>307</v>
      </c>
      <c r="M3224" s="2">
        <v>94.517099999999999</v>
      </c>
      <c r="N3224" s="2">
        <v>294</v>
      </c>
      <c r="O3224" s="2">
        <v>93.242400000000004</v>
      </c>
      <c r="P3224" s="2">
        <v>302</v>
      </c>
      <c r="Q3224" s="2">
        <v>95.068700000000007</v>
      </c>
      <c r="R3224" s="2">
        <v>36</v>
      </c>
      <c r="S3224" s="2">
        <v>97.153800000000004</v>
      </c>
      <c r="T3224" s="2">
        <v>69</v>
      </c>
      <c r="U3224" s="2">
        <v>0.38400899999999999</v>
      </c>
      <c r="V3224" s="2">
        <v>211</v>
      </c>
      <c r="W3224" s="2">
        <v>2011</v>
      </c>
    </row>
    <row r="3225" spans="1:23" ht="12.3" x14ac:dyDescent="0.4">
      <c r="A3225" s="2" t="s">
        <v>240</v>
      </c>
      <c r="B3225" s="2">
        <v>14</v>
      </c>
      <c r="C3225" s="2"/>
      <c r="D3225" s="2"/>
      <c r="E3225" s="2"/>
      <c r="F3225" s="2"/>
      <c r="G3225" s="2"/>
      <c r="H3225" s="2"/>
      <c r="I3225" s="2">
        <v>63.475099999999998</v>
      </c>
      <c r="J3225" s="2">
        <v>292</v>
      </c>
      <c r="K3225" s="2">
        <v>63.685899999999997</v>
      </c>
      <c r="L3225" s="2">
        <v>292</v>
      </c>
      <c r="M3225" s="2">
        <v>104.51430000000001</v>
      </c>
      <c r="N3225" s="2">
        <v>102</v>
      </c>
      <c r="O3225" s="2">
        <v>101.04430000000001</v>
      </c>
      <c r="P3225" s="2">
        <v>171</v>
      </c>
      <c r="Q3225" s="2">
        <v>92.059899999999999</v>
      </c>
      <c r="R3225" s="2">
        <v>13</v>
      </c>
      <c r="S3225" s="2">
        <v>95.291300000000007</v>
      </c>
      <c r="T3225" s="2">
        <v>43</v>
      </c>
      <c r="U3225" s="2">
        <v>0.66242699999999999</v>
      </c>
      <c r="V3225" s="2">
        <v>97</v>
      </c>
      <c r="W3225" s="2">
        <v>2005</v>
      </c>
    </row>
    <row r="3226" spans="1:23" ht="12.3" hidden="1" x14ac:dyDescent="0.4">
      <c r="A3226" s="2" t="s">
        <v>286</v>
      </c>
      <c r="B3226" s="2"/>
      <c r="C3226" s="2"/>
      <c r="D3226" s="2"/>
      <c r="E3226" s="2"/>
      <c r="F3226" s="2"/>
      <c r="G3226" s="2"/>
      <c r="H3226" s="2"/>
      <c r="I3226" s="2">
        <v>58.786999999999999</v>
      </c>
      <c r="J3226" s="2">
        <v>344</v>
      </c>
      <c r="K3226" s="2">
        <v>57.914000000000001</v>
      </c>
      <c r="L3226" s="2">
        <v>344</v>
      </c>
      <c r="M3226" s="2">
        <v>100.6999</v>
      </c>
      <c r="N3226" s="2">
        <v>194</v>
      </c>
      <c r="O3226" s="2">
        <v>97.411199999999994</v>
      </c>
      <c r="P3226" s="2">
        <v>252</v>
      </c>
      <c r="Q3226" s="2">
        <v>101.4379</v>
      </c>
      <c r="R3226" s="2">
        <v>174</v>
      </c>
      <c r="S3226" s="2">
        <v>101.5561</v>
      </c>
      <c r="T3226" s="2">
        <v>161</v>
      </c>
      <c r="U3226" s="2">
        <v>0.38244</v>
      </c>
      <c r="V3226" s="2">
        <v>213</v>
      </c>
      <c r="W3226" s="2">
        <v>2011</v>
      </c>
    </row>
    <row r="3227" spans="1:23" ht="12.3" hidden="1" x14ac:dyDescent="0.4">
      <c r="A3227" s="2" t="s">
        <v>178</v>
      </c>
      <c r="B3227" s="2"/>
      <c r="C3227" s="2"/>
      <c r="D3227" s="2"/>
      <c r="E3227" s="2"/>
      <c r="F3227" s="2"/>
      <c r="G3227" s="2"/>
      <c r="H3227" s="2"/>
      <c r="I3227" s="2">
        <v>65.965900000000005</v>
      </c>
      <c r="J3227" s="2">
        <v>213</v>
      </c>
      <c r="K3227" s="2">
        <v>66.1173</v>
      </c>
      <c r="L3227" s="2">
        <v>203</v>
      </c>
      <c r="M3227" s="2">
        <v>100.7911</v>
      </c>
      <c r="N3227" s="2">
        <v>192</v>
      </c>
      <c r="O3227" s="2">
        <v>100.62009999999999</v>
      </c>
      <c r="P3227" s="2">
        <v>190</v>
      </c>
      <c r="Q3227" s="2">
        <v>103.7334</v>
      </c>
      <c r="R3227" s="2">
        <v>225</v>
      </c>
      <c r="S3227" s="2">
        <v>105.01349999999999</v>
      </c>
      <c r="T3227" s="2">
        <v>243</v>
      </c>
      <c r="U3227" s="2">
        <v>0.37954700000000002</v>
      </c>
      <c r="V3227" s="2">
        <v>214</v>
      </c>
      <c r="W3227" s="2">
        <v>2011</v>
      </c>
    </row>
    <row r="3228" spans="1:23" ht="12.3" hidden="1" x14ac:dyDescent="0.4">
      <c r="A3228" s="2" t="s">
        <v>363</v>
      </c>
      <c r="B3228" s="2"/>
      <c r="C3228" s="2"/>
      <c r="D3228" s="2"/>
      <c r="E3228" s="2"/>
      <c r="F3228" s="2"/>
      <c r="G3228" s="2"/>
      <c r="H3228" s="2"/>
      <c r="I3228" s="2">
        <v>67.7727</v>
      </c>
      <c r="J3228" s="2">
        <v>128</v>
      </c>
      <c r="K3228" s="2">
        <v>66.877600000000001</v>
      </c>
      <c r="L3228" s="2">
        <v>160</v>
      </c>
      <c r="M3228" s="2">
        <v>94.93</v>
      </c>
      <c r="N3228" s="2">
        <v>290</v>
      </c>
      <c r="O3228" s="2">
        <v>98.030500000000004</v>
      </c>
      <c r="P3228" s="2">
        <v>243</v>
      </c>
      <c r="Q3228" s="2">
        <v>104.05070000000001</v>
      </c>
      <c r="R3228" s="2">
        <v>236</v>
      </c>
      <c r="S3228" s="2">
        <v>102.5091</v>
      </c>
      <c r="T3228" s="2">
        <v>192</v>
      </c>
      <c r="U3228" s="2">
        <v>0.37431700000000001</v>
      </c>
      <c r="V3228" s="2">
        <v>215</v>
      </c>
      <c r="W3228" s="2">
        <v>2011</v>
      </c>
    </row>
    <row r="3229" spans="1:23" ht="12.3" hidden="1" x14ac:dyDescent="0.4">
      <c r="A3229" s="2" t="s">
        <v>205</v>
      </c>
      <c r="B3229" s="2"/>
      <c r="C3229" s="2"/>
      <c r="D3229" s="2"/>
      <c r="E3229" s="2"/>
      <c r="F3229" s="2"/>
      <c r="G3229" s="2"/>
      <c r="H3229" s="2"/>
      <c r="I3229" s="2">
        <v>65.42</v>
      </c>
      <c r="J3229" s="2">
        <v>240</v>
      </c>
      <c r="K3229" s="2">
        <v>66.101200000000006</v>
      </c>
      <c r="L3229" s="2">
        <v>206</v>
      </c>
      <c r="M3229" s="2">
        <v>98.127099999999999</v>
      </c>
      <c r="N3229" s="2">
        <v>242</v>
      </c>
      <c r="O3229" s="2">
        <v>99.481200000000001</v>
      </c>
      <c r="P3229" s="2">
        <v>214</v>
      </c>
      <c r="Q3229" s="2">
        <v>103.1915</v>
      </c>
      <c r="R3229" s="2">
        <v>205</v>
      </c>
      <c r="S3229" s="2">
        <v>104.05670000000001</v>
      </c>
      <c r="T3229" s="2">
        <v>226</v>
      </c>
      <c r="U3229" s="2">
        <v>0.373527</v>
      </c>
      <c r="V3229" s="2">
        <v>216</v>
      </c>
      <c r="W3229" s="2">
        <v>2011</v>
      </c>
    </row>
    <row r="3230" spans="1:23" ht="12.3" hidden="1" x14ac:dyDescent="0.4">
      <c r="A3230" s="2" t="s">
        <v>282</v>
      </c>
      <c r="B3230" s="2"/>
      <c r="C3230" s="2"/>
      <c r="D3230" s="2"/>
      <c r="E3230" s="2"/>
      <c r="F3230" s="2"/>
      <c r="G3230" s="2"/>
      <c r="H3230" s="2"/>
      <c r="I3230" s="2">
        <v>61.8504</v>
      </c>
      <c r="J3230" s="2">
        <v>331</v>
      </c>
      <c r="K3230" s="2">
        <v>60.351900000000001</v>
      </c>
      <c r="L3230" s="2">
        <v>343</v>
      </c>
      <c r="M3230" s="2">
        <v>100.0189</v>
      </c>
      <c r="N3230" s="2">
        <v>204</v>
      </c>
      <c r="O3230" s="2">
        <v>95.162099999999995</v>
      </c>
      <c r="P3230" s="2">
        <v>284</v>
      </c>
      <c r="Q3230" s="2">
        <v>93.573099999999997</v>
      </c>
      <c r="R3230" s="2">
        <v>23</v>
      </c>
      <c r="S3230" s="2">
        <v>99.616699999999994</v>
      </c>
      <c r="T3230" s="2">
        <v>117</v>
      </c>
      <c r="U3230" s="2">
        <v>0.37142500000000001</v>
      </c>
      <c r="V3230" s="2">
        <v>217</v>
      </c>
      <c r="W3230" s="2">
        <v>2011</v>
      </c>
    </row>
    <row r="3231" spans="1:23" ht="12.3" hidden="1" x14ac:dyDescent="0.4">
      <c r="A3231" s="2" t="s">
        <v>305</v>
      </c>
      <c r="B3231" s="2"/>
      <c r="C3231" s="2"/>
      <c r="D3231" s="2"/>
      <c r="E3231" s="2"/>
      <c r="F3231" s="2"/>
      <c r="G3231" s="2"/>
      <c r="H3231" s="2"/>
      <c r="I3231" s="2">
        <v>67.205600000000004</v>
      </c>
      <c r="J3231" s="2">
        <v>158</v>
      </c>
      <c r="K3231" s="2">
        <v>67.199799999999996</v>
      </c>
      <c r="L3231" s="2">
        <v>142</v>
      </c>
      <c r="M3231" s="2">
        <v>102.39530000000001</v>
      </c>
      <c r="N3231" s="2">
        <v>153</v>
      </c>
      <c r="O3231" s="2">
        <v>101.37609999999999</v>
      </c>
      <c r="P3231" s="2">
        <v>178</v>
      </c>
      <c r="Q3231" s="2">
        <v>102.8978</v>
      </c>
      <c r="R3231" s="2">
        <v>202</v>
      </c>
      <c r="S3231" s="2">
        <v>106.2364</v>
      </c>
      <c r="T3231" s="2">
        <v>265</v>
      </c>
      <c r="U3231" s="2">
        <v>0.36852800000000002</v>
      </c>
      <c r="V3231" s="2">
        <v>218</v>
      </c>
      <c r="W3231" s="2">
        <v>2011</v>
      </c>
    </row>
    <row r="3232" spans="1:23" ht="12.3" hidden="1" x14ac:dyDescent="0.4">
      <c r="A3232" s="2" t="s">
        <v>110</v>
      </c>
      <c r="B3232" s="2"/>
      <c r="C3232" s="2"/>
      <c r="D3232" s="2"/>
      <c r="E3232" s="2"/>
      <c r="F3232" s="2"/>
      <c r="G3232" s="2"/>
      <c r="H3232" s="2"/>
      <c r="I3232" s="2">
        <v>71.581299999999999</v>
      </c>
      <c r="J3232" s="2">
        <v>22</v>
      </c>
      <c r="K3232" s="2">
        <v>71.042599999999993</v>
      </c>
      <c r="L3232" s="2">
        <v>25</v>
      </c>
      <c r="M3232" s="2">
        <v>101.3407</v>
      </c>
      <c r="N3232" s="2">
        <v>176</v>
      </c>
      <c r="O3232" s="2">
        <v>101.1751</v>
      </c>
      <c r="P3232" s="2">
        <v>181</v>
      </c>
      <c r="Q3232" s="2">
        <v>103.8481</v>
      </c>
      <c r="R3232" s="2">
        <v>230</v>
      </c>
      <c r="S3232" s="2">
        <v>106.12609999999999</v>
      </c>
      <c r="T3232" s="2">
        <v>262</v>
      </c>
      <c r="U3232" s="2">
        <v>0.36599900000000002</v>
      </c>
      <c r="V3232" s="2">
        <v>219</v>
      </c>
      <c r="W3232" s="2">
        <v>2011</v>
      </c>
    </row>
    <row r="3233" spans="1:23" ht="12.3" hidden="1" x14ac:dyDescent="0.4">
      <c r="A3233" s="2" t="s">
        <v>240</v>
      </c>
      <c r="B3233" s="2"/>
      <c r="C3233" s="2"/>
      <c r="D3233" s="2"/>
      <c r="E3233" s="2"/>
      <c r="F3233" s="2"/>
      <c r="G3233" s="2"/>
      <c r="H3233" s="2"/>
      <c r="I3233" s="2">
        <v>67.252799999999993</v>
      </c>
      <c r="J3233" s="2">
        <v>153</v>
      </c>
      <c r="K3233" s="2">
        <v>66.012200000000007</v>
      </c>
      <c r="L3233" s="2">
        <v>210</v>
      </c>
      <c r="M3233" s="2">
        <v>95.367500000000007</v>
      </c>
      <c r="N3233" s="2">
        <v>285</v>
      </c>
      <c r="O3233" s="2">
        <v>94.965900000000005</v>
      </c>
      <c r="P3233" s="2">
        <v>287</v>
      </c>
      <c r="Q3233" s="2">
        <v>98.557100000000005</v>
      </c>
      <c r="R3233" s="2">
        <v>95</v>
      </c>
      <c r="S3233" s="2">
        <v>99.63</v>
      </c>
      <c r="T3233" s="2">
        <v>118</v>
      </c>
      <c r="U3233" s="2">
        <v>0.36554700000000001</v>
      </c>
      <c r="V3233" s="2">
        <v>220</v>
      </c>
      <c r="W3233" s="2">
        <v>2011</v>
      </c>
    </row>
    <row r="3234" spans="1:23" ht="12.3" hidden="1" x14ac:dyDescent="0.4">
      <c r="A3234" s="2" t="s">
        <v>68</v>
      </c>
      <c r="B3234" s="2"/>
      <c r="C3234" s="2"/>
      <c r="D3234" s="2"/>
      <c r="E3234" s="2"/>
      <c r="F3234" s="2"/>
      <c r="G3234" s="2"/>
      <c r="H3234" s="2"/>
      <c r="I3234" s="2">
        <v>69.155000000000001</v>
      </c>
      <c r="J3234" s="2">
        <v>64</v>
      </c>
      <c r="K3234" s="2">
        <v>68.211699999999993</v>
      </c>
      <c r="L3234" s="2">
        <v>88</v>
      </c>
      <c r="M3234" s="2">
        <v>100.4768</v>
      </c>
      <c r="N3234" s="2">
        <v>198</v>
      </c>
      <c r="O3234" s="2">
        <v>98.822199999999995</v>
      </c>
      <c r="P3234" s="2">
        <v>229</v>
      </c>
      <c r="Q3234" s="2">
        <v>101.39449999999999</v>
      </c>
      <c r="R3234" s="2">
        <v>172</v>
      </c>
      <c r="S3234" s="2">
        <v>103.71939999999999</v>
      </c>
      <c r="T3234" s="2">
        <v>214</v>
      </c>
      <c r="U3234" s="2">
        <v>0.36442099999999999</v>
      </c>
      <c r="V3234" s="2">
        <v>221</v>
      </c>
      <c r="W3234" s="2">
        <v>2011</v>
      </c>
    </row>
    <row r="3235" spans="1:23" ht="12.3" hidden="1" x14ac:dyDescent="0.4">
      <c r="A3235" s="2" t="s">
        <v>198</v>
      </c>
      <c r="B3235" s="2"/>
      <c r="C3235" s="2"/>
      <c r="D3235" s="2"/>
      <c r="E3235" s="2"/>
      <c r="F3235" s="2"/>
      <c r="G3235" s="2"/>
      <c r="H3235" s="2"/>
      <c r="I3235" s="2">
        <v>69.278300000000002</v>
      </c>
      <c r="J3235" s="2">
        <v>57</v>
      </c>
      <c r="K3235" s="2">
        <v>69.010900000000007</v>
      </c>
      <c r="L3235" s="2">
        <v>60</v>
      </c>
      <c r="M3235" s="2">
        <v>99.051900000000003</v>
      </c>
      <c r="N3235" s="2">
        <v>224</v>
      </c>
      <c r="O3235" s="2">
        <v>99.026300000000006</v>
      </c>
      <c r="P3235" s="2">
        <v>227</v>
      </c>
      <c r="Q3235" s="2">
        <v>104.21429999999999</v>
      </c>
      <c r="R3235" s="2">
        <v>245</v>
      </c>
      <c r="S3235" s="2">
        <v>103.9404</v>
      </c>
      <c r="T3235" s="2">
        <v>221</v>
      </c>
      <c r="U3235" s="2">
        <v>0.36424800000000002</v>
      </c>
      <c r="V3235" s="2">
        <v>222</v>
      </c>
      <c r="W3235" s="2">
        <v>2011</v>
      </c>
    </row>
    <row r="3236" spans="1:23" ht="12.3" hidden="1" x14ac:dyDescent="0.4">
      <c r="A3236" s="2" t="s">
        <v>83</v>
      </c>
      <c r="B3236" s="2"/>
      <c r="C3236" s="2"/>
      <c r="D3236" s="2"/>
      <c r="E3236" s="2"/>
      <c r="F3236" s="2"/>
      <c r="G3236" s="2"/>
      <c r="H3236" s="2"/>
      <c r="I3236" s="2">
        <v>61.977800000000002</v>
      </c>
      <c r="J3236" s="2">
        <v>329</v>
      </c>
      <c r="K3236" s="2">
        <v>63.424700000000001</v>
      </c>
      <c r="L3236" s="2">
        <v>311</v>
      </c>
      <c r="M3236" s="2">
        <v>100.767</v>
      </c>
      <c r="N3236" s="2">
        <v>193</v>
      </c>
      <c r="O3236" s="2">
        <v>99.615300000000005</v>
      </c>
      <c r="P3236" s="2">
        <v>210</v>
      </c>
      <c r="Q3236" s="2">
        <v>105.1275</v>
      </c>
      <c r="R3236" s="2">
        <v>261</v>
      </c>
      <c r="S3236" s="2">
        <v>104.5792</v>
      </c>
      <c r="T3236" s="2">
        <v>238</v>
      </c>
      <c r="U3236" s="2">
        <v>0.36372500000000002</v>
      </c>
      <c r="V3236" s="2">
        <v>223</v>
      </c>
      <c r="W3236" s="2">
        <v>2011</v>
      </c>
    </row>
    <row r="3237" spans="1:23" ht="12.3" hidden="1" x14ac:dyDescent="0.4">
      <c r="A3237" s="2" t="s">
        <v>215</v>
      </c>
      <c r="B3237" s="2"/>
      <c r="C3237" s="2"/>
      <c r="D3237" s="2"/>
      <c r="E3237" s="2"/>
      <c r="F3237" s="2"/>
      <c r="G3237" s="2"/>
      <c r="H3237" s="2"/>
      <c r="I3237" s="2">
        <v>67.890799999999999</v>
      </c>
      <c r="J3237" s="2">
        <v>116</v>
      </c>
      <c r="K3237" s="2">
        <v>68.207400000000007</v>
      </c>
      <c r="L3237" s="2">
        <v>89</v>
      </c>
      <c r="M3237" s="2">
        <v>97.912599999999998</v>
      </c>
      <c r="N3237" s="2">
        <v>248</v>
      </c>
      <c r="O3237" s="2">
        <v>99.2821</v>
      </c>
      <c r="P3237" s="2">
        <v>222</v>
      </c>
      <c r="Q3237" s="2">
        <v>102.2214</v>
      </c>
      <c r="R3237" s="2">
        <v>191</v>
      </c>
      <c r="S3237" s="2">
        <v>104.25920000000001</v>
      </c>
      <c r="T3237" s="2">
        <v>233</v>
      </c>
      <c r="U3237" s="2">
        <v>0.36296400000000001</v>
      </c>
      <c r="V3237" s="2">
        <v>224</v>
      </c>
      <c r="W3237" s="2">
        <v>2011</v>
      </c>
    </row>
    <row r="3238" spans="1:23" ht="12.3" hidden="1" x14ac:dyDescent="0.4">
      <c r="A3238" s="2" t="s">
        <v>257</v>
      </c>
      <c r="B3238" s="2"/>
      <c r="C3238" s="2"/>
      <c r="D3238" s="2"/>
      <c r="E3238" s="2"/>
      <c r="F3238" s="2"/>
      <c r="G3238" s="2"/>
      <c r="H3238" s="2"/>
      <c r="I3238" s="2">
        <v>63.3324</v>
      </c>
      <c r="J3238" s="2">
        <v>307</v>
      </c>
      <c r="K3238" s="2">
        <v>64.626199999999997</v>
      </c>
      <c r="L3238" s="2">
        <v>267</v>
      </c>
      <c r="M3238" s="2">
        <v>99.922600000000003</v>
      </c>
      <c r="N3238" s="2">
        <v>205</v>
      </c>
      <c r="O3238" s="2">
        <v>101.6241</v>
      </c>
      <c r="P3238" s="2">
        <v>171</v>
      </c>
      <c r="Q3238" s="2">
        <v>108.14409999999999</v>
      </c>
      <c r="R3238" s="2">
        <v>313</v>
      </c>
      <c r="S3238" s="2">
        <v>106.78789999999999</v>
      </c>
      <c r="T3238" s="2">
        <v>272</v>
      </c>
      <c r="U3238" s="2">
        <v>0.36124000000000001</v>
      </c>
      <c r="V3238" s="2">
        <v>225</v>
      </c>
      <c r="W3238" s="2">
        <v>2011</v>
      </c>
    </row>
    <row r="3239" spans="1:23" ht="12.3" hidden="1" x14ac:dyDescent="0.4">
      <c r="A3239" s="2" t="s">
        <v>63</v>
      </c>
      <c r="B3239" s="2"/>
      <c r="C3239" s="2"/>
      <c r="D3239" s="2"/>
      <c r="E3239" s="2"/>
      <c r="F3239" s="2"/>
      <c r="G3239" s="2"/>
      <c r="H3239" s="2"/>
      <c r="I3239" s="2">
        <v>65.584199999999996</v>
      </c>
      <c r="J3239" s="2">
        <v>231</v>
      </c>
      <c r="K3239" s="2">
        <v>65.392799999999994</v>
      </c>
      <c r="L3239" s="2">
        <v>240</v>
      </c>
      <c r="M3239" s="2">
        <v>97.393000000000001</v>
      </c>
      <c r="N3239" s="2">
        <v>257</v>
      </c>
      <c r="O3239" s="2">
        <v>98.832999999999998</v>
      </c>
      <c r="P3239" s="2">
        <v>228</v>
      </c>
      <c r="Q3239" s="2">
        <v>104.0287</v>
      </c>
      <c r="R3239" s="2">
        <v>235</v>
      </c>
      <c r="S3239" s="2">
        <v>103.94670000000001</v>
      </c>
      <c r="T3239" s="2">
        <v>223</v>
      </c>
      <c r="U3239" s="2">
        <v>0.3589</v>
      </c>
      <c r="V3239" s="2">
        <v>226</v>
      </c>
      <c r="W3239" s="2">
        <v>2011</v>
      </c>
    </row>
    <row r="3240" spans="1:23" ht="12.3" hidden="1" x14ac:dyDescent="0.4">
      <c r="A3240" s="2" t="s">
        <v>117</v>
      </c>
      <c r="B3240" s="2"/>
      <c r="C3240" s="2"/>
      <c r="D3240" s="2"/>
      <c r="E3240" s="2"/>
      <c r="F3240" s="2"/>
      <c r="G3240" s="2"/>
      <c r="H3240" s="2"/>
      <c r="I3240" s="2">
        <v>69.025099999999995</v>
      </c>
      <c r="J3240" s="2">
        <v>71</v>
      </c>
      <c r="K3240" s="2">
        <v>69.037199999999999</v>
      </c>
      <c r="L3240" s="2">
        <v>59</v>
      </c>
      <c r="M3240" s="2">
        <v>99.831800000000001</v>
      </c>
      <c r="N3240" s="2">
        <v>209</v>
      </c>
      <c r="O3240" s="2">
        <v>97.896199999999993</v>
      </c>
      <c r="P3240" s="2">
        <v>245</v>
      </c>
      <c r="Q3240" s="2">
        <v>101.7525</v>
      </c>
      <c r="R3240" s="2">
        <v>180</v>
      </c>
      <c r="S3240" s="2">
        <v>103.09520000000001</v>
      </c>
      <c r="T3240" s="2">
        <v>207</v>
      </c>
      <c r="U3240" s="2">
        <v>0.35547400000000001</v>
      </c>
      <c r="V3240" s="2">
        <v>227</v>
      </c>
      <c r="W3240" s="2">
        <v>2011</v>
      </c>
    </row>
    <row r="3241" spans="1:23" ht="12.3" hidden="1" x14ac:dyDescent="0.4">
      <c r="A3241" s="2" t="s">
        <v>130</v>
      </c>
      <c r="B3241" s="2"/>
      <c r="C3241" s="2"/>
      <c r="D3241" s="2"/>
      <c r="E3241" s="2"/>
      <c r="F3241" s="2"/>
      <c r="G3241" s="2"/>
      <c r="H3241" s="2"/>
      <c r="I3241" s="2">
        <v>66.649799999999999</v>
      </c>
      <c r="J3241" s="2">
        <v>178</v>
      </c>
      <c r="K3241" s="2">
        <v>66.940100000000001</v>
      </c>
      <c r="L3241" s="2">
        <v>158</v>
      </c>
      <c r="M3241" s="2">
        <v>99.214500000000001</v>
      </c>
      <c r="N3241" s="2">
        <v>220</v>
      </c>
      <c r="O3241" s="2">
        <v>99.778899999999993</v>
      </c>
      <c r="P3241" s="2">
        <v>206</v>
      </c>
      <c r="Q3241" s="2">
        <v>104.4571</v>
      </c>
      <c r="R3241" s="2">
        <v>251</v>
      </c>
      <c r="S3241" s="2">
        <v>105.1254</v>
      </c>
      <c r="T3241" s="2">
        <v>245</v>
      </c>
      <c r="U3241" s="2">
        <v>0.35428100000000001</v>
      </c>
      <c r="V3241" s="2">
        <v>228</v>
      </c>
      <c r="W3241" s="2">
        <v>2011</v>
      </c>
    </row>
    <row r="3242" spans="1:23" ht="12.3" hidden="1" x14ac:dyDescent="0.4">
      <c r="A3242" s="2" t="s">
        <v>93</v>
      </c>
      <c r="B3242" s="2"/>
      <c r="C3242" s="2"/>
      <c r="D3242" s="2"/>
      <c r="E3242" s="2"/>
      <c r="F3242" s="2"/>
      <c r="G3242" s="2"/>
      <c r="H3242" s="2"/>
      <c r="I3242" s="2">
        <v>67.7547</v>
      </c>
      <c r="J3242" s="2">
        <v>130</v>
      </c>
      <c r="K3242" s="2">
        <v>68.137900000000002</v>
      </c>
      <c r="L3242" s="2">
        <v>92</v>
      </c>
      <c r="M3242" s="2">
        <v>95.433899999999994</v>
      </c>
      <c r="N3242" s="2">
        <v>283</v>
      </c>
      <c r="O3242" s="2">
        <v>96.729299999999995</v>
      </c>
      <c r="P3242" s="2">
        <v>262</v>
      </c>
      <c r="Q3242" s="2">
        <v>105.1737</v>
      </c>
      <c r="R3242" s="2">
        <v>262</v>
      </c>
      <c r="S3242" s="2">
        <v>101.92789999999999</v>
      </c>
      <c r="T3242" s="2">
        <v>172</v>
      </c>
      <c r="U3242" s="2">
        <v>0.353883</v>
      </c>
      <c r="V3242" s="2">
        <v>229</v>
      </c>
      <c r="W3242" s="2">
        <v>2011</v>
      </c>
    </row>
    <row r="3243" spans="1:23" ht="12.3" hidden="1" x14ac:dyDescent="0.4">
      <c r="A3243" s="2" t="s">
        <v>79</v>
      </c>
      <c r="B3243" s="2"/>
      <c r="C3243" s="2"/>
      <c r="D3243" s="2"/>
      <c r="E3243" s="2"/>
      <c r="F3243" s="2"/>
      <c r="G3243" s="2"/>
      <c r="H3243" s="2"/>
      <c r="I3243" s="2">
        <v>67.328999999999994</v>
      </c>
      <c r="J3243" s="2">
        <v>149</v>
      </c>
      <c r="K3243" s="2">
        <v>67.365399999999994</v>
      </c>
      <c r="L3243" s="2">
        <v>133</v>
      </c>
      <c r="M3243" s="2">
        <v>101.4389</v>
      </c>
      <c r="N3243" s="2">
        <v>174</v>
      </c>
      <c r="O3243" s="2">
        <v>102.7058</v>
      </c>
      <c r="P3243" s="2">
        <v>146</v>
      </c>
      <c r="Q3243" s="2">
        <v>109.3646</v>
      </c>
      <c r="R3243" s="2">
        <v>321</v>
      </c>
      <c r="S3243" s="2">
        <v>108.2838</v>
      </c>
      <c r="T3243" s="2">
        <v>300</v>
      </c>
      <c r="U3243" s="2">
        <v>0.35247099999999998</v>
      </c>
      <c r="V3243" s="2">
        <v>230</v>
      </c>
      <c r="W3243" s="2">
        <v>2011</v>
      </c>
    </row>
    <row r="3244" spans="1:23" ht="12.3" hidden="1" x14ac:dyDescent="0.4">
      <c r="A3244" s="2" t="s">
        <v>346</v>
      </c>
      <c r="B3244" s="2"/>
      <c r="C3244" s="2"/>
      <c r="D3244" s="2"/>
      <c r="E3244" s="2"/>
      <c r="F3244" s="2"/>
      <c r="G3244" s="2"/>
      <c r="H3244" s="2"/>
      <c r="I3244" s="2">
        <v>66.406400000000005</v>
      </c>
      <c r="J3244" s="2">
        <v>186</v>
      </c>
      <c r="K3244" s="2">
        <v>65.742099999999994</v>
      </c>
      <c r="L3244" s="2">
        <v>225</v>
      </c>
      <c r="M3244" s="2">
        <v>97.785399999999996</v>
      </c>
      <c r="N3244" s="2">
        <v>249</v>
      </c>
      <c r="O3244" s="2">
        <v>96.670299999999997</v>
      </c>
      <c r="P3244" s="2">
        <v>263</v>
      </c>
      <c r="Q3244" s="2">
        <v>99.325900000000004</v>
      </c>
      <c r="R3244" s="2">
        <v>107</v>
      </c>
      <c r="S3244" s="2">
        <v>102.0641</v>
      </c>
      <c r="T3244" s="2">
        <v>177</v>
      </c>
      <c r="U3244" s="2">
        <v>0.34878199999999998</v>
      </c>
      <c r="V3244" s="2">
        <v>231</v>
      </c>
      <c r="W3244" s="2">
        <v>2011</v>
      </c>
    </row>
    <row r="3245" spans="1:23" ht="12.3" hidden="1" x14ac:dyDescent="0.4">
      <c r="A3245" s="2" t="s">
        <v>113</v>
      </c>
      <c r="B3245" s="2"/>
      <c r="C3245" s="2"/>
      <c r="D3245" s="2"/>
      <c r="E3245" s="2"/>
      <c r="F3245" s="2"/>
      <c r="G3245" s="2"/>
      <c r="H3245" s="2"/>
      <c r="I3245" s="2">
        <v>65.434299999999993</v>
      </c>
      <c r="J3245" s="2">
        <v>238</v>
      </c>
      <c r="K3245" s="2">
        <v>65.851299999999995</v>
      </c>
      <c r="L3245" s="2">
        <v>217</v>
      </c>
      <c r="M3245" s="2">
        <v>93.2149</v>
      </c>
      <c r="N3245" s="2">
        <v>304</v>
      </c>
      <c r="O3245" s="2">
        <v>94.777799999999999</v>
      </c>
      <c r="P3245" s="2">
        <v>288</v>
      </c>
      <c r="Q3245" s="2">
        <v>100.74809999999999</v>
      </c>
      <c r="R3245" s="2">
        <v>151</v>
      </c>
      <c r="S3245" s="2">
        <v>100.20610000000001</v>
      </c>
      <c r="T3245" s="2">
        <v>127</v>
      </c>
      <c r="U3245" s="2">
        <v>0.345138</v>
      </c>
      <c r="V3245" s="2">
        <v>232</v>
      </c>
      <c r="W3245" s="2">
        <v>2011</v>
      </c>
    </row>
    <row r="3246" spans="1:23" ht="12.3" hidden="1" x14ac:dyDescent="0.4">
      <c r="A3246" s="2" t="s">
        <v>152</v>
      </c>
      <c r="B3246" s="2"/>
      <c r="C3246" s="2"/>
      <c r="D3246" s="2"/>
      <c r="E3246" s="2"/>
      <c r="F3246" s="2"/>
      <c r="G3246" s="2"/>
      <c r="H3246" s="2"/>
      <c r="I3246" s="2">
        <v>63.824599999999997</v>
      </c>
      <c r="J3246" s="2">
        <v>298</v>
      </c>
      <c r="K3246" s="2">
        <v>64.376499999999993</v>
      </c>
      <c r="L3246" s="2">
        <v>279</v>
      </c>
      <c r="M3246" s="2">
        <v>94.936499999999995</v>
      </c>
      <c r="N3246" s="2">
        <v>289</v>
      </c>
      <c r="O3246" s="2">
        <v>92.8767</v>
      </c>
      <c r="P3246" s="2">
        <v>306</v>
      </c>
      <c r="Q3246" s="2">
        <v>98.709400000000002</v>
      </c>
      <c r="R3246" s="2">
        <v>100</v>
      </c>
      <c r="S3246" s="2">
        <v>98.2179</v>
      </c>
      <c r="T3246" s="2">
        <v>93</v>
      </c>
      <c r="U3246" s="2">
        <v>0.34455999999999998</v>
      </c>
      <c r="V3246" s="2">
        <v>233</v>
      </c>
      <c r="W3246" s="2">
        <v>2011</v>
      </c>
    </row>
    <row r="3247" spans="1:23" ht="12.3" hidden="1" x14ac:dyDescent="0.4">
      <c r="A3247" s="2" t="s">
        <v>233</v>
      </c>
      <c r="B3247" s="2"/>
      <c r="C3247" s="2"/>
      <c r="D3247" s="2"/>
      <c r="E3247" s="2"/>
      <c r="F3247" s="2"/>
      <c r="G3247" s="2"/>
      <c r="H3247" s="2"/>
      <c r="I3247" s="2">
        <v>69.006</v>
      </c>
      <c r="J3247" s="2">
        <v>72</v>
      </c>
      <c r="K3247" s="2">
        <v>70.002300000000005</v>
      </c>
      <c r="L3247" s="2">
        <v>40</v>
      </c>
      <c r="M3247" s="2">
        <v>102.0607</v>
      </c>
      <c r="N3247" s="2">
        <v>157</v>
      </c>
      <c r="O3247" s="2">
        <v>101.2966</v>
      </c>
      <c r="P3247" s="2">
        <v>180</v>
      </c>
      <c r="Q3247" s="2">
        <v>106.5819</v>
      </c>
      <c r="R3247" s="2">
        <v>286</v>
      </c>
      <c r="S3247" s="2">
        <v>107.2799</v>
      </c>
      <c r="T3247" s="2">
        <v>278</v>
      </c>
      <c r="U3247" s="2">
        <v>0.340748</v>
      </c>
      <c r="V3247" s="2">
        <v>234</v>
      </c>
      <c r="W3247" s="2">
        <v>2011</v>
      </c>
    </row>
    <row r="3248" spans="1:23" ht="12.3" hidden="1" x14ac:dyDescent="0.4">
      <c r="A3248" s="2" t="s">
        <v>347</v>
      </c>
      <c r="B3248" s="2"/>
      <c r="C3248" s="2"/>
      <c r="D3248" s="2"/>
      <c r="E3248" s="2"/>
      <c r="F3248" s="2"/>
      <c r="G3248" s="2"/>
      <c r="H3248" s="2"/>
      <c r="I3248" s="2">
        <v>62.3416</v>
      </c>
      <c r="J3248" s="2">
        <v>322</v>
      </c>
      <c r="K3248" s="2">
        <v>61.241</v>
      </c>
      <c r="L3248" s="2">
        <v>336</v>
      </c>
      <c r="M3248" s="2">
        <v>98.621700000000004</v>
      </c>
      <c r="N3248" s="2">
        <v>231</v>
      </c>
      <c r="O3248" s="2">
        <v>95.645399999999995</v>
      </c>
      <c r="P3248" s="2">
        <v>277</v>
      </c>
      <c r="Q3248" s="2">
        <v>100.42010000000001</v>
      </c>
      <c r="R3248" s="2">
        <v>139</v>
      </c>
      <c r="S3248" s="2">
        <v>101.3653</v>
      </c>
      <c r="T3248" s="2">
        <v>156</v>
      </c>
      <c r="U3248" s="2">
        <v>0.338953</v>
      </c>
      <c r="V3248" s="2">
        <v>235</v>
      </c>
      <c r="W3248" s="2">
        <v>2011</v>
      </c>
    </row>
    <row r="3249" spans="1:23" ht="12.3" hidden="1" x14ac:dyDescent="0.4">
      <c r="A3249" s="2" t="s">
        <v>268</v>
      </c>
      <c r="B3249" s="2"/>
      <c r="C3249" s="2"/>
      <c r="D3249" s="2"/>
      <c r="E3249" s="2"/>
      <c r="F3249" s="2"/>
      <c r="G3249" s="2"/>
      <c r="H3249" s="2"/>
      <c r="I3249" s="2">
        <v>65.037999999999997</v>
      </c>
      <c r="J3249" s="2">
        <v>252</v>
      </c>
      <c r="K3249" s="2">
        <v>65.774500000000003</v>
      </c>
      <c r="L3249" s="2">
        <v>222</v>
      </c>
      <c r="M3249" s="2">
        <v>101.6927</v>
      </c>
      <c r="N3249" s="2">
        <v>172</v>
      </c>
      <c r="O3249" s="2">
        <v>100.3578</v>
      </c>
      <c r="P3249" s="2">
        <v>192</v>
      </c>
      <c r="Q3249" s="2">
        <v>105.3445</v>
      </c>
      <c r="R3249" s="2">
        <v>267</v>
      </c>
      <c r="S3249" s="2">
        <v>106.39190000000001</v>
      </c>
      <c r="T3249" s="2">
        <v>268</v>
      </c>
      <c r="U3249" s="2">
        <v>0.338171</v>
      </c>
      <c r="V3249" s="2">
        <v>236</v>
      </c>
      <c r="W3249" s="2">
        <v>2011</v>
      </c>
    </row>
    <row r="3250" spans="1:23" ht="12.3" hidden="1" x14ac:dyDescent="0.4">
      <c r="A3250" s="2" t="s">
        <v>345</v>
      </c>
      <c r="B3250" s="2"/>
      <c r="C3250" s="2"/>
      <c r="D3250" s="2"/>
      <c r="E3250" s="2"/>
      <c r="F3250" s="2"/>
      <c r="G3250" s="2"/>
      <c r="H3250" s="2"/>
      <c r="I3250" s="2">
        <v>68.3185</v>
      </c>
      <c r="J3250" s="2">
        <v>92</v>
      </c>
      <c r="K3250" s="2">
        <v>66.684799999999996</v>
      </c>
      <c r="L3250" s="2">
        <v>170</v>
      </c>
      <c r="M3250" s="2">
        <v>97.715999999999994</v>
      </c>
      <c r="N3250" s="2">
        <v>251</v>
      </c>
      <c r="O3250" s="2">
        <v>93.506100000000004</v>
      </c>
      <c r="P3250" s="2">
        <v>300</v>
      </c>
      <c r="Q3250" s="2">
        <v>97.358099999999993</v>
      </c>
      <c r="R3250" s="2">
        <v>74</v>
      </c>
      <c r="S3250" s="2">
        <v>99.220200000000006</v>
      </c>
      <c r="T3250" s="2">
        <v>109</v>
      </c>
      <c r="U3250" s="2">
        <v>0.335787</v>
      </c>
      <c r="V3250" s="2">
        <v>237</v>
      </c>
      <c r="W3250" s="2">
        <v>2011</v>
      </c>
    </row>
    <row r="3251" spans="1:23" ht="12.3" hidden="1" x14ac:dyDescent="0.4">
      <c r="A3251" s="2" t="s">
        <v>324</v>
      </c>
      <c r="B3251" s="2"/>
      <c r="C3251" s="2"/>
      <c r="D3251" s="2"/>
      <c r="E3251" s="2"/>
      <c r="F3251" s="2"/>
      <c r="G3251" s="2"/>
      <c r="H3251" s="2"/>
      <c r="I3251" s="2">
        <v>62.299500000000002</v>
      </c>
      <c r="J3251" s="2">
        <v>323</v>
      </c>
      <c r="K3251" s="2">
        <v>62.013199999999998</v>
      </c>
      <c r="L3251" s="2">
        <v>327</v>
      </c>
      <c r="M3251" s="2">
        <v>102.4975</v>
      </c>
      <c r="N3251" s="2">
        <v>150</v>
      </c>
      <c r="O3251" s="2">
        <v>100.6982</v>
      </c>
      <c r="P3251" s="2">
        <v>186</v>
      </c>
      <c r="Q3251" s="2">
        <v>103.7756</v>
      </c>
      <c r="R3251" s="2">
        <v>228</v>
      </c>
      <c r="S3251" s="2">
        <v>107.14230000000001</v>
      </c>
      <c r="T3251" s="2">
        <v>276</v>
      </c>
      <c r="U3251" s="2">
        <v>0.32886100000000001</v>
      </c>
      <c r="V3251" s="2">
        <v>238</v>
      </c>
      <c r="W3251" s="2">
        <v>2011</v>
      </c>
    </row>
    <row r="3252" spans="1:23" ht="12.3" hidden="1" x14ac:dyDescent="0.4">
      <c r="A3252" s="2" t="s">
        <v>339</v>
      </c>
      <c r="B3252" s="2"/>
      <c r="C3252" s="2"/>
      <c r="D3252" s="2"/>
      <c r="E3252" s="2"/>
      <c r="F3252" s="2"/>
      <c r="G3252" s="2"/>
      <c r="H3252" s="2"/>
      <c r="I3252" s="2">
        <v>60.935200000000002</v>
      </c>
      <c r="J3252" s="2">
        <v>341</v>
      </c>
      <c r="K3252" s="2">
        <v>61.3874</v>
      </c>
      <c r="L3252" s="2">
        <v>333</v>
      </c>
      <c r="M3252" s="2">
        <v>101.2672</v>
      </c>
      <c r="N3252" s="2">
        <v>180</v>
      </c>
      <c r="O3252" s="2">
        <v>99.770399999999995</v>
      </c>
      <c r="P3252" s="2">
        <v>207</v>
      </c>
      <c r="Q3252" s="2">
        <v>102.87479999999999</v>
      </c>
      <c r="R3252" s="2">
        <v>201</v>
      </c>
      <c r="S3252" s="2">
        <v>106.1797</v>
      </c>
      <c r="T3252" s="2">
        <v>264</v>
      </c>
      <c r="U3252" s="2">
        <v>0.32827400000000001</v>
      </c>
      <c r="V3252" s="2">
        <v>239</v>
      </c>
      <c r="W3252" s="2">
        <v>2011</v>
      </c>
    </row>
    <row r="3253" spans="1:23" ht="12.3" hidden="1" x14ac:dyDescent="0.4">
      <c r="A3253" s="2" t="s">
        <v>266</v>
      </c>
      <c r="B3253" s="2"/>
      <c r="C3253" s="2"/>
      <c r="D3253" s="2"/>
      <c r="E3253" s="2"/>
      <c r="F3253" s="2"/>
      <c r="G3253" s="2"/>
      <c r="H3253" s="2"/>
      <c r="I3253" s="2">
        <v>74.928399999999996</v>
      </c>
      <c r="J3253" s="2">
        <v>3</v>
      </c>
      <c r="K3253" s="2">
        <v>74.538799999999995</v>
      </c>
      <c r="L3253" s="2">
        <v>3</v>
      </c>
      <c r="M3253" s="2">
        <v>102.0489</v>
      </c>
      <c r="N3253" s="2">
        <v>159</v>
      </c>
      <c r="O3253" s="2">
        <v>98.422499999999999</v>
      </c>
      <c r="P3253" s="2">
        <v>233</v>
      </c>
      <c r="Q3253" s="2">
        <v>103.3665</v>
      </c>
      <c r="R3253" s="2">
        <v>209</v>
      </c>
      <c r="S3253" s="2">
        <v>104.96729999999999</v>
      </c>
      <c r="T3253" s="2">
        <v>242</v>
      </c>
      <c r="U3253" s="2">
        <v>0.32292300000000002</v>
      </c>
      <c r="V3253" s="2">
        <v>240</v>
      </c>
      <c r="W3253" s="2">
        <v>2011</v>
      </c>
    </row>
    <row r="3254" spans="1:23" ht="12.3" hidden="1" x14ac:dyDescent="0.4">
      <c r="A3254" s="2" t="s">
        <v>306</v>
      </c>
      <c r="B3254" s="2"/>
      <c r="C3254" s="2"/>
      <c r="D3254" s="2"/>
      <c r="E3254" s="2"/>
      <c r="F3254" s="2"/>
      <c r="G3254" s="2"/>
      <c r="H3254" s="2"/>
      <c r="I3254" s="2">
        <v>69.548199999999994</v>
      </c>
      <c r="J3254" s="2">
        <v>46</v>
      </c>
      <c r="K3254" s="2">
        <v>68.435900000000004</v>
      </c>
      <c r="L3254" s="2">
        <v>73</v>
      </c>
      <c r="M3254" s="2">
        <v>104.1541</v>
      </c>
      <c r="N3254" s="2">
        <v>111</v>
      </c>
      <c r="O3254" s="2">
        <v>102.76090000000001</v>
      </c>
      <c r="P3254" s="2">
        <v>145</v>
      </c>
      <c r="Q3254" s="2">
        <v>108.58069999999999</v>
      </c>
      <c r="R3254" s="2">
        <v>316</v>
      </c>
      <c r="S3254" s="2">
        <v>109.6309</v>
      </c>
      <c r="T3254" s="2">
        <v>310</v>
      </c>
      <c r="U3254" s="2">
        <v>0.32208500000000001</v>
      </c>
      <c r="V3254" s="2">
        <v>241</v>
      </c>
      <c r="W3254" s="2">
        <v>2011</v>
      </c>
    </row>
    <row r="3255" spans="1:23" ht="12.3" hidden="1" x14ac:dyDescent="0.4">
      <c r="A3255" s="2" t="s">
        <v>94</v>
      </c>
      <c r="B3255" s="2"/>
      <c r="C3255" s="2"/>
      <c r="D3255" s="2"/>
      <c r="E3255" s="2"/>
      <c r="F3255" s="2"/>
      <c r="G3255" s="2"/>
      <c r="H3255" s="2"/>
      <c r="I3255" s="2">
        <v>68.140699999999995</v>
      </c>
      <c r="J3255" s="2">
        <v>102</v>
      </c>
      <c r="K3255" s="2">
        <v>67.273399999999995</v>
      </c>
      <c r="L3255" s="2">
        <v>140</v>
      </c>
      <c r="M3255" s="2">
        <v>92.787199999999999</v>
      </c>
      <c r="N3255" s="2">
        <v>312</v>
      </c>
      <c r="O3255" s="2">
        <v>93.542900000000003</v>
      </c>
      <c r="P3255" s="2">
        <v>298</v>
      </c>
      <c r="Q3255" s="2">
        <v>100.2239</v>
      </c>
      <c r="R3255" s="2">
        <v>136</v>
      </c>
      <c r="S3255" s="2">
        <v>99.835899999999995</v>
      </c>
      <c r="T3255" s="2">
        <v>121</v>
      </c>
      <c r="U3255" s="2">
        <v>0.32109500000000002</v>
      </c>
      <c r="V3255" s="2">
        <v>242</v>
      </c>
      <c r="W3255" s="2">
        <v>2011</v>
      </c>
    </row>
    <row r="3256" spans="1:23" ht="12.3" hidden="1" x14ac:dyDescent="0.4">
      <c r="A3256" s="2" t="s">
        <v>89</v>
      </c>
      <c r="B3256" s="2"/>
      <c r="C3256" s="2"/>
      <c r="D3256" s="2"/>
      <c r="E3256" s="2"/>
      <c r="F3256" s="2"/>
      <c r="G3256" s="2"/>
      <c r="H3256" s="2"/>
      <c r="I3256" s="2">
        <v>65.882800000000003</v>
      </c>
      <c r="J3256" s="2">
        <v>219</v>
      </c>
      <c r="K3256" s="2">
        <v>65.553100000000001</v>
      </c>
      <c r="L3256" s="2">
        <v>233</v>
      </c>
      <c r="M3256" s="2">
        <v>95.604500000000002</v>
      </c>
      <c r="N3256" s="2">
        <v>282</v>
      </c>
      <c r="O3256" s="2">
        <v>96.494500000000002</v>
      </c>
      <c r="P3256" s="2">
        <v>267</v>
      </c>
      <c r="Q3256" s="2">
        <v>101.4747</v>
      </c>
      <c r="R3256" s="2">
        <v>175</v>
      </c>
      <c r="S3256" s="2">
        <v>103.05500000000001</v>
      </c>
      <c r="T3256" s="2">
        <v>204</v>
      </c>
      <c r="U3256" s="2">
        <v>0.31942199999999998</v>
      </c>
      <c r="V3256" s="2">
        <v>243</v>
      </c>
      <c r="W3256" s="2">
        <v>2011</v>
      </c>
    </row>
    <row r="3257" spans="1:23" ht="12.3" hidden="1" x14ac:dyDescent="0.4">
      <c r="A3257" s="2" t="s">
        <v>354</v>
      </c>
      <c r="B3257" s="2"/>
      <c r="C3257" s="2"/>
      <c r="D3257" s="2"/>
      <c r="E3257" s="2"/>
      <c r="F3257" s="2"/>
      <c r="G3257" s="2"/>
      <c r="H3257" s="2"/>
      <c r="I3257" s="2">
        <v>74.589299999999994</v>
      </c>
      <c r="J3257" s="2">
        <v>5</v>
      </c>
      <c r="K3257" s="2">
        <v>73.672200000000004</v>
      </c>
      <c r="L3257" s="2">
        <v>5</v>
      </c>
      <c r="M3257" s="2">
        <v>101.9932</v>
      </c>
      <c r="N3257" s="2">
        <v>161</v>
      </c>
      <c r="O3257" s="2">
        <v>99.826099999999997</v>
      </c>
      <c r="P3257" s="2">
        <v>205</v>
      </c>
      <c r="Q3257" s="2">
        <v>104.4622</v>
      </c>
      <c r="R3257" s="2">
        <v>252</v>
      </c>
      <c r="S3257" s="2">
        <v>106.6238</v>
      </c>
      <c r="T3257" s="2">
        <v>270</v>
      </c>
      <c r="U3257" s="2">
        <v>0.31917000000000001</v>
      </c>
      <c r="V3257" s="2">
        <v>244</v>
      </c>
      <c r="W3257" s="2">
        <v>2011</v>
      </c>
    </row>
    <row r="3258" spans="1:23" ht="12.3" hidden="1" x14ac:dyDescent="0.4">
      <c r="A3258" s="2" t="s">
        <v>82</v>
      </c>
      <c r="B3258" s="2"/>
      <c r="C3258" s="2"/>
      <c r="D3258" s="2"/>
      <c r="E3258" s="2"/>
      <c r="F3258" s="2"/>
      <c r="G3258" s="2"/>
      <c r="H3258" s="2"/>
      <c r="I3258" s="2">
        <v>63.830599999999997</v>
      </c>
      <c r="J3258" s="2">
        <v>297</v>
      </c>
      <c r="K3258" s="2">
        <v>64.755099999999999</v>
      </c>
      <c r="L3258" s="2">
        <v>259</v>
      </c>
      <c r="M3258" s="2">
        <v>95.102999999999994</v>
      </c>
      <c r="N3258" s="2">
        <v>287</v>
      </c>
      <c r="O3258" s="2">
        <v>94.312600000000003</v>
      </c>
      <c r="P3258" s="2">
        <v>291</v>
      </c>
      <c r="Q3258" s="2">
        <v>101.17659999999999</v>
      </c>
      <c r="R3258" s="2">
        <v>163</v>
      </c>
      <c r="S3258" s="2">
        <v>100.8176</v>
      </c>
      <c r="T3258" s="2">
        <v>136</v>
      </c>
      <c r="U3258" s="2">
        <v>0.31712400000000002</v>
      </c>
      <c r="V3258" s="2">
        <v>245</v>
      </c>
      <c r="W3258" s="2">
        <v>2011</v>
      </c>
    </row>
    <row r="3259" spans="1:23" ht="12.3" hidden="1" x14ac:dyDescent="0.4">
      <c r="A3259" s="2" t="s">
        <v>349</v>
      </c>
      <c r="B3259" s="2"/>
      <c r="C3259" s="2"/>
      <c r="D3259" s="2"/>
      <c r="E3259" s="2"/>
      <c r="F3259" s="2"/>
      <c r="G3259" s="2"/>
      <c r="H3259" s="2"/>
      <c r="I3259" s="2">
        <v>65.441299999999998</v>
      </c>
      <c r="J3259" s="2">
        <v>237</v>
      </c>
      <c r="K3259" s="2">
        <v>65.383799999999994</v>
      </c>
      <c r="L3259" s="2">
        <v>241</v>
      </c>
      <c r="M3259" s="2">
        <v>92.285499999999999</v>
      </c>
      <c r="N3259" s="2">
        <v>317</v>
      </c>
      <c r="O3259" s="2">
        <v>93.757599999999996</v>
      </c>
      <c r="P3259" s="2">
        <v>296</v>
      </c>
      <c r="Q3259" s="2">
        <v>100.6198</v>
      </c>
      <c r="R3259" s="2">
        <v>146</v>
      </c>
      <c r="S3259" s="2">
        <v>100.3165</v>
      </c>
      <c r="T3259" s="2">
        <v>128</v>
      </c>
      <c r="U3259" s="2">
        <v>0.31483699999999998</v>
      </c>
      <c r="V3259" s="2">
        <v>246</v>
      </c>
      <c r="W3259" s="2">
        <v>2011</v>
      </c>
    </row>
    <row r="3260" spans="1:23" ht="12.3" hidden="1" x14ac:dyDescent="0.4">
      <c r="A3260" s="2" t="s">
        <v>357</v>
      </c>
      <c r="B3260" s="2"/>
      <c r="C3260" s="2"/>
      <c r="D3260" s="2"/>
      <c r="E3260" s="2"/>
      <c r="F3260" s="2"/>
      <c r="G3260" s="2"/>
      <c r="H3260" s="2"/>
      <c r="I3260" s="2">
        <v>68.277500000000003</v>
      </c>
      <c r="J3260" s="2">
        <v>98</v>
      </c>
      <c r="K3260" s="2">
        <v>68.242900000000006</v>
      </c>
      <c r="L3260" s="2">
        <v>87</v>
      </c>
      <c r="M3260" s="2">
        <v>101.06619999999999</v>
      </c>
      <c r="N3260" s="2">
        <v>187</v>
      </c>
      <c r="O3260" s="2">
        <v>101.5064</v>
      </c>
      <c r="P3260" s="2">
        <v>175</v>
      </c>
      <c r="Q3260" s="2">
        <v>107.048</v>
      </c>
      <c r="R3260" s="2">
        <v>294</v>
      </c>
      <c r="S3260" s="2">
        <v>108.84050000000001</v>
      </c>
      <c r="T3260" s="2">
        <v>306</v>
      </c>
      <c r="U3260" s="2">
        <v>0.30954199999999998</v>
      </c>
      <c r="V3260" s="2">
        <v>247</v>
      </c>
      <c r="W3260" s="2">
        <v>2011</v>
      </c>
    </row>
    <row r="3261" spans="1:23" ht="12.3" hidden="1" x14ac:dyDescent="0.4">
      <c r="A3261" s="2" t="s">
        <v>85</v>
      </c>
      <c r="B3261" s="2"/>
      <c r="C3261" s="2"/>
      <c r="D3261" s="2"/>
      <c r="E3261" s="2"/>
      <c r="F3261" s="2"/>
      <c r="G3261" s="2"/>
      <c r="H3261" s="2"/>
      <c r="I3261" s="2">
        <v>66.028300000000002</v>
      </c>
      <c r="J3261" s="2">
        <v>207</v>
      </c>
      <c r="K3261" s="2">
        <v>66.297499999999999</v>
      </c>
      <c r="L3261" s="2">
        <v>188</v>
      </c>
      <c r="M3261" s="2">
        <v>93.420500000000004</v>
      </c>
      <c r="N3261" s="2">
        <v>302</v>
      </c>
      <c r="O3261" s="2">
        <v>92.549899999999994</v>
      </c>
      <c r="P3261" s="2">
        <v>310</v>
      </c>
      <c r="Q3261" s="2">
        <v>100.0672</v>
      </c>
      <c r="R3261" s="2">
        <v>129</v>
      </c>
      <c r="S3261" s="2">
        <v>99.239000000000004</v>
      </c>
      <c r="T3261" s="2">
        <v>110</v>
      </c>
      <c r="U3261" s="2">
        <v>0.30948999999999999</v>
      </c>
      <c r="V3261" s="2">
        <v>248</v>
      </c>
      <c r="W3261" s="2">
        <v>2011</v>
      </c>
    </row>
    <row r="3262" spans="1:23" ht="12.3" hidden="1" x14ac:dyDescent="0.4">
      <c r="A3262" s="2" t="s">
        <v>237</v>
      </c>
      <c r="B3262" s="2"/>
      <c r="C3262" s="2"/>
      <c r="D3262" s="2"/>
      <c r="E3262" s="2"/>
      <c r="F3262" s="2"/>
      <c r="G3262" s="2"/>
      <c r="H3262" s="2"/>
      <c r="I3262" s="2">
        <v>68.120500000000007</v>
      </c>
      <c r="J3262" s="2">
        <v>104</v>
      </c>
      <c r="K3262" s="2">
        <v>67.329700000000003</v>
      </c>
      <c r="L3262" s="2">
        <v>136</v>
      </c>
      <c r="M3262" s="2">
        <v>101.896</v>
      </c>
      <c r="N3262" s="2">
        <v>165</v>
      </c>
      <c r="O3262" s="2">
        <v>100.2214</v>
      </c>
      <c r="P3262" s="2">
        <v>197</v>
      </c>
      <c r="Q3262" s="2">
        <v>108.5399</v>
      </c>
      <c r="R3262" s="2">
        <v>315</v>
      </c>
      <c r="S3262" s="2">
        <v>107.70869999999999</v>
      </c>
      <c r="T3262" s="2">
        <v>289</v>
      </c>
      <c r="U3262" s="2">
        <v>0.30394900000000002</v>
      </c>
      <c r="V3262" s="2">
        <v>249</v>
      </c>
      <c r="W3262" s="2">
        <v>2011</v>
      </c>
    </row>
    <row r="3263" spans="1:23" ht="12.3" hidden="1" x14ac:dyDescent="0.4">
      <c r="A3263" s="2" t="s">
        <v>328</v>
      </c>
      <c r="B3263" s="2"/>
      <c r="C3263" s="2"/>
      <c r="D3263" s="2"/>
      <c r="E3263" s="2"/>
      <c r="F3263" s="2"/>
      <c r="G3263" s="2"/>
      <c r="H3263" s="2"/>
      <c r="I3263" s="2">
        <v>67.054000000000002</v>
      </c>
      <c r="J3263" s="2">
        <v>168</v>
      </c>
      <c r="K3263" s="2">
        <v>65.656899999999993</v>
      </c>
      <c r="L3263" s="2">
        <v>228</v>
      </c>
      <c r="M3263" s="2">
        <v>98.298299999999998</v>
      </c>
      <c r="N3263" s="2">
        <v>238</v>
      </c>
      <c r="O3263" s="2">
        <v>97.954300000000003</v>
      </c>
      <c r="P3263" s="2">
        <v>244</v>
      </c>
      <c r="Q3263" s="2">
        <v>103.73390000000001</v>
      </c>
      <c r="R3263" s="2">
        <v>226</v>
      </c>
      <c r="S3263" s="2">
        <v>105.2942</v>
      </c>
      <c r="T3263" s="2">
        <v>248</v>
      </c>
      <c r="U3263" s="2">
        <v>0.30344199999999999</v>
      </c>
      <c r="V3263" s="2">
        <v>250</v>
      </c>
      <c r="W3263" s="2">
        <v>2011</v>
      </c>
    </row>
    <row r="3264" spans="1:23" ht="12.3" hidden="1" x14ac:dyDescent="0.4">
      <c r="A3264" s="2" t="s">
        <v>164</v>
      </c>
      <c r="B3264" s="2"/>
      <c r="C3264" s="2"/>
      <c r="D3264" s="2"/>
      <c r="E3264" s="2"/>
      <c r="F3264" s="2"/>
      <c r="G3264" s="2"/>
      <c r="H3264" s="2"/>
      <c r="I3264" s="2">
        <v>62.665900000000001</v>
      </c>
      <c r="J3264" s="2">
        <v>318</v>
      </c>
      <c r="K3264" s="2">
        <v>63.555300000000003</v>
      </c>
      <c r="L3264" s="2">
        <v>309</v>
      </c>
      <c r="M3264" s="2">
        <v>95.967200000000005</v>
      </c>
      <c r="N3264" s="2">
        <v>277</v>
      </c>
      <c r="O3264" s="2">
        <v>93.732699999999994</v>
      </c>
      <c r="P3264" s="2">
        <v>297</v>
      </c>
      <c r="Q3264" s="2">
        <v>100.60380000000001</v>
      </c>
      <c r="R3264" s="2">
        <v>143</v>
      </c>
      <c r="S3264" s="2">
        <v>100.8822</v>
      </c>
      <c r="T3264" s="2">
        <v>138</v>
      </c>
      <c r="U3264" s="2">
        <v>0.30041600000000002</v>
      </c>
      <c r="V3264" s="2">
        <v>251</v>
      </c>
      <c r="W3264" s="2">
        <v>2011</v>
      </c>
    </row>
    <row r="3265" spans="1:23" ht="12.3" hidden="1" x14ac:dyDescent="0.4">
      <c r="A3265" s="2" t="s">
        <v>259</v>
      </c>
      <c r="B3265" s="2"/>
      <c r="C3265" s="2"/>
      <c r="D3265" s="2"/>
      <c r="E3265" s="2"/>
      <c r="F3265" s="2"/>
      <c r="G3265" s="2"/>
      <c r="H3265" s="2"/>
      <c r="I3265" s="2">
        <v>74.191599999999994</v>
      </c>
      <c r="J3265" s="2">
        <v>7</v>
      </c>
      <c r="K3265" s="2">
        <v>72.543800000000005</v>
      </c>
      <c r="L3265" s="2">
        <v>11</v>
      </c>
      <c r="M3265" s="2">
        <v>101.8379</v>
      </c>
      <c r="N3265" s="2">
        <v>167</v>
      </c>
      <c r="O3265" s="2">
        <v>99.9542</v>
      </c>
      <c r="P3265" s="2">
        <v>202</v>
      </c>
      <c r="Q3265" s="2">
        <v>104.1649</v>
      </c>
      <c r="R3265" s="2">
        <v>243</v>
      </c>
      <c r="S3265" s="2">
        <v>107.6237</v>
      </c>
      <c r="T3265" s="2">
        <v>287</v>
      </c>
      <c r="U3265" s="2">
        <v>0.299396</v>
      </c>
      <c r="V3265" s="2">
        <v>252</v>
      </c>
      <c r="W3265" s="2">
        <v>2011</v>
      </c>
    </row>
    <row r="3266" spans="1:23" ht="12.3" hidden="1" x14ac:dyDescent="0.4">
      <c r="A3266" s="2" t="s">
        <v>187</v>
      </c>
      <c r="B3266" s="2"/>
      <c r="C3266" s="2"/>
      <c r="D3266" s="2"/>
      <c r="E3266" s="2"/>
      <c r="F3266" s="2"/>
      <c r="G3266" s="2"/>
      <c r="H3266" s="2"/>
      <c r="I3266" s="2">
        <v>65.945499999999996</v>
      </c>
      <c r="J3266" s="2">
        <v>214</v>
      </c>
      <c r="K3266" s="2">
        <v>65.228700000000003</v>
      </c>
      <c r="L3266" s="2">
        <v>245</v>
      </c>
      <c r="M3266" s="2">
        <v>97.629800000000003</v>
      </c>
      <c r="N3266" s="2">
        <v>252</v>
      </c>
      <c r="O3266" s="2">
        <v>98.339299999999994</v>
      </c>
      <c r="P3266" s="2">
        <v>238</v>
      </c>
      <c r="Q3266" s="2">
        <v>106.7522</v>
      </c>
      <c r="R3266" s="2">
        <v>289</v>
      </c>
      <c r="S3266" s="2">
        <v>105.96810000000001</v>
      </c>
      <c r="T3266" s="2">
        <v>260</v>
      </c>
      <c r="U3266" s="2">
        <v>0.29750300000000002</v>
      </c>
      <c r="V3266" s="2">
        <v>253</v>
      </c>
      <c r="W3266" s="2">
        <v>2011</v>
      </c>
    </row>
    <row r="3267" spans="1:23" ht="12.3" hidden="1" x14ac:dyDescent="0.4">
      <c r="A3267" s="2" t="s">
        <v>163</v>
      </c>
      <c r="B3267" s="2"/>
      <c r="C3267" s="2"/>
      <c r="D3267" s="2"/>
      <c r="E3267" s="2"/>
      <c r="F3267" s="2"/>
      <c r="G3267" s="2"/>
      <c r="H3267" s="2"/>
      <c r="I3267" s="2">
        <v>65.361400000000003</v>
      </c>
      <c r="J3267" s="2">
        <v>245</v>
      </c>
      <c r="K3267" s="2">
        <v>65.9071</v>
      </c>
      <c r="L3267" s="2">
        <v>215</v>
      </c>
      <c r="M3267" s="2">
        <v>99.398399999999995</v>
      </c>
      <c r="N3267" s="2">
        <v>216</v>
      </c>
      <c r="O3267" s="2">
        <v>98.133700000000005</v>
      </c>
      <c r="P3267" s="2">
        <v>241</v>
      </c>
      <c r="Q3267" s="2">
        <v>105.4455</v>
      </c>
      <c r="R3267" s="2">
        <v>269</v>
      </c>
      <c r="S3267" s="2">
        <v>105.9849</v>
      </c>
      <c r="T3267" s="2">
        <v>261</v>
      </c>
      <c r="U3267" s="2">
        <v>0.29211999999999999</v>
      </c>
      <c r="V3267" s="2">
        <v>254</v>
      </c>
      <c r="W3267" s="2">
        <v>2011</v>
      </c>
    </row>
    <row r="3268" spans="1:23" ht="12.3" hidden="1" x14ac:dyDescent="0.4">
      <c r="A3268" s="2" t="s">
        <v>270</v>
      </c>
      <c r="B3268" s="2"/>
      <c r="C3268" s="2"/>
      <c r="D3268" s="2"/>
      <c r="E3268" s="2"/>
      <c r="F3268" s="2"/>
      <c r="G3268" s="2"/>
      <c r="H3268" s="2"/>
      <c r="I3268" s="2">
        <v>69.492000000000004</v>
      </c>
      <c r="J3268" s="2">
        <v>50</v>
      </c>
      <c r="K3268" s="2">
        <v>68.347999999999999</v>
      </c>
      <c r="L3268" s="2">
        <v>78</v>
      </c>
      <c r="M3268" s="2">
        <v>97.424499999999995</v>
      </c>
      <c r="N3268" s="2">
        <v>256</v>
      </c>
      <c r="O3268" s="2">
        <v>95.578100000000006</v>
      </c>
      <c r="P3268" s="2">
        <v>279</v>
      </c>
      <c r="Q3268" s="2">
        <v>100.5369</v>
      </c>
      <c r="R3268" s="2">
        <v>141</v>
      </c>
      <c r="S3268" s="2">
        <v>103.3352</v>
      </c>
      <c r="T3268" s="2">
        <v>212</v>
      </c>
      <c r="U3268" s="2">
        <v>0.28958499999999998</v>
      </c>
      <c r="V3268" s="2">
        <v>255</v>
      </c>
      <c r="W3268" s="2">
        <v>2011</v>
      </c>
    </row>
    <row r="3269" spans="1:23" ht="12.3" hidden="1" x14ac:dyDescent="0.4">
      <c r="A3269" s="2" t="s">
        <v>368</v>
      </c>
      <c r="B3269" s="2"/>
      <c r="C3269" s="2"/>
      <c r="D3269" s="2"/>
      <c r="E3269" s="2"/>
      <c r="F3269" s="2"/>
      <c r="G3269" s="2"/>
      <c r="H3269" s="2"/>
      <c r="I3269" s="2">
        <v>61.4724</v>
      </c>
      <c r="J3269" s="2">
        <v>335</v>
      </c>
      <c r="K3269" s="2">
        <v>60.662300000000002</v>
      </c>
      <c r="L3269" s="2">
        <v>339</v>
      </c>
      <c r="M3269" s="2">
        <v>99.103800000000007</v>
      </c>
      <c r="N3269" s="2">
        <v>223</v>
      </c>
      <c r="O3269" s="2">
        <v>99.479200000000006</v>
      </c>
      <c r="P3269" s="2">
        <v>215</v>
      </c>
      <c r="Q3269" s="2">
        <v>106.6985</v>
      </c>
      <c r="R3269" s="2">
        <v>287</v>
      </c>
      <c r="S3269" s="2">
        <v>107.6743</v>
      </c>
      <c r="T3269" s="2">
        <v>288</v>
      </c>
      <c r="U3269" s="2">
        <v>0.28692699999999999</v>
      </c>
      <c r="V3269" s="2">
        <v>256</v>
      </c>
      <c r="W3269" s="2">
        <v>2011</v>
      </c>
    </row>
    <row r="3270" spans="1:23" ht="12.3" hidden="1" x14ac:dyDescent="0.4">
      <c r="A3270" s="2" t="s">
        <v>372</v>
      </c>
      <c r="B3270" s="2"/>
      <c r="C3270" s="2"/>
      <c r="D3270" s="2"/>
      <c r="E3270" s="2"/>
      <c r="F3270" s="2"/>
      <c r="G3270" s="2"/>
      <c r="H3270" s="2"/>
      <c r="I3270" s="2">
        <v>69.031000000000006</v>
      </c>
      <c r="J3270" s="2">
        <v>70</v>
      </c>
      <c r="K3270" s="2">
        <v>66.751199999999997</v>
      </c>
      <c r="L3270" s="2">
        <v>166</v>
      </c>
      <c r="M3270" s="2">
        <v>104.3687</v>
      </c>
      <c r="N3270" s="2">
        <v>107</v>
      </c>
      <c r="O3270" s="2">
        <v>99.322800000000001</v>
      </c>
      <c r="P3270" s="2">
        <v>220</v>
      </c>
      <c r="Q3270" s="2">
        <v>101.3228</v>
      </c>
      <c r="R3270" s="2">
        <v>169</v>
      </c>
      <c r="S3270" s="2">
        <v>107.50579999999999</v>
      </c>
      <c r="T3270" s="2">
        <v>283</v>
      </c>
      <c r="U3270" s="2">
        <v>0.28690900000000003</v>
      </c>
      <c r="V3270" s="2">
        <v>257</v>
      </c>
      <c r="W3270" s="2">
        <v>2011</v>
      </c>
    </row>
    <row r="3271" spans="1:23" ht="12.3" hidden="1" x14ac:dyDescent="0.4">
      <c r="A3271" s="2" t="s">
        <v>341</v>
      </c>
      <c r="B3271" s="2"/>
      <c r="C3271" s="2"/>
      <c r="D3271" s="2"/>
      <c r="E3271" s="2"/>
      <c r="F3271" s="2"/>
      <c r="G3271" s="2"/>
      <c r="H3271" s="2"/>
      <c r="I3271" s="2">
        <v>69.207999999999998</v>
      </c>
      <c r="J3271" s="2">
        <v>63</v>
      </c>
      <c r="K3271" s="2">
        <v>69.238500000000002</v>
      </c>
      <c r="L3271" s="2">
        <v>53</v>
      </c>
      <c r="M3271" s="2">
        <v>102.05410000000001</v>
      </c>
      <c r="N3271" s="2">
        <v>158</v>
      </c>
      <c r="O3271" s="2">
        <v>97.292199999999994</v>
      </c>
      <c r="P3271" s="2">
        <v>254</v>
      </c>
      <c r="Q3271" s="2">
        <v>104.1587</v>
      </c>
      <c r="R3271" s="2">
        <v>242</v>
      </c>
      <c r="S3271" s="2">
        <v>105.39830000000001</v>
      </c>
      <c r="T3271" s="2">
        <v>252</v>
      </c>
      <c r="U3271" s="2">
        <v>0.28489500000000001</v>
      </c>
      <c r="V3271" s="2">
        <v>258</v>
      </c>
      <c r="W3271" s="2">
        <v>2011</v>
      </c>
    </row>
    <row r="3272" spans="1:23" ht="12.3" hidden="1" x14ac:dyDescent="0.4">
      <c r="A3272" s="2" t="s">
        <v>300</v>
      </c>
      <c r="B3272" s="2"/>
      <c r="C3272" s="2"/>
      <c r="D3272" s="2"/>
      <c r="E3272" s="2"/>
      <c r="F3272" s="2"/>
      <c r="G3272" s="2"/>
      <c r="H3272" s="2"/>
      <c r="I3272" s="2">
        <v>72.362799999999993</v>
      </c>
      <c r="J3272" s="2">
        <v>15</v>
      </c>
      <c r="K3272" s="2">
        <v>70.810500000000005</v>
      </c>
      <c r="L3272" s="2">
        <v>26</v>
      </c>
      <c r="M3272" s="2">
        <v>93.104100000000003</v>
      </c>
      <c r="N3272" s="2">
        <v>307</v>
      </c>
      <c r="O3272" s="2">
        <v>92.438400000000001</v>
      </c>
      <c r="P3272" s="2">
        <v>311</v>
      </c>
      <c r="Q3272" s="2">
        <v>99.726200000000006</v>
      </c>
      <c r="R3272" s="2">
        <v>116</v>
      </c>
      <c r="S3272" s="2">
        <v>100.3985</v>
      </c>
      <c r="T3272" s="2">
        <v>130</v>
      </c>
      <c r="U3272" s="2">
        <v>0.278893</v>
      </c>
      <c r="V3272" s="2">
        <v>259</v>
      </c>
      <c r="W3272" s="2">
        <v>2011</v>
      </c>
    </row>
    <row r="3273" spans="1:23" ht="12.3" hidden="1" x14ac:dyDescent="0.4">
      <c r="A3273" s="2" t="s">
        <v>311</v>
      </c>
      <c r="B3273" s="2"/>
      <c r="C3273" s="2"/>
      <c r="D3273" s="2"/>
      <c r="E3273" s="2"/>
      <c r="F3273" s="2"/>
      <c r="G3273" s="2"/>
      <c r="H3273" s="2"/>
      <c r="I3273" s="2">
        <v>68.664699999999996</v>
      </c>
      <c r="J3273" s="2">
        <v>79</v>
      </c>
      <c r="K3273" s="2">
        <v>69.318299999999994</v>
      </c>
      <c r="L3273" s="2">
        <v>51</v>
      </c>
      <c r="M3273" s="2">
        <v>103.2298</v>
      </c>
      <c r="N3273" s="2">
        <v>129</v>
      </c>
      <c r="O3273" s="2">
        <v>102.9238</v>
      </c>
      <c r="P3273" s="2">
        <v>143</v>
      </c>
      <c r="Q3273" s="2">
        <v>110.0429</v>
      </c>
      <c r="R3273" s="2">
        <v>330</v>
      </c>
      <c r="S3273" s="2">
        <v>111.837</v>
      </c>
      <c r="T3273" s="2">
        <v>333</v>
      </c>
      <c r="U3273" s="2">
        <v>0.27785599999999999</v>
      </c>
      <c r="V3273" s="2">
        <v>260</v>
      </c>
      <c r="W3273" s="2">
        <v>2011</v>
      </c>
    </row>
    <row r="3274" spans="1:23" ht="12.3" hidden="1" x14ac:dyDescent="0.4">
      <c r="A3274" s="2" t="s">
        <v>317</v>
      </c>
      <c r="B3274" s="2"/>
      <c r="C3274" s="2"/>
      <c r="D3274" s="2"/>
      <c r="E3274" s="2"/>
      <c r="F3274" s="2"/>
      <c r="G3274" s="2"/>
      <c r="H3274" s="2"/>
      <c r="I3274" s="2">
        <v>69.209500000000006</v>
      </c>
      <c r="J3274" s="2">
        <v>62</v>
      </c>
      <c r="K3274" s="2">
        <v>70.084800000000001</v>
      </c>
      <c r="L3274" s="2">
        <v>39</v>
      </c>
      <c r="M3274" s="2">
        <v>97.128600000000006</v>
      </c>
      <c r="N3274" s="2">
        <v>261</v>
      </c>
      <c r="O3274" s="2">
        <v>98.203400000000002</v>
      </c>
      <c r="P3274" s="2">
        <v>240</v>
      </c>
      <c r="Q3274" s="2">
        <v>107.63200000000001</v>
      </c>
      <c r="R3274" s="2">
        <v>302</v>
      </c>
      <c r="S3274" s="2">
        <v>106.7225</v>
      </c>
      <c r="T3274" s="2">
        <v>271</v>
      </c>
      <c r="U3274" s="2">
        <v>0.27753899999999998</v>
      </c>
      <c r="V3274" s="2">
        <v>261</v>
      </c>
      <c r="W3274" s="2">
        <v>2011</v>
      </c>
    </row>
    <row r="3275" spans="1:23" ht="12.3" hidden="1" x14ac:dyDescent="0.4">
      <c r="A3275" s="2" t="s">
        <v>316</v>
      </c>
      <c r="B3275" s="2"/>
      <c r="C3275" s="2"/>
      <c r="D3275" s="2"/>
      <c r="E3275" s="2"/>
      <c r="F3275" s="2"/>
      <c r="G3275" s="2"/>
      <c r="H3275" s="2"/>
      <c r="I3275" s="2">
        <v>66.936099999999996</v>
      </c>
      <c r="J3275" s="2">
        <v>172</v>
      </c>
      <c r="K3275" s="2">
        <v>66.8613</v>
      </c>
      <c r="L3275" s="2">
        <v>161</v>
      </c>
      <c r="M3275" s="2">
        <v>98.058899999999994</v>
      </c>
      <c r="N3275" s="2">
        <v>243</v>
      </c>
      <c r="O3275" s="2">
        <v>98.382099999999994</v>
      </c>
      <c r="P3275" s="2">
        <v>236</v>
      </c>
      <c r="Q3275" s="2">
        <v>102.9109</v>
      </c>
      <c r="R3275" s="2">
        <v>203</v>
      </c>
      <c r="S3275" s="2">
        <v>106.9713</v>
      </c>
      <c r="T3275" s="2">
        <v>275</v>
      </c>
      <c r="U3275" s="2">
        <v>0.27636500000000003</v>
      </c>
      <c r="V3275" s="2">
        <v>262</v>
      </c>
      <c r="W3275" s="2">
        <v>2011</v>
      </c>
    </row>
    <row r="3276" spans="1:23" ht="12.3" hidden="1" x14ac:dyDescent="0.4">
      <c r="A3276" s="2" t="s">
        <v>319</v>
      </c>
      <c r="B3276" s="2"/>
      <c r="C3276" s="2"/>
      <c r="D3276" s="2"/>
      <c r="E3276" s="2"/>
      <c r="F3276" s="2"/>
      <c r="G3276" s="2"/>
      <c r="H3276" s="2"/>
      <c r="I3276" s="2">
        <v>65.940600000000003</v>
      </c>
      <c r="J3276" s="2">
        <v>216</v>
      </c>
      <c r="K3276" s="2">
        <v>65.660300000000007</v>
      </c>
      <c r="L3276" s="2">
        <v>227</v>
      </c>
      <c r="M3276" s="2">
        <v>98.264399999999995</v>
      </c>
      <c r="N3276" s="2">
        <v>239</v>
      </c>
      <c r="O3276" s="2">
        <v>95.415700000000001</v>
      </c>
      <c r="P3276" s="2">
        <v>281</v>
      </c>
      <c r="Q3276" s="2">
        <v>101.9007</v>
      </c>
      <c r="R3276" s="2">
        <v>185</v>
      </c>
      <c r="S3276" s="2">
        <v>103.89790000000001</v>
      </c>
      <c r="T3276" s="2">
        <v>220</v>
      </c>
      <c r="U3276" s="2">
        <v>0.27300999999999997</v>
      </c>
      <c r="V3276" s="2">
        <v>263</v>
      </c>
      <c r="W3276" s="2">
        <v>2011</v>
      </c>
    </row>
    <row r="3277" spans="1:23" ht="12.3" hidden="1" x14ac:dyDescent="0.4">
      <c r="A3277" s="2" t="s">
        <v>332</v>
      </c>
      <c r="B3277" s="2"/>
      <c r="C3277" s="2"/>
      <c r="D3277" s="2"/>
      <c r="E3277" s="2"/>
      <c r="F3277" s="2"/>
      <c r="G3277" s="2"/>
      <c r="H3277" s="2"/>
      <c r="I3277" s="2">
        <v>67.2423</v>
      </c>
      <c r="J3277" s="2">
        <v>154</v>
      </c>
      <c r="K3277" s="2">
        <v>66.655500000000004</v>
      </c>
      <c r="L3277" s="2">
        <v>172</v>
      </c>
      <c r="M3277" s="2">
        <v>96.753100000000003</v>
      </c>
      <c r="N3277" s="2">
        <v>266</v>
      </c>
      <c r="O3277" s="2">
        <v>99.292299999999997</v>
      </c>
      <c r="P3277" s="2">
        <v>221</v>
      </c>
      <c r="Q3277" s="2">
        <v>107.5543</v>
      </c>
      <c r="R3277" s="2">
        <v>301</v>
      </c>
      <c r="S3277" s="2">
        <v>108.2186</v>
      </c>
      <c r="T3277" s="2">
        <v>299</v>
      </c>
      <c r="U3277" s="2">
        <v>0.27091500000000002</v>
      </c>
      <c r="V3277" s="2">
        <v>264</v>
      </c>
      <c r="W3277" s="2">
        <v>2011</v>
      </c>
    </row>
    <row r="3278" spans="1:23" ht="12.3" hidden="1" x14ac:dyDescent="0.4">
      <c r="A3278" s="2" t="s">
        <v>376</v>
      </c>
      <c r="B3278" s="2"/>
      <c r="C3278" s="2"/>
      <c r="D3278" s="2"/>
      <c r="E3278" s="2"/>
      <c r="F3278" s="2"/>
      <c r="G3278" s="2"/>
      <c r="H3278" s="2"/>
      <c r="I3278" s="2">
        <v>74.786699999999996</v>
      </c>
      <c r="J3278" s="2">
        <v>4</v>
      </c>
      <c r="K3278" s="2">
        <v>73.403899999999993</v>
      </c>
      <c r="L3278" s="2">
        <v>6</v>
      </c>
      <c r="M3278" s="2">
        <v>92.535799999999995</v>
      </c>
      <c r="N3278" s="2">
        <v>316</v>
      </c>
      <c r="O3278" s="2">
        <v>91.407899999999998</v>
      </c>
      <c r="P3278" s="2">
        <v>318</v>
      </c>
      <c r="Q3278" s="2">
        <v>101.2047</v>
      </c>
      <c r="R3278" s="2">
        <v>165</v>
      </c>
      <c r="S3278" s="2">
        <v>99.641599999999997</v>
      </c>
      <c r="T3278" s="2">
        <v>119</v>
      </c>
      <c r="U3278" s="2">
        <v>0.27054600000000001</v>
      </c>
      <c r="V3278" s="2">
        <v>265</v>
      </c>
      <c r="W3278" s="2">
        <v>2011</v>
      </c>
    </row>
    <row r="3279" spans="1:23" ht="12.3" hidden="1" x14ac:dyDescent="0.4">
      <c r="A3279" s="2" t="s">
        <v>144</v>
      </c>
      <c r="B3279" s="2"/>
      <c r="C3279" s="2"/>
      <c r="D3279" s="2"/>
      <c r="E3279" s="2"/>
      <c r="F3279" s="2"/>
      <c r="G3279" s="2"/>
      <c r="H3279" s="2"/>
      <c r="I3279" s="2">
        <v>65.720699999999994</v>
      </c>
      <c r="J3279" s="2">
        <v>224</v>
      </c>
      <c r="K3279" s="2">
        <v>66.048500000000004</v>
      </c>
      <c r="L3279" s="2">
        <v>207</v>
      </c>
      <c r="M3279" s="2">
        <v>92.763499999999993</v>
      </c>
      <c r="N3279" s="2">
        <v>313</v>
      </c>
      <c r="O3279" s="2">
        <v>93.887900000000002</v>
      </c>
      <c r="P3279" s="2">
        <v>295</v>
      </c>
      <c r="Q3279" s="2">
        <v>105.3734</v>
      </c>
      <c r="R3279" s="2">
        <v>268</v>
      </c>
      <c r="S3279" s="2">
        <v>102.39109999999999</v>
      </c>
      <c r="T3279" s="2">
        <v>191</v>
      </c>
      <c r="U3279" s="2">
        <v>0.26952500000000001</v>
      </c>
      <c r="V3279" s="2">
        <v>266</v>
      </c>
      <c r="W3279" s="2">
        <v>2011</v>
      </c>
    </row>
    <row r="3280" spans="1:23" ht="12.3" hidden="1" x14ac:dyDescent="0.4">
      <c r="A3280" s="2" t="s">
        <v>269</v>
      </c>
      <c r="B3280" s="2"/>
      <c r="C3280" s="2"/>
      <c r="D3280" s="2"/>
      <c r="E3280" s="2"/>
      <c r="F3280" s="2"/>
      <c r="G3280" s="2"/>
      <c r="H3280" s="2"/>
      <c r="I3280" s="2">
        <v>68.484099999999998</v>
      </c>
      <c r="J3280" s="2">
        <v>85</v>
      </c>
      <c r="K3280" s="2">
        <v>68.078500000000005</v>
      </c>
      <c r="L3280" s="2">
        <v>93</v>
      </c>
      <c r="M3280" s="2">
        <v>104.3308</v>
      </c>
      <c r="N3280" s="2">
        <v>108</v>
      </c>
      <c r="O3280" s="2">
        <v>103.28570000000001</v>
      </c>
      <c r="P3280" s="2">
        <v>130</v>
      </c>
      <c r="Q3280" s="2">
        <v>109.6234</v>
      </c>
      <c r="R3280" s="2">
        <v>324</v>
      </c>
      <c r="S3280" s="2">
        <v>112.6895</v>
      </c>
      <c r="T3280" s="2">
        <v>337</v>
      </c>
      <c r="U3280" s="2">
        <v>0.26853199999999999</v>
      </c>
      <c r="V3280" s="2">
        <v>267</v>
      </c>
      <c r="W3280" s="2">
        <v>2011</v>
      </c>
    </row>
    <row r="3281" spans="1:23" ht="12.3" hidden="1" x14ac:dyDescent="0.4">
      <c r="A3281" s="2" t="s">
        <v>166</v>
      </c>
      <c r="B3281" s="2"/>
      <c r="C3281" s="2"/>
      <c r="D3281" s="2"/>
      <c r="E3281" s="2"/>
      <c r="F3281" s="2"/>
      <c r="G3281" s="2"/>
      <c r="H3281" s="2"/>
      <c r="I3281" s="2">
        <v>69.979500000000002</v>
      </c>
      <c r="J3281" s="2">
        <v>41</v>
      </c>
      <c r="K3281" s="2">
        <v>69.912099999999995</v>
      </c>
      <c r="L3281" s="2">
        <v>41</v>
      </c>
      <c r="M3281" s="2">
        <v>97.964600000000004</v>
      </c>
      <c r="N3281" s="2">
        <v>246</v>
      </c>
      <c r="O3281" s="2">
        <v>97.479399999999998</v>
      </c>
      <c r="P3281" s="2">
        <v>250</v>
      </c>
      <c r="Q3281" s="2">
        <v>107.3283</v>
      </c>
      <c r="R3281" s="2">
        <v>298</v>
      </c>
      <c r="S3281" s="2">
        <v>106.37520000000001</v>
      </c>
      <c r="T3281" s="2">
        <v>267</v>
      </c>
      <c r="U3281" s="2">
        <v>0.26809500000000003</v>
      </c>
      <c r="V3281" s="2">
        <v>268</v>
      </c>
      <c r="W3281" s="2">
        <v>2011</v>
      </c>
    </row>
    <row r="3282" spans="1:23" ht="12.3" hidden="1" x14ac:dyDescent="0.4">
      <c r="A3282" s="2" t="s">
        <v>284</v>
      </c>
      <c r="B3282" s="2"/>
      <c r="C3282" s="2"/>
      <c r="D3282" s="2"/>
      <c r="E3282" s="2"/>
      <c r="F3282" s="2"/>
      <c r="G3282" s="2"/>
      <c r="H3282" s="2"/>
      <c r="I3282" s="2">
        <v>66.013900000000007</v>
      </c>
      <c r="J3282" s="2">
        <v>208</v>
      </c>
      <c r="K3282" s="2">
        <v>65.581699999999998</v>
      </c>
      <c r="L3282" s="2">
        <v>231</v>
      </c>
      <c r="M3282" s="2">
        <v>96.244900000000001</v>
      </c>
      <c r="N3282" s="2">
        <v>274</v>
      </c>
      <c r="O3282" s="2">
        <v>97.143799999999999</v>
      </c>
      <c r="P3282" s="2">
        <v>256</v>
      </c>
      <c r="Q3282" s="2">
        <v>106.7319</v>
      </c>
      <c r="R3282" s="2">
        <v>288</v>
      </c>
      <c r="S3282" s="2">
        <v>106.1716</v>
      </c>
      <c r="T3282" s="2">
        <v>263</v>
      </c>
      <c r="U3282" s="2">
        <v>0.26465100000000003</v>
      </c>
      <c r="V3282" s="2">
        <v>269</v>
      </c>
      <c r="W3282" s="2">
        <v>2011</v>
      </c>
    </row>
    <row r="3283" spans="1:23" ht="12.3" hidden="1" x14ac:dyDescent="0.4">
      <c r="A3283" s="2" t="s">
        <v>211</v>
      </c>
      <c r="B3283" s="2"/>
      <c r="C3283" s="2"/>
      <c r="D3283" s="2"/>
      <c r="E3283" s="2"/>
      <c r="F3283" s="2"/>
      <c r="G3283" s="2"/>
      <c r="H3283" s="2"/>
      <c r="I3283" s="2">
        <v>65.584900000000005</v>
      </c>
      <c r="J3283" s="2">
        <v>230</v>
      </c>
      <c r="K3283" s="2">
        <v>64.833100000000002</v>
      </c>
      <c r="L3283" s="2">
        <v>257</v>
      </c>
      <c r="M3283" s="2">
        <v>92.871099999999998</v>
      </c>
      <c r="N3283" s="2">
        <v>311</v>
      </c>
      <c r="O3283" s="2">
        <v>93.289100000000005</v>
      </c>
      <c r="P3283" s="2">
        <v>301</v>
      </c>
      <c r="Q3283" s="2">
        <v>102.77679999999999</v>
      </c>
      <c r="R3283" s="2">
        <v>198</v>
      </c>
      <c r="S3283" s="2">
        <v>102.21339999999999</v>
      </c>
      <c r="T3283" s="2">
        <v>180</v>
      </c>
      <c r="U3283" s="2">
        <v>0.259104</v>
      </c>
      <c r="V3283" s="2">
        <v>270</v>
      </c>
      <c r="W3283" s="2">
        <v>2011</v>
      </c>
    </row>
    <row r="3284" spans="1:23" ht="12.3" hidden="1" x14ac:dyDescent="0.4">
      <c r="A3284" s="2" t="s">
        <v>356</v>
      </c>
      <c r="B3284" s="2"/>
      <c r="C3284" s="2"/>
      <c r="D3284" s="2"/>
      <c r="E3284" s="2"/>
      <c r="F3284" s="2"/>
      <c r="G3284" s="2"/>
      <c r="H3284" s="2"/>
      <c r="I3284" s="2">
        <v>71.100899999999996</v>
      </c>
      <c r="J3284" s="2">
        <v>28</v>
      </c>
      <c r="K3284" s="2">
        <v>71.324799999999996</v>
      </c>
      <c r="L3284" s="2">
        <v>20</v>
      </c>
      <c r="M3284" s="2">
        <v>96.515900000000002</v>
      </c>
      <c r="N3284" s="2">
        <v>272</v>
      </c>
      <c r="O3284" s="2">
        <v>96.120900000000006</v>
      </c>
      <c r="P3284" s="2">
        <v>272</v>
      </c>
      <c r="Q3284" s="2">
        <v>106.9391</v>
      </c>
      <c r="R3284" s="2">
        <v>291</v>
      </c>
      <c r="S3284" s="2">
        <v>105.3856</v>
      </c>
      <c r="T3284" s="2">
        <v>251</v>
      </c>
      <c r="U3284" s="2">
        <v>0.25764999999999999</v>
      </c>
      <c r="V3284" s="2">
        <v>271</v>
      </c>
      <c r="W3284" s="2">
        <v>2011</v>
      </c>
    </row>
    <row r="3285" spans="1:23" ht="12.3" hidden="1" x14ac:dyDescent="0.4">
      <c r="A3285" s="2" t="s">
        <v>314</v>
      </c>
      <c r="B3285" s="2"/>
      <c r="C3285" s="2"/>
      <c r="D3285" s="2"/>
      <c r="E3285" s="2"/>
      <c r="F3285" s="2"/>
      <c r="G3285" s="2"/>
      <c r="H3285" s="2"/>
      <c r="I3285" s="2">
        <v>68.375399999999999</v>
      </c>
      <c r="J3285" s="2">
        <v>89</v>
      </c>
      <c r="K3285" s="2">
        <v>68.468000000000004</v>
      </c>
      <c r="L3285" s="2">
        <v>72</v>
      </c>
      <c r="M3285" s="2">
        <v>99.440299999999993</v>
      </c>
      <c r="N3285" s="2">
        <v>214</v>
      </c>
      <c r="O3285" s="2">
        <v>98.089299999999994</v>
      </c>
      <c r="P3285" s="2">
        <v>242</v>
      </c>
      <c r="Q3285" s="2">
        <v>105.2599</v>
      </c>
      <c r="R3285" s="2">
        <v>264</v>
      </c>
      <c r="S3285" s="2">
        <v>107.75579999999999</v>
      </c>
      <c r="T3285" s="2">
        <v>290</v>
      </c>
      <c r="U3285" s="2">
        <v>0.25334099999999998</v>
      </c>
      <c r="V3285" s="2">
        <v>272</v>
      </c>
      <c r="W3285" s="2">
        <v>2011</v>
      </c>
    </row>
    <row r="3286" spans="1:23" ht="12.3" hidden="1" x14ac:dyDescent="0.4">
      <c r="A3286" s="2" t="s">
        <v>191</v>
      </c>
      <c r="B3286" s="2"/>
      <c r="C3286" s="2"/>
      <c r="D3286" s="2"/>
      <c r="E3286" s="2"/>
      <c r="F3286" s="2"/>
      <c r="G3286" s="2"/>
      <c r="H3286" s="2"/>
      <c r="I3286" s="2">
        <v>66.376300000000001</v>
      </c>
      <c r="J3286" s="2">
        <v>192</v>
      </c>
      <c r="K3286" s="2">
        <v>65.494600000000005</v>
      </c>
      <c r="L3286" s="2">
        <v>237</v>
      </c>
      <c r="M3286" s="2">
        <v>103.1217</v>
      </c>
      <c r="N3286" s="2">
        <v>131</v>
      </c>
      <c r="O3286" s="2">
        <v>100.563</v>
      </c>
      <c r="P3286" s="2">
        <v>191</v>
      </c>
      <c r="Q3286" s="2">
        <v>109.3498</v>
      </c>
      <c r="R3286" s="2">
        <v>320</v>
      </c>
      <c r="S3286" s="2">
        <v>110.5663</v>
      </c>
      <c r="T3286" s="2">
        <v>324</v>
      </c>
      <c r="U3286" s="2">
        <v>0.25151200000000001</v>
      </c>
      <c r="V3286" s="2">
        <v>273</v>
      </c>
      <c r="W3286" s="2">
        <v>2011</v>
      </c>
    </row>
    <row r="3287" spans="1:23" ht="12.3" hidden="1" x14ac:dyDescent="0.4">
      <c r="A3287" s="2" t="s">
        <v>179</v>
      </c>
      <c r="B3287" s="2"/>
      <c r="C3287" s="2"/>
      <c r="D3287" s="2"/>
      <c r="E3287" s="2"/>
      <c r="F3287" s="2"/>
      <c r="G3287" s="2"/>
      <c r="H3287" s="2"/>
      <c r="I3287" s="2">
        <v>63.8459</v>
      </c>
      <c r="J3287" s="2">
        <v>296</v>
      </c>
      <c r="K3287" s="2">
        <v>63.4069</v>
      </c>
      <c r="L3287" s="2">
        <v>312</v>
      </c>
      <c r="M3287" s="2">
        <v>99.645099999999999</v>
      </c>
      <c r="N3287" s="2">
        <v>212</v>
      </c>
      <c r="O3287" s="2">
        <v>100.6516</v>
      </c>
      <c r="P3287" s="2">
        <v>189</v>
      </c>
      <c r="Q3287" s="2">
        <v>110.2574</v>
      </c>
      <c r="R3287" s="2">
        <v>332</v>
      </c>
      <c r="S3287" s="2">
        <v>110.7298</v>
      </c>
      <c r="T3287" s="2">
        <v>328</v>
      </c>
      <c r="U3287" s="2">
        <v>0.25022299999999997</v>
      </c>
      <c r="V3287" s="2">
        <v>274</v>
      </c>
      <c r="W3287" s="2">
        <v>2011</v>
      </c>
    </row>
    <row r="3288" spans="1:23" ht="12.3" hidden="1" x14ac:dyDescent="0.4">
      <c r="A3288" s="2" t="s">
        <v>251</v>
      </c>
      <c r="B3288" s="2"/>
      <c r="C3288" s="2"/>
      <c r="D3288" s="2"/>
      <c r="E3288" s="2"/>
      <c r="F3288" s="2"/>
      <c r="G3288" s="2"/>
      <c r="H3288" s="2"/>
      <c r="I3288" s="2">
        <v>64.158699999999996</v>
      </c>
      <c r="J3288" s="2">
        <v>282</v>
      </c>
      <c r="K3288" s="2">
        <v>63.940399999999997</v>
      </c>
      <c r="L3288" s="2">
        <v>296</v>
      </c>
      <c r="M3288" s="2">
        <v>93.316800000000001</v>
      </c>
      <c r="N3288" s="2">
        <v>303</v>
      </c>
      <c r="O3288" s="2">
        <v>93.535700000000006</v>
      </c>
      <c r="P3288" s="2">
        <v>299</v>
      </c>
      <c r="Q3288" s="2">
        <v>101.10429999999999</v>
      </c>
      <c r="R3288" s="2">
        <v>161</v>
      </c>
      <c r="S3288" s="2">
        <v>103.0796</v>
      </c>
      <c r="T3288" s="2">
        <v>206</v>
      </c>
      <c r="U3288" s="2">
        <v>0.246508</v>
      </c>
      <c r="V3288" s="2">
        <v>275</v>
      </c>
      <c r="W3288" s="2">
        <v>2011</v>
      </c>
    </row>
    <row r="3289" spans="1:23" ht="12.3" hidden="1" x14ac:dyDescent="0.4">
      <c r="A3289" s="2" t="s">
        <v>352</v>
      </c>
      <c r="B3289" s="2"/>
      <c r="C3289" s="2"/>
      <c r="D3289" s="2"/>
      <c r="E3289" s="2"/>
      <c r="F3289" s="2"/>
      <c r="G3289" s="2"/>
      <c r="H3289" s="2"/>
      <c r="I3289" s="2">
        <v>63.661999999999999</v>
      </c>
      <c r="J3289" s="2">
        <v>302</v>
      </c>
      <c r="K3289" s="2">
        <v>63.990099999999998</v>
      </c>
      <c r="L3289" s="2">
        <v>294</v>
      </c>
      <c r="M3289" s="2">
        <v>87.692999999999998</v>
      </c>
      <c r="N3289" s="2">
        <v>336</v>
      </c>
      <c r="O3289" s="2">
        <v>88.720299999999995</v>
      </c>
      <c r="P3289" s="2">
        <v>332</v>
      </c>
      <c r="Q3289" s="2">
        <v>97.746200000000002</v>
      </c>
      <c r="R3289" s="2">
        <v>80</v>
      </c>
      <c r="S3289" s="2">
        <v>97.880399999999995</v>
      </c>
      <c r="T3289" s="2">
        <v>82</v>
      </c>
      <c r="U3289" s="2">
        <v>0.244167</v>
      </c>
      <c r="V3289" s="2">
        <v>276</v>
      </c>
      <c r="W3289" s="2">
        <v>2011</v>
      </c>
    </row>
    <row r="3290" spans="1:23" ht="12.3" hidden="1" x14ac:dyDescent="0.4">
      <c r="A3290" s="2" t="s">
        <v>61</v>
      </c>
      <c r="B3290" s="2"/>
      <c r="C3290" s="2"/>
      <c r="D3290" s="2"/>
      <c r="E3290" s="2"/>
      <c r="F3290" s="2"/>
      <c r="G3290" s="2"/>
      <c r="H3290" s="2"/>
      <c r="I3290" s="2">
        <v>70.7941</v>
      </c>
      <c r="J3290" s="2">
        <v>31</v>
      </c>
      <c r="K3290" s="2">
        <v>70.307400000000001</v>
      </c>
      <c r="L3290" s="2">
        <v>36</v>
      </c>
      <c r="M3290" s="2">
        <v>95.377499999999998</v>
      </c>
      <c r="N3290" s="2">
        <v>284</v>
      </c>
      <c r="O3290" s="2">
        <v>97.7286</v>
      </c>
      <c r="P3290" s="2">
        <v>249</v>
      </c>
      <c r="Q3290" s="2">
        <v>109.5496</v>
      </c>
      <c r="R3290" s="2">
        <v>323</v>
      </c>
      <c r="S3290" s="2">
        <v>107.82899999999999</v>
      </c>
      <c r="T3290" s="2">
        <v>293</v>
      </c>
      <c r="U3290" s="2">
        <v>0.24396699999999999</v>
      </c>
      <c r="V3290" s="2">
        <v>277</v>
      </c>
      <c r="W3290" s="2">
        <v>2011</v>
      </c>
    </row>
    <row r="3291" spans="1:23" ht="12.3" hidden="1" x14ac:dyDescent="0.4">
      <c r="A3291" s="2" t="s">
        <v>127</v>
      </c>
      <c r="B3291" s="2"/>
      <c r="C3291" s="2"/>
      <c r="D3291" s="2"/>
      <c r="E3291" s="2"/>
      <c r="F3291" s="2"/>
      <c r="G3291" s="2"/>
      <c r="H3291" s="2"/>
      <c r="I3291" s="2">
        <v>71.559200000000004</v>
      </c>
      <c r="J3291" s="2">
        <v>23</v>
      </c>
      <c r="K3291" s="2">
        <v>70.700999999999993</v>
      </c>
      <c r="L3291" s="2">
        <v>29</v>
      </c>
      <c r="M3291" s="2">
        <v>98.010999999999996</v>
      </c>
      <c r="N3291" s="2">
        <v>244</v>
      </c>
      <c r="O3291" s="2">
        <v>98.3874</v>
      </c>
      <c r="P3291" s="2">
        <v>234</v>
      </c>
      <c r="Q3291" s="2">
        <v>111.0231</v>
      </c>
      <c r="R3291" s="2">
        <v>335</v>
      </c>
      <c r="S3291" s="2">
        <v>108.6528</v>
      </c>
      <c r="T3291" s="2">
        <v>304</v>
      </c>
      <c r="U3291" s="2">
        <v>0.24207899999999999</v>
      </c>
      <c r="V3291" s="2">
        <v>278</v>
      </c>
      <c r="W3291" s="2">
        <v>2011</v>
      </c>
    </row>
    <row r="3292" spans="1:23" ht="12.3" hidden="1" x14ac:dyDescent="0.4">
      <c r="A3292" s="2" t="s">
        <v>325</v>
      </c>
      <c r="B3292" s="2"/>
      <c r="C3292" s="2"/>
      <c r="D3292" s="2"/>
      <c r="E3292" s="2"/>
      <c r="F3292" s="2"/>
      <c r="G3292" s="2"/>
      <c r="H3292" s="2"/>
      <c r="I3292" s="2">
        <v>67.526700000000005</v>
      </c>
      <c r="J3292" s="2">
        <v>138</v>
      </c>
      <c r="K3292" s="2">
        <v>66.140100000000004</v>
      </c>
      <c r="L3292" s="2">
        <v>201</v>
      </c>
      <c r="M3292" s="2">
        <v>93.441800000000001</v>
      </c>
      <c r="N3292" s="2">
        <v>301</v>
      </c>
      <c r="O3292" s="2">
        <v>91.407499999999999</v>
      </c>
      <c r="P3292" s="2">
        <v>319</v>
      </c>
      <c r="Q3292" s="2">
        <v>94.812399999999997</v>
      </c>
      <c r="R3292" s="2">
        <v>33</v>
      </c>
      <c r="S3292" s="2">
        <v>101.04</v>
      </c>
      <c r="T3292" s="2">
        <v>144</v>
      </c>
      <c r="U3292" s="2">
        <v>0.240092</v>
      </c>
      <c r="V3292" s="2">
        <v>279</v>
      </c>
      <c r="W3292" s="2">
        <v>2011</v>
      </c>
    </row>
    <row r="3293" spans="1:23" ht="12.3" hidden="1" x14ac:dyDescent="0.4">
      <c r="A3293" s="2" t="s">
        <v>369</v>
      </c>
      <c r="B3293" s="2"/>
      <c r="C3293" s="2"/>
      <c r="D3293" s="2"/>
      <c r="E3293" s="2"/>
      <c r="F3293" s="2"/>
      <c r="G3293" s="2"/>
      <c r="H3293" s="2"/>
      <c r="I3293" s="2">
        <v>69.248599999999996</v>
      </c>
      <c r="J3293" s="2">
        <v>60</v>
      </c>
      <c r="K3293" s="2">
        <v>68.581900000000005</v>
      </c>
      <c r="L3293" s="2">
        <v>69</v>
      </c>
      <c r="M3293" s="2">
        <v>93.668000000000006</v>
      </c>
      <c r="N3293" s="2">
        <v>298</v>
      </c>
      <c r="O3293" s="2">
        <v>93.0398</v>
      </c>
      <c r="P3293" s="2">
        <v>304</v>
      </c>
      <c r="Q3293" s="2">
        <v>103.6585</v>
      </c>
      <c r="R3293" s="2">
        <v>222</v>
      </c>
      <c r="S3293" s="2">
        <v>103.0269</v>
      </c>
      <c r="T3293" s="2">
        <v>203</v>
      </c>
      <c r="U3293" s="2">
        <v>0.23639099999999999</v>
      </c>
      <c r="V3293" s="2">
        <v>280</v>
      </c>
      <c r="W3293" s="2">
        <v>2011</v>
      </c>
    </row>
    <row r="3294" spans="1:23" ht="12.3" hidden="1" x14ac:dyDescent="0.4">
      <c r="A3294" s="2" t="s">
        <v>312</v>
      </c>
      <c r="B3294" s="2"/>
      <c r="C3294" s="2"/>
      <c r="D3294" s="2"/>
      <c r="E3294" s="2"/>
      <c r="F3294" s="2"/>
      <c r="G3294" s="2"/>
      <c r="H3294" s="2"/>
      <c r="I3294" s="2">
        <v>66.184700000000007</v>
      </c>
      <c r="J3294" s="2">
        <v>201</v>
      </c>
      <c r="K3294" s="2">
        <v>64.619799999999998</v>
      </c>
      <c r="L3294" s="2">
        <v>268</v>
      </c>
      <c r="M3294" s="2">
        <v>95.975300000000004</v>
      </c>
      <c r="N3294" s="2">
        <v>276</v>
      </c>
      <c r="O3294" s="2">
        <v>95.110600000000005</v>
      </c>
      <c r="P3294" s="2">
        <v>285</v>
      </c>
      <c r="Q3294" s="2">
        <v>95.888400000000004</v>
      </c>
      <c r="R3294" s="2">
        <v>47</v>
      </c>
      <c r="S3294" s="2">
        <v>105.4687</v>
      </c>
      <c r="T3294" s="2">
        <v>254</v>
      </c>
      <c r="U3294" s="2">
        <v>0.23347399999999999</v>
      </c>
      <c r="V3294" s="2">
        <v>281</v>
      </c>
      <c r="W3294" s="2">
        <v>2011</v>
      </c>
    </row>
    <row r="3295" spans="1:23" ht="12.3" hidden="1" x14ac:dyDescent="0.4">
      <c r="A3295" s="2" t="s">
        <v>293</v>
      </c>
      <c r="B3295" s="2"/>
      <c r="C3295" s="2"/>
      <c r="D3295" s="2"/>
      <c r="E3295" s="2"/>
      <c r="F3295" s="2"/>
      <c r="G3295" s="2"/>
      <c r="H3295" s="2"/>
      <c r="I3295" s="2">
        <v>65.873699999999999</v>
      </c>
      <c r="J3295" s="2">
        <v>220</v>
      </c>
      <c r="K3295" s="2">
        <v>66.333299999999994</v>
      </c>
      <c r="L3295" s="2">
        <v>186</v>
      </c>
      <c r="M3295" s="2">
        <v>102.804</v>
      </c>
      <c r="N3295" s="2">
        <v>141</v>
      </c>
      <c r="O3295" s="2">
        <v>104.2123</v>
      </c>
      <c r="P3295" s="2">
        <v>114</v>
      </c>
      <c r="Q3295" s="2">
        <v>114.6858</v>
      </c>
      <c r="R3295" s="2">
        <v>342</v>
      </c>
      <c r="S3295" s="2">
        <v>115.5856</v>
      </c>
      <c r="T3295" s="2">
        <v>342</v>
      </c>
      <c r="U3295" s="2">
        <v>0.233047</v>
      </c>
      <c r="V3295" s="2">
        <v>282</v>
      </c>
      <c r="W3295" s="2">
        <v>2011</v>
      </c>
    </row>
    <row r="3296" spans="1:23" ht="12.3" hidden="1" x14ac:dyDescent="0.4">
      <c r="A3296" s="2" t="s">
        <v>313</v>
      </c>
      <c r="B3296" s="2"/>
      <c r="C3296" s="2"/>
      <c r="D3296" s="2"/>
      <c r="E3296" s="2"/>
      <c r="F3296" s="2"/>
      <c r="G3296" s="2"/>
      <c r="H3296" s="2"/>
      <c r="I3296" s="2">
        <v>62.258099999999999</v>
      </c>
      <c r="J3296" s="2">
        <v>326</v>
      </c>
      <c r="K3296" s="2">
        <v>61.747300000000003</v>
      </c>
      <c r="L3296" s="2">
        <v>329</v>
      </c>
      <c r="M3296" s="2">
        <v>100.8734</v>
      </c>
      <c r="N3296" s="2">
        <v>191</v>
      </c>
      <c r="O3296" s="2">
        <v>99.211200000000005</v>
      </c>
      <c r="P3296" s="2">
        <v>224</v>
      </c>
      <c r="Q3296" s="2">
        <v>104.9541</v>
      </c>
      <c r="R3296" s="2">
        <v>258</v>
      </c>
      <c r="S3296" s="2">
        <v>110.19580000000001</v>
      </c>
      <c r="T3296" s="2">
        <v>320</v>
      </c>
      <c r="U3296" s="2">
        <v>0.230129</v>
      </c>
      <c r="V3296" s="2">
        <v>283</v>
      </c>
      <c r="W3296" s="2">
        <v>2011</v>
      </c>
    </row>
    <row r="3297" spans="1:23" ht="12.3" hidden="1" x14ac:dyDescent="0.4">
      <c r="A3297" s="2" t="s">
        <v>209</v>
      </c>
      <c r="B3297" s="2"/>
      <c r="C3297" s="2"/>
      <c r="D3297" s="2"/>
      <c r="E3297" s="2"/>
      <c r="F3297" s="2"/>
      <c r="G3297" s="2"/>
      <c r="H3297" s="2"/>
      <c r="I3297" s="2">
        <v>69.097300000000004</v>
      </c>
      <c r="J3297" s="2">
        <v>65</v>
      </c>
      <c r="K3297" s="2">
        <v>68.782899999999998</v>
      </c>
      <c r="L3297" s="2">
        <v>64</v>
      </c>
      <c r="M3297" s="2">
        <v>97.619799999999998</v>
      </c>
      <c r="N3297" s="2">
        <v>254</v>
      </c>
      <c r="O3297" s="2">
        <v>96.536000000000001</v>
      </c>
      <c r="P3297" s="2">
        <v>266</v>
      </c>
      <c r="Q3297" s="2">
        <v>105.9537</v>
      </c>
      <c r="R3297" s="2">
        <v>275</v>
      </c>
      <c r="S3297" s="2">
        <v>107.23739999999999</v>
      </c>
      <c r="T3297" s="2">
        <v>277</v>
      </c>
      <c r="U3297" s="2">
        <v>0.22988</v>
      </c>
      <c r="V3297" s="2">
        <v>284</v>
      </c>
      <c r="W3297" s="2">
        <v>2011</v>
      </c>
    </row>
    <row r="3298" spans="1:23" ht="12.3" hidden="1" x14ac:dyDescent="0.4">
      <c r="A3298" s="2" t="s">
        <v>260</v>
      </c>
      <c r="B3298" s="2"/>
      <c r="C3298" s="2"/>
      <c r="D3298" s="2"/>
      <c r="E3298" s="2"/>
      <c r="F3298" s="2"/>
      <c r="G3298" s="2"/>
      <c r="H3298" s="2"/>
      <c r="I3298" s="2">
        <v>69.543899999999994</v>
      </c>
      <c r="J3298" s="2">
        <v>48</v>
      </c>
      <c r="K3298" s="2">
        <v>69.421000000000006</v>
      </c>
      <c r="L3298" s="2">
        <v>50</v>
      </c>
      <c r="M3298" s="2">
        <v>100.5398</v>
      </c>
      <c r="N3298" s="2">
        <v>196</v>
      </c>
      <c r="O3298" s="2">
        <v>99.463099999999997</v>
      </c>
      <c r="P3298" s="2">
        <v>216</v>
      </c>
      <c r="Q3298" s="2">
        <v>107.7979</v>
      </c>
      <c r="R3298" s="2">
        <v>304</v>
      </c>
      <c r="S3298" s="2">
        <v>110.5928</v>
      </c>
      <c r="T3298" s="2">
        <v>325</v>
      </c>
      <c r="U3298" s="2">
        <v>0.22797300000000001</v>
      </c>
      <c r="V3298" s="2">
        <v>285</v>
      </c>
      <c r="W3298" s="2">
        <v>2011</v>
      </c>
    </row>
    <row r="3299" spans="1:23" ht="12.3" hidden="1" x14ac:dyDescent="0.4">
      <c r="A3299" s="2" t="s">
        <v>303</v>
      </c>
      <c r="B3299" s="2"/>
      <c r="C3299" s="2"/>
      <c r="D3299" s="2"/>
      <c r="E3299" s="2"/>
      <c r="F3299" s="2"/>
      <c r="G3299" s="2"/>
      <c r="H3299" s="2"/>
      <c r="I3299" s="2">
        <v>67.101799999999997</v>
      </c>
      <c r="J3299" s="2">
        <v>165</v>
      </c>
      <c r="K3299" s="2">
        <v>67.512799999999999</v>
      </c>
      <c r="L3299" s="2">
        <v>125</v>
      </c>
      <c r="M3299" s="2">
        <v>96.675299999999993</v>
      </c>
      <c r="N3299" s="2">
        <v>268</v>
      </c>
      <c r="O3299" s="2">
        <v>96.808499999999995</v>
      </c>
      <c r="P3299" s="2">
        <v>261</v>
      </c>
      <c r="Q3299" s="2">
        <v>106.07389999999999</v>
      </c>
      <c r="R3299" s="2">
        <v>277</v>
      </c>
      <c r="S3299" s="2">
        <v>107.80710000000001</v>
      </c>
      <c r="T3299" s="2">
        <v>291</v>
      </c>
      <c r="U3299" s="2">
        <v>0.22486999999999999</v>
      </c>
      <c r="V3299" s="2">
        <v>286</v>
      </c>
      <c r="W3299" s="2">
        <v>2011</v>
      </c>
    </row>
    <row r="3300" spans="1:23" ht="12.3" hidden="1" x14ac:dyDescent="0.4">
      <c r="A3300" s="2" t="s">
        <v>235</v>
      </c>
      <c r="B3300" s="2"/>
      <c r="C3300" s="2"/>
      <c r="D3300" s="2"/>
      <c r="E3300" s="2"/>
      <c r="F3300" s="2"/>
      <c r="G3300" s="2"/>
      <c r="H3300" s="2"/>
      <c r="I3300" s="2">
        <v>64.789199999999994</v>
      </c>
      <c r="J3300" s="2">
        <v>260</v>
      </c>
      <c r="K3300" s="2">
        <v>64.699600000000004</v>
      </c>
      <c r="L3300" s="2">
        <v>263</v>
      </c>
      <c r="M3300" s="2">
        <v>90.375399999999999</v>
      </c>
      <c r="N3300" s="2">
        <v>325</v>
      </c>
      <c r="O3300" s="2">
        <v>90.327399999999997</v>
      </c>
      <c r="P3300" s="2">
        <v>327</v>
      </c>
      <c r="Q3300" s="2">
        <v>98.903700000000001</v>
      </c>
      <c r="R3300" s="2">
        <v>103</v>
      </c>
      <c r="S3300" s="2">
        <v>100.5938</v>
      </c>
      <c r="T3300" s="2">
        <v>132</v>
      </c>
      <c r="U3300" s="2">
        <v>0.22478899999999999</v>
      </c>
      <c r="V3300" s="2">
        <v>287</v>
      </c>
      <c r="W3300" s="2">
        <v>2011</v>
      </c>
    </row>
    <row r="3301" spans="1:23" ht="12.3" hidden="1" x14ac:dyDescent="0.4">
      <c r="A3301" s="2" t="s">
        <v>280</v>
      </c>
      <c r="B3301" s="2"/>
      <c r="C3301" s="2"/>
      <c r="D3301" s="2"/>
      <c r="E3301" s="2"/>
      <c r="F3301" s="2"/>
      <c r="G3301" s="2"/>
      <c r="H3301" s="2"/>
      <c r="I3301" s="2">
        <v>69.544300000000007</v>
      </c>
      <c r="J3301" s="2">
        <v>47</v>
      </c>
      <c r="K3301" s="2">
        <v>69.169300000000007</v>
      </c>
      <c r="L3301" s="2">
        <v>55</v>
      </c>
      <c r="M3301" s="2">
        <v>96.486099999999993</v>
      </c>
      <c r="N3301" s="2">
        <v>273</v>
      </c>
      <c r="O3301" s="2">
        <v>96.976500000000001</v>
      </c>
      <c r="P3301" s="2">
        <v>259</v>
      </c>
      <c r="Q3301" s="2">
        <v>107.2778</v>
      </c>
      <c r="R3301" s="2">
        <v>297</v>
      </c>
      <c r="S3301" s="2">
        <v>108.08069999999999</v>
      </c>
      <c r="T3301" s="2">
        <v>298</v>
      </c>
      <c r="U3301" s="2">
        <v>0.22327</v>
      </c>
      <c r="V3301" s="2">
        <v>288</v>
      </c>
      <c r="W3301" s="2">
        <v>2011</v>
      </c>
    </row>
    <row r="3302" spans="1:23" ht="12.3" hidden="1" x14ac:dyDescent="0.4">
      <c r="A3302" s="2" t="s">
        <v>275</v>
      </c>
      <c r="B3302" s="2"/>
      <c r="C3302" s="2"/>
      <c r="D3302" s="2"/>
      <c r="E3302" s="2"/>
      <c r="F3302" s="2"/>
      <c r="G3302" s="2"/>
      <c r="H3302" s="2"/>
      <c r="I3302" s="2">
        <v>62.607900000000001</v>
      </c>
      <c r="J3302" s="2">
        <v>319</v>
      </c>
      <c r="K3302" s="2">
        <v>62.917200000000001</v>
      </c>
      <c r="L3302" s="2">
        <v>320</v>
      </c>
      <c r="M3302" s="2">
        <v>95.311300000000003</v>
      </c>
      <c r="N3302" s="2">
        <v>286</v>
      </c>
      <c r="O3302" s="2">
        <v>95.528700000000001</v>
      </c>
      <c r="P3302" s="2">
        <v>280</v>
      </c>
      <c r="Q3302" s="2">
        <v>104.3857</v>
      </c>
      <c r="R3302" s="2">
        <v>250</v>
      </c>
      <c r="S3302" s="2">
        <v>106.5479</v>
      </c>
      <c r="T3302" s="2">
        <v>269</v>
      </c>
      <c r="U3302" s="2">
        <v>0.22176000000000001</v>
      </c>
      <c r="V3302" s="2">
        <v>289</v>
      </c>
      <c r="W3302" s="2">
        <v>2011</v>
      </c>
    </row>
    <row r="3303" spans="1:23" ht="12.3" x14ac:dyDescent="0.4">
      <c r="A3303" s="2" t="s">
        <v>194</v>
      </c>
      <c r="B3303" s="2">
        <v>14</v>
      </c>
      <c r="C3303" s="2"/>
      <c r="D3303" s="2"/>
      <c r="E3303" s="2"/>
      <c r="F3303" s="2"/>
      <c r="G3303" s="2"/>
      <c r="H3303" s="2"/>
      <c r="I3303" s="2">
        <v>71.415000000000006</v>
      </c>
      <c r="J3303" s="2">
        <v>37</v>
      </c>
      <c r="K3303" s="2">
        <v>70.429900000000004</v>
      </c>
      <c r="L3303" s="2">
        <v>50</v>
      </c>
      <c r="M3303" s="2">
        <v>116.9511</v>
      </c>
      <c r="N3303" s="2">
        <v>5</v>
      </c>
      <c r="O3303" s="2">
        <v>113.7218</v>
      </c>
      <c r="P3303" s="2">
        <v>18</v>
      </c>
      <c r="Q3303" s="2">
        <v>107.05029999999999</v>
      </c>
      <c r="R3303" s="2">
        <v>279</v>
      </c>
      <c r="S3303" s="2">
        <v>109.56270000000001</v>
      </c>
      <c r="T3303" s="2">
        <v>301</v>
      </c>
      <c r="U3303" s="2">
        <v>0.60550700000000002</v>
      </c>
      <c r="V3303" s="2">
        <v>118</v>
      </c>
      <c r="W3303" s="2">
        <v>2005</v>
      </c>
    </row>
    <row r="3304" spans="1:23" ht="12.3" hidden="1" x14ac:dyDescent="0.4">
      <c r="A3304" s="2" t="s">
        <v>296</v>
      </c>
      <c r="B3304" s="2"/>
      <c r="C3304" s="2"/>
      <c r="D3304" s="2"/>
      <c r="E3304" s="2"/>
      <c r="F3304" s="2"/>
      <c r="G3304" s="2"/>
      <c r="H3304" s="2"/>
      <c r="I3304" s="2">
        <v>69.246499999999997</v>
      </c>
      <c r="J3304" s="2">
        <v>61</v>
      </c>
      <c r="K3304" s="2">
        <v>68.887</v>
      </c>
      <c r="L3304" s="2">
        <v>63</v>
      </c>
      <c r="M3304" s="2">
        <v>98.973799999999997</v>
      </c>
      <c r="N3304" s="2">
        <v>225</v>
      </c>
      <c r="O3304" s="2">
        <v>98.386799999999994</v>
      </c>
      <c r="P3304" s="2">
        <v>235</v>
      </c>
      <c r="Q3304" s="2">
        <v>107.0393</v>
      </c>
      <c r="R3304" s="2">
        <v>293</v>
      </c>
      <c r="S3304" s="2">
        <v>109.9243</v>
      </c>
      <c r="T3304" s="2">
        <v>314</v>
      </c>
      <c r="U3304" s="2">
        <v>0.21837100000000001</v>
      </c>
      <c r="V3304" s="2">
        <v>291</v>
      </c>
      <c r="W3304" s="2">
        <v>2011</v>
      </c>
    </row>
    <row r="3305" spans="1:23" ht="12.3" hidden="1" x14ac:dyDescent="0.4">
      <c r="A3305" s="2" t="s">
        <v>331</v>
      </c>
      <c r="B3305" s="2"/>
      <c r="C3305" s="2"/>
      <c r="D3305" s="2"/>
      <c r="E3305" s="2"/>
      <c r="F3305" s="2"/>
      <c r="G3305" s="2"/>
      <c r="H3305" s="2"/>
      <c r="I3305" s="2">
        <v>67.068200000000004</v>
      </c>
      <c r="J3305" s="2">
        <v>167</v>
      </c>
      <c r="K3305" s="2">
        <v>67.417900000000003</v>
      </c>
      <c r="L3305" s="2">
        <v>131</v>
      </c>
      <c r="M3305" s="2">
        <v>88.930800000000005</v>
      </c>
      <c r="N3305" s="2">
        <v>332</v>
      </c>
      <c r="O3305" s="2">
        <v>88.046499999999995</v>
      </c>
      <c r="P3305" s="2">
        <v>335</v>
      </c>
      <c r="Q3305" s="2">
        <v>97.063299999999998</v>
      </c>
      <c r="R3305" s="2">
        <v>68</v>
      </c>
      <c r="S3305" s="2">
        <v>98.461600000000004</v>
      </c>
      <c r="T3305" s="2">
        <v>97</v>
      </c>
      <c r="U3305" s="2">
        <v>0.21657799999999999</v>
      </c>
      <c r="V3305" s="2">
        <v>292</v>
      </c>
      <c r="W3305" s="2">
        <v>2011</v>
      </c>
    </row>
    <row r="3306" spans="1:23" ht="12.3" hidden="1" x14ac:dyDescent="0.4">
      <c r="A3306" s="2" t="s">
        <v>249</v>
      </c>
      <c r="B3306" s="2"/>
      <c r="C3306" s="2"/>
      <c r="D3306" s="2"/>
      <c r="E3306" s="2"/>
      <c r="F3306" s="2"/>
      <c r="G3306" s="2"/>
      <c r="H3306" s="2"/>
      <c r="I3306" s="2">
        <v>67.875</v>
      </c>
      <c r="J3306" s="2">
        <v>118</v>
      </c>
      <c r="K3306" s="2">
        <v>68.325400000000002</v>
      </c>
      <c r="L3306" s="2">
        <v>80</v>
      </c>
      <c r="M3306" s="2">
        <v>94.774299999999997</v>
      </c>
      <c r="N3306" s="2">
        <v>291</v>
      </c>
      <c r="O3306" s="2">
        <v>96.477000000000004</v>
      </c>
      <c r="P3306" s="2">
        <v>268</v>
      </c>
      <c r="Q3306" s="2">
        <v>108.9388</v>
      </c>
      <c r="R3306" s="2">
        <v>318</v>
      </c>
      <c r="S3306" s="2">
        <v>108.0501</v>
      </c>
      <c r="T3306" s="2">
        <v>297</v>
      </c>
      <c r="U3306" s="2">
        <v>0.21368899999999999</v>
      </c>
      <c r="V3306" s="2">
        <v>293</v>
      </c>
      <c r="W3306" s="2">
        <v>2011</v>
      </c>
    </row>
    <row r="3307" spans="1:23" ht="12.3" hidden="1" x14ac:dyDescent="0.4">
      <c r="A3307" s="2" t="s">
        <v>320</v>
      </c>
      <c r="B3307" s="2"/>
      <c r="C3307" s="2"/>
      <c r="D3307" s="2"/>
      <c r="E3307" s="2"/>
      <c r="F3307" s="2"/>
      <c r="G3307" s="2"/>
      <c r="H3307" s="2"/>
      <c r="I3307" s="2">
        <v>70.3322</v>
      </c>
      <c r="J3307" s="2">
        <v>40</v>
      </c>
      <c r="K3307" s="2">
        <v>69.775899999999993</v>
      </c>
      <c r="L3307" s="2">
        <v>43</v>
      </c>
      <c r="M3307" s="2">
        <v>97.915899999999993</v>
      </c>
      <c r="N3307" s="2">
        <v>247</v>
      </c>
      <c r="O3307" s="2">
        <v>96.652799999999999</v>
      </c>
      <c r="P3307" s="2">
        <v>264</v>
      </c>
      <c r="Q3307" s="2">
        <v>104.3249</v>
      </c>
      <c r="R3307" s="2">
        <v>247</v>
      </c>
      <c r="S3307" s="2">
        <v>108.3062</v>
      </c>
      <c r="T3307" s="2">
        <v>301</v>
      </c>
      <c r="U3307" s="2">
        <v>0.21263299999999999</v>
      </c>
      <c r="V3307" s="2">
        <v>294</v>
      </c>
      <c r="W3307" s="2">
        <v>2011</v>
      </c>
    </row>
    <row r="3308" spans="1:23" ht="12.3" hidden="1" x14ac:dyDescent="0.4">
      <c r="A3308" s="2" t="s">
        <v>377</v>
      </c>
      <c r="B3308" s="2"/>
      <c r="C3308" s="2"/>
      <c r="D3308" s="2"/>
      <c r="E3308" s="2"/>
      <c r="F3308" s="2"/>
      <c r="G3308" s="2"/>
      <c r="H3308" s="2"/>
      <c r="I3308" s="2">
        <v>72.7637</v>
      </c>
      <c r="J3308" s="2">
        <v>11</v>
      </c>
      <c r="K3308" s="2">
        <v>71.856300000000005</v>
      </c>
      <c r="L3308" s="2">
        <v>14</v>
      </c>
      <c r="M3308" s="2">
        <v>104.2996</v>
      </c>
      <c r="N3308" s="2">
        <v>109</v>
      </c>
      <c r="O3308" s="2">
        <v>98.497799999999998</v>
      </c>
      <c r="P3308" s="2">
        <v>231</v>
      </c>
      <c r="Q3308" s="2">
        <v>103.7304</v>
      </c>
      <c r="R3308" s="2">
        <v>224</v>
      </c>
      <c r="S3308" s="2">
        <v>110.59610000000001</v>
      </c>
      <c r="T3308" s="2">
        <v>326</v>
      </c>
      <c r="U3308" s="2">
        <v>0.208784</v>
      </c>
      <c r="V3308" s="2">
        <v>295</v>
      </c>
      <c r="W3308" s="2">
        <v>2011</v>
      </c>
    </row>
    <row r="3309" spans="1:23" ht="12.3" hidden="1" x14ac:dyDescent="0.4">
      <c r="A3309" s="2" t="s">
        <v>287</v>
      </c>
      <c r="B3309" s="2"/>
      <c r="C3309" s="2"/>
      <c r="D3309" s="2"/>
      <c r="E3309" s="2"/>
      <c r="F3309" s="2"/>
      <c r="G3309" s="2"/>
      <c r="H3309" s="2"/>
      <c r="I3309" s="2">
        <v>68.902199999999993</v>
      </c>
      <c r="J3309" s="2">
        <v>74</v>
      </c>
      <c r="K3309" s="2">
        <v>68.427400000000006</v>
      </c>
      <c r="L3309" s="2">
        <v>74</v>
      </c>
      <c r="M3309" s="2">
        <v>99.253699999999995</v>
      </c>
      <c r="N3309" s="2">
        <v>218</v>
      </c>
      <c r="O3309" s="2">
        <v>98.662400000000005</v>
      </c>
      <c r="P3309" s="2">
        <v>230</v>
      </c>
      <c r="Q3309" s="2">
        <v>107.4289</v>
      </c>
      <c r="R3309" s="2">
        <v>300</v>
      </c>
      <c r="S3309" s="2">
        <v>110.9562</v>
      </c>
      <c r="T3309" s="2">
        <v>332</v>
      </c>
      <c r="U3309" s="2">
        <v>0.20579500000000001</v>
      </c>
      <c r="V3309" s="2">
        <v>296</v>
      </c>
      <c r="W3309" s="2">
        <v>2011</v>
      </c>
    </row>
    <row r="3310" spans="1:23" ht="12.3" hidden="1" x14ac:dyDescent="0.4">
      <c r="A3310" s="2" t="s">
        <v>133</v>
      </c>
      <c r="B3310" s="2"/>
      <c r="C3310" s="2"/>
      <c r="D3310" s="2"/>
      <c r="E3310" s="2"/>
      <c r="F3310" s="2"/>
      <c r="G3310" s="2"/>
      <c r="H3310" s="2"/>
      <c r="I3310" s="2">
        <v>65.5364</v>
      </c>
      <c r="J3310" s="2">
        <v>232</v>
      </c>
      <c r="K3310" s="2">
        <v>64.655500000000004</v>
      </c>
      <c r="L3310" s="2">
        <v>266</v>
      </c>
      <c r="M3310" s="2">
        <v>90.251300000000001</v>
      </c>
      <c r="N3310" s="2">
        <v>326</v>
      </c>
      <c r="O3310" s="2">
        <v>92.682100000000005</v>
      </c>
      <c r="P3310" s="2">
        <v>308</v>
      </c>
      <c r="Q3310" s="2">
        <v>108.13809999999999</v>
      </c>
      <c r="R3310" s="2">
        <v>312</v>
      </c>
      <c r="S3310" s="2">
        <v>104.2409</v>
      </c>
      <c r="T3310" s="2">
        <v>232</v>
      </c>
      <c r="U3310" s="2">
        <v>0.20561099999999999</v>
      </c>
      <c r="V3310" s="2">
        <v>297</v>
      </c>
      <c r="W3310" s="2">
        <v>2011</v>
      </c>
    </row>
    <row r="3311" spans="1:23" ht="12.3" hidden="1" x14ac:dyDescent="0.4">
      <c r="A3311" s="2" t="s">
        <v>310</v>
      </c>
      <c r="B3311" s="2"/>
      <c r="C3311" s="2"/>
      <c r="D3311" s="2"/>
      <c r="E3311" s="2"/>
      <c r="F3311" s="2"/>
      <c r="G3311" s="2"/>
      <c r="H3311" s="2"/>
      <c r="I3311" s="2">
        <v>61.908200000000001</v>
      </c>
      <c r="J3311" s="2">
        <v>330</v>
      </c>
      <c r="K3311" s="2">
        <v>62.912999999999997</v>
      </c>
      <c r="L3311" s="2">
        <v>321</v>
      </c>
      <c r="M3311" s="2">
        <v>92.066400000000002</v>
      </c>
      <c r="N3311" s="2">
        <v>318</v>
      </c>
      <c r="O3311" s="2">
        <v>89.937100000000001</v>
      </c>
      <c r="P3311" s="2">
        <v>329</v>
      </c>
      <c r="Q3311" s="2">
        <v>98.253</v>
      </c>
      <c r="R3311" s="2">
        <v>90</v>
      </c>
      <c r="S3311" s="2">
        <v>101.19540000000001</v>
      </c>
      <c r="T3311" s="2">
        <v>152</v>
      </c>
      <c r="U3311" s="2">
        <v>0.20483499999999999</v>
      </c>
      <c r="V3311" s="2">
        <v>298</v>
      </c>
      <c r="W3311" s="2">
        <v>2011</v>
      </c>
    </row>
    <row r="3312" spans="1:23" ht="12.3" hidden="1" x14ac:dyDescent="0.4">
      <c r="A3312" s="2" t="s">
        <v>375</v>
      </c>
      <c r="B3312" s="2"/>
      <c r="C3312" s="2"/>
      <c r="D3312" s="2"/>
      <c r="E3312" s="2"/>
      <c r="F3312" s="2"/>
      <c r="G3312" s="2"/>
      <c r="H3312" s="2"/>
      <c r="I3312" s="2">
        <v>67.009600000000006</v>
      </c>
      <c r="J3312" s="2">
        <v>170</v>
      </c>
      <c r="K3312" s="2">
        <v>66.207800000000006</v>
      </c>
      <c r="L3312" s="2">
        <v>197</v>
      </c>
      <c r="M3312" s="2">
        <v>98.390699999999995</v>
      </c>
      <c r="N3312" s="2">
        <v>236</v>
      </c>
      <c r="O3312" s="2">
        <v>99.909700000000001</v>
      </c>
      <c r="P3312" s="2">
        <v>203</v>
      </c>
      <c r="Q3312" s="2">
        <v>112.989</v>
      </c>
      <c r="R3312" s="2">
        <v>340</v>
      </c>
      <c r="S3312" s="2">
        <v>112.45610000000001</v>
      </c>
      <c r="T3312" s="2">
        <v>336</v>
      </c>
      <c r="U3312" s="2">
        <v>0.204175</v>
      </c>
      <c r="V3312" s="2">
        <v>299</v>
      </c>
      <c r="W3312" s="2">
        <v>2011</v>
      </c>
    </row>
    <row r="3313" spans="1:23" ht="12.3" hidden="1" x14ac:dyDescent="0.4">
      <c r="A3313" s="2" t="s">
        <v>194</v>
      </c>
      <c r="B3313" s="2"/>
      <c r="C3313" s="2"/>
      <c r="D3313" s="2"/>
      <c r="E3313" s="2"/>
      <c r="F3313" s="2"/>
      <c r="G3313" s="2"/>
      <c r="H3313" s="2"/>
      <c r="I3313" s="2">
        <v>68.593400000000003</v>
      </c>
      <c r="J3313" s="2">
        <v>82</v>
      </c>
      <c r="K3313" s="2">
        <v>68.242999999999995</v>
      </c>
      <c r="L3313" s="2">
        <v>86</v>
      </c>
      <c r="M3313" s="2">
        <v>89.812299999999993</v>
      </c>
      <c r="N3313" s="2">
        <v>327</v>
      </c>
      <c r="O3313" s="2">
        <v>90.589699999999993</v>
      </c>
      <c r="P3313" s="2">
        <v>323</v>
      </c>
      <c r="Q3313" s="2">
        <v>102.4396</v>
      </c>
      <c r="R3313" s="2">
        <v>194</v>
      </c>
      <c r="S3313" s="2">
        <v>102.2235</v>
      </c>
      <c r="T3313" s="2">
        <v>181</v>
      </c>
      <c r="U3313" s="2">
        <v>0.19949700000000001</v>
      </c>
      <c r="V3313" s="2">
        <v>300</v>
      </c>
      <c r="W3313" s="2">
        <v>2011</v>
      </c>
    </row>
    <row r="3314" spans="1:23" ht="12.3" hidden="1" x14ac:dyDescent="0.4">
      <c r="A3314" s="2" t="s">
        <v>294</v>
      </c>
      <c r="B3314" s="2"/>
      <c r="C3314" s="2"/>
      <c r="D3314" s="2"/>
      <c r="E3314" s="2"/>
      <c r="F3314" s="2"/>
      <c r="G3314" s="2"/>
      <c r="H3314" s="2"/>
      <c r="I3314" s="2">
        <v>64.875500000000002</v>
      </c>
      <c r="J3314" s="2">
        <v>255</v>
      </c>
      <c r="K3314" s="2">
        <v>65.146600000000007</v>
      </c>
      <c r="L3314" s="2">
        <v>247</v>
      </c>
      <c r="M3314" s="2">
        <v>97.096699999999998</v>
      </c>
      <c r="N3314" s="2">
        <v>262</v>
      </c>
      <c r="O3314" s="2">
        <v>97.837599999999995</v>
      </c>
      <c r="P3314" s="2">
        <v>248</v>
      </c>
      <c r="Q3314" s="2">
        <v>111.1075</v>
      </c>
      <c r="R3314" s="2">
        <v>336</v>
      </c>
      <c r="S3314" s="2">
        <v>110.6168</v>
      </c>
      <c r="T3314" s="2">
        <v>327</v>
      </c>
      <c r="U3314" s="2">
        <v>0.19595399999999999</v>
      </c>
      <c r="V3314" s="2">
        <v>301</v>
      </c>
      <c r="W3314" s="2">
        <v>2011</v>
      </c>
    </row>
    <row r="3315" spans="1:23" ht="12.3" hidden="1" x14ac:dyDescent="0.4">
      <c r="A3315" s="2" t="s">
        <v>247</v>
      </c>
      <c r="B3315" s="2"/>
      <c r="C3315" s="2"/>
      <c r="D3315" s="2"/>
      <c r="E3315" s="2"/>
      <c r="F3315" s="2"/>
      <c r="G3315" s="2"/>
      <c r="H3315" s="2"/>
      <c r="I3315" s="2">
        <v>67.773899999999998</v>
      </c>
      <c r="J3315" s="2">
        <v>127</v>
      </c>
      <c r="K3315" s="2">
        <v>67.559899999999999</v>
      </c>
      <c r="L3315" s="2">
        <v>120</v>
      </c>
      <c r="M3315" s="2">
        <v>94.661600000000007</v>
      </c>
      <c r="N3315" s="2">
        <v>292</v>
      </c>
      <c r="O3315" s="2">
        <v>97.303600000000003</v>
      </c>
      <c r="P3315" s="2">
        <v>253</v>
      </c>
      <c r="Q3315" s="2">
        <v>110.2967</v>
      </c>
      <c r="R3315" s="2">
        <v>333</v>
      </c>
      <c r="S3315" s="2">
        <v>110.0882</v>
      </c>
      <c r="T3315" s="2">
        <v>318</v>
      </c>
      <c r="U3315" s="2">
        <v>0.19472</v>
      </c>
      <c r="V3315" s="2">
        <v>302</v>
      </c>
      <c r="W3315" s="2">
        <v>2011</v>
      </c>
    </row>
    <row r="3316" spans="1:23" ht="12.3" hidden="1" x14ac:dyDescent="0.4">
      <c r="A3316" s="2" t="s">
        <v>378</v>
      </c>
      <c r="B3316" s="2"/>
      <c r="C3316" s="2"/>
      <c r="D3316" s="2"/>
      <c r="E3316" s="2"/>
      <c r="F3316" s="2"/>
      <c r="G3316" s="2"/>
      <c r="H3316" s="2"/>
      <c r="I3316" s="2">
        <v>68.039100000000005</v>
      </c>
      <c r="J3316" s="2">
        <v>109</v>
      </c>
      <c r="K3316" s="2">
        <v>67.539299999999997</v>
      </c>
      <c r="L3316" s="2">
        <v>123</v>
      </c>
      <c r="M3316" s="2">
        <v>95.773700000000005</v>
      </c>
      <c r="N3316" s="2">
        <v>281</v>
      </c>
      <c r="O3316" s="2">
        <v>90.353499999999997</v>
      </c>
      <c r="P3316" s="2">
        <v>326</v>
      </c>
      <c r="Q3316" s="2">
        <v>100.3582</v>
      </c>
      <c r="R3316" s="2">
        <v>138</v>
      </c>
      <c r="S3316" s="2">
        <v>102.3582</v>
      </c>
      <c r="T3316" s="2">
        <v>187</v>
      </c>
      <c r="U3316" s="2">
        <v>0.19238</v>
      </c>
      <c r="V3316" s="2">
        <v>303</v>
      </c>
      <c r="W3316" s="2">
        <v>2011</v>
      </c>
    </row>
    <row r="3317" spans="1:23" ht="12.3" hidden="1" x14ac:dyDescent="0.4">
      <c r="A3317" s="2" t="s">
        <v>295</v>
      </c>
      <c r="B3317" s="2"/>
      <c r="C3317" s="2"/>
      <c r="D3317" s="2"/>
      <c r="E3317" s="2"/>
      <c r="F3317" s="2"/>
      <c r="G3317" s="2"/>
      <c r="H3317" s="2"/>
      <c r="I3317" s="2">
        <v>63.3979</v>
      </c>
      <c r="J3317" s="2">
        <v>305</v>
      </c>
      <c r="K3317" s="2">
        <v>64.070700000000002</v>
      </c>
      <c r="L3317" s="2">
        <v>293</v>
      </c>
      <c r="M3317" s="2">
        <v>92.886499999999998</v>
      </c>
      <c r="N3317" s="2">
        <v>310</v>
      </c>
      <c r="O3317" s="2">
        <v>91.930899999999994</v>
      </c>
      <c r="P3317" s="2">
        <v>314</v>
      </c>
      <c r="Q3317" s="2">
        <v>99.9285</v>
      </c>
      <c r="R3317" s="2">
        <v>124</v>
      </c>
      <c r="S3317" s="2">
        <v>104.1891</v>
      </c>
      <c r="T3317" s="2">
        <v>230</v>
      </c>
      <c r="U3317" s="2">
        <v>0.19162999999999999</v>
      </c>
      <c r="V3317" s="2">
        <v>304</v>
      </c>
      <c r="W3317" s="2">
        <v>2011</v>
      </c>
    </row>
    <row r="3318" spans="1:23" ht="12.3" hidden="1" x14ac:dyDescent="0.4">
      <c r="A3318" s="2" t="s">
        <v>298</v>
      </c>
      <c r="B3318" s="2"/>
      <c r="C3318" s="2"/>
      <c r="D3318" s="2"/>
      <c r="E3318" s="2"/>
      <c r="F3318" s="2"/>
      <c r="G3318" s="2"/>
      <c r="H3318" s="2"/>
      <c r="I3318" s="2">
        <v>66.734300000000005</v>
      </c>
      <c r="J3318" s="2">
        <v>174</v>
      </c>
      <c r="K3318" s="2">
        <v>66.623199999999997</v>
      </c>
      <c r="L3318" s="2">
        <v>174</v>
      </c>
      <c r="M3318" s="2">
        <v>94.658100000000005</v>
      </c>
      <c r="N3318" s="2">
        <v>293</v>
      </c>
      <c r="O3318" s="2">
        <v>95.347800000000007</v>
      </c>
      <c r="P3318" s="2">
        <v>282</v>
      </c>
      <c r="Q3318" s="2">
        <v>106.2426</v>
      </c>
      <c r="R3318" s="2">
        <v>280</v>
      </c>
      <c r="S3318" s="2">
        <v>108.3656</v>
      </c>
      <c r="T3318" s="2">
        <v>302</v>
      </c>
      <c r="U3318" s="2">
        <v>0.18667400000000001</v>
      </c>
      <c r="V3318" s="2">
        <v>305</v>
      </c>
      <c r="W3318" s="2">
        <v>2011</v>
      </c>
    </row>
    <row r="3319" spans="1:23" ht="12.3" hidden="1" x14ac:dyDescent="0.4">
      <c r="A3319" s="2" t="s">
        <v>315</v>
      </c>
      <c r="B3319" s="2"/>
      <c r="C3319" s="2"/>
      <c r="D3319" s="2"/>
      <c r="E3319" s="2"/>
      <c r="F3319" s="2"/>
      <c r="G3319" s="2"/>
      <c r="H3319" s="2"/>
      <c r="I3319" s="2">
        <v>61.713099999999997</v>
      </c>
      <c r="J3319" s="2">
        <v>333</v>
      </c>
      <c r="K3319" s="2">
        <v>62.878700000000002</v>
      </c>
      <c r="L3319" s="2">
        <v>322</v>
      </c>
      <c r="M3319" s="2">
        <v>95.883099999999999</v>
      </c>
      <c r="N3319" s="2">
        <v>279</v>
      </c>
      <c r="O3319" s="2">
        <v>96.810299999999998</v>
      </c>
      <c r="P3319" s="2">
        <v>260</v>
      </c>
      <c r="Q3319" s="2">
        <v>109.9555</v>
      </c>
      <c r="R3319" s="2">
        <v>328</v>
      </c>
      <c r="S3319" s="2">
        <v>110.17610000000001</v>
      </c>
      <c r="T3319" s="2">
        <v>319</v>
      </c>
      <c r="U3319" s="2">
        <v>0.184334</v>
      </c>
      <c r="V3319" s="2">
        <v>306</v>
      </c>
      <c r="W3319" s="2">
        <v>2011</v>
      </c>
    </row>
    <row r="3320" spans="1:23" ht="12.3" hidden="1" x14ac:dyDescent="0.4">
      <c r="A3320" s="2" t="s">
        <v>264</v>
      </c>
      <c r="B3320" s="2"/>
      <c r="C3320" s="2"/>
      <c r="D3320" s="2"/>
      <c r="E3320" s="2"/>
      <c r="F3320" s="2"/>
      <c r="G3320" s="2"/>
      <c r="H3320" s="2"/>
      <c r="I3320" s="2">
        <v>63.490299999999998</v>
      </c>
      <c r="J3320" s="2">
        <v>304</v>
      </c>
      <c r="K3320" s="2">
        <v>64.126099999999994</v>
      </c>
      <c r="L3320" s="2">
        <v>289</v>
      </c>
      <c r="M3320" s="2">
        <v>93.688500000000005</v>
      </c>
      <c r="N3320" s="2">
        <v>297</v>
      </c>
      <c r="O3320" s="2">
        <v>91.927700000000002</v>
      </c>
      <c r="P3320" s="2">
        <v>315</v>
      </c>
      <c r="Q3320" s="2">
        <v>103.92</v>
      </c>
      <c r="R3320" s="2">
        <v>231</v>
      </c>
      <c r="S3320" s="2">
        <v>104.8219</v>
      </c>
      <c r="T3320" s="2">
        <v>241</v>
      </c>
      <c r="U3320" s="2">
        <v>0.18101400000000001</v>
      </c>
      <c r="V3320" s="2">
        <v>307</v>
      </c>
      <c r="W3320" s="2">
        <v>2011</v>
      </c>
    </row>
    <row r="3321" spans="1:23" ht="12.3" hidden="1" x14ac:dyDescent="0.4">
      <c r="A3321" s="2" t="s">
        <v>265</v>
      </c>
      <c r="B3321" s="2"/>
      <c r="C3321" s="2"/>
      <c r="D3321" s="2"/>
      <c r="E3321" s="2"/>
      <c r="F3321" s="2"/>
      <c r="G3321" s="2"/>
      <c r="H3321" s="2"/>
      <c r="I3321" s="2">
        <v>61.470300000000002</v>
      </c>
      <c r="J3321" s="2">
        <v>336</v>
      </c>
      <c r="K3321" s="2">
        <v>61.368499999999997</v>
      </c>
      <c r="L3321" s="2">
        <v>334</v>
      </c>
      <c r="M3321" s="2">
        <v>98.335499999999996</v>
      </c>
      <c r="N3321" s="2">
        <v>237</v>
      </c>
      <c r="O3321" s="2">
        <v>96.635800000000003</v>
      </c>
      <c r="P3321" s="2">
        <v>265</v>
      </c>
      <c r="Q3321" s="2">
        <v>107.80889999999999</v>
      </c>
      <c r="R3321" s="2">
        <v>306</v>
      </c>
      <c r="S3321" s="2">
        <v>110.35</v>
      </c>
      <c r="T3321" s="2">
        <v>322</v>
      </c>
      <c r="U3321" s="2">
        <v>0.178559</v>
      </c>
      <c r="V3321" s="2">
        <v>308</v>
      </c>
      <c r="W3321" s="2">
        <v>2011</v>
      </c>
    </row>
    <row r="3322" spans="1:23" ht="12.3" hidden="1" x14ac:dyDescent="0.4">
      <c r="A3322" s="2" t="s">
        <v>139</v>
      </c>
      <c r="B3322" s="2"/>
      <c r="C3322" s="2"/>
      <c r="D3322" s="2"/>
      <c r="E3322" s="2"/>
      <c r="F3322" s="2"/>
      <c r="G3322" s="2"/>
      <c r="H3322" s="2"/>
      <c r="I3322" s="2">
        <v>63.875399999999999</v>
      </c>
      <c r="J3322" s="2">
        <v>294</v>
      </c>
      <c r="K3322" s="2">
        <v>63.7639</v>
      </c>
      <c r="L3322" s="2">
        <v>301</v>
      </c>
      <c r="M3322" s="2">
        <v>93.194100000000006</v>
      </c>
      <c r="N3322" s="2">
        <v>305</v>
      </c>
      <c r="O3322" s="2">
        <v>95.674400000000006</v>
      </c>
      <c r="P3322" s="2">
        <v>276</v>
      </c>
      <c r="Q3322" s="2">
        <v>108.0247</v>
      </c>
      <c r="R3322" s="2">
        <v>310</v>
      </c>
      <c r="S3322" s="2">
        <v>109.271</v>
      </c>
      <c r="T3322" s="2">
        <v>307</v>
      </c>
      <c r="U3322" s="2">
        <v>0.17826900000000001</v>
      </c>
      <c r="V3322" s="2">
        <v>309</v>
      </c>
      <c r="W3322" s="2">
        <v>2011</v>
      </c>
    </row>
    <row r="3323" spans="1:23" ht="12.3" hidden="1" x14ac:dyDescent="0.4">
      <c r="A3323" s="2" t="s">
        <v>359</v>
      </c>
      <c r="B3323" s="2"/>
      <c r="C3323" s="2"/>
      <c r="D3323" s="2"/>
      <c r="E3323" s="2"/>
      <c r="F3323" s="2"/>
      <c r="G3323" s="2"/>
      <c r="H3323" s="2"/>
      <c r="I3323" s="2">
        <v>72.3185</v>
      </c>
      <c r="J3323" s="2">
        <v>16</v>
      </c>
      <c r="K3323" s="2">
        <v>70.644199999999998</v>
      </c>
      <c r="L3323" s="2">
        <v>30</v>
      </c>
      <c r="M3323" s="2">
        <v>99.491699999999994</v>
      </c>
      <c r="N3323" s="2">
        <v>213</v>
      </c>
      <c r="O3323" s="2">
        <v>103.164</v>
      </c>
      <c r="P3323" s="2">
        <v>137</v>
      </c>
      <c r="Q3323" s="2">
        <v>116.116</v>
      </c>
      <c r="R3323" s="2">
        <v>344</v>
      </c>
      <c r="S3323" s="2">
        <v>117.86969999999999</v>
      </c>
      <c r="T3323" s="2">
        <v>345</v>
      </c>
      <c r="U3323" s="2">
        <v>0.17763000000000001</v>
      </c>
      <c r="V3323" s="2">
        <v>310</v>
      </c>
      <c r="W3323" s="2">
        <v>2011</v>
      </c>
    </row>
    <row r="3324" spans="1:23" ht="12.3" hidden="1" x14ac:dyDescent="0.4">
      <c r="A3324" s="2" t="s">
        <v>366</v>
      </c>
      <c r="B3324" s="2"/>
      <c r="C3324" s="2"/>
      <c r="D3324" s="2"/>
      <c r="E3324" s="2"/>
      <c r="F3324" s="2"/>
      <c r="G3324" s="2"/>
      <c r="H3324" s="2"/>
      <c r="I3324" s="2">
        <v>68.825400000000002</v>
      </c>
      <c r="J3324" s="2">
        <v>75</v>
      </c>
      <c r="K3324" s="2">
        <v>66.565299999999993</v>
      </c>
      <c r="L3324" s="2">
        <v>175</v>
      </c>
      <c r="M3324" s="2">
        <v>96.674400000000006</v>
      </c>
      <c r="N3324" s="2">
        <v>269</v>
      </c>
      <c r="O3324" s="2">
        <v>91.610500000000002</v>
      </c>
      <c r="P3324" s="2">
        <v>316</v>
      </c>
      <c r="Q3324" s="2">
        <v>101.9442</v>
      </c>
      <c r="R3324" s="2">
        <v>187</v>
      </c>
      <c r="S3324" s="2">
        <v>104.6885</v>
      </c>
      <c r="T3324" s="2">
        <v>239</v>
      </c>
      <c r="U3324" s="2">
        <v>0.17732200000000001</v>
      </c>
      <c r="V3324" s="2">
        <v>311</v>
      </c>
      <c r="W3324" s="2">
        <v>2011</v>
      </c>
    </row>
    <row r="3325" spans="1:23" ht="12.3" hidden="1" x14ac:dyDescent="0.4">
      <c r="A3325" s="2" t="s">
        <v>330</v>
      </c>
      <c r="B3325" s="2"/>
      <c r="C3325" s="2"/>
      <c r="D3325" s="2"/>
      <c r="E3325" s="2"/>
      <c r="F3325" s="2"/>
      <c r="G3325" s="2"/>
      <c r="H3325" s="2"/>
      <c r="I3325" s="2">
        <v>67.964200000000005</v>
      </c>
      <c r="J3325" s="2">
        <v>114</v>
      </c>
      <c r="K3325" s="2">
        <v>67.102500000000006</v>
      </c>
      <c r="L3325" s="2">
        <v>148</v>
      </c>
      <c r="M3325" s="2">
        <v>93.718000000000004</v>
      </c>
      <c r="N3325" s="2">
        <v>296</v>
      </c>
      <c r="O3325" s="2">
        <v>94.113200000000006</v>
      </c>
      <c r="P3325" s="2">
        <v>294</v>
      </c>
      <c r="Q3325" s="2">
        <v>106.346</v>
      </c>
      <c r="R3325" s="2">
        <v>283</v>
      </c>
      <c r="S3325" s="2">
        <v>107.5518</v>
      </c>
      <c r="T3325" s="2">
        <v>284</v>
      </c>
      <c r="U3325" s="2">
        <v>0.17727000000000001</v>
      </c>
      <c r="V3325" s="2">
        <v>312</v>
      </c>
      <c r="W3325" s="2">
        <v>2011</v>
      </c>
    </row>
    <row r="3326" spans="1:23" ht="12.3" hidden="1" x14ac:dyDescent="0.4">
      <c r="A3326" s="2" t="s">
        <v>371</v>
      </c>
      <c r="B3326" s="2"/>
      <c r="C3326" s="2"/>
      <c r="D3326" s="2"/>
      <c r="E3326" s="2"/>
      <c r="F3326" s="2"/>
      <c r="G3326" s="2"/>
      <c r="H3326" s="2"/>
      <c r="I3326" s="2">
        <v>66.706500000000005</v>
      </c>
      <c r="J3326" s="2">
        <v>175</v>
      </c>
      <c r="K3326" s="2">
        <v>67.021000000000001</v>
      </c>
      <c r="L3326" s="2">
        <v>151</v>
      </c>
      <c r="M3326" s="2">
        <v>97.278099999999995</v>
      </c>
      <c r="N3326" s="2">
        <v>260</v>
      </c>
      <c r="O3326" s="2">
        <v>95.585300000000004</v>
      </c>
      <c r="P3326" s="2">
        <v>278</v>
      </c>
      <c r="Q3326" s="2">
        <v>104.87130000000001</v>
      </c>
      <c r="R3326" s="2">
        <v>257</v>
      </c>
      <c r="S3326" s="2">
        <v>110.00660000000001</v>
      </c>
      <c r="T3326" s="2">
        <v>315</v>
      </c>
      <c r="U3326" s="2">
        <v>0.16575799999999999</v>
      </c>
      <c r="V3326" s="2">
        <v>313</v>
      </c>
      <c r="W3326" s="2">
        <v>2011</v>
      </c>
    </row>
    <row r="3327" spans="1:23" ht="12.3" hidden="1" x14ac:dyDescent="0.4">
      <c r="A3327" s="2" t="s">
        <v>208</v>
      </c>
      <c r="B3327" s="2"/>
      <c r="C3327" s="2"/>
      <c r="D3327" s="2"/>
      <c r="E3327" s="2"/>
      <c r="F3327" s="2"/>
      <c r="G3327" s="2"/>
      <c r="H3327" s="2"/>
      <c r="I3327" s="2">
        <v>61.990299999999998</v>
      </c>
      <c r="J3327" s="2">
        <v>328</v>
      </c>
      <c r="K3327" s="2">
        <v>61.448700000000002</v>
      </c>
      <c r="L3327" s="2">
        <v>331</v>
      </c>
      <c r="M3327" s="2">
        <v>95.948999999999998</v>
      </c>
      <c r="N3327" s="2">
        <v>278</v>
      </c>
      <c r="O3327" s="2">
        <v>95.254800000000003</v>
      </c>
      <c r="P3327" s="2">
        <v>283</v>
      </c>
      <c r="Q3327" s="2">
        <v>107.8014</v>
      </c>
      <c r="R3327" s="2">
        <v>305</v>
      </c>
      <c r="S3327" s="2">
        <v>109.71980000000001</v>
      </c>
      <c r="T3327" s="2">
        <v>311</v>
      </c>
      <c r="U3327" s="2">
        <v>0.164405</v>
      </c>
      <c r="V3327" s="2">
        <v>314</v>
      </c>
      <c r="W3327" s="2">
        <v>2011</v>
      </c>
    </row>
    <row r="3328" spans="1:23" ht="12.3" hidden="1" x14ac:dyDescent="0.4">
      <c r="A3328" s="2" t="s">
        <v>299</v>
      </c>
      <c r="B3328" s="2"/>
      <c r="C3328" s="2"/>
      <c r="D3328" s="2"/>
      <c r="E3328" s="2"/>
      <c r="F3328" s="2"/>
      <c r="G3328" s="2"/>
      <c r="H3328" s="2"/>
      <c r="I3328" s="2">
        <v>73.912999999999997</v>
      </c>
      <c r="J3328" s="2">
        <v>9</v>
      </c>
      <c r="K3328" s="2">
        <v>72.547300000000007</v>
      </c>
      <c r="L3328" s="2">
        <v>10</v>
      </c>
      <c r="M3328" s="2">
        <v>91.874099999999999</v>
      </c>
      <c r="N3328" s="2">
        <v>320</v>
      </c>
      <c r="O3328" s="2">
        <v>92.700500000000005</v>
      </c>
      <c r="P3328" s="2">
        <v>307</v>
      </c>
      <c r="Q3328" s="2">
        <v>100.6129</v>
      </c>
      <c r="R3328" s="2">
        <v>145</v>
      </c>
      <c r="S3328" s="2">
        <v>106.8019</v>
      </c>
      <c r="T3328" s="2">
        <v>274</v>
      </c>
      <c r="U3328" s="2">
        <v>0.164047</v>
      </c>
      <c r="V3328" s="2">
        <v>315</v>
      </c>
      <c r="W3328" s="2">
        <v>2011</v>
      </c>
    </row>
    <row r="3329" spans="1:23" ht="12.3" hidden="1" x14ac:dyDescent="0.4">
      <c r="A3329" s="2" t="s">
        <v>370</v>
      </c>
      <c r="B3329" s="2"/>
      <c r="C3329" s="2"/>
      <c r="D3329" s="2"/>
      <c r="E3329" s="2"/>
      <c r="F3329" s="2"/>
      <c r="G3329" s="2"/>
      <c r="H3329" s="2"/>
      <c r="I3329" s="2">
        <v>69.853399999999993</v>
      </c>
      <c r="J3329" s="2">
        <v>42</v>
      </c>
      <c r="K3329" s="2">
        <v>69.560100000000006</v>
      </c>
      <c r="L3329" s="2">
        <v>46</v>
      </c>
      <c r="M3329" s="2">
        <v>96.727099999999993</v>
      </c>
      <c r="N3329" s="2">
        <v>267</v>
      </c>
      <c r="O3329" s="2">
        <v>95.019599999999997</v>
      </c>
      <c r="P3329" s="2">
        <v>286</v>
      </c>
      <c r="Q3329" s="2">
        <v>109.9648</v>
      </c>
      <c r="R3329" s="2">
        <v>329</v>
      </c>
      <c r="S3329" s="2">
        <v>109.54470000000001</v>
      </c>
      <c r="T3329" s="2">
        <v>309</v>
      </c>
      <c r="U3329" s="2">
        <v>0.16302800000000001</v>
      </c>
      <c r="V3329" s="2">
        <v>316</v>
      </c>
      <c r="W3329" s="2">
        <v>2011</v>
      </c>
    </row>
    <row r="3330" spans="1:23" ht="12.3" hidden="1" x14ac:dyDescent="0.4">
      <c r="A3330" s="2" t="s">
        <v>361</v>
      </c>
      <c r="B3330" s="2"/>
      <c r="C3330" s="2"/>
      <c r="D3330" s="2"/>
      <c r="E3330" s="2"/>
      <c r="F3330" s="2"/>
      <c r="G3330" s="2"/>
      <c r="H3330" s="2"/>
      <c r="I3330" s="2">
        <v>66.029200000000003</v>
      </c>
      <c r="J3330" s="2">
        <v>206</v>
      </c>
      <c r="K3330" s="2">
        <v>64.978200000000001</v>
      </c>
      <c r="L3330" s="2">
        <v>254</v>
      </c>
      <c r="M3330" s="2">
        <v>95.852599999999995</v>
      </c>
      <c r="N3330" s="2">
        <v>280</v>
      </c>
      <c r="O3330" s="2">
        <v>97.884600000000006</v>
      </c>
      <c r="P3330" s="2">
        <v>246</v>
      </c>
      <c r="Q3330" s="2">
        <v>111.98560000000001</v>
      </c>
      <c r="R3330" s="2">
        <v>338</v>
      </c>
      <c r="S3330" s="2">
        <v>113.0692</v>
      </c>
      <c r="T3330" s="2">
        <v>339</v>
      </c>
      <c r="U3330" s="2">
        <v>0.15997400000000001</v>
      </c>
      <c r="V3330" s="2">
        <v>317</v>
      </c>
      <c r="W3330" s="2">
        <v>2011</v>
      </c>
    </row>
    <row r="3331" spans="1:23" ht="12.3" hidden="1" x14ac:dyDescent="0.4">
      <c r="A3331" s="2" t="s">
        <v>143</v>
      </c>
      <c r="B3331" s="2"/>
      <c r="C3331" s="2"/>
      <c r="D3331" s="2"/>
      <c r="E3331" s="2"/>
      <c r="F3331" s="2"/>
      <c r="G3331" s="2"/>
      <c r="H3331" s="2"/>
      <c r="I3331" s="2">
        <v>66.453800000000001</v>
      </c>
      <c r="J3331" s="2">
        <v>184</v>
      </c>
      <c r="K3331" s="2">
        <v>65.679000000000002</v>
      </c>
      <c r="L3331" s="2">
        <v>226</v>
      </c>
      <c r="M3331" s="2">
        <v>90.395200000000003</v>
      </c>
      <c r="N3331" s="2">
        <v>324</v>
      </c>
      <c r="O3331" s="2">
        <v>94.714600000000004</v>
      </c>
      <c r="P3331" s="2">
        <v>289</v>
      </c>
      <c r="Q3331" s="2">
        <v>108.8927</v>
      </c>
      <c r="R3331" s="2">
        <v>317</v>
      </c>
      <c r="S3331" s="2">
        <v>109.78279999999999</v>
      </c>
      <c r="T3331" s="2">
        <v>313</v>
      </c>
      <c r="U3331" s="2">
        <v>0.154752</v>
      </c>
      <c r="V3331" s="2">
        <v>318</v>
      </c>
      <c r="W3331" s="2">
        <v>2011</v>
      </c>
    </row>
    <row r="3332" spans="1:23" ht="12.3" hidden="1" x14ac:dyDescent="0.4">
      <c r="A3332" s="2" t="s">
        <v>302</v>
      </c>
      <c r="B3332" s="2"/>
      <c r="C3332" s="2"/>
      <c r="D3332" s="2"/>
      <c r="E3332" s="2"/>
      <c r="F3332" s="2"/>
      <c r="G3332" s="2"/>
      <c r="H3332" s="2"/>
      <c r="I3332" s="2">
        <v>64.197800000000001</v>
      </c>
      <c r="J3332" s="2">
        <v>280</v>
      </c>
      <c r="K3332" s="2">
        <v>64.670199999999994</v>
      </c>
      <c r="L3332" s="2">
        <v>265</v>
      </c>
      <c r="M3332" s="2">
        <v>92.721100000000007</v>
      </c>
      <c r="N3332" s="2">
        <v>314</v>
      </c>
      <c r="O3332" s="2">
        <v>92.896900000000002</v>
      </c>
      <c r="P3332" s="2">
        <v>305</v>
      </c>
      <c r="Q3332" s="2">
        <v>108.0039</v>
      </c>
      <c r="R3332" s="2">
        <v>309</v>
      </c>
      <c r="S3332" s="2">
        <v>107.99769999999999</v>
      </c>
      <c r="T3332" s="2">
        <v>296</v>
      </c>
      <c r="U3332" s="2">
        <v>0.150315</v>
      </c>
      <c r="V3332" s="2">
        <v>319</v>
      </c>
      <c r="W3332" s="2">
        <v>2011</v>
      </c>
    </row>
    <row r="3333" spans="1:23" ht="12.3" hidden="1" x14ac:dyDescent="0.4">
      <c r="A3333" s="2" t="s">
        <v>276</v>
      </c>
      <c r="B3333" s="2"/>
      <c r="C3333" s="2"/>
      <c r="D3333" s="2"/>
      <c r="E3333" s="2"/>
      <c r="F3333" s="2"/>
      <c r="G3333" s="2"/>
      <c r="H3333" s="2"/>
      <c r="I3333" s="2">
        <v>65.992000000000004</v>
      </c>
      <c r="J3333" s="2">
        <v>211</v>
      </c>
      <c r="K3333" s="2">
        <v>65.936999999999998</v>
      </c>
      <c r="L3333" s="2">
        <v>212</v>
      </c>
      <c r="M3333" s="2">
        <v>91.075999999999993</v>
      </c>
      <c r="N3333" s="2">
        <v>322</v>
      </c>
      <c r="O3333" s="2">
        <v>92.122600000000006</v>
      </c>
      <c r="P3333" s="2">
        <v>313</v>
      </c>
      <c r="Q3333" s="2">
        <v>106.9896</v>
      </c>
      <c r="R3333" s="2">
        <v>292</v>
      </c>
      <c r="S3333" s="2">
        <v>107.3168</v>
      </c>
      <c r="T3333" s="2">
        <v>279</v>
      </c>
      <c r="U3333" s="2">
        <v>0.147338</v>
      </c>
      <c r="V3333" s="2">
        <v>320</v>
      </c>
      <c r="W3333" s="2">
        <v>2011</v>
      </c>
    </row>
    <row r="3334" spans="1:23" ht="12.3" hidden="1" x14ac:dyDescent="0.4">
      <c r="A3334" s="2" t="s">
        <v>272</v>
      </c>
      <c r="B3334" s="2"/>
      <c r="C3334" s="2"/>
      <c r="D3334" s="2"/>
      <c r="E3334" s="2"/>
      <c r="F3334" s="2"/>
      <c r="G3334" s="2"/>
      <c r="H3334" s="2"/>
      <c r="I3334" s="2">
        <v>70.909599999999998</v>
      </c>
      <c r="J3334" s="2">
        <v>29</v>
      </c>
      <c r="K3334" s="2">
        <v>70.274299999999997</v>
      </c>
      <c r="L3334" s="2">
        <v>37</v>
      </c>
      <c r="M3334" s="2">
        <v>88.3476</v>
      </c>
      <c r="N3334" s="2">
        <v>333</v>
      </c>
      <c r="O3334" s="2">
        <v>87.4512</v>
      </c>
      <c r="P3334" s="2">
        <v>338</v>
      </c>
      <c r="Q3334" s="2">
        <v>93.552599999999998</v>
      </c>
      <c r="R3334" s="2">
        <v>22</v>
      </c>
      <c r="S3334" s="2">
        <v>102.2009</v>
      </c>
      <c r="T3334" s="2">
        <v>179</v>
      </c>
      <c r="U3334" s="2">
        <v>0.14278099999999999</v>
      </c>
      <c r="V3334" s="2">
        <v>321</v>
      </c>
      <c r="W3334" s="2">
        <v>2011</v>
      </c>
    </row>
    <row r="3335" spans="1:23" ht="12.3" hidden="1" x14ac:dyDescent="0.4">
      <c r="A3335" s="2" t="s">
        <v>327</v>
      </c>
      <c r="B3335" s="2"/>
      <c r="C3335" s="2"/>
      <c r="D3335" s="2"/>
      <c r="E3335" s="2"/>
      <c r="F3335" s="2"/>
      <c r="G3335" s="2"/>
      <c r="H3335" s="2"/>
      <c r="I3335" s="2">
        <v>66.402900000000002</v>
      </c>
      <c r="J3335" s="2">
        <v>188</v>
      </c>
      <c r="K3335" s="2">
        <v>66.447699999999998</v>
      </c>
      <c r="L3335" s="2">
        <v>183</v>
      </c>
      <c r="M3335" s="2">
        <v>89.243899999999996</v>
      </c>
      <c r="N3335" s="2">
        <v>329</v>
      </c>
      <c r="O3335" s="2">
        <v>90.316500000000005</v>
      </c>
      <c r="P3335" s="2">
        <v>328</v>
      </c>
      <c r="Q3335" s="2">
        <v>106.40089999999999</v>
      </c>
      <c r="R3335" s="2">
        <v>285</v>
      </c>
      <c r="S3335" s="2">
        <v>105.55800000000001</v>
      </c>
      <c r="T3335" s="2">
        <v>255</v>
      </c>
      <c r="U3335" s="2">
        <v>0.14266599999999999</v>
      </c>
      <c r="V3335" s="2">
        <v>322</v>
      </c>
      <c r="W3335" s="2">
        <v>2011</v>
      </c>
    </row>
    <row r="3336" spans="1:23" ht="12.3" hidden="1" x14ac:dyDescent="0.4">
      <c r="A3336" s="2" t="s">
        <v>344</v>
      </c>
      <c r="B3336" s="2"/>
      <c r="C3336" s="2"/>
      <c r="D3336" s="2"/>
      <c r="E3336" s="2"/>
      <c r="F3336" s="2"/>
      <c r="G3336" s="2"/>
      <c r="H3336" s="2"/>
      <c r="I3336" s="2">
        <v>67.3262</v>
      </c>
      <c r="J3336" s="2">
        <v>150</v>
      </c>
      <c r="K3336" s="2">
        <v>67.336399999999998</v>
      </c>
      <c r="L3336" s="2">
        <v>135</v>
      </c>
      <c r="M3336" s="2">
        <v>93.557299999999998</v>
      </c>
      <c r="N3336" s="2">
        <v>299</v>
      </c>
      <c r="O3336" s="2">
        <v>92.200699999999998</v>
      </c>
      <c r="P3336" s="2">
        <v>312</v>
      </c>
      <c r="Q3336" s="2">
        <v>106.2842</v>
      </c>
      <c r="R3336" s="2">
        <v>281</v>
      </c>
      <c r="S3336" s="2">
        <v>107.86490000000001</v>
      </c>
      <c r="T3336" s="2">
        <v>294</v>
      </c>
      <c r="U3336" s="2">
        <v>0.14130599999999999</v>
      </c>
      <c r="V3336" s="2">
        <v>323</v>
      </c>
      <c r="W3336" s="2">
        <v>2011</v>
      </c>
    </row>
    <row r="3337" spans="1:23" ht="12.3" hidden="1" x14ac:dyDescent="0.4">
      <c r="A3337" s="2" t="s">
        <v>367</v>
      </c>
      <c r="B3337" s="2"/>
      <c r="C3337" s="2"/>
      <c r="D3337" s="2"/>
      <c r="E3337" s="2"/>
      <c r="F3337" s="2"/>
      <c r="G3337" s="2"/>
      <c r="H3337" s="2"/>
      <c r="I3337" s="2">
        <v>64.373699999999999</v>
      </c>
      <c r="J3337" s="2">
        <v>276</v>
      </c>
      <c r="K3337" s="2">
        <v>64.395799999999994</v>
      </c>
      <c r="L3337" s="2">
        <v>278</v>
      </c>
      <c r="M3337" s="2">
        <v>89.061400000000006</v>
      </c>
      <c r="N3337" s="2">
        <v>331</v>
      </c>
      <c r="O3337" s="2">
        <v>91.467299999999994</v>
      </c>
      <c r="P3337" s="2">
        <v>317</v>
      </c>
      <c r="Q3337" s="2">
        <v>107.12390000000001</v>
      </c>
      <c r="R3337" s="2">
        <v>295</v>
      </c>
      <c r="S3337" s="2">
        <v>107.8152</v>
      </c>
      <c r="T3337" s="2">
        <v>292</v>
      </c>
      <c r="U3337" s="2">
        <v>0.13112699999999999</v>
      </c>
      <c r="V3337" s="2">
        <v>324</v>
      </c>
      <c r="W3337" s="2">
        <v>2011</v>
      </c>
    </row>
    <row r="3338" spans="1:23" ht="12.3" hidden="1" x14ac:dyDescent="0.4">
      <c r="A3338" s="2" t="s">
        <v>301</v>
      </c>
      <c r="B3338" s="2"/>
      <c r="C3338" s="2"/>
      <c r="D3338" s="2"/>
      <c r="E3338" s="2"/>
      <c r="F3338" s="2"/>
      <c r="G3338" s="2"/>
      <c r="H3338" s="2"/>
      <c r="I3338" s="2">
        <v>67.807699999999997</v>
      </c>
      <c r="J3338" s="2">
        <v>126</v>
      </c>
      <c r="K3338" s="2">
        <v>67.6173</v>
      </c>
      <c r="L3338" s="2">
        <v>117</v>
      </c>
      <c r="M3338" s="2">
        <v>89.258399999999995</v>
      </c>
      <c r="N3338" s="2">
        <v>328</v>
      </c>
      <c r="O3338" s="2">
        <v>88.266199999999998</v>
      </c>
      <c r="P3338" s="2">
        <v>334</v>
      </c>
      <c r="Q3338" s="2">
        <v>100.61</v>
      </c>
      <c r="R3338" s="2">
        <v>144</v>
      </c>
      <c r="S3338" s="2">
        <v>104.5772</v>
      </c>
      <c r="T3338" s="2">
        <v>237</v>
      </c>
      <c r="U3338" s="2">
        <v>0.12454900000000001</v>
      </c>
      <c r="V3338" s="2">
        <v>325</v>
      </c>
      <c r="W3338" s="2">
        <v>2011</v>
      </c>
    </row>
    <row r="3339" spans="1:23" ht="12.3" hidden="1" x14ac:dyDescent="0.4">
      <c r="A3339" s="2" t="s">
        <v>288</v>
      </c>
      <c r="B3339" s="2"/>
      <c r="C3339" s="2"/>
      <c r="D3339" s="2"/>
      <c r="E3339" s="2"/>
      <c r="F3339" s="2"/>
      <c r="G3339" s="2"/>
      <c r="H3339" s="2"/>
      <c r="I3339" s="2">
        <v>67.840999999999994</v>
      </c>
      <c r="J3339" s="2">
        <v>123</v>
      </c>
      <c r="K3339" s="2">
        <v>68.361999999999995</v>
      </c>
      <c r="L3339" s="2">
        <v>77</v>
      </c>
      <c r="M3339" s="2">
        <v>93.463899999999995</v>
      </c>
      <c r="N3339" s="2">
        <v>300</v>
      </c>
      <c r="O3339" s="2">
        <v>90.373599999999996</v>
      </c>
      <c r="P3339" s="2">
        <v>325</v>
      </c>
      <c r="Q3339" s="2">
        <v>105.0852</v>
      </c>
      <c r="R3339" s="2">
        <v>260</v>
      </c>
      <c r="S3339" s="2">
        <v>107.5594</v>
      </c>
      <c r="T3339" s="2">
        <v>285</v>
      </c>
      <c r="U3339" s="2">
        <v>0.118988</v>
      </c>
      <c r="V3339" s="2">
        <v>326</v>
      </c>
      <c r="W3339" s="2">
        <v>2011</v>
      </c>
    </row>
    <row r="3340" spans="1:23" ht="12.3" hidden="1" x14ac:dyDescent="0.4">
      <c r="A3340" s="2" t="s">
        <v>193</v>
      </c>
      <c r="B3340" s="2"/>
      <c r="C3340" s="2"/>
      <c r="D3340" s="2"/>
      <c r="E3340" s="2"/>
      <c r="F3340" s="2"/>
      <c r="G3340" s="2"/>
      <c r="H3340" s="2"/>
      <c r="I3340" s="2">
        <v>63.1203</v>
      </c>
      <c r="J3340" s="2">
        <v>310</v>
      </c>
      <c r="K3340" s="2">
        <v>63.025500000000001</v>
      </c>
      <c r="L3340" s="2">
        <v>316</v>
      </c>
      <c r="M3340" s="2">
        <v>93.063900000000004</v>
      </c>
      <c r="N3340" s="2">
        <v>308</v>
      </c>
      <c r="O3340" s="2">
        <v>94.272099999999995</v>
      </c>
      <c r="P3340" s="2">
        <v>292</v>
      </c>
      <c r="Q3340" s="2">
        <v>109.5155</v>
      </c>
      <c r="R3340" s="2">
        <v>322</v>
      </c>
      <c r="S3340" s="2">
        <v>112.21729999999999</v>
      </c>
      <c r="T3340" s="2">
        <v>335</v>
      </c>
      <c r="U3340" s="2">
        <v>0.118795</v>
      </c>
      <c r="V3340" s="2">
        <v>327</v>
      </c>
      <c r="W3340" s="2">
        <v>2011</v>
      </c>
    </row>
    <row r="3341" spans="1:23" ht="12.3" hidden="1" x14ac:dyDescent="0.4">
      <c r="A3341" s="2" t="s">
        <v>329</v>
      </c>
      <c r="B3341" s="2" t="e">
        <v>#N/A</v>
      </c>
      <c r="C3341" s="2"/>
      <c r="D3341" s="2"/>
      <c r="E3341" s="2"/>
      <c r="F3341" s="2"/>
      <c r="G3341" s="2"/>
      <c r="H3341" s="2"/>
      <c r="I3341" s="2">
        <v>69.42</v>
      </c>
      <c r="J3341" s="2">
        <v>54</v>
      </c>
      <c r="K3341" s="2">
        <v>67.501000000000005</v>
      </c>
      <c r="L3341" s="2">
        <v>126</v>
      </c>
      <c r="M3341" s="2">
        <v>86.467799999999997</v>
      </c>
      <c r="N3341" s="2">
        <v>339</v>
      </c>
      <c r="O3341" s="2">
        <v>88.005099999999999</v>
      </c>
      <c r="P3341" s="2">
        <v>336</v>
      </c>
      <c r="Q3341" s="2">
        <v>96.955600000000004</v>
      </c>
      <c r="R3341" s="2">
        <v>65</v>
      </c>
      <c r="S3341" s="2">
        <v>105.65649999999999</v>
      </c>
      <c r="T3341" s="2">
        <v>258</v>
      </c>
      <c r="U3341" s="2">
        <v>0.108885</v>
      </c>
      <c r="V3341" s="2">
        <v>328</v>
      </c>
      <c r="W3341" s="2">
        <v>2011</v>
      </c>
    </row>
    <row r="3342" spans="1:23" ht="12.3" hidden="1" x14ac:dyDescent="0.4">
      <c r="A3342" s="2" t="s">
        <v>153</v>
      </c>
      <c r="B3342" s="2" t="e">
        <v>#N/A</v>
      </c>
      <c r="C3342" s="2"/>
      <c r="D3342" s="2"/>
      <c r="E3342" s="2"/>
      <c r="F3342" s="2"/>
      <c r="G3342" s="2"/>
      <c r="H3342" s="2"/>
      <c r="I3342" s="2">
        <v>68.189899999999994</v>
      </c>
      <c r="J3342" s="2">
        <v>100</v>
      </c>
      <c r="K3342" s="2">
        <v>67.356200000000001</v>
      </c>
      <c r="L3342" s="2">
        <v>134</v>
      </c>
      <c r="M3342" s="2">
        <v>90.890299999999996</v>
      </c>
      <c r="N3342" s="2">
        <v>323</v>
      </c>
      <c r="O3342" s="2">
        <v>88.298100000000005</v>
      </c>
      <c r="P3342" s="2">
        <v>333</v>
      </c>
      <c r="Q3342" s="2">
        <v>109.1617</v>
      </c>
      <c r="R3342" s="2">
        <v>319</v>
      </c>
      <c r="S3342" s="2">
        <v>106.342</v>
      </c>
      <c r="T3342" s="2">
        <v>266</v>
      </c>
      <c r="U3342" s="2">
        <v>0.10542700000000001</v>
      </c>
      <c r="V3342" s="2">
        <v>329</v>
      </c>
      <c r="W3342" s="2">
        <v>2011</v>
      </c>
    </row>
    <row r="3343" spans="1:23" ht="12.3" hidden="1" x14ac:dyDescent="0.4">
      <c r="A3343" s="2" t="s">
        <v>321</v>
      </c>
      <c r="B3343" s="2" t="e">
        <v>#N/A</v>
      </c>
      <c r="C3343" s="2"/>
      <c r="D3343" s="2"/>
      <c r="E3343" s="2"/>
      <c r="F3343" s="2"/>
      <c r="G3343" s="2"/>
      <c r="H3343" s="2"/>
      <c r="I3343" s="2">
        <v>69.653899999999993</v>
      </c>
      <c r="J3343" s="2">
        <v>44</v>
      </c>
      <c r="K3343" s="2">
        <v>70.514200000000002</v>
      </c>
      <c r="L3343" s="2">
        <v>32</v>
      </c>
      <c r="M3343" s="2">
        <v>92.596199999999996</v>
      </c>
      <c r="N3343" s="2">
        <v>315</v>
      </c>
      <c r="O3343" s="2">
        <v>91.280799999999999</v>
      </c>
      <c r="P3343" s="2">
        <v>320</v>
      </c>
      <c r="Q3343" s="2">
        <v>110.2041</v>
      </c>
      <c r="R3343" s="2">
        <v>331</v>
      </c>
      <c r="S3343" s="2">
        <v>110.79859999999999</v>
      </c>
      <c r="T3343" s="2">
        <v>330</v>
      </c>
      <c r="U3343" s="2">
        <v>9.7228999999999996E-2</v>
      </c>
      <c r="V3343" s="2">
        <v>330</v>
      </c>
      <c r="W3343" s="2">
        <v>2011</v>
      </c>
    </row>
    <row r="3344" spans="1:23" ht="12.3" hidden="1" x14ac:dyDescent="0.4">
      <c r="A3344" s="2" t="s">
        <v>223</v>
      </c>
      <c r="B3344" s="2" t="e">
        <v>#N/A</v>
      </c>
      <c r="C3344" s="2"/>
      <c r="D3344" s="2"/>
      <c r="E3344" s="2"/>
      <c r="F3344" s="2"/>
      <c r="G3344" s="2"/>
      <c r="H3344" s="2"/>
      <c r="I3344" s="2">
        <v>67.465299999999999</v>
      </c>
      <c r="J3344" s="2">
        <v>141</v>
      </c>
      <c r="K3344" s="2">
        <v>67.971199999999996</v>
      </c>
      <c r="L3344" s="2">
        <v>102</v>
      </c>
      <c r="M3344" s="2">
        <v>85.398700000000005</v>
      </c>
      <c r="N3344" s="2">
        <v>342</v>
      </c>
      <c r="O3344" s="2">
        <v>86.184299999999993</v>
      </c>
      <c r="P3344" s="2">
        <v>340</v>
      </c>
      <c r="Q3344" s="2">
        <v>105.8974</v>
      </c>
      <c r="R3344" s="2">
        <v>274</v>
      </c>
      <c r="S3344" s="2">
        <v>105.38120000000001</v>
      </c>
      <c r="T3344" s="2">
        <v>250</v>
      </c>
      <c r="U3344" s="2">
        <v>9.0084999999999998E-2</v>
      </c>
      <c r="V3344" s="2">
        <v>331</v>
      </c>
      <c r="W3344" s="2">
        <v>2011</v>
      </c>
    </row>
    <row r="3345" spans="1:23" ht="12.3" hidden="1" x14ac:dyDescent="0.4">
      <c r="A3345" s="2" t="s">
        <v>252</v>
      </c>
      <c r="B3345" s="2" t="e">
        <v>#N/A</v>
      </c>
      <c r="C3345" s="2"/>
      <c r="D3345" s="2"/>
      <c r="E3345" s="2"/>
      <c r="F3345" s="2"/>
      <c r="G3345" s="2"/>
      <c r="H3345" s="2"/>
      <c r="I3345" s="2">
        <v>67.143500000000003</v>
      </c>
      <c r="J3345" s="2">
        <v>163</v>
      </c>
      <c r="K3345" s="2">
        <v>68.388599999999997</v>
      </c>
      <c r="L3345" s="2">
        <v>76</v>
      </c>
      <c r="M3345" s="2">
        <v>94.394900000000007</v>
      </c>
      <c r="N3345" s="2">
        <v>295</v>
      </c>
      <c r="O3345" s="2">
        <v>95.840699999999998</v>
      </c>
      <c r="P3345" s="2">
        <v>274</v>
      </c>
      <c r="Q3345" s="2">
        <v>115.2591</v>
      </c>
      <c r="R3345" s="2">
        <v>343</v>
      </c>
      <c r="S3345" s="2">
        <v>117.2394</v>
      </c>
      <c r="T3345" s="2">
        <v>344</v>
      </c>
      <c r="U3345" s="2">
        <v>8.9675000000000005E-2</v>
      </c>
      <c r="V3345" s="2">
        <v>332</v>
      </c>
      <c r="W3345" s="2">
        <v>2011</v>
      </c>
    </row>
    <row r="3346" spans="1:23" ht="12.3" hidden="1" x14ac:dyDescent="0.4">
      <c r="A3346" s="2" t="s">
        <v>202</v>
      </c>
      <c r="B3346" s="2" t="e">
        <v>#N/A</v>
      </c>
      <c r="C3346" s="2"/>
      <c r="D3346" s="2"/>
      <c r="E3346" s="2"/>
      <c r="F3346" s="2"/>
      <c r="G3346" s="2"/>
      <c r="H3346" s="2"/>
      <c r="I3346" s="2">
        <v>69.068399999999997</v>
      </c>
      <c r="J3346" s="2">
        <v>66</v>
      </c>
      <c r="K3346" s="2">
        <v>66.927700000000002</v>
      </c>
      <c r="L3346" s="2">
        <v>159</v>
      </c>
      <c r="M3346" s="2">
        <v>95.016300000000001</v>
      </c>
      <c r="N3346" s="2">
        <v>288</v>
      </c>
      <c r="O3346" s="2">
        <v>92.628</v>
      </c>
      <c r="P3346" s="2">
        <v>309</v>
      </c>
      <c r="Q3346" s="2">
        <v>109.7107</v>
      </c>
      <c r="R3346" s="2">
        <v>325</v>
      </c>
      <c r="S3346" s="2">
        <v>113.7667</v>
      </c>
      <c r="T3346" s="2">
        <v>341</v>
      </c>
      <c r="U3346" s="2">
        <v>8.5966000000000001E-2</v>
      </c>
      <c r="V3346" s="2">
        <v>333</v>
      </c>
      <c r="W3346" s="2">
        <v>2011</v>
      </c>
    </row>
    <row r="3347" spans="1:23" ht="12.3" hidden="1" x14ac:dyDescent="0.4">
      <c r="A3347" s="2" t="s">
        <v>342</v>
      </c>
      <c r="B3347" s="2" t="e">
        <v>#N/A</v>
      </c>
      <c r="C3347" s="2"/>
      <c r="D3347" s="2"/>
      <c r="E3347" s="2"/>
      <c r="F3347" s="2"/>
      <c r="G3347" s="2"/>
      <c r="H3347" s="2"/>
      <c r="I3347" s="2">
        <v>68.9495</v>
      </c>
      <c r="J3347" s="2">
        <v>73</v>
      </c>
      <c r="K3347" s="2">
        <v>67.703699999999998</v>
      </c>
      <c r="L3347" s="2">
        <v>113</v>
      </c>
      <c r="M3347" s="2">
        <v>86.381600000000006</v>
      </c>
      <c r="N3347" s="2">
        <v>341</v>
      </c>
      <c r="O3347" s="2">
        <v>84.794499999999999</v>
      </c>
      <c r="P3347" s="2">
        <v>343</v>
      </c>
      <c r="Q3347" s="2">
        <v>102.0125</v>
      </c>
      <c r="R3347" s="2">
        <v>188</v>
      </c>
      <c r="S3347" s="2">
        <v>104.2192</v>
      </c>
      <c r="T3347" s="2">
        <v>231</v>
      </c>
      <c r="U3347" s="2">
        <v>8.5329000000000002E-2</v>
      </c>
      <c r="V3347" s="2">
        <v>334</v>
      </c>
      <c r="W3347" s="2">
        <v>2011</v>
      </c>
    </row>
    <row r="3348" spans="1:23" ht="12.3" hidden="1" x14ac:dyDescent="0.4">
      <c r="A3348" s="2" t="s">
        <v>285</v>
      </c>
      <c r="B3348" s="2" t="e">
        <v>#N/A</v>
      </c>
      <c r="C3348" s="2"/>
      <c r="D3348" s="2"/>
      <c r="E3348" s="2"/>
      <c r="F3348" s="2"/>
      <c r="G3348" s="2"/>
      <c r="H3348" s="2"/>
      <c r="I3348" s="2">
        <v>62.761600000000001</v>
      </c>
      <c r="J3348" s="2">
        <v>316</v>
      </c>
      <c r="K3348" s="2">
        <v>62.417000000000002</v>
      </c>
      <c r="L3348" s="2">
        <v>326</v>
      </c>
      <c r="M3348" s="2">
        <v>89.155600000000007</v>
      </c>
      <c r="N3348" s="2">
        <v>330</v>
      </c>
      <c r="O3348" s="2">
        <v>86.795699999999997</v>
      </c>
      <c r="P3348" s="2">
        <v>339</v>
      </c>
      <c r="Q3348" s="2">
        <v>105.96769999999999</v>
      </c>
      <c r="R3348" s="2">
        <v>276</v>
      </c>
      <c r="S3348" s="2">
        <v>106.7959</v>
      </c>
      <c r="T3348" s="2">
        <v>273</v>
      </c>
      <c r="U3348" s="2">
        <v>8.4348999999999993E-2</v>
      </c>
      <c r="V3348" s="2">
        <v>335</v>
      </c>
      <c r="W3348" s="2">
        <v>2011</v>
      </c>
    </row>
    <row r="3349" spans="1:23" ht="12.3" hidden="1" x14ac:dyDescent="0.4">
      <c r="A3349" s="2" t="s">
        <v>186</v>
      </c>
      <c r="B3349" s="2" t="e">
        <v>#N/A</v>
      </c>
      <c r="C3349" s="2"/>
      <c r="D3349" s="2"/>
      <c r="E3349" s="2"/>
      <c r="F3349" s="2"/>
      <c r="G3349" s="2"/>
      <c r="H3349" s="2"/>
      <c r="I3349" s="2">
        <v>64.247299999999996</v>
      </c>
      <c r="J3349" s="2">
        <v>279</v>
      </c>
      <c r="K3349" s="2">
        <v>64.432599999999994</v>
      </c>
      <c r="L3349" s="2">
        <v>274</v>
      </c>
      <c r="M3349" s="2">
        <v>88.331800000000001</v>
      </c>
      <c r="N3349" s="2">
        <v>334</v>
      </c>
      <c r="O3349" s="2">
        <v>90.693899999999999</v>
      </c>
      <c r="P3349" s="2">
        <v>322</v>
      </c>
      <c r="Q3349" s="2">
        <v>109.8302</v>
      </c>
      <c r="R3349" s="2">
        <v>326</v>
      </c>
      <c r="S3349" s="2">
        <v>112.06010000000001</v>
      </c>
      <c r="T3349" s="2">
        <v>334</v>
      </c>
      <c r="U3349" s="2">
        <v>8.0708000000000002E-2</v>
      </c>
      <c r="V3349" s="2">
        <v>336</v>
      </c>
      <c r="W3349" s="2">
        <v>2011</v>
      </c>
    </row>
    <row r="3350" spans="1:23" ht="12.3" hidden="1" x14ac:dyDescent="0.4">
      <c r="A3350" s="2" t="s">
        <v>364</v>
      </c>
      <c r="B3350" s="2" t="e">
        <v>#N/A</v>
      </c>
      <c r="C3350" s="2"/>
      <c r="D3350" s="2"/>
      <c r="E3350" s="2"/>
      <c r="F3350" s="2"/>
      <c r="G3350" s="2"/>
      <c r="H3350" s="2"/>
      <c r="I3350" s="2">
        <v>71.833500000000001</v>
      </c>
      <c r="J3350" s="2">
        <v>21</v>
      </c>
      <c r="K3350" s="2">
        <v>71.261200000000002</v>
      </c>
      <c r="L3350" s="2">
        <v>22</v>
      </c>
      <c r="M3350" s="2">
        <v>91.641900000000007</v>
      </c>
      <c r="N3350" s="2">
        <v>321</v>
      </c>
      <c r="O3350" s="2">
        <v>89.001300000000001</v>
      </c>
      <c r="P3350" s="2">
        <v>330</v>
      </c>
      <c r="Q3350" s="2">
        <v>110.3887</v>
      </c>
      <c r="R3350" s="2">
        <v>334</v>
      </c>
      <c r="S3350" s="2">
        <v>110.0528</v>
      </c>
      <c r="T3350" s="2">
        <v>316</v>
      </c>
      <c r="U3350" s="2">
        <v>8.0059000000000005E-2</v>
      </c>
      <c r="V3350" s="2">
        <v>337</v>
      </c>
      <c r="W3350" s="2">
        <v>2011</v>
      </c>
    </row>
    <row r="3351" spans="1:23" ht="12.3" hidden="1" x14ac:dyDescent="0.4">
      <c r="A3351" s="2" t="s">
        <v>374</v>
      </c>
      <c r="B3351" s="2" t="e">
        <v>#N/A</v>
      </c>
      <c r="C3351" s="2"/>
      <c r="D3351" s="2"/>
      <c r="E3351" s="2"/>
      <c r="F3351" s="2"/>
      <c r="G3351" s="2"/>
      <c r="H3351" s="2"/>
      <c r="I3351" s="2">
        <v>73.621600000000001</v>
      </c>
      <c r="J3351" s="2">
        <v>10</v>
      </c>
      <c r="K3351" s="2">
        <v>71.471400000000003</v>
      </c>
      <c r="L3351" s="2">
        <v>18</v>
      </c>
      <c r="M3351" s="2">
        <v>93.143699999999995</v>
      </c>
      <c r="N3351" s="2">
        <v>306</v>
      </c>
      <c r="O3351" s="2">
        <v>91.230099999999993</v>
      </c>
      <c r="P3351" s="2">
        <v>321</v>
      </c>
      <c r="Q3351" s="2">
        <v>106.3904</v>
      </c>
      <c r="R3351" s="2">
        <v>284</v>
      </c>
      <c r="S3351" s="2">
        <v>112.8605</v>
      </c>
      <c r="T3351" s="2">
        <v>338</v>
      </c>
      <c r="U3351" s="2">
        <v>7.9671000000000006E-2</v>
      </c>
      <c r="V3351" s="2">
        <v>338</v>
      </c>
      <c r="W3351" s="2">
        <v>2011</v>
      </c>
    </row>
    <row r="3352" spans="1:23" ht="12.3" hidden="1" x14ac:dyDescent="0.4">
      <c r="A3352" s="2" t="s">
        <v>351</v>
      </c>
      <c r="B3352" s="2" t="e">
        <v>#N/A</v>
      </c>
      <c r="C3352" s="2"/>
      <c r="D3352" s="2"/>
      <c r="E3352" s="2"/>
      <c r="F3352" s="2"/>
      <c r="G3352" s="2"/>
      <c r="H3352" s="2"/>
      <c r="I3352" s="2">
        <v>68.234300000000005</v>
      </c>
      <c r="J3352" s="2">
        <v>99</v>
      </c>
      <c r="K3352" s="2">
        <v>66.940899999999999</v>
      </c>
      <c r="L3352" s="2">
        <v>156</v>
      </c>
      <c r="M3352" s="2">
        <v>86.569000000000003</v>
      </c>
      <c r="N3352" s="2">
        <v>338</v>
      </c>
      <c r="O3352" s="2">
        <v>88.738399999999999</v>
      </c>
      <c r="P3352" s="2">
        <v>331</v>
      </c>
      <c r="Q3352" s="2">
        <v>103.6251</v>
      </c>
      <c r="R3352" s="2">
        <v>220</v>
      </c>
      <c r="S3352" s="2">
        <v>110.07299999999999</v>
      </c>
      <c r="T3352" s="2">
        <v>317</v>
      </c>
      <c r="U3352" s="2">
        <v>7.7437000000000006E-2</v>
      </c>
      <c r="V3352" s="2">
        <v>339</v>
      </c>
      <c r="W3352" s="2">
        <v>2011</v>
      </c>
    </row>
    <row r="3353" spans="1:23" ht="12.3" hidden="1" x14ac:dyDescent="0.4">
      <c r="A3353" s="2" t="s">
        <v>242</v>
      </c>
      <c r="B3353" s="2" t="e">
        <v>#N/A</v>
      </c>
      <c r="C3353" s="2"/>
      <c r="D3353" s="2"/>
      <c r="E3353" s="2"/>
      <c r="F3353" s="2"/>
      <c r="G3353" s="2"/>
      <c r="H3353" s="2"/>
      <c r="I3353" s="2">
        <v>66.299599999999998</v>
      </c>
      <c r="J3353" s="2">
        <v>194</v>
      </c>
      <c r="K3353" s="2">
        <v>65.930199999999999</v>
      </c>
      <c r="L3353" s="2">
        <v>213</v>
      </c>
      <c r="M3353" s="2">
        <v>88.293599999999998</v>
      </c>
      <c r="N3353" s="2">
        <v>335</v>
      </c>
      <c r="O3353" s="2">
        <v>87.626199999999997</v>
      </c>
      <c r="P3353" s="2">
        <v>337</v>
      </c>
      <c r="Q3353" s="2">
        <v>105.7547</v>
      </c>
      <c r="R3353" s="2">
        <v>272</v>
      </c>
      <c r="S3353" s="2">
        <v>109.7474</v>
      </c>
      <c r="T3353" s="2">
        <v>312</v>
      </c>
      <c r="U3353" s="2">
        <v>6.9871000000000003E-2</v>
      </c>
      <c r="V3353" s="2">
        <v>340</v>
      </c>
      <c r="W3353" s="2">
        <v>2011</v>
      </c>
    </row>
    <row r="3354" spans="1:23" ht="12.3" hidden="1" x14ac:dyDescent="0.4">
      <c r="A3354" s="2" t="s">
        <v>373</v>
      </c>
      <c r="B3354" s="2" t="e">
        <v>#N/A</v>
      </c>
      <c r="C3354" s="2"/>
      <c r="D3354" s="2"/>
      <c r="E3354" s="2"/>
      <c r="F3354" s="2"/>
      <c r="G3354" s="2"/>
      <c r="H3354" s="2"/>
      <c r="I3354" s="2">
        <v>70.408100000000005</v>
      </c>
      <c r="J3354" s="2">
        <v>37</v>
      </c>
      <c r="K3354" s="2">
        <v>70.75</v>
      </c>
      <c r="L3354" s="2">
        <v>28</v>
      </c>
      <c r="M3354" s="2">
        <v>86.438999999999993</v>
      </c>
      <c r="N3354" s="2">
        <v>340</v>
      </c>
      <c r="O3354" s="2">
        <v>85.544700000000006</v>
      </c>
      <c r="P3354" s="2">
        <v>342</v>
      </c>
      <c r="Q3354" s="2">
        <v>112.9353</v>
      </c>
      <c r="R3354" s="2">
        <v>339</v>
      </c>
      <c r="S3354" s="2">
        <v>109.3947</v>
      </c>
      <c r="T3354" s="2">
        <v>308</v>
      </c>
      <c r="U3354" s="2">
        <v>5.5822999999999998E-2</v>
      </c>
      <c r="V3354" s="2">
        <v>341</v>
      </c>
      <c r="W3354" s="2">
        <v>2011</v>
      </c>
    </row>
    <row r="3355" spans="1:23" ht="12.3" hidden="1" x14ac:dyDescent="0.4">
      <c r="A3355" s="2" t="s">
        <v>261</v>
      </c>
      <c r="B3355" s="2" t="e">
        <v>#N/A</v>
      </c>
      <c r="C3355" s="2"/>
      <c r="D3355" s="2"/>
      <c r="E3355" s="2"/>
      <c r="F3355" s="2"/>
      <c r="G3355" s="2"/>
      <c r="H3355" s="2"/>
      <c r="I3355" s="2">
        <v>77.645799999999994</v>
      </c>
      <c r="J3355" s="2">
        <v>1</v>
      </c>
      <c r="K3355" s="2">
        <v>77.602199999999996</v>
      </c>
      <c r="L3355" s="2">
        <v>1</v>
      </c>
      <c r="M3355" s="2">
        <v>84.500399999999999</v>
      </c>
      <c r="N3355" s="2">
        <v>343</v>
      </c>
      <c r="O3355" s="2">
        <v>86.123500000000007</v>
      </c>
      <c r="P3355" s="2">
        <v>341</v>
      </c>
      <c r="Q3355" s="2">
        <v>103.37869999999999</v>
      </c>
      <c r="R3355" s="2">
        <v>210</v>
      </c>
      <c r="S3355" s="2">
        <v>110.28579999999999</v>
      </c>
      <c r="T3355" s="2">
        <v>321</v>
      </c>
      <c r="U3355" s="2">
        <v>5.4998999999999999E-2</v>
      </c>
      <c r="V3355" s="2">
        <v>342</v>
      </c>
      <c r="W3355" s="2">
        <v>2011</v>
      </c>
    </row>
    <row r="3356" spans="1:23" ht="12.3" hidden="1" x14ac:dyDescent="0.4">
      <c r="A3356" s="2" t="s">
        <v>348</v>
      </c>
      <c r="B3356" s="2" t="e">
        <v>#N/A</v>
      </c>
      <c r="C3356" s="2"/>
      <c r="D3356" s="2"/>
      <c r="E3356" s="2"/>
      <c r="F3356" s="2"/>
      <c r="G3356" s="2"/>
      <c r="H3356" s="2"/>
      <c r="I3356" s="2">
        <v>74.178399999999996</v>
      </c>
      <c r="J3356" s="2">
        <v>8</v>
      </c>
      <c r="K3356" s="2">
        <v>72.321700000000007</v>
      </c>
      <c r="L3356" s="2">
        <v>12</v>
      </c>
      <c r="M3356" s="2">
        <v>86.751800000000003</v>
      </c>
      <c r="N3356" s="2">
        <v>337</v>
      </c>
      <c r="O3356" s="2">
        <v>90.510900000000007</v>
      </c>
      <c r="P3356" s="2">
        <v>324</v>
      </c>
      <c r="Q3356" s="2">
        <v>116.9734</v>
      </c>
      <c r="R3356" s="2">
        <v>345</v>
      </c>
      <c r="S3356" s="2">
        <v>117.0608</v>
      </c>
      <c r="T3356" s="2">
        <v>343</v>
      </c>
      <c r="U3356" s="2">
        <v>4.9355999999999997E-2</v>
      </c>
      <c r="V3356" s="2">
        <v>343</v>
      </c>
      <c r="W3356" s="2">
        <v>2011</v>
      </c>
    </row>
    <row r="3357" spans="1:23" ht="12.3" hidden="1" x14ac:dyDescent="0.4">
      <c r="A3357" s="2" t="s">
        <v>224</v>
      </c>
      <c r="B3357" s="2" t="e">
        <v>#N/A</v>
      </c>
      <c r="C3357" s="2"/>
      <c r="D3357" s="2"/>
      <c r="E3357" s="2"/>
      <c r="F3357" s="2"/>
      <c r="G3357" s="2"/>
      <c r="H3357" s="2"/>
      <c r="I3357" s="2">
        <v>70.704499999999996</v>
      </c>
      <c r="J3357" s="2">
        <v>34</v>
      </c>
      <c r="K3357" s="2">
        <v>70.419600000000003</v>
      </c>
      <c r="L3357" s="2">
        <v>34</v>
      </c>
      <c r="M3357" s="2">
        <v>83.021600000000007</v>
      </c>
      <c r="N3357" s="2">
        <v>344</v>
      </c>
      <c r="O3357" s="2">
        <v>83.950900000000004</v>
      </c>
      <c r="P3357" s="2">
        <v>344</v>
      </c>
      <c r="Q3357" s="2">
        <v>114.53530000000001</v>
      </c>
      <c r="R3357" s="2">
        <v>341</v>
      </c>
      <c r="S3357" s="2">
        <v>110.3907</v>
      </c>
      <c r="T3357" s="2">
        <v>323</v>
      </c>
      <c r="U3357" s="2">
        <v>4.1145000000000001E-2</v>
      </c>
      <c r="V3357" s="2">
        <v>344</v>
      </c>
      <c r="W3357" s="2">
        <v>2011</v>
      </c>
    </row>
    <row r="3358" spans="1:23" ht="12.3" hidden="1" x14ac:dyDescent="0.4">
      <c r="A3358" s="2" t="s">
        <v>338</v>
      </c>
      <c r="B3358" s="2" t="e">
        <v>#N/A</v>
      </c>
      <c r="C3358" s="2"/>
      <c r="D3358" s="2"/>
      <c r="E3358" s="2"/>
      <c r="F3358" s="2"/>
      <c r="G3358" s="2"/>
      <c r="H3358" s="2"/>
      <c r="I3358" s="2">
        <v>67.518600000000006</v>
      </c>
      <c r="J3358" s="2">
        <v>139</v>
      </c>
      <c r="K3358" s="2">
        <v>66.035700000000006</v>
      </c>
      <c r="L3358" s="2">
        <v>208</v>
      </c>
      <c r="M3358" s="2">
        <v>82.424400000000006</v>
      </c>
      <c r="N3358" s="2">
        <v>345</v>
      </c>
      <c r="O3358" s="2">
        <v>82.641000000000005</v>
      </c>
      <c r="P3358" s="2">
        <v>345</v>
      </c>
      <c r="Q3358" s="2">
        <v>105.8496</v>
      </c>
      <c r="R3358" s="2">
        <v>273</v>
      </c>
      <c r="S3358" s="2">
        <v>110.85420000000001</v>
      </c>
      <c r="T3358" s="2">
        <v>331</v>
      </c>
      <c r="U3358" s="2">
        <v>3.3001000000000003E-2</v>
      </c>
      <c r="V3358" s="2">
        <v>345</v>
      </c>
      <c r="W3358" s="2">
        <v>2011</v>
      </c>
    </row>
    <row r="3359" spans="1:23" ht="12.3" x14ac:dyDescent="0.4">
      <c r="A3359" s="2" t="s">
        <v>328</v>
      </c>
      <c r="B3359" s="2">
        <v>15</v>
      </c>
      <c r="C3359" s="25"/>
      <c r="D3359" s="25"/>
      <c r="E3359" s="25"/>
      <c r="F3359" s="25"/>
      <c r="G3359" s="25"/>
      <c r="H3359" s="25"/>
      <c r="I3359" s="2">
        <v>62.609299999999998</v>
      </c>
      <c r="J3359" s="2">
        <v>305</v>
      </c>
      <c r="K3359" s="2">
        <v>61.0764</v>
      </c>
      <c r="L3359" s="2">
        <v>319</v>
      </c>
      <c r="M3359" s="2">
        <v>98.056100000000001</v>
      </c>
      <c r="N3359" s="2">
        <v>230</v>
      </c>
      <c r="O3359" s="2">
        <v>96.627200000000002</v>
      </c>
      <c r="P3359" s="2">
        <v>243</v>
      </c>
      <c r="Q3359" s="2">
        <v>89.710999999999999</v>
      </c>
      <c r="R3359" s="2">
        <v>4</v>
      </c>
      <c r="S3359" s="2">
        <v>93.325500000000005</v>
      </c>
      <c r="T3359" s="2">
        <v>23</v>
      </c>
      <c r="U3359" s="2">
        <v>0.59864499999999998</v>
      </c>
      <c r="V3359" s="2">
        <v>120</v>
      </c>
      <c r="W3359" s="2">
        <v>2005</v>
      </c>
    </row>
    <row r="3360" spans="1:23" ht="12.3" x14ac:dyDescent="0.4">
      <c r="A3360" s="2" t="s">
        <v>324</v>
      </c>
      <c r="B3360" s="2">
        <v>15</v>
      </c>
      <c r="C3360" s="25"/>
      <c r="D3360" s="25"/>
      <c r="E3360" s="2"/>
      <c r="F3360" s="2"/>
      <c r="G3360" s="2"/>
      <c r="H3360" s="2"/>
      <c r="I3360" s="2">
        <v>66.597700000000003</v>
      </c>
      <c r="J3360" s="2">
        <v>190</v>
      </c>
      <c r="K3360" s="2">
        <v>66.765199999999993</v>
      </c>
      <c r="L3360" s="2">
        <v>186</v>
      </c>
      <c r="M3360" s="2">
        <v>105.208</v>
      </c>
      <c r="N3360" s="2">
        <v>85</v>
      </c>
      <c r="O3360" s="2">
        <v>101.0895</v>
      </c>
      <c r="P3360" s="2">
        <v>169</v>
      </c>
      <c r="Q3360" s="2">
        <v>100.41540000000001</v>
      </c>
      <c r="R3360" s="2">
        <v>142</v>
      </c>
      <c r="S3360" s="2">
        <v>100.1037</v>
      </c>
      <c r="T3360" s="2">
        <v>130</v>
      </c>
      <c r="U3360" s="2">
        <v>0.52814399999999995</v>
      </c>
      <c r="V3360" s="2">
        <v>145</v>
      </c>
      <c r="W3360" s="2">
        <v>2005</v>
      </c>
    </row>
    <row r="3361" spans="1:23" ht="12.3" x14ac:dyDescent="0.4">
      <c r="A3361" s="2" t="s">
        <v>166</v>
      </c>
      <c r="B3361" s="2">
        <v>15</v>
      </c>
      <c r="C3361" s="25"/>
      <c r="D3361" s="25"/>
      <c r="E3361" s="25"/>
      <c r="F3361" s="25"/>
      <c r="G3361" s="2"/>
      <c r="H3361" s="2"/>
      <c r="I3361" s="2">
        <v>69.997699999999995</v>
      </c>
      <c r="J3361" s="2">
        <v>75</v>
      </c>
      <c r="K3361" s="2">
        <v>68.389899999999997</v>
      </c>
      <c r="L3361" s="2">
        <v>117</v>
      </c>
      <c r="M3361" s="2">
        <v>100.4572</v>
      </c>
      <c r="N3361" s="2">
        <v>191</v>
      </c>
      <c r="O3361" s="2">
        <v>97.890100000000004</v>
      </c>
      <c r="P3361" s="2">
        <v>225</v>
      </c>
      <c r="Q3361" s="2">
        <v>96.870800000000003</v>
      </c>
      <c r="R3361" s="2">
        <v>58</v>
      </c>
      <c r="S3361" s="2">
        <v>98.302199999999999</v>
      </c>
      <c r="T3361" s="2">
        <v>86</v>
      </c>
      <c r="U3361" s="2">
        <v>0.48792400000000002</v>
      </c>
      <c r="V3361" s="2">
        <v>162</v>
      </c>
      <c r="W3361" s="2">
        <v>2005</v>
      </c>
    </row>
    <row r="3362" spans="1:23" ht="12.3" x14ac:dyDescent="0.4">
      <c r="A3362" s="2" t="s">
        <v>165</v>
      </c>
      <c r="B3362" s="2">
        <v>16</v>
      </c>
      <c r="C3362" s="25"/>
      <c r="D3362" s="25"/>
      <c r="E3362" s="25"/>
      <c r="F3362" s="25"/>
      <c r="G3362" s="25"/>
      <c r="H3362" s="2"/>
      <c r="I3362" s="2">
        <v>65.846599999999995</v>
      </c>
      <c r="J3362" s="2">
        <v>218</v>
      </c>
      <c r="K3362" s="2">
        <v>65.992500000000007</v>
      </c>
      <c r="L3362" s="2">
        <v>221</v>
      </c>
      <c r="M3362" s="2">
        <v>106.5184</v>
      </c>
      <c r="N3362" s="2">
        <v>61</v>
      </c>
      <c r="O3362" s="2">
        <v>106.3563</v>
      </c>
      <c r="P3362" s="2">
        <v>76</v>
      </c>
      <c r="Q3362" s="2">
        <v>110.8047</v>
      </c>
      <c r="R3362" s="2">
        <v>321</v>
      </c>
      <c r="S3362" s="2">
        <v>107.70480000000001</v>
      </c>
      <c r="T3362" s="2">
        <v>281</v>
      </c>
      <c r="U3362" s="2">
        <v>0.46384199999999998</v>
      </c>
      <c r="V3362" s="2">
        <v>176</v>
      </c>
      <c r="W3362" s="2">
        <v>2005</v>
      </c>
    </row>
    <row r="3363" spans="1:23" ht="12.3" x14ac:dyDescent="0.4">
      <c r="A3363" s="2" t="s">
        <v>177</v>
      </c>
      <c r="B3363" s="2">
        <v>15</v>
      </c>
      <c r="C3363" s="25"/>
      <c r="D3363" s="25"/>
      <c r="E3363" s="25"/>
      <c r="F3363" s="2"/>
      <c r="G3363" s="2"/>
      <c r="H3363" s="2"/>
      <c r="I3363" s="2">
        <v>62.104199999999999</v>
      </c>
      <c r="J3363" s="2">
        <v>310</v>
      </c>
      <c r="K3363" s="2">
        <v>60.946399999999997</v>
      </c>
      <c r="L3363" s="2">
        <v>320</v>
      </c>
      <c r="M3363" s="2">
        <v>108.9913</v>
      </c>
      <c r="N3363" s="2">
        <v>44</v>
      </c>
      <c r="O3363" s="2">
        <v>103.82640000000001</v>
      </c>
      <c r="P3363" s="2">
        <v>115</v>
      </c>
      <c r="Q3363" s="2">
        <v>103.7912</v>
      </c>
      <c r="R3363" s="2">
        <v>226</v>
      </c>
      <c r="S3363" s="2">
        <v>105.9743</v>
      </c>
      <c r="T3363" s="2">
        <v>252</v>
      </c>
      <c r="U3363" s="2">
        <v>0.44140099999999999</v>
      </c>
      <c r="V3363" s="2">
        <v>183</v>
      </c>
      <c r="W3363" s="2">
        <v>2005</v>
      </c>
    </row>
    <row r="3364" spans="1:23" ht="12.3" x14ac:dyDescent="0.4">
      <c r="A3364" s="2" t="s">
        <v>344</v>
      </c>
      <c r="B3364" s="2">
        <v>16</v>
      </c>
      <c r="C3364" s="2"/>
      <c r="D3364" s="2"/>
      <c r="E3364" s="2"/>
      <c r="F3364" s="2"/>
      <c r="G3364" s="2"/>
      <c r="H3364" s="2"/>
      <c r="I3364" s="2">
        <v>69.947400000000002</v>
      </c>
      <c r="J3364" s="2">
        <v>76</v>
      </c>
      <c r="K3364" s="2">
        <v>69.666499999999999</v>
      </c>
      <c r="L3364" s="2">
        <v>74</v>
      </c>
      <c r="M3364" s="2">
        <v>105.2655</v>
      </c>
      <c r="N3364" s="2">
        <v>82</v>
      </c>
      <c r="O3364" s="2">
        <v>100.8907</v>
      </c>
      <c r="P3364" s="2">
        <v>175</v>
      </c>
      <c r="Q3364" s="2">
        <v>100.3342</v>
      </c>
      <c r="R3364" s="2">
        <v>138</v>
      </c>
      <c r="S3364" s="2">
        <v>103.8184</v>
      </c>
      <c r="T3364" s="2">
        <v>214</v>
      </c>
      <c r="U3364" s="2">
        <v>0.41849199999999998</v>
      </c>
      <c r="V3364" s="2">
        <v>191</v>
      </c>
      <c r="W3364" s="2">
        <v>2005</v>
      </c>
    </row>
    <row r="3365" spans="1:23" ht="12.3" x14ac:dyDescent="0.4">
      <c r="A3365" s="2" t="s">
        <v>234</v>
      </c>
      <c r="B3365" s="2">
        <v>16</v>
      </c>
      <c r="C3365" s="25"/>
      <c r="D3365" s="25"/>
      <c r="E3365" s="25"/>
      <c r="F3365" s="2"/>
      <c r="G3365" s="2"/>
      <c r="H3365" s="2"/>
      <c r="I3365" s="2">
        <v>69.610699999999994</v>
      </c>
      <c r="J3365" s="2">
        <v>87</v>
      </c>
      <c r="K3365" s="2">
        <v>68.915499999999994</v>
      </c>
      <c r="L3365" s="2">
        <v>96</v>
      </c>
      <c r="M3365" s="2">
        <v>99.559100000000001</v>
      </c>
      <c r="N3365" s="2">
        <v>208</v>
      </c>
      <c r="O3365" s="2">
        <v>98.592200000000005</v>
      </c>
      <c r="P3365" s="2">
        <v>215</v>
      </c>
      <c r="Q3365" s="2">
        <v>98.957400000000007</v>
      </c>
      <c r="R3365" s="2">
        <v>107</v>
      </c>
      <c r="S3365" s="2">
        <v>101.63800000000001</v>
      </c>
      <c r="T3365" s="2">
        <v>166</v>
      </c>
      <c r="U3365" s="2">
        <v>0.41341</v>
      </c>
      <c r="V3365" s="2">
        <v>194</v>
      </c>
      <c r="W3365" s="2">
        <v>2005</v>
      </c>
    </row>
    <row r="3366" spans="1:23" ht="12.3" x14ac:dyDescent="0.4">
      <c r="A3366" s="2" t="s">
        <v>265</v>
      </c>
      <c r="B3366" s="2">
        <v>16</v>
      </c>
      <c r="C3366" s="2"/>
      <c r="D3366" s="2"/>
      <c r="E3366" s="2"/>
      <c r="F3366" s="2"/>
      <c r="G3366" s="2"/>
      <c r="H3366" s="2"/>
      <c r="I3366" s="2">
        <v>60.713000000000001</v>
      </c>
      <c r="J3366" s="2">
        <v>322</v>
      </c>
      <c r="K3366" s="2">
        <v>60.188000000000002</v>
      </c>
      <c r="L3366" s="2">
        <v>323</v>
      </c>
      <c r="M3366" s="2">
        <v>102.0196</v>
      </c>
      <c r="N3366" s="2">
        <v>147</v>
      </c>
      <c r="O3366" s="2">
        <v>102.5804</v>
      </c>
      <c r="P3366" s="2">
        <v>138</v>
      </c>
      <c r="Q3366" s="2">
        <v>101.5197</v>
      </c>
      <c r="R3366" s="2">
        <v>169</v>
      </c>
      <c r="S3366" s="2">
        <v>106.6371</v>
      </c>
      <c r="T3366" s="2">
        <v>264</v>
      </c>
      <c r="U3366" s="2">
        <v>0.39030700000000002</v>
      </c>
      <c r="V3366" s="2">
        <v>200</v>
      </c>
      <c r="W3366" s="2">
        <v>2005</v>
      </c>
    </row>
    <row r="3367" spans="1:23" ht="12.3" x14ac:dyDescent="0.4">
      <c r="A3367" s="2" t="s">
        <v>272</v>
      </c>
      <c r="B3367" s="2">
        <v>16</v>
      </c>
      <c r="C3367" s="2"/>
      <c r="D3367" s="2"/>
      <c r="E3367" s="2"/>
      <c r="F3367" s="2"/>
      <c r="G3367" s="2"/>
      <c r="H3367" s="2"/>
      <c r="I3367" s="2">
        <v>73.287300000000002</v>
      </c>
      <c r="J3367" s="2">
        <v>19</v>
      </c>
      <c r="K3367" s="2">
        <v>73.141300000000001</v>
      </c>
      <c r="L3367" s="2">
        <v>13</v>
      </c>
      <c r="M3367" s="2">
        <v>92.703999999999994</v>
      </c>
      <c r="N3367" s="2">
        <v>292</v>
      </c>
      <c r="O3367" s="2">
        <v>90.820499999999996</v>
      </c>
      <c r="P3367" s="2">
        <v>308</v>
      </c>
      <c r="Q3367" s="2">
        <v>91.981999999999999</v>
      </c>
      <c r="R3367" s="2">
        <v>10</v>
      </c>
      <c r="S3367" s="2">
        <v>100.9975</v>
      </c>
      <c r="T3367" s="2">
        <v>151</v>
      </c>
      <c r="U3367" s="2">
        <v>0.227687</v>
      </c>
      <c r="V3367" s="2">
        <v>273</v>
      </c>
      <c r="W3367" s="2">
        <v>2005</v>
      </c>
    </row>
    <row r="3368" spans="1:23" ht="12.3" x14ac:dyDescent="0.4">
      <c r="A3368" s="2" t="s">
        <v>32</v>
      </c>
      <c r="B3368" s="2">
        <v>1</v>
      </c>
      <c r="C3368" s="3" t="s">
        <v>33</v>
      </c>
      <c r="D3368" s="3" t="s">
        <v>33</v>
      </c>
      <c r="E3368" s="4" t="s">
        <v>33</v>
      </c>
      <c r="F3368" s="4" t="s">
        <v>33</v>
      </c>
      <c r="G3368" s="2"/>
      <c r="H3368" s="2"/>
      <c r="I3368" s="2">
        <v>70.012200000000007</v>
      </c>
      <c r="J3368" s="2">
        <v>88</v>
      </c>
      <c r="K3368" s="2">
        <v>69.271000000000001</v>
      </c>
      <c r="L3368" s="2">
        <v>107</v>
      </c>
      <c r="M3368" s="2">
        <v>113.1113</v>
      </c>
      <c r="N3368" s="2">
        <v>9</v>
      </c>
      <c r="O3368" s="2">
        <v>117.6452</v>
      </c>
      <c r="P3368" s="2">
        <v>4</v>
      </c>
      <c r="Q3368" s="2">
        <v>91.740899999999996</v>
      </c>
      <c r="R3368" s="2">
        <v>11</v>
      </c>
      <c r="S3368" s="2">
        <v>89.644499999999994</v>
      </c>
      <c r="T3368" s="2">
        <v>5</v>
      </c>
      <c r="U3368" s="2">
        <v>0.95794999999999997</v>
      </c>
      <c r="V3368" s="2">
        <v>1</v>
      </c>
      <c r="W3368" s="2">
        <v>2004</v>
      </c>
    </row>
    <row r="3369" spans="1:23" ht="12.3" x14ac:dyDescent="0.4">
      <c r="A3369" s="2" t="s">
        <v>46</v>
      </c>
      <c r="B3369" s="2">
        <v>3</v>
      </c>
      <c r="C3369" s="3" t="s">
        <v>33</v>
      </c>
      <c r="D3369" s="3" t="s">
        <v>33</v>
      </c>
      <c r="E3369" s="25"/>
      <c r="F3369" s="2"/>
      <c r="G3369" s="2"/>
      <c r="H3369" s="2"/>
      <c r="I3369" s="2">
        <v>60.519500000000001</v>
      </c>
      <c r="J3369" s="2">
        <v>318</v>
      </c>
      <c r="K3369" s="2">
        <v>61.084200000000003</v>
      </c>
      <c r="L3369" s="2">
        <v>315</v>
      </c>
      <c r="M3369" s="2">
        <v>111.789</v>
      </c>
      <c r="N3369" s="2">
        <v>12</v>
      </c>
      <c r="O3369" s="2">
        <v>113.94199999999999</v>
      </c>
      <c r="P3369" s="2">
        <v>13</v>
      </c>
      <c r="Q3369" s="2">
        <v>90.810299999999998</v>
      </c>
      <c r="R3369" s="2">
        <v>6</v>
      </c>
      <c r="S3369" s="2">
        <v>88.186899999999994</v>
      </c>
      <c r="T3369" s="2">
        <v>2</v>
      </c>
      <c r="U3369" s="2">
        <v>0.95010499999999998</v>
      </c>
      <c r="V3369" s="2">
        <v>2</v>
      </c>
      <c r="W3369" s="2">
        <v>2004</v>
      </c>
    </row>
    <row r="3370" spans="1:23" ht="12.3" x14ac:dyDescent="0.4">
      <c r="A3370" s="2" t="s">
        <v>91</v>
      </c>
      <c r="B3370" s="2">
        <v>1</v>
      </c>
      <c r="C3370" s="3" t="s">
        <v>33</v>
      </c>
      <c r="D3370" s="3" t="s">
        <v>33</v>
      </c>
      <c r="E3370" s="4" t="s">
        <v>33</v>
      </c>
      <c r="F3370" s="2"/>
      <c r="G3370" s="2"/>
      <c r="H3370" s="2"/>
      <c r="I3370" s="2">
        <v>67.862499999999997</v>
      </c>
      <c r="J3370" s="2">
        <v>168</v>
      </c>
      <c r="K3370" s="2">
        <v>68.685500000000005</v>
      </c>
      <c r="L3370" s="2">
        <v>126</v>
      </c>
      <c r="M3370" s="2">
        <v>114.627</v>
      </c>
      <c r="N3370" s="2">
        <v>5</v>
      </c>
      <c r="O3370" s="2">
        <v>114.95950000000001</v>
      </c>
      <c r="P3370" s="2">
        <v>11</v>
      </c>
      <c r="Q3370" s="2">
        <v>90.536799999999999</v>
      </c>
      <c r="R3370" s="2">
        <v>5</v>
      </c>
      <c r="S3370" s="2">
        <v>89.9756</v>
      </c>
      <c r="T3370" s="2">
        <v>7</v>
      </c>
      <c r="U3370" s="2">
        <v>0.94364000000000003</v>
      </c>
      <c r="V3370" s="2">
        <v>3</v>
      </c>
      <c r="W3370" s="2">
        <v>2004</v>
      </c>
    </row>
    <row r="3371" spans="1:23" ht="12.3" x14ac:dyDescent="0.4">
      <c r="A3371" s="2" t="s">
        <v>47</v>
      </c>
      <c r="B3371" s="2">
        <v>2</v>
      </c>
      <c r="C3371" s="3" t="s">
        <v>33</v>
      </c>
      <c r="D3371" s="2"/>
      <c r="E3371" s="2"/>
      <c r="F3371" s="2"/>
      <c r="G3371" s="2"/>
      <c r="H3371" s="2"/>
      <c r="I3371" s="2">
        <v>68.746200000000002</v>
      </c>
      <c r="J3371" s="2">
        <v>131</v>
      </c>
      <c r="K3371" s="2">
        <v>68.2624</v>
      </c>
      <c r="L3371" s="2">
        <v>145</v>
      </c>
      <c r="M3371" s="2">
        <v>119.00660000000001</v>
      </c>
      <c r="N3371" s="2">
        <v>1</v>
      </c>
      <c r="O3371" s="2">
        <v>118.7808</v>
      </c>
      <c r="P3371" s="2">
        <v>2</v>
      </c>
      <c r="Q3371" s="2">
        <v>94.983999999999995</v>
      </c>
      <c r="R3371" s="2">
        <v>41</v>
      </c>
      <c r="S3371" s="2">
        <v>93.751000000000005</v>
      </c>
      <c r="T3371" s="2">
        <v>28</v>
      </c>
      <c r="U3371" s="2">
        <v>0.93827400000000005</v>
      </c>
      <c r="V3371" s="2">
        <v>4</v>
      </c>
      <c r="W3371" s="2">
        <v>2004</v>
      </c>
    </row>
    <row r="3372" spans="1:23" ht="12.3" x14ac:dyDescent="0.4">
      <c r="A3372" s="2" t="s">
        <v>54</v>
      </c>
      <c r="B3372" s="2">
        <v>2</v>
      </c>
      <c r="C3372" s="3" t="s">
        <v>33</v>
      </c>
      <c r="D3372" s="4" t="s">
        <v>33</v>
      </c>
      <c r="E3372" s="4" t="s">
        <v>33</v>
      </c>
      <c r="F3372" s="4" t="s">
        <v>33</v>
      </c>
      <c r="G3372" s="4" t="s">
        <v>33</v>
      </c>
      <c r="H3372" s="4" t="s">
        <v>33</v>
      </c>
      <c r="I3372" s="2">
        <v>70.069900000000004</v>
      </c>
      <c r="J3372" s="2">
        <v>85</v>
      </c>
      <c r="K3372" s="2">
        <v>70.080500000000001</v>
      </c>
      <c r="L3372" s="2">
        <v>73</v>
      </c>
      <c r="M3372" s="2">
        <v>112.3242</v>
      </c>
      <c r="N3372" s="2">
        <v>11</v>
      </c>
      <c r="O3372" s="2">
        <v>113.6357</v>
      </c>
      <c r="P3372" s="2">
        <v>14</v>
      </c>
      <c r="Q3372" s="2">
        <v>91.503900000000002</v>
      </c>
      <c r="R3372" s="2">
        <v>10</v>
      </c>
      <c r="S3372" s="2">
        <v>90.179100000000005</v>
      </c>
      <c r="T3372" s="2">
        <v>8</v>
      </c>
      <c r="U3372" s="2">
        <v>0.93455100000000002</v>
      </c>
      <c r="V3372" s="2">
        <v>5</v>
      </c>
      <c r="W3372" s="2">
        <v>2004</v>
      </c>
    </row>
    <row r="3373" spans="1:23" ht="12.3" x14ac:dyDescent="0.4">
      <c r="A3373" s="2" t="s">
        <v>45</v>
      </c>
      <c r="B3373" s="2">
        <v>1</v>
      </c>
      <c r="C3373" s="3" t="s">
        <v>33</v>
      </c>
      <c r="D3373" s="2"/>
      <c r="E3373" s="2"/>
      <c r="F3373" s="2"/>
      <c r="G3373" s="2"/>
      <c r="H3373" s="2"/>
      <c r="I3373" s="2">
        <v>68.053799999999995</v>
      </c>
      <c r="J3373" s="2">
        <v>159</v>
      </c>
      <c r="K3373" s="2">
        <v>68.370800000000003</v>
      </c>
      <c r="L3373" s="2">
        <v>135</v>
      </c>
      <c r="M3373" s="2">
        <v>106.71639999999999</v>
      </c>
      <c r="N3373" s="2">
        <v>65</v>
      </c>
      <c r="O3373" s="2">
        <v>111.4277</v>
      </c>
      <c r="P3373" s="2">
        <v>23</v>
      </c>
      <c r="Q3373" s="2">
        <v>92.282300000000006</v>
      </c>
      <c r="R3373" s="2">
        <v>16</v>
      </c>
      <c r="S3373" s="2">
        <v>88.546599999999998</v>
      </c>
      <c r="T3373" s="2">
        <v>3</v>
      </c>
      <c r="U3373" s="2">
        <v>0.93359400000000003</v>
      </c>
      <c r="V3373" s="2">
        <v>6</v>
      </c>
      <c r="W3373" s="2">
        <v>2004</v>
      </c>
    </row>
    <row r="3374" spans="1:23" ht="12.3" x14ac:dyDescent="0.4">
      <c r="A3374" s="2" t="s">
        <v>55</v>
      </c>
      <c r="B3374" s="2">
        <v>3</v>
      </c>
      <c r="C3374" s="4" t="s">
        <v>33</v>
      </c>
      <c r="D3374" s="2"/>
      <c r="E3374" s="2"/>
      <c r="F3374" s="2"/>
      <c r="G3374" s="2"/>
      <c r="H3374" s="2"/>
      <c r="I3374" s="2">
        <v>66.661600000000007</v>
      </c>
      <c r="J3374" s="2">
        <v>204</v>
      </c>
      <c r="K3374" s="2">
        <v>64.578900000000004</v>
      </c>
      <c r="L3374" s="2">
        <v>277</v>
      </c>
      <c r="M3374" s="2">
        <v>109.58029999999999</v>
      </c>
      <c r="N3374" s="2">
        <v>26</v>
      </c>
      <c r="O3374" s="2">
        <v>117.9212</v>
      </c>
      <c r="P3374" s="2">
        <v>3</v>
      </c>
      <c r="Q3374" s="2">
        <v>97.632000000000005</v>
      </c>
      <c r="R3374" s="2">
        <v>89</v>
      </c>
      <c r="S3374" s="2">
        <v>94.677999999999997</v>
      </c>
      <c r="T3374" s="2">
        <v>39</v>
      </c>
      <c r="U3374" s="2">
        <v>0.92585200000000001</v>
      </c>
      <c r="V3374" s="2">
        <v>7</v>
      </c>
      <c r="W3374" s="2">
        <v>2004</v>
      </c>
    </row>
    <row r="3375" spans="1:23" ht="12.3" x14ac:dyDescent="0.4">
      <c r="A3375" s="2" t="s">
        <v>72</v>
      </c>
      <c r="B3375" s="2">
        <v>2</v>
      </c>
      <c r="C3375" s="3" t="s">
        <v>33</v>
      </c>
      <c r="D3375" s="4" t="s">
        <v>33</v>
      </c>
      <c r="E3375" s="4" t="s">
        <v>33</v>
      </c>
      <c r="F3375" s="4" t="s">
        <v>33</v>
      </c>
      <c r="G3375" s="2"/>
      <c r="H3375" s="2"/>
      <c r="I3375" s="2">
        <v>67.677700000000002</v>
      </c>
      <c r="J3375" s="2">
        <v>175</v>
      </c>
      <c r="K3375" s="2">
        <v>67.096100000000007</v>
      </c>
      <c r="L3375" s="2">
        <v>190</v>
      </c>
      <c r="M3375" s="2">
        <v>114.5271</v>
      </c>
      <c r="N3375" s="2">
        <v>6</v>
      </c>
      <c r="O3375" s="2">
        <v>115.703</v>
      </c>
      <c r="P3375" s="2">
        <v>7</v>
      </c>
      <c r="Q3375" s="2">
        <v>93.298900000000003</v>
      </c>
      <c r="R3375" s="2">
        <v>23</v>
      </c>
      <c r="S3375" s="2">
        <v>93.169600000000003</v>
      </c>
      <c r="T3375" s="2">
        <v>24</v>
      </c>
      <c r="U3375" s="2">
        <v>0.92350600000000005</v>
      </c>
      <c r="V3375" s="2">
        <v>8</v>
      </c>
      <c r="W3375" s="2">
        <v>2004</v>
      </c>
    </row>
    <row r="3376" spans="1:23" ht="12.3" x14ac:dyDescent="0.4">
      <c r="A3376" s="2" t="s">
        <v>92</v>
      </c>
      <c r="B3376" s="2">
        <v>3</v>
      </c>
      <c r="C3376" s="3" t="s">
        <v>33</v>
      </c>
      <c r="D3376" s="3" t="s">
        <v>33</v>
      </c>
      <c r="E3376" s="4" t="s">
        <v>33</v>
      </c>
      <c r="F3376" s="4" t="s">
        <v>33</v>
      </c>
      <c r="G3376" s="4" t="s">
        <v>33</v>
      </c>
      <c r="H3376" s="2"/>
      <c r="I3376" s="2">
        <v>72.636200000000002</v>
      </c>
      <c r="J3376" s="2">
        <v>22</v>
      </c>
      <c r="K3376" s="2">
        <v>71.158100000000005</v>
      </c>
      <c r="L3376" s="2">
        <v>41</v>
      </c>
      <c r="M3376" s="2">
        <v>106.92359999999999</v>
      </c>
      <c r="N3376" s="2">
        <v>61</v>
      </c>
      <c r="O3376" s="2">
        <v>112.3931</v>
      </c>
      <c r="P3376" s="2">
        <v>20</v>
      </c>
      <c r="Q3376" s="2">
        <v>92.101200000000006</v>
      </c>
      <c r="R3376" s="2">
        <v>13</v>
      </c>
      <c r="S3376" s="2">
        <v>90.567099999999996</v>
      </c>
      <c r="T3376" s="2">
        <v>11</v>
      </c>
      <c r="U3376" s="2">
        <v>0.92294100000000001</v>
      </c>
      <c r="V3376" s="2">
        <v>9</v>
      </c>
      <c r="W3376" s="2">
        <v>2004</v>
      </c>
    </row>
    <row r="3377" spans="1:23" ht="12.3" x14ac:dyDescent="0.4">
      <c r="A3377" s="2" t="s">
        <v>76</v>
      </c>
      <c r="B3377" s="2">
        <v>6</v>
      </c>
      <c r="C3377" s="3" t="s">
        <v>33</v>
      </c>
      <c r="D3377" s="25"/>
      <c r="E3377" s="25"/>
      <c r="F3377" s="2"/>
      <c r="G3377" s="2"/>
      <c r="H3377" s="2"/>
      <c r="I3377" s="2">
        <v>61.050600000000003</v>
      </c>
      <c r="J3377" s="2">
        <v>314</v>
      </c>
      <c r="K3377" s="2">
        <v>61.981699999999996</v>
      </c>
      <c r="L3377" s="2">
        <v>310</v>
      </c>
      <c r="M3377" s="2">
        <v>111.5488</v>
      </c>
      <c r="N3377" s="2">
        <v>13</v>
      </c>
      <c r="O3377" s="2">
        <v>112.1237</v>
      </c>
      <c r="P3377" s="2">
        <v>21</v>
      </c>
      <c r="Q3377" s="2">
        <v>92.278499999999994</v>
      </c>
      <c r="R3377" s="2">
        <v>15</v>
      </c>
      <c r="S3377" s="2">
        <v>90.565299999999993</v>
      </c>
      <c r="T3377" s="2">
        <v>10</v>
      </c>
      <c r="U3377" s="2">
        <v>0.92097099999999998</v>
      </c>
      <c r="V3377" s="2">
        <v>10</v>
      </c>
      <c r="W3377" s="2">
        <v>2004</v>
      </c>
    </row>
    <row r="3378" spans="1:23" ht="12.3" x14ac:dyDescent="0.4">
      <c r="A3378" s="2" t="s">
        <v>48</v>
      </c>
      <c r="B3378" s="2">
        <v>2</v>
      </c>
      <c r="C3378" s="3" t="s">
        <v>33</v>
      </c>
      <c r="D3378" s="25"/>
      <c r="E3378" s="25"/>
      <c r="F3378" s="25"/>
      <c r="G3378" s="2"/>
      <c r="H3378" s="2"/>
      <c r="I3378" s="2">
        <v>69.688400000000001</v>
      </c>
      <c r="J3378" s="2">
        <v>101</v>
      </c>
      <c r="K3378" s="2">
        <v>70.101399999999998</v>
      </c>
      <c r="L3378" s="2">
        <v>72</v>
      </c>
      <c r="M3378" s="2">
        <v>108.762</v>
      </c>
      <c r="N3378" s="2">
        <v>33</v>
      </c>
      <c r="O3378" s="2">
        <v>113.0877</v>
      </c>
      <c r="P3378" s="2">
        <v>17</v>
      </c>
      <c r="Q3378" s="2">
        <v>93.504199999999997</v>
      </c>
      <c r="R3378" s="2">
        <v>26</v>
      </c>
      <c r="S3378" s="2">
        <v>91.515299999999996</v>
      </c>
      <c r="T3378" s="2">
        <v>14</v>
      </c>
      <c r="U3378" s="2">
        <v>0.91938799999999998</v>
      </c>
      <c r="V3378" s="2">
        <v>11</v>
      </c>
      <c r="W3378" s="2">
        <v>2004</v>
      </c>
    </row>
    <row r="3379" spans="1:23" ht="12.3" x14ac:dyDescent="0.4">
      <c r="A3379" s="2" t="s">
        <v>34</v>
      </c>
      <c r="B3379" s="2">
        <v>4</v>
      </c>
      <c r="C3379" s="3" t="s">
        <v>33</v>
      </c>
      <c r="D3379" s="2"/>
      <c r="E3379" s="2"/>
      <c r="F3379" s="2"/>
      <c r="G3379" s="2"/>
      <c r="H3379" s="2"/>
      <c r="I3379" s="2">
        <v>68.887600000000006</v>
      </c>
      <c r="J3379" s="2">
        <v>128</v>
      </c>
      <c r="K3379" s="2">
        <v>68.5565</v>
      </c>
      <c r="L3379" s="2">
        <v>130</v>
      </c>
      <c r="M3379" s="2">
        <v>111.42919999999999</v>
      </c>
      <c r="N3379" s="2">
        <v>14</v>
      </c>
      <c r="O3379" s="2">
        <v>114.1686</v>
      </c>
      <c r="P3379" s="2">
        <v>12</v>
      </c>
      <c r="Q3379" s="2">
        <v>91.203900000000004</v>
      </c>
      <c r="R3379" s="2">
        <v>8</v>
      </c>
      <c r="S3379" s="2">
        <v>92.809200000000004</v>
      </c>
      <c r="T3379" s="2">
        <v>19</v>
      </c>
      <c r="U3379" s="2">
        <v>0.91544400000000004</v>
      </c>
      <c r="V3379" s="2">
        <v>12</v>
      </c>
      <c r="W3379" s="2">
        <v>2004</v>
      </c>
    </row>
    <row r="3380" spans="1:23" ht="12.3" x14ac:dyDescent="0.4">
      <c r="A3380" s="2" t="s">
        <v>168</v>
      </c>
      <c r="B3380" s="2">
        <v>6</v>
      </c>
      <c r="C3380" s="3" t="s">
        <v>33</v>
      </c>
      <c r="D3380" s="2"/>
      <c r="E3380" s="2"/>
      <c r="F3380" s="2"/>
      <c r="G3380" s="2"/>
      <c r="H3380" s="2"/>
      <c r="I3380" s="2">
        <v>74.396900000000002</v>
      </c>
      <c r="J3380" s="2">
        <v>9</v>
      </c>
      <c r="K3380" s="2">
        <v>72.66</v>
      </c>
      <c r="L3380" s="2">
        <v>17</v>
      </c>
      <c r="M3380" s="2">
        <v>108.9502</v>
      </c>
      <c r="N3380" s="2">
        <v>29</v>
      </c>
      <c r="O3380" s="2">
        <v>115.0068</v>
      </c>
      <c r="P3380" s="2">
        <v>10</v>
      </c>
      <c r="Q3380" s="2">
        <v>99.064800000000005</v>
      </c>
      <c r="R3380" s="2">
        <v>114</v>
      </c>
      <c r="S3380" s="2">
        <v>93.916300000000007</v>
      </c>
      <c r="T3380" s="2">
        <v>30</v>
      </c>
      <c r="U3380" s="2">
        <v>0.91131200000000001</v>
      </c>
      <c r="V3380" s="2">
        <v>13</v>
      </c>
      <c r="W3380" s="2">
        <v>2004</v>
      </c>
    </row>
    <row r="3381" spans="1:23" ht="12.3" x14ac:dyDescent="0.4">
      <c r="A3381" s="2" t="s">
        <v>52</v>
      </c>
      <c r="B3381" s="2">
        <v>1</v>
      </c>
      <c r="C3381" s="4" t="s">
        <v>33</v>
      </c>
      <c r="D3381" s="2"/>
      <c r="E3381" s="2"/>
      <c r="F3381" s="2"/>
      <c r="G3381" s="2"/>
      <c r="H3381" s="2"/>
      <c r="I3381" s="2">
        <v>67.026200000000003</v>
      </c>
      <c r="J3381" s="2">
        <v>193</v>
      </c>
      <c r="K3381" s="2">
        <v>65.987300000000005</v>
      </c>
      <c r="L3381" s="2">
        <v>226</v>
      </c>
      <c r="M3381" s="2">
        <v>110.4171</v>
      </c>
      <c r="N3381" s="2">
        <v>21</v>
      </c>
      <c r="O3381" s="2">
        <v>109.6559</v>
      </c>
      <c r="P3381" s="2">
        <v>39</v>
      </c>
      <c r="Q3381" s="2">
        <v>90.505300000000005</v>
      </c>
      <c r="R3381" s="2">
        <v>4</v>
      </c>
      <c r="S3381" s="2">
        <v>89.7042</v>
      </c>
      <c r="T3381" s="2">
        <v>6</v>
      </c>
      <c r="U3381" s="2">
        <v>0.90966400000000003</v>
      </c>
      <c r="V3381" s="2">
        <v>14</v>
      </c>
      <c r="W3381" s="2">
        <v>2004</v>
      </c>
    </row>
    <row r="3382" spans="1:23" ht="12.3" x14ac:dyDescent="0.4">
      <c r="A3382" s="2" t="s">
        <v>61</v>
      </c>
      <c r="B3382" s="2">
        <v>4</v>
      </c>
      <c r="C3382" s="4" t="s">
        <v>33</v>
      </c>
      <c r="D3382" s="4" t="s">
        <v>33</v>
      </c>
      <c r="E3382" s="2"/>
      <c r="F3382" s="2"/>
      <c r="G3382" s="2"/>
      <c r="H3382" s="2"/>
      <c r="I3382" s="2">
        <v>73.154799999999994</v>
      </c>
      <c r="J3382" s="2">
        <v>19</v>
      </c>
      <c r="K3382" s="2">
        <v>71.874600000000001</v>
      </c>
      <c r="L3382" s="2">
        <v>28</v>
      </c>
      <c r="M3382" s="2">
        <v>112.4837</v>
      </c>
      <c r="N3382" s="2">
        <v>10</v>
      </c>
      <c r="O3382" s="2">
        <v>120.0258</v>
      </c>
      <c r="P3382" s="2">
        <v>1</v>
      </c>
      <c r="Q3382" s="2">
        <v>101.83329999999999</v>
      </c>
      <c r="R3382" s="2">
        <v>174</v>
      </c>
      <c r="S3382" s="2">
        <v>99.070999999999998</v>
      </c>
      <c r="T3382" s="2">
        <v>114</v>
      </c>
      <c r="U3382" s="2">
        <v>0.90083199999999997</v>
      </c>
      <c r="V3382" s="2">
        <v>15</v>
      </c>
      <c r="W3382" s="2">
        <v>2004</v>
      </c>
    </row>
    <row r="3383" spans="1:23" ht="12.3" x14ac:dyDescent="0.4">
      <c r="A3383" s="2" t="s">
        <v>86</v>
      </c>
      <c r="B3383" s="2">
        <v>10</v>
      </c>
      <c r="C3383" s="25"/>
      <c r="D3383" s="2"/>
      <c r="E3383" s="2"/>
      <c r="F3383" s="2"/>
      <c r="G3383" s="2"/>
      <c r="H3383" s="2"/>
      <c r="I3383" s="2">
        <v>69.697800000000001</v>
      </c>
      <c r="J3383" s="2">
        <v>100</v>
      </c>
      <c r="K3383" s="2">
        <v>69.431399999999996</v>
      </c>
      <c r="L3383" s="2">
        <v>102</v>
      </c>
      <c r="M3383" s="2">
        <v>103.6755</v>
      </c>
      <c r="N3383" s="2">
        <v>102</v>
      </c>
      <c r="O3383" s="2">
        <v>103.0938</v>
      </c>
      <c r="P3383" s="2">
        <v>121</v>
      </c>
      <c r="Q3383" s="2">
        <v>86.672399999999996</v>
      </c>
      <c r="R3383" s="2">
        <v>1</v>
      </c>
      <c r="S3383" s="2">
        <v>85.956900000000005</v>
      </c>
      <c r="T3383" s="2">
        <v>1</v>
      </c>
      <c r="U3383" s="2">
        <v>0.88998699999999997</v>
      </c>
      <c r="V3383" s="2">
        <v>16</v>
      </c>
      <c r="W3383" s="2">
        <v>2004</v>
      </c>
    </row>
    <row r="3384" spans="1:23" ht="12.3" x14ac:dyDescent="0.4">
      <c r="A3384" s="2" t="s">
        <v>36</v>
      </c>
      <c r="B3384" s="2">
        <v>4</v>
      </c>
      <c r="C3384" s="3" t="s">
        <v>33</v>
      </c>
      <c r="D3384" s="2"/>
      <c r="E3384" s="2"/>
      <c r="F3384" s="2"/>
      <c r="G3384" s="2"/>
      <c r="H3384" s="2"/>
      <c r="I3384" s="2">
        <v>73.576400000000007</v>
      </c>
      <c r="J3384" s="2">
        <v>15</v>
      </c>
      <c r="K3384" s="2">
        <v>72.843800000000002</v>
      </c>
      <c r="L3384" s="2">
        <v>15</v>
      </c>
      <c r="M3384" s="2">
        <v>103.7295</v>
      </c>
      <c r="N3384" s="2">
        <v>100</v>
      </c>
      <c r="O3384" s="2">
        <v>108.6867</v>
      </c>
      <c r="P3384" s="2">
        <v>55</v>
      </c>
      <c r="Q3384" s="2">
        <v>96.009100000000004</v>
      </c>
      <c r="R3384" s="2">
        <v>56</v>
      </c>
      <c r="S3384" s="2">
        <v>90.809299999999993</v>
      </c>
      <c r="T3384" s="2">
        <v>12</v>
      </c>
      <c r="U3384" s="2">
        <v>0.88761800000000002</v>
      </c>
      <c r="V3384" s="2">
        <v>17</v>
      </c>
      <c r="W3384" s="2">
        <v>2004</v>
      </c>
    </row>
    <row r="3385" spans="1:23" ht="12.3" x14ac:dyDescent="0.4">
      <c r="A3385" s="2" t="s">
        <v>50</v>
      </c>
      <c r="B3385" s="2">
        <v>7</v>
      </c>
      <c r="C3385" s="4" t="s">
        <v>33</v>
      </c>
      <c r="D3385" s="4" t="s">
        <v>33</v>
      </c>
      <c r="E3385" s="4" t="s">
        <v>33</v>
      </c>
      <c r="F3385" s="2"/>
      <c r="G3385" s="2"/>
      <c r="H3385" s="2"/>
      <c r="I3385" s="2">
        <v>65.535700000000006</v>
      </c>
      <c r="J3385" s="2">
        <v>245</v>
      </c>
      <c r="K3385" s="2">
        <v>65.586699999999993</v>
      </c>
      <c r="L3385" s="2">
        <v>240</v>
      </c>
      <c r="M3385" s="2">
        <v>107.06100000000001</v>
      </c>
      <c r="N3385" s="2">
        <v>55</v>
      </c>
      <c r="O3385" s="2">
        <v>109.9152</v>
      </c>
      <c r="P3385" s="2">
        <v>36</v>
      </c>
      <c r="Q3385" s="2">
        <v>94.5428</v>
      </c>
      <c r="R3385" s="2">
        <v>36</v>
      </c>
      <c r="S3385" s="2">
        <v>92.282499999999999</v>
      </c>
      <c r="T3385" s="2">
        <v>16</v>
      </c>
      <c r="U3385" s="2">
        <v>0.88192999999999999</v>
      </c>
      <c r="V3385" s="2">
        <v>18</v>
      </c>
      <c r="W3385" s="2">
        <v>2004</v>
      </c>
    </row>
    <row r="3386" spans="1:23" ht="12.3" x14ac:dyDescent="0.4">
      <c r="A3386" s="2" t="s">
        <v>37</v>
      </c>
      <c r="B3386" s="2">
        <v>5</v>
      </c>
      <c r="C3386" s="2"/>
      <c r="D3386" s="2"/>
      <c r="E3386" s="2"/>
      <c r="F3386" s="2"/>
      <c r="G3386" s="2"/>
      <c r="H3386" s="2"/>
      <c r="I3386" s="2">
        <v>68.761600000000001</v>
      </c>
      <c r="J3386" s="2">
        <v>130</v>
      </c>
      <c r="K3386" s="2">
        <v>67.610299999999995</v>
      </c>
      <c r="L3386" s="2">
        <v>170</v>
      </c>
      <c r="M3386" s="2">
        <v>111.2139</v>
      </c>
      <c r="N3386" s="2">
        <v>18</v>
      </c>
      <c r="O3386" s="2">
        <v>116.75839999999999</v>
      </c>
      <c r="P3386" s="2">
        <v>5</v>
      </c>
      <c r="Q3386" s="2">
        <v>100.1583</v>
      </c>
      <c r="R3386" s="2">
        <v>133</v>
      </c>
      <c r="S3386" s="2">
        <v>98.225899999999996</v>
      </c>
      <c r="T3386" s="2">
        <v>94</v>
      </c>
      <c r="U3386" s="2">
        <v>0.87949200000000005</v>
      </c>
      <c r="V3386" s="2">
        <v>19</v>
      </c>
      <c r="W3386" s="2">
        <v>2004</v>
      </c>
    </row>
    <row r="3387" spans="1:23" ht="12.3" x14ac:dyDescent="0.4">
      <c r="A3387" s="2" t="s">
        <v>67</v>
      </c>
      <c r="B3387" s="2">
        <v>3</v>
      </c>
      <c r="C3387" s="4" t="s">
        <v>33</v>
      </c>
      <c r="D3387" s="4" t="s">
        <v>33</v>
      </c>
      <c r="E3387" s="2"/>
      <c r="F3387" s="2"/>
      <c r="G3387" s="2"/>
      <c r="H3387" s="2"/>
      <c r="I3387" s="2">
        <v>68.337599999999995</v>
      </c>
      <c r="J3387" s="2">
        <v>148</v>
      </c>
      <c r="K3387" s="2">
        <v>66.947500000000005</v>
      </c>
      <c r="L3387" s="2">
        <v>195</v>
      </c>
      <c r="M3387" s="2">
        <v>111.1639</v>
      </c>
      <c r="N3387" s="2">
        <v>19</v>
      </c>
      <c r="O3387" s="2">
        <v>110.43680000000001</v>
      </c>
      <c r="P3387" s="2">
        <v>31</v>
      </c>
      <c r="Q3387" s="2">
        <v>96.610699999999994</v>
      </c>
      <c r="R3387" s="2">
        <v>69</v>
      </c>
      <c r="S3387" s="2">
        <v>93.177000000000007</v>
      </c>
      <c r="T3387" s="2">
        <v>25</v>
      </c>
      <c r="U3387" s="2">
        <v>0.875919</v>
      </c>
      <c r="V3387" s="2">
        <v>20</v>
      </c>
      <c r="W3387" s="2">
        <v>2004</v>
      </c>
    </row>
    <row r="3388" spans="1:23" ht="12.3" x14ac:dyDescent="0.4">
      <c r="A3388" s="2" t="s">
        <v>145</v>
      </c>
      <c r="B3388" s="2">
        <v>10</v>
      </c>
      <c r="C3388" s="4" t="s">
        <v>33</v>
      </c>
      <c r="D3388" s="4" t="s">
        <v>33</v>
      </c>
      <c r="E3388" s="2"/>
      <c r="F3388" s="2"/>
      <c r="G3388" s="2"/>
      <c r="H3388" s="2"/>
      <c r="I3388" s="2">
        <v>69.415700000000001</v>
      </c>
      <c r="J3388" s="2">
        <v>107</v>
      </c>
      <c r="K3388" s="2">
        <v>70.038600000000002</v>
      </c>
      <c r="L3388" s="2">
        <v>76</v>
      </c>
      <c r="M3388" s="2">
        <v>108.3764</v>
      </c>
      <c r="N3388" s="2">
        <v>37</v>
      </c>
      <c r="O3388" s="2">
        <v>109.3536</v>
      </c>
      <c r="P3388" s="2">
        <v>44</v>
      </c>
      <c r="Q3388" s="2">
        <v>94.788200000000003</v>
      </c>
      <c r="R3388" s="2">
        <v>39</v>
      </c>
      <c r="S3388" s="2">
        <v>92.416200000000003</v>
      </c>
      <c r="T3388" s="2">
        <v>17</v>
      </c>
      <c r="U3388" s="2">
        <v>0.87383100000000002</v>
      </c>
      <c r="V3388" s="2">
        <v>21</v>
      </c>
      <c r="W3388" s="2">
        <v>2004</v>
      </c>
    </row>
    <row r="3389" spans="1:23" ht="12.3" x14ac:dyDescent="0.4">
      <c r="A3389" s="2" t="s">
        <v>44</v>
      </c>
      <c r="B3389" s="2">
        <v>5</v>
      </c>
      <c r="C3389" s="3" t="s">
        <v>33</v>
      </c>
      <c r="D3389" s="4" t="s">
        <v>33</v>
      </c>
      <c r="E3389" s="2"/>
      <c r="F3389" s="2"/>
      <c r="G3389" s="2"/>
      <c r="H3389" s="2"/>
      <c r="I3389" s="2">
        <v>64.787499999999994</v>
      </c>
      <c r="J3389" s="2">
        <v>263</v>
      </c>
      <c r="K3389" s="2">
        <v>65.331800000000001</v>
      </c>
      <c r="L3389" s="2">
        <v>251</v>
      </c>
      <c r="M3389" s="2">
        <v>111.2415</v>
      </c>
      <c r="N3389" s="2">
        <v>17</v>
      </c>
      <c r="O3389" s="2">
        <v>115.0189</v>
      </c>
      <c r="P3389" s="2">
        <v>9</v>
      </c>
      <c r="Q3389" s="2">
        <v>96.853999999999999</v>
      </c>
      <c r="R3389" s="2">
        <v>73</v>
      </c>
      <c r="S3389" s="2">
        <v>97.228999999999999</v>
      </c>
      <c r="T3389" s="2">
        <v>74</v>
      </c>
      <c r="U3389" s="2">
        <v>0.873506</v>
      </c>
      <c r="V3389" s="2">
        <v>22</v>
      </c>
      <c r="W3389" s="2">
        <v>2004</v>
      </c>
    </row>
    <row r="3390" spans="1:23" ht="12.3" x14ac:dyDescent="0.4">
      <c r="A3390" s="2" t="s">
        <v>120</v>
      </c>
      <c r="B3390" s="2">
        <v>5</v>
      </c>
      <c r="C3390" s="25"/>
      <c r="D3390" s="25"/>
      <c r="E3390" s="2"/>
      <c r="F3390" s="2"/>
      <c r="G3390" s="2"/>
      <c r="H3390" s="2"/>
      <c r="I3390" s="2">
        <v>66.350399999999993</v>
      </c>
      <c r="J3390" s="2">
        <v>218</v>
      </c>
      <c r="K3390" s="2">
        <v>67.150300000000001</v>
      </c>
      <c r="L3390" s="2">
        <v>187</v>
      </c>
      <c r="M3390" s="2">
        <v>107.02200000000001</v>
      </c>
      <c r="N3390" s="2">
        <v>57</v>
      </c>
      <c r="O3390" s="2">
        <v>109.79089999999999</v>
      </c>
      <c r="P3390" s="2">
        <v>38</v>
      </c>
      <c r="Q3390" s="2">
        <v>96.584100000000007</v>
      </c>
      <c r="R3390" s="2">
        <v>68</v>
      </c>
      <c r="S3390" s="2">
        <v>92.889499999999998</v>
      </c>
      <c r="T3390" s="2">
        <v>20</v>
      </c>
      <c r="U3390" s="2">
        <v>0.87240700000000004</v>
      </c>
      <c r="V3390" s="2">
        <v>23</v>
      </c>
      <c r="W3390" s="2">
        <v>2004</v>
      </c>
    </row>
    <row r="3391" spans="1:23" ht="12.3" x14ac:dyDescent="0.4">
      <c r="A3391" s="2" t="s">
        <v>111</v>
      </c>
      <c r="B3391" s="2">
        <v>6</v>
      </c>
      <c r="C3391" s="3" t="s">
        <v>33</v>
      </c>
      <c r="D3391" s="4" t="s">
        <v>33</v>
      </c>
      <c r="E3391" s="2"/>
      <c r="F3391" s="2"/>
      <c r="G3391" s="2"/>
      <c r="H3391" s="2"/>
      <c r="I3391" s="2">
        <v>67.769499999999994</v>
      </c>
      <c r="J3391" s="2">
        <v>173</v>
      </c>
      <c r="K3391" s="2">
        <v>67.134600000000006</v>
      </c>
      <c r="L3391" s="2">
        <v>188</v>
      </c>
      <c r="M3391" s="2">
        <v>108.5575</v>
      </c>
      <c r="N3391" s="2">
        <v>36</v>
      </c>
      <c r="O3391" s="2">
        <v>110.3443</v>
      </c>
      <c r="P3391" s="2">
        <v>32</v>
      </c>
      <c r="Q3391" s="2">
        <v>95.596100000000007</v>
      </c>
      <c r="R3391" s="2">
        <v>51</v>
      </c>
      <c r="S3391" s="2">
        <v>93.605400000000003</v>
      </c>
      <c r="T3391" s="2">
        <v>27</v>
      </c>
      <c r="U3391" s="2">
        <v>0.86897800000000003</v>
      </c>
      <c r="V3391" s="2">
        <v>24</v>
      </c>
      <c r="W3391" s="2">
        <v>2004</v>
      </c>
    </row>
    <row r="3392" spans="1:23" ht="12.3" x14ac:dyDescent="0.4">
      <c r="A3392" s="2" t="s">
        <v>35</v>
      </c>
      <c r="B3392" s="2">
        <v>4</v>
      </c>
      <c r="C3392" s="4" t="s">
        <v>33</v>
      </c>
      <c r="D3392" s="4" t="s">
        <v>33</v>
      </c>
      <c r="E3392" s="4" t="s">
        <v>33</v>
      </c>
      <c r="F3392" s="2"/>
      <c r="G3392" s="2"/>
      <c r="H3392" s="2"/>
      <c r="I3392" s="2">
        <v>70.170699999999997</v>
      </c>
      <c r="J3392" s="2">
        <v>78</v>
      </c>
      <c r="K3392" s="2">
        <v>70.501400000000004</v>
      </c>
      <c r="L3392" s="2">
        <v>60</v>
      </c>
      <c r="M3392" s="2">
        <v>106.17319999999999</v>
      </c>
      <c r="N3392" s="2">
        <v>73</v>
      </c>
      <c r="O3392" s="2">
        <v>109.4746</v>
      </c>
      <c r="P3392" s="2">
        <v>41</v>
      </c>
      <c r="Q3392" s="2">
        <v>96.925399999999996</v>
      </c>
      <c r="R3392" s="2">
        <v>76</v>
      </c>
      <c r="S3392" s="2">
        <v>93.426900000000003</v>
      </c>
      <c r="T3392" s="2">
        <v>26</v>
      </c>
      <c r="U3392" s="2">
        <v>0.86091399999999996</v>
      </c>
      <c r="V3392" s="2">
        <v>26</v>
      </c>
      <c r="W3392" s="2">
        <v>2004</v>
      </c>
    </row>
    <row r="3393" spans="1:23" ht="12.3" x14ac:dyDescent="0.4">
      <c r="A3393" s="2" t="s">
        <v>119</v>
      </c>
      <c r="B3393" s="2">
        <v>8</v>
      </c>
      <c r="C3393" s="4" t="s">
        <v>33</v>
      </c>
      <c r="D3393" s="2"/>
      <c r="E3393" s="2"/>
      <c r="F3393" s="2"/>
      <c r="G3393" s="2"/>
      <c r="H3393" s="2"/>
      <c r="I3393" s="2">
        <v>67.205299999999994</v>
      </c>
      <c r="J3393" s="2">
        <v>191</v>
      </c>
      <c r="K3393" s="2">
        <v>67.793400000000005</v>
      </c>
      <c r="L3393" s="2">
        <v>161</v>
      </c>
      <c r="M3393" s="2">
        <v>106.64709999999999</v>
      </c>
      <c r="N3393" s="2">
        <v>68</v>
      </c>
      <c r="O3393" s="2">
        <v>108.8018</v>
      </c>
      <c r="P3393" s="2">
        <v>53</v>
      </c>
      <c r="Q3393" s="2">
        <v>95.121099999999998</v>
      </c>
      <c r="R3393" s="2">
        <v>44</v>
      </c>
      <c r="S3393" s="2">
        <v>93.016999999999996</v>
      </c>
      <c r="T3393" s="2">
        <v>22</v>
      </c>
      <c r="U3393" s="2">
        <v>0.85846299999999998</v>
      </c>
      <c r="V3393" s="2">
        <v>27</v>
      </c>
      <c r="W3393" s="2">
        <v>2004</v>
      </c>
    </row>
    <row r="3394" spans="1:23" ht="12.3" x14ac:dyDescent="0.4">
      <c r="A3394" s="2" t="s">
        <v>23</v>
      </c>
      <c r="B3394" s="2">
        <v>5</v>
      </c>
      <c r="C3394" s="4" t="s">
        <v>33</v>
      </c>
      <c r="D3394" s="4" t="s">
        <v>33</v>
      </c>
      <c r="E3394" s="2"/>
      <c r="F3394" s="2"/>
      <c r="G3394" s="2"/>
      <c r="H3394" s="2"/>
      <c r="I3394" s="2">
        <v>67.434799999999996</v>
      </c>
      <c r="J3394" s="2">
        <v>185</v>
      </c>
      <c r="K3394" s="2">
        <v>67.317099999999996</v>
      </c>
      <c r="L3394" s="2">
        <v>178</v>
      </c>
      <c r="M3394" s="2">
        <v>107.3484</v>
      </c>
      <c r="N3394" s="2">
        <v>51</v>
      </c>
      <c r="O3394" s="2">
        <v>109.5354</v>
      </c>
      <c r="P3394" s="2">
        <v>40</v>
      </c>
      <c r="Q3394" s="2">
        <v>98.612799999999993</v>
      </c>
      <c r="R3394" s="2">
        <v>102</v>
      </c>
      <c r="S3394" s="2">
        <v>94.242099999999994</v>
      </c>
      <c r="T3394" s="2">
        <v>34</v>
      </c>
      <c r="U3394" s="2">
        <v>0.84933400000000003</v>
      </c>
      <c r="V3394" s="2">
        <v>28</v>
      </c>
      <c r="W3394" s="2">
        <v>2004</v>
      </c>
    </row>
    <row r="3395" spans="1:23" ht="12.3" x14ac:dyDescent="0.4">
      <c r="A3395" s="2" t="s">
        <v>162</v>
      </c>
      <c r="B3395" s="2">
        <v>11</v>
      </c>
      <c r="C3395" s="2"/>
      <c r="D3395" s="2"/>
      <c r="E3395" s="2"/>
      <c r="F3395" s="2"/>
      <c r="G3395" s="2"/>
      <c r="H3395" s="2"/>
      <c r="I3395" s="2">
        <v>68.707499999999996</v>
      </c>
      <c r="J3395" s="2">
        <v>133</v>
      </c>
      <c r="K3395" s="2">
        <v>67.933199999999999</v>
      </c>
      <c r="L3395" s="2">
        <v>157</v>
      </c>
      <c r="M3395" s="2">
        <v>114.22709999999999</v>
      </c>
      <c r="N3395" s="2">
        <v>7</v>
      </c>
      <c r="O3395" s="2">
        <v>112.7411</v>
      </c>
      <c r="P3395" s="2">
        <v>18</v>
      </c>
      <c r="Q3395" s="2">
        <v>95.243700000000004</v>
      </c>
      <c r="R3395" s="2">
        <v>46</v>
      </c>
      <c r="S3395" s="2">
        <v>97.1143</v>
      </c>
      <c r="T3395" s="2">
        <v>72</v>
      </c>
      <c r="U3395" s="2">
        <v>0.84759499999999999</v>
      </c>
      <c r="V3395" s="2">
        <v>29</v>
      </c>
      <c r="W3395" s="2">
        <v>2004</v>
      </c>
    </row>
    <row r="3396" spans="1:23" ht="12.3" x14ac:dyDescent="0.4">
      <c r="A3396" s="2" t="s">
        <v>100</v>
      </c>
      <c r="B3396" s="2">
        <v>11</v>
      </c>
      <c r="C3396" s="25"/>
      <c r="D3396" s="2"/>
      <c r="E3396" s="2"/>
      <c r="F3396" s="2"/>
      <c r="G3396" s="2"/>
      <c r="H3396" s="2"/>
      <c r="I3396" s="2">
        <v>64.411000000000001</v>
      </c>
      <c r="J3396" s="2">
        <v>277</v>
      </c>
      <c r="K3396" s="2">
        <v>64.231800000000007</v>
      </c>
      <c r="L3396" s="2">
        <v>284</v>
      </c>
      <c r="M3396" s="2">
        <v>100.23609999999999</v>
      </c>
      <c r="N3396" s="2">
        <v>178</v>
      </c>
      <c r="O3396" s="2">
        <v>102.89579999999999</v>
      </c>
      <c r="P3396" s="2">
        <v>126</v>
      </c>
      <c r="Q3396" s="2">
        <v>91.435699999999997</v>
      </c>
      <c r="R3396" s="2">
        <v>9</v>
      </c>
      <c r="S3396" s="2">
        <v>88.745400000000004</v>
      </c>
      <c r="T3396" s="2">
        <v>4</v>
      </c>
      <c r="U3396" s="2">
        <v>0.84571399999999997</v>
      </c>
      <c r="V3396" s="2">
        <v>30</v>
      </c>
      <c r="W3396" s="2">
        <v>2004</v>
      </c>
    </row>
    <row r="3397" spans="1:23" ht="12.3" hidden="1" x14ac:dyDescent="0.4">
      <c r="A3397" s="2" t="s">
        <v>210</v>
      </c>
      <c r="B3397" s="2"/>
      <c r="C3397" s="2"/>
      <c r="D3397" s="2"/>
      <c r="E3397" s="2"/>
      <c r="F3397" s="2"/>
      <c r="G3397" s="2"/>
      <c r="H3397" s="2"/>
      <c r="I3397" s="2">
        <v>60.813299999999998</v>
      </c>
      <c r="J3397" s="2">
        <v>336</v>
      </c>
      <c r="K3397" s="2">
        <v>60.973700000000001</v>
      </c>
      <c r="L3397" s="2">
        <v>332</v>
      </c>
      <c r="M3397" s="2">
        <v>106.78579999999999</v>
      </c>
      <c r="N3397" s="2">
        <v>63</v>
      </c>
      <c r="O3397" s="2">
        <v>107.53189999999999</v>
      </c>
      <c r="P3397" s="2">
        <v>61</v>
      </c>
      <c r="Q3397" s="2">
        <v>90.935400000000001</v>
      </c>
      <c r="R3397" s="2">
        <v>13</v>
      </c>
      <c r="S3397" s="2">
        <v>94.170500000000004</v>
      </c>
      <c r="T3397" s="2">
        <v>40</v>
      </c>
      <c r="U3397" s="2">
        <v>0.82139499999999999</v>
      </c>
      <c r="V3397" s="2">
        <v>39</v>
      </c>
      <c r="W3397" s="2">
        <v>2012</v>
      </c>
    </row>
    <row r="3398" spans="1:23" ht="12.3" hidden="1" x14ac:dyDescent="0.4">
      <c r="A3398" s="2" t="s">
        <v>60</v>
      </c>
      <c r="B3398" s="2"/>
      <c r="C3398" s="2"/>
      <c r="D3398" s="2"/>
      <c r="E3398" s="2"/>
      <c r="F3398" s="2"/>
      <c r="G3398" s="2"/>
      <c r="H3398" s="2"/>
      <c r="I3398" s="2">
        <v>65.483699999999999</v>
      </c>
      <c r="J3398" s="2">
        <v>206</v>
      </c>
      <c r="K3398" s="2">
        <v>64.7423</v>
      </c>
      <c r="L3398" s="2">
        <v>244</v>
      </c>
      <c r="M3398" s="2">
        <v>106.2192</v>
      </c>
      <c r="N3398" s="2">
        <v>73</v>
      </c>
      <c r="O3398" s="2">
        <v>109.3797</v>
      </c>
      <c r="P3398" s="2">
        <v>39</v>
      </c>
      <c r="Q3398" s="2">
        <v>98.4114</v>
      </c>
      <c r="R3398" s="2">
        <v>110</v>
      </c>
      <c r="S3398" s="2">
        <v>95.803399999999996</v>
      </c>
      <c r="T3398" s="2">
        <v>63</v>
      </c>
      <c r="U3398" s="2">
        <v>0.82113599999999998</v>
      </c>
      <c r="V3398" s="2">
        <v>40</v>
      </c>
      <c r="W3398" s="2">
        <v>2012</v>
      </c>
    </row>
    <row r="3399" spans="1:23" ht="12.3" x14ac:dyDescent="0.4">
      <c r="A3399" s="2" t="s">
        <v>71</v>
      </c>
      <c r="B3399" s="2">
        <v>7</v>
      </c>
      <c r="C3399" s="4" t="s">
        <v>33</v>
      </c>
      <c r="D3399" s="2"/>
      <c r="E3399" s="2"/>
      <c r="F3399" s="2"/>
      <c r="G3399" s="2"/>
      <c r="H3399" s="2"/>
      <c r="I3399" s="2">
        <v>68.924599999999998</v>
      </c>
      <c r="J3399" s="2">
        <v>125</v>
      </c>
      <c r="K3399" s="2">
        <v>69.406499999999994</v>
      </c>
      <c r="L3399" s="2">
        <v>103</v>
      </c>
      <c r="M3399" s="2">
        <v>107.05419999999999</v>
      </c>
      <c r="N3399" s="2">
        <v>56</v>
      </c>
      <c r="O3399" s="2">
        <v>110.50530000000001</v>
      </c>
      <c r="P3399" s="2">
        <v>30</v>
      </c>
      <c r="Q3399" s="2">
        <v>96.126900000000006</v>
      </c>
      <c r="R3399" s="2">
        <v>59</v>
      </c>
      <c r="S3399" s="2">
        <v>95.398600000000002</v>
      </c>
      <c r="T3399" s="2">
        <v>47</v>
      </c>
      <c r="U3399" s="2">
        <v>0.84428999999999998</v>
      </c>
      <c r="V3399" s="2">
        <v>31</v>
      </c>
      <c r="W3399" s="2">
        <v>2004</v>
      </c>
    </row>
    <row r="3400" spans="1:23" ht="12.3" x14ac:dyDescent="0.4">
      <c r="A3400" s="2" t="s">
        <v>17</v>
      </c>
      <c r="B3400" s="2">
        <v>10</v>
      </c>
      <c r="C3400" s="2"/>
      <c r="D3400" s="2"/>
      <c r="E3400" s="2"/>
      <c r="F3400" s="2"/>
      <c r="G3400" s="2"/>
      <c r="H3400" s="2"/>
      <c r="I3400" s="2">
        <v>67.206500000000005</v>
      </c>
      <c r="J3400" s="2">
        <v>190</v>
      </c>
      <c r="K3400" s="2">
        <v>67.311400000000006</v>
      </c>
      <c r="L3400" s="2">
        <v>179</v>
      </c>
      <c r="M3400" s="2">
        <v>104.57470000000001</v>
      </c>
      <c r="N3400" s="2">
        <v>93</v>
      </c>
      <c r="O3400" s="2">
        <v>110.1865</v>
      </c>
      <c r="P3400" s="2">
        <v>33</v>
      </c>
      <c r="Q3400" s="2">
        <v>92.874899999999997</v>
      </c>
      <c r="R3400" s="2">
        <v>18</v>
      </c>
      <c r="S3400" s="2">
        <v>95.151700000000005</v>
      </c>
      <c r="T3400" s="2">
        <v>44</v>
      </c>
      <c r="U3400" s="2">
        <v>0.84383900000000001</v>
      </c>
      <c r="V3400" s="2">
        <v>32</v>
      </c>
      <c r="W3400" s="2">
        <v>2004</v>
      </c>
    </row>
    <row r="3401" spans="1:23" ht="12.3" x14ac:dyDescent="0.4">
      <c r="A3401" s="2" t="s">
        <v>49</v>
      </c>
      <c r="B3401" s="2">
        <v>8</v>
      </c>
      <c r="C3401" s="4" t="s">
        <v>33</v>
      </c>
      <c r="D3401" s="4" t="s">
        <v>33</v>
      </c>
      <c r="E3401" s="4" t="s">
        <v>33</v>
      </c>
      <c r="F3401" s="2"/>
      <c r="G3401" s="2"/>
      <c r="H3401" s="2"/>
      <c r="I3401" s="2">
        <v>65.975999999999999</v>
      </c>
      <c r="J3401" s="2">
        <v>232</v>
      </c>
      <c r="K3401" s="2">
        <v>66.296899999999994</v>
      </c>
      <c r="L3401" s="2">
        <v>212</v>
      </c>
      <c r="M3401" s="2">
        <v>107.3241</v>
      </c>
      <c r="N3401" s="2">
        <v>52</v>
      </c>
      <c r="O3401" s="2">
        <v>111.5406</v>
      </c>
      <c r="P3401" s="2">
        <v>22</v>
      </c>
      <c r="Q3401" s="2">
        <v>100.69110000000001</v>
      </c>
      <c r="R3401" s="2">
        <v>144</v>
      </c>
      <c r="S3401" s="2">
        <v>96.407300000000006</v>
      </c>
      <c r="T3401" s="2">
        <v>64</v>
      </c>
      <c r="U3401" s="2">
        <v>0.84247700000000003</v>
      </c>
      <c r="V3401" s="2">
        <v>33</v>
      </c>
      <c r="W3401" s="2">
        <v>2004</v>
      </c>
    </row>
    <row r="3402" spans="1:23" ht="12.3" x14ac:dyDescent="0.4">
      <c r="A3402" s="2" t="s">
        <v>95</v>
      </c>
      <c r="B3402" s="2">
        <v>6</v>
      </c>
      <c r="C3402" s="3" t="s">
        <v>33</v>
      </c>
      <c r="D3402" s="2"/>
      <c r="E3402" s="2"/>
      <c r="F3402" s="2"/>
      <c r="G3402" s="2"/>
      <c r="H3402" s="2"/>
      <c r="I3402" s="2">
        <v>64.422300000000007</v>
      </c>
      <c r="J3402" s="2">
        <v>276</v>
      </c>
      <c r="K3402" s="2">
        <v>64.396900000000002</v>
      </c>
      <c r="L3402" s="2">
        <v>281</v>
      </c>
      <c r="M3402" s="2">
        <v>105.0027</v>
      </c>
      <c r="N3402" s="2">
        <v>86</v>
      </c>
      <c r="O3402" s="2">
        <v>108.3558</v>
      </c>
      <c r="P3402" s="2">
        <v>60</v>
      </c>
      <c r="Q3402" s="2">
        <v>97.374700000000004</v>
      </c>
      <c r="R3402" s="2">
        <v>85</v>
      </c>
      <c r="S3402" s="2">
        <v>94.172300000000007</v>
      </c>
      <c r="T3402" s="2">
        <v>33</v>
      </c>
      <c r="U3402" s="2">
        <v>0.83387999999999995</v>
      </c>
      <c r="V3402" s="2">
        <v>34</v>
      </c>
      <c r="W3402" s="2">
        <v>2004</v>
      </c>
    </row>
    <row r="3403" spans="1:23" ht="12.3" x14ac:dyDescent="0.4">
      <c r="A3403" s="2" t="s">
        <v>58</v>
      </c>
      <c r="B3403" s="2">
        <v>7</v>
      </c>
      <c r="C3403" s="2"/>
      <c r="D3403" s="2"/>
      <c r="E3403" s="2"/>
      <c r="F3403" s="2"/>
      <c r="G3403" s="2"/>
      <c r="H3403" s="2"/>
      <c r="I3403" s="2">
        <v>63.896799999999999</v>
      </c>
      <c r="J3403" s="2">
        <v>292</v>
      </c>
      <c r="K3403" s="2">
        <v>65.407399999999996</v>
      </c>
      <c r="L3403" s="2">
        <v>248</v>
      </c>
      <c r="M3403" s="2">
        <v>110.2392</v>
      </c>
      <c r="N3403" s="2">
        <v>22</v>
      </c>
      <c r="O3403" s="2">
        <v>115.9962</v>
      </c>
      <c r="P3403" s="2">
        <v>6</v>
      </c>
      <c r="Q3403" s="2">
        <v>103.7989</v>
      </c>
      <c r="R3403" s="2">
        <v>225</v>
      </c>
      <c r="S3403" s="2">
        <v>100.8951</v>
      </c>
      <c r="T3403" s="2">
        <v>156</v>
      </c>
      <c r="U3403" s="2">
        <v>0.83257300000000001</v>
      </c>
      <c r="V3403" s="2">
        <v>35</v>
      </c>
      <c r="W3403" s="2">
        <v>2004</v>
      </c>
    </row>
    <row r="3404" spans="1:23" ht="12.3" x14ac:dyDescent="0.4">
      <c r="A3404" s="2" t="s">
        <v>96</v>
      </c>
      <c r="B3404" s="2">
        <v>12</v>
      </c>
      <c r="C3404" s="2"/>
      <c r="D3404" s="2"/>
      <c r="E3404" s="2"/>
      <c r="F3404" s="2"/>
      <c r="G3404" s="2"/>
      <c r="H3404" s="2"/>
      <c r="I3404" s="2">
        <v>66.187600000000003</v>
      </c>
      <c r="J3404" s="2">
        <v>225</v>
      </c>
      <c r="K3404" s="2">
        <v>68.296599999999998</v>
      </c>
      <c r="L3404" s="2">
        <v>142</v>
      </c>
      <c r="M3404" s="2">
        <v>108.12220000000001</v>
      </c>
      <c r="N3404" s="2">
        <v>42</v>
      </c>
      <c r="O3404" s="2">
        <v>109.1647</v>
      </c>
      <c r="P3404" s="2">
        <v>48</v>
      </c>
      <c r="Q3404" s="2">
        <v>98.9054</v>
      </c>
      <c r="R3404" s="2">
        <v>109</v>
      </c>
      <c r="S3404" s="2">
        <v>94.997699999999995</v>
      </c>
      <c r="T3404" s="2">
        <v>41</v>
      </c>
      <c r="U3404" s="2">
        <v>0.83181700000000003</v>
      </c>
      <c r="V3404" s="2">
        <v>36</v>
      </c>
      <c r="W3404" s="2">
        <v>2004</v>
      </c>
    </row>
    <row r="3405" spans="1:23" ht="12.3" hidden="1" x14ac:dyDescent="0.4">
      <c r="A3405" s="2" t="s">
        <v>228</v>
      </c>
      <c r="B3405" s="2"/>
      <c r="C3405" s="2"/>
      <c r="D3405" s="2"/>
      <c r="E3405" s="2"/>
      <c r="F3405" s="2"/>
      <c r="G3405" s="2"/>
      <c r="H3405" s="2"/>
      <c r="I3405" s="2">
        <v>66.236900000000006</v>
      </c>
      <c r="J3405" s="2">
        <v>171</v>
      </c>
      <c r="K3405" s="2">
        <v>66.0017</v>
      </c>
      <c r="L3405" s="2">
        <v>169</v>
      </c>
      <c r="M3405" s="2">
        <v>106.92829999999999</v>
      </c>
      <c r="N3405" s="2">
        <v>61</v>
      </c>
      <c r="O3405" s="2">
        <v>105.4248</v>
      </c>
      <c r="P3405" s="2">
        <v>89</v>
      </c>
      <c r="Q3405" s="2">
        <v>92.985900000000001</v>
      </c>
      <c r="R3405" s="2">
        <v>27</v>
      </c>
      <c r="S3405" s="2">
        <v>94.071600000000004</v>
      </c>
      <c r="T3405" s="2">
        <v>38</v>
      </c>
      <c r="U3405" s="2">
        <v>0.78756800000000005</v>
      </c>
      <c r="V3405" s="2">
        <v>47</v>
      </c>
      <c r="W3405" s="2">
        <v>2012</v>
      </c>
    </row>
    <row r="3406" spans="1:23" ht="12.3" hidden="1" x14ac:dyDescent="0.4">
      <c r="A3406" s="2" t="s">
        <v>43</v>
      </c>
      <c r="B3406" s="2"/>
      <c r="C3406" s="2"/>
      <c r="D3406" s="2"/>
      <c r="E3406" s="2"/>
      <c r="F3406" s="2"/>
      <c r="G3406" s="2"/>
      <c r="H3406" s="2"/>
      <c r="I3406" s="2">
        <v>65.318100000000001</v>
      </c>
      <c r="J3406" s="2">
        <v>213</v>
      </c>
      <c r="K3406" s="2">
        <v>65.554299999999998</v>
      </c>
      <c r="L3406" s="2">
        <v>200</v>
      </c>
      <c r="M3406" s="2">
        <v>105.4601</v>
      </c>
      <c r="N3406" s="2">
        <v>90</v>
      </c>
      <c r="O3406" s="2">
        <v>105.74930000000001</v>
      </c>
      <c r="P3406" s="2">
        <v>82</v>
      </c>
      <c r="Q3406" s="2">
        <v>95.119299999999996</v>
      </c>
      <c r="R3406" s="2">
        <v>53</v>
      </c>
      <c r="S3406" s="2">
        <v>94.364000000000004</v>
      </c>
      <c r="T3406" s="2">
        <v>42</v>
      </c>
      <c r="U3406" s="2">
        <v>0.78751099999999996</v>
      </c>
      <c r="V3406" s="2">
        <v>48</v>
      </c>
      <c r="W3406" s="2">
        <v>2012</v>
      </c>
    </row>
    <row r="3407" spans="1:23" ht="12.3" x14ac:dyDescent="0.4">
      <c r="A3407" s="2" t="s">
        <v>59</v>
      </c>
      <c r="B3407" s="2">
        <v>8</v>
      </c>
      <c r="C3407" s="3" t="s">
        <v>33</v>
      </c>
      <c r="D3407" s="25"/>
      <c r="E3407" s="2"/>
      <c r="F3407" s="2"/>
      <c r="G3407" s="2"/>
      <c r="H3407" s="2"/>
      <c r="I3407" s="2">
        <v>69.149000000000001</v>
      </c>
      <c r="J3407" s="2">
        <v>117</v>
      </c>
      <c r="K3407" s="2">
        <v>69.041700000000006</v>
      </c>
      <c r="L3407" s="2">
        <v>118</v>
      </c>
      <c r="M3407" s="2">
        <v>105.8933</v>
      </c>
      <c r="N3407" s="2">
        <v>77</v>
      </c>
      <c r="O3407" s="2">
        <v>107.68129999999999</v>
      </c>
      <c r="P3407" s="2">
        <v>63</v>
      </c>
      <c r="Q3407" s="2">
        <v>96.262699999999995</v>
      </c>
      <c r="R3407" s="2">
        <v>60</v>
      </c>
      <c r="S3407" s="2">
        <v>93.998699999999999</v>
      </c>
      <c r="T3407" s="2">
        <v>31</v>
      </c>
      <c r="U3407" s="2">
        <v>0.82675399999999999</v>
      </c>
      <c r="V3407" s="2">
        <v>37</v>
      </c>
      <c r="W3407" s="2">
        <v>2004</v>
      </c>
    </row>
    <row r="3408" spans="1:23" ht="12.3" x14ac:dyDescent="0.4">
      <c r="A3408" s="2" t="s">
        <v>204</v>
      </c>
      <c r="B3408" s="2">
        <v>11</v>
      </c>
      <c r="C3408" s="2"/>
      <c r="D3408" s="2"/>
      <c r="E3408" s="2"/>
      <c r="F3408" s="2"/>
      <c r="G3408" s="2"/>
      <c r="H3408" s="2"/>
      <c r="I3408" s="2">
        <v>53.996000000000002</v>
      </c>
      <c r="J3408" s="2">
        <v>326</v>
      </c>
      <c r="K3408" s="2">
        <v>53.543500000000002</v>
      </c>
      <c r="L3408" s="2">
        <v>326</v>
      </c>
      <c r="M3408" s="2">
        <v>111.15130000000001</v>
      </c>
      <c r="N3408" s="2">
        <v>20</v>
      </c>
      <c r="O3408" s="2">
        <v>109.2684</v>
      </c>
      <c r="P3408" s="2">
        <v>46</v>
      </c>
      <c r="Q3408" s="2">
        <v>93.431899999999999</v>
      </c>
      <c r="R3408" s="2">
        <v>25</v>
      </c>
      <c r="S3408" s="2">
        <v>95.621499999999997</v>
      </c>
      <c r="T3408" s="2">
        <v>53</v>
      </c>
      <c r="U3408" s="2">
        <v>0.82262199999999996</v>
      </c>
      <c r="V3408" s="2">
        <v>38</v>
      </c>
      <c r="W3408" s="2">
        <v>2004</v>
      </c>
    </row>
    <row r="3409" spans="1:23" ht="12.3" hidden="1" x14ac:dyDescent="0.4">
      <c r="A3409" s="2" t="s">
        <v>119</v>
      </c>
      <c r="B3409" s="2"/>
      <c r="C3409" s="2"/>
      <c r="D3409" s="2"/>
      <c r="E3409" s="2"/>
      <c r="F3409" s="2"/>
      <c r="G3409" s="2"/>
      <c r="H3409" s="2"/>
      <c r="I3409" s="2">
        <v>66.114099999999993</v>
      </c>
      <c r="J3409" s="2">
        <v>178</v>
      </c>
      <c r="K3409" s="2">
        <v>65.776700000000005</v>
      </c>
      <c r="L3409" s="2">
        <v>188</v>
      </c>
      <c r="M3409" s="2">
        <v>102.864</v>
      </c>
      <c r="N3409" s="2">
        <v>132</v>
      </c>
      <c r="O3409" s="2">
        <v>103.9944</v>
      </c>
      <c r="P3409" s="2">
        <v>111</v>
      </c>
      <c r="Q3409" s="2">
        <v>95.041799999999995</v>
      </c>
      <c r="R3409" s="2">
        <v>51</v>
      </c>
      <c r="S3409" s="2">
        <v>93.397199999999998</v>
      </c>
      <c r="T3409" s="2">
        <v>28</v>
      </c>
      <c r="U3409" s="2">
        <v>0.77486200000000005</v>
      </c>
      <c r="V3409" s="2">
        <v>51</v>
      </c>
      <c r="W3409" s="2">
        <v>2012</v>
      </c>
    </row>
    <row r="3410" spans="1:23" ht="12.3" x14ac:dyDescent="0.4">
      <c r="A3410" s="2" t="s">
        <v>63</v>
      </c>
      <c r="B3410" s="2">
        <v>9</v>
      </c>
      <c r="C3410" s="25"/>
      <c r="D3410" s="2"/>
      <c r="E3410" s="2"/>
      <c r="F3410" s="2"/>
      <c r="G3410" s="2"/>
      <c r="H3410" s="2"/>
      <c r="I3410" s="2">
        <v>71.510400000000004</v>
      </c>
      <c r="J3410" s="2">
        <v>37</v>
      </c>
      <c r="K3410" s="2">
        <v>71.205500000000001</v>
      </c>
      <c r="L3410" s="2">
        <v>39</v>
      </c>
      <c r="M3410" s="2">
        <v>108.2775</v>
      </c>
      <c r="N3410" s="2">
        <v>38</v>
      </c>
      <c r="O3410" s="2">
        <v>111.4033</v>
      </c>
      <c r="P3410" s="2">
        <v>25</v>
      </c>
      <c r="Q3410" s="2">
        <v>97.519599999999997</v>
      </c>
      <c r="R3410" s="2">
        <v>87</v>
      </c>
      <c r="S3410" s="2">
        <v>97.554299999999998</v>
      </c>
      <c r="T3410" s="2">
        <v>82</v>
      </c>
      <c r="U3410" s="2">
        <v>0.82150900000000004</v>
      </c>
      <c r="V3410" s="2">
        <v>39</v>
      </c>
      <c r="W3410" s="2">
        <v>2004</v>
      </c>
    </row>
    <row r="3411" spans="1:23" ht="12.3" hidden="1" x14ac:dyDescent="0.4">
      <c r="A3411" s="2" t="s">
        <v>169</v>
      </c>
      <c r="B3411" s="2"/>
      <c r="C3411" s="2"/>
      <c r="D3411" s="2"/>
      <c r="E3411" s="2"/>
      <c r="F3411" s="2"/>
      <c r="G3411" s="2"/>
      <c r="H3411" s="2"/>
      <c r="I3411" s="2">
        <v>68.554400000000001</v>
      </c>
      <c r="J3411" s="2">
        <v>61</v>
      </c>
      <c r="K3411" s="2">
        <v>68.636300000000006</v>
      </c>
      <c r="L3411" s="2">
        <v>55</v>
      </c>
      <c r="M3411" s="2">
        <v>106.428</v>
      </c>
      <c r="N3411" s="2">
        <v>70</v>
      </c>
      <c r="O3411" s="2">
        <v>105.02800000000001</v>
      </c>
      <c r="P3411" s="2">
        <v>95</v>
      </c>
      <c r="Q3411" s="2">
        <v>95.510499999999993</v>
      </c>
      <c r="R3411" s="2">
        <v>56</v>
      </c>
      <c r="S3411" s="2">
        <v>94.448599999999999</v>
      </c>
      <c r="T3411" s="2">
        <v>45</v>
      </c>
      <c r="U3411" s="2">
        <v>0.772235</v>
      </c>
      <c r="V3411" s="2">
        <v>53</v>
      </c>
      <c r="W3411" s="2">
        <v>2012</v>
      </c>
    </row>
    <row r="3412" spans="1:23" ht="12.3" hidden="1" x14ac:dyDescent="0.4">
      <c r="A3412" s="2" t="s">
        <v>81</v>
      </c>
      <c r="B3412" s="2"/>
      <c r="C3412" s="2"/>
      <c r="D3412" s="2"/>
      <c r="E3412" s="2"/>
      <c r="F3412" s="2"/>
      <c r="G3412" s="2"/>
      <c r="H3412" s="2"/>
      <c r="I3412" s="2">
        <v>65.063599999999994</v>
      </c>
      <c r="J3412" s="2">
        <v>225</v>
      </c>
      <c r="K3412" s="2">
        <v>65.153000000000006</v>
      </c>
      <c r="L3412" s="2">
        <v>214</v>
      </c>
      <c r="M3412" s="2">
        <v>103.18389999999999</v>
      </c>
      <c r="N3412" s="2">
        <v>125</v>
      </c>
      <c r="O3412" s="2">
        <v>104.78</v>
      </c>
      <c r="P3412" s="2">
        <v>100</v>
      </c>
      <c r="Q3412" s="2">
        <v>98.851100000000002</v>
      </c>
      <c r="R3412" s="2">
        <v>121</v>
      </c>
      <c r="S3412" s="2">
        <v>94.2376</v>
      </c>
      <c r="T3412" s="2">
        <v>41</v>
      </c>
      <c r="U3412" s="2">
        <v>0.771976</v>
      </c>
      <c r="V3412" s="2">
        <v>54</v>
      </c>
      <c r="W3412" s="2">
        <v>2012</v>
      </c>
    </row>
    <row r="3413" spans="1:23" ht="12.3" x14ac:dyDescent="0.4">
      <c r="A3413" s="2" t="s">
        <v>128</v>
      </c>
      <c r="B3413" s="2">
        <v>9</v>
      </c>
      <c r="C3413" s="4" t="s">
        <v>33</v>
      </c>
      <c r="D3413" s="4" t="s">
        <v>33</v>
      </c>
      <c r="E3413" s="2"/>
      <c r="F3413" s="2"/>
      <c r="G3413" s="2"/>
      <c r="H3413" s="2"/>
      <c r="I3413" s="2">
        <v>72.318100000000001</v>
      </c>
      <c r="J3413" s="2">
        <v>26</v>
      </c>
      <c r="K3413" s="2">
        <v>71.996499999999997</v>
      </c>
      <c r="L3413" s="2">
        <v>24</v>
      </c>
      <c r="M3413" s="2">
        <v>102.9431</v>
      </c>
      <c r="N3413" s="2">
        <v>114</v>
      </c>
      <c r="O3413" s="2">
        <v>103.85939999999999</v>
      </c>
      <c r="P3413" s="2">
        <v>103</v>
      </c>
      <c r="Q3413" s="2">
        <v>92.502700000000004</v>
      </c>
      <c r="R3413" s="2">
        <v>17</v>
      </c>
      <c r="S3413" s="2">
        <v>91.0124</v>
      </c>
      <c r="T3413" s="2">
        <v>13</v>
      </c>
      <c r="U3413" s="2">
        <v>0.82031500000000002</v>
      </c>
      <c r="V3413" s="2">
        <v>40</v>
      </c>
      <c r="W3413" s="2">
        <v>2004</v>
      </c>
    </row>
    <row r="3414" spans="1:23" ht="12.3" x14ac:dyDescent="0.4">
      <c r="A3414" s="2" t="s">
        <v>70</v>
      </c>
      <c r="B3414" s="2">
        <v>11</v>
      </c>
      <c r="C3414" s="2"/>
      <c r="D3414" s="2"/>
      <c r="E3414" s="2"/>
      <c r="F3414" s="2"/>
      <c r="G3414" s="2"/>
      <c r="H3414" s="2"/>
      <c r="I3414" s="2">
        <v>60.356000000000002</v>
      </c>
      <c r="J3414" s="2">
        <v>320</v>
      </c>
      <c r="K3414" s="2">
        <v>60.9255</v>
      </c>
      <c r="L3414" s="2">
        <v>316</v>
      </c>
      <c r="M3414" s="2">
        <v>107.6079</v>
      </c>
      <c r="N3414" s="2">
        <v>49</v>
      </c>
      <c r="O3414" s="2">
        <v>108.45050000000001</v>
      </c>
      <c r="P3414" s="2">
        <v>57</v>
      </c>
      <c r="Q3414" s="2">
        <v>95.925200000000004</v>
      </c>
      <c r="R3414" s="2">
        <v>54</v>
      </c>
      <c r="S3414" s="2">
        <v>95.622</v>
      </c>
      <c r="T3414" s="2">
        <v>54</v>
      </c>
      <c r="U3414" s="2">
        <v>0.80964999999999998</v>
      </c>
      <c r="V3414" s="2">
        <v>42</v>
      </c>
      <c r="W3414" s="2">
        <v>2004</v>
      </c>
    </row>
    <row r="3415" spans="1:23" ht="12.3" x14ac:dyDescent="0.4">
      <c r="A3415" s="2" t="s">
        <v>43</v>
      </c>
      <c r="B3415" s="2">
        <v>9</v>
      </c>
      <c r="C3415" s="2"/>
      <c r="D3415" s="2"/>
      <c r="E3415" s="2"/>
      <c r="F3415" s="2"/>
      <c r="G3415" s="2"/>
      <c r="H3415" s="2"/>
      <c r="I3415" s="2">
        <v>76.178399999999996</v>
      </c>
      <c r="J3415" s="2">
        <v>3</v>
      </c>
      <c r="K3415" s="2">
        <v>75.163300000000007</v>
      </c>
      <c r="L3415" s="2">
        <v>3</v>
      </c>
      <c r="M3415" s="2">
        <v>114.9447</v>
      </c>
      <c r="N3415" s="2">
        <v>4</v>
      </c>
      <c r="O3415" s="2">
        <v>115.55</v>
      </c>
      <c r="P3415" s="2">
        <v>8</v>
      </c>
      <c r="Q3415" s="2">
        <v>103.25109999999999</v>
      </c>
      <c r="R3415" s="2">
        <v>208</v>
      </c>
      <c r="S3415" s="2">
        <v>101.99890000000001</v>
      </c>
      <c r="T3415" s="2">
        <v>175</v>
      </c>
      <c r="U3415" s="2">
        <v>0.80760500000000002</v>
      </c>
      <c r="V3415" s="2">
        <v>44</v>
      </c>
      <c r="W3415" s="2">
        <v>2004</v>
      </c>
    </row>
    <row r="3416" spans="1:23" ht="12.3" x14ac:dyDescent="0.4">
      <c r="A3416" s="2" t="s">
        <v>219</v>
      </c>
      <c r="B3416" s="2">
        <v>13</v>
      </c>
      <c r="C3416" s="25"/>
      <c r="D3416" s="25"/>
      <c r="E3416" s="2"/>
      <c r="F3416" s="2"/>
      <c r="G3416" s="2"/>
      <c r="H3416" s="2"/>
      <c r="I3416" s="2">
        <v>69.210300000000004</v>
      </c>
      <c r="J3416" s="2">
        <v>112</v>
      </c>
      <c r="K3416" s="2">
        <v>69.877700000000004</v>
      </c>
      <c r="L3416" s="2">
        <v>82</v>
      </c>
      <c r="M3416" s="2">
        <v>109.0586</v>
      </c>
      <c r="N3416" s="2">
        <v>28</v>
      </c>
      <c r="O3416" s="2">
        <v>108.3652</v>
      </c>
      <c r="P3416" s="2">
        <v>59</v>
      </c>
      <c r="Q3416" s="2">
        <v>96.9255</v>
      </c>
      <c r="R3416" s="2">
        <v>77</v>
      </c>
      <c r="S3416" s="2">
        <v>95.667599999999993</v>
      </c>
      <c r="T3416" s="2">
        <v>55</v>
      </c>
      <c r="U3416" s="2">
        <v>0.80740100000000004</v>
      </c>
      <c r="V3416" s="2">
        <v>45</v>
      </c>
      <c r="W3416" s="2">
        <v>2004</v>
      </c>
    </row>
    <row r="3417" spans="1:23" ht="12.3" hidden="1" x14ac:dyDescent="0.4">
      <c r="A3417" s="2" t="s">
        <v>91</v>
      </c>
      <c r="B3417" s="2"/>
      <c r="C3417" s="2"/>
      <c r="D3417" s="2"/>
      <c r="E3417" s="2"/>
      <c r="F3417" s="2"/>
      <c r="G3417" s="2"/>
      <c r="H3417" s="2"/>
      <c r="I3417" s="2">
        <v>66.268299999999996</v>
      </c>
      <c r="J3417" s="2">
        <v>168</v>
      </c>
      <c r="K3417" s="2">
        <v>65.793300000000002</v>
      </c>
      <c r="L3417" s="2">
        <v>187</v>
      </c>
      <c r="M3417" s="2">
        <v>106.7487</v>
      </c>
      <c r="N3417" s="2">
        <v>64</v>
      </c>
      <c r="O3417" s="2">
        <v>108.9405</v>
      </c>
      <c r="P3417" s="2">
        <v>44</v>
      </c>
      <c r="Q3417" s="2">
        <v>100.5421</v>
      </c>
      <c r="R3417" s="2">
        <v>165</v>
      </c>
      <c r="S3417" s="2">
        <v>98.503100000000003</v>
      </c>
      <c r="T3417" s="2">
        <v>114</v>
      </c>
      <c r="U3417" s="2">
        <v>0.76100500000000004</v>
      </c>
      <c r="V3417" s="2">
        <v>59</v>
      </c>
      <c r="W3417" s="2">
        <v>2012</v>
      </c>
    </row>
    <row r="3418" spans="1:23" ht="12.3" hidden="1" x14ac:dyDescent="0.4">
      <c r="A3418" s="2" t="s">
        <v>124</v>
      </c>
      <c r="B3418" s="2"/>
      <c r="C3418" s="2"/>
      <c r="D3418" s="2"/>
      <c r="E3418" s="2"/>
      <c r="F3418" s="2"/>
      <c r="G3418" s="2"/>
      <c r="H3418" s="2"/>
      <c r="I3418" s="2">
        <v>62.9908</v>
      </c>
      <c r="J3418" s="2">
        <v>303</v>
      </c>
      <c r="K3418" s="2">
        <v>63.417000000000002</v>
      </c>
      <c r="L3418" s="2">
        <v>289</v>
      </c>
      <c r="M3418" s="2">
        <v>109.1279</v>
      </c>
      <c r="N3418" s="2">
        <v>36</v>
      </c>
      <c r="O3418" s="2">
        <v>113.617</v>
      </c>
      <c r="P3418" s="2">
        <v>14</v>
      </c>
      <c r="Q3418" s="2">
        <v>106.4491</v>
      </c>
      <c r="R3418" s="2">
        <v>286</v>
      </c>
      <c r="S3418" s="2">
        <v>102.7328</v>
      </c>
      <c r="T3418" s="2">
        <v>201</v>
      </c>
      <c r="U3418" s="2">
        <v>0.76098200000000005</v>
      </c>
      <c r="V3418" s="2">
        <v>60</v>
      </c>
      <c r="W3418" s="2">
        <v>2012</v>
      </c>
    </row>
    <row r="3419" spans="1:23" ht="12.3" x14ac:dyDescent="0.4">
      <c r="A3419" s="2" t="s">
        <v>82</v>
      </c>
      <c r="B3419" s="2">
        <v>9</v>
      </c>
      <c r="C3419" s="2"/>
      <c r="D3419" s="2"/>
      <c r="E3419" s="2"/>
      <c r="F3419" s="2"/>
      <c r="G3419" s="2"/>
      <c r="H3419" s="2"/>
      <c r="I3419" s="2">
        <v>66.801299999999998</v>
      </c>
      <c r="J3419" s="2">
        <v>199</v>
      </c>
      <c r="K3419" s="2">
        <v>67.39</v>
      </c>
      <c r="L3419" s="2">
        <v>174</v>
      </c>
      <c r="M3419" s="2">
        <v>106.7103</v>
      </c>
      <c r="N3419" s="2">
        <v>66</v>
      </c>
      <c r="O3419" s="2">
        <v>106.7555</v>
      </c>
      <c r="P3419" s="2">
        <v>71</v>
      </c>
      <c r="Q3419" s="2">
        <v>94.087599999999995</v>
      </c>
      <c r="R3419" s="2">
        <v>30</v>
      </c>
      <c r="S3419" s="2">
        <v>94.427800000000005</v>
      </c>
      <c r="T3419" s="2">
        <v>37</v>
      </c>
      <c r="U3419" s="2">
        <v>0.80394200000000005</v>
      </c>
      <c r="V3419" s="2">
        <v>47</v>
      </c>
      <c r="W3419" s="2">
        <v>2004</v>
      </c>
    </row>
    <row r="3420" spans="1:23" ht="12.3" x14ac:dyDescent="0.4">
      <c r="A3420" s="2" t="s">
        <v>207</v>
      </c>
      <c r="B3420" s="2">
        <v>7</v>
      </c>
      <c r="C3420" s="4" t="s">
        <v>33</v>
      </c>
      <c r="D3420" s="2"/>
      <c r="E3420" s="2"/>
      <c r="F3420" s="2"/>
      <c r="G3420" s="2"/>
      <c r="H3420" s="2"/>
      <c r="I3420" s="2">
        <v>64.719099999999997</v>
      </c>
      <c r="J3420" s="2">
        <v>267</v>
      </c>
      <c r="K3420" s="2">
        <v>64.094899999999996</v>
      </c>
      <c r="L3420" s="2">
        <v>288</v>
      </c>
      <c r="M3420" s="2">
        <v>109.1876</v>
      </c>
      <c r="N3420" s="2">
        <v>27</v>
      </c>
      <c r="O3420" s="2">
        <v>113.5851</v>
      </c>
      <c r="P3420" s="2">
        <v>15</v>
      </c>
      <c r="Q3420" s="2">
        <v>103.89449999999999</v>
      </c>
      <c r="R3420" s="2">
        <v>231</v>
      </c>
      <c r="S3420" s="2">
        <v>101.74039999999999</v>
      </c>
      <c r="T3420" s="2">
        <v>168</v>
      </c>
      <c r="U3420" s="2">
        <v>0.780138</v>
      </c>
      <c r="V3420" s="2">
        <v>50</v>
      </c>
      <c r="W3420" s="2">
        <v>2004</v>
      </c>
    </row>
    <row r="3421" spans="1:23" ht="12.3" hidden="1" x14ac:dyDescent="0.4">
      <c r="A3421" s="2" t="s">
        <v>65</v>
      </c>
      <c r="B3421" s="2"/>
      <c r="C3421" s="2"/>
      <c r="D3421" s="2"/>
      <c r="E3421" s="2"/>
      <c r="F3421" s="2"/>
      <c r="G3421" s="2"/>
      <c r="H3421" s="2"/>
      <c r="I3421" s="2">
        <v>65.012900000000002</v>
      </c>
      <c r="J3421" s="2">
        <v>229</v>
      </c>
      <c r="K3421" s="2">
        <v>65.947900000000004</v>
      </c>
      <c r="L3421" s="2">
        <v>174</v>
      </c>
      <c r="M3421" s="2">
        <v>104.6788</v>
      </c>
      <c r="N3421" s="2">
        <v>103</v>
      </c>
      <c r="O3421" s="2">
        <v>104.9569</v>
      </c>
      <c r="P3421" s="2">
        <v>96</v>
      </c>
      <c r="Q3421" s="2">
        <v>96.273399999999995</v>
      </c>
      <c r="R3421" s="2">
        <v>66</v>
      </c>
      <c r="S3421" s="2">
        <v>95.289400000000001</v>
      </c>
      <c r="T3421" s="2">
        <v>56</v>
      </c>
      <c r="U3421" s="2">
        <v>0.75236400000000003</v>
      </c>
      <c r="V3421" s="2">
        <v>63</v>
      </c>
      <c r="W3421" s="2">
        <v>2012</v>
      </c>
    </row>
    <row r="3422" spans="1:23" ht="12.3" hidden="1" x14ac:dyDescent="0.4">
      <c r="A3422" s="2" t="s">
        <v>75</v>
      </c>
      <c r="B3422" s="2"/>
      <c r="C3422" s="2"/>
      <c r="D3422" s="2"/>
      <c r="E3422" s="2"/>
      <c r="F3422" s="2"/>
      <c r="G3422" s="2"/>
      <c r="H3422" s="2"/>
      <c r="I3422" s="2">
        <v>62.868699999999997</v>
      </c>
      <c r="J3422" s="2">
        <v>309</v>
      </c>
      <c r="K3422" s="2">
        <v>63.926200000000001</v>
      </c>
      <c r="L3422" s="2">
        <v>275</v>
      </c>
      <c r="M3422" s="2">
        <v>104.8013</v>
      </c>
      <c r="N3422" s="2">
        <v>99</v>
      </c>
      <c r="O3422" s="2">
        <v>106.5125</v>
      </c>
      <c r="P3422" s="2">
        <v>74</v>
      </c>
      <c r="Q3422" s="2">
        <v>100.2007</v>
      </c>
      <c r="R3422" s="2">
        <v>155</v>
      </c>
      <c r="S3422" s="2">
        <v>96.712900000000005</v>
      </c>
      <c r="T3422" s="2">
        <v>77</v>
      </c>
      <c r="U3422" s="2">
        <v>0.75211600000000001</v>
      </c>
      <c r="V3422" s="2">
        <v>64</v>
      </c>
      <c r="W3422" s="2">
        <v>2012</v>
      </c>
    </row>
    <row r="3423" spans="1:23" ht="12.3" x14ac:dyDescent="0.4">
      <c r="A3423" s="2" t="s">
        <v>139</v>
      </c>
      <c r="B3423" s="2">
        <v>12</v>
      </c>
      <c r="C3423" s="4" t="s">
        <v>33</v>
      </c>
      <c r="D3423" s="2"/>
      <c r="E3423" s="2"/>
      <c r="F3423" s="2"/>
      <c r="G3423" s="2"/>
      <c r="H3423" s="2"/>
      <c r="I3423" s="2">
        <v>68.131900000000002</v>
      </c>
      <c r="J3423" s="2">
        <v>152</v>
      </c>
      <c r="K3423" s="2">
        <v>67.272199999999998</v>
      </c>
      <c r="L3423" s="2">
        <v>182</v>
      </c>
      <c r="M3423" s="2">
        <v>108.73990000000001</v>
      </c>
      <c r="N3423" s="2">
        <v>35</v>
      </c>
      <c r="O3423" s="2">
        <v>105.7794</v>
      </c>
      <c r="P3423" s="2">
        <v>80</v>
      </c>
      <c r="Q3423" s="2">
        <v>93.287800000000004</v>
      </c>
      <c r="R3423" s="2">
        <v>22</v>
      </c>
      <c r="S3423" s="2">
        <v>95.098500000000001</v>
      </c>
      <c r="T3423" s="2">
        <v>43</v>
      </c>
      <c r="U3423" s="2">
        <v>0.772783</v>
      </c>
      <c r="V3423" s="2">
        <v>51</v>
      </c>
      <c r="W3423" s="2">
        <v>2004</v>
      </c>
    </row>
    <row r="3424" spans="1:23" ht="12.3" hidden="1" x14ac:dyDescent="0.4">
      <c r="A3424" s="2" t="s">
        <v>52</v>
      </c>
      <c r="B3424" s="2"/>
      <c r="C3424" s="2"/>
      <c r="D3424" s="2"/>
      <c r="E3424" s="2"/>
      <c r="F3424" s="2"/>
      <c r="G3424" s="2"/>
      <c r="H3424" s="2"/>
      <c r="I3424" s="2">
        <v>66.766099999999994</v>
      </c>
      <c r="J3424" s="2">
        <v>144</v>
      </c>
      <c r="K3424" s="2">
        <v>66.968800000000002</v>
      </c>
      <c r="L3424" s="2">
        <v>125</v>
      </c>
      <c r="M3424" s="2">
        <v>104.0385</v>
      </c>
      <c r="N3424" s="2">
        <v>112</v>
      </c>
      <c r="O3424" s="2">
        <v>103.3134</v>
      </c>
      <c r="P3424" s="2">
        <v>125</v>
      </c>
      <c r="Q3424" s="2">
        <v>92.409099999999995</v>
      </c>
      <c r="R3424" s="2">
        <v>23</v>
      </c>
      <c r="S3424" s="2">
        <v>93.942300000000003</v>
      </c>
      <c r="T3424" s="2">
        <v>35</v>
      </c>
      <c r="U3424" s="2">
        <v>0.74903900000000001</v>
      </c>
      <c r="V3424" s="2">
        <v>66</v>
      </c>
      <c r="W3424" s="2">
        <v>2012</v>
      </c>
    </row>
    <row r="3425" spans="1:23" ht="12.3" hidden="1" x14ac:dyDescent="0.4">
      <c r="A3425" s="2" t="s">
        <v>256</v>
      </c>
      <c r="B3425" s="2"/>
      <c r="C3425" s="2"/>
      <c r="D3425" s="2"/>
      <c r="E3425" s="2"/>
      <c r="F3425" s="2"/>
      <c r="G3425" s="2"/>
      <c r="H3425" s="2"/>
      <c r="I3425" s="2">
        <v>67.537999999999997</v>
      </c>
      <c r="J3425" s="2">
        <v>105</v>
      </c>
      <c r="K3425" s="2">
        <v>67.407700000000006</v>
      </c>
      <c r="L3425" s="2">
        <v>105</v>
      </c>
      <c r="M3425" s="2">
        <v>105.18300000000001</v>
      </c>
      <c r="N3425" s="2">
        <v>93</v>
      </c>
      <c r="O3425" s="2">
        <v>106.1433</v>
      </c>
      <c r="P3425" s="2">
        <v>79</v>
      </c>
      <c r="Q3425" s="2">
        <v>96.590299999999999</v>
      </c>
      <c r="R3425" s="2">
        <v>71</v>
      </c>
      <c r="S3425" s="2">
        <v>96.589399999999998</v>
      </c>
      <c r="T3425" s="2">
        <v>76</v>
      </c>
      <c r="U3425" s="2">
        <v>0.74738000000000004</v>
      </c>
      <c r="V3425" s="2">
        <v>67</v>
      </c>
      <c r="W3425" s="2">
        <v>2012</v>
      </c>
    </row>
    <row r="3426" spans="1:23" ht="12.3" hidden="1" x14ac:dyDescent="0.4">
      <c r="A3426" s="2" t="s">
        <v>64</v>
      </c>
      <c r="B3426" s="2"/>
      <c r="C3426" s="2"/>
      <c r="D3426" s="2"/>
      <c r="E3426" s="2"/>
      <c r="F3426" s="2"/>
      <c r="G3426" s="2"/>
      <c r="H3426" s="2"/>
      <c r="I3426" s="2">
        <v>65.117400000000004</v>
      </c>
      <c r="J3426" s="2">
        <v>221</v>
      </c>
      <c r="K3426" s="2">
        <v>65.175700000000006</v>
      </c>
      <c r="L3426" s="2">
        <v>212</v>
      </c>
      <c r="M3426" s="2">
        <v>108.4748</v>
      </c>
      <c r="N3426" s="2">
        <v>42</v>
      </c>
      <c r="O3426" s="2">
        <v>111.10639999999999</v>
      </c>
      <c r="P3426" s="2">
        <v>27</v>
      </c>
      <c r="Q3426" s="2">
        <v>101.2607</v>
      </c>
      <c r="R3426" s="2">
        <v>180</v>
      </c>
      <c r="S3426" s="2">
        <v>101.3289</v>
      </c>
      <c r="T3426" s="2">
        <v>173</v>
      </c>
      <c r="U3426" s="2">
        <v>0.742564</v>
      </c>
      <c r="V3426" s="2">
        <v>68</v>
      </c>
      <c r="W3426" s="2">
        <v>2012</v>
      </c>
    </row>
    <row r="3427" spans="1:23" ht="12.3" x14ac:dyDescent="0.4">
      <c r="A3427" s="2" t="s">
        <v>144</v>
      </c>
      <c r="B3427" s="2">
        <v>13</v>
      </c>
      <c r="C3427" s="2"/>
      <c r="D3427" s="2"/>
      <c r="E3427" s="2"/>
      <c r="F3427" s="2"/>
      <c r="G3427" s="2"/>
      <c r="H3427" s="2"/>
      <c r="I3427" s="2">
        <v>65.368399999999994</v>
      </c>
      <c r="J3427" s="2">
        <v>250</v>
      </c>
      <c r="K3427" s="2">
        <v>66.464100000000002</v>
      </c>
      <c r="L3427" s="2">
        <v>205</v>
      </c>
      <c r="M3427" s="2">
        <v>106.93770000000001</v>
      </c>
      <c r="N3427" s="2">
        <v>59</v>
      </c>
      <c r="O3427" s="2">
        <v>105.1627</v>
      </c>
      <c r="P3427" s="2">
        <v>88</v>
      </c>
      <c r="Q3427" s="2">
        <v>95.346599999999995</v>
      </c>
      <c r="R3427" s="2">
        <v>48</v>
      </c>
      <c r="S3427" s="2">
        <v>94.928600000000003</v>
      </c>
      <c r="T3427" s="2">
        <v>40</v>
      </c>
      <c r="U3427" s="2">
        <v>0.76448199999999999</v>
      </c>
      <c r="V3427" s="2">
        <v>54</v>
      </c>
      <c r="W3427" s="2">
        <v>2004</v>
      </c>
    </row>
    <row r="3428" spans="1:23" ht="12.3" hidden="1" x14ac:dyDescent="0.4">
      <c r="A3428" s="2" t="s">
        <v>286</v>
      </c>
      <c r="B3428" s="2"/>
      <c r="C3428" s="2"/>
      <c r="D3428" s="2"/>
      <c r="E3428" s="2"/>
      <c r="F3428" s="2"/>
      <c r="G3428" s="2"/>
      <c r="H3428" s="2"/>
      <c r="I3428" s="2">
        <v>61.389699999999998</v>
      </c>
      <c r="J3428" s="2">
        <v>329</v>
      </c>
      <c r="K3428" s="2">
        <v>61.481299999999997</v>
      </c>
      <c r="L3428" s="2">
        <v>325</v>
      </c>
      <c r="M3428" s="2">
        <v>109.91079999999999</v>
      </c>
      <c r="N3428" s="2">
        <v>30</v>
      </c>
      <c r="O3428" s="2">
        <v>108.5723</v>
      </c>
      <c r="P3428" s="2">
        <v>51</v>
      </c>
      <c r="Q3428" s="2">
        <v>97.380499999999998</v>
      </c>
      <c r="R3428" s="2">
        <v>86</v>
      </c>
      <c r="S3428" s="2">
        <v>99.188100000000006</v>
      </c>
      <c r="T3428" s="2">
        <v>130</v>
      </c>
      <c r="U3428" s="2">
        <v>0.73876900000000001</v>
      </c>
      <c r="V3428" s="2">
        <v>70</v>
      </c>
      <c r="W3428" s="2">
        <v>2012</v>
      </c>
    </row>
    <row r="3429" spans="1:23" ht="12.3" hidden="1" x14ac:dyDescent="0.4">
      <c r="A3429" s="2" t="s">
        <v>41</v>
      </c>
      <c r="B3429" s="2"/>
      <c r="C3429" s="2"/>
      <c r="D3429" s="2"/>
      <c r="E3429" s="2"/>
      <c r="F3429" s="2"/>
      <c r="G3429" s="2"/>
      <c r="H3429" s="2"/>
      <c r="I3429" s="2">
        <v>67.271799999999999</v>
      </c>
      <c r="J3429" s="2">
        <v>117</v>
      </c>
      <c r="K3429" s="2">
        <v>67.372399999999999</v>
      </c>
      <c r="L3429" s="2">
        <v>107</v>
      </c>
      <c r="M3429" s="2">
        <v>107.52549999999999</v>
      </c>
      <c r="N3429" s="2">
        <v>52</v>
      </c>
      <c r="O3429" s="2">
        <v>109.80419999999999</v>
      </c>
      <c r="P3429" s="2">
        <v>30</v>
      </c>
      <c r="Q3429" s="2">
        <v>99.653700000000001</v>
      </c>
      <c r="R3429" s="2">
        <v>145</v>
      </c>
      <c r="S3429" s="2">
        <v>100.3867</v>
      </c>
      <c r="T3429" s="2">
        <v>153</v>
      </c>
      <c r="U3429" s="2">
        <v>0.737147</v>
      </c>
      <c r="V3429" s="2">
        <v>71</v>
      </c>
      <c r="W3429" s="2">
        <v>2012</v>
      </c>
    </row>
    <row r="3430" spans="1:23" ht="12.3" x14ac:dyDescent="0.4">
      <c r="A3430" s="2" t="s">
        <v>117</v>
      </c>
      <c r="B3430" s="2">
        <v>14</v>
      </c>
      <c r="C3430" s="2"/>
      <c r="D3430" s="2"/>
      <c r="E3430" s="2"/>
      <c r="F3430" s="2"/>
      <c r="G3430" s="2"/>
      <c r="H3430" s="2"/>
      <c r="I3430" s="2">
        <v>70.548100000000005</v>
      </c>
      <c r="J3430" s="2">
        <v>68</v>
      </c>
      <c r="K3430" s="2">
        <v>70.735200000000006</v>
      </c>
      <c r="L3430" s="2">
        <v>55</v>
      </c>
      <c r="M3430" s="2">
        <v>108.1981</v>
      </c>
      <c r="N3430" s="2">
        <v>39</v>
      </c>
      <c r="O3430" s="2">
        <v>107.6224</v>
      </c>
      <c r="P3430" s="2">
        <v>64</v>
      </c>
      <c r="Q3430" s="2">
        <v>99.0578</v>
      </c>
      <c r="R3430" s="2">
        <v>112</v>
      </c>
      <c r="S3430" s="2">
        <v>97.595200000000006</v>
      </c>
      <c r="T3430" s="2">
        <v>83</v>
      </c>
      <c r="U3430" s="2">
        <v>0.75485999999999998</v>
      </c>
      <c r="V3430" s="2">
        <v>57</v>
      </c>
      <c r="W3430" s="2">
        <v>2004</v>
      </c>
    </row>
    <row r="3431" spans="1:23" ht="12.3" hidden="1" x14ac:dyDescent="0.4">
      <c r="A3431" s="2" t="s">
        <v>131</v>
      </c>
      <c r="B3431" s="2"/>
      <c r="C3431" s="2"/>
      <c r="D3431" s="2"/>
      <c r="E3431" s="2"/>
      <c r="F3431" s="2"/>
      <c r="G3431" s="2"/>
      <c r="H3431" s="2"/>
      <c r="I3431" s="2">
        <v>71.194599999999994</v>
      </c>
      <c r="J3431" s="2">
        <v>17</v>
      </c>
      <c r="K3431" s="2">
        <v>70.459800000000001</v>
      </c>
      <c r="L3431" s="2">
        <v>23</v>
      </c>
      <c r="M3431" s="2">
        <v>105.1888</v>
      </c>
      <c r="N3431" s="2">
        <v>92</v>
      </c>
      <c r="O3431" s="2">
        <v>106.46080000000001</v>
      </c>
      <c r="P3431" s="2">
        <v>76</v>
      </c>
      <c r="Q3431" s="2">
        <v>98.276399999999995</v>
      </c>
      <c r="R3431" s="2">
        <v>106</v>
      </c>
      <c r="S3431" s="2">
        <v>97.483199999999997</v>
      </c>
      <c r="T3431" s="2">
        <v>92</v>
      </c>
      <c r="U3431" s="2">
        <v>0.73363</v>
      </c>
      <c r="V3431" s="2">
        <v>73</v>
      </c>
      <c r="W3431" s="2">
        <v>2012</v>
      </c>
    </row>
    <row r="3432" spans="1:23" ht="12.3" hidden="1" x14ac:dyDescent="0.4">
      <c r="A3432" s="2" t="s">
        <v>24</v>
      </c>
      <c r="B3432" s="2"/>
      <c r="C3432" s="2"/>
      <c r="D3432" s="2"/>
      <c r="E3432" s="2"/>
      <c r="F3432" s="2"/>
      <c r="G3432" s="2"/>
      <c r="H3432" s="2"/>
      <c r="I3432" s="2">
        <v>63.497100000000003</v>
      </c>
      <c r="J3432" s="2">
        <v>285</v>
      </c>
      <c r="K3432" s="2">
        <v>64.349500000000006</v>
      </c>
      <c r="L3432" s="2">
        <v>255</v>
      </c>
      <c r="M3432" s="2">
        <v>100.77800000000001</v>
      </c>
      <c r="N3432" s="2">
        <v>173</v>
      </c>
      <c r="O3432" s="2">
        <v>103.8873</v>
      </c>
      <c r="P3432" s="2">
        <v>114</v>
      </c>
      <c r="Q3432" s="2">
        <v>94.651899999999998</v>
      </c>
      <c r="R3432" s="2">
        <v>46</v>
      </c>
      <c r="S3432" s="2">
        <v>95.343999999999994</v>
      </c>
      <c r="T3432" s="2">
        <v>57</v>
      </c>
      <c r="U3432" s="2">
        <v>0.72846999999999995</v>
      </c>
      <c r="V3432" s="2">
        <v>74</v>
      </c>
      <c r="W3432" s="2">
        <v>2012</v>
      </c>
    </row>
    <row r="3433" spans="1:23" ht="12.3" x14ac:dyDescent="0.4">
      <c r="A3433" s="2" t="s">
        <v>181</v>
      </c>
      <c r="B3433" s="2">
        <v>12</v>
      </c>
      <c r="C3433" s="2"/>
      <c r="D3433" s="2"/>
      <c r="E3433" s="2"/>
      <c r="F3433" s="2"/>
      <c r="G3433" s="2"/>
      <c r="H3433" s="2"/>
      <c r="I3433" s="2">
        <v>70.644099999999995</v>
      </c>
      <c r="J3433" s="2">
        <v>65</v>
      </c>
      <c r="K3433" s="2">
        <v>70.387200000000007</v>
      </c>
      <c r="L3433" s="2">
        <v>64</v>
      </c>
      <c r="M3433" s="2">
        <v>113.2004</v>
      </c>
      <c r="N3433" s="2">
        <v>8</v>
      </c>
      <c r="O3433" s="2">
        <v>108.429</v>
      </c>
      <c r="P3433" s="2">
        <v>58</v>
      </c>
      <c r="Q3433" s="2">
        <v>97.546000000000006</v>
      </c>
      <c r="R3433" s="2">
        <v>88</v>
      </c>
      <c r="S3433" s="2">
        <v>98.438100000000006</v>
      </c>
      <c r="T3433" s="2">
        <v>100</v>
      </c>
      <c r="U3433" s="2">
        <v>0.75244100000000003</v>
      </c>
      <c r="V3433" s="2">
        <v>58</v>
      </c>
      <c r="W3433" s="2">
        <v>2004</v>
      </c>
    </row>
    <row r="3434" spans="1:23" ht="12.3" hidden="1" x14ac:dyDescent="0.4">
      <c r="A3434" s="2" t="s">
        <v>197</v>
      </c>
      <c r="B3434" s="2"/>
      <c r="C3434" s="2"/>
      <c r="D3434" s="2"/>
      <c r="E3434" s="2"/>
      <c r="F3434" s="2"/>
      <c r="G3434" s="2"/>
      <c r="H3434" s="2"/>
      <c r="I3434" s="2">
        <v>65.362899999999996</v>
      </c>
      <c r="J3434" s="2">
        <v>211</v>
      </c>
      <c r="K3434" s="2">
        <v>65.848500000000001</v>
      </c>
      <c r="L3434" s="2">
        <v>183</v>
      </c>
      <c r="M3434" s="2">
        <v>104.3501</v>
      </c>
      <c r="N3434" s="2">
        <v>107</v>
      </c>
      <c r="O3434" s="2">
        <v>107.5598</v>
      </c>
      <c r="P3434" s="2">
        <v>60</v>
      </c>
      <c r="Q3434" s="2">
        <v>100.88849999999999</v>
      </c>
      <c r="R3434" s="2">
        <v>173</v>
      </c>
      <c r="S3434" s="2">
        <v>98.860399999999998</v>
      </c>
      <c r="T3434" s="2">
        <v>124</v>
      </c>
      <c r="U3434" s="2">
        <v>0.72509800000000002</v>
      </c>
      <c r="V3434" s="2">
        <v>76</v>
      </c>
      <c r="W3434" s="2">
        <v>2012</v>
      </c>
    </row>
    <row r="3435" spans="1:23" ht="12.3" hidden="1" x14ac:dyDescent="0.4">
      <c r="A3435" s="2" t="s">
        <v>177</v>
      </c>
      <c r="B3435" s="2"/>
      <c r="C3435" s="2"/>
      <c r="D3435" s="2"/>
      <c r="E3435" s="2"/>
      <c r="F3435" s="2"/>
      <c r="G3435" s="2"/>
      <c r="H3435" s="2"/>
      <c r="I3435" s="2">
        <v>63.612499999999997</v>
      </c>
      <c r="J3435" s="2">
        <v>283</v>
      </c>
      <c r="K3435" s="2">
        <v>64.053200000000004</v>
      </c>
      <c r="L3435" s="2">
        <v>268</v>
      </c>
      <c r="M3435" s="2">
        <v>102.4132</v>
      </c>
      <c r="N3435" s="2">
        <v>145</v>
      </c>
      <c r="O3435" s="2">
        <v>105.5485</v>
      </c>
      <c r="P3435" s="2">
        <v>87</v>
      </c>
      <c r="Q3435" s="2">
        <v>98.320700000000002</v>
      </c>
      <c r="R3435" s="2">
        <v>107</v>
      </c>
      <c r="S3435" s="2">
        <v>97.169700000000006</v>
      </c>
      <c r="T3435" s="2">
        <v>84</v>
      </c>
      <c r="U3435" s="2">
        <v>0.72135300000000002</v>
      </c>
      <c r="V3435" s="2">
        <v>77</v>
      </c>
      <c r="W3435" s="2">
        <v>2012</v>
      </c>
    </row>
    <row r="3436" spans="1:23" ht="12.3" hidden="1" x14ac:dyDescent="0.4">
      <c r="A3436" s="2" t="s">
        <v>93</v>
      </c>
      <c r="B3436" s="2"/>
      <c r="C3436" s="2"/>
      <c r="D3436" s="2"/>
      <c r="E3436" s="2"/>
      <c r="F3436" s="2"/>
      <c r="G3436" s="2"/>
      <c r="H3436" s="2"/>
      <c r="I3436" s="2">
        <v>60.961300000000001</v>
      </c>
      <c r="J3436" s="2">
        <v>334</v>
      </c>
      <c r="K3436" s="2">
        <v>60.444600000000001</v>
      </c>
      <c r="L3436" s="2">
        <v>338</v>
      </c>
      <c r="M3436" s="2">
        <v>101.9962</v>
      </c>
      <c r="N3436" s="2">
        <v>152</v>
      </c>
      <c r="O3436" s="2">
        <v>99.919399999999996</v>
      </c>
      <c r="P3436" s="2">
        <v>193</v>
      </c>
      <c r="Q3436" s="2">
        <v>91.847999999999999</v>
      </c>
      <c r="R3436" s="2">
        <v>19</v>
      </c>
      <c r="S3436" s="2">
        <v>92.084400000000002</v>
      </c>
      <c r="T3436" s="2">
        <v>18</v>
      </c>
      <c r="U3436" s="2">
        <v>0.718912</v>
      </c>
      <c r="V3436" s="2">
        <v>78</v>
      </c>
      <c r="W3436" s="2">
        <v>2012</v>
      </c>
    </row>
    <row r="3437" spans="1:23" ht="12.3" hidden="1" x14ac:dyDescent="0.4">
      <c r="A3437" s="2" t="s">
        <v>51</v>
      </c>
      <c r="B3437" s="2"/>
      <c r="C3437" s="2"/>
      <c r="D3437" s="2"/>
      <c r="E3437" s="2"/>
      <c r="F3437" s="2"/>
      <c r="G3437" s="2"/>
      <c r="H3437" s="2"/>
      <c r="I3437" s="2">
        <v>66.346400000000003</v>
      </c>
      <c r="J3437" s="2">
        <v>166</v>
      </c>
      <c r="K3437" s="2">
        <v>65.91</v>
      </c>
      <c r="L3437" s="2">
        <v>178</v>
      </c>
      <c r="M3437" s="2">
        <v>97.731499999999997</v>
      </c>
      <c r="N3437" s="2">
        <v>237</v>
      </c>
      <c r="O3437" s="2">
        <v>102.94499999999999</v>
      </c>
      <c r="P3437" s="2">
        <v>132</v>
      </c>
      <c r="Q3437" s="2">
        <v>96.3399</v>
      </c>
      <c r="R3437" s="2">
        <v>67</v>
      </c>
      <c r="S3437" s="2">
        <v>95.131699999999995</v>
      </c>
      <c r="T3437" s="2">
        <v>54</v>
      </c>
      <c r="U3437" s="2">
        <v>0.71253299999999997</v>
      </c>
      <c r="V3437" s="2">
        <v>79</v>
      </c>
      <c r="W3437" s="2">
        <v>2012</v>
      </c>
    </row>
    <row r="3438" spans="1:23" ht="12.3" hidden="1" x14ac:dyDescent="0.4">
      <c r="A3438" s="2" t="s">
        <v>155</v>
      </c>
      <c r="B3438" s="2"/>
      <c r="C3438" s="2"/>
      <c r="D3438" s="2"/>
      <c r="E3438" s="2"/>
      <c r="F3438" s="2"/>
      <c r="G3438" s="2"/>
      <c r="H3438" s="2"/>
      <c r="I3438" s="2">
        <v>74.385199999999998</v>
      </c>
      <c r="J3438" s="2">
        <v>3</v>
      </c>
      <c r="K3438" s="2">
        <v>74.082499999999996</v>
      </c>
      <c r="L3438" s="2">
        <v>3</v>
      </c>
      <c r="M3438" s="2">
        <v>102.6574</v>
      </c>
      <c r="N3438" s="2">
        <v>140</v>
      </c>
      <c r="O3438" s="2">
        <v>103.8083</v>
      </c>
      <c r="P3438" s="2">
        <v>116</v>
      </c>
      <c r="Q3438" s="2">
        <v>96.230599999999995</v>
      </c>
      <c r="R3438" s="2">
        <v>65</v>
      </c>
      <c r="S3438" s="2">
        <v>96.137299999999996</v>
      </c>
      <c r="T3438" s="2">
        <v>67</v>
      </c>
      <c r="U3438" s="2">
        <v>0.70740999999999998</v>
      </c>
      <c r="V3438" s="2">
        <v>80</v>
      </c>
      <c r="W3438" s="2">
        <v>2012</v>
      </c>
    </row>
    <row r="3439" spans="1:23" ht="12.3" x14ac:dyDescent="0.4">
      <c r="A3439" s="2" t="s">
        <v>131</v>
      </c>
      <c r="B3439" s="2">
        <v>8</v>
      </c>
      <c r="C3439" s="2"/>
      <c r="D3439" s="2"/>
      <c r="E3439" s="2"/>
      <c r="F3439" s="2"/>
      <c r="G3439" s="2"/>
      <c r="H3439" s="2"/>
      <c r="I3439" s="2">
        <v>75.138099999999994</v>
      </c>
      <c r="J3439" s="2">
        <v>7</v>
      </c>
      <c r="K3439" s="2">
        <v>74.950400000000002</v>
      </c>
      <c r="L3439" s="2">
        <v>7</v>
      </c>
      <c r="M3439" s="2">
        <v>107.48439999999999</v>
      </c>
      <c r="N3439" s="2">
        <v>50</v>
      </c>
      <c r="O3439" s="2">
        <v>109.9194</v>
      </c>
      <c r="P3439" s="2">
        <v>35</v>
      </c>
      <c r="Q3439" s="2">
        <v>103.651</v>
      </c>
      <c r="R3439" s="2">
        <v>220</v>
      </c>
      <c r="S3439" s="2">
        <v>99.917000000000002</v>
      </c>
      <c r="T3439" s="2">
        <v>134</v>
      </c>
      <c r="U3439" s="2">
        <v>0.74973400000000001</v>
      </c>
      <c r="V3439" s="2">
        <v>59</v>
      </c>
      <c r="W3439" s="2">
        <v>2004</v>
      </c>
    </row>
    <row r="3440" spans="1:23" ht="12.3" hidden="1" x14ac:dyDescent="0.4">
      <c r="A3440" s="2" t="s">
        <v>222</v>
      </c>
      <c r="B3440" s="2"/>
      <c r="C3440" s="2"/>
      <c r="D3440" s="2"/>
      <c r="E3440" s="2"/>
      <c r="F3440" s="2"/>
      <c r="G3440" s="2"/>
      <c r="H3440" s="2"/>
      <c r="I3440" s="2">
        <v>63.479799999999997</v>
      </c>
      <c r="J3440" s="2">
        <v>286</v>
      </c>
      <c r="K3440" s="2">
        <v>64.338300000000004</v>
      </c>
      <c r="L3440" s="2">
        <v>256</v>
      </c>
      <c r="M3440" s="2">
        <v>102.9119</v>
      </c>
      <c r="N3440" s="2">
        <v>131</v>
      </c>
      <c r="O3440" s="2">
        <v>103.20350000000001</v>
      </c>
      <c r="P3440" s="2">
        <v>129</v>
      </c>
      <c r="Q3440" s="2">
        <v>94.004999999999995</v>
      </c>
      <c r="R3440" s="2">
        <v>40</v>
      </c>
      <c r="S3440" s="2">
        <v>95.781000000000006</v>
      </c>
      <c r="T3440" s="2">
        <v>62</v>
      </c>
      <c r="U3440" s="2">
        <v>0.70231399999999999</v>
      </c>
      <c r="V3440" s="2">
        <v>82</v>
      </c>
      <c r="W3440" s="2">
        <v>2012</v>
      </c>
    </row>
    <row r="3441" spans="1:23" ht="12.3" hidden="1" x14ac:dyDescent="0.4">
      <c r="A3441" s="2" t="s">
        <v>138</v>
      </c>
      <c r="B3441" s="2"/>
      <c r="C3441" s="2"/>
      <c r="D3441" s="2"/>
      <c r="E3441" s="2"/>
      <c r="F3441" s="2"/>
      <c r="G3441" s="2"/>
      <c r="H3441" s="2"/>
      <c r="I3441" s="2">
        <v>64.332599999999999</v>
      </c>
      <c r="J3441" s="2">
        <v>263</v>
      </c>
      <c r="K3441" s="2">
        <v>64.720699999999994</v>
      </c>
      <c r="L3441" s="2">
        <v>248</v>
      </c>
      <c r="M3441" s="2">
        <v>112.2693</v>
      </c>
      <c r="N3441" s="2">
        <v>14</v>
      </c>
      <c r="O3441" s="2">
        <v>109.6587</v>
      </c>
      <c r="P3441" s="2">
        <v>34</v>
      </c>
      <c r="Q3441" s="2">
        <v>101.2471</v>
      </c>
      <c r="R3441" s="2">
        <v>178</v>
      </c>
      <c r="S3441" s="2">
        <v>101.81310000000001</v>
      </c>
      <c r="T3441" s="2">
        <v>184</v>
      </c>
      <c r="U3441" s="2">
        <v>0.70133999999999996</v>
      </c>
      <c r="V3441" s="2">
        <v>83</v>
      </c>
      <c r="W3441" s="2">
        <v>2012</v>
      </c>
    </row>
    <row r="3442" spans="1:23" ht="12.3" hidden="1" x14ac:dyDescent="0.4">
      <c r="A3442" s="2" t="s">
        <v>48</v>
      </c>
      <c r="B3442" s="2"/>
      <c r="C3442" s="2"/>
      <c r="D3442" s="2"/>
      <c r="E3442" s="2"/>
      <c r="F3442" s="2"/>
      <c r="G3442" s="2"/>
      <c r="H3442" s="2"/>
      <c r="I3442" s="2">
        <v>65.148700000000005</v>
      </c>
      <c r="J3442" s="2">
        <v>219</v>
      </c>
      <c r="K3442" s="2">
        <v>64.9619</v>
      </c>
      <c r="L3442" s="2">
        <v>222</v>
      </c>
      <c r="M3442" s="2">
        <v>107.49469999999999</v>
      </c>
      <c r="N3442" s="2">
        <v>53</v>
      </c>
      <c r="O3442" s="2">
        <v>109.4109</v>
      </c>
      <c r="P3442" s="2">
        <v>38</v>
      </c>
      <c r="Q3442" s="2">
        <v>101.09699999999999</v>
      </c>
      <c r="R3442" s="2">
        <v>176</v>
      </c>
      <c r="S3442" s="2">
        <v>101.6681</v>
      </c>
      <c r="T3442" s="2">
        <v>181</v>
      </c>
      <c r="U3442" s="2">
        <v>0.699322</v>
      </c>
      <c r="V3442" s="2">
        <v>84</v>
      </c>
      <c r="W3442" s="2">
        <v>2012</v>
      </c>
    </row>
    <row r="3443" spans="1:23" ht="12.3" hidden="1" x14ac:dyDescent="0.4">
      <c r="A3443" s="2" t="s">
        <v>176</v>
      </c>
      <c r="B3443" s="2"/>
      <c r="C3443" s="2"/>
      <c r="D3443" s="2"/>
      <c r="E3443" s="2"/>
      <c r="F3443" s="2"/>
      <c r="G3443" s="2"/>
      <c r="H3443" s="2"/>
      <c r="I3443" s="2">
        <v>62.900399999999998</v>
      </c>
      <c r="J3443" s="2">
        <v>306</v>
      </c>
      <c r="K3443" s="2">
        <v>63.839199999999998</v>
      </c>
      <c r="L3443" s="2">
        <v>278</v>
      </c>
      <c r="M3443" s="2">
        <v>103.1407</v>
      </c>
      <c r="N3443" s="2">
        <v>126</v>
      </c>
      <c r="O3443" s="2">
        <v>104.435</v>
      </c>
      <c r="P3443" s="2">
        <v>105</v>
      </c>
      <c r="Q3443" s="2">
        <v>96.356899999999996</v>
      </c>
      <c r="R3443" s="2">
        <v>69</v>
      </c>
      <c r="S3443" s="2">
        <v>97.056200000000004</v>
      </c>
      <c r="T3443" s="2">
        <v>81</v>
      </c>
      <c r="U3443" s="2">
        <v>0.69902500000000001</v>
      </c>
      <c r="V3443" s="2">
        <v>85</v>
      </c>
      <c r="W3443" s="2">
        <v>2012</v>
      </c>
    </row>
    <row r="3444" spans="1:23" ht="12.3" hidden="1" x14ac:dyDescent="0.4">
      <c r="A3444" s="2" t="s">
        <v>46</v>
      </c>
      <c r="B3444" s="2"/>
      <c r="C3444" s="2"/>
      <c r="D3444" s="2"/>
      <c r="E3444" s="2"/>
      <c r="F3444" s="2"/>
      <c r="G3444" s="2"/>
      <c r="H3444" s="2"/>
      <c r="I3444" s="2">
        <v>63.629199999999997</v>
      </c>
      <c r="J3444" s="2">
        <v>282</v>
      </c>
      <c r="K3444" s="2">
        <v>63.778599999999997</v>
      </c>
      <c r="L3444" s="2">
        <v>280</v>
      </c>
      <c r="M3444" s="2">
        <v>107.7514</v>
      </c>
      <c r="N3444" s="2">
        <v>48</v>
      </c>
      <c r="O3444" s="2">
        <v>107.98820000000001</v>
      </c>
      <c r="P3444" s="2">
        <v>55</v>
      </c>
      <c r="Q3444" s="2">
        <v>104.0196</v>
      </c>
      <c r="R3444" s="2">
        <v>238</v>
      </c>
      <c r="S3444" s="2">
        <v>100.3969</v>
      </c>
      <c r="T3444" s="2">
        <v>154</v>
      </c>
      <c r="U3444" s="2">
        <v>0.69809399999999999</v>
      </c>
      <c r="V3444" s="2">
        <v>86</v>
      </c>
      <c r="W3444" s="2">
        <v>2012</v>
      </c>
    </row>
    <row r="3445" spans="1:23" ht="12.3" x14ac:dyDescent="0.4">
      <c r="A3445" s="2" t="s">
        <v>64</v>
      </c>
      <c r="B3445" s="2">
        <v>10</v>
      </c>
      <c r="C3445" s="25"/>
      <c r="D3445" s="2"/>
      <c r="E3445" s="2"/>
      <c r="F3445" s="2"/>
      <c r="G3445" s="2"/>
      <c r="H3445" s="2"/>
      <c r="I3445" s="2">
        <v>63.852800000000002</v>
      </c>
      <c r="J3445" s="2">
        <v>294</v>
      </c>
      <c r="K3445" s="2">
        <v>63.806899999999999</v>
      </c>
      <c r="L3445" s="2">
        <v>293</v>
      </c>
      <c r="M3445" s="2">
        <v>106.0314</v>
      </c>
      <c r="N3445" s="2">
        <v>76</v>
      </c>
      <c r="O3445" s="2">
        <v>106.8096</v>
      </c>
      <c r="P3445" s="2">
        <v>70</v>
      </c>
      <c r="Q3445" s="2">
        <v>100.0119</v>
      </c>
      <c r="R3445" s="2">
        <v>131</v>
      </c>
      <c r="S3445" s="2">
        <v>97.093500000000006</v>
      </c>
      <c r="T3445" s="2">
        <v>71</v>
      </c>
      <c r="U3445" s="2">
        <v>0.74965899999999996</v>
      </c>
      <c r="V3445" s="2">
        <v>60</v>
      </c>
      <c r="W3445" s="2">
        <v>2004</v>
      </c>
    </row>
    <row r="3446" spans="1:23" ht="12.3" hidden="1" x14ac:dyDescent="0.4">
      <c r="A3446" s="2" t="s">
        <v>152</v>
      </c>
      <c r="B3446" s="2"/>
      <c r="C3446" s="2"/>
      <c r="D3446" s="2"/>
      <c r="E3446" s="2"/>
      <c r="F3446" s="2"/>
      <c r="G3446" s="2"/>
      <c r="H3446" s="2"/>
      <c r="I3446" s="2">
        <v>65.269900000000007</v>
      </c>
      <c r="J3446" s="2">
        <v>214</v>
      </c>
      <c r="K3446" s="2">
        <v>64.831000000000003</v>
      </c>
      <c r="L3446" s="2">
        <v>238</v>
      </c>
      <c r="M3446" s="2">
        <v>102.0924</v>
      </c>
      <c r="N3446" s="2">
        <v>151</v>
      </c>
      <c r="O3446" s="2">
        <v>100.2323</v>
      </c>
      <c r="P3446" s="2">
        <v>185</v>
      </c>
      <c r="Q3446" s="2">
        <v>89.483999999999995</v>
      </c>
      <c r="R3446" s="2">
        <v>5</v>
      </c>
      <c r="S3446" s="2">
        <v>93.299800000000005</v>
      </c>
      <c r="T3446" s="2">
        <v>24</v>
      </c>
      <c r="U3446" s="2">
        <v>0.69513599999999998</v>
      </c>
      <c r="V3446" s="2">
        <v>88</v>
      </c>
      <c r="W3446" s="2">
        <v>2012</v>
      </c>
    </row>
    <row r="3447" spans="1:23" ht="12.3" hidden="1" x14ac:dyDescent="0.4">
      <c r="A3447" s="2" t="s">
        <v>69</v>
      </c>
      <c r="B3447" s="2"/>
      <c r="C3447" s="2"/>
      <c r="D3447" s="2"/>
      <c r="E3447" s="2"/>
      <c r="F3447" s="2"/>
      <c r="G3447" s="2"/>
      <c r="H3447" s="2"/>
      <c r="I3447" s="2">
        <v>64.207999999999998</v>
      </c>
      <c r="J3447" s="2">
        <v>271</v>
      </c>
      <c r="K3447" s="2">
        <v>64.905699999999996</v>
      </c>
      <c r="L3447" s="2">
        <v>230</v>
      </c>
      <c r="M3447" s="2">
        <v>102.4926</v>
      </c>
      <c r="N3447" s="2">
        <v>143</v>
      </c>
      <c r="O3447" s="2">
        <v>104.61539999999999</v>
      </c>
      <c r="P3447" s="2">
        <v>104</v>
      </c>
      <c r="Q3447" s="2">
        <v>97.455399999999997</v>
      </c>
      <c r="R3447" s="2">
        <v>87</v>
      </c>
      <c r="S3447" s="2">
        <v>97.431899999999999</v>
      </c>
      <c r="T3447" s="2">
        <v>91</v>
      </c>
      <c r="U3447" s="2">
        <v>0.69382900000000003</v>
      </c>
      <c r="V3447" s="2">
        <v>89</v>
      </c>
      <c r="W3447" s="2">
        <v>2012</v>
      </c>
    </row>
    <row r="3448" spans="1:23" ht="12.3" hidden="1" x14ac:dyDescent="0.4">
      <c r="A3448" s="2" t="s">
        <v>213</v>
      </c>
      <c r="B3448" s="2"/>
      <c r="C3448" s="2"/>
      <c r="D3448" s="2"/>
      <c r="E3448" s="2"/>
      <c r="F3448" s="2"/>
      <c r="G3448" s="2"/>
      <c r="H3448" s="2"/>
      <c r="I3448" s="2">
        <v>67.906800000000004</v>
      </c>
      <c r="J3448" s="2">
        <v>86</v>
      </c>
      <c r="K3448" s="2">
        <v>68.0745</v>
      </c>
      <c r="L3448" s="2">
        <v>81</v>
      </c>
      <c r="M3448" s="2">
        <v>104.5444</v>
      </c>
      <c r="N3448" s="2">
        <v>105</v>
      </c>
      <c r="O3448" s="2">
        <v>106.2794</v>
      </c>
      <c r="P3448" s="2">
        <v>78</v>
      </c>
      <c r="Q3448" s="2">
        <v>98.607799999999997</v>
      </c>
      <c r="R3448" s="2">
        <v>116</v>
      </c>
      <c r="S3448" s="2">
        <v>99.006500000000003</v>
      </c>
      <c r="T3448" s="2">
        <v>127</v>
      </c>
      <c r="U3448" s="2">
        <v>0.693214</v>
      </c>
      <c r="V3448" s="2">
        <v>90</v>
      </c>
      <c r="W3448" s="2">
        <v>2012</v>
      </c>
    </row>
    <row r="3449" spans="1:23" ht="12.3" hidden="1" x14ac:dyDescent="0.4">
      <c r="A3449" s="2" t="s">
        <v>216</v>
      </c>
      <c r="B3449" s="2"/>
      <c r="C3449" s="2"/>
      <c r="D3449" s="2"/>
      <c r="E3449" s="2"/>
      <c r="F3449" s="2"/>
      <c r="G3449" s="2"/>
      <c r="H3449" s="2"/>
      <c r="I3449" s="2">
        <v>62.791499999999999</v>
      </c>
      <c r="J3449" s="2">
        <v>312</v>
      </c>
      <c r="K3449" s="2">
        <v>62.525199999999998</v>
      </c>
      <c r="L3449" s="2">
        <v>314</v>
      </c>
      <c r="M3449" s="2">
        <v>102.764</v>
      </c>
      <c r="N3449" s="2">
        <v>138</v>
      </c>
      <c r="O3449" s="2">
        <v>103.8471</v>
      </c>
      <c r="P3449" s="2">
        <v>115</v>
      </c>
      <c r="Q3449" s="2">
        <v>98.918599999999998</v>
      </c>
      <c r="R3449" s="2">
        <v>125</v>
      </c>
      <c r="S3449" s="2">
        <v>96.749300000000005</v>
      </c>
      <c r="T3449" s="2">
        <v>78</v>
      </c>
      <c r="U3449" s="2">
        <v>0.69299699999999997</v>
      </c>
      <c r="V3449" s="2">
        <v>91</v>
      </c>
      <c r="W3449" s="2">
        <v>2012</v>
      </c>
    </row>
    <row r="3450" spans="1:23" ht="12.3" hidden="1" x14ac:dyDescent="0.4">
      <c r="A3450" s="2" t="s">
        <v>44</v>
      </c>
      <c r="B3450" s="2"/>
      <c r="C3450" s="2"/>
      <c r="D3450" s="2"/>
      <c r="E3450" s="2"/>
      <c r="F3450" s="2"/>
      <c r="G3450" s="2"/>
      <c r="H3450" s="2"/>
      <c r="I3450" s="2">
        <v>64.454999999999998</v>
      </c>
      <c r="J3450" s="2">
        <v>256</v>
      </c>
      <c r="K3450" s="2">
        <v>65.355199999999996</v>
      </c>
      <c r="L3450" s="2">
        <v>205</v>
      </c>
      <c r="M3450" s="2">
        <v>100.55710000000001</v>
      </c>
      <c r="N3450" s="2">
        <v>176</v>
      </c>
      <c r="O3450" s="2">
        <v>101.61879999999999</v>
      </c>
      <c r="P3450" s="2">
        <v>154</v>
      </c>
      <c r="Q3450" s="2">
        <v>98.593100000000007</v>
      </c>
      <c r="R3450" s="2">
        <v>115</v>
      </c>
      <c r="S3450" s="2">
        <v>94.680300000000003</v>
      </c>
      <c r="T3450" s="2">
        <v>48</v>
      </c>
      <c r="U3450" s="2">
        <v>0.69281499999999996</v>
      </c>
      <c r="V3450" s="2">
        <v>92</v>
      </c>
      <c r="W3450" s="2">
        <v>2012</v>
      </c>
    </row>
    <row r="3451" spans="1:23" ht="12.3" hidden="1" x14ac:dyDescent="0.4">
      <c r="A3451" s="2" t="s">
        <v>289</v>
      </c>
      <c r="B3451" s="2"/>
      <c r="C3451" s="2"/>
      <c r="D3451" s="2"/>
      <c r="E3451" s="2"/>
      <c r="F3451" s="2"/>
      <c r="G3451" s="2"/>
      <c r="H3451" s="2"/>
      <c r="I3451" s="2">
        <v>63.589100000000002</v>
      </c>
      <c r="J3451" s="2">
        <v>284</v>
      </c>
      <c r="K3451" s="2">
        <v>64.390299999999996</v>
      </c>
      <c r="L3451" s="2">
        <v>253</v>
      </c>
      <c r="M3451" s="2">
        <v>107.59910000000001</v>
      </c>
      <c r="N3451" s="2">
        <v>51</v>
      </c>
      <c r="O3451" s="2">
        <v>105.36369999999999</v>
      </c>
      <c r="P3451" s="2">
        <v>90</v>
      </c>
      <c r="Q3451" s="2">
        <v>96.767399999999995</v>
      </c>
      <c r="R3451" s="2">
        <v>73</v>
      </c>
      <c r="S3451" s="2">
        <v>98.410300000000007</v>
      </c>
      <c r="T3451" s="2">
        <v>112</v>
      </c>
      <c r="U3451" s="2">
        <v>0.68678399999999995</v>
      </c>
      <c r="V3451" s="2">
        <v>93</v>
      </c>
      <c r="W3451" s="2">
        <v>2012</v>
      </c>
    </row>
    <row r="3452" spans="1:23" ht="12.3" hidden="1" x14ac:dyDescent="0.4">
      <c r="A3452" s="2" t="s">
        <v>72</v>
      </c>
      <c r="B3452" s="2"/>
      <c r="C3452" s="2"/>
      <c r="D3452" s="2"/>
      <c r="E3452" s="2"/>
      <c r="F3452" s="2"/>
      <c r="G3452" s="2"/>
      <c r="H3452" s="2"/>
      <c r="I3452" s="2">
        <v>66.018100000000004</v>
      </c>
      <c r="J3452" s="2">
        <v>183</v>
      </c>
      <c r="K3452" s="2">
        <v>66.321700000000007</v>
      </c>
      <c r="L3452" s="2">
        <v>149</v>
      </c>
      <c r="M3452" s="2">
        <v>99.867699999999999</v>
      </c>
      <c r="N3452" s="2">
        <v>189</v>
      </c>
      <c r="O3452" s="2">
        <v>105.52760000000001</v>
      </c>
      <c r="P3452" s="2">
        <v>88</v>
      </c>
      <c r="Q3452" s="2">
        <v>102.47539999999999</v>
      </c>
      <c r="R3452" s="2">
        <v>204</v>
      </c>
      <c r="S3452" s="2">
        <v>98.599400000000003</v>
      </c>
      <c r="T3452" s="2">
        <v>116</v>
      </c>
      <c r="U3452" s="2">
        <v>0.68588199999999999</v>
      </c>
      <c r="V3452" s="2">
        <v>94</v>
      </c>
      <c r="W3452" s="2">
        <v>2012</v>
      </c>
    </row>
    <row r="3453" spans="1:23" ht="12.3" hidden="1" x14ac:dyDescent="0.4">
      <c r="A3453" s="2" t="s">
        <v>85</v>
      </c>
      <c r="B3453" s="2"/>
      <c r="C3453" s="2"/>
      <c r="D3453" s="2"/>
      <c r="E3453" s="2"/>
      <c r="F3453" s="2"/>
      <c r="G3453" s="2"/>
      <c r="H3453" s="2"/>
      <c r="I3453" s="2">
        <v>66.076800000000006</v>
      </c>
      <c r="J3453" s="2">
        <v>181</v>
      </c>
      <c r="K3453" s="2">
        <v>65.858800000000002</v>
      </c>
      <c r="L3453" s="2">
        <v>182</v>
      </c>
      <c r="M3453" s="2">
        <v>96.808999999999997</v>
      </c>
      <c r="N3453" s="2">
        <v>254</v>
      </c>
      <c r="O3453" s="2">
        <v>98.771600000000007</v>
      </c>
      <c r="P3453" s="2">
        <v>221</v>
      </c>
      <c r="Q3453" s="2">
        <v>94.433300000000003</v>
      </c>
      <c r="R3453" s="2">
        <v>43</v>
      </c>
      <c r="S3453" s="2">
        <v>92.367699999999999</v>
      </c>
      <c r="T3453" s="2">
        <v>19</v>
      </c>
      <c r="U3453" s="2">
        <v>0.68371099999999996</v>
      </c>
      <c r="V3453" s="2">
        <v>95</v>
      </c>
      <c r="W3453" s="2">
        <v>2012</v>
      </c>
    </row>
    <row r="3454" spans="1:23" ht="12.3" hidden="1" x14ac:dyDescent="0.4">
      <c r="A3454" s="2" t="s">
        <v>78</v>
      </c>
      <c r="B3454" s="2"/>
      <c r="C3454" s="2"/>
      <c r="D3454" s="2"/>
      <c r="E3454" s="2"/>
      <c r="F3454" s="2"/>
      <c r="G3454" s="2"/>
      <c r="H3454" s="2"/>
      <c r="I3454" s="2">
        <v>67.521600000000007</v>
      </c>
      <c r="J3454" s="2">
        <v>107</v>
      </c>
      <c r="K3454" s="2">
        <v>68.173299999999998</v>
      </c>
      <c r="L3454" s="2">
        <v>77</v>
      </c>
      <c r="M3454" s="2">
        <v>103.2987</v>
      </c>
      <c r="N3454" s="2">
        <v>123</v>
      </c>
      <c r="O3454" s="2">
        <v>106.95229999999999</v>
      </c>
      <c r="P3454" s="2">
        <v>67</v>
      </c>
      <c r="Q3454" s="2">
        <v>103.11669999999999</v>
      </c>
      <c r="R3454" s="2">
        <v>218</v>
      </c>
      <c r="S3454" s="2">
        <v>100.0254</v>
      </c>
      <c r="T3454" s="2">
        <v>144</v>
      </c>
      <c r="U3454" s="2">
        <v>0.68352400000000002</v>
      </c>
      <c r="V3454" s="2">
        <v>96</v>
      </c>
      <c r="W3454" s="2">
        <v>2012</v>
      </c>
    </row>
    <row r="3455" spans="1:23" ht="12.3" hidden="1" x14ac:dyDescent="0.4">
      <c r="A3455" s="2" t="s">
        <v>190</v>
      </c>
      <c r="B3455" s="2"/>
      <c r="C3455" s="2"/>
      <c r="D3455" s="2"/>
      <c r="E3455" s="2"/>
      <c r="F3455" s="2"/>
      <c r="G3455" s="2"/>
      <c r="H3455" s="2"/>
      <c r="I3455" s="2">
        <v>65.099599999999995</v>
      </c>
      <c r="J3455" s="2">
        <v>222</v>
      </c>
      <c r="K3455" s="2">
        <v>65.833200000000005</v>
      </c>
      <c r="L3455" s="2">
        <v>185</v>
      </c>
      <c r="M3455" s="2">
        <v>98.573400000000007</v>
      </c>
      <c r="N3455" s="2">
        <v>214</v>
      </c>
      <c r="O3455" s="2">
        <v>99.842699999999994</v>
      </c>
      <c r="P3455" s="2">
        <v>194</v>
      </c>
      <c r="Q3455" s="2">
        <v>92.41</v>
      </c>
      <c r="R3455" s="2">
        <v>24</v>
      </c>
      <c r="S3455" s="2">
        <v>93.399100000000004</v>
      </c>
      <c r="T3455" s="2">
        <v>29</v>
      </c>
      <c r="U3455" s="2">
        <v>0.68291599999999997</v>
      </c>
      <c r="V3455" s="2">
        <v>97</v>
      </c>
      <c r="W3455" s="2">
        <v>2012</v>
      </c>
    </row>
    <row r="3456" spans="1:23" ht="12.3" x14ac:dyDescent="0.4">
      <c r="A3456" s="2" t="s">
        <v>108</v>
      </c>
      <c r="B3456" s="2">
        <v>13</v>
      </c>
      <c r="C3456" s="2"/>
      <c r="D3456" s="2"/>
      <c r="E3456" s="2"/>
      <c r="F3456" s="2"/>
      <c r="G3456" s="2"/>
      <c r="H3456" s="2"/>
      <c r="I3456" s="2">
        <v>75.729799999999997</v>
      </c>
      <c r="J3456" s="2">
        <v>5</v>
      </c>
      <c r="K3456" s="2">
        <v>74.971599999999995</v>
      </c>
      <c r="L3456" s="2">
        <v>6</v>
      </c>
      <c r="M3456" s="2">
        <v>102.65479999999999</v>
      </c>
      <c r="N3456" s="2">
        <v>117</v>
      </c>
      <c r="O3456" s="2">
        <v>102.91540000000001</v>
      </c>
      <c r="P3456" s="2">
        <v>125</v>
      </c>
      <c r="Q3456" s="2">
        <v>92.195800000000006</v>
      </c>
      <c r="R3456" s="2">
        <v>14</v>
      </c>
      <c r="S3456" s="2">
        <v>94.046599999999998</v>
      </c>
      <c r="T3456" s="2">
        <v>32</v>
      </c>
      <c r="U3456" s="2">
        <v>0.73814400000000002</v>
      </c>
      <c r="V3456" s="2">
        <v>66</v>
      </c>
      <c r="W3456" s="2">
        <v>2004</v>
      </c>
    </row>
    <row r="3457" spans="1:23" ht="12.3" hidden="1" x14ac:dyDescent="0.4">
      <c r="A3457" s="2" t="s">
        <v>159</v>
      </c>
      <c r="B3457" s="2"/>
      <c r="C3457" s="2"/>
      <c r="D3457" s="2"/>
      <c r="E3457" s="2"/>
      <c r="F3457" s="2"/>
      <c r="G3457" s="2"/>
      <c r="H3457" s="2"/>
      <c r="I3457" s="2">
        <v>63.020499999999998</v>
      </c>
      <c r="J3457" s="2">
        <v>302</v>
      </c>
      <c r="K3457" s="2">
        <v>62.616300000000003</v>
      </c>
      <c r="L3457" s="2">
        <v>310</v>
      </c>
      <c r="M3457" s="2">
        <v>102.4902</v>
      </c>
      <c r="N3457" s="2">
        <v>144</v>
      </c>
      <c r="O3457" s="2">
        <v>104.28570000000001</v>
      </c>
      <c r="P3457" s="2">
        <v>107</v>
      </c>
      <c r="Q3457" s="2">
        <v>98.493899999999996</v>
      </c>
      <c r="R3457" s="2">
        <v>112</v>
      </c>
      <c r="S3457" s="2">
        <v>97.611199999999997</v>
      </c>
      <c r="T3457" s="2">
        <v>96</v>
      </c>
      <c r="U3457" s="2">
        <v>0.68149099999999996</v>
      </c>
      <c r="V3457" s="2">
        <v>99</v>
      </c>
      <c r="W3457" s="2">
        <v>2012</v>
      </c>
    </row>
    <row r="3458" spans="1:23" ht="12.3" hidden="1" x14ac:dyDescent="0.4">
      <c r="A3458" s="2" t="s">
        <v>22</v>
      </c>
      <c r="B3458" s="2"/>
      <c r="C3458" s="2"/>
      <c r="D3458" s="2"/>
      <c r="E3458" s="2"/>
      <c r="F3458" s="2"/>
      <c r="G3458" s="2"/>
      <c r="H3458" s="2"/>
      <c r="I3458" s="2">
        <v>63.208100000000002</v>
      </c>
      <c r="J3458" s="2">
        <v>297</v>
      </c>
      <c r="K3458" s="2">
        <v>63.180300000000003</v>
      </c>
      <c r="L3458" s="2">
        <v>297</v>
      </c>
      <c r="M3458" s="2">
        <v>102.2483</v>
      </c>
      <c r="N3458" s="2">
        <v>148</v>
      </c>
      <c r="O3458" s="2">
        <v>102.9589</v>
      </c>
      <c r="P3458" s="2">
        <v>131</v>
      </c>
      <c r="Q3458" s="2">
        <v>98.465999999999994</v>
      </c>
      <c r="R3458" s="2">
        <v>111</v>
      </c>
      <c r="S3458" s="2">
        <v>96.439400000000006</v>
      </c>
      <c r="T3458" s="2">
        <v>73</v>
      </c>
      <c r="U3458" s="2">
        <v>0.67967299999999997</v>
      </c>
      <c r="V3458" s="2">
        <v>100</v>
      </c>
      <c r="W3458" s="2">
        <v>2012</v>
      </c>
    </row>
    <row r="3459" spans="1:23" ht="12.3" hidden="1" x14ac:dyDescent="0.4">
      <c r="A3459" s="2" t="s">
        <v>84</v>
      </c>
      <c r="B3459" s="2"/>
      <c r="C3459" s="2"/>
      <c r="D3459" s="2"/>
      <c r="E3459" s="2"/>
      <c r="F3459" s="2"/>
      <c r="G3459" s="2"/>
      <c r="H3459" s="2"/>
      <c r="I3459" s="2">
        <v>67.935199999999995</v>
      </c>
      <c r="J3459" s="2">
        <v>84</v>
      </c>
      <c r="K3459" s="2">
        <v>68.234099999999998</v>
      </c>
      <c r="L3459" s="2">
        <v>70</v>
      </c>
      <c r="M3459" s="2">
        <v>105.74809999999999</v>
      </c>
      <c r="N3459" s="2">
        <v>83</v>
      </c>
      <c r="O3459" s="2">
        <v>107.95010000000001</v>
      </c>
      <c r="P3459" s="2">
        <v>56</v>
      </c>
      <c r="Q3459" s="2">
        <v>105.41419999999999</v>
      </c>
      <c r="R3459" s="2">
        <v>274</v>
      </c>
      <c r="S3459" s="2">
        <v>101.4555</v>
      </c>
      <c r="T3459" s="2">
        <v>174</v>
      </c>
      <c r="U3459" s="2">
        <v>0.67118599999999995</v>
      </c>
      <c r="V3459" s="2">
        <v>101</v>
      </c>
      <c r="W3459" s="2">
        <v>2012</v>
      </c>
    </row>
    <row r="3460" spans="1:23" ht="12.3" hidden="1" x14ac:dyDescent="0.4">
      <c r="A3460" s="2" t="s">
        <v>145</v>
      </c>
      <c r="B3460" s="2"/>
      <c r="C3460" s="2"/>
      <c r="D3460" s="2"/>
      <c r="E3460" s="2"/>
      <c r="F3460" s="2"/>
      <c r="G3460" s="2"/>
      <c r="H3460" s="2"/>
      <c r="I3460" s="2">
        <v>65.792599999999993</v>
      </c>
      <c r="J3460" s="2">
        <v>196</v>
      </c>
      <c r="K3460" s="2">
        <v>64.929400000000001</v>
      </c>
      <c r="L3460" s="2">
        <v>226</v>
      </c>
      <c r="M3460" s="2">
        <v>106.0211</v>
      </c>
      <c r="N3460" s="2">
        <v>78</v>
      </c>
      <c r="O3460" s="2">
        <v>104.22920000000001</v>
      </c>
      <c r="P3460" s="2">
        <v>109</v>
      </c>
      <c r="Q3460" s="2">
        <v>96.917199999999994</v>
      </c>
      <c r="R3460" s="2">
        <v>78</v>
      </c>
      <c r="S3460" s="2">
        <v>98.204800000000006</v>
      </c>
      <c r="T3460" s="2">
        <v>110</v>
      </c>
      <c r="U3460" s="2">
        <v>0.66478099999999996</v>
      </c>
      <c r="V3460" s="2">
        <v>102</v>
      </c>
      <c r="W3460" s="2">
        <v>2012</v>
      </c>
    </row>
    <row r="3461" spans="1:23" ht="12.3" hidden="1" x14ac:dyDescent="0.4">
      <c r="A3461" s="2" t="s">
        <v>164</v>
      </c>
      <c r="B3461" s="2"/>
      <c r="C3461" s="2"/>
      <c r="D3461" s="2"/>
      <c r="E3461" s="2"/>
      <c r="F3461" s="2"/>
      <c r="G3461" s="2"/>
      <c r="H3461" s="2"/>
      <c r="I3461" s="2">
        <v>64.328500000000005</v>
      </c>
      <c r="J3461" s="2">
        <v>264</v>
      </c>
      <c r="K3461" s="2">
        <v>64.308499999999995</v>
      </c>
      <c r="L3461" s="2">
        <v>258</v>
      </c>
      <c r="M3461" s="2">
        <v>105.14400000000001</v>
      </c>
      <c r="N3461" s="2">
        <v>94</v>
      </c>
      <c r="O3461" s="2">
        <v>104.7094</v>
      </c>
      <c r="P3461" s="2">
        <v>102</v>
      </c>
      <c r="Q3461" s="2">
        <v>98.997200000000007</v>
      </c>
      <c r="R3461" s="2">
        <v>128</v>
      </c>
      <c r="S3461" s="2">
        <v>98.690700000000007</v>
      </c>
      <c r="T3461" s="2">
        <v>121</v>
      </c>
      <c r="U3461" s="2">
        <v>0.66391199999999995</v>
      </c>
      <c r="V3461" s="2">
        <v>103</v>
      </c>
      <c r="W3461" s="2">
        <v>2012</v>
      </c>
    </row>
    <row r="3462" spans="1:23" ht="12.3" hidden="1" x14ac:dyDescent="0.4">
      <c r="A3462" s="2" t="s">
        <v>215</v>
      </c>
      <c r="B3462" s="2"/>
      <c r="C3462" s="2"/>
      <c r="D3462" s="2"/>
      <c r="E3462" s="2"/>
      <c r="F3462" s="2"/>
      <c r="G3462" s="2"/>
      <c r="H3462" s="2"/>
      <c r="I3462" s="2">
        <v>68.864099999999993</v>
      </c>
      <c r="J3462" s="2">
        <v>54</v>
      </c>
      <c r="K3462" s="2">
        <v>68.596400000000003</v>
      </c>
      <c r="L3462" s="2">
        <v>57</v>
      </c>
      <c r="M3462" s="2">
        <v>106.5219</v>
      </c>
      <c r="N3462" s="2">
        <v>67</v>
      </c>
      <c r="O3462" s="2">
        <v>102.2475</v>
      </c>
      <c r="P3462" s="2">
        <v>143</v>
      </c>
      <c r="Q3462" s="2">
        <v>93.418099999999995</v>
      </c>
      <c r="R3462" s="2">
        <v>33</v>
      </c>
      <c r="S3462" s="2">
        <v>96.471000000000004</v>
      </c>
      <c r="T3462" s="2">
        <v>74</v>
      </c>
      <c r="U3462" s="2">
        <v>0.66122899999999996</v>
      </c>
      <c r="V3462" s="2">
        <v>104</v>
      </c>
      <c r="W3462" s="2">
        <v>2012</v>
      </c>
    </row>
    <row r="3463" spans="1:23" ht="12.3" hidden="1" x14ac:dyDescent="0.4">
      <c r="A3463" s="2" t="s">
        <v>221</v>
      </c>
      <c r="B3463" s="2"/>
      <c r="C3463" s="2"/>
      <c r="D3463" s="2"/>
      <c r="E3463" s="2"/>
      <c r="F3463" s="2"/>
      <c r="G3463" s="2"/>
      <c r="H3463" s="2"/>
      <c r="I3463" s="2">
        <v>65.409099999999995</v>
      </c>
      <c r="J3463" s="2">
        <v>209</v>
      </c>
      <c r="K3463" s="2">
        <v>64.869699999999995</v>
      </c>
      <c r="L3463" s="2">
        <v>233</v>
      </c>
      <c r="M3463" s="2">
        <v>99.6738</v>
      </c>
      <c r="N3463" s="2">
        <v>195</v>
      </c>
      <c r="O3463" s="2">
        <v>98.778599999999997</v>
      </c>
      <c r="P3463" s="2">
        <v>220</v>
      </c>
      <c r="Q3463" s="2">
        <v>93.603899999999996</v>
      </c>
      <c r="R3463" s="2">
        <v>34</v>
      </c>
      <c r="S3463" s="2">
        <v>93.236400000000003</v>
      </c>
      <c r="T3463" s="2">
        <v>23</v>
      </c>
      <c r="U3463" s="2">
        <v>0.66016900000000001</v>
      </c>
      <c r="V3463" s="2">
        <v>105</v>
      </c>
      <c r="W3463" s="2">
        <v>2012</v>
      </c>
    </row>
    <row r="3464" spans="1:23" ht="12.3" hidden="1" x14ac:dyDescent="0.4">
      <c r="A3464" s="2" t="s">
        <v>147</v>
      </c>
      <c r="B3464" s="2"/>
      <c r="C3464" s="2"/>
      <c r="D3464" s="2"/>
      <c r="E3464" s="2"/>
      <c r="F3464" s="2"/>
      <c r="G3464" s="2"/>
      <c r="H3464" s="2"/>
      <c r="I3464" s="2">
        <v>67.880399999999995</v>
      </c>
      <c r="J3464" s="2">
        <v>88</v>
      </c>
      <c r="K3464" s="2">
        <v>68.213200000000001</v>
      </c>
      <c r="L3464" s="2">
        <v>72</v>
      </c>
      <c r="M3464" s="2">
        <v>101.92449999999999</v>
      </c>
      <c r="N3464" s="2">
        <v>153</v>
      </c>
      <c r="O3464" s="2">
        <v>102.0424</v>
      </c>
      <c r="P3464" s="2">
        <v>148</v>
      </c>
      <c r="Q3464" s="2">
        <v>93.909599999999998</v>
      </c>
      <c r="R3464" s="2">
        <v>38</v>
      </c>
      <c r="S3464" s="2">
        <v>96.332099999999997</v>
      </c>
      <c r="T3464" s="2">
        <v>70</v>
      </c>
      <c r="U3464" s="2">
        <v>0.65976500000000005</v>
      </c>
      <c r="V3464" s="2">
        <v>106</v>
      </c>
      <c r="W3464" s="2">
        <v>2012</v>
      </c>
    </row>
    <row r="3465" spans="1:23" ht="12.3" x14ac:dyDescent="0.4">
      <c r="A3465" s="2" t="s">
        <v>137</v>
      </c>
      <c r="B3465" s="2">
        <v>13</v>
      </c>
      <c r="C3465" s="2"/>
      <c r="D3465" s="2"/>
      <c r="E3465" s="2"/>
      <c r="F3465" s="2"/>
      <c r="G3465" s="2"/>
      <c r="H3465" s="2"/>
      <c r="I3465" s="2">
        <v>67.848600000000005</v>
      </c>
      <c r="J3465" s="2">
        <v>169</v>
      </c>
      <c r="K3465" s="2">
        <v>66.411799999999999</v>
      </c>
      <c r="L3465" s="2">
        <v>207</v>
      </c>
      <c r="M3465" s="2">
        <v>103.337</v>
      </c>
      <c r="N3465" s="2">
        <v>107</v>
      </c>
      <c r="O3465" s="2">
        <v>102.5355</v>
      </c>
      <c r="P3465" s="2">
        <v>133</v>
      </c>
      <c r="Q3465" s="2">
        <v>93.336200000000005</v>
      </c>
      <c r="R3465" s="2">
        <v>24</v>
      </c>
      <c r="S3465" s="2">
        <v>94.379499999999993</v>
      </c>
      <c r="T3465" s="2">
        <v>36</v>
      </c>
      <c r="U3465" s="2">
        <v>0.72175500000000004</v>
      </c>
      <c r="V3465" s="2">
        <v>74</v>
      </c>
      <c r="W3465" s="2">
        <v>2004</v>
      </c>
    </row>
    <row r="3466" spans="1:23" ht="12.3" hidden="1" x14ac:dyDescent="0.4">
      <c r="A3466" s="2" t="s">
        <v>292</v>
      </c>
      <c r="B3466" s="2"/>
      <c r="C3466" s="2"/>
      <c r="D3466" s="2"/>
      <c r="E3466" s="2"/>
      <c r="F3466" s="2"/>
      <c r="G3466" s="2"/>
      <c r="H3466" s="2"/>
      <c r="I3466" s="2">
        <v>67.289299999999997</v>
      </c>
      <c r="J3466" s="2">
        <v>116</v>
      </c>
      <c r="K3466" s="2">
        <v>67.619799999999998</v>
      </c>
      <c r="L3466" s="2">
        <v>98</v>
      </c>
      <c r="M3466" s="2">
        <v>105.54179999999999</v>
      </c>
      <c r="N3466" s="2">
        <v>86</v>
      </c>
      <c r="O3466" s="2">
        <v>108.096</v>
      </c>
      <c r="P3466" s="2">
        <v>54</v>
      </c>
      <c r="Q3466" s="2">
        <v>104.7458</v>
      </c>
      <c r="R3466" s="2">
        <v>257</v>
      </c>
      <c r="S3466" s="2">
        <v>102.3454</v>
      </c>
      <c r="T3466" s="2">
        <v>193</v>
      </c>
      <c r="U3466" s="2">
        <v>0.65218699999999996</v>
      </c>
      <c r="V3466" s="2">
        <v>108</v>
      </c>
      <c r="W3466" s="2">
        <v>2012</v>
      </c>
    </row>
    <row r="3467" spans="1:23" ht="12.3" hidden="1" x14ac:dyDescent="0.4">
      <c r="A3467" s="2" t="s">
        <v>149</v>
      </c>
      <c r="B3467" s="2"/>
      <c r="C3467" s="2"/>
      <c r="D3467" s="2"/>
      <c r="E3467" s="2"/>
      <c r="F3467" s="2"/>
      <c r="G3467" s="2"/>
      <c r="H3467" s="2"/>
      <c r="I3467" s="2">
        <v>70.982500000000002</v>
      </c>
      <c r="J3467" s="2">
        <v>20</v>
      </c>
      <c r="K3467" s="2">
        <v>70.976699999999994</v>
      </c>
      <c r="L3467" s="2">
        <v>17</v>
      </c>
      <c r="M3467" s="2">
        <v>108.2803</v>
      </c>
      <c r="N3467" s="2">
        <v>44</v>
      </c>
      <c r="O3467" s="2">
        <v>108.68259999999999</v>
      </c>
      <c r="P3467" s="2">
        <v>49</v>
      </c>
      <c r="Q3467" s="2">
        <v>101.1849</v>
      </c>
      <c r="R3467" s="2">
        <v>177</v>
      </c>
      <c r="S3467" s="2">
        <v>102.9924</v>
      </c>
      <c r="T3467" s="2">
        <v>208</v>
      </c>
      <c r="U3467" s="2">
        <v>0.64986200000000005</v>
      </c>
      <c r="V3467" s="2">
        <v>109</v>
      </c>
      <c r="W3467" s="2">
        <v>2012</v>
      </c>
    </row>
    <row r="3468" spans="1:23" ht="12.3" hidden="1" x14ac:dyDescent="0.4">
      <c r="A3468" s="2" t="s">
        <v>104</v>
      </c>
      <c r="B3468" s="2"/>
      <c r="C3468" s="2"/>
      <c r="D3468" s="2"/>
      <c r="E3468" s="2"/>
      <c r="F3468" s="2"/>
      <c r="G3468" s="2"/>
      <c r="H3468" s="2"/>
      <c r="I3468" s="2">
        <v>64.512600000000006</v>
      </c>
      <c r="J3468" s="2">
        <v>249</v>
      </c>
      <c r="K3468" s="2">
        <v>64.100999999999999</v>
      </c>
      <c r="L3468" s="2">
        <v>264</v>
      </c>
      <c r="M3468" s="2">
        <v>110.227</v>
      </c>
      <c r="N3468" s="2">
        <v>25</v>
      </c>
      <c r="O3468" s="2">
        <v>108.7015</v>
      </c>
      <c r="P3468" s="2">
        <v>48</v>
      </c>
      <c r="Q3468" s="2">
        <v>101.4973</v>
      </c>
      <c r="R3468" s="2">
        <v>186</v>
      </c>
      <c r="S3468" s="2">
        <v>103.1073</v>
      </c>
      <c r="T3468" s="2">
        <v>211</v>
      </c>
      <c r="U3468" s="2">
        <v>0.64739400000000002</v>
      </c>
      <c r="V3468" s="2">
        <v>110</v>
      </c>
      <c r="W3468" s="2">
        <v>2012</v>
      </c>
    </row>
    <row r="3469" spans="1:23" ht="12.3" hidden="1" x14ac:dyDescent="0.4">
      <c r="A3469" s="2" t="s">
        <v>318</v>
      </c>
      <c r="B3469" s="2"/>
      <c r="C3469" s="2"/>
      <c r="D3469" s="2"/>
      <c r="E3469" s="2"/>
      <c r="F3469" s="2"/>
      <c r="G3469" s="2"/>
      <c r="H3469" s="2"/>
      <c r="I3469" s="2">
        <v>64.9833</v>
      </c>
      <c r="J3469" s="2">
        <v>231</v>
      </c>
      <c r="K3469" s="2">
        <v>64.076800000000006</v>
      </c>
      <c r="L3469" s="2">
        <v>267</v>
      </c>
      <c r="M3469" s="2">
        <v>104.02160000000001</v>
      </c>
      <c r="N3469" s="2">
        <v>113</v>
      </c>
      <c r="O3469" s="2">
        <v>101.69629999999999</v>
      </c>
      <c r="P3469" s="2">
        <v>152</v>
      </c>
      <c r="Q3469" s="2">
        <v>95.856999999999999</v>
      </c>
      <c r="R3469" s="2">
        <v>62</v>
      </c>
      <c r="S3469" s="2">
        <v>96.566699999999997</v>
      </c>
      <c r="T3469" s="2">
        <v>75</v>
      </c>
      <c r="U3469" s="2">
        <v>0.64455600000000002</v>
      </c>
      <c r="V3469" s="2">
        <v>111</v>
      </c>
      <c r="W3469" s="2">
        <v>2012</v>
      </c>
    </row>
    <row r="3470" spans="1:23" ht="12.3" hidden="1" x14ac:dyDescent="0.4">
      <c r="A3470" s="2" t="s">
        <v>19</v>
      </c>
      <c r="B3470" s="2"/>
      <c r="C3470" s="2"/>
      <c r="D3470" s="2"/>
      <c r="E3470" s="2"/>
      <c r="F3470" s="2"/>
      <c r="G3470" s="2"/>
      <c r="H3470" s="2"/>
      <c r="I3470" s="2">
        <v>61.467199999999998</v>
      </c>
      <c r="J3470" s="2">
        <v>326</v>
      </c>
      <c r="K3470" s="2">
        <v>62.578299999999999</v>
      </c>
      <c r="L3470" s="2">
        <v>312</v>
      </c>
      <c r="M3470" s="2">
        <v>97.997600000000006</v>
      </c>
      <c r="N3470" s="2">
        <v>231</v>
      </c>
      <c r="O3470" s="2">
        <v>102.05370000000001</v>
      </c>
      <c r="P3470" s="2">
        <v>147</v>
      </c>
      <c r="Q3470" s="2">
        <v>101.4773</v>
      </c>
      <c r="R3470" s="2">
        <v>185</v>
      </c>
      <c r="S3470" s="2">
        <v>97.327299999999994</v>
      </c>
      <c r="T3470" s="2">
        <v>88</v>
      </c>
      <c r="U3470" s="2">
        <v>0.63305</v>
      </c>
      <c r="V3470" s="2">
        <v>112</v>
      </c>
      <c r="W3470" s="2">
        <v>2012</v>
      </c>
    </row>
    <row r="3471" spans="1:23" ht="12.3" hidden="1" x14ac:dyDescent="0.4">
      <c r="A3471" s="2" t="s">
        <v>38</v>
      </c>
      <c r="B3471" s="2"/>
      <c r="C3471" s="2"/>
      <c r="D3471" s="2"/>
      <c r="E3471" s="2"/>
      <c r="F3471" s="2"/>
      <c r="G3471" s="2"/>
      <c r="H3471" s="2"/>
      <c r="I3471" s="2">
        <v>67.464600000000004</v>
      </c>
      <c r="J3471" s="2">
        <v>110</v>
      </c>
      <c r="K3471" s="2">
        <v>67.326999999999998</v>
      </c>
      <c r="L3471" s="2">
        <v>108</v>
      </c>
      <c r="M3471" s="2">
        <v>101.8948</v>
      </c>
      <c r="N3471" s="2">
        <v>155</v>
      </c>
      <c r="O3471" s="2">
        <v>102.5181</v>
      </c>
      <c r="P3471" s="2">
        <v>136</v>
      </c>
      <c r="Q3471" s="2">
        <v>101.6795</v>
      </c>
      <c r="R3471" s="2">
        <v>189</v>
      </c>
      <c r="S3471" s="2">
        <v>97.848799999999997</v>
      </c>
      <c r="T3471" s="2">
        <v>102</v>
      </c>
      <c r="U3471" s="2">
        <v>0.63090000000000002</v>
      </c>
      <c r="V3471" s="2">
        <v>113</v>
      </c>
      <c r="W3471" s="2">
        <v>2012</v>
      </c>
    </row>
    <row r="3472" spans="1:23" ht="12.3" hidden="1" x14ac:dyDescent="0.4">
      <c r="A3472" s="2" t="s">
        <v>53</v>
      </c>
      <c r="B3472" s="2"/>
      <c r="C3472" s="2"/>
      <c r="D3472" s="2"/>
      <c r="E3472" s="2"/>
      <c r="F3472" s="2"/>
      <c r="G3472" s="2"/>
      <c r="H3472" s="2"/>
      <c r="I3472" s="2">
        <v>67.314700000000002</v>
      </c>
      <c r="J3472" s="2">
        <v>115</v>
      </c>
      <c r="K3472" s="2">
        <v>67.998699999999999</v>
      </c>
      <c r="L3472" s="2">
        <v>82</v>
      </c>
      <c r="M3472" s="2">
        <v>104.17659999999999</v>
      </c>
      <c r="N3472" s="2">
        <v>109</v>
      </c>
      <c r="O3472" s="2">
        <v>103.9823</v>
      </c>
      <c r="P3472" s="2">
        <v>112</v>
      </c>
      <c r="Q3472" s="2">
        <v>97.707599999999999</v>
      </c>
      <c r="R3472" s="2">
        <v>93</v>
      </c>
      <c r="S3472" s="2">
        <v>99.2607</v>
      </c>
      <c r="T3472" s="2">
        <v>132</v>
      </c>
      <c r="U3472" s="2">
        <v>0.63051199999999996</v>
      </c>
      <c r="V3472" s="2">
        <v>114</v>
      </c>
      <c r="W3472" s="2">
        <v>2012</v>
      </c>
    </row>
    <row r="3473" spans="1:23" ht="12.3" hidden="1" x14ac:dyDescent="0.4">
      <c r="A3473" s="2" t="s">
        <v>100</v>
      </c>
      <c r="B3473" s="2"/>
      <c r="C3473" s="2"/>
      <c r="D3473" s="2"/>
      <c r="E3473" s="2"/>
      <c r="F3473" s="2"/>
      <c r="G3473" s="2"/>
      <c r="H3473" s="2"/>
      <c r="I3473" s="2">
        <v>64.747200000000007</v>
      </c>
      <c r="J3473" s="2">
        <v>241</v>
      </c>
      <c r="K3473" s="2">
        <v>64.043199999999999</v>
      </c>
      <c r="L3473" s="2">
        <v>269</v>
      </c>
      <c r="M3473" s="2">
        <v>106.0523</v>
      </c>
      <c r="N3473" s="2">
        <v>76</v>
      </c>
      <c r="O3473" s="2">
        <v>106.4418</v>
      </c>
      <c r="P3473" s="2">
        <v>77</v>
      </c>
      <c r="Q3473" s="2">
        <v>103.2081</v>
      </c>
      <c r="R3473" s="2">
        <v>220</v>
      </c>
      <c r="S3473" s="2">
        <v>101.6373</v>
      </c>
      <c r="T3473" s="2">
        <v>177</v>
      </c>
      <c r="U3473" s="2">
        <v>0.62975099999999995</v>
      </c>
      <c r="V3473" s="2">
        <v>115</v>
      </c>
      <c r="W3473" s="2">
        <v>2012</v>
      </c>
    </row>
    <row r="3474" spans="1:23" ht="12.3" hidden="1" x14ac:dyDescent="0.4">
      <c r="A3474" s="2" t="s">
        <v>248</v>
      </c>
      <c r="B3474" s="2"/>
      <c r="C3474" s="2"/>
      <c r="D3474" s="2"/>
      <c r="E3474" s="2"/>
      <c r="F3474" s="2"/>
      <c r="G3474" s="2"/>
      <c r="H3474" s="2"/>
      <c r="I3474" s="2">
        <v>62.881100000000004</v>
      </c>
      <c r="J3474" s="2">
        <v>307</v>
      </c>
      <c r="K3474" s="2">
        <v>62.400700000000001</v>
      </c>
      <c r="L3474" s="2">
        <v>317</v>
      </c>
      <c r="M3474" s="2">
        <v>95.977400000000003</v>
      </c>
      <c r="N3474" s="2">
        <v>269</v>
      </c>
      <c r="O3474" s="2">
        <v>99.687600000000003</v>
      </c>
      <c r="P3474" s="2">
        <v>200</v>
      </c>
      <c r="Q3474" s="2">
        <v>97.517200000000003</v>
      </c>
      <c r="R3474" s="2">
        <v>89</v>
      </c>
      <c r="S3474" s="2">
        <v>95.373999999999995</v>
      </c>
      <c r="T3474" s="2">
        <v>58</v>
      </c>
      <c r="U3474" s="2">
        <v>0.62450399999999995</v>
      </c>
      <c r="V3474" s="2">
        <v>116</v>
      </c>
      <c r="W3474" s="2">
        <v>2012</v>
      </c>
    </row>
    <row r="3475" spans="1:23" ht="12.3" hidden="1" x14ac:dyDescent="0.4">
      <c r="A3475" s="2" t="s">
        <v>18</v>
      </c>
      <c r="B3475" s="2"/>
      <c r="C3475" s="2"/>
      <c r="D3475" s="2"/>
      <c r="E3475" s="2"/>
      <c r="F3475" s="2"/>
      <c r="G3475" s="2"/>
      <c r="H3475" s="2"/>
      <c r="I3475" s="2">
        <v>64.4251</v>
      </c>
      <c r="J3475" s="2">
        <v>259</v>
      </c>
      <c r="K3475" s="2">
        <v>65.162800000000004</v>
      </c>
      <c r="L3475" s="2">
        <v>213</v>
      </c>
      <c r="M3475" s="2">
        <v>96.006500000000003</v>
      </c>
      <c r="N3475" s="2">
        <v>268</v>
      </c>
      <c r="O3475" s="2">
        <v>97.370099999999994</v>
      </c>
      <c r="P3475" s="2">
        <v>242</v>
      </c>
      <c r="Q3475" s="2">
        <v>93.750399999999999</v>
      </c>
      <c r="R3475" s="2">
        <v>36</v>
      </c>
      <c r="S3475" s="2">
        <v>93.306899999999999</v>
      </c>
      <c r="T3475" s="2">
        <v>25</v>
      </c>
      <c r="U3475" s="2">
        <v>0.62015100000000001</v>
      </c>
      <c r="V3475" s="2">
        <v>117</v>
      </c>
      <c r="W3475" s="2">
        <v>2012</v>
      </c>
    </row>
    <row r="3476" spans="1:23" ht="12.3" hidden="1" x14ac:dyDescent="0.4">
      <c r="A3476" s="2" t="s">
        <v>123</v>
      </c>
      <c r="B3476" s="2"/>
      <c r="C3476" s="2"/>
      <c r="D3476" s="2"/>
      <c r="E3476" s="2"/>
      <c r="F3476" s="2"/>
      <c r="G3476" s="2"/>
      <c r="H3476" s="2"/>
      <c r="I3476" s="2">
        <v>65.958200000000005</v>
      </c>
      <c r="J3476" s="2">
        <v>184</v>
      </c>
      <c r="K3476" s="2">
        <v>66.224999999999994</v>
      </c>
      <c r="L3476" s="2">
        <v>155</v>
      </c>
      <c r="M3476" s="2">
        <v>98.056600000000003</v>
      </c>
      <c r="N3476" s="2">
        <v>230</v>
      </c>
      <c r="O3476" s="2">
        <v>100.0395</v>
      </c>
      <c r="P3476" s="2">
        <v>190</v>
      </c>
      <c r="Q3476" s="2">
        <v>98.6387</v>
      </c>
      <c r="R3476" s="2">
        <v>118</v>
      </c>
      <c r="S3476" s="2">
        <v>96.032300000000006</v>
      </c>
      <c r="T3476" s="2">
        <v>66</v>
      </c>
      <c r="U3476" s="2">
        <v>0.61541400000000002</v>
      </c>
      <c r="V3476" s="2">
        <v>118</v>
      </c>
      <c r="W3476" s="2">
        <v>2012</v>
      </c>
    </row>
    <row r="3477" spans="1:23" ht="12.3" hidden="1" x14ac:dyDescent="0.4">
      <c r="A3477" s="2" t="s">
        <v>120</v>
      </c>
      <c r="B3477" s="2"/>
      <c r="C3477" s="2"/>
      <c r="D3477" s="2"/>
      <c r="E3477" s="2"/>
      <c r="F3477" s="2"/>
      <c r="G3477" s="2"/>
      <c r="H3477" s="2"/>
      <c r="I3477" s="2">
        <v>65.816500000000005</v>
      </c>
      <c r="J3477" s="2">
        <v>194</v>
      </c>
      <c r="K3477" s="2">
        <v>66.344700000000003</v>
      </c>
      <c r="L3477" s="2">
        <v>148</v>
      </c>
      <c r="M3477" s="2">
        <v>104.0656</v>
      </c>
      <c r="N3477" s="2">
        <v>111</v>
      </c>
      <c r="O3477" s="2">
        <v>109.5812</v>
      </c>
      <c r="P3477" s="2">
        <v>36</v>
      </c>
      <c r="Q3477" s="2">
        <v>105.1909</v>
      </c>
      <c r="R3477" s="2">
        <v>267</v>
      </c>
      <c r="S3477" s="2">
        <v>105.24339999999999</v>
      </c>
      <c r="T3477" s="2">
        <v>261</v>
      </c>
      <c r="U3477" s="2">
        <v>0.61407800000000001</v>
      </c>
      <c r="V3477" s="2">
        <v>119</v>
      </c>
      <c r="W3477" s="2">
        <v>2012</v>
      </c>
    </row>
    <row r="3478" spans="1:23" ht="12.3" hidden="1" x14ac:dyDescent="0.4">
      <c r="A3478" s="2" t="s">
        <v>89</v>
      </c>
      <c r="B3478" s="2"/>
      <c r="C3478" s="2"/>
      <c r="D3478" s="2"/>
      <c r="E3478" s="2"/>
      <c r="F3478" s="2"/>
      <c r="G3478" s="2"/>
      <c r="H3478" s="2"/>
      <c r="I3478" s="2">
        <v>64.698599999999999</v>
      </c>
      <c r="J3478" s="2">
        <v>242</v>
      </c>
      <c r="K3478" s="2">
        <v>64.735100000000003</v>
      </c>
      <c r="L3478" s="2">
        <v>245</v>
      </c>
      <c r="M3478" s="2">
        <v>101.12479999999999</v>
      </c>
      <c r="N3478" s="2">
        <v>170</v>
      </c>
      <c r="O3478" s="2">
        <v>101.6872</v>
      </c>
      <c r="P3478" s="2">
        <v>153</v>
      </c>
      <c r="Q3478" s="2">
        <v>97.983000000000004</v>
      </c>
      <c r="R3478" s="2">
        <v>99</v>
      </c>
      <c r="S3478" s="2">
        <v>97.694000000000003</v>
      </c>
      <c r="T3478" s="2">
        <v>97</v>
      </c>
      <c r="U3478" s="2">
        <v>0.613182</v>
      </c>
      <c r="V3478" s="2">
        <v>120</v>
      </c>
      <c r="W3478" s="2">
        <v>2012</v>
      </c>
    </row>
    <row r="3479" spans="1:23" ht="12.3" x14ac:dyDescent="0.4">
      <c r="A3479" s="2" t="s">
        <v>126</v>
      </c>
      <c r="B3479" s="2">
        <v>12</v>
      </c>
      <c r="C3479" s="4" t="s">
        <v>33</v>
      </c>
      <c r="D3479" s="2"/>
      <c r="E3479" s="2"/>
      <c r="F3479" s="2"/>
      <c r="G3479" s="2"/>
      <c r="H3479" s="2"/>
      <c r="I3479" s="2">
        <v>64.537999999999997</v>
      </c>
      <c r="J3479" s="2">
        <v>269</v>
      </c>
      <c r="K3479" s="2">
        <v>65.751499999999993</v>
      </c>
      <c r="L3479" s="2">
        <v>235</v>
      </c>
      <c r="M3479" s="2">
        <v>106.2727</v>
      </c>
      <c r="N3479" s="2">
        <v>72</v>
      </c>
      <c r="O3479" s="2">
        <v>106.3002</v>
      </c>
      <c r="P3479" s="2">
        <v>77</v>
      </c>
      <c r="Q3479" s="2">
        <v>98.217600000000004</v>
      </c>
      <c r="R3479" s="2">
        <v>98</v>
      </c>
      <c r="S3479" s="2">
        <v>98.311800000000005</v>
      </c>
      <c r="T3479" s="2">
        <v>96</v>
      </c>
      <c r="U3479" s="2">
        <v>0.71062400000000003</v>
      </c>
      <c r="V3479" s="2">
        <v>80</v>
      </c>
      <c r="W3479" s="2">
        <v>2004</v>
      </c>
    </row>
    <row r="3480" spans="1:23" ht="12.3" x14ac:dyDescent="0.4">
      <c r="A3480" s="2" t="s">
        <v>216</v>
      </c>
      <c r="B3480" s="2">
        <v>14</v>
      </c>
      <c r="C3480" s="2"/>
      <c r="D3480" s="2"/>
      <c r="E3480" s="2"/>
      <c r="F3480" s="2"/>
      <c r="G3480" s="2"/>
      <c r="H3480" s="2"/>
      <c r="I3480" s="2">
        <v>65.566900000000004</v>
      </c>
      <c r="J3480" s="2">
        <v>243</v>
      </c>
      <c r="K3480" s="2">
        <v>66.534499999999994</v>
      </c>
      <c r="L3480" s="2">
        <v>204</v>
      </c>
      <c r="M3480" s="2">
        <v>104.0239</v>
      </c>
      <c r="N3480" s="2">
        <v>97</v>
      </c>
      <c r="O3480" s="2">
        <v>105.02800000000001</v>
      </c>
      <c r="P3480" s="2">
        <v>90</v>
      </c>
      <c r="Q3480" s="2">
        <v>98.105699999999999</v>
      </c>
      <c r="R3480" s="2">
        <v>96</v>
      </c>
      <c r="S3480" s="2">
        <v>97.493700000000004</v>
      </c>
      <c r="T3480" s="2">
        <v>80</v>
      </c>
      <c r="U3480" s="2">
        <v>0.70183399999999996</v>
      </c>
      <c r="V3480" s="2">
        <v>82</v>
      </c>
      <c r="W3480" s="2">
        <v>2004</v>
      </c>
    </row>
    <row r="3481" spans="1:23" ht="12.3" hidden="1" x14ac:dyDescent="0.4">
      <c r="A3481" s="2" t="s">
        <v>128</v>
      </c>
      <c r="B3481" s="2"/>
      <c r="C3481" s="2"/>
      <c r="D3481" s="2"/>
      <c r="E3481" s="2"/>
      <c r="F3481" s="2"/>
      <c r="G3481" s="2"/>
      <c r="H3481" s="2"/>
      <c r="I3481" s="2">
        <v>61.975000000000001</v>
      </c>
      <c r="J3481" s="2">
        <v>323</v>
      </c>
      <c r="K3481" s="2">
        <v>62.355699999999999</v>
      </c>
      <c r="L3481" s="2">
        <v>318</v>
      </c>
      <c r="M3481" s="2">
        <v>97.004099999999994</v>
      </c>
      <c r="N3481" s="2">
        <v>248</v>
      </c>
      <c r="O3481" s="2">
        <v>99.605099999999993</v>
      </c>
      <c r="P3481" s="2">
        <v>203</v>
      </c>
      <c r="Q3481" s="2">
        <v>98.914500000000004</v>
      </c>
      <c r="R3481" s="2">
        <v>124</v>
      </c>
      <c r="S3481" s="2">
        <v>95.887900000000002</v>
      </c>
      <c r="T3481" s="2">
        <v>65</v>
      </c>
      <c r="U3481" s="2">
        <v>0.60763699999999998</v>
      </c>
      <c r="V3481" s="2">
        <v>123</v>
      </c>
      <c r="W3481" s="2">
        <v>2012</v>
      </c>
    </row>
    <row r="3482" spans="1:23" ht="12.3" hidden="1" x14ac:dyDescent="0.4">
      <c r="A3482" s="2" t="s">
        <v>250</v>
      </c>
      <c r="B3482" s="2"/>
      <c r="C3482" s="2"/>
      <c r="D3482" s="2"/>
      <c r="E3482" s="2"/>
      <c r="F3482" s="2"/>
      <c r="G3482" s="2"/>
      <c r="H3482" s="2"/>
      <c r="I3482" s="2">
        <v>68.935100000000006</v>
      </c>
      <c r="J3482" s="2">
        <v>51</v>
      </c>
      <c r="K3482" s="2">
        <v>68.200400000000002</v>
      </c>
      <c r="L3482" s="2">
        <v>74</v>
      </c>
      <c r="M3482" s="2">
        <v>102.9195</v>
      </c>
      <c r="N3482" s="2">
        <v>130</v>
      </c>
      <c r="O3482" s="2">
        <v>105.1078</v>
      </c>
      <c r="P3482" s="2">
        <v>94</v>
      </c>
      <c r="Q3482" s="2">
        <v>104.32640000000001</v>
      </c>
      <c r="R3482" s="2">
        <v>247</v>
      </c>
      <c r="S3482" s="2">
        <v>101.1952</v>
      </c>
      <c r="T3482" s="2">
        <v>167</v>
      </c>
      <c r="U3482" s="2">
        <v>0.60736599999999996</v>
      </c>
      <c r="V3482" s="2">
        <v>124</v>
      </c>
      <c r="W3482" s="2">
        <v>2012</v>
      </c>
    </row>
    <row r="3483" spans="1:23" ht="12.3" hidden="1" x14ac:dyDescent="0.4">
      <c r="A3483" s="2" t="s">
        <v>270</v>
      </c>
      <c r="B3483" s="2"/>
      <c r="C3483" s="2"/>
      <c r="D3483" s="2"/>
      <c r="E3483" s="2"/>
      <c r="F3483" s="2"/>
      <c r="G3483" s="2"/>
      <c r="H3483" s="2"/>
      <c r="I3483" s="2">
        <v>72.252200000000002</v>
      </c>
      <c r="J3483" s="2">
        <v>10</v>
      </c>
      <c r="K3483" s="2">
        <v>72.055899999999994</v>
      </c>
      <c r="L3483" s="2">
        <v>11</v>
      </c>
      <c r="M3483" s="2">
        <v>105.4842</v>
      </c>
      <c r="N3483" s="2">
        <v>88</v>
      </c>
      <c r="O3483" s="2">
        <v>103.75020000000001</v>
      </c>
      <c r="P3483" s="2">
        <v>117</v>
      </c>
      <c r="Q3483" s="2">
        <v>92.996099999999998</v>
      </c>
      <c r="R3483" s="2">
        <v>28</v>
      </c>
      <c r="S3483" s="2">
        <v>99.929599999999994</v>
      </c>
      <c r="T3483" s="2">
        <v>142</v>
      </c>
      <c r="U3483" s="2">
        <v>0.60622500000000001</v>
      </c>
      <c r="V3483" s="2">
        <v>125</v>
      </c>
      <c r="W3483" s="2">
        <v>2012</v>
      </c>
    </row>
    <row r="3484" spans="1:23" ht="12.3" hidden="1" x14ac:dyDescent="0.4">
      <c r="A3484" s="2" t="s">
        <v>170</v>
      </c>
      <c r="B3484" s="2"/>
      <c r="C3484" s="2"/>
      <c r="D3484" s="2"/>
      <c r="E3484" s="2"/>
      <c r="F3484" s="2"/>
      <c r="G3484" s="2"/>
      <c r="H3484" s="2"/>
      <c r="I3484" s="2">
        <v>66.904399999999995</v>
      </c>
      <c r="J3484" s="2">
        <v>136</v>
      </c>
      <c r="K3484" s="2">
        <v>66.182299999999998</v>
      </c>
      <c r="L3484" s="2">
        <v>158</v>
      </c>
      <c r="M3484" s="2">
        <v>111.97929999999999</v>
      </c>
      <c r="N3484" s="2">
        <v>17</v>
      </c>
      <c r="O3484" s="2">
        <v>108.1561</v>
      </c>
      <c r="P3484" s="2">
        <v>53</v>
      </c>
      <c r="Q3484" s="2">
        <v>103.2319</v>
      </c>
      <c r="R3484" s="2">
        <v>222</v>
      </c>
      <c r="S3484" s="2">
        <v>104.22499999999999</v>
      </c>
      <c r="T3484" s="2">
        <v>241</v>
      </c>
      <c r="U3484" s="2">
        <v>0.60486200000000001</v>
      </c>
      <c r="V3484" s="2">
        <v>126</v>
      </c>
      <c r="W3484" s="2">
        <v>2012</v>
      </c>
    </row>
    <row r="3485" spans="1:23" ht="12.3" hidden="1" x14ac:dyDescent="0.4">
      <c r="A3485" s="2" t="s">
        <v>77</v>
      </c>
      <c r="B3485" s="2"/>
      <c r="C3485" s="2"/>
      <c r="D3485" s="2"/>
      <c r="E3485" s="2"/>
      <c r="F3485" s="2"/>
      <c r="G3485" s="2"/>
      <c r="H3485" s="2"/>
      <c r="I3485" s="2">
        <v>63.326500000000003</v>
      </c>
      <c r="J3485" s="2">
        <v>291</v>
      </c>
      <c r="K3485" s="2">
        <v>62.777200000000001</v>
      </c>
      <c r="L3485" s="2">
        <v>304</v>
      </c>
      <c r="M3485" s="2">
        <v>101.7034</v>
      </c>
      <c r="N3485" s="2">
        <v>163</v>
      </c>
      <c r="O3485" s="2">
        <v>102.49250000000001</v>
      </c>
      <c r="P3485" s="2">
        <v>138</v>
      </c>
      <c r="Q3485" s="2">
        <v>99.553899999999999</v>
      </c>
      <c r="R3485" s="2">
        <v>140</v>
      </c>
      <c r="S3485" s="2">
        <v>98.852099999999993</v>
      </c>
      <c r="T3485" s="2">
        <v>123</v>
      </c>
      <c r="U3485" s="2">
        <v>0.60250199999999998</v>
      </c>
      <c r="V3485" s="2">
        <v>127</v>
      </c>
      <c r="W3485" s="2">
        <v>2012</v>
      </c>
    </row>
    <row r="3486" spans="1:23" ht="12.3" x14ac:dyDescent="0.4">
      <c r="A3486" s="2" t="s">
        <v>177</v>
      </c>
      <c r="B3486" s="2">
        <v>14</v>
      </c>
      <c r="C3486" s="2"/>
      <c r="D3486" s="2"/>
      <c r="E3486" s="2"/>
      <c r="F3486" s="2"/>
      <c r="G3486" s="2"/>
      <c r="H3486" s="2"/>
      <c r="I3486" s="2">
        <v>66.016900000000007</v>
      </c>
      <c r="J3486" s="2">
        <v>231</v>
      </c>
      <c r="K3486" s="2">
        <v>64.545299999999997</v>
      </c>
      <c r="L3486" s="2">
        <v>279</v>
      </c>
      <c r="M3486" s="2">
        <v>106.3861</v>
      </c>
      <c r="N3486" s="2">
        <v>70</v>
      </c>
      <c r="O3486" s="2">
        <v>102.6353</v>
      </c>
      <c r="P3486" s="2">
        <v>130</v>
      </c>
      <c r="Q3486" s="2">
        <v>94.286600000000007</v>
      </c>
      <c r="R3486" s="2">
        <v>35</v>
      </c>
      <c r="S3486" s="2">
        <v>96.471400000000003</v>
      </c>
      <c r="T3486" s="2">
        <v>65</v>
      </c>
      <c r="U3486" s="2">
        <v>0.67090099999999997</v>
      </c>
      <c r="V3486" s="2">
        <v>90</v>
      </c>
      <c r="W3486" s="2">
        <v>2004</v>
      </c>
    </row>
    <row r="3487" spans="1:23" ht="12.3" hidden="1" x14ac:dyDescent="0.4">
      <c r="A3487" s="2" t="s">
        <v>36</v>
      </c>
      <c r="B3487" s="2"/>
      <c r="C3487" s="2"/>
      <c r="D3487" s="2"/>
      <c r="E3487" s="2"/>
      <c r="F3487" s="2"/>
      <c r="G3487" s="2"/>
      <c r="H3487" s="2"/>
      <c r="I3487" s="2">
        <v>67.008099999999999</v>
      </c>
      <c r="J3487" s="2">
        <v>128</v>
      </c>
      <c r="K3487" s="2">
        <v>67.526600000000002</v>
      </c>
      <c r="L3487" s="2">
        <v>103</v>
      </c>
      <c r="M3487" s="2">
        <v>101.43819999999999</v>
      </c>
      <c r="N3487" s="2">
        <v>166</v>
      </c>
      <c r="O3487" s="2">
        <v>104.87269999999999</v>
      </c>
      <c r="P3487" s="2">
        <v>99</v>
      </c>
      <c r="Q3487" s="2">
        <v>104.3267</v>
      </c>
      <c r="R3487" s="2">
        <v>248</v>
      </c>
      <c r="S3487" s="2">
        <v>101.22750000000001</v>
      </c>
      <c r="T3487" s="2">
        <v>170</v>
      </c>
      <c r="U3487" s="2">
        <v>0.60032799999999997</v>
      </c>
      <c r="V3487" s="2">
        <v>129</v>
      </c>
      <c r="W3487" s="2">
        <v>2012</v>
      </c>
    </row>
    <row r="3488" spans="1:23" ht="12.3" hidden="1" x14ac:dyDescent="0.4">
      <c r="A3488" s="2" t="s">
        <v>267</v>
      </c>
      <c r="B3488" s="2"/>
      <c r="C3488" s="2"/>
      <c r="D3488" s="2"/>
      <c r="E3488" s="2"/>
      <c r="F3488" s="2"/>
      <c r="G3488" s="2"/>
      <c r="H3488" s="2"/>
      <c r="I3488" s="2">
        <v>64.632499999999993</v>
      </c>
      <c r="J3488" s="2">
        <v>245</v>
      </c>
      <c r="K3488" s="2">
        <v>65.0702</v>
      </c>
      <c r="L3488" s="2">
        <v>218</v>
      </c>
      <c r="M3488" s="2">
        <v>98.107399999999998</v>
      </c>
      <c r="N3488" s="2">
        <v>228</v>
      </c>
      <c r="O3488" s="2">
        <v>100.20740000000001</v>
      </c>
      <c r="P3488" s="2">
        <v>187</v>
      </c>
      <c r="Q3488" s="2">
        <v>99.079800000000006</v>
      </c>
      <c r="R3488" s="2">
        <v>129</v>
      </c>
      <c r="S3488" s="2">
        <v>96.887699999999995</v>
      </c>
      <c r="T3488" s="2">
        <v>80</v>
      </c>
      <c r="U3488" s="2">
        <v>0.59566300000000005</v>
      </c>
      <c r="V3488" s="2">
        <v>130</v>
      </c>
      <c r="W3488" s="2">
        <v>2012</v>
      </c>
    </row>
    <row r="3489" spans="1:23" ht="12.3" hidden="1" x14ac:dyDescent="0.4">
      <c r="A3489" s="2" t="s">
        <v>139</v>
      </c>
      <c r="B3489" s="2"/>
      <c r="C3489" s="2"/>
      <c r="D3489" s="2"/>
      <c r="E3489" s="2"/>
      <c r="F3489" s="2"/>
      <c r="G3489" s="2"/>
      <c r="H3489" s="2"/>
      <c r="I3489" s="2">
        <v>68.508300000000006</v>
      </c>
      <c r="J3489" s="2">
        <v>64</v>
      </c>
      <c r="K3489" s="2">
        <v>68.417699999999996</v>
      </c>
      <c r="L3489" s="2">
        <v>67</v>
      </c>
      <c r="M3489" s="2">
        <v>102.7651</v>
      </c>
      <c r="N3489" s="2">
        <v>137</v>
      </c>
      <c r="O3489" s="2">
        <v>100.614</v>
      </c>
      <c r="P3489" s="2">
        <v>173</v>
      </c>
      <c r="Q3489" s="2">
        <v>93.91</v>
      </c>
      <c r="R3489" s="2">
        <v>39</v>
      </c>
      <c r="S3489" s="2">
        <v>97.575000000000003</v>
      </c>
      <c r="T3489" s="2">
        <v>95</v>
      </c>
      <c r="U3489" s="2">
        <v>0.58727499999999999</v>
      </c>
      <c r="V3489" s="2">
        <v>131</v>
      </c>
      <c r="W3489" s="2">
        <v>2012</v>
      </c>
    </row>
    <row r="3490" spans="1:23" ht="12.3" hidden="1" x14ac:dyDescent="0.4">
      <c r="A3490" s="2" t="s">
        <v>206</v>
      </c>
      <c r="B3490" s="2"/>
      <c r="C3490" s="2"/>
      <c r="D3490" s="2"/>
      <c r="E3490" s="2"/>
      <c r="F3490" s="2"/>
      <c r="G3490" s="2"/>
      <c r="H3490" s="2"/>
      <c r="I3490" s="2">
        <v>66.093599999999995</v>
      </c>
      <c r="J3490" s="2">
        <v>179</v>
      </c>
      <c r="K3490" s="2">
        <v>65.690200000000004</v>
      </c>
      <c r="L3490" s="2">
        <v>189</v>
      </c>
      <c r="M3490" s="2">
        <v>100.61660000000001</v>
      </c>
      <c r="N3490" s="2">
        <v>175</v>
      </c>
      <c r="O3490" s="2">
        <v>103.4196</v>
      </c>
      <c r="P3490" s="2">
        <v>122</v>
      </c>
      <c r="Q3490" s="2">
        <v>100.5013</v>
      </c>
      <c r="R3490" s="2">
        <v>164</v>
      </c>
      <c r="S3490" s="2">
        <v>100.3322</v>
      </c>
      <c r="T3490" s="2">
        <v>152</v>
      </c>
      <c r="U3490" s="2">
        <v>0.58626500000000004</v>
      </c>
      <c r="V3490" s="2">
        <v>132</v>
      </c>
      <c r="W3490" s="2">
        <v>2012</v>
      </c>
    </row>
    <row r="3491" spans="1:23" ht="12.3" hidden="1" x14ac:dyDescent="0.4">
      <c r="A3491" s="2" t="s">
        <v>74</v>
      </c>
      <c r="B3491" s="2"/>
      <c r="C3491" s="2"/>
      <c r="D3491" s="2"/>
      <c r="E3491" s="2"/>
      <c r="F3491" s="2"/>
      <c r="G3491" s="2"/>
      <c r="H3491" s="2"/>
      <c r="I3491" s="2">
        <v>65.095699999999994</v>
      </c>
      <c r="J3491" s="2">
        <v>224</v>
      </c>
      <c r="K3491" s="2">
        <v>64.788399999999996</v>
      </c>
      <c r="L3491" s="2">
        <v>240</v>
      </c>
      <c r="M3491" s="2">
        <v>103.4645</v>
      </c>
      <c r="N3491" s="2">
        <v>118</v>
      </c>
      <c r="O3491" s="2">
        <v>103.3663</v>
      </c>
      <c r="P3491" s="2">
        <v>124</v>
      </c>
      <c r="Q3491" s="2">
        <v>101.30719999999999</v>
      </c>
      <c r="R3491" s="2">
        <v>182</v>
      </c>
      <c r="S3491" s="2">
        <v>100.3036</v>
      </c>
      <c r="T3491" s="2">
        <v>151</v>
      </c>
      <c r="U3491" s="2">
        <v>0.585619</v>
      </c>
      <c r="V3491" s="2">
        <v>133</v>
      </c>
      <c r="W3491" s="2">
        <v>2012</v>
      </c>
    </row>
    <row r="3492" spans="1:23" ht="12.3" hidden="1" x14ac:dyDescent="0.4">
      <c r="A3492" s="2" t="s">
        <v>291</v>
      </c>
      <c r="B3492" s="2"/>
      <c r="C3492" s="2"/>
      <c r="D3492" s="2"/>
      <c r="E3492" s="2"/>
      <c r="F3492" s="2"/>
      <c r="G3492" s="2"/>
      <c r="H3492" s="2"/>
      <c r="I3492" s="2">
        <v>66.646000000000001</v>
      </c>
      <c r="J3492" s="2">
        <v>149</v>
      </c>
      <c r="K3492" s="2">
        <v>66.031199999999998</v>
      </c>
      <c r="L3492" s="2">
        <v>167</v>
      </c>
      <c r="M3492" s="2">
        <v>100.9601</v>
      </c>
      <c r="N3492" s="2">
        <v>172</v>
      </c>
      <c r="O3492" s="2">
        <v>100.6687</v>
      </c>
      <c r="P3492" s="2">
        <v>172</v>
      </c>
      <c r="Q3492" s="2">
        <v>99.586799999999997</v>
      </c>
      <c r="R3492" s="2">
        <v>142</v>
      </c>
      <c r="S3492" s="2">
        <v>97.985399999999998</v>
      </c>
      <c r="T3492" s="2">
        <v>105</v>
      </c>
      <c r="U3492" s="2">
        <v>0.57705099999999998</v>
      </c>
      <c r="V3492" s="2">
        <v>134</v>
      </c>
      <c r="W3492" s="2">
        <v>2012</v>
      </c>
    </row>
    <row r="3493" spans="1:23" ht="12.3" hidden="1" x14ac:dyDescent="0.4">
      <c r="A3493" s="2" t="s">
        <v>230</v>
      </c>
      <c r="B3493" s="2"/>
      <c r="C3493" s="2"/>
      <c r="D3493" s="2"/>
      <c r="E3493" s="2"/>
      <c r="F3493" s="2"/>
      <c r="G3493" s="2"/>
      <c r="H3493" s="2"/>
      <c r="I3493" s="2">
        <v>63.695700000000002</v>
      </c>
      <c r="J3493" s="2">
        <v>278</v>
      </c>
      <c r="K3493" s="2">
        <v>64.446299999999994</v>
      </c>
      <c r="L3493" s="2">
        <v>251</v>
      </c>
      <c r="M3493" s="2">
        <v>97.17</v>
      </c>
      <c r="N3493" s="2">
        <v>247</v>
      </c>
      <c r="O3493" s="2">
        <v>100.461</v>
      </c>
      <c r="P3493" s="2">
        <v>179</v>
      </c>
      <c r="Q3493" s="2">
        <v>103.20659999999999</v>
      </c>
      <c r="R3493" s="2">
        <v>219</v>
      </c>
      <c r="S3493" s="2">
        <v>97.855000000000004</v>
      </c>
      <c r="T3493" s="2">
        <v>104</v>
      </c>
      <c r="U3493" s="2">
        <v>0.57499299999999998</v>
      </c>
      <c r="V3493" s="2">
        <v>135</v>
      </c>
      <c r="W3493" s="2">
        <v>2012</v>
      </c>
    </row>
    <row r="3494" spans="1:23" ht="12.3" hidden="1" x14ac:dyDescent="0.4">
      <c r="A3494" s="2" t="s">
        <v>80</v>
      </c>
      <c r="B3494" s="2"/>
      <c r="C3494" s="2"/>
      <c r="D3494" s="2"/>
      <c r="E3494" s="2"/>
      <c r="F3494" s="2"/>
      <c r="G3494" s="2"/>
      <c r="H3494" s="2"/>
      <c r="I3494" s="2">
        <v>70.224599999999995</v>
      </c>
      <c r="J3494" s="2">
        <v>30</v>
      </c>
      <c r="K3494" s="2">
        <v>70.379199999999997</v>
      </c>
      <c r="L3494" s="2">
        <v>24</v>
      </c>
      <c r="M3494" s="2">
        <v>102.11369999999999</v>
      </c>
      <c r="N3494" s="2">
        <v>150</v>
      </c>
      <c r="O3494" s="2">
        <v>104.92789999999999</v>
      </c>
      <c r="P3494" s="2">
        <v>98</v>
      </c>
      <c r="Q3494" s="2">
        <v>100.0209</v>
      </c>
      <c r="R3494" s="2">
        <v>150</v>
      </c>
      <c r="S3494" s="2">
        <v>102.21550000000001</v>
      </c>
      <c r="T3494" s="2">
        <v>192</v>
      </c>
      <c r="U3494" s="2">
        <v>0.57473399999999997</v>
      </c>
      <c r="V3494" s="2">
        <v>136</v>
      </c>
      <c r="W3494" s="2">
        <v>2012</v>
      </c>
    </row>
    <row r="3495" spans="1:23" ht="12.3" hidden="1" x14ac:dyDescent="0.4">
      <c r="A3495" s="2" t="s">
        <v>173</v>
      </c>
      <c r="B3495" s="2"/>
      <c r="C3495" s="2"/>
      <c r="D3495" s="2"/>
      <c r="E3495" s="2"/>
      <c r="F3495" s="2"/>
      <c r="G3495" s="2"/>
      <c r="H3495" s="2"/>
      <c r="I3495" s="2">
        <v>69.735299999999995</v>
      </c>
      <c r="J3495" s="2">
        <v>37</v>
      </c>
      <c r="K3495" s="2">
        <v>69.376800000000003</v>
      </c>
      <c r="L3495" s="2">
        <v>37</v>
      </c>
      <c r="M3495" s="2">
        <v>107.24590000000001</v>
      </c>
      <c r="N3495" s="2">
        <v>59</v>
      </c>
      <c r="O3495" s="2">
        <v>106.4824</v>
      </c>
      <c r="P3495" s="2">
        <v>75</v>
      </c>
      <c r="Q3495" s="2">
        <v>103.6323</v>
      </c>
      <c r="R3495" s="2">
        <v>230</v>
      </c>
      <c r="S3495" s="2">
        <v>103.77119999999999</v>
      </c>
      <c r="T3495" s="2">
        <v>227</v>
      </c>
      <c r="U3495" s="2">
        <v>0.57360900000000004</v>
      </c>
      <c r="V3495" s="2">
        <v>137</v>
      </c>
      <c r="W3495" s="2">
        <v>2012</v>
      </c>
    </row>
    <row r="3496" spans="1:23" ht="12.3" hidden="1" x14ac:dyDescent="0.4">
      <c r="A3496" s="2" t="s">
        <v>307</v>
      </c>
      <c r="B3496" s="2"/>
      <c r="C3496" s="2"/>
      <c r="D3496" s="2"/>
      <c r="E3496" s="2"/>
      <c r="F3496" s="2"/>
      <c r="G3496" s="2"/>
      <c r="H3496" s="2"/>
      <c r="I3496" s="2">
        <v>65.004599999999996</v>
      </c>
      <c r="J3496" s="2">
        <v>230</v>
      </c>
      <c r="K3496" s="2">
        <v>63.919199999999996</v>
      </c>
      <c r="L3496" s="2">
        <v>276</v>
      </c>
      <c r="M3496" s="2">
        <v>105.376</v>
      </c>
      <c r="N3496" s="2">
        <v>91</v>
      </c>
      <c r="O3496" s="2">
        <v>104.2745</v>
      </c>
      <c r="P3496" s="2">
        <v>108</v>
      </c>
      <c r="Q3496" s="2">
        <v>97.889799999999994</v>
      </c>
      <c r="R3496" s="2">
        <v>97</v>
      </c>
      <c r="S3496" s="2">
        <v>101.6614</v>
      </c>
      <c r="T3496" s="2">
        <v>180</v>
      </c>
      <c r="U3496" s="2">
        <v>0.57245199999999996</v>
      </c>
      <c r="V3496" s="2">
        <v>138</v>
      </c>
      <c r="W3496" s="2">
        <v>2012</v>
      </c>
    </row>
    <row r="3497" spans="1:23" ht="12.3" hidden="1" x14ac:dyDescent="0.4">
      <c r="A3497" s="2" t="s">
        <v>205</v>
      </c>
      <c r="B3497" s="2"/>
      <c r="C3497" s="2"/>
      <c r="D3497" s="2"/>
      <c r="E3497" s="2"/>
      <c r="F3497" s="2"/>
      <c r="G3497" s="2"/>
      <c r="H3497" s="2"/>
      <c r="I3497" s="2">
        <v>66.549300000000002</v>
      </c>
      <c r="J3497" s="2">
        <v>153</v>
      </c>
      <c r="K3497" s="2">
        <v>66.493399999999994</v>
      </c>
      <c r="L3497" s="2">
        <v>143</v>
      </c>
      <c r="M3497" s="2">
        <v>97.9923</v>
      </c>
      <c r="N3497" s="2">
        <v>233</v>
      </c>
      <c r="O3497" s="2">
        <v>98.652699999999996</v>
      </c>
      <c r="P3497" s="2">
        <v>224</v>
      </c>
      <c r="Q3497" s="2">
        <v>99.255499999999998</v>
      </c>
      <c r="R3497" s="2">
        <v>134</v>
      </c>
      <c r="S3497" s="2">
        <v>96.192400000000006</v>
      </c>
      <c r="T3497" s="2">
        <v>68</v>
      </c>
      <c r="U3497" s="2">
        <v>0.572102</v>
      </c>
      <c r="V3497" s="2">
        <v>139</v>
      </c>
      <c r="W3497" s="2">
        <v>2012</v>
      </c>
    </row>
    <row r="3498" spans="1:23" ht="12.3" hidden="1" x14ac:dyDescent="0.4">
      <c r="A3498" s="2" t="s">
        <v>367</v>
      </c>
      <c r="B3498" s="2"/>
      <c r="C3498" s="2"/>
      <c r="D3498" s="2"/>
      <c r="E3498" s="2"/>
      <c r="F3498" s="2"/>
      <c r="G3498" s="2"/>
      <c r="H3498" s="2"/>
      <c r="I3498" s="2">
        <v>68.607500000000002</v>
      </c>
      <c r="J3498" s="2">
        <v>59</v>
      </c>
      <c r="K3498" s="2">
        <v>67.763999999999996</v>
      </c>
      <c r="L3498" s="2">
        <v>91</v>
      </c>
      <c r="M3498" s="2">
        <v>102.96720000000001</v>
      </c>
      <c r="N3498" s="2">
        <v>129</v>
      </c>
      <c r="O3498" s="2">
        <v>101.49120000000001</v>
      </c>
      <c r="P3498" s="2">
        <v>159</v>
      </c>
      <c r="Q3498" s="2">
        <v>100.437</v>
      </c>
      <c r="R3498" s="2">
        <v>161</v>
      </c>
      <c r="S3498" s="2">
        <v>99.167599999999993</v>
      </c>
      <c r="T3498" s="2">
        <v>129</v>
      </c>
      <c r="U3498" s="2">
        <v>0.56619699999999995</v>
      </c>
      <c r="V3498" s="2">
        <v>140</v>
      </c>
      <c r="W3498" s="2">
        <v>2012</v>
      </c>
    </row>
    <row r="3499" spans="1:23" ht="12.3" hidden="1" x14ac:dyDescent="0.4">
      <c r="A3499" s="2" t="s">
        <v>239</v>
      </c>
      <c r="B3499" s="2"/>
      <c r="C3499" s="2"/>
      <c r="D3499" s="2"/>
      <c r="E3499" s="2"/>
      <c r="F3499" s="2"/>
      <c r="G3499" s="2"/>
      <c r="H3499" s="2"/>
      <c r="I3499" s="2">
        <v>64.908900000000003</v>
      </c>
      <c r="J3499" s="2">
        <v>234</v>
      </c>
      <c r="K3499" s="2">
        <v>64.080200000000005</v>
      </c>
      <c r="L3499" s="2">
        <v>266</v>
      </c>
      <c r="M3499" s="2">
        <v>104.6999</v>
      </c>
      <c r="N3499" s="2">
        <v>101</v>
      </c>
      <c r="O3499" s="2">
        <v>105.2054</v>
      </c>
      <c r="P3499" s="2">
        <v>93</v>
      </c>
      <c r="Q3499" s="2">
        <v>102.858</v>
      </c>
      <c r="R3499" s="2">
        <v>215</v>
      </c>
      <c r="S3499" s="2">
        <v>102.8028</v>
      </c>
      <c r="T3499" s="2">
        <v>204</v>
      </c>
      <c r="U3499" s="2">
        <v>0.56602799999999998</v>
      </c>
      <c r="V3499" s="2">
        <v>141</v>
      </c>
      <c r="W3499" s="2">
        <v>2012</v>
      </c>
    </row>
    <row r="3500" spans="1:23" ht="12.3" hidden="1" x14ac:dyDescent="0.4">
      <c r="A3500" s="2" t="s">
        <v>98</v>
      </c>
      <c r="B3500" s="2"/>
      <c r="C3500" s="2"/>
      <c r="D3500" s="2"/>
      <c r="E3500" s="2"/>
      <c r="F3500" s="2"/>
      <c r="G3500" s="2"/>
      <c r="H3500" s="2"/>
      <c r="I3500" s="2">
        <v>62.721299999999999</v>
      </c>
      <c r="J3500" s="2">
        <v>313</v>
      </c>
      <c r="K3500" s="2">
        <v>61.717500000000001</v>
      </c>
      <c r="L3500" s="2">
        <v>324</v>
      </c>
      <c r="M3500" s="2">
        <v>106.7377</v>
      </c>
      <c r="N3500" s="2">
        <v>65</v>
      </c>
      <c r="O3500" s="2">
        <v>105.36109999999999</v>
      </c>
      <c r="P3500" s="2">
        <v>91</v>
      </c>
      <c r="Q3500" s="2">
        <v>102.56189999999999</v>
      </c>
      <c r="R3500" s="2">
        <v>206</v>
      </c>
      <c r="S3500" s="2">
        <v>102.9623</v>
      </c>
      <c r="T3500" s="2">
        <v>207</v>
      </c>
      <c r="U3500" s="2">
        <v>0.56582900000000003</v>
      </c>
      <c r="V3500" s="2">
        <v>142</v>
      </c>
      <c r="W3500" s="2">
        <v>2012</v>
      </c>
    </row>
    <row r="3501" spans="1:23" ht="12.3" hidden="1" x14ac:dyDescent="0.4">
      <c r="A3501" s="2" t="s">
        <v>274</v>
      </c>
      <c r="B3501" s="2"/>
      <c r="C3501" s="2"/>
      <c r="D3501" s="2"/>
      <c r="E3501" s="2"/>
      <c r="F3501" s="2"/>
      <c r="G3501" s="2"/>
      <c r="H3501" s="2"/>
      <c r="I3501" s="2">
        <v>67.801100000000005</v>
      </c>
      <c r="J3501" s="2">
        <v>92</v>
      </c>
      <c r="K3501" s="2">
        <v>66.077799999999996</v>
      </c>
      <c r="L3501" s="2">
        <v>166</v>
      </c>
      <c r="M3501" s="2">
        <v>104.605</v>
      </c>
      <c r="N3501" s="2">
        <v>104</v>
      </c>
      <c r="O3501" s="2">
        <v>102.6279</v>
      </c>
      <c r="P3501" s="2">
        <v>134</v>
      </c>
      <c r="Q3501" s="2">
        <v>97.822800000000001</v>
      </c>
      <c r="R3501" s="2">
        <v>95</v>
      </c>
      <c r="S3501" s="2">
        <v>100.56019999999999</v>
      </c>
      <c r="T3501" s="2">
        <v>155</v>
      </c>
      <c r="U3501" s="2">
        <v>0.558249</v>
      </c>
      <c r="V3501" s="2">
        <v>143</v>
      </c>
      <c r="W3501" s="2">
        <v>2012</v>
      </c>
    </row>
    <row r="3502" spans="1:23" ht="12.3" hidden="1" x14ac:dyDescent="0.4">
      <c r="A3502" s="2" t="s">
        <v>282</v>
      </c>
      <c r="B3502" s="2"/>
      <c r="C3502" s="2"/>
      <c r="D3502" s="2"/>
      <c r="E3502" s="2"/>
      <c r="F3502" s="2"/>
      <c r="G3502" s="2"/>
      <c r="H3502" s="2"/>
      <c r="I3502" s="2">
        <v>60.540500000000002</v>
      </c>
      <c r="J3502" s="2">
        <v>339</v>
      </c>
      <c r="K3502" s="2">
        <v>59.716000000000001</v>
      </c>
      <c r="L3502" s="2">
        <v>343</v>
      </c>
      <c r="M3502" s="2">
        <v>97.192400000000006</v>
      </c>
      <c r="N3502" s="2">
        <v>246</v>
      </c>
      <c r="O3502" s="2">
        <v>95.624799999999993</v>
      </c>
      <c r="P3502" s="2">
        <v>281</v>
      </c>
      <c r="Q3502" s="2">
        <v>89.919700000000006</v>
      </c>
      <c r="R3502" s="2">
        <v>8</v>
      </c>
      <c r="S3502" s="2">
        <v>93.807500000000005</v>
      </c>
      <c r="T3502" s="2">
        <v>32</v>
      </c>
      <c r="U3502" s="2">
        <v>0.55493899999999996</v>
      </c>
      <c r="V3502" s="2">
        <v>144</v>
      </c>
      <c r="W3502" s="2">
        <v>2012</v>
      </c>
    </row>
    <row r="3503" spans="1:23" ht="12.3" hidden="1" x14ac:dyDescent="0.4">
      <c r="A3503" s="2" t="s">
        <v>219</v>
      </c>
      <c r="B3503" s="2"/>
      <c r="C3503" s="2"/>
      <c r="D3503" s="2"/>
      <c r="E3503" s="2"/>
      <c r="F3503" s="2"/>
      <c r="G3503" s="2"/>
      <c r="H3503" s="2"/>
      <c r="I3503" s="2">
        <v>62.272399999999998</v>
      </c>
      <c r="J3503" s="2">
        <v>319</v>
      </c>
      <c r="K3503" s="2">
        <v>62.573900000000002</v>
      </c>
      <c r="L3503" s="2">
        <v>313</v>
      </c>
      <c r="M3503" s="2">
        <v>98.9649</v>
      </c>
      <c r="N3503" s="2">
        <v>206</v>
      </c>
      <c r="O3503" s="2">
        <v>99.054199999999994</v>
      </c>
      <c r="P3503" s="2">
        <v>211</v>
      </c>
      <c r="Q3503" s="2">
        <v>98.950199999999995</v>
      </c>
      <c r="R3503" s="2">
        <v>126</v>
      </c>
      <c r="S3503" s="2">
        <v>97.224299999999999</v>
      </c>
      <c r="T3503" s="2">
        <v>87</v>
      </c>
      <c r="U3503" s="2">
        <v>0.55340199999999995</v>
      </c>
      <c r="V3503" s="2">
        <v>145</v>
      </c>
      <c r="W3503" s="2">
        <v>2012</v>
      </c>
    </row>
    <row r="3504" spans="1:23" ht="12.3" hidden="1" x14ac:dyDescent="0.4">
      <c r="A3504" s="2" t="s">
        <v>336</v>
      </c>
      <c r="B3504" s="2"/>
      <c r="C3504" s="2"/>
      <c r="D3504" s="2"/>
      <c r="E3504" s="2"/>
      <c r="F3504" s="2"/>
      <c r="G3504" s="2"/>
      <c r="H3504" s="2"/>
      <c r="I3504" s="2">
        <v>62.0244</v>
      </c>
      <c r="J3504" s="2">
        <v>322</v>
      </c>
      <c r="K3504" s="2">
        <v>61.892499999999998</v>
      </c>
      <c r="L3504" s="2">
        <v>322</v>
      </c>
      <c r="M3504" s="2">
        <v>105.8081</v>
      </c>
      <c r="N3504" s="2">
        <v>81</v>
      </c>
      <c r="O3504" s="2">
        <v>101.3998</v>
      </c>
      <c r="P3504" s="2">
        <v>162</v>
      </c>
      <c r="Q3504" s="2">
        <v>95.856700000000004</v>
      </c>
      <c r="R3504" s="2">
        <v>61</v>
      </c>
      <c r="S3504" s="2">
        <v>99.669399999999996</v>
      </c>
      <c r="T3504" s="2">
        <v>136</v>
      </c>
      <c r="U3504" s="2">
        <v>0.54932499999999995</v>
      </c>
      <c r="V3504" s="2">
        <v>146</v>
      </c>
      <c r="W3504" s="2">
        <v>2012</v>
      </c>
    </row>
    <row r="3505" spans="1:23" ht="12.3" hidden="1" x14ac:dyDescent="0.4">
      <c r="A3505" s="2" t="s">
        <v>231</v>
      </c>
      <c r="B3505" s="2"/>
      <c r="C3505" s="2"/>
      <c r="D3505" s="2"/>
      <c r="E3505" s="2"/>
      <c r="F3505" s="2"/>
      <c r="G3505" s="2"/>
      <c r="H3505" s="2"/>
      <c r="I3505" s="2">
        <v>67.922899999999998</v>
      </c>
      <c r="J3505" s="2">
        <v>85</v>
      </c>
      <c r="K3505" s="2">
        <v>68.473399999999998</v>
      </c>
      <c r="L3505" s="2">
        <v>61</v>
      </c>
      <c r="M3505" s="2">
        <v>98.54</v>
      </c>
      <c r="N3505" s="2">
        <v>216</v>
      </c>
      <c r="O3505" s="2">
        <v>99.5137</v>
      </c>
      <c r="P3505" s="2">
        <v>204</v>
      </c>
      <c r="Q3505" s="2">
        <v>98.341300000000004</v>
      </c>
      <c r="R3505" s="2">
        <v>108</v>
      </c>
      <c r="S3505" s="2">
        <v>97.847999999999999</v>
      </c>
      <c r="T3505" s="2">
        <v>101</v>
      </c>
      <c r="U3505" s="2">
        <v>0.54837999999999998</v>
      </c>
      <c r="V3505" s="2">
        <v>147</v>
      </c>
      <c r="W3505" s="2">
        <v>2012</v>
      </c>
    </row>
    <row r="3506" spans="1:23" ht="12.3" hidden="1" x14ac:dyDescent="0.4">
      <c r="A3506" s="2" t="s">
        <v>160</v>
      </c>
      <c r="B3506" s="2"/>
      <c r="C3506" s="2"/>
      <c r="D3506" s="2"/>
      <c r="E3506" s="2"/>
      <c r="F3506" s="2"/>
      <c r="G3506" s="2"/>
      <c r="H3506" s="2"/>
      <c r="I3506" s="2">
        <v>66.533299999999997</v>
      </c>
      <c r="J3506" s="2">
        <v>154</v>
      </c>
      <c r="K3506" s="2">
        <v>66.993399999999994</v>
      </c>
      <c r="L3506" s="2">
        <v>123</v>
      </c>
      <c r="M3506" s="2">
        <v>99.681399999999996</v>
      </c>
      <c r="N3506" s="2">
        <v>194</v>
      </c>
      <c r="O3506" s="2">
        <v>99.483999999999995</v>
      </c>
      <c r="P3506" s="2">
        <v>205</v>
      </c>
      <c r="Q3506" s="2">
        <v>97.308899999999994</v>
      </c>
      <c r="R3506" s="2">
        <v>85</v>
      </c>
      <c r="S3506" s="2">
        <v>97.85</v>
      </c>
      <c r="T3506" s="2">
        <v>103</v>
      </c>
      <c r="U3506" s="2">
        <v>0.54747100000000004</v>
      </c>
      <c r="V3506" s="2">
        <v>148</v>
      </c>
      <c r="W3506" s="2">
        <v>2012</v>
      </c>
    </row>
    <row r="3507" spans="1:23" ht="12.3" hidden="1" x14ac:dyDescent="0.4">
      <c r="A3507" s="2" t="s">
        <v>108</v>
      </c>
      <c r="B3507" s="2"/>
      <c r="C3507" s="2"/>
      <c r="D3507" s="2"/>
      <c r="E3507" s="2"/>
      <c r="F3507" s="2"/>
      <c r="G3507" s="2"/>
      <c r="H3507" s="2"/>
      <c r="I3507" s="2">
        <v>66.440799999999996</v>
      </c>
      <c r="J3507" s="2">
        <v>157</v>
      </c>
      <c r="K3507" s="2">
        <v>64.810299999999998</v>
      </c>
      <c r="L3507" s="2">
        <v>239</v>
      </c>
      <c r="M3507" s="2">
        <v>101.2671</v>
      </c>
      <c r="N3507" s="2">
        <v>168</v>
      </c>
      <c r="O3507" s="2">
        <v>99.637</v>
      </c>
      <c r="P3507" s="2">
        <v>201</v>
      </c>
      <c r="Q3507" s="2">
        <v>99.190799999999996</v>
      </c>
      <c r="R3507" s="2">
        <v>132</v>
      </c>
      <c r="S3507" s="2">
        <v>98.130200000000002</v>
      </c>
      <c r="T3507" s="2">
        <v>108</v>
      </c>
      <c r="U3507" s="2">
        <v>0.54369999999999996</v>
      </c>
      <c r="V3507" s="2">
        <v>149</v>
      </c>
      <c r="W3507" s="2">
        <v>2012</v>
      </c>
    </row>
    <row r="3508" spans="1:23" ht="12.3" hidden="1" x14ac:dyDescent="0.4">
      <c r="A3508" s="2" t="s">
        <v>113</v>
      </c>
      <c r="B3508" s="2"/>
      <c r="C3508" s="2"/>
      <c r="D3508" s="2"/>
      <c r="E3508" s="2"/>
      <c r="F3508" s="2"/>
      <c r="G3508" s="2"/>
      <c r="H3508" s="2"/>
      <c r="I3508" s="2">
        <v>65.058499999999995</v>
      </c>
      <c r="J3508" s="2">
        <v>227</v>
      </c>
      <c r="K3508" s="2">
        <v>65.102000000000004</v>
      </c>
      <c r="L3508" s="2">
        <v>217</v>
      </c>
      <c r="M3508" s="2">
        <v>94.849199999999996</v>
      </c>
      <c r="N3508" s="2">
        <v>283</v>
      </c>
      <c r="O3508" s="2">
        <v>97.2898</v>
      </c>
      <c r="P3508" s="2">
        <v>244</v>
      </c>
      <c r="Q3508" s="2">
        <v>97.289900000000003</v>
      </c>
      <c r="R3508" s="2">
        <v>84</v>
      </c>
      <c r="S3508" s="2">
        <v>95.849699999999999</v>
      </c>
      <c r="T3508" s="2">
        <v>64</v>
      </c>
      <c r="U3508" s="2">
        <v>0.54277200000000003</v>
      </c>
      <c r="V3508" s="2">
        <v>150</v>
      </c>
      <c r="W3508" s="2">
        <v>2012</v>
      </c>
    </row>
    <row r="3509" spans="1:23" ht="12.3" hidden="1" x14ac:dyDescent="0.4">
      <c r="A3509" s="2" t="s">
        <v>142</v>
      </c>
      <c r="B3509" s="2"/>
      <c r="C3509" s="2"/>
      <c r="D3509" s="2"/>
      <c r="E3509" s="2"/>
      <c r="F3509" s="2"/>
      <c r="G3509" s="2"/>
      <c r="H3509" s="2"/>
      <c r="I3509" s="2">
        <v>67.617900000000006</v>
      </c>
      <c r="J3509" s="2">
        <v>101</v>
      </c>
      <c r="K3509" s="2">
        <v>68.4529</v>
      </c>
      <c r="L3509" s="2">
        <v>65</v>
      </c>
      <c r="M3509" s="2">
        <v>101.7821</v>
      </c>
      <c r="N3509" s="2">
        <v>158</v>
      </c>
      <c r="O3509" s="2">
        <v>105.6234</v>
      </c>
      <c r="P3509" s="2">
        <v>85</v>
      </c>
      <c r="Q3509" s="2">
        <v>104.1217</v>
      </c>
      <c r="R3509" s="2">
        <v>240</v>
      </c>
      <c r="S3509" s="2">
        <v>104.0823</v>
      </c>
      <c r="T3509" s="2">
        <v>237</v>
      </c>
      <c r="U3509" s="2">
        <v>0.542157</v>
      </c>
      <c r="V3509" s="2">
        <v>151</v>
      </c>
      <c r="W3509" s="2">
        <v>2012</v>
      </c>
    </row>
    <row r="3510" spans="1:23" ht="12.3" hidden="1" x14ac:dyDescent="0.4">
      <c r="A3510" s="2" t="s">
        <v>207</v>
      </c>
      <c r="B3510" s="2"/>
      <c r="C3510" s="2"/>
      <c r="D3510" s="2"/>
      <c r="E3510" s="2"/>
      <c r="F3510" s="2"/>
      <c r="G3510" s="2"/>
      <c r="H3510" s="2"/>
      <c r="I3510" s="2">
        <v>71.849299999999999</v>
      </c>
      <c r="J3510" s="2">
        <v>14</v>
      </c>
      <c r="K3510" s="2">
        <v>72.379800000000003</v>
      </c>
      <c r="L3510" s="2">
        <v>8</v>
      </c>
      <c r="M3510" s="2">
        <v>102.81100000000001</v>
      </c>
      <c r="N3510" s="2">
        <v>134</v>
      </c>
      <c r="O3510" s="2">
        <v>106.84910000000001</v>
      </c>
      <c r="P3510" s="2">
        <v>70</v>
      </c>
      <c r="Q3510" s="2">
        <v>106.1696</v>
      </c>
      <c r="R3510" s="2">
        <v>282</v>
      </c>
      <c r="S3510" s="2">
        <v>105.36279999999999</v>
      </c>
      <c r="T3510" s="2">
        <v>263</v>
      </c>
      <c r="U3510" s="2">
        <v>0.54018699999999997</v>
      </c>
      <c r="V3510" s="2">
        <v>152</v>
      </c>
      <c r="W3510" s="2">
        <v>2012</v>
      </c>
    </row>
    <row r="3511" spans="1:23" ht="12.3" hidden="1" x14ac:dyDescent="0.4">
      <c r="A3511" s="2" t="s">
        <v>122</v>
      </c>
      <c r="B3511" s="2"/>
      <c r="C3511" s="2"/>
      <c r="D3511" s="2"/>
      <c r="E3511" s="2"/>
      <c r="F3511" s="2"/>
      <c r="G3511" s="2"/>
      <c r="H3511" s="2"/>
      <c r="I3511" s="2">
        <v>64.847899999999996</v>
      </c>
      <c r="J3511" s="2">
        <v>237</v>
      </c>
      <c r="K3511" s="2">
        <v>65.888599999999997</v>
      </c>
      <c r="L3511" s="2">
        <v>181</v>
      </c>
      <c r="M3511" s="2">
        <v>97.910799999999995</v>
      </c>
      <c r="N3511" s="2">
        <v>235</v>
      </c>
      <c r="O3511" s="2">
        <v>98.946200000000005</v>
      </c>
      <c r="P3511" s="2">
        <v>213</v>
      </c>
      <c r="Q3511" s="2">
        <v>94.891000000000005</v>
      </c>
      <c r="R3511" s="2">
        <v>50</v>
      </c>
      <c r="S3511" s="2">
        <v>97.8262</v>
      </c>
      <c r="T3511" s="2">
        <v>99</v>
      </c>
      <c r="U3511" s="2">
        <v>0.53268199999999999</v>
      </c>
      <c r="V3511" s="2">
        <v>153</v>
      </c>
      <c r="W3511" s="2">
        <v>2012</v>
      </c>
    </row>
    <row r="3512" spans="1:23" ht="12.3" hidden="1" x14ac:dyDescent="0.4">
      <c r="A3512" s="2" t="s">
        <v>268</v>
      </c>
      <c r="B3512" s="2"/>
      <c r="C3512" s="2"/>
      <c r="D3512" s="2"/>
      <c r="E3512" s="2"/>
      <c r="F3512" s="2"/>
      <c r="G3512" s="2"/>
      <c r="H3512" s="2"/>
      <c r="I3512" s="2">
        <v>65.833699999999993</v>
      </c>
      <c r="J3512" s="2">
        <v>191</v>
      </c>
      <c r="K3512" s="2">
        <v>66.106300000000005</v>
      </c>
      <c r="L3512" s="2">
        <v>162</v>
      </c>
      <c r="M3512" s="2">
        <v>100.0027</v>
      </c>
      <c r="N3512" s="2">
        <v>187</v>
      </c>
      <c r="O3512" s="2">
        <v>99.707599999999999</v>
      </c>
      <c r="P3512" s="2">
        <v>199</v>
      </c>
      <c r="Q3512" s="2">
        <v>100.04179999999999</v>
      </c>
      <c r="R3512" s="2">
        <v>152</v>
      </c>
      <c r="S3512" s="2">
        <v>98.646199999999993</v>
      </c>
      <c r="T3512" s="2">
        <v>119</v>
      </c>
      <c r="U3512" s="2">
        <v>0.53073000000000004</v>
      </c>
      <c r="V3512" s="2">
        <v>154</v>
      </c>
      <c r="W3512" s="2">
        <v>2012</v>
      </c>
    </row>
    <row r="3513" spans="1:23" ht="12.3" hidden="1" x14ac:dyDescent="0.4">
      <c r="A3513" s="2" t="s">
        <v>304</v>
      </c>
      <c r="B3513" s="2"/>
      <c r="C3513" s="2"/>
      <c r="D3513" s="2"/>
      <c r="E3513" s="2"/>
      <c r="F3513" s="2"/>
      <c r="G3513" s="2"/>
      <c r="H3513" s="2"/>
      <c r="I3513" s="2">
        <v>64.180099999999996</v>
      </c>
      <c r="J3513" s="2">
        <v>272</v>
      </c>
      <c r="K3513" s="2">
        <v>63.235799999999998</v>
      </c>
      <c r="L3513" s="2">
        <v>295</v>
      </c>
      <c r="M3513" s="2">
        <v>106.1835</v>
      </c>
      <c r="N3513" s="2">
        <v>74</v>
      </c>
      <c r="O3513" s="2">
        <v>103.98180000000001</v>
      </c>
      <c r="P3513" s="2">
        <v>113</v>
      </c>
      <c r="Q3513" s="2">
        <v>103.55459999999999</v>
      </c>
      <c r="R3513" s="2">
        <v>229</v>
      </c>
      <c r="S3513" s="2">
        <v>102.94929999999999</v>
      </c>
      <c r="T3513" s="2">
        <v>206</v>
      </c>
      <c r="U3513" s="2">
        <v>0.52865899999999999</v>
      </c>
      <c r="V3513" s="2">
        <v>155</v>
      </c>
      <c r="W3513" s="2">
        <v>2012</v>
      </c>
    </row>
    <row r="3514" spans="1:23" ht="12.3" hidden="1" x14ac:dyDescent="0.4">
      <c r="A3514" s="2" t="s">
        <v>63</v>
      </c>
      <c r="B3514" s="2"/>
      <c r="C3514" s="2"/>
      <c r="D3514" s="2"/>
      <c r="E3514" s="2"/>
      <c r="F3514" s="2"/>
      <c r="G3514" s="2"/>
      <c r="H3514" s="2"/>
      <c r="I3514" s="2">
        <v>68.833299999999994</v>
      </c>
      <c r="J3514" s="2">
        <v>56</v>
      </c>
      <c r="K3514" s="2">
        <v>68.418700000000001</v>
      </c>
      <c r="L3514" s="2">
        <v>66</v>
      </c>
      <c r="M3514" s="2">
        <v>96.690299999999993</v>
      </c>
      <c r="N3514" s="2">
        <v>255</v>
      </c>
      <c r="O3514" s="2">
        <v>98.229600000000005</v>
      </c>
      <c r="P3514" s="2">
        <v>230</v>
      </c>
      <c r="Q3514" s="2">
        <v>99.5745</v>
      </c>
      <c r="R3514" s="2">
        <v>141</v>
      </c>
      <c r="S3514" s="2">
        <v>97.3797</v>
      </c>
      <c r="T3514" s="2">
        <v>89</v>
      </c>
      <c r="U3514" s="2">
        <v>0.52496100000000001</v>
      </c>
      <c r="V3514" s="2">
        <v>156</v>
      </c>
      <c r="W3514" s="2">
        <v>2012</v>
      </c>
    </row>
    <row r="3515" spans="1:23" ht="12.3" hidden="1" x14ac:dyDescent="0.4">
      <c r="A3515" s="2" t="s">
        <v>174</v>
      </c>
      <c r="B3515" s="2"/>
      <c r="C3515" s="2"/>
      <c r="D3515" s="2"/>
      <c r="E3515" s="2"/>
      <c r="F3515" s="2"/>
      <c r="G3515" s="2"/>
      <c r="H3515" s="2"/>
      <c r="I3515" s="2">
        <v>67.263800000000003</v>
      </c>
      <c r="J3515" s="2">
        <v>119</v>
      </c>
      <c r="K3515" s="2">
        <v>68.150499999999994</v>
      </c>
      <c r="L3515" s="2">
        <v>78</v>
      </c>
      <c r="M3515" s="2">
        <v>101.0964</v>
      </c>
      <c r="N3515" s="2">
        <v>171</v>
      </c>
      <c r="O3515" s="2">
        <v>102.9097</v>
      </c>
      <c r="P3515" s="2">
        <v>133</v>
      </c>
      <c r="Q3515" s="2">
        <v>99.350999999999999</v>
      </c>
      <c r="R3515" s="2">
        <v>135</v>
      </c>
      <c r="S3515" s="2">
        <v>102.1527</v>
      </c>
      <c r="T3515" s="2">
        <v>191</v>
      </c>
      <c r="U3515" s="2">
        <v>0.52121399999999996</v>
      </c>
      <c r="V3515" s="2">
        <v>157</v>
      </c>
      <c r="W3515" s="2">
        <v>2012</v>
      </c>
    </row>
    <row r="3516" spans="1:23" ht="12.3" hidden="1" x14ac:dyDescent="0.4">
      <c r="A3516" s="2" t="s">
        <v>136</v>
      </c>
      <c r="B3516" s="2"/>
      <c r="C3516" s="2"/>
      <c r="D3516" s="2"/>
      <c r="E3516" s="2"/>
      <c r="F3516" s="2"/>
      <c r="G3516" s="2"/>
      <c r="H3516" s="2"/>
      <c r="I3516" s="2">
        <v>62.161200000000001</v>
      </c>
      <c r="J3516" s="2">
        <v>320</v>
      </c>
      <c r="K3516" s="2">
        <v>62.636400000000002</v>
      </c>
      <c r="L3516" s="2">
        <v>309</v>
      </c>
      <c r="M3516" s="2">
        <v>96.947199999999995</v>
      </c>
      <c r="N3516" s="2">
        <v>250</v>
      </c>
      <c r="O3516" s="2">
        <v>101.3644</v>
      </c>
      <c r="P3516" s="2">
        <v>163</v>
      </c>
      <c r="Q3516" s="2">
        <v>105.1485</v>
      </c>
      <c r="R3516" s="2">
        <v>266</v>
      </c>
      <c r="S3516" s="2">
        <v>100.69459999999999</v>
      </c>
      <c r="T3516" s="2">
        <v>156</v>
      </c>
      <c r="U3516" s="2">
        <v>0.51905199999999996</v>
      </c>
      <c r="V3516" s="2">
        <v>158</v>
      </c>
      <c r="W3516" s="2">
        <v>2012</v>
      </c>
    </row>
    <row r="3517" spans="1:23" ht="12.3" hidden="1" x14ac:dyDescent="0.4">
      <c r="A3517" s="2" t="s">
        <v>165</v>
      </c>
      <c r="B3517" s="2"/>
      <c r="C3517" s="2"/>
      <c r="D3517" s="2"/>
      <c r="E3517" s="2"/>
      <c r="F3517" s="2"/>
      <c r="G3517" s="2"/>
      <c r="H3517" s="2"/>
      <c r="I3517" s="2">
        <v>70.424999999999997</v>
      </c>
      <c r="J3517" s="2">
        <v>28</v>
      </c>
      <c r="K3517" s="2">
        <v>70.653999999999996</v>
      </c>
      <c r="L3517" s="2">
        <v>21</v>
      </c>
      <c r="M3517" s="2">
        <v>112.0528</v>
      </c>
      <c r="N3517" s="2">
        <v>16</v>
      </c>
      <c r="O3517" s="2">
        <v>112.2641</v>
      </c>
      <c r="P3517" s="2">
        <v>22</v>
      </c>
      <c r="Q3517" s="2">
        <v>111.3899</v>
      </c>
      <c r="R3517" s="2">
        <v>332</v>
      </c>
      <c r="S3517" s="2">
        <v>111.5976</v>
      </c>
      <c r="T3517" s="2">
        <v>330</v>
      </c>
      <c r="U3517" s="2">
        <v>0.51711399999999996</v>
      </c>
      <c r="V3517" s="2">
        <v>159</v>
      </c>
      <c r="W3517" s="2">
        <v>2012</v>
      </c>
    </row>
    <row r="3518" spans="1:23" ht="12.3" hidden="1" x14ac:dyDescent="0.4">
      <c r="A3518" s="2" t="s">
        <v>317</v>
      </c>
      <c r="B3518" s="2"/>
      <c r="C3518" s="2"/>
      <c r="D3518" s="2"/>
      <c r="E3518" s="2"/>
      <c r="F3518" s="2"/>
      <c r="G3518" s="2"/>
      <c r="H3518" s="2"/>
      <c r="I3518" s="2">
        <v>64.683400000000006</v>
      </c>
      <c r="J3518" s="2">
        <v>243</v>
      </c>
      <c r="K3518" s="2">
        <v>65.407499999999999</v>
      </c>
      <c r="L3518" s="2">
        <v>204</v>
      </c>
      <c r="M3518" s="2">
        <v>103.42570000000001</v>
      </c>
      <c r="N3518" s="2">
        <v>120</v>
      </c>
      <c r="O3518" s="2">
        <v>104.7424</v>
      </c>
      <c r="P3518" s="2">
        <v>101</v>
      </c>
      <c r="Q3518" s="2">
        <v>103.22709999999999</v>
      </c>
      <c r="R3518" s="2">
        <v>221</v>
      </c>
      <c r="S3518" s="2">
        <v>104.2966</v>
      </c>
      <c r="T3518" s="2">
        <v>245</v>
      </c>
      <c r="U3518" s="2">
        <v>0.51226000000000005</v>
      </c>
      <c r="V3518" s="2">
        <v>160</v>
      </c>
      <c r="W3518" s="2">
        <v>2012</v>
      </c>
    </row>
    <row r="3519" spans="1:23" ht="12.3" x14ac:dyDescent="0.4">
      <c r="A3519" s="2" t="s">
        <v>176</v>
      </c>
      <c r="B3519" s="2">
        <v>14</v>
      </c>
      <c r="C3519" s="2"/>
      <c r="D3519" s="2"/>
      <c r="E3519" s="2"/>
      <c r="F3519" s="2"/>
      <c r="G3519" s="2"/>
      <c r="H3519" s="2"/>
      <c r="I3519" s="2">
        <v>58.133899999999997</v>
      </c>
      <c r="J3519" s="2">
        <v>324</v>
      </c>
      <c r="K3519" s="2">
        <v>58.349699999999999</v>
      </c>
      <c r="L3519" s="2">
        <v>324</v>
      </c>
      <c r="M3519" s="2">
        <v>105.82299999999999</v>
      </c>
      <c r="N3519" s="2">
        <v>79</v>
      </c>
      <c r="O3519" s="2">
        <v>104.8519</v>
      </c>
      <c r="P3519" s="2">
        <v>96</v>
      </c>
      <c r="Q3519" s="2">
        <v>96.420599999999993</v>
      </c>
      <c r="R3519" s="2">
        <v>64</v>
      </c>
      <c r="S3519" s="2">
        <v>99.353700000000003</v>
      </c>
      <c r="T3519" s="2">
        <v>121</v>
      </c>
      <c r="U3519" s="2">
        <v>0.65008699999999997</v>
      </c>
      <c r="V3519" s="2">
        <v>97</v>
      </c>
      <c r="W3519" s="2">
        <v>2004</v>
      </c>
    </row>
    <row r="3520" spans="1:23" ht="12.3" hidden="1" x14ac:dyDescent="0.4">
      <c r="A3520" s="2" t="s">
        <v>102</v>
      </c>
      <c r="B3520" s="2"/>
      <c r="C3520" s="2"/>
      <c r="D3520" s="2"/>
      <c r="E3520" s="2"/>
      <c r="F3520" s="2"/>
      <c r="G3520" s="2"/>
      <c r="H3520" s="2"/>
      <c r="I3520" s="2">
        <v>67.267600000000002</v>
      </c>
      <c r="J3520" s="2">
        <v>118</v>
      </c>
      <c r="K3520" s="2">
        <v>67.401799999999994</v>
      </c>
      <c r="L3520" s="2">
        <v>106</v>
      </c>
      <c r="M3520" s="2">
        <v>98.530500000000004</v>
      </c>
      <c r="N3520" s="2">
        <v>217</v>
      </c>
      <c r="O3520" s="2">
        <v>101.50749999999999</v>
      </c>
      <c r="P3520" s="2">
        <v>157</v>
      </c>
      <c r="Q3520" s="2">
        <v>105.2127</v>
      </c>
      <c r="R3520" s="2">
        <v>268</v>
      </c>
      <c r="S3520" s="2">
        <v>101.1771</v>
      </c>
      <c r="T3520" s="2">
        <v>165</v>
      </c>
      <c r="U3520" s="2">
        <v>0.50937200000000005</v>
      </c>
      <c r="V3520" s="2">
        <v>162</v>
      </c>
      <c r="W3520" s="2">
        <v>2012</v>
      </c>
    </row>
    <row r="3521" spans="1:23" ht="12.3" hidden="1" x14ac:dyDescent="0.4">
      <c r="A3521" s="2" t="s">
        <v>226</v>
      </c>
      <c r="B3521" s="2"/>
      <c r="C3521" s="2"/>
      <c r="D3521" s="2"/>
      <c r="E3521" s="2"/>
      <c r="F3521" s="2"/>
      <c r="G3521" s="2"/>
      <c r="H3521" s="2"/>
      <c r="I3521" s="2">
        <v>62.839700000000001</v>
      </c>
      <c r="J3521" s="2">
        <v>311</v>
      </c>
      <c r="K3521" s="2">
        <v>62.585900000000002</v>
      </c>
      <c r="L3521" s="2">
        <v>311</v>
      </c>
      <c r="M3521" s="2">
        <v>102.25320000000001</v>
      </c>
      <c r="N3521" s="2">
        <v>146</v>
      </c>
      <c r="O3521" s="2">
        <v>99.445700000000002</v>
      </c>
      <c r="P3521" s="2">
        <v>207</v>
      </c>
      <c r="Q3521" s="2">
        <v>97.782799999999995</v>
      </c>
      <c r="R3521" s="2">
        <v>94</v>
      </c>
      <c r="S3521" s="2">
        <v>99.1464</v>
      </c>
      <c r="T3521" s="2">
        <v>128</v>
      </c>
      <c r="U3521" s="2">
        <v>0.50866400000000001</v>
      </c>
      <c r="V3521" s="2">
        <v>163</v>
      </c>
      <c r="W3521" s="2">
        <v>2012</v>
      </c>
    </row>
    <row r="3522" spans="1:23" ht="12.3" hidden="1" x14ac:dyDescent="0.4">
      <c r="A3522" s="2" t="s">
        <v>105</v>
      </c>
      <c r="B3522" s="2"/>
      <c r="C3522" s="2"/>
      <c r="D3522" s="2"/>
      <c r="E3522" s="2"/>
      <c r="F3522" s="2"/>
      <c r="G3522" s="2"/>
      <c r="H3522" s="2"/>
      <c r="I3522" s="2">
        <v>68.294799999999995</v>
      </c>
      <c r="J3522" s="2">
        <v>73</v>
      </c>
      <c r="K3522" s="2">
        <v>67.6828</v>
      </c>
      <c r="L3522" s="2">
        <v>95</v>
      </c>
      <c r="M3522" s="2">
        <v>101.85080000000001</v>
      </c>
      <c r="N3522" s="2">
        <v>157</v>
      </c>
      <c r="O3522" s="2">
        <v>100.4858</v>
      </c>
      <c r="P3522" s="2">
        <v>177</v>
      </c>
      <c r="Q3522" s="2">
        <v>98.202299999999994</v>
      </c>
      <c r="R3522" s="2">
        <v>105</v>
      </c>
      <c r="S3522" s="2">
        <v>100.2546</v>
      </c>
      <c r="T3522" s="2">
        <v>149</v>
      </c>
      <c r="U3522" s="2">
        <v>0.50662399999999996</v>
      </c>
      <c r="V3522" s="2">
        <v>164</v>
      </c>
      <c r="W3522" s="2">
        <v>2012</v>
      </c>
    </row>
    <row r="3523" spans="1:23" ht="12.3" hidden="1" x14ac:dyDescent="0.4">
      <c r="A3523" s="2" t="s">
        <v>184</v>
      </c>
      <c r="B3523" s="2"/>
      <c r="C3523" s="2"/>
      <c r="D3523" s="2"/>
      <c r="E3523" s="2"/>
      <c r="F3523" s="2"/>
      <c r="G3523" s="2"/>
      <c r="H3523" s="2"/>
      <c r="I3523" s="2">
        <v>68.384900000000002</v>
      </c>
      <c r="J3523" s="2">
        <v>69</v>
      </c>
      <c r="K3523" s="2">
        <v>68.856300000000005</v>
      </c>
      <c r="L3523" s="2">
        <v>50</v>
      </c>
      <c r="M3523" s="2">
        <v>98.899000000000001</v>
      </c>
      <c r="N3523" s="2">
        <v>208</v>
      </c>
      <c r="O3523" s="2">
        <v>98.794499999999999</v>
      </c>
      <c r="P3523" s="2">
        <v>219</v>
      </c>
      <c r="Q3523" s="2">
        <v>95.713700000000003</v>
      </c>
      <c r="R3523" s="2">
        <v>57</v>
      </c>
      <c r="S3523" s="2">
        <v>98.611599999999996</v>
      </c>
      <c r="T3523" s="2">
        <v>118</v>
      </c>
      <c r="U3523" s="2">
        <v>0.50532699999999997</v>
      </c>
      <c r="V3523" s="2">
        <v>165</v>
      </c>
      <c r="W3523" s="2">
        <v>2012</v>
      </c>
    </row>
    <row r="3524" spans="1:23" ht="12.3" hidden="1" x14ac:dyDescent="0.4">
      <c r="A3524" s="2" t="s">
        <v>212</v>
      </c>
      <c r="B3524" s="2"/>
      <c r="C3524" s="2"/>
      <c r="D3524" s="2"/>
      <c r="E3524" s="2"/>
      <c r="F3524" s="2"/>
      <c r="G3524" s="2"/>
      <c r="H3524" s="2"/>
      <c r="I3524" s="2">
        <v>64.918599999999998</v>
      </c>
      <c r="J3524" s="2">
        <v>233</v>
      </c>
      <c r="K3524" s="2">
        <v>65.319400000000002</v>
      </c>
      <c r="L3524" s="2">
        <v>208</v>
      </c>
      <c r="M3524" s="2">
        <v>103.0351</v>
      </c>
      <c r="N3524" s="2">
        <v>127</v>
      </c>
      <c r="O3524" s="2">
        <v>102.50749999999999</v>
      </c>
      <c r="P3524" s="2">
        <v>137</v>
      </c>
      <c r="Q3524" s="2">
        <v>103.25960000000001</v>
      </c>
      <c r="R3524" s="2">
        <v>223</v>
      </c>
      <c r="S3524" s="2">
        <v>102.5436</v>
      </c>
      <c r="T3524" s="2">
        <v>198</v>
      </c>
      <c r="U3524" s="2">
        <v>0.49898999999999999</v>
      </c>
      <c r="V3524" s="2">
        <v>166</v>
      </c>
      <c r="W3524" s="2">
        <v>2012</v>
      </c>
    </row>
    <row r="3525" spans="1:23" ht="12.3" hidden="1" x14ac:dyDescent="0.4">
      <c r="A3525" s="2" t="s">
        <v>311</v>
      </c>
      <c r="B3525" s="2"/>
      <c r="C3525" s="2"/>
      <c r="D3525" s="2"/>
      <c r="E3525" s="2"/>
      <c r="F3525" s="2"/>
      <c r="G3525" s="2"/>
      <c r="H3525" s="2"/>
      <c r="I3525" s="2">
        <v>69.042900000000003</v>
      </c>
      <c r="J3525" s="2">
        <v>45</v>
      </c>
      <c r="K3525" s="2">
        <v>68.932199999999995</v>
      </c>
      <c r="L3525" s="2">
        <v>47</v>
      </c>
      <c r="M3525" s="2">
        <v>110.6373</v>
      </c>
      <c r="N3525" s="2">
        <v>24</v>
      </c>
      <c r="O3525" s="2">
        <v>107.01860000000001</v>
      </c>
      <c r="P3525" s="2">
        <v>65</v>
      </c>
      <c r="Q3525" s="2">
        <v>103.5326</v>
      </c>
      <c r="R3525" s="2">
        <v>228</v>
      </c>
      <c r="S3525" s="2">
        <v>107.2041</v>
      </c>
      <c r="T3525" s="2">
        <v>284</v>
      </c>
      <c r="U3525" s="2">
        <v>0.49502099999999999</v>
      </c>
      <c r="V3525" s="2">
        <v>167</v>
      </c>
      <c r="W3525" s="2">
        <v>2012</v>
      </c>
    </row>
    <row r="3526" spans="1:23" ht="12.3" hidden="1" x14ac:dyDescent="0.4">
      <c r="A3526" s="2" t="s">
        <v>232</v>
      </c>
      <c r="B3526" s="2"/>
      <c r="C3526" s="2"/>
      <c r="D3526" s="2"/>
      <c r="E3526" s="2"/>
      <c r="F3526" s="2"/>
      <c r="G3526" s="2"/>
      <c r="H3526" s="2"/>
      <c r="I3526" s="2">
        <v>64.240700000000004</v>
      </c>
      <c r="J3526" s="2">
        <v>268</v>
      </c>
      <c r="K3526" s="2">
        <v>63.5242</v>
      </c>
      <c r="L3526" s="2">
        <v>286</v>
      </c>
      <c r="M3526" s="2">
        <v>96.620999999999995</v>
      </c>
      <c r="N3526" s="2">
        <v>256</v>
      </c>
      <c r="O3526" s="2">
        <v>100.34</v>
      </c>
      <c r="P3526" s="2">
        <v>183</v>
      </c>
      <c r="Q3526" s="2">
        <v>104.1405</v>
      </c>
      <c r="R3526" s="2">
        <v>241</v>
      </c>
      <c r="S3526" s="2">
        <v>100.99079999999999</v>
      </c>
      <c r="T3526" s="2">
        <v>161</v>
      </c>
      <c r="U3526" s="2">
        <v>0.48142099999999999</v>
      </c>
      <c r="V3526" s="2">
        <v>168</v>
      </c>
      <c r="W3526" s="2">
        <v>2012</v>
      </c>
    </row>
    <row r="3527" spans="1:23" ht="12.3" hidden="1" x14ac:dyDescent="0.4">
      <c r="A3527" s="2" t="s">
        <v>17</v>
      </c>
      <c r="B3527" s="2"/>
      <c r="C3527" s="2"/>
      <c r="D3527" s="2"/>
      <c r="E3527" s="2"/>
      <c r="F3527" s="2"/>
      <c r="G3527" s="2"/>
      <c r="H3527" s="2"/>
      <c r="I3527" s="2">
        <v>62.314799999999998</v>
      </c>
      <c r="J3527" s="2">
        <v>318</v>
      </c>
      <c r="K3527" s="2">
        <v>63.000599999999999</v>
      </c>
      <c r="L3527" s="2">
        <v>300</v>
      </c>
      <c r="M3527" s="2">
        <v>98.383399999999995</v>
      </c>
      <c r="N3527" s="2">
        <v>222</v>
      </c>
      <c r="O3527" s="2">
        <v>100.5519</v>
      </c>
      <c r="P3527" s="2">
        <v>175</v>
      </c>
      <c r="Q3527" s="2">
        <v>103.9988</v>
      </c>
      <c r="R3527" s="2">
        <v>237</v>
      </c>
      <c r="S3527" s="2">
        <v>101.2105</v>
      </c>
      <c r="T3527" s="2">
        <v>168</v>
      </c>
      <c r="U3527" s="2">
        <v>0.48123700000000003</v>
      </c>
      <c r="V3527" s="2">
        <v>169</v>
      </c>
      <c r="W3527" s="2">
        <v>2012</v>
      </c>
    </row>
    <row r="3528" spans="1:23" ht="12.3" hidden="1" x14ac:dyDescent="0.4">
      <c r="A3528" s="2" t="s">
        <v>236</v>
      </c>
      <c r="B3528" s="2"/>
      <c r="C3528" s="2"/>
      <c r="D3528" s="2"/>
      <c r="E3528" s="2"/>
      <c r="F3528" s="2"/>
      <c r="G3528" s="2"/>
      <c r="H3528" s="2"/>
      <c r="I3528" s="2">
        <v>65.6374</v>
      </c>
      <c r="J3528" s="2">
        <v>200</v>
      </c>
      <c r="K3528" s="2">
        <v>67.149000000000001</v>
      </c>
      <c r="L3528" s="2">
        <v>116</v>
      </c>
      <c r="M3528" s="2">
        <v>95.898099999999999</v>
      </c>
      <c r="N3528" s="2">
        <v>271</v>
      </c>
      <c r="O3528" s="2">
        <v>100.2063</v>
      </c>
      <c r="P3528" s="2">
        <v>188</v>
      </c>
      <c r="Q3528" s="2">
        <v>100.818</v>
      </c>
      <c r="R3528" s="2">
        <v>172</v>
      </c>
      <c r="S3528" s="2">
        <v>100.896</v>
      </c>
      <c r="T3528" s="2">
        <v>159</v>
      </c>
      <c r="U3528" s="2">
        <v>0.48028999999999999</v>
      </c>
      <c r="V3528" s="2">
        <v>170</v>
      </c>
      <c r="W3528" s="2">
        <v>2012</v>
      </c>
    </row>
    <row r="3529" spans="1:23" ht="12.3" hidden="1" x14ac:dyDescent="0.4">
      <c r="A3529" s="2" t="s">
        <v>162</v>
      </c>
      <c r="B3529" s="2"/>
      <c r="C3529" s="2"/>
      <c r="D3529" s="2"/>
      <c r="E3529" s="2"/>
      <c r="F3529" s="2"/>
      <c r="G3529" s="2"/>
      <c r="H3529" s="2"/>
      <c r="I3529" s="2">
        <v>66.025300000000001</v>
      </c>
      <c r="J3529" s="2">
        <v>182</v>
      </c>
      <c r="K3529" s="2">
        <v>65.916499999999999</v>
      </c>
      <c r="L3529" s="2">
        <v>177</v>
      </c>
      <c r="M3529" s="2">
        <v>102.6459</v>
      </c>
      <c r="N3529" s="2">
        <v>141</v>
      </c>
      <c r="O3529" s="2">
        <v>103.7354</v>
      </c>
      <c r="P3529" s="2">
        <v>118</v>
      </c>
      <c r="Q3529" s="2">
        <v>104.83</v>
      </c>
      <c r="R3529" s="2">
        <v>258</v>
      </c>
      <c r="S3529" s="2">
        <v>104.497</v>
      </c>
      <c r="T3529" s="2">
        <v>246</v>
      </c>
      <c r="U3529" s="2">
        <v>0.47898000000000002</v>
      </c>
      <c r="V3529" s="2">
        <v>171</v>
      </c>
      <c r="W3529" s="2">
        <v>2012</v>
      </c>
    </row>
    <row r="3530" spans="1:23" ht="12.3" hidden="1" x14ac:dyDescent="0.4">
      <c r="A3530" s="2" t="s">
        <v>352</v>
      </c>
      <c r="B3530" s="2"/>
      <c r="C3530" s="2"/>
      <c r="D3530" s="2"/>
      <c r="E3530" s="2"/>
      <c r="F3530" s="2"/>
      <c r="G3530" s="2"/>
      <c r="H3530" s="2"/>
      <c r="I3530" s="2">
        <v>64.750500000000002</v>
      </c>
      <c r="J3530" s="2">
        <v>240</v>
      </c>
      <c r="K3530" s="2">
        <v>63.959200000000003</v>
      </c>
      <c r="L3530" s="2">
        <v>272</v>
      </c>
      <c r="M3530" s="2">
        <v>95.628399999999999</v>
      </c>
      <c r="N3530" s="2">
        <v>275</v>
      </c>
      <c r="O3530" s="2">
        <v>93.151200000000003</v>
      </c>
      <c r="P3530" s="2">
        <v>296</v>
      </c>
      <c r="Q3530" s="2">
        <v>91.731099999999998</v>
      </c>
      <c r="R3530" s="2">
        <v>17</v>
      </c>
      <c r="S3530" s="2">
        <v>94.005899999999997</v>
      </c>
      <c r="T3530" s="2">
        <v>36</v>
      </c>
      <c r="U3530" s="2">
        <v>0.47376400000000002</v>
      </c>
      <c r="V3530" s="2">
        <v>172</v>
      </c>
      <c r="W3530" s="2">
        <v>2012</v>
      </c>
    </row>
    <row r="3531" spans="1:23" ht="12.3" hidden="1" x14ac:dyDescent="0.4">
      <c r="A3531" s="2" t="s">
        <v>285</v>
      </c>
      <c r="B3531" s="2"/>
      <c r="C3531" s="2"/>
      <c r="D3531" s="2"/>
      <c r="E3531" s="2"/>
      <c r="F3531" s="2"/>
      <c r="G3531" s="2"/>
      <c r="H3531" s="2"/>
      <c r="I3531" s="2">
        <v>59.2089</v>
      </c>
      <c r="J3531" s="2">
        <v>344</v>
      </c>
      <c r="K3531" s="2">
        <v>58.302199999999999</v>
      </c>
      <c r="L3531" s="2">
        <v>345</v>
      </c>
      <c r="M3531" s="2">
        <v>100.1281</v>
      </c>
      <c r="N3531" s="2">
        <v>185</v>
      </c>
      <c r="O3531" s="2">
        <v>95.700199999999995</v>
      </c>
      <c r="P3531" s="2">
        <v>279</v>
      </c>
      <c r="Q3531" s="2">
        <v>99.5274</v>
      </c>
      <c r="R3531" s="2">
        <v>139</v>
      </c>
      <c r="S3531" s="2">
        <v>96.802999999999997</v>
      </c>
      <c r="T3531" s="2">
        <v>79</v>
      </c>
      <c r="U3531" s="2">
        <v>0.46710499999999999</v>
      </c>
      <c r="V3531" s="2">
        <v>173</v>
      </c>
      <c r="W3531" s="2">
        <v>2012</v>
      </c>
    </row>
    <row r="3532" spans="1:23" ht="12.3" hidden="1" x14ac:dyDescent="0.4">
      <c r="A3532" s="2" t="s">
        <v>369</v>
      </c>
      <c r="B3532" s="2"/>
      <c r="C3532" s="2"/>
      <c r="D3532" s="2"/>
      <c r="E3532" s="2"/>
      <c r="F3532" s="2"/>
      <c r="G3532" s="2"/>
      <c r="H3532" s="2"/>
      <c r="I3532" s="2">
        <v>68.321200000000005</v>
      </c>
      <c r="J3532" s="2">
        <v>71</v>
      </c>
      <c r="K3532" s="2">
        <v>67.593400000000003</v>
      </c>
      <c r="L3532" s="2">
        <v>99</v>
      </c>
      <c r="M3532" s="2">
        <v>103.9148</v>
      </c>
      <c r="N3532" s="2">
        <v>114</v>
      </c>
      <c r="O3532" s="2">
        <v>103.7144</v>
      </c>
      <c r="P3532" s="2">
        <v>119</v>
      </c>
      <c r="Q3532" s="2">
        <v>105.0086</v>
      </c>
      <c r="R3532" s="2">
        <v>263</v>
      </c>
      <c r="S3532" s="2">
        <v>104.97190000000001</v>
      </c>
      <c r="T3532" s="2">
        <v>255</v>
      </c>
      <c r="U3532" s="2">
        <v>0.46540799999999999</v>
      </c>
      <c r="V3532" s="2">
        <v>174</v>
      </c>
      <c r="W3532" s="2">
        <v>2012</v>
      </c>
    </row>
    <row r="3533" spans="1:23" ht="12.3" hidden="1" x14ac:dyDescent="0.4">
      <c r="A3533" s="2" t="s">
        <v>189</v>
      </c>
      <c r="B3533" s="2"/>
      <c r="C3533" s="2"/>
      <c r="D3533" s="2"/>
      <c r="E3533" s="2"/>
      <c r="F3533" s="2"/>
      <c r="G3533" s="2"/>
      <c r="H3533" s="2"/>
      <c r="I3533" s="2">
        <v>60.421799999999998</v>
      </c>
      <c r="J3533" s="2">
        <v>340</v>
      </c>
      <c r="K3533" s="2">
        <v>60.377000000000002</v>
      </c>
      <c r="L3533" s="2">
        <v>340</v>
      </c>
      <c r="M3533" s="2">
        <v>105.48390000000001</v>
      </c>
      <c r="N3533" s="2">
        <v>89</v>
      </c>
      <c r="O3533" s="2">
        <v>102.3113</v>
      </c>
      <c r="P3533" s="2">
        <v>142</v>
      </c>
      <c r="Q3533" s="2">
        <v>100.0416</v>
      </c>
      <c r="R3533" s="2">
        <v>151</v>
      </c>
      <c r="S3533" s="2">
        <v>103.6495</v>
      </c>
      <c r="T3533" s="2">
        <v>224</v>
      </c>
      <c r="U3533" s="2">
        <v>0.46271000000000001</v>
      </c>
      <c r="V3533" s="2">
        <v>175</v>
      </c>
      <c r="W3533" s="2">
        <v>2012</v>
      </c>
    </row>
    <row r="3534" spans="1:23" ht="12.3" hidden="1" x14ac:dyDescent="0.4">
      <c r="A3534" s="2" t="s">
        <v>305</v>
      </c>
      <c r="B3534" s="2"/>
      <c r="C3534" s="2"/>
      <c r="D3534" s="2"/>
      <c r="E3534" s="2"/>
      <c r="F3534" s="2"/>
      <c r="G3534" s="2"/>
      <c r="H3534" s="2"/>
      <c r="I3534" s="2">
        <v>71.053299999999993</v>
      </c>
      <c r="J3534" s="2">
        <v>19</v>
      </c>
      <c r="K3534" s="2">
        <v>70.303100000000001</v>
      </c>
      <c r="L3534" s="2">
        <v>25</v>
      </c>
      <c r="M3534" s="2">
        <v>105.8563</v>
      </c>
      <c r="N3534" s="2">
        <v>80</v>
      </c>
      <c r="O3534" s="2">
        <v>102.5228</v>
      </c>
      <c r="P3534" s="2">
        <v>135</v>
      </c>
      <c r="Q3534" s="2">
        <v>102.66849999999999</v>
      </c>
      <c r="R3534" s="2">
        <v>209</v>
      </c>
      <c r="S3534" s="2">
        <v>103.8665</v>
      </c>
      <c r="T3534" s="2">
        <v>229</v>
      </c>
      <c r="U3534" s="2">
        <v>0.46263399999999999</v>
      </c>
      <c r="V3534" s="2">
        <v>176</v>
      </c>
      <c r="W3534" s="2">
        <v>2012</v>
      </c>
    </row>
    <row r="3535" spans="1:23" ht="12.3" hidden="1" x14ac:dyDescent="0.4">
      <c r="A3535" s="2" t="s">
        <v>92</v>
      </c>
      <c r="B3535" s="2"/>
      <c r="C3535" s="2"/>
      <c r="D3535" s="2"/>
      <c r="E3535" s="2"/>
      <c r="F3535" s="2"/>
      <c r="G3535" s="2"/>
      <c r="H3535" s="2"/>
      <c r="I3535" s="2">
        <v>63.314999999999998</v>
      </c>
      <c r="J3535" s="2">
        <v>292</v>
      </c>
      <c r="K3535" s="2">
        <v>63.094200000000001</v>
      </c>
      <c r="L3535" s="2">
        <v>298</v>
      </c>
      <c r="M3535" s="2">
        <v>94.425799999999995</v>
      </c>
      <c r="N3535" s="2">
        <v>290</v>
      </c>
      <c r="O3535" s="2">
        <v>96.384799999999998</v>
      </c>
      <c r="P3535" s="2">
        <v>262</v>
      </c>
      <c r="Q3535" s="2">
        <v>98.608999999999995</v>
      </c>
      <c r="R3535" s="2">
        <v>117</v>
      </c>
      <c r="S3535" s="2">
        <v>97.7744</v>
      </c>
      <c r="T3535" s="2">
        <v>98</v>
      </c>
      <c r="U3535" s="2">
        <v>0.45894099999999999</v>
      </c>
      <c r="V3535" s="2">
        <v>177</v>
      </c>
      <c r="W3535" s="2">
        <v>2012</v>
      </c>
    </row>
    <row r="3536" spans="1:23" ht="12.3" hidden="1" x14ac:dyDescent="0.4">
      <c r="A3536" s="2" t="s">
        <v>360</v>
      </c>
      <c r="B3536" s="2"/>
      <c r="C3536" s="2"/>
      <c r="D3536" s="2"/>
      <c r="E3536" s="2"/>
      <c r="F3536" s="2"/>
      <c r="G3536" s="2"/>
      <c r="H3536" s="2"/>
      <c r="I3536" s="2">
        <v>66.583600000000004</v>
      </c>
      <c r="J3536" s="2">
        <v>152</v>
      </c>
      <c r="K3536" s="2">
        <v>66.692300000000003</v>
      </c>
      <c r="L3536" s="2">
        <v>138</v>
      </c>
      <c r="M3536" s="2">
        <v>107.3683</v>
      </c>
      <c r="N3536" s="2">
        <v>56</v>
      </c>
      <c r="O3536" s="2">
        <v>103.2333</v>
      </c>
      <c r="P3536" s="2">
        <v>127</v>
      </c>
      <c r="Q3536" s="2">
        <v>102.69329999999999</v>
      </c>
      <c r="R3536" s="2">
        <v>211</v>
      </c>
      <c r="S3536" s="2">
        <v>104.8081</v>
      </c>
      <c r="T3536" s="2">
        <v>252</v>
      </c>
      <c r="U3536" s="2">
        <v>0.45658300000000002</v>
      </c>
      <c r="V3536" s="2">
        <v>178</v>
      </c>
      <c r="W3536" s="2">
        <v>2012</v>
      </c>
    </row>
    <row r="3537" spans="1:23" ht="12.3" hidden="1" x14ac:dyDescent="0.4">
      <c r="A3537" s="2" t="s">
        <v>203</v>
      </c>
      <c r="B3537" s="2"/>
      <c r="C3537" s="2"/>
      <c r="D3537" s="2"/>
      <c r="E3537" s="2"/>
      <c r="F3537" s="2"/>
      <c r="G3537" s="2"/>
      <c r="H3537" s="2"/>
      <c r="I3537" s="2">
        <v>64.488799999999998</v>
      </c>
      <c r="J3537" s="2">
        <v>251</v>
      </c>
      <c r="K3537" s="2">
        <v>64.834999999999994</v>
      </c>
      <c r="L3537" s="2">
        <v>237</v>
      </c>
      <c r="M3537" s="2">
        <v>98.813800000000001</v>
      </c>
      <c r="N3537" s="2">
        <v>209</v>
      </c>
      <c r="O3537" s="2">
        <v>97.753200000000007</v>
      </c>
      <c r="P3537" s="2">
        <v>240</v>
      </c>
      <c r="Q3537" s="2">
        <v>98.180599999999998</v>
      </c>
      <c r="R3537" s="2">
        <v>102</v>
      </c>
      <c r="S3537" s="2">
        <v>99.278199999999998</v>
      </c>
      <c r="T3537" s="2">
        <v>133</v>
      </c>
      <c r="U3537" s="2">
        <v>0.45561200000000002</v>
      </c>
      <c r="V3537" s="2">
        <v>179</v>
      </c>
      <c r="W3537" s="2">
        <v>2012</v>
      </c>
    </row>
    <row r="3538" spans="1:23" ht="12.3" hidden="1" x14ac:dyDescent="0.4">
      <c r="A3538" s="2" t="s">
        <v>185</v>
      </c>
      <c r="B3538" s="2"/>
      <c r="C3538" s="2"/>
      <c r="D3538" s="2"/>
      <c r="E3538" s="2"/>
      <c r="F3538" s="2"/>
      <c r="G3538" s="2"/>
      <c r="H3538" s="2"/>
      <c r="I3538" s="2">
        <v>67.741699999999994</v>
      </c>
      <c r="J3538" s="2">
        <v>96</v>
      </c>
      <c r="K3538" s="2">
        <v>67.695999999999998</v>
      </c>
      <c r="L3538" s="2">
        <v>94</v>
      </c>
      <c r="M3538" s="2">
        <v>103.2433</v>
      </c>
      <c r="N3538" s="2">
        <v>124</v>
      </c>
      <c r="O3538" s="2">
        <v>101.2654</v>
      </c>
      <c r="P3538" s="2">
        <v>165</v>
      </c>
      <c r="Q3538" s="2">
        <v>99.716700000000003</v>
      </c>
      <c r="R3538" s="2">
        <v>146</v>
      </c>
      <c r="S3538" s="2">
        <v>103.0099</v>
      </c>
      <c r="T3538" s="2">
        <v>209</v>
      </c>
      <c r="U3538" s="2">
        <v>0.45105000000000001</v>
      </c>
      <c r="V3538" s="2">
        <v>180</v>
      </c>
      <c r="W3538" s="2">
        <v>2012</v>
      </c>
    </row>
    <row r="3539" spans="1:23" ht="12.3" hidden="1" x14ac:dyDescent="0.4">
      <c r="A3539" s="2" t="s">
        <v>201</v>
      </c>
      <c r="B3539" s="2"/>
      <c r="C3539" s="2"/>
      <c r="D3539" s="2"/>
      <c r="E3539" s="2"/>
      <c r="F3539" s="2"/>
      <c r="G3539" s="2"/>
      <c r="H3539" s="2"/>
      <c r="I3539" s="2">
        <v>61.067900000000002</v>
      </c>
      <c r="J3539" s="2">
        <v>331</v>
      </c>
      <c r="K3539" s="2">
        <v>61.053199999999997</v>
      </c>
      <c r="L3539" s="2">
        <v>330</v>
      </c>
      <c r="M3539" s="2">
        <v>99.802099999999996</v>
      </c>
      <c r="N3539" s="2">
        <v>191</v>
      </c>
      <c r="O3539" s="2">
        <v>98.932699999999997</v>
      </c>
      <c r="P3539" s="2">
        <v>215</v>
      </c>
      <c r="Q3539" s="2">
        <v>101.4367</v>
      </c>
      <c r="R3539" s="2">
        <v>184</v>
      </c>
      <c r="S3539" s="2">
        <v>100.7467</v>
      </c>
      <c r="T3539" s="2">
        <v>157</v>
      </c>
      <c r="U3539" s="2">
        <v>0.44795200000000002</v>
      </c>
      <c r="V3539" s="2">
        <v>181</v>
      </c>
      <c r="W3539" s="2">
        <v>2012</v>
      </c>
    </row>
    <row r="3540" spans="1:23" ht="12.3" hidden="1" x14ac:dyDescent="0.4">
      <c r="A3540" s="2" t="s">
        <v>204</v>
      </c>
      <c r="B3540" s="2"/>
      <c r="C3540" s="2"/>
      <c r="D3540" s="2"/>
      <c r="E3540" s="2"/>
      <c r="F3540" s="2"/>
      <c r="G3540" s="2"/>
      <c r="H3540" s="2"/>
      <c r="I3540" s="2">
        <v>62.66</v>
      </c>
      <c r="J3540" s="2">
        <v>316</v>
      </c>
      <c r="K3540" s="2">
        <v>62.430300000000003</v>
      </c>
      <c r="L3540" s="2">
        <v>316</v>
      </c>
      <c r="M3540" s="2">
        <v>96.278800000000004</v>
      </c>
      <c r="N3540" s="2">
        <v>262</v>
      </c>
      <c r="O3540" s="2">
        <v>98.457700000000003</v>
      </c>
      <c r="P3540" s="2">
        <v>228</v>
      </c>
      <c r="Q3540" s="2">
        <v>100.46429999999999</v>
      </c>
      <c r="R3540" s="2">
        <v>162</v>
      </c>
      <c r="S3540" s="2">
        <v>100.2677</v>
      </c>
      <c r="T3540" s="2">
        <v>150</v>
      </c>
      <c r="U3540" s="2">
        <v>0.44781700000000002</v>
      </c>
      <c r="V3540" s="2">
        <v>182</v>
      </c>
      <c r="W3540" s="2">
        <v>2012</v>
      </c>
    </row>
    <row r="3541" spans="1:23" ht="12.3" hidden="1" x14ac:dyDescent="0.4">
      <c r="A3541" s="2" t="s">
        <v>94</v>
      </c>
      <c r="B3541" s="2"/>
      <c r="C3541" s="2"/>
      <c r="D3541" s="2"/>
      <c r="E3541" s="2"/>
      <c r="F3541" s="2"/>
      <c r="G3541" s="2"/>
      <c r="H3541" s="2"/>
      <c r="I3541" s="2">
        <v>67.889600000000002</v>
      </c>
      <c r="J3541" s="2">
        <v>87</v>
      </c>
      <c r="K3541" s="2">
        <v>67.783500000000004</v>
      </c>
      <c r="L3541" s="2">
        <v>89</v>
      </c>
      <c r="M3541" s="2">
        <v>99.773499999999999</v>
      </c>
      <c r="N3541" s="2">
        <v>192</v>
      </c>
      <c r="O3541" s="2">
        <v>100.8796</v>
      </c>
      <c r="P3541" s="2">
        <v>171</v>
      </c>
      <c r="Q3541" s="2">
        <v>102.10850000000001</v>
      </c>
      <c r="R3541" s="2">
        <v>198</v>
      </c>
      <c r="S3541" s="2">
        <v>102.7773</v>
      </c>
      <c r="T3541" s="2">
        <v>203</v>
      </c>
      <c r="U3541" s="2">
        <v>0.44662200000000002</v>
      </c>
      <c r="V3541" s="2">
        <v>183</v>
      </c>
      <c r="W3541" s="2">
        <v>2012</v>
      </c>
    </row>
    <row r="3542" spans="1:23" ht="12.3" hidden="1" x14ac:dyDescent="0.4">
      <c r="A3542" s="2" t="s">
        <v>271</v>
      </c>
      <c r="B3542" s="2"/>
      <c r="C3542" s="2"/>
      <c r="D3542" s="2"/>
      <c r="E3542" s="2"/>
      <c r="F3542" s="2"/>
      <c r="G3542" s="2"/>
      <c r="H3542" s="2"/>
      <c r="I3542" s="2">
        <v>63.1539</v>
      </c>
      <c r="J3542" s="2">
        <v>300</v>
      </c>
      <c r="K3542" s="2">
        <v>63.423499999999997</v>
      </c>
      <c r="L3542" s="2">
        <v>288</v>
      </c>
      <c r="M3542" s="2">
        <v>99.712000000000003</v>
      </c>
      <c r="N3542" s="2">
        <v>193</v>
      </c>
      <c r="O3542" s="2">
        <v>100.47709999999999</v>
      </c>
      <c r="P3542" s="2">
        <v>178</v>
      </c>
      <c r="Q3542" s="2">
        <v>99.199100000000001</v>
      </c>
      <c r="R3542" s="2">
        <v>133</v>
      </c>
      <c r="S3542" s="2">
        <v>102.4462</v>
      </c>
      <c r="T3542" s="2">
        <v>197</v>
      </c>
      <c r="U3542" s="2">
        <v>0.44443100000000002</v>
      </c>
      <c r="V3542" s="2">
        <v>184</v>
      </c>
      <c r="W3542" s="2">
        <v>2012</v>
      </c>
    </row>
    <row r="3543" spans="1:23" ht="12.3" hidden="1" x14ac:dyDescent="0.4">
      <c r="A3543" s="2" t="s">
        <v>125</v>
      </c>
      <c r="B3543" s="2"/>
      <c r="C3543" s="2"/>
      <c r="D3543" s="2"/>
      <c r="E3543" s="2"/>
      <c r="F3543" s="2"/>
      <c r="G3543" s="2"/>
      <c r="H3543" s="2"/>
      <c r="I3543" s="2">
        <v>64.649199999999993</v>
      </c>
      <c r="J3543" s="2">
        <v>244</v>
      </c>
      <c r="K3543" s="2">
        <v>64.848299999999995</v>
      </c>
      <c r="L3543" s="2">
        <v>236</v>
      </c>
      <c r="M3543" s="2">
        <v>95.323499999999996</v>
      </c>
      <c r="N3543" s="2">
        <v>276</v>
      </c>
      <c r="O3543" s="2">
        <v>96.378299999999996</v>
      </c>
      <c r="P3543" s="2">
        <v>264</v>
      </c>
      <c r="Q3543" s="2">
        <v>97.957499999999996</v>
      </c>
      <c r="R3543" s="2">
        <v>98</v>
      </c>
      <c r="S3543" s="2">
        <v>98.366600000000005</v>
      </c>
      <c r="T3543" s="2">
        <v>111</v>
      </c>
      <c r="U3543" s="2">
        <v>0.44156099999999998</v>
      </c>
      <c r="V3543" s="2">
        <v>185</v>
      </c>
      <c r="W3543" s="2">
        <v>2012</v>
      </c>
    </row>
    <row r="3544" spans="1:23" ht="12.3" hidden="1" x14ac:dyDescent="0.4">
      <c r="A3544" s="2" t="s">
        <v>363</v>
      </c>
      <c r="B3544" s="2"/>
      <c r="C3544" s="2"/>
      <c r="D3544" s="2"/>
      <c r="E3544" s="2"/>
      <c r="F3544" s="2"/>
      <c r="G3544" s="2"/>
      <c r="H3544" s="2"/>
      <c r="I3544" s="2">
        <v>66.979500000000002</v>
      </c>
      <c r="J3544" s="2">
        <v>130</v>
      </c>
      <c r="K3544" s="2">
        <v>66.728099999999998</v>
      </c>
      <c r="L3544" s="2">
        <v>133</v>
      </c>
      <c r="M3544" s="2">
        <v>98.916799999999995</v>
      </c>
      <c r="N3544" s="2">
        <v>207</v>
      </c>
      <c r="O3544" s="2">
        <v>101.0241</v>
      </c>
      <c r="P3544" s="2">
        <v>168</v>
      </c>
      <c r="Q3544" s="2">
        <v>104.0675</v>
      </c>
      <c r="R3544" s="2">
        <v>239</v>
      </c>
      <c r="S3544" s="2">
        <v>103.2666</v>
      </c>
      <c r="T3544" s="2">
        <v>215</v>
      </c>
      <c r="U3544" s="2">
        <v>0.43721300000000002</v>
      </c>
      <c r="V3544" s="2">
        <v>186</v>
      </c>
      <c r="W3544" s="2">
        <v>2012</v>
      </c>
    </row>
    <row r="3545" spans="1:23" ht="12.3" hidden="1" x14ac:dyDescent="0.4">
      <c r="A3545" s="2" t="s">
        <v>114</v>
      </c>
      <c r="B3545" s="2"/>
      <c r="C3545" s="2"/>
      <c r="D3545" s="2"/>
      <c r="E3545" s="2"/>
      <c r="F3545" s="2"/>
      <c r="G3545" s="2"/>
      <c r="H3545" s="2"/>
      <c r="I3545" s="2">
        <v>67.956299999999999</v>
      </c>
      <c r="J3545" s="2">
        <v>82</v>
      </c>
      <c r="K3545" s="2">
        <v>68.872399999999999</v>
      </c>
      <c r="L3545" s="2">
        <v>48</v>
      </c>
      <c r="M3545" s="2">
        <v>104.30459999999999</v>
      </c>
      <c r="N3545" s="2">
        <v>108</v>
      </c>
      <c r="O3545" s="2">
        <v>101.9072</v>
      </c>
      <c r="P3545" s="2">
        <v>150</v>
      </c>
      <c r="Q3545" s="2">
        <v>103.8323</v>
      </c>
      <c r="R3545" s="2">
        <v>234</v>
      </c>
      <c r="S3545" s="2">
        <v>104.2251</v>
      </c>
      <c r="T3545" s="2">
        <v>242</v>
      </c>
      <c r="U3545" s="2">
        <v>0.43569799999999997</v>
      </c>
      <c r="V3545" s="2">
        <v>187</v>
      </c>
      <c r="W3545" s="2">
        <v>2012</v>
      </c>
    </row>
    <row r="3546" spans="1:23" ht="12.3" x14ac:dyDescent="0.4">
      <c r="A3546" s="2" t="s">
        <v>187</v>
      </c>
      <c r="B3546" s="2">
        <v>15</v>
      </c>
      <c r="C3546" s="25"/>
      <c r="D3546" s="2"/>
      <c r="E3546" s="2"/>
      <c r="F3546" s="2"/>
      <c r="G3546" s="2"/>
      <c r="H3546" s="2"/>
      <c r="I3546" s="2">
        <v>66.737700000000004</v>
      </c>
      <c r="J3546" s="2">
        <v>201</v>
      </c>
      <c r="K3546" s="2">
        <v>66.009399999999999</v>
      </c>
      <c r="L3546" s="2">
        <v>225</v>
      </c>
      <c r="M3546" s="2">
        <v>103.7423</v>
      </c>
      <c r="N3546" s="2">
        <v>99</v>
      </c>
      <c r="O3546" s="2">
        <v>103.4299</v>
      </c>
      <c r="P3546" s="2">
        <v>110</v>
      </c>
      <c r="Q3546" s="2">
        <v>100.7355</v>
      </c>
      <c r="R3546" s="2">
        <v>146</v>
      </c>
      <c r="S3546" s="2">
        <v>100.8342</v>
      </c>
      <c r="T3546" s="2">
        <v>154</v>
      </c>
      <c r="U3546" s="2">
        <v>0.57255699999999998</v>
      </c>
      <c r="V3546" s="2">
        <v>127</v>
      </c>
      <c r="W3546" s="2">
        <v>2004</v>
      </c>
    </row>
    <row r="3547" spans="1:23" ht="12.3" hidden="1" x14ac:dyDescent="0.4">
      <c r="A3547" s="2" t="s">
        <v>308</v>
      </c>
      <c r="B3547" s="2"/>
      <c r="C3547" s="2"/>
      <c r="D3547" s="2"/>
      <c r="E3547" s="2"/>
      <c r="F3547" s="2"/>
      <c r="G3547" s="2"/>
      <c r="H3547" s="2"/>
      <c r="I3547" s="2">
        <v>64.438199999999995</v>
      </c>
      <c r="J3547" s="2">
        <v>257</v>
      </c>
      <c r="K3547" s="2">
        <v>64.705500000000001</v>
      </c>
      <c r="L3547" s="2">
        <v>250</v>
      </c>
      <c r="M3547" s="2">
        <v>96.584299999999999</v>
      </c>
      <c r="N3547" s="2">
        <v>257</v>
      </c>
      <c r="O3547" s="2">
        <v>98.944199999999995</v>
      </c>
      <c r="P3547" s="2">
        <v>214</v>
      </c>
      <c r="Q3547" s="2">
        <v>100.49850000000001</v>
      </c>
      <c r="R3547" s="2">
        <v>163</v>
      </c>
      <c r="S3547" s="2">
        <v>101.31180000000001</v>
      </c>
      <c r="T3547" s="2">
        <v>172</v>
      </c>
      <c r="U3547" s="2">
        <v>0.43243199999999998</v>
      </c>
      <c r="V3547" s="2">
        <v>189</v>
      </c>
      <c r="W3547" s="2">
        <v>2012</v>
      </c>
    </row>
    <row r="3548" spans="1:23" ht="12.3" hidden="1" x14ac:dyDescent="0.4">
      <c r="A3548" s="2" t="s">
        <v>112</v>
      </c>
      <c r="B3548" s="2"/>
      <c r="C3548" s="2"/>
      <c r="D3548" s="2"/>
      <c r="E3548" s="2"/>
      <c r="F3548" s="2"/>
      <c r="G3548" s="2"/>
      <c r="H3548" s="2"/>
      <c r="I3548" s="2">
        <v>63.2577</v>
      </c>
      <c r="J3548" s="2">
        <v>296</v>
      </c>
      <c r="K3548" s="2">
        <v>62.727800000000002</v>
      </c>
      <c r="L3548" s="2">
        <v>305</v>
      </c>
      <c r="M3548" s="2">
        <v>100.31829999999999</v>
      </c>
      <c r="N3548" s="2">
        <v>179</v>
      </c>
      <c r="O3548" s="2">
        <v>98.691500000000005</v>
      </c>
      <c r="P3548" s="2">
        <v>222</v>
      </c>
      <c r="Q3548" s="2">
        <v>102.7261</v>
      </c>
      <c r="R3548" s="2">
        <v>213</v>
      </c>
      <c r="S3548" s="2">
        <v>101.2162</v>
      </c>
      <c r="T3548" s="2">
        <v>169</v>
      </c>
      <c r="U3548" s="2">
        <v>0.42788399999999999</v>
      </c>
      <c r="V3548" s="2">
        <v>190</v>
      </c>
      <c r="W3548" s="2">
        <v>2012</v>
      </c>
    </row>
    <row r="3549" spans="1:23" ht="12.3" hidden="1" x14ac:dyDescent="0.4">
      <c r="A3549" s="2" t="s">
        <v>339</v>
      </c>
      <c r="B3549" s="2"/>
      <c r="C3549" s="2"/>
      <c r="D3549" s="2"/>
      <c r="E3549" s="2"/>
      <c r="F3549" s="2"/>
      <c r="G3549" s="2"/>
      <c r="H3549" s="2"/>
      <c r="I3549" s="2">
        <v>65.471000000000004</v>
      </c>
      <c r="J3549" s="2">
        <v>207</v>
      </c>
      <c r="K3549" s="2">
        <v>65.325599999999994</v>
      </c>
      <c r="L3549" s="2">
        <v>207</v>
      </c>
      <c r="M3549" s="2">
        <v>109.38120000000001</v>
      </c>
      <c r="N3549" s="2">
        <v>33</v>
      </c>
      <c r="O3549" s="2">
        <v>106.98399999999999</v>
      </c>
      <c r="P3549" s="2">
        <v>66</v>
      </c>
      <c r="Q3549" s="2">
        <v>104.4183</v>
      </c>
      <c r="R3549" s="2">
        <v>249</v>
      </c>
      <c r="S3549" s="2">
        <v>109.7741</v>
      </c>
      <c r="T3549" s="2">
        <v>317</v>
      </c>
      <c r="U3549" s="2">
        <v>0.42651899999999998</v>
      </c>
      <c r="V3549" s="2">
        <v>191</v>
      </c>
      <c r="W3549" s="2">
        <v>2012</v>
      </c>
    </row>
    <row r="3550" spans="1:23" ht="12.3" x14ac:dyDescent="0.4">
      <c r="A3550" s="2" t="s">
        <v>74</v>
      </c>
      <c r="B3550" s="2">
        <v>15</v>
      </c>
      <c r="C3550" s="2"/>
      <c r="D3550" s="2"/>
      <c r="E3550" s="2"/>
      <c r="F3550" s="2"/>
      <c r="G3550" s="2"/>
      <c r="H3550" s="2"/>
      <c r="I3550" s="2">
        <v>70.860299999999995</v>
      </c>
      <c r="J3550" s="2">
        <v>55</v>
      </c>
      <c r="K3550" s="2">
        <v>70.952600000000004</v>
      </c>
      <c r="L3550" s="2">
        <v>47</v>
      </c>
      <c r="M3550" s="2">
        <v>101.3026</v>
      </c>
      <c r="N3550" s="2">
        <v>157</v>
      </c>
      <c r="O3550" s="2">
        <v>99.808899999999994</v>
      </c>
      <c r="P3550" s="2">
        <v>182</v>
      </c>
      <c r="Q3550" s="2">
        <v>100.0056</v>
      </c>
      <c r="R3550" s="2">
        <v>130</v>
      </c>
      <c r="S3550" s="2">
        <v>98.598699999999994</v>
      </c>
      <c r="T3550" s="2">
        <v>102</v>
      </c>
      <c r="U3550" s="2">
        <v>0.53501699999999996</v>
      </c>
      <c r="V3550" s="2">
        <v>138</v>
      </c>
      <c r="W3550" s="2">
        <v>2004</v>
      </c>
    </row>
    <row r="3551" spans="1:23" ht="12.3" hidden="1" x14ac:dyDescent="0.4">
      <c r="A3551" s="2" t="s">
        <v>279</v>
      </c>
      <c r="B3551" s="2"/>
      <c r="C3551" s="2"/>
      <c r="D3551" s="2"/>
      <c r="E3551" s="2"/>
      <c r="F3551" s="2"/>
      <c r="G3551" s="2"/>
      <c r="H3551" s="2"/>
      <c r="I3551" s="2">
        <v>62.109699999999997</v>
      </c>
      <c r="J3551" s="2">
        <v>321</v>
      </c>
      <c r="K3551" s="2">
        <v>61.799500000000002</v>
      </c>
      <c r="L3551" s="2">
        <v>323</v>
      </c>
      <c r="M3551" s="2">
        <v>101.66930000000001</v>
      </c>
      <c r="N3551" s="2">
        <v>164</v>
      </c>
      <c r="O3551" s="2">
        <v>99.727900000000005</v>
      </c>
      <c r="P3551" s="2">
        <v>198</v>
      </c>
      <c r="Q3551" s="2">
        <v>100.6583</v>
      </c>
      <c r="R3551" s="2">
        <v>166</v>
      </c>
      <c r="S3551" s="2">
        <v>102.44450000000001</v>
      </c>
      <c r="T3551" s="2">
        <v>196</v>
      </c>
      <c r="U3551" s="2">
        <v>0.42334100000000002</v>
      </c>
      <c r="V3551" s="2">
        <v>193</v>
      </c>
      <c r="W3551" s="2">
        <v>2012</v>
      </c>
    </row>
    <row r="3552" spans="1:23" ht="12.3" hidden="1" x14ac:dyDescent="0.4">
      <c r="A3552" s="2" t="s">
        <v>130</v>
      </c>
      <c r="B3552" s="2"/>
      <c r="C3552" s="2"/>
      <c r="D3552" s="2"/>
      <c r="E3552" s="2"/>
      <c r="F3552" s="2"/>
      <c r="G3552" s="2"/>
      <c r="H3552" s="2"/>
      <c r="I3552" s="2">
        <v>67.744600000000005</v>
      </c>
      <c r="J3552" s="2">
        <v>95</v>
      </c>
      <c r="K3552" s="2">
        <v>67.295299999999997</v>
      </c>
      <c r="L3552" s="2">
        <v>111</v>
      </c>
      <c r="M3552" s="2">
        <v>103.3759</v>
      </c>
      <c r="N3552" s="2">
        <v>121</v>
      </c>
      <c r="O3552" s="2">
        <v>103.3022</v>
      </c>
      <c r="P3552" s="2">
        <v>126</v>
      </c>
      <c r="Q3552" s="2">
        <v>104.2546</v>
      </c>
      <c r="R3552" s="2">
        <v>243</v>
      </c>
      <c r="S3552" s="2">
        <v>106.1367</v>
      </c>
      <c r="T3552" s="2">
        <v>271</v>
      </c>
      <c r="U3552" s="2">
        <v>0.42280000000000001</v>
      </c>
      <c r="V3552" s="2">
        <v>194</v>
      </c>
      <c r="W3552" s="2">
        <v>2012</v>
      </c>
    </row>
    <row r="3553" spans="1:23" ht="12.3" hidden="1" x14ac:dyDescent="0.4">
      <c r="A3553" s="2" t="s">
        <v>199</v>
      </c>
      <c r="B3553" s="2"/>
      <c r="C3553" s="2"/>
      <c r="D3553" s="2"/>
      <c r="E3553" s="2"/>
      <c r="F3553" s="2"/>
      <c r="G3553" s="2"/>
      <c r="H3553" s="2"/>
      <c r="I3553" s="2">
        <v>66.127499999999998</v>
      </c>
      <c r="J3553" s="2">
        <v>176</v>
      </c>
      <c r="K3553" s="2">
        <v>66.003200000000007</v>
      </c>
      <c r="L3553" s="2">
        <v>168</v>
      </c>
      <c r="M3553" s="2">
        <v>106.6712</v>
      </c>
      <c r="N3553" s="2">
        <v>66</v>
      </c>
      <c r="O3553" s="2">
        <v>105.7441</v>
      </c>
      <c r="P3553" s="2">
        <v>83</v>
      </c>
      <c r="Q3553" s="2">
        <v>109.83880000000001</v>
      </c>
      <c r="R3553" s="2">
        <v>322</v>
      </c>
      <c r="S3553" s="2">
        <v>108.6519</v>
      </c>
      <c r="T3553" s="2">
        <v>305</v>
      </c>
      <c r="U3553" s="2">
        <v>0.42263499999999998</v>
      </c>
      <c r="V3553" s="2">
        <v>195</v>
      </c>
      <c r="W3553" s="2">
        <v>2012</v>
      </c>
    </row>
    <row r="3554" spans="1:23" ht="12.3" hidden="1" x14ac:dyDescent="0.4">
      <c r="A3554" s="2" t="s">
        <v>275</v>
      </c>
      <c r="B3554" s="2"/>
      <c r="C3554" s="2"/>
      <c r="D3554" s="2"/>
      <c r="E3554" s="2"/>
      <c r="F3554" s="2"/>
      <c r="G3554" s="2"/>
      <c r="H3554" s="2"/>
      <c r="I3554" s="2">
        <v>64.275099999999995</v>
      </c>
      <c r="J3554" s="2">
        <v>266</v>
      </c>
      <c r="K3554" s="2">
        <v>64.265799999999999</v>
      </c>
      <c r="L3554" s="2">
        <v>259</v>
      </c>
      <c r="M3554" s="2">
        <v>98.471400000000003</v>
      </c>
      <c r="N3554" s="2">
        <v>219</v>
      </c>
      <c r="O3554" s="2">
        <v>98.002399999999994</v>
      </c>
      <c r="P3554" s="2">
        <v>234</v>
      </c>
      <c r="Q3554" s="2">
        <v>97.627099999999999</v>
      </c>
      <c r="R3554" s="2">
        <v>91</v>
      </c>
      <c r="S3554" s="2">
        <v>100.8631</v>
      </c>
      <c r="T3554" s="2">
        <v>158</v>
      </c>
      <c r="U3554" s="2">
        <v>0.41802699999999998</v>
      </c>
      <c r="V3554" s="2">
        <v>196</v>
      </c>
      <c r="W3554" s="2">
        <v>2012</v>
      </c>
    </row>
    <row r="3555" spans="1:23" ht="12.3" hidden="1" x14ac:dyDescent="0.4">
      <c r="A3555" s="2" t="s">
        <v>172</v>
      </c>
      <c r="B3555" s="2"/>
      <c r="C3555" s="2"/>
      <c r="D3555" s="2"/>
      <c r="E3555" s="2"/>
      <c r="F3555" s="2"/>
      <c r="G3555" s="2"/>
      <c r="H3555" s="2"/>
      <c r="I3555" s="2">
        <v>63.831099999999999</v>
      </c>
      <c r="J3555" s="2">
        <v>276</v>
      </c>
      <c r="K3555" s="2">
        <v>62.644100000000002</v>
      </c>
      <c r="L3555" s="2">
        <v>308</v>
      </c>
      <c r="M3555" s="2">
        <v>98.393699999999995</v>
      </c>
      <c r="N3555" s="2">
        <v>221</v>
      </c>
      <c r="O3555" s="2">
        <v>102.18689999999999</v>
      </c>
      <c r="P3555" s="2">
        <v>145</v>
      </c>
      <c r="Q3555" s="2">
        <v>102.77079999999999</v>
      </c>
      <c r="R3555" s="2">
        <v>214</v>
      </c>
      <c r="S3555" s="2">
        <v>105.2161</v>
      </c>
      <c r="T3555" s="2">
        <v>259</v>
      </c>
      <c r="U3555" s="2">
        <v>0.41679300000000002</v>
      </c>
      <c r="V3555" s="2">
        <v>197</v>
      </c>
      <c r="W3555" s="2">
        <v>2012</v>
      </c>
    </row>
    <row r="3556" spans="1:23" ht="12.3" hidden="1" x14ac:dyDescent="0.4">
      <c r="A3556" s="2" t="s">
        <v>186</v>
      </c>
      <c r="B3556" s="2"/>
      <c r="C3556" s="2"/>
      <c r="D3556" s="2"/>
      <c r="E3556" s="2"/>
      <c r="F3556" s="2"/>
      <c r="G3556" s="2"/>
      <c r="H3556" s="2"/>
      <c r="I3556" s="2">
        <v>66.156999999999996</v>
      </c>
      <c r="J3556" s="2">
        <v>175</v>
      </c>
      <c r="K3556" s="2">
        <v>66.564700000000002</v>
      </c>
      <c r="L3556" s="2">
        <v>141</v>
      </c>
      <c r="M3556" s="2">
        <v>102.752</v>
      </c>
      <c r="N3556" s="2">
        <v>139</v>
      </c>
      <c r="O3556" s="2">
        <v>101.98180000000001</v>
      </c>
      <c r="P3556" s="2">
        <v>149</v>
      </c>
      <c r="Q3556" s="2">
        <v>101.7794</v>
      </c>
      <c r="R3556" s="2">
        <v>190</v>
      </c>
      <c r="S3556" s="2">
        <v>105.01649999999999</v>
      </c>
      <c r="T3556" s="2">
        <v>256</v>
      </c>
      <c r="U3556" s="2">
        <v>0.41648600000000002</v>
      </c>
      <c r="V3556" s="2">
        <v>198</v>
      </c>
      <c r="W3556" s="2">
        <v>2012</v>
      </c>
    </row>
    <row r="3557" spans="1:23" ht="12.3" hidden="1" x14ac:dyDescent="0.4">
      <c r="A3557" s="2" t="s">
        <v>107</v>
      </c>
      <c r="B3557" s="2"/>
      <c r="C3557" s="2"/>
      <c r="D3557" s="2"/>
      <c r="E3557" s="2"/>
      <c r="F3557" s="2"/>
      <c r="G3557" s="2"/>
      <c r="H3557" s="2"/>
      <c r="I3557" s="2">
        <v>66.384200000000007</v>
      </c>
      <c r="J3557" s="2">
        <v>163</v>
      </c>
      <c r="K3557" s="2">
        <v>64.853099999999998</v>
      </c>
      <c r="L3557" s="2">
        <v>235</v>
      </c>
      <c r="M3557" s="2">
        <v>98.739599999999996</v>
      </c>
      <c r="N3557" s="2">
        <v>212</v>
      </c>
      <c r="O3557" s="2">
        <v>100.92440000000001</v>
      </c>
      <c r="P3557" s="2">
        <v>170</v>
      </c>
      <c r="Q3557" s="2">
        <v>101.78060000000001</v>
      </c>
      <c r="R3557" s="2">
        <v>191</v>
      </c>
      <c r="S3557" s="2">
        <v>104.08029999999999</v>
      </c>
      <c r="T3557" s="2">
        <v>236</v>
      </c>
      <c r="U3557" s="2">
        <v>0.41238999999999998</v>
      </c>
      <c r="V3557" s="2">
        <v>199</v>
      </c>
      <c r="W3557" s="2">
        <v>2012</v>
      </c>
    </row>
    <row r="3558" spans="1:23" ht="12.3" hidden="1" x14ac:dyDescent="0.4">
      <c r="A3558" s="2" t="s">
        <v>333</v>
      </c>
      <c r="B3558" s="2"/>
      <c r="C3558" s="2"/>
      <c r="D3558" s="2"/>
      <c r="E3558" s="2"/>
      <c r="F3558" s="2"/>
      <c r="G3558" s="2"/>
      <c r="H3558" s="2"/>
      <c r="I3558" s="2">
        <v>67.186599999999999</v>
      </c>
      <c r="J3558" s="2">
        <v>120</v>
      </c>
      <c r="K3558" s="2">
        <v>68.462800000000001</v>
      </c>
      <c r="L3558" s="2">
        <v>63</v>
      </c>
      <c r="M3558" s="2">
        <v>94.809799999999996</v>
      </c>
      <c r="N3558" s="2">
        <v>284</v>
      </c>
      <c r="O3558" s="2">
        <v>96.64</v>
      </c>
      <c r="P3558" s="2">
        <v>259</v>
      </c>
      <c r="Q3558" s="2">
        <v>99.748199999999997</v>
      </c>
      <c r="R3558" s="2">
        <v>147</v>
      </c>
      <c r="S3558" s="2">
        <v>99.740600000000001</v>
      </c>
      <c r="T3558" s="2">
        <v>138</v>
      </c>
      <c r="U3558" s="2">
        <v>0.410192</v>
      </c>
      <c r="V3558" s="2">
        <v>200</v>
      </c>
      <c r="W3558" s="2">
        <v>2012</v>
      </c>
    </row>
    <row r="3559" spans="1:23" ht="12.3" hidden="1" x14ac:dyDescent="0.4">
      <c r="A3559" s="2" t="s">
        <v>277</v>
      </c>
      <c r="B3559" s="2"/>
      <c r="C3559" s="2"/>
      <c r="D3559" s="2"/>
      <c r="E3559" s="2"/>
      <c r="F3559" s="2"/>
      <c r="G3559" s="2"/>
      <c r="H3559" s="2"/>
      <c r="I3559" s="2">
        <v>70.275199999999998</v>
      </c>
      <c r="J3559" s="2">
        <v>29</v>
      </c>
      <c r="K3559" s="2">
        <v>69.218599999999995</v>
      </c>
      <c r="L3559" s="2">
        <v>41</v>
      </c>
      <c r="M3559" s="2">
        <v>98.442300000000003</v>
      </c>
      <c r="N3559" s="2">
        <v>220</v>
      </c>
      <c r="O3559" s="2">
        <v>96.089500000000001</v>
      </c>
      <c r="P3559" s="2">
        <v>273</v>
      </c>
      <c r="Q3559" s="2">
        <v>97.288600000000002</v>
      </c>
      <c r="R3559" s="2">
        <v>83</v>
      </c>
      <c r="S3559" s="2">
        <v>99.244100000000003</v>
      </c>
      <c r="T3559" s="2">
        <v>131</v>
      </c>
      <c r="U3559" s="2">
        <v>0.40818399999999999</v>
      </c>
      <c r="V3559" s="2">
        <v>201</v>
      </c>
      <c r="W3559" s="2">
        <v>2012</v>
      </c>
    </row>
    <row r="3560" spans="1:23" ht="12.3" hidden="1" x14ac:dyDescent="0.4">
      <c r="A3560" s="2" t="s">
        <v>167</v>
      </c>
      <c r="B3560" s="2"/>
      <c r="C3560" s="2"/>
      <c r="D3560" s="2"/>
      <c r="E3560" s="2"/>
      <c r="F3560" s="2"/>
      <c r="G3560" s="2"/>
      <c r="H3560" s="2"/>
      <c r="I3560" s="2">
        <v>60.813899999999997</v>
      </c>
      <c r="J3560" s="2">
        <v>335</v>
      </c>
      <c r="K3560" s="2">
        <v>60.600999999999999</v>
      </c>
      <c r="L3560" s="2">
        <v>337</v>
      </c>
      <c r="M3560" s="2">
        <v>98.542000000000002</v>
      </c>
      <c r="N3560" s="2">
        <v>215</v>
      </c>
      <c r="O3560" s="2">
        <v>100.4601</v>
      </c>
      <c r="P3560" s="2">
        <v>180</v>
      </c>
      <c r="Q3560" s="2">
        <v>105.13120000000001</v>
      </c>
      <c r="R3560" s="2">
        <v>265</v>
      </c>
      <c r="S3560" s="2">
        <v>103.8087</v>
      </c>
      <c r="T3560" s="2">
        <v>228</v>
      </c>
      <c r="U3560" s="2">
        <v>0.40683399999999997</v>
      </c>
      <c r="V3560" s="2">
        <v>202</v>
      </c>
      <c r="W3560" s="2">
        <v>2012</v>
      </c>
    </row>
    <row r="3561" spans="1:23" ht="12.3" hidden="1" x14ac:dyDescent="0.4">
      <c r="A3561" s="2" t="s">
        <v>140</v>
      </c>
      <c r="B3561" s="2"/>
      <c r="C3561" s="2"/>
      <c r="D3561" s="2"/>
      <c r="E3561" s="2"/>
      <c r="F3561" s="2"/>
      <c r="G3561" s="2"/>
      <c r="H3561" s="2"/>
      <c r="I3561" s="2">
        <v>59.915300000000002</v>
      </c>
      <c r="J3561" s="2">
        <v>341</v>
      </c>
      <c r="K3561" s="2">
        <v>60.7029</v>
      </c>
      <c r="L3561" s="2">
        <v>336</v>
      </c>
      <c r="M3561" s="2">
        <v>95.691199999999995</v>
      </c>
      <c r="N3561" s="2">
        <v>274</v>
      </c>
      <c r="O3561" s="2">
        <v>95.456400000000002</v>
      </c>
      <c r="P3561" s="2">
        <v>282</v>
      </c>
      <c r="Q3561" s="2">
        <v>100.32129999999999</v>
      </c>
      <c r="R3561" s="2">
        <v>159</v>
      </c>
      <c r="S3561" s="2">
        <v>98.660799999999995</v>
      </c>
      <c r="T3561" s="2">
        <v>120</v>
      </c>
      <c r="U3561" s="2">
        <v>0.406196</v>
      </c>
      <c r="V3561" s="2">
        <v>203</v>
      </c>
      <c r="W3561" s="2">
        <v>2012</v>
      </c>
    </row>
    <row r="3562" spans="1:23" ht="12.3" hidden="1" x14ac:dyDescent="0.4">
      <c r="A3562" s="2" t="s">
        <v>269</v>
      </c>
      <c r="B3562" s="2"/>
      <c r="C3562" s="2"/>
      <c r="D3562" s="2"/>
      <c r="E3562" s="2"/>
      <c r="F3562" s="2"/>
      <c r="G3562" s="2"/>
      <c r="H3562" s="2"/>
      <c r="I3562" s="2">
        <v>68.122200000000007</v>
      </c>
      <c r="J3562" s="2">
        <v>78</v>
      </c>
      <c r="K3562" s="2">
        <v>66.936300000000003</v>
      </c>
      <c r="L3562" s="2">
        <v>127</v>
      </c>
      <c r="M3562" s="2">
        <v>109.1022</v>
      </c>
      <c r="N3562" s="2">
        <v>37</v>
      </c>
      <c r="O3562" s="2">
        <v>106.0436</v>
      </c>
      <c r="P3562" s="2">
        <v>80</v>
      </c>
      <c r="Q3562" s="2">
        <v>108.9726</v>
      </c>
      <c r="R3562" s="2">
        <v>314</v>
      </c>
      <c r="S3562" s="2">
        <v>109.6759</v>
      </c>
      <c r="T3562" s="2">
        <v>316</v>
      </c>
      <c r="U3562" s="2">
        <v>0.40436499999999997</v>
      </c>
      <c r="V3562" s="2">
        <v>204</v>
      </c>
      <c r="W3562" s="2">
        <v>2012</v>
      </c>
    </row>
    <row r="3563" spans="1:23" ht="12.3" hidden="1" x14ac:dyDescent="0.4">
      <c r="A3563" s="2" t="s">
        <v>227</v>
      </c>
      <c r="B3563" s="2"/>
      <c r="C3563" s="2"/>
      <c r="D3563" s="2"/>
      <c r="E3563" s="2"/>
      <c r="F3563" s="2"/>
      <c r="G3563" s="2"/>
      <c r="H3563" s="2"/>
      <c r="I3563" s="2">
        <v>68.523200000000003</v>
      </c>
      <c r="J3563" s="2">
        <v>63</v>
      </c>
      <c r="K3563" s="2">
        <v>68.554699999999997</v>
      </c>
      <c r="L3563" s="2">
        <v>58</v>
      </c>
      <c r="M3563" s="2">
        <v>100.1754</v>
      </c>
      <c r="N3563" s="2">
        <v>184</v>
      </c>
      <c r="O3563" s="2">
        <v>100.4148</v>
      </c>
      <c r="P3563" s="2">
        <v>181</v>
      </c>
      <c r="Q3563" s="2">
        <v>105.90989999999999</v>
      </c>
      <c r="R3563" s="2">
        <v>281</v>
      </c>
      <c r="S3563" s="2">
        <v>103.9804</v>
      </c>
      <c r="T3563" s="2">
        <v>234</v>
      </c>
      <c r="U3563" s="2">
        <v>0.40100799999999998</v>
      </c>
      <c r="V3563" s="2">
        <v>205</v>
      </c>
      <c r="W3563" s="2">
        <v>2012</v>
      </c>
    </row>
    <row r="3564" spans="1:23" ht="12.3" hidden="1" x14ac:dyDescent="0.4">
      <c r="A3564" s="2" t="s">
        <v>334</v>
      </c>
      <c r="B3564" s="2"/>
      <c r="C3564" s="2"/>
      <c r="D3564" s="2"/>
      <c r="E3564" s="2"/>
      <c r="F3564" s="2"/>
      <c r="G3564" s="2"/>
      <c r="H3564" s="2"/>
      <c r="I3564" s="2">
        <v>65.753699999999995</v>
      </c>
      <c r="J3564" s="2">
        <v>197</v>
      </c>
      <c r="K3564" s="2">
        <v>64.749399999999994</v>
      </c>
      <c r="L3564" s="2">
        <v>243</v>
      </c>
      <c r="M3564" s="2">
        <v>104.6977</v>
      </c>
      <c r="N3564" s="2">
        <v>102</v>
      </c>
      <c r="O3564" s="2">
        <v>100.3472</v>
      </c>
      <c r="P3564" s="2">
        <v>182</v>
      </c>
      <c r="Q3564" s="2">
        <v>101.86369999999999</v>
      </c>
      <c r="R3564" s="2">
        <v>192</v>
      </c>
      <c r="S3564" s="2">
        <v>103.92610000000001</v>
      </c>
      <c r="T3564" s="2">
        <v>232</v>
      </c>
      <c r="U3564" s="2">
        <v>0.400592</v>
      </c>
      <c r="V3564" s="2">
        <v>206</v>
      </c>
      <c r="W3564" s="2">
        <v>2012</v>
      </c>
    </row>
    <row r="3565" spans="1:23" ht="12.3" hidden="1" x14ac:dyDescent="0.4">
      <c r="A3565" s="2" t="s">
        <v>371</v>
      </c>
      <c r="B3565" s="2"/>
      <c r="C3565" s="2"/>
      <c r="D3565" s="2"/>
      <c r="E3565" s="2"/>
      <c r="F3565" s="2"/>
      <c r="G3565" s="2"/>
      <c r="H3565" s="2"/>
      <c r="I3565" s="2">
        <v>66.855800000000002</v>
      </c>
      <c r="J3565" s="2">
        <v>139</v>
      </c>
      <c r="K3565" s="2">
        <v>65.943299999999994</v>
      </c>
      <c r="L3565" s="2">
        <v>175</v>
      </c>
      <c r="M3565" s="2">
        <v>98.257199999999997</v>
      </c>
      <c r="N3565" s="2">
        <v>225</v>
      </c>
      <c r="O3565" s="2">
        <v>96.217200000000005</v>
      </c>
      <c r="P3565" s="2">
        <v>268</v>
      </c>
      <c r="Q3565" s="2">
        <v>96.866</v>
      </c>
      <c r="R3565" s="2">
        <v>77</v>
      </c>
      <c r="S3565" s="2">
        <v>99.692599999999999</v>
      </c>
      <c r="T3565" s="2">
        <v>137</v>
      </c>
      <c r="U3565" s="2">
        <v>0.39938000000000001</v>
      </c>
      <c r="V3565" s="2">
        <v>207</v>
      </c>
      <c r="W3565" s="2">
        <v>2012</v>
      </c>
    </row>
    <row r="3566" spans="1:23" ht="12.3" hidden="1" x14ac:dyDescent="0.4">
      <c r="A3566" s="2" t="s">
        <v>337</v>
      </c>
      <c r="B3566" s="2"/>
      <c r="C3566" s="2"/>
      <c r="D3566" s="2"/>
      <c r="E3566" s="2"/>
      <c r="F3566" s="2"/>
      <c r="G3566" s="2"/>
      <c r="H3566" s="2"/>
      <c r="I3566" s="2">
        <v>70.694900000000004</v>
      </c>
      <c r="J3566" s="2">
        <v>23</v>
      </c>
      <c r="K3566" s="2">
        <v>69.3536</v>
      </c>
      <c r="L3566" s="2">
        <v>38</v>
      </c>
      <c r="M3566" s="2">
        <v>99.348100000000002</v>
      </c>
      <c r="N3566" s="2">
        <v>201</v>
      </c>
      <c r="O3566" s="2">
        <v>99.031099999999995</v>
      </c>
      <c r="P3566" s="2">
        <v>212</v>
      </c>
      <c r="Q3566" s="2">
        <v>104.5074</v>
      </c>
      <c r="R3566" s="2">
        <v>252</v>
      </c>
      <c r="S3566" s="2">
        <v>102.66930000000001</v>
      </c>
      <c r="T3566" s="2">
        <v>199</v>
      </c>
      <c r="U3566" s="2">
        <v>0.39773599999999998</v>
      </c>
      <c r="V3566" s="2">
        <v>208</v>
      </c>
      <c r="W3566" s="2">
        <v>2012</v>
      </c>
    </row>
    <row r="3567" spans="1:23" ht="12.3" hidden="1" x14ac:dyDescent="0.4">
      <c r="A3567" s="2" t="s">
        <v>101</v>
      </c>
      <c r="B3567" s="2"/>
      <c r="C3567" s="2"/>
      <c r="D3567" s="2"/>
      <c r="E3567" s="2"/>
      <c r="F3567" s="2"/>
      <c r="G3567" s="2"/>
      <c r="H3567" s="2"/>
      <c r="I3567" s="2">
        <v>62.851700000000001</v>
      </c>
      <c r="J3567" s="2">
        <v>310</v>
      </c>
      <c r="K3567" s="2">
        <v>63.198300000000003</v>
      </c>
      <c r="L3567" s="2">
        <v>296</v>
      </c>
      <c r="M3567" s="2">
        <v>100.11279999999999</v>
      </c>
      <c r="N3567" s="2">
        <v>186</v>
      </c>
      <c r="O3567" s="2">
        <v>97.971900000000005</v>
      </c>
      <c r="P3567" s="2">
        <v>235</v>
      </c>
      <c r="Q3567" s="2">
        <v>98.079499999999996</v>
      </c>
      <c r="R3567" s="2">
        <v>101</v>
      </c>
      <c r="S3567" s="2">
        <v>101.6474</v>
      </c>
      <c r="T3567" s="2">
        <v>178</v>
      </c>
      <c r="U3567" s="2">
        <v>0.39567200000000002</v>
      </c>
      <c r="V3567" s="2">
        <v>209</v>
      </c>
      <c r="W3567" s="2">
        <v>2012</v>
      </c>
    </row>
    <row r="3568" spans="1:23" ht="12.3" hidden="1" x14ac:dyDescent="0.4">
      <c r="A3568" s="2" t="s">
        <v>156</v>
      </c>
      <c r="B3568" s="2"/>
      <c r="C3568" s="2"/>
      <c r="D3568" s="2"/>
      <c r="E3568" s="2"/>
      <c r="F3568" s="2"/>
      <c r="G3568" s="2"/>
      <c r="H3568" s="2"/>
      <c r="I3568" s="2">
        <v>69.025499999999994</v>
      </c>
      <c r="J3568" s="2">
        <v>47</v>
      </c>
      <c r="K3568" s="2">
        <v>67.772999999999996</v>
      </c>
      <c r="L3568" s="2">
        <v>90</v>
      </c>
      <c r="M3568" s="2">
        <v>100.2265</v>
      </c>
      <c r="N3568" s="2">
        <v>182</v>
      </c>
      <c r="O3568" s="2">
        <v>97.964699999999993</v>
      </c>
      <c r="P3568" s="2">
        <v>236</v>
      </c>
      <c r="Q3568" s="2">
        <v>100.1944</v>
      </c>
      <c r="R3568" s="2">
        <v>154</v>
      </c>
      <c r="S3568" s="2">
        <v>101.71939999999999</v>
      </c>
      <c r="T3568" s="2">
        <v>182</v>
      </c>
      <c r="U3568" s="2">
        <v>0.39352399999999998</v>
      </c>
      <c r="V3568" s="2">
        <v>210</v>
      </c>
      <c r="W3568" s="2">
        <v>2012</v>
      </c>
    </row>
    <row r="3569" spans="1:23" ht="12.3" hidden="1" x14ac:dyDescent="0.4">
      <c r="A3569" s="2" t="s">
        <v>66</v>
      </c>
      <c r="B3569" s="2"/>
      <c r="C3569" s="2"/>
      <c r="D3569" s="2"/>
      <c r="E3569" s="2"/>
      <c r="F3569" s="2"/>
      <c r="G3569" s="2"/>
      <c r="H3569" s="2"/>
      <c r="I3569" s="2">
        <v>70.6905</v>
      </c>
      <c r="J3569" s="2">
        <v>24</v>
      </c>
      <c r="K3569" s="2">
        <v>71.218599999999995</v>
      </c>
      <c r="L3569" s="2">
        <v>16</v>
      </c>
      <c r="M3569" s="2">
        <v>102.2495</v>
      </c>
      <c r="N3569" s="2">
        <v>147</v>
      </c>
      <c r="O3569" s="2">
        <v>101.5693</v>
      </c>
      <c r="P3569" s="2">
        <v>155</v>
      </c>
      <c r="Q3569" s="2">
        <v>105.29040000000001</v>
      </c>
      <c r="R3569" s="2">
        <v>270</v>
      </c>
      <c r="S3569" s="2">
        <v>105.54819999999999</v>
      </c>
      <c r="T3569" s="2">
        <v>264</v>
      </c>
      <c r="U3569" s="2">
        <v>0.39129000000000003</v>
      </c>
      <c r="V3569" s="2">
        <v>211</v>
      </c>
      <c r="W3569" s="2">
        <v>2012</v>
      </c>
    </row>
    <row r="3570" spans="1:23" ht="12.3" hidden="1" x14ac:dyDescent="0.4">
      <c r="A3570" s="2" t="s">
        <v>287</v>
      </c>
      <c r="B3570" s="2"/>
      <c r="C3570" s="2"/>
      <c r="D3570" s="2"/>
      <c r="E3570" s="2"/>
      <c r="F3570" s="2"/>
      <c r="G3570" s="2"/>
      <c r="H3570" s="2"/>
      <c r="I3570" s="2">
        <v>65.7059</v>
      </c>
      <c r="J3570" s="2">
        <v>199</v>
      </c>
      <c r="K3570" s="2">
        <v>65.960899999999995</v>
      </c>
      <c r="L3570" s="2">
        <v>172</v>
      </c>
      <c r="M3570" s="2">
        <v>99.400400000000005</v>
      </c>
      <c r="N3570" s="2">
        <v>200</v>
      </c>
      <c r="O3570" s="2">
        <v>99.481399999999994</v>
      </c>
      <c r="P3570" s="2">
        <v>206</v>
      </c>
      <c r="Q3570" s="2">
        <v>101.3939</v>
      </c>
      <c r="R3570" s="2">
        <v>183</v>
      </c>
      <c r="S3570" s="2">
        <v>103.464</v>
      </c>
      <c r="T3570" s="2">
        <v>221</v>
      </c>
      <c r="U3570" s="2">
        <v>0.38902599999999998</v>
      </c>
      <c r="V3570" s="2">
        <v>212</v>
      </c>
      <c r="W3570" s="2">
        <v>2012</v>
      </c>
    </row>
    <row r="3571" spans="1:23" ht="12.3" hidden="1" x14ac:dyDescent="0.4">
      <c r="A3571" s="2" t="s">
        <v>133</v>
      </c>
      <c r="B3571" s="2"/>
      <c r="C3571" s="2"/>
      <c r="D3571" s="2"/>
      <c r="E3571" s="2"/>
      <c r="F3571" s="2"/>
      <c r="G3571" s="2"/>
      <c r="H3571" s="2"/>
      <c r="I3571" s="2">
        <v>66.92</v>
      </c>
      <c r="J3571" s="2">
        <v>135</v>
      </c>
      <c r="K3571" s="2">
        <v>66.230900000000005</v>
      </c>
      <c r="L3571" s="2">
        <v>154</v>
      </c>
      <c r="M3571" s="2">
        <v>99.114999999999995</v>
      </c>
      <c r="N3571" s="2">
        <v>204</v>
      </c>
      <c r="O3571" s="2">
        <v>100.0391</v>
      </c>
      <c r="P3571" s="2">
        <v>191</v>
      </c>
      <c r="Q3571" s="2">
        <v>105.53449999999999</v>
      </c>
      <c r="R3571" s="2">
        <v>275</v>
      </c>
      <c r="S3571" s="2">
        <v>104.06789999999999</v>
      </c>
      <c r="T3571" s="2">
        <v>235</v>
      </c>
      <c r="U3571" s="2">
        <v>0.38839800000000002</v>
      </c>
      <c r="V3571" s="2">
        <v>213</v>
      </c>
      <c r="W3571" s="2">
        <v>2012</v>
      </c>
    </row>
    <row r="3572" spans="1:23" ht="12.3" hidden="1" x14ac:dyDescent="0.4">
      <c r="A3572" s="2" t="s">
        <v>161</v>
      </c>
      <c r="B3572" s="2"/>
      <c r="C3572" s="2"/>
      <c r="D3572" s="2"/>
      <c r="E3572" s="2"/>
      <c r="F3572" s="2"/>
      <c r="G3572" s="2"/>
      <c r="H3572" s="2"/>
      <c r="I3572" s="2">
        <v>64.390500000000003</v>
      </c>
      <c r="J3572" s="2">
        <v>261</v>
      </c>
      <c r="K3572" s="2">
        <v>65.412400000000005</v>
      </c>
      <c r="L3572" s="2">
        <v>203</v>
      </c>
      <c r="M3572" s="2">
        <v>97.491100000000003</v>
      </c>
      <c r="N3572" s="2">
        <v>243</v>
      </c>
      <c r="O3572" s="2">
        <v>96.153999999999996</v>
      </c>
      <c r="P3572" s="2">
        <v>269</v>
      </c>
      <c r="Q3572" s="2">
        <v>96.048299999999998</v>
      </c>
      <c r="R3572" s="2">
        <v>64</v>
      </c>
      <c r="S3572" s="2">
        <v>100.04340000000001</v>
      </c>
      <c r="T3572" s="2">
        <v>145</v>
      </c>
      <c r="U3572" s="2">
        <v>0.387936</v>
      </c>
      <c r="V3572" s="2">
        <v>214</v>
      </c>
      <c r="W3572" s="2">
        <v>2012</v>
      </c>
    </row>
    <row r="3573" spans="1:23" ht="12.3" hidden="1" x14ac:dyDescent="0.4">
      <c r="A3573" s="2" t="s">
        <v>182</v>
      </c>
      <c r="B3573" s="2"/>
      <c r="C3573" s="2"/>
      <c r="D3573" s="2"/>
      <c r="E3573" s="2"/>
      <c r="F3573" s="2"/>
      <c r="G3573" s="2"/>
      <c r="H3573" s="2"/>
      <c r="I3573" s="2">
        <v>68.873000000000005</v>
      </c>
      <c r="J3573" s="2">
        <v>53</v>
      </c>
      <c r="K3573" s="2">
        <v>68.786799999999999</v>
      </c>
      <c r="L3573" s="2">
        <v>51</v>
      </c>
      <c r="M3573" s="2">
        <v>102.7702</v>
      </c>
      <c r="N3573" s="2">
        <v>136</v>
      </c>
      <c r="O3573" s="2">
        <v>102.4462</v>
      </c>
      <c r="P3573" s="2">
        <v>140</v>
      </c>
      <c r="Q3573" s="2">
        <v>107.5787</v>
      </c>
      <c r="R3573" s="2">
        <v>300</v>
      </c>
      <c r="S3573" s="2">
        <v>106.64279999999999</v>
      </c>
      <c r="T3573" s="2">
        <v>278</v>
      </c>
      <c r="U3573" s="2">
        <v>0.38658500000000001</v>
      </c>
      <c r="V3573" s="2">
        <v>215</v>
      </c>
      <c r="W3573" s="2">
        <v>2012</v>
      </c>
    </row>
    <row r="3574" spans="1:23" ht="12.3" hidden="1" x14ac:dyDescent="0.4">
      <c r="A3574" s="2" t="s">
        <v>117</v>
      </c>
      <c r="B3574" s="2"/>
      <c r="C3574" s="2"/>
      <c r="D3574" s="2"/>
      <c r="E3574" s="2"/>
      <c r="F3574" s="2"/>
      <c r="G3574" s="2"/>
      <c r="H3574" s="2"/>
      <c r="I3574" s="2">
        <v>69.973799999999997</v>
      </c>
      <c r="J3574" s="2">
        <v>32</v>
      </c>
      <c r="K3574" s="2">
        <v>70.1417</v>
      </c>
      <c r="L3574" s="2">
        <v>28</v>
      </c>
      <c r="M3574" s="2">
        <v>94.526200000000003</v>
      </c>
      <c r="N3574" s="2">
        <v>287</v>
      </c>
      <c r="O3574" s="2">
        <v>91.933000000000007</v>
      </c>
      <c r="P3574" s="2">
        <v>309</v>
      </c>
      <c r="Q3574" s="2">
        <v>95.821100000000001</v>
      </c>
      <c r="R3574" s="2">
        <v>60</v>
      </c>
      <c r="S3574" s="2">
        <v>95.706199999999995</v>
      </c>
      <c r="T3574" s="2">
        <v>60</v>
      </c>
      <c r="U3574" s="2">
        <v>0.38637700000000003</v>
      </c>
      <c r="V3574" s="2">
        <v>216</v>
      </c>
      <c r="W3574" s="2">
        <v>2012</v>
      </c>
    </row>
    <row r="3575" spans="1:23" ht="12.3" hidden="1" x14ac:dyDescent="0.4">
      <c r="A3575" s="2" t="s">
        <v>187</v>
      </c>
      <c r="B3575" s="2"/>
      <c r="C3575" s="2"/>
      <c r="D3575" s="2"/>
      <c r="E3575" s="2"/>
      <c r="F3575" s="2"/>
      <c r="G3575" s="2"/>
      <c r="H3575" s="2"/>
      <c r="I3575" s="2">
        <v>69.288499999999999</v>
      </c>
      <c r="J3575" s="2">
        <v>43</v>
      </c>
      <c r="K3575" s="2">
        <v>68.717799999999997</v>
      </c>
      <c r="L3575" s="2">
        <v>52</v>
      </c>
      <c r="M3575" s="2">
        <v>102.59990000000001</v>
      </c>
      <c r="N3575" s="2">
        <v>142</v>
      </c>
      <c r="O3575" s="2">
        <v>99.745599999999996</v>
      </c>
      <c r="P3575" s="2">
        <v>196</v>
      </c>
      <c r="Q3575" s="2">
        <v>103.494</v>
      </c>
      <c r="R3575" s="2">
        <v>227</v>
      </c>
      <c r="S3575" s="2">
        <v>103.89830000000001</v>
      </c>
      <c r="T3575" s="2">
        <v>231</v>
      </c>
      <c r="U3575" s="2">
        <v>0.38483200000000001</v>
      </c>
      <c r="V3575" s="2">
        <v>217</v>
      </c>
      <c r="W3575" s="2">
        <v>2012</v>
      </c>
    </row>
    <row r="3576" spans="1:23" ht="12.3" hidden="1" x14ac:dyDescent="0.4">
      <c r="A3576" s="2" t="s">
        <v>258</v>
      </c>
      <c r="B3576" s="2"/>
      <c r="C3576" s="2"/>
      <c r="D3576" s="2"/>
      <c r="E3576" s="2"/>
      <c r="F3576" s="2"/>
      <c r="G3576" s="2"/>
      <c r="H3576" s="2"/>
      <c r="I3576" s="2">
        <v>68.092699999999994</v>
      </c>
      <c r="J3576" s="2">
        <v>79</v>
      </c>
      <c r="K3576" s="2">
        <v>67.809600000000003</v>
      </c>
      <c r="L3576" s="2">
        <v>87</v>
      </c>
      <c r="M3576" s="2">
        <v>98.262</v>
      </c>
      <c r="N3576" s="2">
        <v>224</v>
      </c>
      <c r="O3576" s="2">
        <v>100.9607</v>
      </c>
      <c r="P3576" s="2">
        <v>169</v>
      </c>
      <c r="Q3576" s="2">
        <v>108.639</v>
      </c>
      <c r="R3576" s="2">
        <v>309</v>
      </c>
      <c r="S3576" s="2">
        <v>105.18859999999999</v>
      </c>
      <c r="T3576" s="2">
        <v>258</v>
      </c>
      <c r="U3576" s="2">
        <v>0.38419599999999998</v>
      </c>
      <c r="V3576" s="2">
        <v>218</v>
      </c>
      <c r="W3576" s="2">
        <v>2012</v>
      </c>
    </row>
    <row r="3577" spans="1:23" ht="12.3" hidden="1" x14ac:dyDescent="0.4">
      <c r="A3577" s="2" t="s">
        <v>171</v>
      </c>
      <c r="B3577" s="2"/>
      <c r="C3577" s="2"/>
      <c r="D3577" s="2"/>
      <c r="E3577" s="2"/>
      <c r="F3577" s="2"/>
      <c r="G3577" s="2"/>
      <c r="H3577" s="2"/>
      <c r="I3577" s="2">
        <v>62.429400000000001</v>
      </c>
      <c r="J3577" s="2">
        <v>317</v>
      </c>
      <c r="K3577" s="2">
        <v>63.256900000000002</v>
      </c>
      <c r="L3577" s="2">
        <v>293</v>
      </c>
      <c r="M3577" s="2">
        <v>91.266800000000003</v>
      </c>
      <c r="N3577" s="2">
        <v>313</v>
      </c>
      <c r="O3577" s="2">
        <v>93.488799999999998</v>
      </c>
      <c r="P3577" s="2">
        <v>293</v>
      </c>
      <c r="Q3577" s="2">
        <v>97.879900000000006</v>
      </c>
      <c r="R3577" s="2">
        <v>96</v>
      </c>
      <c r="S3577" s="2">
        <v>97.546099999999996</v>
      </c>
      <c r="T3577" s="2">
        <v>94</v>
      </c>
      <c r="U3577" s="2">
        <v>0.38023299999999999</v>
      </c>
      <c r="V3577" s="2">
        <v>219</v>
      </c>
      <c r="W3577" s="2">
        <v>2012</v>
      </c>
    </row>
    <row r="3578" spans="1:23" ht="12.3" hidden="1" x14ac:dyDescent="0.4">
      <c r="A3578" s="2" t="s">
        <v>61</v>
      </c>
      <c r="B3578" s="2"/>
      <c r="C3578" s="2"/>
      <c r="D3578" s="2"/>
      <c r="E3578" s="2"/>
      <c r="F3578" s="2"/>
      <c r="G3578" s="2"/>
      <c r="H3578" s="2"/>
      <c r="I3578" s="2">
        <v>66.664900000000003</v>
      </c>
      <c r="J3578" s="2">
        <v>148</v>
      </c>
      <c r="K3578" s="2">
        <v>66.798699999999997</v>
      </c>
      <c r="L3578" s="2">
        <v>130</v>
      </c>
      <c r="M3578" s="2">
        <v>97.861199999999997</v>
      </c>
      <c r="N3578" s="2">
        <v>236</v>
      </c>
      <c r="O3578" s="2">
        <v>99.784000000000006</v>
      </c>
      <c r="P3578" s="2">
        <v>195</v>
      </c>
      <c r="Q3578" s="2">
        <v>105.7573</v>
      </c>
      <c r="R3578" s="2">
        <v>279</v>
      </c>
      <c r="S3578" s="2">
        <v>104.17740000000001</v>
      </c>
      <c r="T3578" s="2">
        <v>239</v>
      </c>
      <c r="U3578" s="2">
        <v>0.37859900000000002</v>
      </c>
      <c r="V3578" s="2">
        <v>220</v>
      </c>
      <c r="W3578" s="2">
        <v>2012</v>
      </c>
    </row>
    <row r="3579" spans="1:23" ht="12.3" hidden="1" x14ac:dyDescent="0.4">
      <c r="A3579" s="2" t="s">
        <v>178</v>
      </c>
      <c r="B3579" s="2"/>
      <c r="C3579" s="2"/>
      <c r="D3579" s="2"/>
      <c r="E3579" s="2"/>
      <c r="F3579" s="2"/>
      <c r="G3579" s="2"/>
      <c r="H3579" s="2"/>
      <c r="I3579" s="2">
        <v>66.194000000000003</v>
      </c>
      <c r="J3579" s="2">
        <v>174</v>
      </c>
      <c r="K3579" s="2">
        <v>66.247399999999999</v>
      </c>
      <c r="L3579" s="2">
        <v>153</v>
      </c>
      <c r="M3579" s="2">
        <v>98.502399999999994</v>
      </c>
      <c r="N3579" s="2">
        <v>218</v>
      </c>
      <c r="O3579" s="2">
        <v>97.046599999999998</v>
      </c>
      <c r="P3579" s="2">
        <v>251</v>
      </c>
      <c r="Q3579" s="2">
        <v>100.7651</v>
      </c>
      <c r="R3579" s="2">
        <v>171</v>
      </c>
      <c r="S3579" s="2">
        <v>101.62430000000001</v>
      </c>
      <c r="T3579" s="2">
        <v>176</v>
      </c>
      <c r="U3579" s="2">
        <v>0.370506</v>
      </c>
      <c r="V3579" s="2">
        <v>221</v>
      </c>
      <c r="W3579" s="2">
        <v>2012</v>
      </c>
    </row>
    <row r="3580" spans="1:23" ht="12.3" hidden="1" x14ac:dyDescent="0.4">
      <c r="A3580" s="2" t="s">
        <v>218</v>
      </c>
      <c r="B3580" s="2"/>
      <c r="C3580" s="2"/>
      <c r="D3580" s="2"/>
      <c r="E3580" s="2"/>
      <c r="F3580" s="2"/>
      <c r="G3580" s="2"/>
      <c r="H3580" s="2"/>
      <c r="I3580" s="2">
        <v>64.573599999999999</v>
      </c>
      <c r="J3580" s="2">
        <v>247</v>
      </c>
      <c r="K3580" s="2">
        <v>64.727099999999993</v>
      </c>
      <c r="L3580" s="2">
        <v>247</v>
      </c>
      <c r="M3580" s="2">
        <v>97.671199999999999</v>
      </c>
      <c r="N3580" s="2">
        <v>239</v>
      </c>
      <c r="O3580" s="2">
        <v>98.606200000000001</v>
      </c>
      <c r="P3580" s="2">
        <v>226</v>
      </c>
      <c r="Q3580" s="2">
        <v>102.57810000000001</v>
      </c>
      <c r="R3580" s="2">
        <v>207</v>
      </c>
      <c r="S3580" s="2">
        <v>103.62350000000001</v>
      </c>
      <c r="T3580" s="2">
        <v>223</v>
      </c>
      <c r="U3580" s="2">
        <v>0.36106500000000002</v>
      </c>
      <c r="V3580" s="2">
        <v>222</v>
      </c>
      <c r="W3580" s="2">
        <v>2012</v>
      </c>
    </row>
    <row r="3581" spans="1:23" ht="12.3" hidden="1" x14ac:dyDescent="0.4">
      <c r="A3581" s="2" t="s">
        <v>259</v>
      </c>
      <c r="B3581" s="2"/>
      <c r="C3581" s="2"/>
      <c r="D3581" s="2"/>
      <c r="E3581" s="2"/>
      <c r="F3581" s="2"/>
      <c r="G3581" s="2"/>
      <c r="H3581" s="2"/>
      <c r="I3581" s="2">
        <v>70.548900000000003</v>
      </c>
      <c r="J3581" s="2">
        <v>26</v>
      </c>
      <c r="K3581" s="2">
        <v>70.179199999999994</v>
      </c>
      <c r="L3581" s="2">
        <v>27</v>
      </c>
      <c r="M3581" s="2">
        <v>96.245500000000007</v>
      </c>
      <c r="N3581" s="2">
        <v>263</v>
      </c>
      <c r="O3581" s="2">
        <v>94.958500000000001</v>
      </c>
      <c r="P3581" s="2">
        <v>283</v>
      </c>
      <c r="Q3581" s="2">
        <v>99.460899999999995</v>
      </c>
      <c r="R3581" s="2">
        <v>138</v>
      </c>
      <c r="S3581" s="2">
        <v>99.995699999999999</v>
      </c>
      <c r="T3581" s="2">
        <v>143</v>
      </c>
      <c r="U3581" s="2">
        <v>0.35562500000000002</v>
      </c>
      <c r="V3581" s="2">
        <v>223</v>
      </c>
      <c r="W3581" s="2">
        <v>2012</v>
      </c>
    </row>
    <row r="3582" spans="1:23" ht="12.3" hidden="1" x14ac:dyDescent="0.4">
      <c r="A3582" s="2" t="s">
        <v>82</v>
      </c>
      <c r="B3582" s="2"/>
      <c r="C3582" s="2"/>
      <c r="D3582" s="2"/>
      <c r="E3582" s="2"/>
      <c r="F3582" s="2"/>
      <c r="G3582" s="2"/>
      <c r="H3582" s="2"/>
      <c r="I3582" s="2">
        <v>65.886899999999997</v>
      </c>
      <c r="J3582" s="2">
        <v>189</v>
      </c>
      <c r="K3582" s="2">
        <v>65.893799999999999</v>
      </c>
      <c r="L3582" s="2">
        <v>179</v>
      </c>
      <c r="M3582" s="2">
        <v>94.2072</v>
      </c>
      <c r="N3582" s="2">
        <v>295</v>
      </c>
      <c r="O3582" s="2">
        <v>97.850300000000004</v>
      </c>
      <c r="P3582" s="2">
        <v>239</v>
      </c>
      <c r="Q3582" s="2">
        <v>104.2984</v>
      </c>
      <c r="R3582" s="2">
        <v>245</v>
      </c>
      <c r="S3582" s="2">
        <v>103.08710000000001</v>
      </c>
      <c r="T3582" s="2">
        <v>210</v>
      </c>
      <c r="U3582" s="2">
        <v>0.35444300000000001</v>
      </c>
      <c r="V3582" s="2">
        <v>224</v>
      </c>
      <c r="W3582" s="2">
        <v>2012</v>
      </c>
    </row>
    <row r="3583" spans="1:23" ht="12.3" hidden="1" x14ac:dyDescent="0.4">
      <c r="A3583" s="2" t="s">
        <v>243</v>
      </c>
      <c r="B3583" s="2"/>
      <c r="C3583" s="2"/>
      <c r="D3583" s="2"/>
      <c r="E3583" s="2"/>
      <c r="F3583" s="2"/>
      <c r="G3583" s="2"/>
      <c r="H3583" s="2"/>
      <c r="I3583" s="2">
        <v>67.108999999999995</v>
      </c>
      <c r="J3583" s="2">
        <v>122</v>
      </c>
      <c r="K3583" s="2">
        <v>66.784899999999993</v>
      </c>
      <c r="L3583" s="2">
        <v>131</v>
      </c>
      <c r="M3583" s="2">
        <v>96.938500000000005</v>
      </c>
      <c r="N3583" s="2">
        <v>251</v>
      </c>
      <c r="O3583" s="2">
        <v>96.735600000000005</v>
      </c>
      <c r="P3583" s="2">
        <v>255</v>
      </c>
      <c r="Q3583" s="2">
        <v>100.3937</v>
      </c>
      <c r="R3583" s="2">
        <v>160</v>
      </c>
      <c r="S3583" s="2">
        <v>101.9804</v>
      </c>
      <c r="T3583" s="2">
        <v>187</v>
      </c>
      <c r="U3583" s="2">
        <v>0.35269899999999998</v>
      </c>
      <c r="V3583" s="2">
        <v>225</v>
      </c>
      <c r="W3583" s="2">
        <v>2012</v>
      </c>
    </row>
    <row r="3584" spans="1:23" ht="12.3" hidden="1" x14ac:dyDescent="0.4">
      <c r="A3584" s="2" t="s">
        <v>303</v>
      </c>
      <c r="B3584" s="2"/>
      <c r="C3584" s="2"/>
      <c r="D3584" s="2"/>
      <c r="E3584" s="2"/>
      <c r="F3584" s="2"/>
      <c r="G3584" s="2"/>
      <c r="H3584" s="2"/>
      <c r="I3584" s="2">
        <v>65.321299999999994</v>
      </c>
      <c r="J3584" s="2">
        <v>212</v>
      </c>
      <c r="K3584" s="2">
        <v>65.659800000000004</v>
      </c>
      <c r="L3584" s="2">
        <v>192</v>
      </c>
      <c r="M3584" s="2">
        <v>106.25060000000001</v>
      </c>
      <c r="N3584" s="2">
        <v>72</v>
      </c>
      <c r="O3584" s="2">
        <v>103.4122</v>
      </c>
      <c r="P3584" s="2">
        <v>123</v>
      </c>
      <c r="Q3584" s="2">
        <v>107.1095</v>
      </c>
      <c r="R3584" s="2">
        <v>293</v>
      </c>
      <c r="S3584" s="2">
        <v>109.03870000000001</v>
      </c>
      <c r="T3584" s="2">
        <v>311</v>
      </c>
      <c r="U3584" s="2">
        <v>0.35222500000000001</v>
      </c>
      <c r="V3584" s="2">
        <v>226</v>
      </c>
      <c r="W3584" s="2">
        <v>2012</v>
      </c>
    </row>
    <row r="3585" spans="1:23" ht="12.3" hidden="1" x14ac:dyDescent="0.4">
      <c r="A3585" s="2" t="s">
        <v>273</v>
      </c>
      <c r="B3585" s="2"/>
      <c r="C3585" s="2"/>
      <c r="D3585" s="2"/>
      <c r="E3585" s="2"/>
      <c r="F3585" s="2"/>
      <c r="G3585" s="2"/>
      <c r="H3585" s="2"/>
      <c r="I3585" s="2">
        <v>66.585099999999997</v>
      </c>
      <c r="J3585" s="2">
        <v>151</v>
      </c>
      <c r="K3585" s="2">
        <v>66.760599999999997</v>
      </c>
      <c r="L3585" s="2">
        <v>132</v>
      </c>
      <c r="M3585" s="2">
        <v>104.7149</v>
      </c>
      <c r="N3585" s="2">
        <v>100</v>
      </c>
      <c r="O3585" s="2">
        <v>104.6966</v>
      </c>
      <c r="P3585" s="2">
        <v>103</v>
      </c>
      <c r="Q3585" s="2">
        <v>109.5838</v>
      </c>
      <c r="R3585" s="2">
        <v>319</v>
      </c>
      <c r="S3585" s="2">
        <v>110.4134</v>
      </c>
      <c r="T3585" s="2">
        <v>323</v>
      </c>
      <c r="U3585" s="2">
        <v>0.35174</v>
      </c>
      <c r="V3585" s="2">
        <v>227</v>
      </c>
      <c r="W3585" s="2">
        <v>2012</v>
      </c>
    </row>
    <row r="3586" spans="1:23" ht="12.3" hidden="1" x14ac:dyDescent="0.4">
      <c r="A3586" s="2" t="s">
        <v>246</v>
      </c>
      <c r="B3586" s="2"/>
      <c r="C3586" s="2"/>
      <c r="D3586" s="2"/>
      <c r="E3586" s="2"/>
      <c r="F3586" s="2"/>
      <c r="G3586" s="2"/>
      <c r="H3586" s="2"/>
      <c r="I3586" s="2">
        <v>67.072299999999998</v>
      </c>
      <c r="J3586" s="2">
        <v>125</v>
      </c>
      <c r="K3586" s="2">
        <v>66.718800000000002</v>
      </c>
      <c r="L3586" s="2">
        <v>134</v>
      </c>
      <c r="M3586" s="2">
        <v>100.18129999999999</v>
      </c>
      <c r="N3586" s="2">
        <v>183</v>
      </c>
      <c r="O3586" s="2">
        <v>100.12090000000001</v>
      </c>
      <c r="P3586" s="2">
        <v>189</v>
      </c>
      <c r="Q3586" s="2">
        <v>105.056</v>
      </c>
      <c r="R3586" s="2">
        <v>264</v>
      </c>
      <c r="S3586" s="2">
        <v>105.7137</v>
      </c>
      <c r="T3586" s="2">
        <v>268</v>
      </c>
      <c r="U3586" s="2">
        <v>0.34862500000000002</v>
      </c>
      <c r="V3586" s="2">
        <v>228</v>
      </c>
      <c r="W3586" s="2">
        <v>2012</v>
      </c>
    </row>
    <row r="3587" spans="1:23" ht="12.3" hidden="1" x14ac:dyDescent="0.4">
      <c r="A3587" s="2" t="s">
        <v>260</v>
      </c>
      <c r="B3587" s="2"/>
      <c r="C3587" s="2"/>
      <c r="D3587" s="2"/>
      <c r="E3587" s="2"/>
      <c r="F3587" s="2"/>
      <c r="G3587" s="2"/>
      <c r="H3587" s="2"/>
      <c r="I3587" s="2">
        <v>64.338999999999999</v>
      </c>
      <c r="J3587" s="2">
        <v>262</v>
      </c>
      <c r="K3587" s="2">
        <v>64.939300000000003</v>
      </c>
      <c r="L3587" s="2">
        <v>224</v>
      </c>
      <c r="M3587" s="2">
        <v>96.9512</v>
      </c>
      <c r="N3587" s="2">
        <v>249</v>
      </c>
      <c r="O3587" s="2">
        <v>97.935500000000005</v>
      </c>
      <c r="P3587" s="2">
        <v>237</v>
      </c>
      <c r="Q3587" s="2">
        <v>102.9605</v>
      </c>
      <c r="R3587" s="2">
        <v>216</v>
      </c>
      <c r="S3587" s="2">
        <v>103.44159999999999</v>
      </c>
      <c r="T3587" s="2">
        <v>220</v>
      </c>
      <c r="U3587" s="2">
        <v>0.34772999999999998</v>
      </c>
      <c r="V3587" s="2">
        <v>229</v>
      </c>
      <c r="W3587" s="2">
        <v>2012</v>
      </c>
    </row>
    <row r="3588" spans="1:23" ht="12.3" hidden="1" x14ac:dyDescent="0.4">
      <c r="A3588" s="2" t="s">
        <v>376</v>
      </c>
      <c r="B3588" s="2"/>
      <c r="C3588" s="2"/>
      <c r="D3588" s="2"/>
      <c r="E3588" s="2"/>
      <c r="F3588" s="2"/>
      <c r="G3588" s="2"/>
      <c r="H3588" s="2"/>
      <c r="I3588" s="2">
        <v>75.2196</v>
      </c>
      <c r="J3588" s="2">
        <v>1</v>
      </c>
      <c r="K3588" s="2">
        <v>76.181100000000001</v>
      </c>
      <c r="L3588" s="2">
        <v>1</v>
      </c>
      <c r="M3588" s="2">
        <v>100.2773</v>
      </c>
      <c r="N3588" s="2">
        <v>180</v>
      </c>
      <c r="O3588" s="2">
        <v>97.100399999999993</v>
      </c>
      <c r="P3588" s="2">
        <v>249</v>
      </c>
      <c r="Q3588" s="2">
        <v>101.6733</v>
      </c>
      <c r="R3588" s="2">
        <v>188</v>
      </c>
      <c r="S3588" s="2">
        <v>102.6853</v>
      </c>
      <c r="T3588" s="2">
        <v>200</v>
      </c>
      <c r="U3588" s="2">
        <v>0.34454000000000001</v>
      </c>
      <c r="V3588" s="2">
        <v>230</v>
      </c>
      <c r="W3588" s="2">
        <v>2012</v>
      </c>
    </row>
    <row r="3589" spans="1:23" ht="12.3" hidden="1" x14ac:dyDescent="0.4">
      <c r="A3589" s="2" t="s">
        <v>196</v>
      </c>
      <c r="B3589" s="2"/>
      <c r="C3589" s="2"/>
      <c r="D3589" s="2"/>
      <c r="E3589" s="2"/>
      <c r="F3589" s="2"/>
      <c r="G3589" s="2"/>
      <c r="H3589" s="2"/>
      <c r="I3589" s="2">
        <v>65.907200000000003</v>
      </c>
      <c r="J3589" s="2">
        <v>187</v>
      </c>
      <c r="K3589" s="2">
        <v>65.570999999999998</v>
      </c>
      <c r="L3589" s="2">
        <v>199</v>
      </c>
      <c r="M3589" s="2">
        <v>96.168099999999995</v>
      </c>
      <c r="N3589" s="2">
        <v>264</v>
      </c>
      <c r="O3589" s="2">
        <v>96.241699999999994</v>
      </c>
      <c r="P3589" s="2">
        <v>267</v>
      </c>
      <c r="Q3589" s="2">
        <v>100.27379999999999</v>
      </c>
      <c r="R3589" s="2">
        <v>158</v>
      </c>
      <c r="S3589" s="2">
        <v>101.8028</v>
      </c>
      <c r="T3589" s="2">
        <v>183</v>
      </c>
      <c r="U3589" s="2">
        <v>0.34388999999999997</v>
      </c>
      <c r="V3589" s="2">
        <v>231</v>
      </c>
      <c r="W3589" s="2">
        <v>2012</v>
      </c>
    </row>
    <row r="3590" spans="1:23" ht="12.3" hidden="1" x14ac:dyDescent="0.4">
      <c r="A3590" s="2" t="s">
        <v>237</v>
      </c>
      <c r="B3590" s="2"/>
      <c r="C3590" s="2"/>
      <c r="D3590" s="2"/>
      <c r="E3590" s="2"/>
      <c r="F3590" s="2"/>
      <c r="G3590" s="2"/>
      <c r="H3590" s="2"/>
      <c r="I3590" s="2">
        <v>64.2624</v>
      </c>
      <c r="J3590" s="2">
        <v>267</v>
      </c>
      <c r="K3590" s="2">
        <v>63.832799999999999</v>
      </c>
      <c r="L3590" s="2">
        <v>279</v>
      </c>
      <c r="M3590" s="2">
        <v>100.52670000000001</v>
      </c>
      <c r="N3590" s="2">
        <v>177</v>
      </c>
      <c r="O3590" s="2">
        <v>96.5</v>
      </c>
      <c r="P3590" s="2">
        <v>260</v>
      </c>
      <c r="Q3590" s="2">
        <v>105.2317</v>
      </c>
      <c r="R3590" s="2">
        <v>269</v>
      </c>
      <c r="S3590" s="2">
        <v>102.1331</v>
      </c>
      <c r="T3590" s="2">
        <v>190</v>
      </c>
      <c r="U3590" s="2">
        <v>0.34244200000000002</v>
      </c>
      <c r="V3590" s="2">
        <v>232</v>
      </c>
      <c r="W3590" s="2">
        <v>2012</v>
      </c>
    </row>
    <row r="3591" spans="1:23" ht="12.3" hidden="1" x14ac:dyDescent="0.4">
      <c r="A3591" s="2" t="s">
        <v>316</v>
      </c>
      <c r="B3591" s="2"/>
      <c r="C3591" s="2"/>
      <c r="D3591" s="2"/>
      <c r="E3591" s="2"/>
      <c r="F3591" s="2"/>
      <c r="G3591" s="2"/>
      <c r="H3591" s="2"/>
      <c r="I3591" s="2">
        <v>68.375799999999998</v>
      </c>
      <c r="J3591" s="2">
        <v>70</v>
      </c>
      <c r="K3591" s="2">
        <v>66.716099999999997</v>
      </c>
      <c r="L3591" s="2">
        <v>135</v>
      </c>
      <c r="M3591" s="2">
        <v>102.7745</v>
      </c>
      <c r="N3591" s="2">
        <v>135</v>
      </c>
      <c r="O3591" s="2">
        <v>100.226</v>
      </c>
      <c r="P3591" s="2">
        <v>186</v>
      </c>
      <c r="Q3591" s="2">
        <v>104.55889999999999</v>
      </c>
      <c r="R3591" s="2">
        <v>254</v>
      </c>
      <c r="S3591" s="2">
        <v>106.2274</v>
      </c>
      <c r="T3591" s="2">
        <v>272</v>
      </c>
      <c r="U3591" s="2">
        <v>0.33877000000000002</v>
      </c>
      <c r="V3591" s="2">
        <v>233</v>
      </c>
      <c r="W3591" s="2">
        <v>2012</v>
      </c>
    </row>
    <row r="3592" spans="1:23" ht="12.3" hidden="1" x14ac:dyDescent="0.4">
      <c r="A3592" s="2" t="s">
        <v>265</v>
      </c>
      <c r="B3592" s="2"/>
      <c r="C3592" s="2"/>
      <c r="D3592" s="2"/>
      <c r="E3592" s="2"/>
      <c r="F3592" s="2"/>
      <c r="G3592" s="2"/>
      <c r="H3592" s="2"/>
      <c r="I3592" s="2">
        <v>61.802100000000003</v>
      </c>
      <c r="J3592" s="2">
        <v>325</v>
      </c>
      <c r="K3592" s="2">
        <v>61.0336</v>
      </c>
      <c r="L3592" s="2">
        <v>331</v>
      </c>
      <c r="M3592" s="2">
        <v>101.27290000000001</v>
      </c>
      <c r="N3592" s="2">
        <v>167</v>
      </c>
      <c r="O3592" s="2">
        <v>100.2574</v>
      </c>
      <c r="P3592" s="2">
        <v>184</v>
      </c>
      <c r="Q3592" s="2">
        <v>103.05840000000001</v>
      </c>
      <c r="R3592" s="2">
        <v>217</v>
      </c>
      <c r="S3592" s="2">
        <v>106.36360000000001</v>
      </c>
      <c r="T3592" s="2">
        <v>276</v>
      </c>
      <c r="U3592" s="2">
        <v>0.336281</v>
      </c>
      <c r="V3592" s="2">
        <v>234</v>
      </c>
      <c r="W3592" s="2">
        <v>2012</v>
      </c>
    </row>
    <row r="3593" spans="1:23" ht="12.3" x14ac:dyDescent="0.4">
      <c r="A3593" s="2" t="s">
        <v>220</v>
      </c>
      <c r="B3593" s="2">
        <v>15</v>
      </c>
      <c r="C3593" s="2"/>
      <c r="D3593" s="2"/>
      <c r="E3593" s="2"/>
      <c r="F3593" s="2"/>
      <c r="G3593" s="2"/>
      <c r="H3593" s="2"/>
      <c r="I3593" s="2">
        <v>65.257099999999994</v>
      </c>
      <c r="J3593" s="2">
        <v>254</v>
      </c>
      <c r="K3593" s="2">
        <v>66.093000000000004</v>
      </c>
      <c r="L3593" s="2">
        <v>222</v>
      </c>
      <c r="M3593" s="2">
        <v>101.6133</v>
      </c>
      <c r="N3593" s="2">
        <v>148</v>
      </c>
      <c r="O3593" s="2">
        <v>99.417500000000004</v>
      </c>
      <c r="P3593" s="2">
        <v>194</v>
      </c>
      <c r="Q3593" s="2">
        <v>95.119200000000006</v>
      </c>
      <c r="R3593" s="2">
        <v>43</v>
      </c>
      <c r="S3593" s="2">
        <v>99.984800000000007</v>
      </c>
      <c r="T3593" s="2">
        <v>137</v>
      </c>
      <c r="U3593" s="2">
        <v>0.48364800000000002</v>
      </c>
      <c r="V3593" s="2">
        <v>159</v>
      </c>
      <c r="W3593" s="2">
        <v>2004</v>
      </c>
    </row>
    <row r="3594" spans="1:23" ht="12.3" hidden="1" x14ac:dyDescent="0.4">
      <c r="A3594" s="2" t="s">
        <v>330</v>
      </c>
      <c r="B3594" s="2"/>
      <c r="C3594" s="2"/>
      <c r="D3594" s="2"/>
      <c r="E3594" s="2"/>
      <c r="F3594" s="2"/>
      <c r="G3594" s="2"/>
      <c r="H3594" s="2"/>
      <c r="I3594" s="2">
        <v>64.558800000000005</v>
      </c>
      <c r="J3594" s="2">
        <v>248</v>
      </c>
      <c r="K3594" s="2">
        <v>64.716399999999993</v>
      </c>
      <c r="L3594" s="2">
        <v>249</v>
      </c>
      <c r="M3594" s="2">
        <v>106.14060000000001</v>
      </c>
      <c r="N3594" s="2">
        <v>75</v>
      </c>
      <c r="O3594" s="2">
        <v>104.11020000000001</v>
      </c>
      <c r="P3594" s="2">
        <v>110</v>
      </c>
      <c r="Q3594" s="2">
        <v>108.7012</v>
      </c>
      <c r="R3594" s="2">
        <v>310</v>
      </c>
      <c r="S3594" s="2">
        <v>110.9053</v>
      </c>
      <c r="T3594" s="2">
        <v>326</v>
      </c>
      <c r="U3594" s="2">
        <v>0.32582899999999998</v>
      </c>
      <c r="V3594" s="2">
        <v>236</v>
      </c>
      <c r="W3594" s="2">
        <v>2012</v>
      </c>
    </row>
    <row r="3595" spans="1:23" ht="12.3" hidden="1" x14ac:dyDescent="0.4">
      <c r="A3595" s="2" t="s">
        <v>153</v>
      </c>
      <c r="B3595" s="2"/>
      <c r="C3595" s="2"/>
      <c r="D3595" s="2"/>
      <c r="E3595" s="2"/>
      <c r="F3595" s="2"/>
      <c r="G3595" s="2"/>
      <c r="H3595" s="2"/>
      <c r="I3595" s="2">
        <v>66.080500000000001</v>
      </c>
      <c r="J3595" s="2">
        <v>180</v>
      </c>
      <c r="K3595" s="2">
        <v>66.096400000000003</v>
      </c>
      <c r="L3595" s="2">
        <v>163</v>
      </c>
      <c r="M3595" s="2">
        <v>97.398300000000006</v>
      </c>
      <c r="N3595" s="2">
        <v>245</v>
      </c>
      <c r="O3595" s="2">
        <v>95.679299999999998</v>
      </c>
      <c r="P3595" s="2">
        <v>280</v>
      </c>
      <c r="Q3595" s="2">
        <v>101.99339999999999</v>
      </c>
      <c r="R3595" s="2">
        <v>196</v>
      </c>
      <c r="S3595" s="2">
        <v>101.99420000000001</v>
      </c>
      <c r="T3595" s="2">
        <v>188</v>
      </c>
      <c r="U3595" s="2">
        <v>0.32409700000000002</v>
      </c>
      <c r="V3595" s="2">
        <v>237</v>
      </c>
      <c r="W3595" s="2">
        <v>2012</v>
      </c>
    </row>
    <row r="3596" spans="1:23" ht="12.3" hidden="1" x14ac:dyDescent="0.4">
      <c r="A3596" s="2" t="s">
        <v>319</v>
      </c>
      <c r="B3596" s="2"/>
      <c r="C3596" s="2"/>
      <c r="D3596" s="2"/>
      <c r="E3596" s="2"/>
      <c r="F3596" s="2"/>
      <c r="G3596" s="2"/>
      <c r="H3596" s="2"/>
      <c r="I3596" s="2">
        <v>69.322400000000002</v>
      </c>
      <c r="J3596" s="2">
        <v>42</v>
      </c>
      <c r="K3596" s="2">
        <v>68.303299999999993</v>
      </c>
      <c r="L3596" s="2">
        <v>69</v>
      </c>
      <c r="M3596" s="2">
        <v>105.0586</v>
      </c>
      <c r="N3596" s="2">
        <v>95</v>
      </c>
      <c r="O3596" s="2">
        <v>101.26130000000001</v>
      </c>
      <c r="P3596" s="2">
        <v>166</v>
      </c>
      <c r="Q3596" s="2">
        <v>106.71339999999999</v>
      </c>
      <c r="R3596" s="2">
        <v>290</v>
      </c>
      <c r="S3596" s="2">
        <v>107.95050000000001</v>
      </c>
      <c r="T3596" s="2">
        <v>295</v>
      </c>
      <c r="U3596" s="2">
        <v>0.32396000000000003</v>
      </c>
      <c r="V3596" s="2">
        <v>238</v>
      </c>
      <c r="W3596" s="2">
        <v>2012</v>
      </c>
    </row>
    <row r="3597" spans="1:23" ht="12.3" hidden="1" x14ac:dyDescent="0.4">
      <c r="A3597" s="2" t="s">
        <v>194</v>
      </c>
      <c r="B3597" s="2"/>
      <c r="C3597" s="2"/>
      <c r="D3597" s="2"/>
      <c r="E3597" s="2"/>
      <c r="F3597" s="2"/>
      <c r="G3597" s="2"/>
      <c r="H3597" s="2"/>
      <c r="I3597" s="2">
        <v>68.424499999999995</v>
      </c>
      <c r="J3597" s="2">
        <v>67</v>
      </c>
      <c r="K3597" s="2">
        <v>68.179000000000002</v>
      </c>
      <c r="L3597" s="2">
        <v>76</v>
      </c>
      <c r="M3597" s="2">
        <v>101.8925</v>
      </c>
      <c r="N3597" s="2">
        <v>156</v>
      </c>
      <c r="O3597" s="2">
        <v>101.49250000000001</v>
      </c>
      <c r="P3597" s="2">
        <v>158</v>
      </c>
      <c r="Q3597" s="2">
        <v>107.66030000000001</v>
      </c>
      <c r="R3597" s="2">
        <v>301</v>
      </c>
      <c r="S3597" s="2">
        <v>108.3366</v>
      </c>
      <c r="T3597" s="2">
        <v>303</v>
      </c>
      <c r="U3597" s="2">
        <v>0.32071899999999998</v>
      </c>
      <c r="V3597" s="2">
        <v>239</v>
      </c>
      <c r="W3597" s="2">
        <v>2012</v>
      </c>
    </row>
    <row r="3598" spans="1:23" ht="12.3" hidden="1" x14ac:dyDescent="0.4">
      <c r="A3598" s="2" t="s">
        <v>214</v>
      </c>
      <c r="B3598" s="2"/>
      <c r="C3598" s="2"/>
      <c r="D3598" s="2"/>
      <c r="E3598" s="2"/>
      <c r="F3598" s="2"/>
      <c r="G3598" s="2"/>
      <c r="H3598" s="2"/>
      <c r="I3598" s="2">
        <v>66.942899999999995</v>
      </c>
      <c r="J3598" s="2">
        <v>132</v>
      </c>
      <c r="K3598" s="2">
        <v>66.894599999999997</v>
      </c>
      <c r="L3598" s="2">
        <v>128</v>
      </c>
      <c r="M3598" s="2">
        <v>96.452799999999996</v>
      </c>
      <c r="N3598" s="2">
        <v>258</v>
      </c>
      <c r="O3598" s="2">
        <v>97.387500000000003</v>
      </c>
      <c r="P3598" s="2">
        <v>241</v>
      </c>
      <c r="Q3598" s="2">
        <v>107.1233</v>
      </c>
      <c r="R3598" s="2">
        <v>294</v>
      </c>
      <c r="S3598" s="2">
        <v>103.9752</v>
      </c>
      <c r="T3598" s="2">
        <v>233</v>
      </c>
      <c r="U3598" s="2">
        <v>0.32022800000000001</v>
      </c>
      <c r="V3598" s="2">
        <v>240</v>
      </c>
      <c r="W3598" s="2">
        <v>2012</v>
      </c>
    </row>
    <row r="3599" spans="1:23" ht="12.3" hidden="1" x14ac:dyDescent="0.4">
      <c r="A3599" s="2" t="s">
        <v>83</v>
      </c>
      <c r="B3599" s="2"/>
      <c r="C3599" s="2"/>
      <c r="D3599" s="2"/>
      <c r="E3599" s="2"/>
      <c r="F3599" s="2"/>
      <c r="G3599" s="2"/>
      <c r="H3599" s="2"/>
      <c r="I3599" s="2">
        <v>66.739900000000006</v>
      </c>
      <c r="J3599" s="2">
        <v>146</v>
      </c>
      <c r="K3599" s="2">
        <v>67.043099999999995</v>
      </c>
      <c r="L3599" s="2">
        <v>119</v>
      </c>
      <c r="M3599" s="2">
        <v>97.425299999999993</v>
      </c>
      <c r="N3599" s="2">
        <v>244</v>
      </c>
      <c r="O3599" s="2">
        <v>98.020499999999998</v>
      </c>
      <c r="P3599" s="2">
        <v>233</v>
      </c>
      <c r="Q3599" s="2">
        <v>105.7824</v>
      </c>
      <c r="R3599" s="2">
        <v>280</v>
      </c>
      <c r="S3599" s="2">
        <v>104.7693</v>
      </c>
      <c r="T3599" s="2">
        <v>251</v>
      </c>
      <c r="U3599" s="2">
        <v>0.31740699999999999</v>
      </c>
      <c r="V3599" s="2">
        <v>241</v>
      </c>
      <c r="W3599" s="2">
        <v>2012</v>
      </c>
    </row>
    <row r="3600" spans="1:23" ht="12.3" hidden="1" x14ac:dyDescent="0.4">
      <c r="A3600" s="2" t="s">
        <v>372</v>
      </c>
      <c r="B3600" s="2"/>
      <c r="C3600" s="2"/>
      <c r="D3600" s="2"/>
      <c r="E3600" s="2"/>
      <c r="F3600" s="2"/>
      <c r="G3600" s="2"/>
      <c r="H3600" s="2"/>
      <c r="I3600" s="2">
        <v>66.936700000000002</v>
      </c>
      <c r="J3600" s="2">
        <v>133</v>
      </c>
      <c r="K3600" s="2">
        <v>65.829700000000003</v>
      </c>
      <c r="L3600" s="2">
        <v>186</v>
      </c>
      <c r="M3600" s="2">
        <v>99.610399999999998</v>
      </c>
      <c r="N3600" s="2">
        <v>196</v>
      </c>
      <c r="O3600" s="2">
        <v>97.921199999999999</v>
      </c>
      <c r="P3600" s="2">
        <v>238</v>
      </c>
      <c r="Q3600" s="2">
        <v>99.124799999999993</v>
      </c>
      <c r="R3600" s="2">
        <v>130</v>
      </c>
      <c r="S3600" s="2">
        <v>104.705</v>
      </c>
      <c r="T3600" s="2">
        <v>248</v>
      </c>
      <c r="U3600" s="2">
        <v>0.316413</v>
      </c>
      <c r="V3600" s="2">
        <v>242</v>
      </c>
      <c r="W3600" s="2">
        <v>2012</v>
      </c>
    </row>
    <row r="3601" spans="1:23" ht="12.3" hidden="1" x14ac:dyDescent="0.4">
      <c r="A3601" s="2" t="s">
        <v>59</v>
      </c>
      <c r="B3601" s="2"/>
      <c r="C3601" s="2"/>
      <c r="D3601" s="2"/>
      <c r="E3601" s="2"/>
      <c r="F3601" s="2"/>
      <c r="G3601" s="2"/>
      <c r="H3601" s="2"/>
      <c r="I3601" s="2">
        <v>65.503799999999998</v>
      </c>
      <c r="J3601" s="2">
        <v>204</v>
      </c>
      <c r="K3601" s="2">
        <v>64.730699999999999</v>
      </c>
      <c r="L3601" s="2">
        <v>246</v>
      </c>
      <c r="M3601" s="2">
        <v>90.190600000000003</v>
      </c>
      <c r="N3601" s="2">
        <v>324</v>
      </c>
      <c r="O3601" s="2">
        <v>92.156199999999998</v>
      </c>
      <c r="P3601" s="2">
        <v>308</v>
      </c>
      <c r="Q3601" s="2">
        <v>104.1422</v>
      </c>
      <c r="R3601" s="2">
        <v>242</v>
      </c>
      <c r="S3601" s="2">
        <v>98.590900000000005</v>
      </c>
      <c r="T3601" s="2">
        <v>115</v>
      </c>
      <c r="U3601" s="2">
        <v>0.31514399999999998</v>
      </c>
      <c r="V3601" s="2">
        <v>243</v>
      </c>
      <c r="W3601" s="2">
        <v>2012</v>
      </c>
    </row>
    <row r="3602" spans="1:23" ht="12.3" hidden="1" x14ac:dyDescent="0.4">
      <c r="A3602" s="2" t="s">
        <v>99</v>
      </c>
      <c r="B3602" s="2"/>
      <c r="C3602" s="2"/>
      <c r="D3602" s="2"/>
      <c r="E3602" s="2"/>
      <c r="F3602" s="2"/>
      <c r="G3602" s="2"/>
      <c r="H3602" s="2"/>
      <c r="I3602" s="2">
        <v>63.412500000000001</v>
      </c>
      <c r="J3602" s="2">
        <v>288</v>
      </c>
      <c r="K3602" s="2">
        <v>63.581499999999998</v>
      </c>
      <c r="L3602" s="2">
        <v>284</v>
      </c>
      <c r="M3602" s="2">
        <v>95.938699999999997</v>
      </c>
      <c r="N3602" s="2">
        <v>270</v>
      </c>
      <c r="O3602" s="2">
        <v>98.5184</v>
      </c>
      <c r="P3602" s="2">
        <v>227</v>
      </c>
      <c r="Q3602" s="2">
        <v>104.8926</v>
      </c>
      <c r="R3602" s="2">
        <v>261</v>
      </c>
      <c r="S3602" s="2">
        <v>105.6027</v>
      </c>
      <c r="T3602" s="2">
        <v>265</v>
      </c>
      <c r="U3602" s="2">
        <v>0.31033100000000002</v>
      </c>
      <c r="V3602" s="2">
        <v>244</v>
      </c>
      <c r="W3602" s="2">
        <v>2012</v>
      </c>
    </row>
    <row r="3603" spans="1:23" ht="12.3" hidden="1" x14ac:dyDescent="0.4">
      <c r="A3603" s="2" t="s">
        <v>195</v>
      </c>
      <c r="B3603" s="2"/>
      <c r="C3603" s="2"/>
      <c r="D3603" s="2"/>
      <c r="E3603" s="2"/>
      <c r="F3603" s="2"/>
      <c r="G3603" s="2"/>
      <c r="H3603" s="2"/>
      <c r="I3603" s="2">
        <v>64.425899999999999</v>
      </c>
      <c r="J3603" s="2">
        <v>258</v>
      </c>
      <c r="K3603" s="2">
        <v>64.9923</v>
      </c>
      <c r="L3603" s="2">
        <v>221</v>
      </c>
      <c r="M3603" s="2">
        <v>98.716700000000003</v>
      </c>
      <c r="N3603" s="2">
        <v>213</v>
      </c>
      <c r="O3603" s="2">
        <v>96.275899999999993</v>
      </c>
      <c r="P3603" s="2">
        <v>266</v>
      </c>
      <c r="Q3603" s="2">
        <v>102.11539999999999</v>
      </c>
      <c r="R3603" s="2">
        <v>199</v>
      </c>
      <c r="S3603" s="2">
        <v>103.2171</v>
      </c>
      <c r="T3603" s="2">
        <v>214</v>
      </c>
      <c r="U3603" s="2">
        <v>0.30990000000000001</v>
      </c>
      <c r="V3603" s="2">
        <v>245</v>
      </c>
      <c r="W3603" s="2">
        <v>2012</v>
      </c>
    </row>
    <row r="3604" spans="1:23" ht="12.3" hidden="1" x14ac:dyDescent="0.4">
      <c r="A3604" s="2" t="s">
        <v>143</v>
      </c>
      <c r="B3604" s="2"/>
      <c r="C3604" s="2"/>
      <c r="D3604" s="2"/>
      <c r="E3604" s="2"/>
      <c r="F3604" s="2"/>
      <c r="G3604" s="2"/>
      <c r="H3604" s="2"/>
      <c r="I3604" s="2">
        <v>69.004900000000006</v>
      </c>
      <c r="J3604" s="2">
        <v>48</v>
      </c>
      <c r="K3604" s="2">
        <v>68.465999999999994</v>
      </c>
      <c r="L3604" s="2">
        <v>62</v>
      </c>
      <c r="M3604" s="2">
        <v>97.678799999999995</v>
      </c>
      <c r="N3604" s="2">
        <v>238</v>
      </c>
      <c r="O3604" s="2">
        <v>96.715699999999998</v>
      </c>
      <c r="P3604" s="2">
        <v>256</v>
      </c>
      <c r="Q3604" s="2">
        <v>104.32510000000001</v>
      </c>
      <c r="R3604" s="2">
        <v>246</v>
      </c>
      <c r="S3604" s="2">
        <v>103.7664</v>
      </c>
      <c r="T3604" s="2">
        <v>226</v>
      </c>
      <c r="U3604" s="2">
        <v>0.308058</v>
      </c>
      <c r="V3604" s="2">
        <v>246</v>
      </c>
      <c r="W3604" s="2">
        <v>2012</v>
      </c>
    </row>
    <row r="3605" spans="1:23" ht="12.3" hidden="1" x14ac:dyDescent="0.4">
      <c r="A3605" s="2" t="s">
        <v>200</v>
      </c>
      <c r="B3605" s="2"/>
      <c r="C3605" s="2"/>
      <c r="D3605" s="2"/>
      <c r="E3605" s="2"/>
      <c r="F3605" s="2"/>
      <c r="G3605" s="2"/>
      <c r="H3605" s="2"/>
      <c r="I3605" s="2">
        <v>66.338099999999997</v>
      </c>
      <c r="J3605" s="2">
        <v>167</v>
      </c>
      <c r="K3605" s="2">
        <v>66.290899999999993</v>
      </c>
      <c r="L3605" s="2">
        <v>152</v>
      </c>
      <c r="M3605" s="2">
        <v>98.979200000000006</v>
      </c>
      <c r="N3605" s="2">
        <v>205</v>
      </c>
      <c r="O3605" s="2">
        <v>99.610699999999994</v>
      </c>
      <c r="P3605" s="2">
        <v>202</v>
      </c>
      <c r="Q3605" s="2">
        <v>104.431</v>
      </c>
      <c r="R3605" s="2">
        <v>250</v>
      </c>
      <c r="S3605" s="2">
        <v>106.8901</v>
      </c>
      <c r="T3605" s="2">
        <v>280</v>
      </c>
      <c r="U3605" s="2">
        <v>0.30765500000000001</v>
      </c>
      <c r="V3605" s="2">
        <v>247</v>
      </c>
      <c r="W3605" s="2">
        <v>2012</v>
      </c>
    </row>
    <row r="3606" spans="1:23" ht="12.3" hidden="1" x14ac:dyDescent="0.4">
      <c r="A3606" s="2" t="s">
        <v>298</v>
      </c>
      <c r="B3606" s="2"/>
      <c r="C3606" s="2"/>
      <c r="D3606" s="2"/>
      <c r="E3606" s="2"/>
      <c r="F3606" s="2"/>
      <c r="G3606" s="2"/>
      <c r="H3606" s="2"/>
      <c r="I3606" s="2">
        <v>72.252200000000002</v>
      </c>
      <c r="J3606" s="2">
        <v>11</v>
      </c>
      <c r="K3606" s="2">
        <v>71.558499999999995</v>
      </c>
      <c r="L3606" s="2">
        <v>14</v>
      </c>
      <c r="M3606" s="2">
        <v>97.994699999999995</v>
      </c>
      <c r="N3606" s="2">
        <v>232</v>
      </c>
      <c r="O3606" s="2">
        <v>99.932100000000005</v>
      </c>
      <c r="P3606" s="2">
        <v>192</v>
      </c>
      <c r="Q3606" s="2">
        <v>107.6812</v>
      </c>
      <c r="R3606" s="2">
        <v>302</v>
      </c>
      <c r="S3606" s="2">
        <v>107.411</v>
      </c>
      <c r="T3606" s="2">
        <v>286</v>
      </c>
      <c r="U3606" s="2">
        <v>0.303651</v>
      </c>
      <c r="V3606" s="2">
        <v>248</v>
      </c>
      <c r="W3606" s="2">
        <v>2012</v>
      </c>
    </row>
    <row r="3607" spans="1:23" ht="12.3" hidden="1" x14ac:dyDescent="0.4">
      <c r="A3607" s="2" t="s">
        <v>370</v>
      </c>
      <c r="B3607" s="2"/>
      <c r="C3607" s="2"/>
      <c r="D3607" s="2"/>
      <c r="E3607" s="2"/>
      <c r="F3607" s="2"/>
      <c r="G3607" s="2"/>
      <c r="H3607" s="2"/>
      <c r="I3607" s="2">
        <v>66.2483</v>
      </c>
      <c r="J3607" s="2">
        <v>170</v>
      </c>
      <c r="K3607" s="2">
        <v>65.593500000000006</v>
      </c>
      <c r="L3607" s="2">
        <v>195</v>
      </c>
      <c r="M3607" s="2">
        <v>103.0145</v>
      </c>
      <c r="N3607" s="2">
        <v>128</v>
      </c>
      <c r="O3607" s="2">
        <v>99.7346</v>
      </c>
      <c r="P3607" s="2">
        <v>197</v>
      </c>
      <c r="Q3607" s="2">
        <v>105.71550000000001</v>
      </c>
      <c r="R3607" s="2">
        <v>276</v>
      </c>
      <c r="S3607" s="2">
        <v>107.38800000000001</v>
      </c>
      <c r="T3607" s="2">
        <v>285</v>
      </c>
      <c r="U3607" s="2">
        <v>0.29937799999999998</v>
      </c>
      <c r="V3607" s="2">
        <v>249</v>
      </c>
      <c r="W3607" s="2">
        <v>2012</v>
      </c>
    </row>
    <row r="3608" spans="1:23" ht="12.3" hidden="1" x14ac:dyDescent="0.4">
      <c r="A3608" s="2" t="s">
        <v>110</v>
      </c>
      <c r="B3608" s="2"/>
      <c r="C3608" s="2"/>
      <c r="D3608" s="2"/>
      <c r="E3608" s="2"/>
      <c r="F3608" s="2"/>
      <c r="G3608" s="2"/>
      <c r="H3608" s="2"/>
      <c r="I3608" s="2">
        <v>69.805099999999996</v>
      </c>
      <c r="J3608" s="2">
        <v>35</v>
      </c>
      <c r="K3608" s="2">
        <v>69.517799999999994</v>
      </c>
      <c r="L3608" s="2">
        <v>32</v>
      </c>
      <c r="M3608" s="2">
        <v>96.075400000000002</v>
      </c>
      <c r="N3608" s="2">
        <v>265</v>
      </c>
      <c r="O3608" s="2">
        <v>95.927999999999997</v>
      </c>
      <c r="P3608" s="2">
        <v>277</v>
      </c>
      <c r="Q3608" s="2">
        <v>103.3886</v>
      </c>
      <c r="R3608" s="2">
        <v>225</v>
      </c>
      <c r="S3608" s="2">
        <v>103.29049999999999</v>
      </c>
      <c r="T3608" s="2">
        <v>216</v>
      </c>
      <c r="U3608" s="2">
        <v>0.299348</v>
      </c>
      <c r="V3608" s="2">
        <v>250</v>
      </c>
      <c r="W3608" s="2">
        <v>2012</v>
      </c>
    </row>
    <row r="3609" spans="1:23" ht="12.3" hidden="1" x14ac:dyDescent="0.4">
      <c r="A3609" s="2" t="s">
        <v>313</v>
      </c>
      <c r="B3609" s="2"/>
      <c r="C3609" s="2"/>
      <c r="D3609" s="2"/>
      <c r="E3609" s="2"/>
      <c r="F3609" s="2"/>
      <c r="G3609" s="2"/>
      <c r="H3609" s="2"/>
      <c r="I3609" s="2">
        <v>64.488</v>
      </c>
      <c r="J3609" s="2">
        <v>252</v>
      </c>
      <c r="K3609" s="2">
        <v>63.3461</v>
      </c>
      <c r="L3609" s="2">
        <v>292</v>
      </c>
      <c r="M3609" s="2">
        <v>100.26430000000001</v>
      </c>
      <c r="N3609" s="2">
        <v>181</v>
      </c>
      <c r="O3609" s="2">
        <v>101.4755</v>
      </c>
      <c r="P3609" s="2">
        <v>160</v>
      </c>
      <c r="Q3609" s="2">
        <v>103.8657</v>
      </c>
      <c r="R3609" s="2">
        <v>236</v>
      </c>
      <c r="S3609" s="2">
        <v>109.54649999999999</v>
      </c>
      <c r="T3609" s="2">
        <v>315</v>
      </c>
      <c r="U3609" s="2">
        <v>0.29315400000000003</v>
      </c>
      <c r="V3609" s="2">
        <v>251</v>
      </c>
      <c r="W3609" s="2">
        <v>2012</v>
      </c>
    </row>
    <row r="3610" spans="1:23" ht="12.3" hidden="1" x14ac:dyDescent="0.4">
      <c r="A3610" s="2" t="s">
        <v>253</v>
      </c>
      <c r="B3610" s="2"/>
      <c r="C3610" s="2"/>
      <c r="D3610" s="2"/>
      <c r="E3610" s="2"/>
      <c r="F3610" s="2"/>
      <c r="G3610" s="2"/>
      <c r="H3610" s="2"/>
      <c r="I3610" s="2">
        <v>67.0715</v>
      </c>
      <c r="J3610" s="2">
        <v>126</v>
      </c>
      <c r="K3610" s="2">
        <v>66.564999999999998</v>
      </c>
      <c r="L3610" s="2">
        <v>140</v>
      </c>
      <c r="M3610" s="2">
        <v>99.512100000000004</v>
      </c>
      <c r="N3610" s="2">
        <v>199</v>
      </c>
      <c r="O3610" s="2">
        <v>98.371200000000002</v>
      </c>
      <c r="P3610" s="2">
        <v>229</v>
      </c>
      <c r="Q3610" s="2">
        <v>105.3771</v>
      </c>
      <c r="R3610" s="2">
        <v>273</v>
      </c>
      <c r="S3610" s="2">
        <v>106.35760000000001</v>
      </c>
      <c r="T3610" s="2">
        <v>275</v>
      </c>
      <c r="U3610" s="2">
        <v>0.28952600000000001</v>
      </c>
      <c r="V3610" s="2">
        <v>252</v>
      </c>
      <c r="W3610" s="2">
        <v>2012</v>
      </c>
    </row>
    <row r="3611" spans="1:23" ht="12.3" hidden="1" x14ac:dyDescent="0.4">
      <c r="A3611" s="2" t="s">
        <v>249</v>
      </c>
      <c r="B3611" s="2"/>
      <c r="C3611" s="2"/>
      <c r="D3611" s="2"/>
      <c r="E3611" s="2"/>
      <c r="F3611" s="2"/>
      <c r="G3611" s="2"/>
      <c r="H3611" s="2"/>
      <c r="I3611" s="2">
        <v>67.840299999999999</v>
      </c>
      <c r="J3611" s="2">
        <v>90</v>
      </c>
      <c r="K3611" s="2">
        <v>66.989199999999997</v>
      </c>
      <c r="L3611" s="2">
        <v>124</v>
      </c>
      <c r="M3611" s="2">
        <v>91.073300000000003</v>
      </c>
      <c r="N3611" s="2">
        <v>315</v>
      </c>
      <c r="O3611" s="2">
        <v>94.008799999999994</v>
      </c>
      <c r="P3611" s="2">
        <v>289</v>
      </c>
      <c r="Q3611" s="2">
        <v>105.3236</v>
      </c>
      <c r="R3611" s="2">
        <v>271</v>
      </c>
      <c r="S3611" s="2">
        <v>101.6502</v>
      </c>
      <c r="T3611" s="2">
        <v>179</v>
      </c>
      <c r="U3611" s="2">
        <v>0.28931299999999999</v>
      </c>
      <c r="V3611" s="2">
        <v>253</v>
      </c>
      <c r="W3611" s="2">
        <v>2012</v>
      </c>
    </row>
    <row r="3612" spans="1:23" ht="12.3" hidden="1" x14ac:dyDescent="0.4">
      <c r="A3612" s="2" t="s">
        <v>378</v>
      </c>
      <c r="B3612" s="2"/>
      <c r="C3612" s="2"/>
      <c r="D3612" s="2"/>
      <c r="E3612" s="2"/>
      <c r="F3612" s="2"/>
      <c r="G3612" s="2"/>
      <c r="H3612" s="2"/>
      <c r="I3612" s="2">
        <v>67.797200000000004</v>
      </c>
      <c r="J3612" s="2">
        <v>93</v>
      </c>
      <c r="K3612" s="2">
        <v>67.282700000000006</v>
      </c>
      <c r="L3612" s="2">
        <v>112</v>
      </c>
      <c r="M3612" s="2">
        <v>96.867599999999996</v>
      </c>
      <c r="N3612" s="2">
        <v>252</v>
      </c>
      <c r="O3612" s="2">
        <v>93.868799999999993</v>
      </c>
      <c r="P3612" s="2">
        <v>290</v>
      </c>
      <c r="Q3612" s="2">
        <v>100.14749999999999</v>
      </c>
      <c r="R3612" s="2">
        <v>153</v>
      </c>
      <c r="S3612" s="2">
        <v>101.54470000000001</v>
      </c>
      <c r="T3612" s="2">
        <v>175</v>
      </c>
      <c r="U3612" s="2">
        <v>0.288248</v>
      </c>
      <c r="V3612" s="2">
        <v>254</v>
      </c>
      <c r="W3612" s="2">
        <v>2012</v>
      </c>
    </row>
    <row r="3613" spans="1:23" ht="12.3" hidden="1" x14ac:dyDescent="0.4">
      <c r="A3613" s="2" t="s">
        <v>368</v>
      </c>
      <c r="B3613" s="2"/>
      <c r="C3613" s="2"/>
      <c r="D3613" s="2"/>
      <c r="E3613" s="2"/>
      <c r="F3613" s="2"/>
      <c r="G3613" s="2"/>
      <c r="H3613" s="2"/>
      <c r="I3613" s="2">
        <v>61.430199999999999</v>
      </c>
      <c r="J3613" s="2">
        <v>327</v>
      </c>
      <c r="K3613" s="2">
        <v>60.965899999999998</v>
      </c>
      <c r="L3613" s="2">
        <v>333</v>
      </c>
      <c r="M3613" s="2">
        <v>103.45869999999999</v>
      </c>
      <c r="N3613" s="2">
        <v>119</v>
      </c>
      <c r="O3613" s="2">
        <v>100.5766</v>
      </c>
      <c r="P3613" s="2">
        <v>174</v>
      </c>
      <c r="Q3613" s="2">
        <v>106.64409999999999</v>
      </c>
      <c r="R3613" s="2">
        <v>289</v>
      </c>
      <c r="S3613" s="2">
        <v>108.82989999999999</v>
      </c>
      <c r="T3613" s="2">
        <v>307</v>
      </c>
      <c r="U3613" s="2">
        <v>0.28761999999999999</v>
      </c>
      <c r="V3613" s="2">
        <v>255</v>
      </c>
      <c r="W3613" s="2">
        <v>2012</v>
      </c>
    </row>
    <row r="3614" spans="1:23" ht="12.3" hidden="1" x14ac:dyDescent="0.4">
      <c r="A3614" s="2" t="s">
        <v>354</v>
      </c>
      <c r="B3614" s="2"/>
      <c r="C3614" s="2"/>
      <c r="D3614" s="2"/>
      <c r="E3614" s="2"/>
      <c r="F3614" s="2"/>
      <c r="G3614" s="2"/>
      <c r="H3614" s="2"/>
      <c r="I3614" s="2">
        <v>73.993700000000004</v>
      </c>
      <c r="J3614" s="2">
        <v>4</v>
      </c>
      <c r="K3614" s="2">
        <v>72.536199999999994</v>
      </c>
      <c r="L3614" s="2">
        <v>7</v>
      </c>
      <c r="M3614" s="2">
        <v>99.580699999999993</v>
      </c>
      <c r="N3614" s="2">
        <v>198</v>
      </c>
      <c r="O3614" s="2">
        <v>98.646900000000002</v>
      </c>
      <c r="P3614" s="2">
        <v>225</v>
      </c>
      <c r="Q3614" s="2">
        <v>104.43989999999999</v>
      </c>
      <c r="R3614" s="2">
        <v>251</v>
      </c>
      <c r="S3614" s="2">
        <v>106.80540000000001</v>
      </c>
      <c r="T3614" s="2">
        <v>279</v>
      </c>
      <c r="U3614" s="2">
        <v>0.28622199999999998</v>
      </c>
      <c r="V3614" s="2">
        <v>256</v>
      </c>
      <c r="W3614" s="2">
        <v>2012</v>
      </c>
    </row>
    <row r="3615" spans="1:23" ht="12.3" hidden="1" x14ac:dyDescent="0.4">
      <c r="A3615" s="2" t="s">
        <v>306</v>
      </c>
      <c r="B3615" s="2"/>
      <c r="C3615" s="2"/>
      <c r="D3615" s="2"/>
      <c r="E3615" s="2"/>
      <c r="F3615" s="2"/>
      <c r="G3615" s="2"/>
      <c r="H3615" s="2"/>
      <c r="I3615" s="2">
        <v>69.8095</v>
      </c>
      <c r="J3615" s="2">
        <v>34</v>
      </c>
      <c r="K3615" s="2">
        <v>69.214600000000004</v>
      </c>
      <c r="L3615" s="2">
        <v>42</v>
      </c>
      <c r="M3615" s="2">
        <v>96.823599999999999</v>
      </c>
      <c r="N3615" s="2">
        <v>253</v>
      </c>
      <c r="O3615" s="2">
        <v>97.142300000000006</v>
      </c>
      <c r="P3615" s="2">
        <v>248</v>
      </c>
      <c r="Q3615" s="2">
        <v>102.7068</v>
      </c>
      <c r="R3615" s="2">
        <v>212</v>
      </c>
      <c r="S3615" s="2">
        <v>105.2679</v>
      </c>
      <c r="T3615" s="2">
        <v>262</v>
      </c>
      <c r="U3615" s="2">
        <v>0.28418199999999999</v>
      </c>
      <c r="V3615" s="2">
        <v>257</v>
      </c>
      <c r="W3615" s="2">
        <v>2012</v>
      </c>
    </row>
    <row r="3616" spans="1:23" ht="12.3" hidden="1" x14ac:dyDescent="0.4">
      <c r="A3616" s="2" t="s">
        <v>358</v>
      </c>
      <c r="B3616" s="2"/>
      <c r="C3616" s="2"/>
      <c r="D3616" s="2"/>
      <c r="E3616" s="2"/>
      <c r="F3616" s="2"/>
      <c r="G3616" s="2"/>
      <c r="H3616" s="2"/>
      <c r="I3616" s="2">
        <v>66.902100000000004</v>
      </c>
      <c r="J3616" s="2">
        <v>137</v>
      </c>
      <c r="K3616" s="2">
        <v>67.044300000000007</v>
      </c>
      <c r="L3616" s="2">
        <v>118</v>
      </c>
      <c r="M3616" s="2">
        <v>105.498</v>
      </c>
      <c r="N3616" s="2">
        <v>87</v>
      </c>
      <c r="O3616" s="2">
        <v>102.43980000000001</v>
      </c>
      <c r="P3616" s="2">
        <v>141</v>
      </c>
      <c r="Q3616" s="2">
        <v>111.407</v>
      </c>
      <c r="R3616" s="2">
        <v>333</v>
      </c>
      <c r="S3616" s="2">
        <v>111.1294</v>
      </c>
      <c r="T3616" s="2">
        <v>327</v>
      </c>
      <c r="U3616" s="2">
        <v>0.281642</v>
      </c>
      <c r="V3616" s="2">
        <v>258</v>
      </c>
      <c r="W3616" s="2">
        <v>2012</v>
      </c>
    </row>
    <row r="3617" spans="1:23" ht="12.3" hidden="1" x14ac:dyDescent="0.4">
      <c r="A3617" s="2" t="s">
        <v>331</v>
      </c>
      <c r="B3617" s="2"/>
      <c r="C3617" s="2"/>
      <c r="D3617" s="2"/>
      <c r="E3617" s="2"/>
      <c r="F3617" s="2"/>
      <c r="G3617" s="2"/>
      <c r="H3617" s="2"/>
      <c r="I3617" s="2">
        <v>59.5137</v>
      </c>
      <c r="J3617" s="2">
        <v>343</v>
      </c>
      <c r="K3617" s="2">
        <v>59.990400000000001</v>
      </c>
      <c r="L3617" s="2">
        <v>341</v>
      </c>
      <c r="M3617" s="2">
        <v>88.574100000000001</v>
      </c>
      <c r="N3617" s="2">
        <v>329</v>
      </c>
      <c r="O3617" s="2">
        <v>89.605400000000003</v>
      </c>
      <c r="P3617" s="2">
        <v>324</v>
      </c>
      <c r="Q3617" s="2">
        <v>98.865499999999997</v>
      </c>
      <c r="R3617" s="2">
        <v>122</v>
      </c>
      <c r="S3617" s="2">
        <v>97.213800000000006</v>
      </c>
      <c r="T3617" s="2">
        <v>86</v>
      </c>
      <c r="U3617" s="2">
        <v>0.28146399999999999</v>
      </c>
      <c r="V3617" s="2">
        <v>259</v>
      </c>
      <c r="W3617" s="2">
        <v>2012</v>
      </c>
    </row>
    <row r="3618" spans="1:23" ht="12.3" hidden="1" x14ac:dyDescent="0.4">
      <c r="A3618" s="2" t="s">
        <v>42</v>
      </c>
      <c r="B3618" s="2"/>
      <c r="C3618" s="2"/>
      <c r="D3618" s="2"/>
      <c r="E3618" s="2"/>
      <c r="F3618" s="2"/>
      <c r="G3618" s="2"/>
      <c r="H3618" s="2"/>
      <c r="I3618" s="2">
        <v>61.040599999999998</v>
      </c>
      <c r="J3618" s="2">
        <v>332</v>
      </c>
      <c r="K3618" s="2">
        <v>61.323799999999999</v>
      </c>
      <c r="L3618" s="2">
        <v>328</v>
      </c>
      <c r="M3618" s="2">
        <v>85.857500000000002</v>
      </c>
      <c r="N3618" s="2">
        <v>342</v>
      </c>
      <c r="O3618" s="2">
        <v>87.511300000000006</v>
      </c>
      <c r="P3618" s="2">
        <v>336</v>
      </c>
      <c r="Q3618" s="2">
        <v>96.968299999999999</v>
      </c>
      <c r="R3618" s="2">
        <v>79</v>
      </c>
      <c r="S3618" s="2">
        <v>94.944199999999995</v>
      </c>
      <c r="T3618" s="2">
        <v>52</v>
      </c>
      <c r="U3618" s="2">
        <v>0.28140700000000002</v>
      </c>
      <c r="V3618" s="2">
        <v>260</v>
      </c>
      <c r="W3618" s="2">
        <v>2012</v>
      </c>
    </row>
    <row r="3619" spans="1:23" ht="12.3" hidden="1" x14ac:dyDescent="0.4">
      <c r="A3619" s="2" t="s">
        <v>345</v>
      </c>
      <c r="B3619" s="2"/>
      <c r="C3619" s="2"/>
      <c r="D3619" s="2"/>
      <c r="E3619" s="2"/>
      <c r="F3619" s="2"/>
      <c r="G3619" s="2"/>
      <c r="H3619" s="2"/>
      <c r="I3619" s="2">
        <v>67.598600000000005</v>
      </c>
      <c r="J3619" s="2">
        <v>103</v>
      </c>
      <c r="K3619" s="2">
        <v>67.066999999999993</v>
      </c>
      <c r="L3619" s="2">
        <v>117</v>
      </c>
      <c r="M3619" s="2">
        <v>98.091700000000003</v>
      </c>
      <c r="N3619" s="2">
        <v>229</v>
      </c>
      <c r="O3619" s="2">
        <v>97.281000000000006</v>
      </c>
      <c r="P3619" s="2">
        <v>245</v>
      </c>
      <c r="Q3619" s="2">
        <v>101.9496</v>
      </c>
      <c r="R3619" s="2">
        <v>195</v>
      </c>
      <c r="S3619" s="2">
        <v>105.7998</v>
      </c>
      <c r="T3619" s="2">
        <v>269</v>
      </c>
      <c r="U3619" s="2">
        <v>0.27580700000000002</v>
      </c>
      <c r="V3619" s="2">
        <v>261</v>
      </c>
      <c r="W3619" s="2">
        <v>2012</v>
      </c>
    </row>
    <row r="3620" spans="1:23" ht="12.3" hidden="1" x14ac:dyDescent="0.4">
      <c r="A3620" s="2" t="s">
        <v>263</v>
      </c>
      <c r="B3620" s="2"/>
      <c r="C3620" s="2"/>
      <c r="D3620" s="2"/>
      <c r="E3620" s="2"/>
      <c r="F3620" s="2"/>
      <c r="G3620" s="2"/>
      <c r="H3620" s="2"/>
      <c r="I3620" s="2">
        <v>73.692700000000002</v>
      </c>
      <c r="J3620" s="2">
        <v>5</v>
      </c>
      <c r="K3620" s="2">
        <v>73.553200000000004</v>
      </c>
      <c r="L3620" s="2">
        <v>4</v>
      </c>
      <c r="M3620" s="2">
        <v>103.7907</v>
      </c>
      <c r="N3620" s="2">
        <v>116</v>
      </c>
      <c r="O3620" s="2">
        <v>100.4931</v>
      </c>
      <c r="P3620" s="2">
        <v>176</v>
      </c>
      <c r="Q3620" s="2">
        <v>109.0064</v>
      </c>
      <c r="R3620" s="2">
        <v>315</v>
      </c>
      <c r="S3620" s="2">
        <v>109.3095</v>
      </c>
      <c r="T3620" s="2">
        <v>314</v>
      </c>
      <c r="U3620" s="2">
        <v>0.27546199999999998</v>
      </c>
      <c r="V3620" s="2">
        <v>262</v>
      </c>
      <c r="W3620" s="2">
        <v>2012</v>
      </c>
    </row>
    <row r="3621" spans="1:23" ht="12.3" hidden="1" x14ac:dyDescent="0.4">
      <c r="A3621" s="2" t="s">
        <v>235</v>
      </c>
      <c r="B3621" s="2"/>
      <c r="C3621" s="2"/>
      <c r="D3621" s="2"/>
      <c r="E3621" s="2"/>
      <c r="F3621" s="2"/>
      <c r="G3621" s="2"/>
      <c r="H3621" s="2"/>
      <c r="I3621" s="2">
        <v>64.224599999999995</v>
      </c>
      <c r="J3621" s="2">
        <v>269</v>
      </c>
      <c r="K3621" s="2">
        <v>64.904600000000002</v>
      </c>
      <c r="L3621" s="2">
        <v>231</v>
      </c>
      <c r="M3621" s="2">
        <v>95.282700000000006</v>
      </c>
      <c r="N3621" s="2">
        <v>279</v>
      </c>
      <c r="O3621" s="2">
        <v>96.382999999999996</v>
      </c>
      <c r="P3621" s="2">
        <v>263</v>
      </c>
      <c r="Q3621" s="2">
        <v>103.4649</v>
      </c>
      <c r="R3621" s="2">
        <v>226</v>
      </c>
      <c r="S3621" s="2">
        <v>104.9435</v>
      </c>
      <c r="T3621" s="2">
        <v>254</v>
      </c>
      <c r="U3621" s="2">
        <v>0.273177</v>
      </c>
      <c r="V3621" s="2">
        <v>263</v>
      </c>
      <c r="W3621" s="2">
        <v>2012</v>
      </c>
    </row>
    <row r="3622" spans="1:23" ht="12.3" hidden="1" x14ac:dyDescent="0.4">
      <c r="A3622" s="2" t="s">
        <v>240</v>
      </c>
      <c r="B3622" s="2"/>
      <c r="C3622" s="2"/>
      <c r="D3622" s="2"/>
      <c r="E3622" s="2"/>
      <c r="F3622" s="2"/>
      <c r="G3622" s="2"/>
      <c r="H3622" s="2"/>
      <c r="I3622" s="2">
        <v>63.203499999999998</v>
      </c>
      <c r="J3622" s="2">
        <v>298</v>
      </c>
      <c r="K3622" s="2">
        <v>62.860900000000001</v>
      </c>
      <c r="L3622" s="2">
        <v>302</v>
      </c>
      <c r="M3622" s="2">
        <v>95.741900000000001</v>
      </c>
      <c r="N3622" s="2">
        <v>273</v>
      </c>
      <c r="O3622" s="2">
        <v>92.716099999999997</v>
      </c>
      <c r="P3622" s="2">
        <v>300</v>
      </c>
      <c r="Q3622" s="2">
        <v>102.6078</v>
      </c>
      <c r="R3622" s="2">
        <v>208</v>
      </c>
      <c r="S3622" s="2">
        <v>100.9806</v>
      </c>
      <c r="T3622" s="2">
        <v>160</v>
      </c>
      <c r="U3622" s="2">
        <v>0.27250799999999997</v>
      </c>
      <c r="V3622" s="2">
        <v>264</v>
      </c>
      <c r="W3622" s="2">
        <v>2012</v>
      </c>
    </row>
    <row r="3623" spans="1:23" ht="12.3" hidden="1" x14ac:dyDescent="0.4">
      <c r="A3623" s="2" t="s">
        <v>324</v>
      </c>
      <c r="B3623" s="2"/>
      <c r="C3623" s="2"/>
      <c r="D3623" s="2"/>
      <c r="E3623" s="2"/>
      <c r="F3623" s="2"/>
      <c r="G3623" s="2"/>
      <c r="H3623" s="2"/>
      <c r="I3623" s="2">
        <v>62.936999999999998</v>
      </c>
      <c r="J3623" s="2">
        <v>304</v>
      </c>
      <c r="K3623" s="2">
        <v>62.710900000000002</v>
      </c>
      <c r="L3623" s="2">
        <v>307</v>
      </c>
      <c r="M3623" s="2">
        <v>101.7338</v>
      </c>
      <c r="N3623" s="2">
        <v>160</v>
      </c>
      <c r="O3623" s="2">
        <v>99.177999999999997</v>
      </c>
      <c r="P3623" s="2">
        <v>209</v>
      </c>
      <c r="Q3623" s="2">
        <v>105.7439</v>
      </c>
      <c r="R3623" s="2">
        <v>278</v>
      </c>
      <c r="S3623" s="2">
        <v>108.11369999999999</v>
      </c>
      <c r="T3623" s="2">
        <v>298</v>
      </c>
      <c r="U3623" s="2">
        <v>0.27050099999999999</v>
      </c>
      <c r="V3623" s="2">
        <v>265</v>
      </c>
      <c r="W3623" s="2">
        <v>2012</v>
      </c>
    </row>
    <row r="3624" spans="1:23" ht="12.3" hidden="1" x14ac:dyDescent="0.4">
      <c r="A3624" s="2" t="s">
        <v>95</v>
      </c>
      <c r="B3624" s="2"/>
      <c r="C3624" s="2"/>
      <c r="D3624" s="2"/>
      <c r="E3624" s="2"/>
      <c r="F3624" s="2"/>
      <c r="G3624" s="2"/>
      <c r="H3624" s="2"/>
      <c r="I3624" s="2">
        <v>64.863500000000002</v>
      </c>
      <c r="J3624" s="2">
        <v>236</v>
      </c>
      <c r="K3624" s="2">
        <v>65.327699999999993</v>
      </c>
      <c r="L3624" s="2">
        <v>206</v>
      </c>
      <c r="M3624" s="2">
        <v>90.4679</v>
      </c>
      <c r="N3624" s="2">
        <v>320</v>
      </c>
      <c r="O3624" s="2">
        <v>93.311300000000003</v>
      </c>
      <c r="P3624" s="2">
        <v>295</v>
      </c>
      <c r="Q3624" s="2">
        <v>104.5132</v>
      </c>
      <c r="R3624" s="2">
        <v>253</v>
      </c>
      <c r="S3624" s="2">
        <v>101.85120000000001</v>
      </c>
      <c r="T3624" s="2">
        <v>185</v>
      </c>
      <c r="U3624" s="2">
        <v>0.26755299999999999</v>
      </c>
      <c r="V3624" s="2">
        <v>266</v>
      </c>
      <c r="W3624" s="2">
        <v>2012</v>
      </c>
    </row>
    <row r="3625" spans="1:23" ht="12.3" hidden="1" x14ac:dyDescent="0.4">
      <c r="A3625" s="2" t="s">
        <v>278</v>
      </c>
      <c r="B3625" s="2"/>
      <c r="C3625" s="2"/>
      <c r="D3625" s="2"/>
      <c r="E3625" s="2"/>
      <c r="F3625" s="2"/>
      <c r="G3625" s="2"/>
      <c r="H3625" s="2"/>
      <c r="I3625" s="2">
        <v>65.608599999999996</v>
      </c>
      <c r="J3625" s="2">
        <v>202</v>
      </c>
      <c r="K3625" s="2">
        <v>65.109399999999994</v>
      </c>
      <c r="L3625" s="2">
        <v>216</v>
      </c>
      <c r="M3625" s="2">
        <v>98.741500000000002</v>
      </c>
      <c r="N3625" s="2">
        <v>211</v>
      </c>
      <c r="O3625" s="2">
        <v>98.800600000000003</v>
      </c>
      <c r="P3625" s="2">
        <v>218</v>
      </c>
      <c r="Q3625" s="2">
        <v>109.0085</v>
      </c>
      <c r="R3625" s="2">
        <v>316</v>
      </c>
      <c r="S3625" s="2">
        <v>107.8904</v>
      </c>
      <c r="T3625" s="2">
        <v>294</v>
      </c>
      <c r="U3625" s="2">
        <v>0.26656200000000002</v>
      </c>
      <c r="V3625" s="2">
        <v>267</v>
      </c>
      <c r="W3625" s="2">
        <v>2012</v>
      </c>
    </row>
    <row r="3626" spans="1:23" ht="12.3" hidden="1" x14ac:dyDescent="0.4">
      <c r="A3626" s="2" t="s">
        <v>251</v>
      </c>
      <c r="B3626" s="2"/>
      <c r="C3626" s="2"/>
      <c r="D3626" s="2"/>
      <c r="E3626" s="2"/>
      <c r="F3626" s="2"/>
      <c r="G3626" s="2"/>
      <c r="H3626" s="2"/>
      <c r="I3626" s="2">
        <v>69.8352</v>
      </c>
      <c r="J3626" s="2">
        <v>33</v>
      </c>
      <c r="K3626" s="2">
        <v>69.131799999999998</v>
      </c>
      <c r="L3626" s="2">
        <v>43</v>
      </c>
      <c r="M3626" s="2">
        <v>94.981700000000004</v>
      </c>
      <c r="N3626" s="2">
        <v>281</v>
      </c>
      <c r="O3626" s="2">
        <v>96.747699999999995</v>
      </c>
      <c r="P3626" s="2">
        <v>254</v>
      </c>
      <c r="Q3626" s="2">
        <v>107.5012</v>
      </c>
      <c r="R3626" s="2">
        <v>299</v>
      </c>
      <c r="S3626" s="2">
        <v>105.685</v>
      </c>
      <c r="T3626" s="2">
        <v>267</v>
      </c>
      <c r="U3626" s="2">
        <v>0.26578800000000002</v>
      </c>
      <c r="V3626" s="2">
        <v>268</v>
      </c>
      <c r="W3626" s="2">
        <v>2012</v>
      </c>
    </row>
    <row r="3627" spans="1:23" ht="12.3" hidden="1" x14ac:dyDescent="0.4">
      <c r="A3627" s="2" t="s">
        <v>325</v>
      </c>
      <c r="B3627" s="2"/>
      <c r="C3627" s="2"/>
      <c r="D3627" s="2"/>
      <c r="E3627" s="2"/>
      <c r="F3627" s="2"/>
      <c r="G3627" s="2"/>
      <c r="H3627" s="2"/>
      <c r="I3627" s="2">
        <v>66.387600000000006</v>
      </c>
      <c r="J3627" s="2">
        <v>160</v>
      </c>
      <c r="K3627" s="2">
        <v>66.293000000000006</v>
      </c>
      <c r="L3627" s="2">
        <v>151</v>
      </c>
      <c r="M3627" s="2">
        <v>91.894599999999997</v>
      </c>
      <c r="N3627" s="2">
        <v>308</v>
      </c>
      <c r="O3627" s="2">
        <v>91.337500000000006</v>
      </c>
      <c r="P3627" s="2">
        <v>314</v>
      </c>
      <c r="Q3627" s="2">
        <v>94.269099999999995</v>
      </c>
      <c r="R3627" s="2">
        <v>41</v>
      </c>
      <c r="S3627" s="2">
        <v>99.893799999999999</v>
      </c>
      <c r="T3627" s="2">
        <v>141</v>
      </c>
      <c r="U3627" s="2">
        <v>0.26312600000000003</v>
      </c>
      <c r="V3627" s="2">
        <v>269</v>
      </c>
      <c r="W3627" s="2">
        <v>2012</v>
      </c>
    </row>
    <row r="3628" spans="1:23" ht="12.3" hidden="1" x14ac:dyDescent="0.4">
      <c r="A3628" s="2" t="s">
        <v>127</v>
      </c>
      <c r="B3628" s="2"/>
      <c r="C3628" s="2"/>
      <c r="D3628" s="2"/>
      <c r="E3628" s="2"/>
      <c r="F3628" s="2"/>
      <c r="G3628" s="2"/>
      <c r="H3628" s="2"/>
      <c r="I3628" s="2">
        <v>71.910499999999999</v>
      </c>
      <c r="J3628" s="2">
        <v>13</v>
      </c>
      <c r="K3628" s="2">
        <v>72.219700000000003</v>
      </c>
      <c r="L3628" s="2">
        <v>10</v>
      </c>
      <c r="M3628" s="2">
        <v>96.071600000000004</v>
      </c>
      <c r="N3628" s="2">
        <v>266</v>
      </c>
      <c r="O3628" s="2">
        <v>96.043499999999995</v>
      </c>
      <c r="P3628" s="2">
        <v>275</v>
      </c>
      <c r="Q3628" s="2">
        <v>106.8035</v>
      </c>
      <c r="R3628" s="2">
        <v>291</v>
      </c>
      <c r="S3628" s="2">
        <v>105.0733</v>
      </c>
      <c r="T3628" s="2">
        <v>257</v>
      </c>
      <c r="U3628" s="2">
        <v>0.26243499999999997</v>
      </c>
      <c r="V3628" s="2">
        <v>270</v>
      </c>
      <c r="W3628" s="2">
        <v>2012</v>
      </c>
    </row>
    <row r="3629" spans="1:23" ht="12.3" hidden="1" x14ac:dyDescent="0.4">
      <c r="A3629" s="2" t="s">
        <v>322</v>
      </c>
      <c r="B3629" s="2"/>
      <c r="C3629" s="2"/>
      <c r="D3629" s="2"/>
      <c r="E3629" s="2"/>
      <c r="F3629" s="2"/>
      <c r="G3629" s="2"/>
      <c r="H3629" s="2"/>
      <c r="I3629" s="2">
        <v>69.544200000000004</v>
      </c>
      <c r="J3629" s="2">
        <v>39</v>
      </c>
      <c r="K3629" s="2">
        <v>69.470699999999994</v>
      </c>
      <c r="L3629" s="2">
        <v>34</v>
      </c>
      <c r="M3629" s="2">
        <v>99.315200000000004</v>
      </c>
      <c r="N3629" s="2">
        <v>202</v>
      </c>
      <c r="O3629" s="2">
        <v>97.025899999999993</v>
      </c>
      <c r="P3629" s="2">
        <v>252</v>
      </c>
      <c r="Q3629" s="2">
        <v>107.87649999999999</v>
      </c>
      <c r="R3629" s="2">
        <v>303</v>
      </c>
      <c r="S3629" s="2">
        <v>106.26139999999999</v>
      </c>
      <c r="T3629" s="2">
        <v>274</v>
      </c>
      <c r="U3629" s="2">
        <v>0.26006699999999999</v>
      </c>
      <c r="V3629" s="2">
        <v>271</v>
      </c>
      <c r="W3629" s="2">
        <v>2012</v>
      </c>
    </row>
    <row r="3630" spans="1:23" ht="12.3" hidden="1" x14ac:dyDescent="0.4">
      <c r="A3630" s="2" t="s">
        <v>356</v>
      </c>
      <c r="B3630" s="2"/>
      <c r="C3630" s="2"/>
      <c r="D3630" s="2"/>
      <c r="E3630" s="2"/>
      <c r="F3630" s="2"/>
      <c r="G3630" s="2"/>
      <c r="H3630" s="2"/>
      <c r="I3630" s="2">
        <v>67.864900000000006</v>
      </c>
      <c r="J3630" s="2">
        <v>89</v>
      </c>
      <c r="K3630" s="2">
        <v>68.216300000000004</v>
      </c>
      <c r="L3630" s="2">
        <v>71</v>
      </c>
      <c r="M3630" s="2">
        <v>101.8955</v>
      </c>
      <c r="N3630" s="2">
        <v>154</v>
      </c>
      <c r="O3630" s="2">
        <v>103.2145</v>
      </c>
      <c r="P3630" s="2">
        <v>128</v>
      </c>
      <c r="Q3630" s="2">
        <v>111.4254</v>
      </c>
      <c r="R3630" s="2">
        <v>334</v>
      </c>
      <c r="S3630" s="2">
        <v>113.2259</v>
      </c>
      <c r="T3630" s="2">
        <v>336</v>
      </c>
      <c r="U3630" s="2">
        <v>0.25642599999999999</v>
      </c>
      <c r="V3630" s="2">
        <v>272</v>
      </c>
      <c r="W3630" s="2">
        <v>2012</v>
      </c>
    </row>
    <row r="3631" spans="1:23" ht="12.3" hidden="1" x14ac:dyDescent="0.4">
      <c r="A3631" s="2" t="s">
        <v>245</v>
      </c>
      <c r="B3631" s="2"/>
      <c r="C3631" s="2"/>
      <c r="D3631" s="2"/>
      <c r="E3631" s="2"/>
      <c r="F3631" s="2"/>
      <c r="G3631" s="2"/>
      <c r="H3631" s="2"/>
      <c r="I3631" s="2">
        <v>67.418000000000006</v>
      </c>
      <c r="J3631" s="2">
        <v>112</v>
      </c>
      <c r="K3631" s="2">
        <v>68.488399999999999</v>
      </c>
      <c r="L3631" s="2">
        <v>60</v>
      </c>
      <c r="M3631" s="2">
        <v>90.485299999999995</v>
      </c>
      <c r="N3631" s="2">
        <v>318</v>
      </c>
      <c r="O3631" s="2">
        <v>92.2881</v>
      </c>
      <c r="P3631" s="2">
        <v>305</v>
      </c>
      <c r="Q3631" s="2">
        <v>104.6005</v>
      </c>
      <c r="R3631" s="2">
        <v>256</v>
      </c>
      <c r="S3631" s="2">
        <v>101.2505</v>
      </c>
      <c r="T3631" s="2">
        <v>171</v>
      </c>
      <c r="U3631" s="2">
        <v>0.25619199999999998</v>
      </c>
      <c r="V3631" s="2">
        <v>273</v>
      </c>
      <c r="W3631" s="2">
        <v>2012</v>
      </c>
    </row>
    <row r="3632" spans="1:23" ht="12.3" hidden="1" x14ac:dyDescent="0.4">
      <c r="A3632" s="2" t="s">
        <v>346</v>
      </c>
      <c r="B3632" s="2"/>
      <c r="C3632" s="2"/>
      <c r="D3632" s="2"/>
      <c r="E3632" s="2"/>
      <c r="F3632" s="2"/>
      <c r="G3632" s="2"/>
      <c r="H3632" s="2"/>
      <c r="I3632" s="2">
        <v>65.899900000000002</v>
      </c>
      <c r="J3632" s="2">
        <v>188</v>
      </c>
      <c r="K3632" s="2">
        <v>64.925600000000003</v>
      </c>
      <c r="L3632" s="2">
        <v>227</v>
      </c>
      <c r="M3632" s="2">
        <v>101.7315</v>
      </c>
      <c r="N3632" s="2">
        <v>161</v>
      </c>
      <c r="O3632" s="2">
        <v>99.14</v>
      </c>
      <c r="P3632" s="2">
        <v>210</v>
      </c>
      <c r="Q3632" s="2">
        <v>108.747</v>
      </c>
      <c r="R3632" s="2">
        <v>311</v>
      </c>
      <c r="S3632" s="2">
        <v>108.8672</v>
      </c>
      <c r="T3632" s="2">
        <v>308</v>
      </c>
      <c r="U3632" s="2">
        <v>0.25419799999999998</v>
      </c>
      <c r="V3632" s="2">
        <v>274</v>
      </c>
      <c r="W3632" s="2">
        <v>2012</v>
      </c>
    </row>
    <row r="3633" spans="1:23" ht="12.3" hidden="1" x14ac:dyDescent="0.4">
      <c r="A3633" s="2" t="s">
        <v>166</v>
      </c>
      <c r="B3633" s="2"/>
      <c r="C3633" s="2"/>
      <c r="D3633" s="2"/>
      <c r="E3633" s="2"/>
      <c r="F3633" s="2"/>
      <c r="G3633" s="2"/>
      <c r="H3633" s="2"/>
      <c r="I3633" s="2">
        <v>68.934200000000004</v>
      </c>
      <c r="J3633" s="2">
        <v>52</v>
      </c>
      <c r="K3633" s="2">
        <v>68.692599999999999</v>
      </c>
      <c r="L3633" s="2">
        <v>54</v>
      </c>
      <c r="M3633" s="2">
        <v>97.624200000000002</v>
      </c>
      <c r="N3633" s="2">
        <v>241</v>
      </c>
      <c r="O3633" s="2">
        <v>96.1327</v>
      </c>
      <c r="P3633" s="2">
        <v>270</v>
      </c>
      <c r="Q3633" s="2">
        <v>102.53319999999999</v>
      </c>
      <c r="R3633" s="2">
        <v>205</v>
      </c>
      <c r="S3633" s="2">
        <v>105.6357</v>
      </c>
      <c r="T3633" s="2">
        <v>266</v>
      </c>
      <c r="U3633" s="2">
        <v>0.25273800000000002</v>
      </c>
      <c r="V3633" s="2">
        <v>275</v>
      </c>
      <c r="W3633" s="2">
        <v>2012</v>
      </c>
    </row>
    <row r="3634" spans="1:23" ht="12.3" hidden="1" x14ac:dyDescent="0.4">
      <c r="A3634" s="2" t="s">
        <v>208</v>
      </c>
      <c r="B3634" s="2"/>
      <c r="C3634" s="2"/>
      <c r="D3634" s="2"/>
      <c r="E3634" s="2"/>
      <c r="F3634" s="2"/>
      <c r="G3634" s="2"/>
      <c r="H3634" s="2"/>
      <c r="I3634" s="2">
        <v>63.672899999999998</v>
      </c>
      <c r="J3634" s="2">
        <v>279</v>
      </c>
      <c r="K3634" s="2">
        <v>62.716500000000003</v>
      </c>
      <c r="L3634" s="2">
        <v>306</v>
      </c>
      <c r="M3634" s="2">
        <v>100.7595</v>
      </c>
      <c r="N3634" s="2">
        <v>174</v>
      </c>
      <c r="O3634" s="2">
        <v>101.0351</v>
      </c>
      <c r="P3634" s="2">
        <v>167</v>
      </c>
      <c r="Q3634" s="2">
        <v>109.6545</v>
      </c>
      <c r="R3634" s="2">
        <v>320</v>
      </c>
      <c r="S3634" s="2">
        <v>111.2619</v>
      </c>
      <c r="T3634" s="2">
        <v>328</v>
      </c>
      <c r="U3634" s="2">
        <v>0.24809100000000001</v>
      </c>
      <c r="V3634" s="2">
        <v>276</v>
      </c>
      <c r="W3634" s="2">
        <v>2012</v>
      </c>
    </row>
    <row r="3635" spans="1:23" ht="12.3" hidden="1" x14ac:dyDescent="0.4">
      <c r="A3635" s="2" t="s">
        <v>135</v>
      </c>
      <c r="B3635" s="2"/>
      <c r="C3635" s="2"/>
      <c r="D3635" s="2"/>
      <c r="E3635" s="2"/>
      <c r="F3635" s="2"/>
      <c r="G3635" s="2"/>
      <c r="H3635" s="2"/>
      <c r="I3635" s="2">
        <v>68.035499999999999</v>
      </c>
      <c r="J3635" s="2">
        <v>80</v>
      </c>
      <c r="K3635" s="2">
        <v>68.182900000000004</v>
      </c>
      <c r="L3635" s="2">
        <v>75</v>
      </c>
      <c r="M3635" s="2">
        <v>94.289900000000003</v>
      </c>
      <c r="N3635" s="2">
        <v>291</v>
      </c>
      <c r="O3635" s="2">
        <v>90.897800000000004</v>
      </c>
      <c r="P3635" s="2">
        <v>317</v>
      </c>
      <c r="Q3635" s="2">
        <v>97.650400000000005</v>
      </c>
      <c r="R3635" s="2">
        <v>92</v>
      </c>
      <c r="S3635" s="2">
        <v>100.1258</v>
      </c>
      <c r="T3635" s="2">
        <v>147</v>
      </c>
      <c r="U3635" s="2">
        <v>0.24750800000000001</v>
      </c>
      <c r="V3635" s="2">
        <v>277</v>
      </c>
      <c r="W3635" s="2">
        <v>2012</v>
      </c>
    </row>
    <row r="3636" spans="1:23" ht="12.3" hidden="1" x14ac:dyDescent="0.4">
      <c r="A3636" s="2" t="s">
        <v>341</v>
      </c>
      <c r="B3636" s="2"/>
      <c r="C3636" s="2"/>
      <c r="D3636" s="2"/>
      <c r="E3636" s="2"/>
      <c r="F3636" s="2"/>
      <c r="G3636" s="2"/>
      <c r="H3636" s="2"/>
      <c r="I3636" s="2">
        <v>69.450100000000006</v>
      </c>
      <c r="J3636" s="2">
        <v>40</v>
      </c>
      <c r="K3636" s="2">
        <v>69.238100000000003</v>
      </c>
      <c r="L3636" s="2">
        <v>40</v>
      </c>
      <c r="M3636" s="2">
        <v>106.35980000000001</v>
      </c>
      <c r="N3636" s="2">
        <v>71</v>
      </c>
      <c r="O3636" s="2">
        <v>104.9482</v>
      </c>
      <c r="P3636" s="2">
        <v>97</v>
      </c>
      <c r="Q3636" s="2">
        <v>110.4875</v>
      </c>
      <c r="R3636" s="2">
        <v>327</v>
      </c>
      <c r="S3636" s="2">
        <v>115.61279999999999</v>
      </c>
      <c r="T3636" s="2">
        <v>342</v>
      </c>
      <c r="U3636" s="2">
        <v>0.24731700000000001</v>
      </c>
      <c r="V3636" s="2">
        <v>278</v>
      </c>
      <c r="W3636" s="2">
        <v>2012</v>
      </c>
    </row>
    <row r="3637" spans="1:23" ht="12.3" hidden="1" x14ac:dyDescent="0.4">
      <c r="A3637" s="2" t="s">
        <v>126</v>
      </c>
      <c r="B3637" s="2"/>
      <c r="C3637" s="2"/>
      <c r="D3637" s="2"/>
      <c r="E3637" s="2"/>
      <c r="F3637" s="2"/>
      <c r="G3637" s="2"/>
      <c r="H3637" s="2"/>
      <c r="I3637" s="2">
        <v>62.701700000000002</v>
      </c>
      <c r="J3637" s="2">
        <v>315</v>
      </c>
      <c r="K3637" s="2">
        <v>62.498899999999999</v>
      </c>
      <c r="L3637" s="2">
        <v>315</v>
      </c>
      <c r="M3637" s="2">
        <v>98.113</v>
      </c>
      <c r="N3637" s="2">
        <v>227</v>
      </c>
      <c r="O3637" s="2">
        <v>96.087299999999999</v>
      </c>
      <c r="P3637" s="2">
        <v>274</v>
      </c>
      <c r="Q3637" s="2">
        <v>107.2574</v>
      </c>
      <c r="R3637" s="2">
        <v>297</v>
      </c>
      <c r="S3637" s="2">
        <v>105.8762</v>
      </c>
      <c r="T3637" s="2">
        <v>270</v>
      </c>
      <c r="U3637" s="2">
        <v>0.24681800000000001</v>
      </c>
      <c r="V3637" s="2">
        <v>279</v>
      </c>
      <c r="W3637" s="2">
        <v>2012</v>
      </c>
    </row>
    <row r="3638" spans="1:23" ht="12.3" hidden="1" x14ac:dyDescent="0.4">
      <c r="A3638" s="2" t="s">
        <v>377</v>
      </c>
      <c r="B3638" s="2"/>
      <c r="C3638" s="2"/>
      <c r="D3638" s="2"/>
      <c r="E3638" s="2"/>
      <c r="F3638" s="2"/>
      <c r="G3638" s="2"/>
      <c r="H3638" s="2"/>
      <c r="I3638" s="2">
        <v>69.030199999999994</v>
      </c>
      <c r="J3638" s="2">
        <v>46</v>
      </c>
      <c r="K3638" s="2">
        <v>69.352699999999999</v>
      </c>
      <c r="L3638" s="2">
        <v>39</v>
      </c>
      <c r="M3638" s="2">
        <v>99.594800000000006</v>
      </c>
      <c r="N3638" s="2">
        <v>197</v>
      </c>
      <c r="O3638" s="2">
        <v>98.1066</v>
      </c>
      <c r="P3638" s="2">
        <v>232</v>
      </c>
      <c r="Q3638" s="2">
        <v>108.5307</v>
      </c>
      <c r="R3638" s="2">
        <v>308</v>
      </c>
      <c r="S3638" s="2">
        <v>108.2165</v>
      </c>
      <c r="T3638" s="2">
        <v>300</v>
      </c>
      <c r="U3638" s="2">
        <v>0.24454600000000001</v>
      </c>
      <c r="V3638" s="2">
        <v>280</v>
      </c>
      <c r="W3638" s="2">
        <v>2012</v>
      </c>
    </row>
    <row r="3639" spans="1:23" ht="12.3" hidden="1" x14ac:dyDescent="0.4">
      <c r="A3639" s="2" t="s">
        <v>211</v>
      </c>
      <c r="B3639" s="2"/>
      <c r="C3639" s="2"/>
      <c r="D3639" s="2"/>
      <c r="E3639" s="2"/>
      <c r="F3639" s="2"/>
      <c r="G3639" s="2"/>
      <c r="H3639" s="2"/>
      <c r="I3639" s="2">
        <v>65.800700000000006</v>
      </c>
      <c r="J3639" s="2">
        <v>195</v>
      </c>
      <c r="K3639" s="2">
        <v>64.881600000000006</v>
      </c>
      <c r="L3639" s="2">
        <v>232</v>
      </c>
      <c r="M3639" s="2">
        <v>96.394999999999996</v>
      </c>
      <c r="N3639" s="2">
        <v>259</v>
      </c>
      <c r="O3639" s="2">
        <v>93.563699999999997</v>
      </c>
      <c r="P3639" s="2">
        <v>292</v>
      </c>
      <c r="Q3639" s="2">
        <v>101.5386</v>
      </c>
      <c r="R3639" s="2">
        <v>187</v>
      </c>
      <c r="S3639" s="2">
        <v>103.2937</v>
      </c>
      <c r="T3639" s="2">
        <v>217</v>
      </c>
      <c r="U3639" s="2">
        <v>0.24273400000000001</v>
      </c>
      <c r="V3639" s="2">
        <v>281</v>
      </c>
      <c r="W3639" s="2">
        <v>2012</v>
      </c>
    </row>
    <row r="3640" spans="1:23" ht="12.3" hidden="1" x14ac:dyDescent="0.4">
      <c r="A3640" s="2" t="s">
        <v>309</v>
      </c>
      <c r="B3640" s="2"/>
      <c r="C3640" s="2"/>
      <c r="D3640" s="2"/>
      <c r="E3640" s="2"/>
      <c r="F3640" s="2"/>
      <c r="G3640" s="2"/>
      <c r="H3640" s="2"/>
      <c r="I3640" s="2">
        <v>66.775199999999998</v>
      </c>
      <c r="J3640" s="2">
        <v>142</v>
      </c>
      <c r="K3640" s="2">
        <v>67.9024</v>
      </c>
      <c r="L3640" s="2">
        <v>85</v>
      </c>
      <c r="M3640" s="2">
        <v>99.137</v>
      </c>
      <c r="N3640" s="2">
        <v>203</v>
      </c>
      <c r="O3640" s="2">
        <v>94.314899999999994</v>
      </c>
      <c r="P3640" s="2">
        <v>287</v>
      </c>
      <c r="Q3640" s="2">
        <v>101.994</v>
      </c>
      <c r="R3640" s="2">
        <v>197</v>
      </c>
      <c r="S3640" s="2">
        <v>104.23180000000001</v>
      </c>
      <c r="T3640" s="2">
        <v>243</v>
      </c>
      <c r="U3640" s="2">
        <v>0.240535</v>
      </c>
      <c r="V3640" s="2">
        <v>282</v>
      </c>
      <c r="W3640" s="2">
        <v>2012</v>
      </c>
    </row>
    <row r="3641" spans="1:23" ht="12.3" hidden="1" x14ac:dyDescent="0.4">
      <c r="A3641" s="2" t="s">
        <v>217</v>
      </c>
      <c r="B3641" s="2"/>
      <c r="C3641" s="2"/>
      <c r="D3641" s="2"/>
      <c r="E3641" s="2"/>
      <c r="F3641" s="2"/>
      <c r="G3641" s="2"/>
      <c r="H3641" s="2"/>
      <c r="I3641" s="2">
        <v>67.012</v>
      </c>
      <c r="J3641" s="2">
        <v>127</v>
      </c>
      <c r="K3641" s="2">
        <v>66.439700000000002</v>
      </c>
      <c r="L3641" s="2">
        <v>146</v>
      </c>
      <c r="M3641" s="2">
        <v>101.7298</v>
      </c>
      <c r="N3641" s="2">
        <v>162</v>
      </c>
      <c r="O3641" s="2">
        <v>101.56659999999999</v>
      </c>
      <c r="P3641" s="2">
        <v>156</v>
      </c>
      <c r="Q3641" s="2">
        <v>112.92310000000001</v>
      </c>
      <c r="R3641" s="2">
        <v>340</v>
      </c>
      <c r="S3641" s="2">
        <v>112.4218</v>
      </c>
      <c r="T3641" s="2">
        <v>333</v>
      </c>
      <c r="U3641" s="2">
        <v>0.237262</v>
      </c>
      <c r="V3641" s="2">
        <v>283</v>
      </c>
      <c r="W3641" s="2">
        <v>2012</v>
      </c>
    </row>
    <row r="3642" spans="1:23" ht="12.3" hidden="1" x14ac:dyDescent="0.4">
      <c r="A3642" s="2" t="s">
        <v>225</v>
      </c>
      <c r="B3642" s="2"/>
      <c r="C3642" s="2"/>
      <c r="D3642" s="2"/>
      <c r="E3642" s="2"/>
      <c r="F3642" s="2"/>
      <c r="G3642" s="2"/>
      <c r="H3642" s="2"/>
      <c r="I3642" s="2">
        <v>63.820599999999999</v>
      </c>
      <c r="J3642" s="2">
        <v>277</v>
      </c>
      <c r="K3642" s="2">
        <v>63.545000000000002</v>
      </c>
      <c r="L3642" s="2">
        <v>285</v>
      </c>
      <c r="M3642" s="2">
        <v>87.204300000000003</v>
      </c>
      <c r="N3642" s="2">
        <v>337</v>
      </c>
      <c r="O3642" s="2">
        <v>88.721599999999995</v>
      </c>
      <c r="P3642" s="2">
        <v>330</v>
      </c>
      <c r="Q3642" s="2">
        <v>97.063999999999993</v>
      </c>
      <c r="R3642" s="2">
        <v>80</v>
      </c>
      <c r="S3642" s="2">
        <v>98.429400000000001</v>
      </c>
      <c r="T3642" s="2">
        <v>113</v>
      </c>
      <c r="U3642" s="2">
        <v>0.23252200000000001</v>
      </c>
      <c r="V3642" s="2">
        <v>284</v>
      </c>
      <c r="W3642" s="2">
        <v>2012</v>
      </c>
    </row>
    <row r="3643" spans="1:23" ht="12.3" hidden="1" x14ac:dyDescent="0.4">
      <c r="A3643" s="2" t="s">
        <v>290</v>
      </c>
      <c r="B3643" s="2"/>
      <c r="C3643" s="2"/>
      <c r="D3643" s="2"/>
      <c r="E3643" s="2"/>
      <c r="F3643" s="2"/>
      <c r="G3643" s="2"/>
      <c r="H3643" s="2"/>
      <c r="I3643" s="2">
        <v>68.229299999999995</v>
      </c>
      <c r="J3643" s="2">
        <v>76</v>
      </c>
      <c r="K3643" s="2">
        <v>67.790499999999994</v>
      </c>
      <c r="L3643" s="2">
        <v>88</v>
      </c>
      <c r="M3643" s="2">
        <v>94.756299999999996</v>
      </c>
      <c r="N3643" s="2">
        <v>285</v>
      </c>
      <c r="O3643" s="2">
        <v>97.096400000000003</v>
      </c>
      <c r="P3643" s="2">
        <v>250</v>
      </c>
      <c r="Q3643" s="2">
        <v>111.431</v>
      </c>
      <c r="R3643" s="2">
        <v>335</v>
      </c>
      <c r="S3643" s="2">
        <v>107.774</v>
      </c>
      <c r="T3643" s="2">
        <v>291</v>
      </c>
      <c r="U3643" s="2">
        <v>0.23150699999999999</v>
      </c>
      <c r="V3643" s="2">
        <v>285</v>
      </c>
      <c r="W3643" s="2">
        <v>2012</v>
      </c>
    </row>
    <row r="3644" spans="1:23" ht="12.3" hidden="1" x14ac:dyDescent="0.4">
      <c r="A3644" s="2" t="s">
        <v>257</v>
      </c>
      <c r="B3644" s="2"/>
      <c r="C3644" s="2"/>
      <c r="D3644" s="2"/>
      <c r="E3644" s="2"/>
      <c r="F3644" s="2"/>
      <c r="G3644" s="2"/>
      <c r="H3644" s="2"/>
      <c r="I3644" s="2">
        <v>63.428199999999997</v>
      </c>
      <c r="J3644" s="2">
        <v>287</v>
      </c>
      <c r="K3644" s="2">
        <v>63.508000000000003</v>
      </c>
      <c r="L3644" s="2">
        <v>287</v>
      </c>
      <c r="M3644" s="2">
        <v>94.241900000000001</v>
      </c>
      <c r="N3644" s="2">
        <v>294</v>
      </c>
      <c r="O3644" s="2">
        <v>97.266000000000005</v>
      </c>
      <c r="P3644" s="2">
        <v>246</v>
      </c>
      <c r="Q3644" s="2">
        <v>110.1562</v>
      </c>
      <c r="R3644" s="2">
        <v>324</v>
      </c>
      <c r="S3644" s="2">
        <v>108.0476</v>
      </c>
      <c r="T3644" s="2">
        <v>297</v>
      </c>
      <c r="U3644" s="2">
        <v>0.22989399999999999</v>
      </c>
      <c r="V3644" s="2">
        <v>286</v>
      </c>
      <c r="W3644" s="2">
        <v>2012</v>
      </c>
    </row>
    <row r="3645" spans="1:23" ht="12.3" hidden="1" x14ac:dyDescent="0.4">
      <c r="A3645" s="2" t="s">
        <v>144</v>
      </c>
      <c r="B3645" s="2"/>
      <c r="C3645" s="2"/>
      <c r="D3645" s="2"/>
      <c r="E3645" s="2"/>
      <c r="F3645" s="2"/>
      <c r="G3645" s="2"/>
      <c r="H3645" s="2"/>
      <c r="I3645" s="2">
        <v>64.11</v>
      </c>
      <c r="J3645" s="2">
        <v>274</v>
      </c>
      <c r="K3645" s="2">
        <v>64.952600000000004</v>
      </c>
      <c r="L3645" s="2">
        <v>223</v>
      </c>
      <c r="M3645" s="2">
        <v>94.479299999999995</v>
      </c>
      <c r="N3645" s="2">
        <v>288</v>
      </c>
      <c r="O3645" s="2">
        <v>96.682900000000004</v>
      </c>
      <c r="P3645" s="2">
        <v>257</v>
      </c>
      <c r="Q3645" s="2">
        <v>106.3613</v>
      </c>
      <c r="R3645" s="2">
        <v>284</v>
      </c>
      <c r="S3645" s="2">
        <v>107.4603</v>
      </c>
      <c r="T3645" s="2">
        <v>287</v>
      </c>
      <c r="U3645" s="2">
        <v>0.22875200000000001</v>
      </c>
      <c r="V3645" s="2">
        <v>287</v>
      </c>
      <c r="W3645" s="2">
        <v>2012</v>
      </c>
    </row>
    <row r="3646" spans="1:23" ht="12.3" hidden="1" x14ac:dyDescent="0.4">
      <c r="A3646" s="2" t="s">
        <v>284</v>
      </c>
      <c r="B3646" s="2"/>
      <c r="C3646" s="2"/>
      <c r="D3646" s="2"/>
      <c r="E3646" s="2"/>
      <c r="F3646" s="2"/>
      <c r="G3646" s="2"/>
      <c r="H3646" s="2"/>
      <c r="I3646" s="2">
        <v>62.876600000000003</v>
      </c>
      <c r="J3646" s="2">
        <v>308</v>
      </c>
      <c r="K3646" s="2">
        <v>63.9636</v>
      </c>
      <c r="L3646" s="2">
        <v>271</v>
      </c>
      <c r="M3646" s="2">
        <v>90.045400000000001</v>
      </c>
      <c r="N3646" s="2">
        <v>325</v>
      </c>
      <c r="O3646" s="2">
        <v>88.975300000000004</v>
      </c>
      <c r="P3646" s="2">
        <v>328</v>
      </c>
      <c r="Q3646" s="2">
        <v>99.359700000000004</v>
      </c>
      <c r="R3646" s="2">
        <v>136</v>
      </c>
      <c r="S3646" s="2">
        <v>98.932199999999995</v>
      </c>
      <c r="T3646" s="2">
        <v>125</v>
      </c>
      <c r="U3646" s="2">
        <v>0.22795799999999999</v>
      </c>
      <c r="V3646" s="2">
        <v>288</v>
      </c>
      <c r="W3646" s="2">
        <v>2012</v>
      </c>
    </row>
    <row r="3647" spans="1:23" ht="12.3" hidden="1" x14ac:dyDescent="0.4">
      <c r="A3647" s="2" t="s">
        <v>150</v>
      </c>
      <c r="B3647" s="2"/>
      <c r="C3647" s="2"/>
      <c r="D3647" s="2"/>
      <c r="E3647" s="2"/>
      <c r="F3647" s="2"/>
      <c r="G3647" s="2"/>
      <c r="H3647" s="2"/>
      <c r="I3647" s="2">
        <v>60.632300000000001</v>
      </c>
      <c r="J3647" s="2">
        <v>338</v>
      </c>
      <c r="K3647" s="2">
        <v>60.804299999999998</v>
      </c>
      <c r="L3647" s="2">
        <v>335</v>
      </c>
      <c r="M3647" s="2">
        <v>92.406800000000004</v>
      </c>
      <c r="N3647" s="2">
        <v>306</v>
      </c>
      <c r="O3647" s="2">
        <v>94.023200000000003</v>
      </c>
      <c r="P3647" s="2">
        <v>288</v>
      </c>
      <c r="Q3647" s="2">
        <v>103.6758</v>
      </c>
      <c r="R3647" s="2">
        <v>232</v>
      </c>
      <c r="S3647" s="2">
        <v>104.602</v>
      </c>
      <c r="T3647" s="2">
        <v>247</v>
      </c>
      <c r="U3647" s="2">
        <v>0.226856</v>
      </c>
      <c r="V3647" s="2">
        <v>289</v>
      </c>
      <c r="W3647" s="2">
        <v>2012</v>
      </c>
    </row>
    <row r="3648" spans="1:23" ht="12.3" hidden="1" x14ac:dyDescent="0.4">
      <c r="A3648" s="2" t="s">
        <v>191</v>
      </c>
      <c r="B3648" s="2"/>
      <c r="C3648" s="2"/>
      <c r="D3648" s="2"/>
      <c r="E3648" s="2"/>
      <c r="F3648" s="2"/>
      <c r="G3648" s="2"/>
      <c r="H3648" s="2"/>
      <c r="I3648" s="2">
        <v>64.217699999999994</v>
      </c>
      <c r="J3648" s="2">
        <v>270</v>
      </c>
      <c r="K3648" s="2">
        <v>64.101200000000006</v>
      </c>
      <c r="L3648" s="2">
        <v>263</v>
      </c>
      <c r="M3648" s="2">
        <v>99.835599999999999</v>
      </c>
      <c r="N3648" s="2">
        <v>190</v>
      </c>
      <c r="O3648" s="2">
        <v>98.688999999999993</v>
      </c>
      <c r="P3648" s="2">
        <v>223</v>
      </c>
      <c r="Q3648" s="2">
        <v>109.72629999999999</v>
      </c>
      <c r="R3648" s="2">
        <v>321</v>
      </c>
      <c r="S3648" s="2">
        <v>109.8326</v>
      </c>
      <c r="T3648" s="2">
        <v>318</v>
      </c>
      <c r="U3648" s="2">
        <v>0.22612699999999999</v>
      </c>
      <c r="V3648" s="2">
        <v>290</v>
      </c>
      <c r="W3648" s="2">
        <v>2012</v>
      </c>
    </row>
    <row r="3649" spans="1:23" ht="12.3" hidden="1" x14ac:dyDescent="0.4">
      <c r="A3649" s="2" t="s">
        <v>79</v>
      </c>
      <c r="B3649" s="2"/>
      <c r="C3649" s="2"/>
      <c r="D3649" s="2"/>
      <c r="E3649" s="2"/>
      <c r="F3649" s="2"/>
      <c r="G3649" s="2"/>
      <c r="H3649" s="2"/>
      <c r="I3649" s="2">
        <v>63.0426</v>
      </c>
      <c r="J3649" s="2">
        <v>301</v>
      </c>
      <c r="K3649" s="2">
        <v>61.948099999999997</v>
      </c>
      <c r="L3649" s="2">
        <v>321</v>
      </c>
      <c r="M3649" s="2">
        <v>93.581000000000003</v>
      </c>
      <c r="N3649" s="2">
        <v>296</v>
      </c>
      <c r="O3649" s="2">
        <v>93.346900000000005</v>
      </c>
      <c r="P3649" s="2">
        <v>294</v>
      </c>
      <c r="Q3649" s="2">
        <v>104.8366</v>
      </c>
      <c r="R3649" s="2">
        <v>259</v>
      </c>
      <c r="S3649" s="2">
        <v>104.10769999999999</v>
      </c>
      <c r="T3649" s="2">
        <v>238</v>
      </c>
      <c r="U3649" s="2">
        <v>0.221889</v>
      </c>
      <c r="V3649" s="2">
        <v>291</v>
      </c>
      <c r="W3649" s="2">
        <v>2012</v>
      </c>
    </row>
    <row r="3650" spans="1:23" ht="12.3" hidden="1" x14ac:dyDescent="0.4">
      <c r="A3650" s="2" t="s">
        <v>349</v>
      </c>
      <c r="B3650" s="2"/>
      <c r="C3650" s="2"/>
      <c r="D3650" s="2"/>
      <c r="E3650" s="2"/>
      <c r="F3650" s="2"/>
      <c r="G3650" s="2"/>
      <c r="H3650" s="2"/>
      <c r="I3650" s="2">
        <v>64.585999999999999</v>
      </c>
      <c r="J3650" s="2">
        <v>246</v>
      </c>
      <c r="K3650" s="2">
        <v>63.636899999999997</v>
      </c>
      <c r="L3650" s="2">
        <v>283</v>
      </c>
      <c r="M3650" s="2">
        <v>92.1571</v>
      </c>
      <c r="N3650" s="2">
        <v>307</v>
      </c>
      <c r="O3650" s="2">
        <v>92.296599999999998</v>
      </c>
      <c r="P3650" s="2">
        <v>303</v>
      </c>
      <c r="Q3650" s="2">
        <v>102.41330000000001</v>
      </c>
      <c r="R3650" s="2">
        <v>202</v>
      </c>
      <c r="S3650" s="2">
        <v>103.3656</v>
      </c>
      <c r="T3650" s="2">
        <v>219</v>
      </c>
      <c r="U3650" s="2">
        <v>0.21373600000000001</v>
      </c>
      <c r="V3650" s="2">
        <v>292</v>
      </c>
      <c r="W3650" s="2">
        <v>2012</v>
      </c>
    </row>
    <row r="3651" spans="1:23" ht="12.3" hidden="1" x14ac:dyDescent="0.4">
      <c r="A3651" s="2" t="s">
        <v>302</v>
      </c>
      <c r="B3651" s="2"/>
      <c r="C3651" s="2"/>
      <c r="D3651" s="2"/>
      <c r="E3651" s="2"/>
      <c r="F3651" s="2"/>
      <c r="G3651" s="2"/>
      <c r="H3651" s="2"/>
      <c r="I3651" s="2">
        <v>65.919700000000006</v>
      </c>
      <c r="J3651" s="2">
        <v>186</v>
      </c>
      <c r="K3651" s="2">
        <v>66.152299999999997</v>
      </c>
      <c r="L3651" s="2">
        <v>160</v>
      </c>
      <c r="M3651" s="2">
        <v>101.4725</v>
      </c>
      <c r="N3651" s="2">
        <v>165</v>
      </c>
      <c r="O3651" s="2">
        <v>96.784599999999998</v>
      </c>
      <c r="P3651" s="2">
        <v>253</v>
      </c>
      <c r="Q3651" s="2">
        <v>107.45610000000001</v>
      </c>
      <c r="R3651" s="2">
        <v>298</v>
      </c>
      <c r="S3651" s="2">
        <v>108.48699999999999</v>
      </c>
      <c r="T3651" s="2">
        <v>304</v>
      </c>
      <c r="U3651" s="2">
        <v>0.21204700000000001</v>
      </c>
      <c r="V3651" s="2">
        <v>293</v>
      </c>
      <c r="W3651" s="2">
        <v>2012</v>
      </c>
    </row>
    <row r="3652" spans="1:23" ht="12.3" hidden="1" x14ac:dyDescent="0.4">
      <c r="A3652" s="2" t="s">
        <v>264</v>
      </c>
      <c r="B3652" s="2"/>
      <c r="C3652" s="2"/>
      <c r="D3652" s="2"/>
      <c r="E3652" s="2"/>
      <c r="F3652" s="2"/>
      <c r="G3652" s="2"/>
      <c r="H3652" s="2"/>
      <c r="I3652" s="2">
        <v>63.672499999999999</v>
      </c>
      <c r="J3652" s="2">
        <v>280</v>
      </c>
      <c r="K3652" s="2">
        <v>64.088399999999993</v>
      </c>
      <c r="L3652" s="2">
        <v>265</v>
      </c>
      <c r="M3652" s="2">
        <v>98.282799999999995</v>
      </c>
      <c r="N3652" s="2">
        <v>223</v>
      </c>
      <c r="O3652" s="2">
        <v>96.390199999999993</v>
      </c>
      <c r="P3652" s="2">
        <v>261</v>
      </c>
      <c r="Q3652" s="2">
        <v>106.4453</v>
      </c>
      <c r="R3652" s="2">
        <v>285</v>
      </c>
      <c r="S3652" s="2">
        <v>108.30670000000001</v>
      </c>
      <c r="T3652" s="2">
        <v>302</v>
      </c>
      <c r="U3652" s="2">
        <v>0.20743400000000001</v>
      </c>
      <c r="V3652" s="2">
        <v>294</v>
      </c>
      <c r="W3652" s="2">
        <v>2012</v>
      </c>
    </row>
    <row r="3653" spans="1:23" ht="12.3" hidden="1" x14ac:dyDescent="0.4">
      <c r="A3653" s="2" t="s">
        <v>163</v>
      </c>
      <c r="B3653" s="2"/>
      <c r="C3653" s="2"/>
      <c r="D3653" s="2"/>
      <c r="E3653" s="2"/>
      <c r="F3653" s="2"/>
      <c r="G3653" s="2"/>
      <c r="H3653" s="2"/>
      <c r="I3653" s="2">
        <v>67.323899999999995</v>
      </c>
      <c r="J3653" s="2">
        <v>114</v>
      </c>
      <c r="K3653" s="2">
        <v>66.836399999999998</v>
      </c>
      <c r="L3653" s="2">
        <v>129</v>
      </c>
      <c r="M3653" s="2">
        <v>98.762299999999996</v>
      </c>
      <c r="N3653" s="2">
        <v>210</v>
      </c>
      <c r="O3653" s="2">
        <v>95.757199999999997</v>
      </c>
      <c r="P3653" s="2">
        <v>278</v>
      </c>
      <c r="Q3653" s="2">
        <v>106.98090000000001</v>
      </c>
      <c r="R3653" s="2">
        <v>292</v>
      </c>
      <c r="S3653" s="2">
        <v>107.6388</v>
      </c>
      <c r="T3653" s="2">
        <v>290</v>
      </c>
      <c r="U3653" s="2">
        <v>0.206673</v>
      </c>
      <c r="V3653" s="2">
        <v>295</v>
      </c>
      <c r="W3653" s="2">
        <v>2012</v>
      </c>
    </row>
    <row r="3654" spans="1:23" ht="12.3" hidden="1" x14ac:dyDescent="0.4">
      <c r="A3654" s="2" t="s">
        <v>310</v>
      </c>
      <c r="B3654" s="2"/>
      <c r="C3654" s="2"/>
      <c r="D3654" s="2"/>
      <c r="E3654" s="2"/>
      <c r="F3654" s="2"/>
      <c r="G3654" s="2"/>
      <c r="H3654" s="2"/>
      <c r="I3654" s="2">
        <v>64.954499999999996</v>
      </c>
      <c r="J3654" s="2">
        <v>232</v>
      </c>
      <c r="K3654" s="2">
        <v>65.125</v>
      </c>
      <c r="L3654" s="2">
        <v>215</v>
      </c>
      <c r="M3654" s="2">
        <v>92.973799999999997</v>
      </c>
      <c r="N3654" s="2">
        <v>299</v>
      </c>
      <c r="O3654" s="2">
        <v>89.846999999999994</v>
      </c>
      <c r="P3654" s="2">
        <v>322</v>
      </c>
      <c r="Q3654" s="2">
        <v>96.751999999999995</v>
      </c>
      <c r="R3654" s="2">
        <v>72</v>
      </c>
      <c r="S3654" s="2">
        <v>101.1189</v>
      </c>
      <c r="T3654" s="2">
        <v>164</v>
      </c>
      <c r="U3654" s="2">
        <v>0.204374</v>
      </c>
      <c r="V3654" s="2">
        <v>296</v>
      </c>
      <c r="W3654" s="2">
        <v>2012</v>
      </c>
    </row>
    <row r="3655" spans="1:23" ht="12.3" hidden="1" x14ac:dyDescent="0.4">
      <c r="A3655" s="2" t="s">
        <v>314</v>
      </c>
      <c r="B3655" s="2"/>
      <c r="C3655" s="2"/>
      <c r="D3655" s="2"/>
      <c r="E3655" s="2"/>
      <c r="F3655" s="2"/>
      <c r="G3655" s="2"/>
      <c r="H3655" s="2"/>
      <c r="I3655" s="2">
        <v>69.120199999999997</v>
      </c>
      <c r="J3655" s="2">
        <v>44</v>
      </c>
      <c r="K3655" s="2">
        <v>69.485900000000001</v>
      </c>
      <c r="L3655" s="2">
        <v>33</v>
      </c>
      <c r="M3655" s="2">
        <v>95.315799999999996</v>
      </c>
      <c r="N3655" s="2">
        <v>277</v>
      </c>
      <c r="O3655" s="2">
        <v>92.193299999999994</v>
      </c>
      <c r="P3655" s="2">
        <v>307</v>
      </c>
      <c r="Q3655" s="2">
        <v>101.2655</v>
      </c>
      <c r="R3655" s="2">
        <v>181</v>
      </c>
      <c r="S3655" s="2">
        <v>104.20140000000001</v>
      </c>
      <c r="T3655" s="2">
        <v>240</v>
      </c>
      <c r="U3655" s="2">
        <v>0.196543</v>
      </c>
      <c r="V3655" s="2">
        <v>297</v>
      </c>
      <c r="W3655" s="2">
        <v>2012</v>
      </c>
    </row>
    <row r="3656" spans="1:23" ht="12.3" hidden="1" x14ac:dyDescent="0.4">
      <c r="A3656" s="2" t="s">
        <v>366</v>
      </c>
      <c r="B3656" s="2"/>
      <c r="C3656" s="2"/>
      <c r="D3656" s="2"/>
      <c r="E3656" s="2"/>
      <c r="F3656" s="2"/>
      <c r="G3656" s="2"/>
      <c r="H3656" s="2"/>
      <c r="I3656" s="2">
        <v>67.081000000000003</v>
      </c>
      <c r="J3656" s="2">
        <v>124</v>
      </c>
      <c r="K3656" s="2">
        <v>65.031499999999994</v>
      </c>
      <c r="L3656" s="2">
        <v>220</v>
      </c>
      <c r="M3656" s="2">
        <v>98.113600000000005</v>
      </c>
      <c r="N3656" s="2">
        <v>226</v>
      </c>
      <c r="O3656" s="2">
        <v>96.101900000000001</v>
      </c>
      <c r="P3656" s="2">
        <v>272</v>
      </c>
      <c r="Q3656" s="2">
        <v>103.6527</v>
      </c>
      <c r="R3656" s="2">
        <v>231</v>
      </c>
      <c r="S3656" s="2">
        <v>108.90349999999999</v>
      </c>
      <c r="T3656" s="2">
        <v>310</v>
      </c>
      <c r="U3656" s="2">
        <v>0.19183800000000001</v>
      </c>
      <c r="V3656" s="2">
        <v>298</v>
      </c>
      <c r="W3656" s="2">
        <v>2012</v>
      </c>
    </row>
    <row r="3657" spans="1:23" ht="12.3" hidden="1" x14ac:dyDescent="0.4">
      <c r="A3657" s="2" t="s">
        <v>328</v>
      </c>
      <c r="B3657" s="2"/>
      <c r="C3657" s="2"/>
      <c r="D3657" s="2"/>
      <c r="E3657" s="2"/>
      <c r="F3657" s="2"/>
      <c r="G3657" s="2"/>
      <c r="H3657" s="2"/>
      <c r="I3657" s="2">
        <v>64.883899999999997</v>
      </c>
      <c r="J3657" s="2">
        <v>235</v>
      </c>
      <c r="K3657" s="2">
        <v>63.933900000000001</v>
      </c>
      <c r="L3657" s="2">
        <v>274</v>
      </c>
      <c r="M3657" s="2">
        <v>87.211399999999998</v>
      </c>
      <c r="N3657" s="2">
        <v>336</v>
      </c>
      <c r="O3657" s="2">
        <v>85.701599999999999</v>
      </c>
      <c r="P3657" s="2">
        <v>344</v>
      </c>
      <c r="Q3657" s="2">
        <v>95.811700000000002</v>
      </c>
      <c r="R3657" s="2">
        <v>59</v>
      </c>
      <c r="S3657" s="2">
        <v>97.207499999999996</v>
      </c>
      <c r="T3657" s="2">
        <v>85</v>
      </c>
      <c r="U3657" s="2">
        <v>0.190197</v>
      </c>
      <c r="V3657" s="2">
        <v>299</v>
      </c>
      <c r="W3657" s="2">
        <v>2012</v>
      </c>
    </row>
    <row r="3658" spans="1:23" ht="12.3" hidden="1" x14ac:dyDescent="0.4">
      <c r="A3658" s="2" t="s">
        <v>198</v>
      </c>
      <c r="B3658" s="2"/>
      <c r="C3658" s="2"/>
      <c r="D3658" s="2"/>
      <c r="E3658" s="2"/>
      <c r="F3658" s="2"/>
      <c r="G3658" s="2"/>
      <c r="H3658" s="2"/>
      <c r="I3658" s="2">
        <v>68.6053</v>
      </c>
      <c r="J3658" s="2">
        <v>60</v>
      </c>
      <c r="K3658" s="2">
        <v>68.942300000000003</v>
      </c>
      <c r="L3658" s="2">
        <v>46</v>
      </c>
      <c r="M3658" s="2">
        <v>96.350499999999997</v>
      </c>
      <c r="N3658" s="2">
        <v>261</v>
      </c>
      <c r="O3658" s="2">
        <v>98.160399999999996</v>
      </c>
      <c r="P3658" s="2">
        <v>231</v>
      </c>
      <c r="Q3658" s="2">
        <v>110.1983</v>
      </c>
      <c r="R3658" s="2">
        <v>325</v>
      </c>
      <c r="S3658" s="2">
        <v>111.3492</v>
      </c>
      <c r="T3658" s="2">
        <v>329</v>
      </c>
      <c r="U3658" s="2">
        <v>0.19003400000000001</v>
      </c>
      <c r="V3658" s="2">
        <v>300</v>
      </c>
      <c r="W3658" s="2">
        <v>2012</v>
      </c>
    </row>
    <row r="3659" spans="1:23" ht="12.3" hidden="1" x14ac:dyDescent="0.4">
      <c r="A3659" s="2" t="s">
        <v>296</v>
      </c>
      <c r="B3659" s="2"/>
      <c r="C3659" s="2"/>
      <c r="D3659" s="2"/>
      <c r="E3659" s="2"/>
      <c r="F3659" s="2"/>
      <c r="G3659" s="2"/>
      <c r="H3659" s="2"/>
      <c r="I3659" s="2">
        <v>70.506100000000004</v>
      </c>
      <c r="J3659" s="2">
        <v>27</v>
      </c>
      <c r="K3659" s="2">
        <v>69.034400000000005</v>
      </c>
      <c r="L3659" s="2">
        <v>44</v>
      </c>
      <c r="M3659" s="2">
        <v>94.249499999999998</v>
      </c>
      <c r="N3659" s="2">
        <v>293</v>
      </c>
      <c r="O3659" s="2">
        <v>92.533299999999997</v>
      </c>
      <c r="P3659" s="2">
        <v>301</v>
      </c>
      <c r="Q3659" s="2">
        <v>103.861</v>
      </c>
      <c r="R3659" s="2">
        <v>235</v>
      </c>
      <c r="S3659" s="2">
        <v>105.22239999999999</v>
      </c>
      <c r="T3659" s="2">
        <v>260</v>
      </c>
      <c r="U3659" s="2">
        <v>0.185754</v>
      </c>
      <c r="V3659" s="2">
        <v>301</v>
      </c>
      <c r="W3659" s="2">
        <v>2012</v>
      </c>
    </row>
    <row r="3660" spans="1:23" ht="12.3" hidden="1" x14ac:dyDescent="0.4">
      <c r="A3660" s="2" t="s">
        <v>327</v>
      </c>
      <c r="B3660" s="2"/>
      <c r="C3660" s="2"/>
      <c r="D3660" s="2"/>
      <c r="E3660" s="2"/>
      <c r="F3660" s="2"/>
      <c r="G3660" s="2"/>
      <c r="H3660" s="2"/>
      <c r="I3660" s="2">
        <v>63.366</v>
      </c>
      <c r="J3660" s="2">
        <v>289</v>
      </c>
      <c r="K3660" s="2">
        <v>63.846800000000002</v>
      </c>
      <c r="L3660" s="2">
        <v>277</v>
      </c>
      <c r="M3660" s="2">
        <v>90.247500000000002</v>
      </c>
      <c r="N3660" s="2">
        <v>322</v>
      </c>
      <c r="O3660" s="2">
        <v>89.460300000000004</v>
      </c>
      <c r="P3660" s="2">
        <v>325</v>
      </c>
      <c r="Q3660" s="2">
        <v>100.7055</v>
      </c>
      <c r="R3660" s="2">
        <v>168</v>
      </c>
      <c r="S3660" s="2">
        <v>101.99850000000001</v>
      </c>
      <c r="T3660" s="2">
        <v>189</v>
      </c>
      <c r="U3660" s="2">
        <v>0.18117900000000001</v>
      </c>
      <c r="V3660" s="2">
        <v>302</v>
      </c>
      <c r="W3660" s="2">
        <v>2012</v>
      </c>
    </row>
    <row r="3661" spans="1:23" ht="12.3" hidden="1" x14ac:dyDescent="0.4">
      <c r="A3661" s="2" t="s">
        <v>295</v>
      </c>
      <c r="B3661" s="2"/>
      <c r="C3661" s="2"/>
      <c r="D3661" s="2"/>
      <c r="E3661" s="2"/>
      <c r="F3661" s="2"/>
      <c r="G3661" s="2"/>
      <c r="H3661" s="2"/>
      <c r="I3661" s="2">
        <v>65.627300000000005</v>
      </c>
      <c r="J3661" s="2">
        <v>201</v>
      </c>
      <c r="K3661" s="2">
        <v>65.061000000000007</v>
      </c>
      <c r="L3661" s="2">
        <v>219</v>
      </c>
      <c r="M3661" s="2">
        <v>90.326899999999995</v>
      </c>
      <c r="N3661" s="2">
        <v>321</v>
      </c>
      <c r="O3661" s="2">
        <v>90.900499999999994</v>
      </c>
      <c r="P3661" s="2">
        <v>316</v>
      </c>
      <c r="Q3661" s="2">
        <v>100.9019</v>
      </c>
      <c r="R3661" s="2">
        <v>174</v>
      </c>
      <c r="S3661" s="2">
        <v>103.6824</v>
      </c>
      <c r="T3661" s="2">
        <v>225</v>
      </c>
      <c r="U3661" s="2">
        <v>0.18049200000000001</v>
      </c>
      <c r="V3661" s="2">
        <v>303</v>
      </c>
      <c r="W3661" s="2">
        <v>2012</v>
      </c>
    </row>
    <row r="3662" spans="1:23" ht="12.3" hidden="1" x14ac:dyDescent="0.4">
      <c r="A3662" s="2" t="s">
        <v>294</v>
      </c>
      <c r="B3662" s="2"/>
      <c r="C3662" s="2"/>
      <c r="D3662" s="2"/>
      <c r="E3662" s="2"/>
      <c r="F3662" s="2"/>
      <c r="G3662" s="2"/>
      <c r="H3662" s="2"/>
      <c r="I3662" s="2">
        <v>65.492599999999996</v>
      </c>
      <c r="J3662" s="2">
        <v>205</v>
      </c>
      <c r="K3662" s="2">
        <v>65.996099999999998</v>
      </c>
      <c r="L3662" s="2">
        <v>170</v>
      </c>
      <c r="M3662" s="2">
        <v>96.350800000000007</v>
      </c>
      <c r="N3662" s="2">
        <v>260</v>
      </c>
      <c r="O3662" s="2">
        <v>96.334699999999998</v>
      </c>
      <c r="P3662" s="2">
        <v>265</v>
      </c>
      <c r="Q3662" s="2">
        <v>109.19159999999999</v>
      </c>
      <c r="R3662" s="2">
        <v>317</v>
      </c>
      <c r="S3662" s="2">
        <v>110.1442</v>
      </c>
      <c r="T3662" s="2">
        <v>321</v>
      </c>
      <c r="U3662" s="2">
        <v>0.176455</v>
      </c>
      <c r="V3662" s="2">
        <v>304</v>
      </c>
      <c r="W3662" s="2">
        <v>2012</v>
      </c>
    </row>
    <row r="3663" spans="1:23" ht="12.3" hidden="1" x14ac:dyDescent="0.4">
      <c r="A3663" s="2" t="s">
        <v>70</v>
      </c>
      <c r="B3663" s="2"/>
      <c r="C3663" s="2"/>
      <c r="D3663" s="2"/>
      <c r="E3663" s="2"/>
      <c r="F3663" s="2"/>
      <c r="G3663" s="2"/>
      <c r="H3663" s="2"/>
      <c r="I3663" s="2">
        <v>62.710599999999999</v>
      </c>
      <c r="J3663" s="2">
        <v>314</v>
      </c>
      <c r="K3663" s="2">
        <v>62.241599999999998</v>
      </c>
      <c r="L3663" s="2">
        <v>320</v>
      </c>
      <c r="M3663" s="2">
        <v>88.025999999999996</v>
      </c>
      <c r="N3663" s="2">
        <v>331</v>
      </c>
      <c r="O3663" s="2">
        <v>90.775300000000001</v>
      </c>
      <c r="P3663" s="2">
        <v>318</v>
      </c>
      <c r="Q3663" s="2">
        <v>111.27760000000001</v>
      </c>
      <c r="R3663" s="2">
        <v>331</v>
      </c>
      <c r="S3663" s="2">
        <v>103.86709999999999</v>
      </c>
      <c r="T3663" s="2">
        <v>230</v>
      </c>
      <c r="U3663" s="2">
        <v>0.17518300000000001</v>
      </c>
      <c r="V3663" s="2">
        <v>305</v>
      </c>
      <c r="W3663" s="2">
        <v>2012</v>
      </c>
    </row>
    <row r="3664" spans="1:23" ht="12.3" hidden="1" x14ac:dyDescent="0.4">
      <c r="A3664" s="2" t="s">
        <v>193</v>
      </c>
      <c r="B3664" s="2"/>
      <c r="C3664" s="2"/>
      <c r="D3664" s="2"/>
      <c r="E3664" s="2"/>
      <c r="F3664" s="2"/>
      <c r="G3664" s="2"/>
      <c r="H3664" s="2"/>
      <c r="I3664" s="2">
        <v>64.487099999999998</v>
      </c>
      <c r="J3664" s="2">
        <v>253</v>
      </c>
      <c r="K3664" s="2">
        <v>64.906899999999993</v>
      </c>
      <c r="L3664" s="2">
        <v>229</v>
      </c>
      <c r="M3664" s="2">
        <v>92.908500000000004</v>
      </c>
      <c r="N3664" s="2">
        <v>300</v>
      </c>
      <c r="O3664" s="2">
        <v>96.111199999999997</v>
      </c>
      <c r="P3664" s="2">
        <v>271</v>
      </c>
      <c r="Q3664" s="2">
        <v>110.8302</v>
      </c>
      <c r="R3664" s="2">
        <v>330</v>
      </c>
      <c r="S3664" s="2">
        <v>110.084</v>
      </c>
      <c r="T3664" s="2">
        <v>320</v>
      </c>
      <c r="U3664" s="2">
        <v>0.17350599999999999</v>
      </c>
      <c r="V3664" s="2">
        <v>306</v>
      </c>
      <c r="W3664" s="2">
        <v>2012</v>
      </c>
    </row>
    <row r="3665" spans="1:23" ht="12.3" hidden="1" x14ac:dyDescent="0.4">
      <c r="A3665" s="2" t="s">
        <v>373</v>
      </c>
      <c r="B3665" s="2"/>
      <c r="C3665" s="2"/>
      <c r="D3665" s="2"/>
      <c r="E3665" s="2"/>
      <c r="F3665" s="2"/>
      <c r="G3665" s="2"/>
      <c r="H3665" s="2"/>
      <c r="I3665" s="2">
        <v>68.265000000000001</v>
      </c>
      <c r="J3665" s="2">
        <v>75</v>
      </c>
      <c r="K3665" s="2">
        <v>69.027900000000002</v>
      </c>
      <c r="L3665" s="2">
        <v>45</v>
      </c>
      <c r="M3665" s="2">
        <v>95.069000000000003</v>
      </c>
      <c r="N3665" s="2">
        <v>280</v>
      </c>
      <c r="O3665" s="2">
        <v>94.326700000000002</v>
      </c>
      <c r="P3665" s="2">
        <v>286</v>
      </c>
      <c r="Q3665" s="2">
        <v>106.5056</v>
      </c>
      <c r="R3665" s="2">
        <v>287</v>
      </c>
      <c r="S3665" s="2">
        <v>108.2022</v>
      </c>
      <c r="T3665" s="2">
        <v>299</v>
      </c>
      <c r="U3665" s="2">
        <v>0.171047</v>
      </c>
      <c r="V3665" s="2">
        <v>307</v>
      </c>
      <c r="W3665" s="2">
        <v>2012</v>
      </c>
    </row>
    <row r="3666" spans="1:23" ht="12.3" hidden="1" x14ac:dyDescent="0.4">
      <c r="A3666" s="2" t="s">
        <v>233</v>
      </c>
      <c r="B3666" s="2"/>
      <c r="C3666" s="2"/>
      <c r="D3666" s="2"/>
      <c r="E3666" s="2"/>
      <c r="F3666" s="2"/>
      <c r="G3666" s="2"/>
      <c r="H3666" s="2"/>
      <c r="I3666" s="2">
        <v>65.062899999999999</v>
      </c>
      <c r="J3666" s="2">
        <v>226</v>
      </c>
      <c r="K3666" s="2">
        <v>65.284300000000002</v>
      </c>
      <c r="L3666" s="2">
        <v>209</v>
      </c>
      <c r="M3666" s="2">
        <v>93.061800000000005</v>
      </c>
      <c r="N3666" s="2">
        <v>298</v>
      </c>
      <c r="O3666" s="2">
        <v>94.815200000000004</v>
      </c>
      <c r="P3666" s="2">
        <v>284</v>
      </c>
      <c r="Q3666" s="2">
        <v>107.2144</v>
      </c>
      <c r="R3666" s="2">
        <v>296</v>
      </c>
      <c r="S3666" s="2">
        <v>109.2501</v>
      </c>
      <c r="T3666" s="2">
        <v>312</v>
      </c>
      <c r="U3666" s="2">
        <v>0.16387599999999999</v>
      </c>
      <c r="V3666" s="2">
        <v>308</v>
      </c>
      <c r="W3666" s="2">
        <v>2012</v>
      </c>
    </row>
    <row r="3667" spans="1:23" ht="12.3" hidden="1" x14ac:dyDescent="0.4">
      <c r="A3667" s="2" t="s">
        <v>347</v>
      </c>
      <c r="B3667" s="2"/>
      <c r="C3667" s="2"/>
      <c r="D3667" s="2"/>
      <c r="E3667" s="2"/>
      <c r="F3667" s="2"/>
      <c r="G3667" s="2"/>
      <c r="H3667" s="2"/>
      <c r="I3667" s="2">
        <v>68.493099999999998</v>
      </c>
      <c r="J3667" s="2">
        <v>65</v>
      </c>
      <c r="K3667" s="2">
        <v>66.5291</v>
      </c>
      <c r="L3667" s="2">
        <v>142</v>
      </c>
      <c r="M3667" s="2">
        <v>94.741200000000006</v>
      </c>
      <c r="N3667" s="2">
        <v>286</v>
      </c>
      <c r="O3667" s="2">
        <v>101.4482</v>
      </c>
      <c r="P3667" s="2">
        <v>161</v>
      </c>
      <c r="Q3667" s="2">
        <v>115.0958</v>
      </c>
      <c r="R3667" s="2">
        <v>342</v>
      </c>
      <c r="S3667" s="2">
        <v>117.7376</v>
      </c>
      <c r="T3667" s="2">
        <v>344</v>
      </c>
      <c r="U3667" s="2">
        <v>0.15284400000000001</v>
      </c>
      <c r="V3667" s="2">
        <v>309</v>
      </c>
      <c r="W3667" s="2">
        <v>2012</v>
      </c>
    </row>
    <row r="3668" spans="1:23" ht="12.3" hidden="1" x14ac:dyDescent="0.4">
      <c r="A3668" s="2" t="s">
        <v>332</v>
      </c>
      <c r="B3668" s="2"/>
      <c r="C3668" s="2"/>
      <c r="D3668" s="2"/>
      <c r="E3668" s="2"/>
      <c r="F3668" s="2"/>
      <c r="G3668" s="2"/>
      <c r="H3668" s="2"/>
      <c r="I3668" s="2">
        <v>64.480599999999995</v>
      </c>
      <c r="J3668" s="2">
        <v>254</v>
      </c>
      <c r="K3668" s="2">
        <v>64.354799999999997</v>
      </c>
      <c r="L3668" s="2">
        <v>254</v>
      </c>
      <c r="M3668" s="2">
        <v>94.478499999999997</v>
      </c>
      <c r="N3668" s="2">
        <v>289</v>
      </c>
      <c r="O3668" s="2">
        <v>93.694299999999998</v>
      </c>
      <c r="P3668" s="2">
        <v>291</v>
      </c>
      <c r="Q3668" s="2">
        <v>108.0063</v>
      </c>
      <c r="R3668" s="2">
        <v>305</v>
      </c>
      <c r="S3668" s="2">
        <v>108.893</v>
      </c>
      <c r="T3668" s="2">
        <v>309</v>
      </c>
      <c r="U3668" s="2">
        <v>0.15074499999999999</v>
      </c>
      <c r="V3668" s="2">
        <v>310</v>
      </c>
      <c r="W3668" s="2">
        <v>2012</v>
      </c>
    </row>
    <row r="3669" spans="1:23" ht="12.3" hidden="1" x14ac:dyDescent="0.4">
      <c r="A3669" s="2" t="s">
        <v>242</v>
      </c>
      <c r="B3669" s="2"/>
      <c r="C3669" s="2"/>
      <c r="D3669" s="2"/>
      <c r="E3669" s="2"/>
      <c r="F3669" s="2"/>
      <c r="G3669" s="2"/>
      <c r="H3669" s="2"/>
      <c r="I3669" s="2">
        <v>67.462599999999995</v>
      </c>
      <c r="J3669" s="2">
        <v>111</v>
      </c>
      <c r="K3669" s="2">
        <v>66.201999999999998</v>
      </c>
      <c r="L3669" s="2">
        <v>157</v>
      </c>
      <c r="M3669" s="2">
        <v>88.592200000000005</v>
      </c>
      <c r="N3669" s="2">
        <v>328</v>
      </c>
      <c r="O3669" s="2">
        <v>89.647000000000006</v>
      </c>
      <c r="P3669" s="2">
        <v>323</v>
      </c>
      <c r="Q3669" s="2">
        <v>103.72069999999999</v>
      </c>
      <c r="R3669" s="2">
        <v>233</v>
      </c>
      <c r="S3669" s="2">
        <v>104.23779999999999</v>
      </c>
      <c r="T3669" s="2">
        <v>244</v>
      </c>
      <c r="U3669" s="2">
        <v>0.150059</v>
      </c>
      <c r="V3669" s="2">
        <v>311</v>
      </c>
      <c r="W3669" s="2">
        <v>2012</v>
      </c>
    </row>
    <row r="3670" spans="1:23" ht="12.3" hidden="1" x14ac:dyDescent="0.4">
      <c r="A3670" s="2" t="s">
        <v>276</v>
      </c>
      <c r="B3670" s="2"/>
      <c r="C3670" s="2"/>
      <c r="D3670" s="2"/>
      <c r="E3670" s="2"/>
      <c r="F3670" s="2"/>
      <c r="G3670" s="2"/>
      <c r="H3670" s="2"/>
      <c r="I3670" s="2">
        <v>66.203199999999995</v>
      </c>
      <c r="J3670" s="2">
        <v>173</v>
      </c>
      <c r="K3670" s="2">
        <v>66.080500000000001</v>
      </c>
      <c r="L3670" s="2">
        <v>165</v>
      </c>
      <c r="M3670" s="2">
        <v>87.557299999999998</v>
      </c>
      <c r="N3670" s="2">
        <v>333</v>
      </c>
      <c r="O3670" s="2">
        <v>88.442400000000006</v>
      </c>
      <c r="P3670" s="2">
        <v>332</v>
      </c>
      <c r="Q3670" s="2">
        <v>101.2586</v>
      </c>
      <c r="R3670" s="2">
        <v>179</v>
      </c>
      <c r="S3670" s="2">
        <v>103.35</v>
      </c>
      <c r="T3670" s="2">
        <v>218</v>
      </c>
      <c r="U3670" s="2">
        <v>0.14290600000000001</v>
      </c>
      <c r="V3670" s="2">
        <v>312</v>
      </c>
      <c r="W3670" s="2">
        <v>2012</v>
      </c>
    </row>
    <row r="3671" spans="1:23" ht="12.3" hidden="1" x14ac:dyDescent="0.4">
      <c r="A3671" s="2" t="s">
        <v>202</v>
      </c>
      <c r="B3671" s="2"/>
      <c r="C3671" s="2"/>
      <c r="D3671" s="2"/>
      <c r="E3671" s="2"/>
      <c r="F3671" s="2"/>
      <c r="G3671" s="2"/>
      <c r="H3671" s="2"/>
      <c r="I3671" s="2">
        <v>66.787899999999993</v>
      </c>
      <c r="J3671" s="2">
        <v>141</v>
      </c>
      <c r="K3671" s="2">
        <v>65.259299999999996</v>
      </c>
      <c r="L3671" s="2">
        <v>211</v>
      </c>
      <c r="M3671" s="2">
        <v>91.198099999999997</v>
      </c>
      <c r="N3671" s="2">
        <v>314</v>
      </c>
      <c r="O3671" s="2">
        <v>91.596800000000002</v>
      </c>
      <c r="P3671" s="2">
        <v>311</v>
      </c>
      <c r="Q3671" s="2">
        <v>105.3437</v>
      </c>
      <c r="R3671" s="2">
        <v>272</v>
      </c>
      <c r="S3671" s="2">
        <v>107.0672</v>
      </c>
      <c r="T3671" s="2">
        <v>283</v>
      </c>
      <c r="U3671" s="2">
        <v>0.14249899999999999</v>
      </c>
      <c r="V3671" s="2">
        <v>313</v>
      </c>
      <c r="W3671" s="2">
        <v>2012</v>
      </c>
    </row>
    <row r="3672" spans="1:23" ht="12.3" hidden="1" x14ac:dyDescent="0.4">
      <c r="A3672" s="2" t="s">
        <v>361</v>
      </c>
      <c r="B3672" s="2"/>
      <c r="C3672" s="2"/>
      <c r="D3672" s="2"/>
      <c r="E3672" s="2"/>
      <c r="F3672" s="2"/>
      <c r="G3672" s="2"/>
      <c r="H3672" s="2"/>
      <c r="I3672" s="2">
        <v>64.288399999999996</v>
      </c>
      <c r="J3672" s="2">
        <v>265</v>
      </c>
      <c r="K3672" s="2">
        <v>63.410299999999999</v>
      </c>
      <c r="L3672" s="2">
        <v>291</v>
      </c>
      <c r="M3672" s="2">
        <v>93.572800000000001</v>
      </c>
      <c r="N3672" s="2">
        <v>297</v>
      </c>
      <c r="O3672" s="2">
        <v>96.043199999999999</v>
      </c>
      <c r="P3672" s="2">
        <v>276</v>
      </c>
      <c r="Q3672" s="2">
        <v>116.3768</v>
      </c>
      <c r="R3672" s="2">
        <v>343</v>
      </c>
      <c r="S3672" s="2">
        <v>112.6932</v>
      </c>
      <c r="T3672" s="2">
        <v>334</v>
      </c>
      <c r="U3672" s="2">
        <v>0.13722799999999999</v>
      </c>
      <c r="V3672" s="2">
        <v>314</v>
      </c>
      <c r="W3672" s="2">
        <v>2012</v>
      </c>
    </row>
    <row r="3673" spans="1:23" ht="12.3" hidden="1" x14ac:dyDescent="0.4">
      <c r="A3673" s="2" t="s">
        <v>301</v>
      </c>
      <c r="B3673" s="2"/>
      <c r="C3673" s="2"/>
      <c r="D3673" s="2"/>
      <c r="E3673" s="2"/>
      <c r="F3673" s="2"/>
      <c r="G3673" s="2"/>
      <c r="H3673" s="2"/>
      <c r="I3673" s="2">
        <v>69.3934</v>
      </c>
      <c r="J3673" s="2">
        <v>41</v>
      </c>
      <c r="K3673" s="2">
        <v>68.861900000000006</v>
      </c>
      <c r="L3673" s="2">
        <v>49</v>
      </c>
      <c r="M3673" s="2">
        <v>92.525099999999995</v>
      </c>
      <c r="N3673" s="2">
        <v>303</v>
      </c>
      <c r="O3673" s="2">
        <v>92.346299999999999</v>
      </c>
      <c r="P3673" s="2">
        <v>302</v>
      </c>
      <c r="Q3673" s="2">
        <v>105.7182</v>
      </c>
      <c r="R3673" s="2">
        <v>277</v>
      </c>
      <c r="S3673" s="2">
        <v>108.7517</v>
      </c>
      <c r="T3673" s="2">
        <v>306</v>
      </c>
      <c r="U3673" s="2">
        <v>0.13233200000000001</v>
      </c>
      <c r="V3673" s="2">
        <v>315</v>
      </c>
      <c r="W3673" s="2">
        <v>2012</v>
      </c>
    </row>
    <row r="3674" spans="1:23" ht="12.3" hidden="1" x14ac:dyDescent="0.4">
      <c r="A3674" s="2" t="s">
        <v>364</v>
      </c>
      <c r="B3674" s="2"/>
      <c r="C3674" s="2"/>
      <c r="D3674" s="2"/>
      <c r="E3674" s="2"/>
      <c r="F3674" s="2"/>
      <c r="G3674" s="2"/>
      <c r="H3674" s="2"/>
      <c r="I3674" s="2">
        <v>73.476399999999998</v>
      </c>
      <c r="J3674" s="2">
        <v>7</v>
      </c>
      <c r="K3674" s="2">
        <v>72.996799999999993</v>
      </c>
      <c r="L3674" s="2">
        <v>6</v>
      </c>
      <c r="M3674" s="2">
        <v>92.437100000000001</v>
      </c>
      <c r="N3674" s="2">
        <v>305</v>
      </c>
      <c r="O3674" s="2">
        <v>91.433099999999996</v>
      </c>
      <c r="P3674" s="2">
        <v>313</v>
      </c>
      <c r="Q3674" s="2">
        <v>109.20959999999999</v>
      </c>
      <c r="R3674" s="2">
        <v>318</v>
      </c>
      <c r="S3674" s="2">
        <v>107.8134</v>
      </c>
      <c r="T3674" s="2">
        <v>292</v>
      </c>
      <c r="U3674" s="2">
        <v>0.130659</v>
      </c>
      <c r="V3674" s="2">
        <v>316</v>
      </c>
      <c r="W3674" s="2">
        <v>2012</v>
      </c>
    </row>
    <row r="3675" spans="1:23" ht="12.3" hidden="1" x14ac:dyDescent="0.4">
      <c r="A3675" s="2" t="s">
        <v>223</v>
      </c>
      <c r="B3675" s="2"/>
      <c r="C3675" s="2"/>
      <c r="D3675" s="2"/>
      <c r="E3675" s="2"/>
      <c r="F3675" s="2"/>
      <c r="G3675" s="2"/>
      <c r="H3675" s="2"/>
      <c r="I3675" s="2">
        <v>66.459199999999996</v>
      </c>
      <c r="J3675" s="2">
        <v>156</v>
      </c>
      <c r="K3675" s="2">
        <v>65.955299999999994</v>
      </c>
      <c r="L3675" s="2">
        <v>173</v>
      </c>
      <c r="M3675" s="2">
        <v>90.562600000000003</v>
      </c>
      <c r="N3675" s="2">
        <v>317</v>
      </c>
      <c r="O3675" s="2">
        <v>88.793400000000005</v>
      </c>
      <c r="P3675" s="2">
        <v>329</v>
      </c>
      <c r="Q3675" s="2">
        <v>104.8792</v>
      </c>
      <c r="R3675" s="2">
        <v>260</v>
      </c>
      <c r="S3675" s="2">
        <v>104.70650000000001</v>
      </c>
      <c r="T3675" s="2">
        <v>249</v>
      </c>
      <c r="U3675" s="2">
        <v>0.13058800000000001</v>
      </c>
      <c r="V3675" s="2">
        <v>317</v>
      </c>
      <c r="W3675" s="2">
        <v>2012</v>
      </c>
    </row>
    <row r="3676" spans="1:23" ht="12.3" hidden="1" x14ac:dyDescent="0.4">
      <c r="A3676" s="2" t="s">
        <v>374</v>
      </c>
      <c r="B3676" s="2"/>
      <c r="C3676" s="2"/>
      <c r="D3676" s="2"/>
      <c r="E3676" s="2"/>
      <c r="F3676" s="2"/>
      <c r="G3676" s="2"/>
      <c r="H3676" s="2"/>
      <c r="I3676" s="2">
        <v>73.487700000000004</v>
      </c>
      <c r="J3676" s="2">
        <v>6</v>
      </c>
      <c r="K3676" s="2">
        <v>71.593500000000006</v>
      </c>
      <c r="L3676" s="2">
        <v>13</v>
      </c>
      <c r="M3676" s="2">
        <v>94.266999999999996</v>
      </c>
      <c r="N3676" s="2">
        <v>292</v>
      </c>
      <c r="O3676" s="2">
        <v>91.434100000000001</v>
      </c>
      <c r="P3676" s="2">
        <v>312</v>
      </c>
      <c r="Q3676" s="2">
        <v>107.1944</v>
      </c>
      <c r="R3676" s="2">
        <v>295</v>
      </c>
      <c r="S3676" s="2">
        <v>107.8289</v>
      </c>
      <c r="T3676" s="2">
        <v>293</v>
      </c>
      <c r="U3676" s="2">
        <v>0.13048699999999999</v>
      </c>
      <c r="V3676" s="2">
        <v>318</v>
      </c>
      <c r="W3676" s="2">
        <v>2012</v>
      </c>
    </row>
    <row r="3677" spans="1:23" ht="12.3" hidden="1" x14ac:dyDescent="0.4">
      <c r="A3677" s="2" t="s">
        <v>338</v>
      </c>
      <c r="B3677" s="2"/>
      <c r="C3677" s="2"/>
      <c r="D3677" s="2"/>
      <c r="E3677" s="2"/>
      <c r="F3677" s="2"/>
      <c r="G3677" s="2"/>
      <c r="H3677" s="2"/>
      <c r="I3677" s="2">
        <v>65.592799999999997</v>
      </c>
      <c r="J3677" s="2">
        <v>203</v>
      </c>
      <c r="K3677" s="2">
        <v>64.337699999999998</v>
      </c>
      <c r="L3677" s="2">
        <v>257</v>
      </c>
      <c r="M3677" s="2">
        <v>90.471599999999995</v>
      </c>
      <c r="N3677" s="2">
        <v>319</v>
      </c>
      <c r="O3677" s="2">
        <v>88.712699999999998</v>
      </c>
      <c r="P3677" s="2">
        <v>331</v>
      </c>
      <c r="Q3677" s="2">
        <v>97.114400000000003</v>
      </c>
      <c r="R3677" s="2">
        <v>81</v>
      </c>
      <c r="S3677" s="2">
        <v>104.7103</v>
      </c>
      <c r="T3677" s="2">
        <v>250</v>
      </c>
      <c r="U3677" s="2">
        <v>0.12936</v>
      </c>
      <c r="V3677" s="2">
        <v>319</v>
      </c>
      <c r="W3677" s="2">
        <v>2012</v>
      </c>
    </row>
    <row r="3678" spans="1:23" ht="12.3" hidden="1" x14ac:dyDescent="0.4">
      <c r="A3678" s="2" t="s">
        <v>179</v>
      </c>
      <c r="B3678" s="2"/>
      <c r="C3678" s="2"/>
      <c r="D3678" s="2"/>
      <c r="E3678" s="2"/>
      <c r="F3678" s="2"/>
      <c r="G3678" s="2"/>
      <c r="H3678" s="2"/>
      <c r="I3678" s="2">
        <v>65.715000000000003</v>
      </c>
      <c r="J3678" s="2">
        <v>198</v>
      </c>
      <c r="K3678" s="2">
        <v>64.1708</v>
      </c>
      <c r="L3678" s="2">
        <v>260</v>
      </c>
      <c r="M3678" s="2">
        <v>92.692999999999998</v>
      </c>
      <c r="N3678" s="2">
        <v>301</v>
      </c>
      <c r="O3678" s="2">
        <v>90.946200000000005</v>
      </c>
      <c r="P3678" s="2">
        <v>315</v>
      </c>
      <c r="Q3678" s="2">
        <v>108.89449999999999</v>
      </c>
      <c r="R3678" s="2">
        <v>312</v>
      </c>
      <c r="S3678" s="2">
        <v>107.6108</v>
      </c>
      <c r="T3678" s="2">
        <v>288</v>
      </c>
      <c r="U3678" s="2">
        <v>0.12620799999999999</v>
      </c>
      <c r="V3678" s="2">
        <v>320</v>
      </c>
      <c r="W3678" s="2">
        <v>2012</v>
      </c>
    </row>
    <row r="3679" spans="1:23" ht="12.3" hidden="1" x14ac:dyDescent="0.4">
      <c r="A3679" s="2" t="s">
        <v>357</v>
      </c>
      <c r="B3679" s="2"/>
      <c r="C3679" s="2"/>
      <c r="D3679" s="2"/>
      <c r="E3679" s="2"/>
      <c r="F3679" s="2"/>
      <c r="G3679" s="2"/>
      <c r="H3679" s="2"/>
      <c r="I3679" s="2">
        <v>66.403300000000002</v>
      </c>
      <c r="J3679" s="2">
        <v>159</v>
      </c>
      <c r="K3679" s="2">
        <v>66.209800000000001</v>
      </c>
      <c r="L3679" s="2">
        <v>156</v>
      </c>
      <c r="M3679" s="2">
        <v>92.438500000000005</v>
      </c>
      <c r="N3679" s="2">
        <v>304</v>
      </c>
      <c r="O3679" s="2">
        <v>93.073899999999995</v>
      </c>
      <c r="P3679" s="2">
        <v>298</v>
      </c>
      <c r="Q3679" s="2">
        <v>112.0172</v>
      </c>
      <c r="R3679" s="2">
        <v>336</v>
      </c>
      <c r="S3679" s="2">
        <v>110.4228</v>
      </c>
      <c r="T3679" s="2">
        <v>324</v>
      </c>
      <c r="U3679" s="2">
        <v>0.122861</v>
      </c>
      <c r="V3679" s="2">
        <v>321</v>
      </c>
      <c r="W3679" s="2">
        <v>2012</v>
      </c>
    </row>
    <row r="3680" spans="1:23" ht="12.3" hidden="1" x14ac:dyDescent="0.4">
      <c r="A3680" s="2" t="s">
        <v>247</v>
      </c>
      <c r="B3680" s="2"/>
      <c r="C3680" s="2"/>
      <c r="D3680" s="2"/>
      <c r="E3680" s="2"/>
      <c r="F3680" s="2"/>
      <c r="G3680" s="2"/>
      <c r="H3680" s="2"/>
      <c r="I3680" s="2">
        <v>65.433099999999996</v>
      </c>
      <c r="J3680" s="2">
        <v>208</v>
      </c>
      <c r="K3680" s="2">
        <v>65.271500000000003</v>
      </c>
      <c r="L3680" s="2">
        <v>210</v>
      </c>
      <c r="M3680" s="2">
        <v>96.050799999999995</v>
      </c>
      <c r="N3680" s="2">
        <v>267</v>
      </c>
      <c r="O3680" s="2">
        <v>96.651399999999995</v>
      </c>
      <c r="P3680" s="2">
        <v>258</v>
      </c>
      <c r="Q3680" s="2">
        <v>112.0243</v>
      </c>
      <c r="R3680" s="2">
        <v>337</v>
      </c>
      <c r="S3680" s="2">
        <v>114.8463</v>
      </c>
      <c r="T3680" s="2">
        <v>340</v>
      </c>
      <c r="U3680" s="2">
        <v>0.12094000000000001</v>
      </c>
      <c r="V3680" s="2">
        <v>322</v>
      </c>
      <c r="W3680" s="2">
        <v>2012</v>
      </c>
    </row>
    <row r="3681" spans="1:23" ht="12.3" hidden="1" x14ac:dyDescent="0.4">
      <c r="A3681" s="2" t="s">
        <v>297</v>
      </c>
      <c r="B3681" s="2"/>
      <c r="C3681" s="2"/>
      <c r="D3681" s="2"/>
      <c r="E3681" s="2"/>
      <c r="F3681" s="2"/>
      <c r="G3681" s="2"/>
      <c r="H3681" s="2"/>
      <c r="I3681" s="2">
        <v>64.803600000000003</v>
      </c>
      <c r="J3681" s="2">
        <v>239</v>
      </c>
      <c r="K3681" s="2">
        <v>64.4452</v>
      </c>
      <c r="L3681" s="2">
        <v>252</v>
      </c>
      <c r="M3681" s="2">
        <v>87.379000000000005</v>
      </c>
      <c r="N3681" s="2">
        <v>335</v>
      </c>
      <c r="O3681" s="2">
        <v>86.496399999999994</v>
      </c>
      <c r="P3681" s="2">
        <v>340</v>
      </c>
      <c r="Q3681" s="2">
        <v>96.348100000000002</v>
      </c>
      <c r="R3681" s="2">
        <v>68</v>
      </c>
      <c r="S3681" s="2">
        <v>102.8326</v>
      </c>
      <c r="T3681" s="2">
        <v>205</v>
      </c>
      <c r="U3681" s="2">
        <v>0.120311</v>
      </c>
      <c r="V3681" s="2">
        <v>323</v>
      </c>
      <c r="W3681" s="2">
        <v>2012</v>
      </c>
    </row>
    <row r="3682" spans="1:23" ht="12.3" hidden="1" x14ac:dyDescent="0.4">
      <c r="A3682" s="2" t="s">
        <v>351</v>
      </c>
      <c r="B3682" s="2"/>
      <c r="C3682" s="2"/>
      <c r="D3682" s="2"/>
      <c r="E3682" s="2"/>
      <c r="F3682" s="2"/>
      <c r="G3682" s="2"/>
      <c r="H3682" s="2"/>
      <c r="I3682" s="2">
        <v>66.357600000000005</v>
      </c>
      <c r="J3682" s="2">
        <v>165</v>
      </c>
      <c r="K3682" s="2">
        <v>66.161600000000007</v>
      </c>
      <c r="L3682" s="2">
        <v>159</v>
      </c>
      <c r="M3682" s="2">
        <v>91.871300000000005</v>
      </c>
      <c r="N3682" s="2">
        <v>309</v>
      </c>
      <c r="O3682" s="2">
        <v>92.2941</v>
      </c>
      <c r="P3682" s="2">
        <v>304</v>
      </c>
      <c r="Q3682" s="2">
        <v>104.2556</v>
      </c>
      <c r="R3682" s="2">
        <v>244</v>
      </c>
      <c r="S3682" s="2">
        <v>109.9327</v>
      </c>
      <c r="T3682" s="2">
        <v>319</v>
      </c>
      <c r="U3682" s="2">
        <v>0.11803</v>
      </c>
      <c r="V3682" s="2">
        <v>324</v>
      </c>
      <c r="W3682" s="2">
        <v>2012</v>
      </c>
    </row>
    <row r="3683" spans="1:23" ht="12.3" hidden="1" x14ac:dyDescent="0.4">
      <c r="A3683" s="2" t="s">
        <v>335</v>
      </c>
      <c r="B3683" s="2"/>
      <c r="C3683" s="2"/>
      <c r="D3683" s="2"/>
      <c r="E3683" s="2"/>
      <c r="F3683" s="2"/>
      <c r="G3683" s="2"/>
      <c r="H3683" s="2"/>
      <c r="I3683" s="2">
        <v>65.820599999999999</v>
      </c>
      <c r="J3683" s="2">
        <v>193</v>
      </c>
      <c r="K3683" s="2">
        <v>64.751599999999996</v>
      </c>
      <c r="L3683" s="2">
        <v>242</v>
      </c>
      <c r="M3683" s="2">
        <v>88.179100000000005</v>
      </c>
      <c r="N3683" s="2">
        <v>330</v>
      </c>
      <c r="O3683" s="2">
        <v>88.021600000000007</v>
      </c>
      <c r="P3683" s="2">
        <v>334</v>
      </c>
      <c r="Q3683" s="2">
        <v>104.5895</v>
      </c>
      <c r="R3683" s="2">
        <v>255</v>
      </c>
      <c r="S3683" s="2">
        <v>104.86539999999999</v>
      </c>
      <c r="T3683" s="2">
        <v>253</v>
      </c>
      <c r="U3683" s="2">
        <v>0.117783</v>
      </c>
      <c r="V3683" s="2">
        <v>325</v>
      </c>
      <c r="W3683" s="2">
        <v>2012</v>
      </c>
    </row>
    <row r="3684" spans="1:23" ht="12.3" hidden="1" x14ac:dyDescent="0.4">
      <c r="A3684" s="2" t="s">
        <v>321</v>
      </c>
      <c r="B3684" s="2"/>
      <c r="C3684" s="2"/>
      <c r="D3684" s="2"/>
      <c r="E3684" s="2"/>
      <c r="F3684" s="2"/>
      <c r="G3684" s="2"/>
      <c r="H3684" s="2"/>
      <c r="I3684" s="2">
        <v>67.618600000000001</v>
      </c>
      <c r="J3684" s="2">
        <v>100</v>
      </c>
      <c r="K3684" s="2">
        <v>67.967600000000004</v>
      </c>
      <c r="L3684" s="2">
        <v>83</v>
      </c>
      <c r="M3684" s="2">
        <v>85.513800000000003</v>
      </c>
      <c r="N3684" s="2">
        <v>343</v>
      </c>
      <c r="O3684" s="2">
        <v>85.812200000000004</v>
      </c>
      <c r="P3684" s="2">
        <v>343</v>
      </c>
      <c r="Q3684" s="2">
        <v>103.2831</v>
      </c>
      <c r="R3684" s="2">
        <v>224</v>
      </c>
      <c r="S3684" s="2">
        <v>102.7771</v>
      </c>
      <c r="T3684" s="2">
        <v>202</v>
      </c>
      <c r="U3684" s="2">
        <v>0.11158899999999999</v>
      </c>
      <c r="V3684" s="2">
        <v>326</v>
      </c>
      <c r="W3684" s="2">
        <v>2012</v>
      </c>
    </row>
    <row r="3685" spans="1:23" ht="12.3" hidden="1" x14ac:dyDescent="0.4">
      <c r="A3685" s="2" t="s">
        <v>209</v>
      </c>
      <c r="B3685" s="2"/>
      <c r="C3685" s="2"/>
      <c r="D3685" s="2"/>
      <c r="E3685" s="2"/>
      <c r="F3685" s="2"/>
      <c r="G3685" s="2"/>
      <c r="H3685" s="2"/>
      <c r="I3685" s="2">
        <v>62.904600000000002</v>
      </c>
      <c r="J3685" s="2">
        <v>305</v>
      </c>
      <c r="K3685" s="2">
        <v>63.091000000000001</v>
      </c>
      <c r="L3685" s="2">
        <v>299</v>
      </c>
      <c r="M3685" s="2">
        <v>87.553100000000001</v>
      </c>
      <c r="N3685" s="2">
        <v>334</v>
      </c>
      <c r="O3685" s="2">
        <v>90.162400000000005</v>
      </c>
      <c r="P3685" s="2">
        <v>320</v>
      </c>
      <c r="Q3685" s="2">
        <v>108.4101</v>
      </c>
      <c r="R3685" s="2">
        <v>306</v>
      </c>
      <c r="S3685" s="2">
        <v>108.01430000000001</v>
      </c>
      <c r="T3685" s="2">
        <v>296</v>
      </c>
      <c r="U3685" s="2">
        <v>0.111303</v>
      </c>
      <c r="V3685" s="2">
        <v>327</v>
      </c>
      <c r="W3685" s="2">
        <v>2012</v>
      </c>
    </row>
    <row r="3686" spans="1:23" ht="12.3" hidden="1" x14ac:dyDescent="0.4">
      <c r="A3686" s="2" t="s">
        <v>283</v>
      </c>
      <c r="B3686" s="2"/>
      <c r="C3686" s="2"/>
      <c r="D3686" s="2"/>
      <c r="E3686" s="2"/>
      <c r="F3686" s="2"/>
      <c r="G3686" s="2"/>
      <c r="H3686" s="2"/>
      <c r="I3686" s="2">
        <v>67.711299999999994</v>
      </c>
      <c r="J3686" s="2">
        <v>97</v>
      </c>
      <c r="K3686" s="2">
        <v>66.625200000000007</v>
      </c>
      <c r="L3686" s="2">
        <v>139</v>
      </c>
      <c r="M3686" s="2">
        <v>95.879099999999994</v>
      </c>
      <c r="N3686" s="2">
        <v>272</v>
      </c>
      <c r="O3686" s="2">
        <v>93.132400000000004</v>
      </c>
      <c r="P3686" s="2">
        <v>297</v>
      </c>
      <c r="Q3686" s="2">
        <v>110.78449999999999</v>
      </c>
      <c r="R3686" s="2">
        <v>329</v>
      </c>
      <c r="S3686" s="2">
        <v>111.6142</v>
      </c>
      <c r="T3686" s="2">
        <v>331</v>
      </c>
      <c r="U3686" s="2">
        <v>0.110878</v>
      </c>
      <c r="V3686" s="2">
        <v>328</v>
      </c>
      <c r="W3686" s="2">
        <v>2012</v>
      </c>
    </row>
    <row r="3687" spans="1:23" ht="12.3" hidden="1" x14ac:dyDescent="0.4">
      <c r="A3687" s="2" t="s">
        <v>342</v>
      </c>
      <c r="B3687" s="2"/>
      <c r="C3687" s="2"/>
      <c r="D3687" s="2"/>
      <c r="E3687" s="2"/>
      <c r="F3687" s="2"/>
      <c r="G3687" s="2"/>
      <c r="H3687" s="2"/>
      <c r="I3687" s="2">
        <v>70.727599999999995</v>
      </c>
      <c r="J3687" s="2">
        <v>22</v>
      </c>
      <c r="K3687" s="2">
        <v>70.969899999999996</v>
      </c>
      <c r="L3687" s="2">
        <v>18</v>
      </c>
      <c r="M3687" s="2">
        <v>86.668499999999995</v>
      </c>
      <c r="N3687" s="2">
        <v>339</v>
      </c>
      <c r="O3687" s="2">
        <v>84.6601</v>
      </c>
      <c r="P3687" s="2">
        <v>345</v>
      </c>
      <c r="Q3687" s="2">
        <v>95.7149</v>
      </c>
      <c r="R3687" s="2">
        <v>58</v>
      </c>
      <c r="S3687" s="2">
        <v>101.9131</v>
      </c>
      <c r="T3687" s="2">
        <v>186</v>
      </c>
      <c r="U3687" s="2">
        <v>0.105933</v>
      </c>
      <c r="V3687" s="2">
        <v>329</v>
      </c>
      <c r="W3687" s="2">
        <v>2012</v>
      </c>
    </row>
    <row r="3688" spans="1:23" ht="12.3" hidden="1" x14ac:dyDescent="0.4">
      <c r="A3688" s="2" t="s">
        <v>379</v>
      </c>
      <c r="B3688" s="2"/>
      <c r="C3688" s="2"/>
      <c r="D3688" s="2"/>
      <c r="E3688" s="2"/>
      <c r="F3688" s="2"/>
      <c r="G3688" s="2"/>
      <c r="H3688" s="2"/>
      <c r="I3688" s="2">
        <v>71.784000000000006</v>
      </c>
      <c r="J3688" s="2">
        <v>15</v>
      </c>
      <c r="K3688" s="2">
        <v>71.906400000000005</v>
      </c>
      <c r="L3688" s="2">
        <v>12</v>
      </c>
      <c r="M3688" s="2">
        <v>95.290700000000001</v>
      </c>
      <c r="N3688" s="2">
        <v>278</v>
      </c>
      <c r="O3688" s="2">
        <v>94.711699999999993</v>
      </c>
      <c r="P3688" s="2">
        <v>285</v>
      </c>
      <c r="Q3688" s="2">
        <v>117.59399999999999</v>
      </c>
      <c r="R3688" s="2">
        <v>344</v>
      </c>
      <c r="S3688" s="2">
        <v>114.5299</v>
      </c>
      <c r="T3688" s="2">
        <v>339</v>
      </c>
      <c r="U3688" s="2">
        <v>0.101108</v>
      </c>
      <c r="V3688" s="2">
        <v>330</v>
      </c>
      <c r="W3688" s="2">
        <v>2012</v>
      </c>
    </row>
    <row r="3689" spans="1:23" ht="12.3" hidden="1" x14ac:dyDescent="0.4">
      <c r="A3689" s="2" t="s">
        <v>261</v>
      </c>
      <c r="B3689" s="2"/>
      <c r="C3689" s="2"/>
      <c r="D3689" s="2"/>
      <c r="E3689" s="2"/>
      <c r="F3689" s="2"/>
      <c r="G3689" s="2"/>
      <c r="H3689" s="2"/>
      <c r="I3689" s="2">
        <v>68.627200000000002</v>
      </c>
      <c r="J3689" s="2">
        <v>58</v>
      </c>
      <c r="K3689" s="2">
        <v>68.489099999999993</v>
      </c>
      <c r="L3689" s="2">
        <v>59</v>
      </c>
      <c r="M3689" s="2">
        <v>87.767600000000002</v>
      </c>
      <c r="N3689" s="2">
        <v>332</v>
      </c>
      <c r="O3689" s="2">
        <v>87.680400000000006</v>
      </c>
      <c r="P3689" s="2">
        <v>335</v>
      </c>
      <c r="Q3689" s="2">
        <v>100.2287</v>
      </c>
      <c r="R3689" s="2">
        <v>157</v>
      </c>
      <c r="S3689" s="2">
        <v>106.2336</v>
      </c>
      <c r="T3689" s="2">
        <v>273</v>
      </c>
      <c r="U3689" s="2">
        <v>9.9094000000000002E-2</v>
      </c>
      <c r="V3689" s="2">
        <v>331</v>
      </c>
      <c r="W3689" s="2">
        <v>2012</v>
      </c>
    </row>
    <row r="3690" spans="1:23" ht="12.3" hidden="1" x14ac:dyDescent="0.4">
      <c r="A3690" s="2" t="s">
        <v>300</v>
      </c>
      <c r="B3690" s="2"/>
      <c r="C3690" s="2"/>
      <c r="D3690" s="2"/>
      <c r="E3690" s="2"/>
      <c r="F3690" s="2"/>
      <c r="G3690" s="2"/>
      <c r="H3690" s="2"/>
      <c r="I3690" s="2">
        <v>61.284300000000002</v>
      </c>
      <c r="J3690" s="2">
        <v>330</v>
      </c>
      <c r="K3690" s="2">
        <v>60.833100000000002</v>
      </c>
      <c r="L3690" s="2">
        <v>334</v>
      </c>
      <c r="M3690" s="2">
        <v>91.738900000000001</v>
      </c>
      <c r="N3690" s="2">
        <v>310</v>
      </c>
      <c r="O3690" s="2">
        <v>89.911500000000004</v>
      </c>
      <c r="P3690" s="2">
        <v>321</v>
      </c>
      <c r="Q3690" s="2">
        <v>107.89570000000001</v>
      </c>
      <c r="R3690" s="2">
        <v>304</v>
      </c>
      <c r="S3690" s="2">
        <v>109.2517</v>
      </c>
      <c r="T3690" s="2">
        <v>313</v>
      </c>
      <c r="U3690" s="2">
        <v>9.6170000000000005E-2</v>
      </c>
      <c r="V3690" s="2">
        <v>332</v>
      </c>
      <c r="W3690" s="2">
        <v>2012</v>
      </c>
    </row>
    <row r="3691" spans="1:23" ht="12.3" hidden="1" x14ac:dyDescent="0.4">
      <c r="A3691" s="2" t="s">
        <v>348</v>
      </c>
      <c r="B3691" s="2"/>
      <c r="C3691" s="2"/>
      <c r="D3691" s="2"/>
      <c r="E3691" s="2"/>
      <c r="F3691" s="2"/>
      <c r="G3691" s="2"/>
      <c r="H3691" s="2"/>
      <c r="I3691" s="2">
        <v>71.451800000000006</v>
      </c>
      <c r="J3691" s="2">
        <v>16</v>
      </c>
      <c r="K3691" s="2">
        <v>70.234800000000007</v>
      </c>
      <c r="L3691" s="2">
        <v>26</v>
      </c>
      <c r="M3691" s="2">
        <v>86.437100000000001</v>
      </c>
      <c r="N3691" s="2">
        <v>341</v>
      </c>
      <c r="O3691" s="2">
        <v>88.2102</v>
      </c>
      <c r="P3691" s="2">
        <v>333</v>
      </c>
      <c r="Q3691" s="2">
        <v>108.89870000000001</v>
      </c>
      <c r="R3691" s="2">
        <v>313</v>
      </c>
      <c r="S3691" s="2">
        <v>107.62860000000001</v>
      </c>
      <c r="T3691" s="2">
        <v>289</v>
      </c>
      <c r="U3691" s="2">
        <v>9.2115000000000002E-2</v>
      </c>
      <c r="V3691" s="2">
        <v>333</v>
      </c>
      <c r="W3691" s="2">
        <v>2012</v>
      </c>
    </row>
    <row r="3692" spans="1:23" ht="12.3" hidden="1" x14ac:dyDescent="0.4">
      <c r="A3692" s="2" t="s">
        <v>359</v>
      </c>
      <c r="B3692" s="2"/>
      <c r="C3692" s="2"/>
      <c r="D3692" s="2"/>
      <c r="E3692" s="2"/>
      <c r="F3692" s="2"/>
      <c r="G3692" s="2"/>
      <c r="H3692" s="2"/>
      <c r="I3692" s="2">
        <v>72.101399999999998</v>
      </c>
      <c r="J3692" s="2">
        <v>12</v>
      </c>
      <c r="K3692" s="2">
        <v>70.777699999999996</v>
      </c>
      <c r="L3692" s="2">
        <v>20</v>
      </c>
      <c r="M3692" s="2">
        <v>97.505399999999995</v>
      </c>
      <c r="N3692" s="2">
        <v>242</v>
      </c>
      <c r="O3692" s="2">
        <v>98.909000000000006</v>
      </c>
      <c r="P3692" s="2">
        <v>216</v>
      </c>
      <c r="Q3692" s="2">
        <v>117.9174</v>
      </c>
      <c r="R3692" s="2">
        <v>345</v>
      </c>
      <c r="S3692" s="2">
        <v>121.1347</v>
      </c>
      <c r="T3692" s="2">
        <v>345</v>
      </c>
      <c r="U3692" s="2">
        <v>8.8580000000000006E-2</v>
      </c>
      <c r="V3692" s="2">
        <v>334</v>
      </c>
      <c r="W3692" s="2">
        <v>2012</v>
      </c>
    </row>
    <row r="3693" spans="1:23" ht="12.3" hidden="1" x14ac:dyDescent="0.4">
      <c r="A3693" s="2" t="s">
        <v>280</v>
      </c>
      <c r="B3693" s="2"/>
      <c r="C3693" s="2"/>
      <c r="D3693" s="2"/>
      <c r="E3693" s="2"/>
      <c r="F3693" s="2"/>
      <c r="G3693" s="2"/>
      <c r="H3693" s="2"/>
      <c r="I3693" s="2">
        <v>66.384600000000006</v>
      </c>
      <c r="J3693" s="2">
        <v>162</v>
      </c>
      <c r="K3693" s="2">
        <v>66.471400000000003</v>
      </c>
      <c r="L3693" s="2">
        <v>144</v>
      </c>
      <c r="M3693" s="2">
        <v>91.465500000000006</v>
      </c>
      <c r="N3693" s="2">
        <v>312</v>
      </c>
      <c r="O3693" s="2">
        <v>92.857100000000003</v>
      </c>
      <c r="P3693" s="2">
        <v>299</v>
      </c>
      <c r="Q3693" s="2">
        <v>112.2295</v>
      </c>
      <c r="R3693" s="2">
        <v>338</v>
      </c>
      <c r="S3693" s="2">
        <v>114.11</v>
      </c>
      <c r="T3693" s="2">
        <v>337</v>
      </c>
      <c r="U3693" s="2">
        <v>8.5476999999999997E-2</v>
      </c>
      <c r="V3693" s="2">
        <v>335</v>
      </c>
      <c r="W3693" s="2">
        <v>2012</v>
      </c>
    </row>
    <row r="3694" spans="1:23" ht="12.3" hidden="1" x14ac:dyDescent="0.4">
      <c r="A3694" s="2" t="s">
        <v>312</v>
      </c>
      <c r="B3694" s="2"/>
      <c r="C3694" s="2"/>
      <c r="D3694" s="2"/>
      <c r="E3694" s="2"/>
      <c r="F3694" s="2"/>
      <c r="G3694" s="2"/>
      <c r="H3694" s="2"/>
      <c r="I3694" s="2">
        <v>63.191499999999998</v>
      </c>
      <c r="J3694" s="2">
        <v>299</v>
      </c>
      <c r="K3694" s="2">
        <v>62.247100000000003</v>
      </c>
      <c r="L3694" s="2">
        <v>319</v>
      </c>
      <c r="M3694" s="2">
        <v>86.507599999999996</v>
      </c>
      <c r="N3694" s="2">
        <v>340</v>
      </c>
      <c r="O3694" s="2">
        <v>86.642399999999995</v>
      </c>
      <c r="P3694" s="2">
        <v>338</v>
      </c>
      <c r="Q3694" s="2">
        <v>102.4417</v>
      </c>
      <c r="R3694" s="2">
        <v>203</v>
      </c>
      <c r="S3694" s="2">
        <v>107.02930000000001</v>
      </c>
      <c r="T3694" s="2">
        <v>282</v>
      </c>
      <c r="U3694" s="2">
        <v>8.0905000000000005E-2</v>
      </c>
      <c r="V3694" s="2">
        <v>336</v>
      </c>
      <c r="W3694" s="2">
        <v>2012</v>
      </c>
    </row>
    <row r="3695" spans="1:23" ht="12.3" hidden="1" x14ac:dyDescent="0.4">
      <c r="A3695" s="2" t="s">
        <v>375</v>
      </c>
      <c r="B3695" s="2"/>
      <c r="C3695" s="2"/>
      <c r="D3695" s="2"/>
      <c r="E3695" s="2"/>
      <c r="F3695" s="2"/>
      <c r="G3695" s="2"/>
      <c r="H3695" s="2"/>
      <c r="I3695" s="2">
        <v>66.410600000000002</v>
      </c>
      <c r="J3695" s="2">
        <v>158</v>
      </c>
      <c r="K3695" s="2">
        <v>66.1357</v>
      </c>
      <c r="L3695" s="2">
        <v>161</v>
      </c>
      <c r="M3695" s="2">
        <v>92.588800000000006</v>
      </c>
      <c r="N3695" s="2">
        <v>302</v>
      </c>
      <c r="O3695" s="2">
        <v>92.232200000000006</v>
      </c>
      <c r="P3695" s="2">
        <v>306</v>
      </c>
      <c r="Q3695" s="2">
        <v>113.1319</v>
      </c>
      <c r="R3695" s="2">
        <v>341</v>
      </c>
      <c r="S3695" s="2">
        <v>114.5194</v>
      </c>
      <c r="T3695" s="2">
        <v>338</v>
      </c>
      <c r="U3695" s="2">
        <v>7.6632000000000006E-2</v>
      </c>
      <c r="V3695" s="2">
        <v>337</v>
      </c>
      <c r="W3695" s="2">
        <v>2012</v>
      </c>
    </row>
    <row r="3696" spans="1:23" ht="12.3" hidden="1" x14ac:dyDescent="0.4">
      <c r="A3696" s="2" t="s">
        <v>272</v>
      </c>
      <c r="B3696" s="2"/>
      <c r="C3696" s="2"/>
      <c r="D3696" s="2"/>
      <c r="E3696" s="2"/>
      <c r="F3696" s="2"/>
      <c r="G3696" s="2"/>
      <c r="H3696" s="2"/>
      <c r="I3696" s="2">
        <v>67.577399999999997</v>
      </c>
      <c r="J3696" s="2">
        <v>104</v>
      </c>
      <c r="K3696" s="2">
        <v>67.876400000000004</v>
      </c>
      <c r="L3696" s="2">
        <v>86</v>
      </c>
      <c r="M3696" s="2">
        <v>89.546000000000006</v>
      </c>
      <c r="N3696" s="2">
        <v>326</v>
      </c>
      <c r="O3696" s="2">
        <v>89.026799999999994</v>
      </c>
      <c r="P3696" s="2">
        <v>327</v>
      </c>
      <c r="Q3696" s="2">
        <v>101.86750000000001</v>
      </c>
      <c r="R3696" s="2">
        <v>193</v>
      </c>
      <c r="S3696" s="2">
        <v>110.745</v>
      </c>
      <c r="T3696" s="2">
        <v>325</v>
      </c>
      <c r="U3696" s="2">
        <v>7.5134000000000006E-2</v>
      </c>
      <c r="V3696" s="2">
        <v>338</v>
      </c>
      <c r="W3696" s="2">
        <v>2012</v>
      </c>
    </row>
    <row r="3697" spans="1:23" ht="12.3" hidden="1" x14ac:dyDescent="0.4">
      <c r="A3697" s="2" t="s">
        <v>344</v>
      </c>
      <c r="B3697" s="2"/>
      <c r="C3697" s="2"/>
      <c r="D3697" s="2"/>
      <c r="E3697" s="2"/>
      <c r="F3697" s="2"/>
      <c r="G3697" s="2"/>
      <c r="H3697" s="2"/>
      <c r="I3697" s="2">
        <v>68.398300000000006</v>
      </c>
      <c r="J3697" s="2">
        <v>68</v>
      </c>
      <c r="K3697" s="2">
        <v>67.564599999999999</v>
      </c>
      <c r="L3697" s="2">
        <v>102</v>
      </c>
      <c r="M3697" s="2">
        <v>88.668300000000002</v>
      </c>
      <c r="N3697" s="2">
        <v>327</v>
      </c>
      <c r="O3697" s="2">
        <v>85.929100000000005</v>
      </c>
      <c r="P3697" s="2">
        <v>342</v>
      </c>
      <c r="Q3697" s="2">
        <v>106.199</v>
      </c>
      <c r="R3697" s="2">
        <v>283</v>
      </c>
      <c r="S3697" s="2">
        <v>106.9504</v>
      </c>
      <c r="T3697" s="2">
        <v>281</v>
      </c>
      <c r="U3697" s="2">
        <v>7.4695999999999999E-2</v>
      </c>
      <c r="V3697" s="2">
        <v>339</v>
      </c>
      <c r="W3697" s="2">
        <v>2012</v>
      </c>
    </row>
    <row r="3698" spans="1:23" ht="12.3" hidden="1" x14ac:dyDescent="0.4">
      <c r="A3698" s="2" t="s">
        <v>252</v>
      </c>
      <c r="B3698" s="2"/>
      <c r="C3698" s="2"/>
      <c r="D3698" s="2"/>
      <c r="E3698" s="2"/>
      <c r="F3698" s="2"/>
      <c r="G3698" s="2"/>
      <c r="H3698" s="2"/>
      <c r="I3698" s="2">
        <v>68.861199999999997</v>
      </c>
      <c r="J3698" s="2">
        <v>55</v>
      </c>
      <c r="K3698" s="2">
        <v>69.433999999999997</v>
      </c>
      <c r="L3698" s="2">
        <v>36</v>
      </c>
      <c r="M3698" s="2">
        <v>90.664699999999996</v>
      </c>
      <c r="N3698" s="2">
        <v>316</v>
      </c>
      <c r="O3698" s="2">
        <v>90.721999999999994</v>
      </c>
      <c r="P3698" s="2">
        <v>319</v>
      </c>
      <c r="Q3698" s="2">
        <v>110.6404</v>
      </c>
      <c r="R3698" s="2">
        <v>328</v>
      </c>
      <c r="S3698" s="2">
        <v>112.93429999999999</v>
      </c>
      <c r="T3698" s="2">
        <v>335</v>
      </c>
      <c r="U3698" s="2">
        <v>7.4566999999999994E-2</v>
      </c>
      <c r="V3698" s="2">
        <v>340</v>
      </c>
      <c r="W3698" s="2">
        <v>2012</v>
      </c>
    </row>
    <row r="3699" spans="1:23" ht="12.3" hidden="1" x14ac:dyDescent="0.4">
      <c r="A3699" s="2" t="s">
        <v>293</v>
      </c>
      <c r="B3699" s="2"/>
      <c r="C3699" s="2"/>
      <c r="D3699" s="2"/>
      <c r="E3699" s="2"/>
      <c r="F3699" s="2"/>
      <c r="G3699" s="2"/>
      <c r="H3699" s="2"/>
      <c r="I3699" s="2">
        <v>63.271099999999997</v>
      </c>
      <c r="J3699" s="2">
        <v>294</v>
      </c>
      <c r="K3699" s="2">
        <v>62.943800000000003</v>
      </c>
      <c r="L3699" s="2">
        <v>301</v>
      </c>
      <c r="M3699" s="2">
        <v>81.550899999999999</v>
      </c>
      <c r="N3699" s="2">
        <v>344</v>
      </c>
      <c r="O3699" s="2">
        <v>86.938999999999993</v>
      </c>
      <c r="P3699" s="2">
        <v>337</v>
      </c>
      <c r="Q3699" s="2">
        <v>110.28489999999999</v>
      </c>
      <c r="R3699" s="2">
        <v>326</v>
      </c>
      <c r="S3699" s="2">
        <v>108.2826</v>
      </c>
      <c r="T3699" s="2">
        <v>301</v>
      </c>
      <c r="U3699" s="2">
        <v>7.4146000000000004E-2</v>
      </c>
      <c r="V3699" s="2">
        <v>341</v>
      </c>
      <c r="W3699" s="2">
        <v>2012</v>
      </c>
    </row>
    <row r="3700" spans="1:23" ht="12.3" hidden="1" x14ac:dyDescent="0.4">
      <c r="A3700" s="2" t="s">
        <v>254</v>
      </c>
      <c r="B3700" s="2"/>
      <c r="C3700" s="2"/>
      <c r="D3700" s="2"/>
      <c r="E3700" s="2"/>
      <c r="F3700" s="2"/>
      <c r="G3700" s="2"/>
      <c r="H3700" s="2"/>
      <c r="I3700" s="2">
        <v>66.266900000000007</v>
      </c>
      <c r="J3700" s="2">
        <v>169</v>
      </c>
      <c r="K3700" s="2">
        <v>65.838099999999997</v>
      </c>
      <c r="L3700" s="2">
        <v>184</v>
      </c>
      <c r="M3700" s="2">
        <v>90.243399999999994</v>
      </c>
      <c r="N3700" s="2">
        <v>323</v>
      </c>
      <c r="O3700" s="2">
        <v>89.239400000000003</v>
      </c>
      <c r="P3700" s="2">
        <v>326</v>
      </c>
      <c r="Q3700" s="2">
        <v>110.0866</v>
      </c>
      <c r="R3700" s="2">
        <v>323</v>
      </c>
      <c r="S3700" s="2">
        <v>111.8383</v>
      </c>
      <c r="T3700" s="2">
        <v>332</v>
      </c>
      <c r="U3700" s="2">
        <v>6.9402000000000005E-2</v>
      </c>
      <c r="V3700" s="2">
        <v>342</v>
      </c>
      <c r="W3700" s="2">
        <v>2012</v>
      </c>
    </row>
    <row r="3701" spans="1:23" ht="12.3" hidden="1" x14ac:dyDescent="0.4">
      <c r="A3701" s="2" t="s">
        <v>288</v>
      </c>
      <c r="B3701" s="2"/>
      <c r="C3701" s="2"/>
      <c r="D3701" s="2"/>
      <c r="E3701" s="2"/>
      <c r="F3701" s="2"/>
      <c r="G3701" s="2"/>
      <c r="H3701" s="2"/>
      <c r="I3701" s="2">
        <v>69.605500000000006</v>
      </c>
      <c r="J3701" s="2">
        <v>38</v>
      </c>
      <c r="K3701" s="2">
        <v>69.547700000000006</v>
      </c>
      <c r="L3701" s="2">
        <v>31</v>
      </c>
      <c r="M3701" s="2">
        <v>91.524299999999997</v>
      </c>
      <c r="N3701" s="2">
        <v>311</v>
      </c>
      <c r="O3701" s="2">
        <v>91.694500000000005</v>
      </c>
      <c r="P3701" s="2">
        <v>310</v>
      </c>
      <c r="Q3701" s="2">
        <v>112.4349</v>
      </c>
      <c r="R3701" s="2">
        <v>339</v>
      </c>
      <c r="S3701" s="2">
        <v>115.9632</v>
      </c>
      <c r="T3701" s="2">
        <v>343</v>
      </c>
      <c r="U3701" s="2">
        <v>6.2953999999999996E-2</v>
      </c>
      <c r="V3701" s="2">
        <v>343</v>
      </c>
      <c r="W3701" s="2">
        <v>2012</v>
      </c>
    </row>
    <row r="3702" spans="1:23" ht="12.3" hidden="1" x14ac:dyDescent="0.4">
      <c r="A3702" s="2" t="s">
        <v>315</v>
      </c>
      <c r="B3702" s="2"/>
      <c r="C3702" s="2"/>
      <c r="D3702" s="2"/>
      <c r="E3702" s="2"/>
      <c r="F3702" s="2"/>
      <c r="G3702" s="2"/>
      <c r="H3702" s="2"/>
      <c r="I3702" s="2">
        <v>65.137900000000002</v>
      </c>
      <c r="J3702" s="2">
        <v>220</v>
      </c>
      <c r="K3702" s="2">
        <v>65.5471</v>
      </c>
      <c r="L3702" s="2">
        <v>201</v>
      </c>
      <c r="M3702" s="2">
        <v>86.938500000000005</v>
      </c>
      <c r="N3702" s="2">
        <v>338</v>
      </c>
      <c r="O3702" s="2">
        <v>86.089299999999994</v>
      </c>
      <c r="P3702" s="2">
        <v>341</v>
      </c>
      <c r="Q3702" s="2">
        <v>108.494</v>
      </c>
      <c r="R3702" s="2">
        <v>307</v>
      </c>
      <c r="S3702" s="2">
        <v>110.3373</v>
      </c>
      <c r="T3702" s="2">
        <v>322</v>
      </c>
      <c r="U3702" s="2">
        <v>5.4484999999999999E-2</v>
      </c>
      <c r="V3702" s="2">
        <v>344</v>
      </c>
      <c r="W3702" s="2">
        <v>2012</v>
      </c>
    </row>
    <row r="3703" spans="1:23" ht="12.3" hidden="1" x14ac:dyDescent="0.4">
      <c r="A3703" s="2" t="s">
        <v>329</v>
      </c>
      <c r="B3703" s="2"/>
      <c r="C3703" s="2"/>
      <c r="D3703" s="2"/>
      <c r="E3703" s="2"/>
      <c r="F3703" s="2"/>
      <c r="G3703" s="2"/>
      <c r="H3703" s="2"/>
      <c r="I3703" s="2">
        <v>66.689700000000002</v>
      </c>
      <c r="J3703" s="2">
        <v>147</v>
      </c>
      <c r="K3703" s="2">
        <v>65.608900000000006</v>
      </c>
      <c r="L3703" s="2">
        <v>194</v>
      </c>
      <c r="M3703" s="2">
        <v>81.0959</v>
      </c>
      <c r="N3703" s="2">
        <v>345</v>
      </c>
      <c r="O3703" s="2">
        <v>86.514600000000002</v>
      </c>
      <c r="P3703" s="2">
        <v>339</v>
      </c>
      <c r="Q3703" s="2">
        <v>106.6324</v>
      </c>
      <c r="R3703" s="2">
        <v>288</v>
      </c>
      <c r="S3703" s="2">
        <v>115.3831</v>
      </c>
      <c r="T3703" s="2">
        <v>341</v>
      </c>
      <c r="U3703" s="2">
        <v>3.5182999999999999E-2</v>
      </c>
      <c r="V3703" s="2">
        <v>345</v>
      </c>
      <c r="W3703" s="2">
        <v>2012</v>
      </c>
    </row>
    <row r="3704" spans="1:23" ht="12.3" x14ac:dyDescent="0.4">
      <c r="A3704" s="2" t="s">
        <v>346</v>
      </c>
      <c r="B3704" s="2">
        <v>16</v>
      </c>
      <c r="C3704" s="25"/>
      <c r="D3704" s="25"/>
      <c r="E3704" s="25"/>
      <c r="F3704" s="25"/>
      <c r="G3704" s="25"/>
      <c r="H3704" s="25"/>
      <c r="I3704" s="2">
        <v>69.130799999999994</v>
      </c>
      <c r="J3704" s="2">
        <v>119</v>
      </c>
      <c r="K3704" s="2">
        <v>68.889899999999997</v>
      </c>
      <c r="L3704" s="2">
        <v>120</v>
      </c>
      <c r="M3704" s="2">
        <v>99.052599999999998</v>
      </c>
      <c r="N3704" s="2">
        <v>211</v>
      </c>
      <c r="O3704" s="2">
        <v>96.826499999999996</v>
      </c>
      <c r="P3704" s="2">
        <v>249</v>
      </c>
      <c r="Q3704" s="2">
        <v>96.328199999999995</v>
      </c>
      <c r="R3704" s="2">
        <v>61</v>
      </c>
      <c r="S3704" s="2">
        <v>98.996799999999993</v>
      </c>
      <c r="T3704" s="2">
        <v>111</v>
      </c>
      <c r="U3704" s="2">
        <v>0.43661100000000003</v>
      </c>
      <c r="V3704" s="2">
        <v>179</v>
      </c>
      <c r="W3704" s="2">
        <v>2004</v>
      </c>
    </row>
    <row r="3705" spans="1:23" ht="12.3" x14ac:dyDescent="0.4">
      <c r="A3705" s="2" t="s">
        <v>251</v>
      </c>
      <c r="B3705" s="2">
        <v>15</v>
      </c>
      <c r="C3705" s="25"/>
      <c r="D3705" s="25"/>
      <c r="E3705" s="25"/>
      <c r="F3705" s="2"/>
      <c r="G3705" s="2"/>
      <c r="H3705" s="2"/>
      <c r="I3705" s="2">
        <v>68.214600000000004</v>
      </c>
      <c r="J3705" s="2">
        <v>150</v>
      </c>
      <c r="K3705" s="2">
        <v>67.619399999999999</v>
      </c>
      <c r="L3705" s="2">
        <v>168</v>
      </c>
      <c r="M3705" s="2">
        <v>100.3472</v>
      </c>
      <c r="N3705" s="2">
        <v>176</v>
      </c>
      <c r="O3705" s="2">
        <v>96.668800000000005</v>
      </c>
      <c r="P3705" s="2">
        <v>251</v>
      </c>
      <c r="Q3705" s="2">
        <v>97.635499999999993</v>
      </c>
      <c r="R3705" s="2">
        <v>90</v>
      </c>
      <c r="S3705" s="2">
        <v>99.226699999999994</v>
      </c>
      <c r="T3705" s="2">
        <v>118</v>
      </c>
      <c r="U3705" s="2">
        <v>0.42547499999999999</v>
      </c>
      <c r="V3705" s="2">
        <v>184</v>
      </c>
      <c r="W3705" s="2">
        <v>2004</v>
      </c>
    </row>
    <row r="3706" spans="1:23" ht="12.3" x14ac:dyDescent="0.4">
      <c r="A3706" s="2" t="s">
        <v>326</v>
      </c>
      <c r="B3706" s="2">
        <v>16</v>
      </c>
      <c r="C3706" s="25"/>
      <c r="D3706" s="2"/>
      <c r="E3706" s="2"/>
      <c r="F3706" s="2"/>
      <c r="G3706" s="2"/>
      <c r="H3706" s="2"/>
      <c r="I3706" s="2">
        <v>65.204899999999995</v>
      </c>
      <c r="J3706" s="2">
        <v>256</v>
      </c>
      <c r="K3706" s="2">
        <v>65.241699999999994</v>
      </c>
      <c r="L3706" s="2">
        <v>257</v>
      </c>
      <c r="M3706" s="2">
        <v>99.508300000000006</v>
      </c>
      <c r="N3706" s="2">
        <v>196</v>
      </c>
      <c r="O3706" s="2">
        <v>96.998599999999996</v>
      </c>
      <c r="P3706" s="2">
        <v>244</v>
      </c>
      <c r="Q3706" s="2">
        <v>95.409300000000002</v>
      </c>
      <c r="R3706" s="2">
        <v>49</v>
      </c>
      <c r="S3706" s="2">
        <v>101.5829</v>
      </c>
      <c r="T3706" s="2">
        <v>166</v>
      </c>
      <c r="U3706" s="2">
        <v>0.37026999999999999</v>
      </c>
      <c r="V3706" s="2">
        <v>206</v>
      </c>
      <c r="W3706" s="2">
        <v>2004</v>
      </c>
    </row>
    <row r="3707" spans="1:23" ht="12.3" x14ac:dyDescent="0.4">
      <c r="A3707" s="2" t="s">
        <v>185</v>
      </c>
      <c r="B3707" s="2">
        <v>16</v>
      </c>
      <c r="C3707" s="25"/>
      <c r="D3707" s="25"/>
      <c r="E3707" s="2"/>
      <c r="F3707" s="2"/>
      <c r="G3707" s="2"/>
      <c r="H3707" s="2"/>
      <c r="I3707" s="2">
        <v>70.739000000000004</v>
      </c>
      <c r="J3707" s="2">
        <v>58</v>
      </c>
      <c r="K3707" s="2">
        <v>70.656400000000005</v>
      </c>
      <c r="L3707" s="2">
        <v>56</v>
      </c>
      <c r="M3707" s="2">
        <v>99.641800000000003</v>
      </c>
      <c r="N3707" s="2">
        <v>190</v>
      </c>
      <c r="O3707" s="2">
        <v>98.237899999999996</v>
      </c>
      <c r="P3707" s="2">
        <v>220</v>
      </c>
      <c r="Q3707" s="2">
        <v>100.7546</v>
      </c>
      <c r="R3707" s="2">
        <v>147</v>
      </c>
      <c r="S3707" s="2">
        <v>104.12690000000001</v>
      </c>
      <c r="T3707" s="2">
        <v>214</v>
      </c>
      <c r="U3707" s="2">
        <v>0.33860699999999999</v>
      </c>
      <c r="V3707" s="2">
        <v>225</v>
      </c>
      <c r="W3707" s="2">
        <v>2004</v>
      </c>
    </row>
    <row r="3708" spans="1:23" ht="12.3" x14ac:dyDescent="0.4">
      <c r="A3708" s="2" t="s">
        <v>297</v>
      </c>
      <c r="B3708" s="2">
        <v>16</v>
      </c>
      <c r="C3708" s="25"/>
      <c r="D3708" s="25"/>
      <c r="E3708" s="25"/>
      <c r="F3708" s="2"/>
      <c r="G3708" s="2"/>
      <c r="H3708" s="2"/>
      <c r="I3708" s="2">
        <v>64.479600000000005</v>
      </c>
      <c r="J3708" s="2">
        <v>272</v>
      </c>
      <c r="K3708" s="2">
        <v>62.897599999999997</v>
      </c>
      <c r="L3708" s="2">
        <v>308</v>
      </c>
      <c r="M3708" s="2">
        <v>95.069500000000005</v>
      </c>
      <c r="N3708" s="2">
        <v>276</v>
      </c>
      <c r="O3708" s="2">
        <v>92.570899999999995</v>
      </c>
      <c r="P3708" s="2">
        <v>295</v>
      </c>
      <c r="Q3708" s="2">
        <v>94.007400000000004</v>
      </c>
      <c r="R3708" s="2">
        <v>29</v>
      </c>
      <c r="S3708" s="2">
        <v>102.01609999999999</v>
      </c>
      <c r="T3708" s="2">
        <v>176</v>
      </c>
      <c r="U3708" s="2">
        <v>0.24651400000000001</v>
      </c>
      <c r="V3708" s="2">
        <v>267</v>
      </c>
      <c r="W3708" s="2">
        <v>2004</v>
      </c>
    </row>
    <row r="3709" spans="1:23" ht="12.3" x14ac:dyDescent="0.4">
      <c r="A3709" s="2" t="s">
        <v>301</v>
      </c>
      <c r="B3709" s="2">
        <v>16</v>
      </c>
      <c r="C3709" s="25"/>
      <c r="D3709" s="25"/>
      <c r="E3709" s="25"/>
      <c r="F3709" s="2"/>
      <c r="G3709" s="2"/>
      <c r="H3709" s="2"/>
      <c r="I3709" s="2">
        <v>72.628600000000006</v>
      </c>
      <c r="J3709" s="2">
        <v>23</v>
      </c>
      <c r="K3709" s="2">
        <v>72.454300000000003</v>
      </c>
      <c r="L3709" s="2">
        <v>20</v>
      </c>
      <c r="M3709" s="2">
        <v>99.282200000000003</v>
      </c>
      <c r="N3709" s="2">
        <v>205</v>
      </c>
      <c r="O3709" s="2">
        <v>96.540800000000004</v>
      </c>
      <c r="P3709" s="2">
        <v>253</v>
      </c>
      <c r="Q3709" s="2">
        <v>101.1798</v>
      </c>
      <c r="R3709" s="2">
        <v>157</v>
      </c>
      <c r="S3709" s="2">
        <v>106.5397</v>
      </c>
      <c r="T3709" s="2">
        <v>268</v>
      </c>
      <c r="U3709" s="2">
        <v>0.24354500000000001</v>
      </c>
      <c r="V3709" s="2">
        <v>269</v>
      </c>
      <c r="W3709" s="2">
        <v>2004</v>
      </c>
    </row>
    <row r="3710" spans="1:23" ht="12.3" x14ac:dyDescent="0.4">
      <c r="A3710" s="2" t="s">
        <v>45</v>
      </c>
      <c r="B3710" s="2">
        <v>1</v>
      </c>
      <c r="C3710" s="3" t="s">
        <v>33</v>
      </c>
      <c r="D3710" s="3" t="s">
        <v>33</v>
      </c>
      <c r="E3710" s="4" t="s">
        <v>33</v>
      </c>
      <c r="F3710" s="4"/>
      <c r="G3710" s="4"/>
      <c r="H3710" s="4"/>
      <c r="I3710" s="2">
        <v>69.514499999999998</v>
      </c>
      <c r="J3710" s="2">
        <v>128</v>
      </c>
      <c r="K3710" s="2">
        <v>69.579700000000003</v>
      </c>
      <c r="L3710" s="2">
        <v>115</v>
      </c>
      <c r="M3710" s="2">
        <v>111.2842</v>
      </c>
      <c r="N3710" s="2">
        <v>15</v>
      </c>
      <c r="O3710" s="2">
        <v>114.3086</v>
      </c>
      <c r="P3710" s="2">
        <v>11</v>
      </c>
      <c r="Q3710" s="2">
        <v>92.321899999999999</v>
      </c>
      <c r="R3710" s="2">
        <v>13</v>
      </c>
      <c r="S3710" s="2">
        <v>86.814499999999995</v>
      </c>
      <c r="T3710" s="2">
        <v>1</v>
      </c>
      <c r="U3710" s="2">
        <v>0.95945499999999995</v>
      </c>
      <c r="V3710" s="2">
        <v>1</v>
      </c>
      <c r="W3710" s="2">
        <v>2003</v>
      </c>
    </row>
    <row r="3711" spans="1:23" ht="12.3" x14ac:dyDescent="0.4">
      <c r="A3711" s="2" t="s">
        <v>46</v>
      </c>
      <c r="B3711" s="2">
        <v>2</v>
      </c>
      <c r="C3711" s="4" t="s">
        <v>33</v>
      </c>
      <c r="D3711" s="4" t="s">
        <v>33</v>
      </c>
      <c r="E3711" s="4"/>
      <c r="F3711" s="4"/>
      <c r="G3711" s="4"/>
      <c r="H3711" s="4"/>
      <c r="I3711" s="2">
        <v>68.3767</v>
      </c>
      <c r="J3711" s="2">
        <v>175</v>
      </c>
      <c r="K3711" s="2">
        <v>66.644499999999994</v>
      </c>
      <c r="L3711" s="2">
        <v>251</v>
      </c>
      <c r="M3711" s="2">
        <v>109.09099999999999</v>
      </c>
      <c r="N3711" s="2">
        <v>31</v>
      </c>
      <c r="O3711" s="2">
        <v>111.9746</v>
      </c>
      <c r="P3711" s="2">
        <v>17</v>
      </c>
      <c r="Q3711" s="2">
        <v>86.375100000000003</v>
      </c>
      <c r="R3711" s="2">
        <v>1</v>
      </c>
      <c r="S3711" s="2">
        <v>87.020499999999998</v>
      </c>
      <c r="T3711" s="2">
        <v>2</v>
      </c>
      <c r="U3711" s="2">
        <v>0.94782100000000002</v>
      </c>
      <c r="V3711" s="2">
        <v>2</v>
      </c>
      <c r="W3711" s="2">
        <v>2003</v>
      </c>
    </row>
    <row r="3712" spans="1:23" ht="12.3" x14ac:dyDescent="0.4">
      <c r="A3712" s="2" t="s">
        <v>43</v>
      </c>
      <c r="B3712" s="2">
        <v>1</v>
      </c>
      <c r="C3712" s="4" t="s">
        <v>33</v>
      </c>
      <c r="D3712" s="4" t="s">
        <v>33</v>
      </c>
      <c r="E3712" s="4" t="s">
        <v>33</v>
      </c>
      <c r="F3712" s="4"/>
      <c r="G3712" s="4"/>
      <c r="H3712" s="4"/>
      <c r="I3712" s="2">
        <v>76.209100000000007</v>
      </c>
      <c r="J3712" s="2">
        <v>4</v>
      </c>
      <c r="K3712" s="2">
        <v>74.597700000000003</v>
      </c>
      <c r="L3712" s="2">
        <v>8</v>
      </c>
      <c r="M3712" s="2">
        <v>110.9747</v>
      </c>
      <c r="N3712" s="2">
        <v>18</v>
      </c>
      <c r="O3712" s="2">
        <v>114.4555</v>
      </c>
      <c r="P3712" s="2">
        <v>10</v>
      </c>
      <c r="Q3712" s="2">
        <v>91.655000000000001</v>
      </c>
      <c r="R3712" s="2">
        <v>10</v>
      </c>
      <c r="S3712" s="2">
        <v>90.200599999999994</v>
      </c>
      <c r="T3712" s="2">
        <v>8</v>
      </c>
      <c r="U3712" s="2">
        <v>0.93927400000000005</v>
      </c>
      <c r="V3712" s="2">
        <v>3</v>
      </c>
      <c r="W3712" s="2">
        <v>2003</v>
      </c>
    </row>
    <row r="3713" spans="1:23" ht="12.3" x14ac:dyDescent="0.4">
      <c r="A3713" s="2" t="s">
        <v>35</v>
      </c>
      <c r="B3713" s="2">
        <v>2</v>
      </c>
      <c r="C3713" s="3" t="s">
        <v>33</v>
      </c>
      <c r="D3713" s="3" t="s">
        <v>33</v>
      </c>
      <c r="E3713" s="4" t="s">
        <v>33</v>
      </c>
      <c r="F3713" s="4" t="s">
        <v>33</v>
      </c>
      <c r="G3713" s="4" t="s">
        <v>33</v>
      </c>
      <c r="H3713" s="4"/>
      <c r="I3713" s="2">
        <v>74.107500000000002</v>
      </c>
      <c r="J3713" s="2">
        <v>18</v>
      </c>
      <c r="K3713" s="2">
        <v>73.725700000000003</v>
      </c>
      <c r="L3713" s="2">
        <v>18</v>
      </c>
      <c r="M3713" s="2">
        <v>109.8827</v>
      </c>
      <c r="N3713" s="2">
        <v>25</v>
      </c>
      <c r="O3713" s="2">
        <v>111.73390000000001</v>
      </c>
      <c r="P3713" s="2">
        <v>19</v>
      </c>
      <c r="Q3713" s="2">
        <v>89.549599999999998</v>
      </c>
      <c r="R3713" s="2">
        <v>5</v>
      </c>
      <c r="S3713" s="2">
        <v>88.240700000000004</v>
      </c>
      <c r="T3713" s="2">
        <v>4</v>
      </c>
      <c r="U3713" s="2">
        <v>0.93788300000000002</v>
      </c>
      <c r="V3713" s="2">
        <v>4</v>
      </c>
      <c r="W3713" s="2">
        <v>2003</v>
      </c>
    </row>
    <row r="3714" spans="1:23" ht="12.3" x14ac:dyDescent="0.4">
      <c r="A3714" s="2" t="s">
        <v>44</v>
      </c>
      <c r="B3714" s="2">
        <v>4</v>
      </c>
      <c r="C3714" s="3" t="s">
        <v>33</v>
      </c>
      <c r="D3714" s="3"/>
      <c r="E3714" s="3"/>
      <c r="F3714" s="3"/>
      <c r="G3714" s="3"/>
      <c r="H3714" s="4"/>
      <c r="I3714" s="2">
        <v>68.054199999999994</v>
      </c>
      <c r="J3714" s="2">
        <v>189</v>
      </c>
      <c r="K3714" s="2">
        <v>69.394599999999997</v>
      </c>
      <c r="L3714" s="2">
        <v>121</v>
      </c>
      <c r="M3714" s="2">
        <v>110.9676</v>
      </c>
      <c r="N3714" s="2">
        <v>19</v>
      </c>
      <c r="O3714" s="2">
        <v>112.72629999999999</v>
      </c>
      <c r="P3714" s="2">
        <v>14</v>
      </c>
      <c r="Q3714" s="2">
        <v>90.301599999999993</v>
      </c>
      <c r="R3714" s="2">
        <v>8</v>
      </c>
      <c r="S3714" s="2">
        <v>90.325100000000006</v>
      </c>
      <c r="T3714" s="2">
        <v>9</v>
      </c>
      <c r="U3714" s="2">
        <v>0.92742500000000005</v>
      </c>
      <c r="V3714" s="2">
        <v>5</v>
      </c>
      <c r="W3714" s="2">
        <v>2003</v>
      </c>
    </row>
    <row r="3715" spans="1:23" ht="12.3" x14ac:dyDescent="0.4">
      <c r="A3715" s="2" t="s">
        <v>37</v>
      </c>
      <c r="B3715" s="2">
        <v>2</v>
      </c>
      <c r="C3715" s="4"/>
      <c r="D3715" s="4"/>
      <c r="E3715" s="4"/>
      <c r="F3715" s="4"/>
      <c r="G3715" s="4"/>
      <c r="H3715" s="4"/>
      <c r="I3715" s="2">
        <v>67.366399999999999</v>
      </c>
      <c r="J3715" s="2">
        <v>222</v>
      </c>
      <c r="K3715" s="2">
        <v>66.9893</v>
      </c>
      <c r="L3715" s="2">
        <v>234</v>
      </c>
      <c r="M3715" s="2">
        <v>111.3767</v>
      </c>
      <c r="N3715" s="2">
        <v>14</v>
      </c>
      <c r="O3715" s="2">
        <v>115.8386</v>
      </c>
      <c r="P3715" s="2">
        <v>7</v>
      </c>
      <c r="Q3715" s="2">
        <v>95.266000000000005</v>
      </c>
      <c r="R3715" s="2">
        <v>36</v>
      </c>
      <c r="S3715" s="2">
        <v>94.011600000000001</v>
      </c>
      <c r="T3715" s="2">
        <v>32</v>
      </c>
      <c r="U3715" s="2">
        <v>0.91690199999999999</v>
      </c>
      <c r="V3715" s="2">
        <v>6</v>
      </c>
      <c r="W3715" s="2">
        <v>2003</v>
      </c>
    </row>
    <row r="3716" spans="1:23" ht="12.3" x14ac:dyDescent="0.4">
      <c r="A3716" s="2" t="s">
        <v>38</v>
      </c>
      <c r="B3716" s="2">
        <v>1</v>
      </c>
      <c r="C3716" s="4" t="s">
        <v>33</v>
      </c>
      <c r="D3716" s="4" t="s">
        <v>33</v>
      </c>
      <c r="E3716" s="4" t="s">
        <v>33</v>
      </c>
      <c r="F3716" s="4"/>
      <c r="G3716" s="4"/>
      <c r="H3716" s="4"/>
      <c r="I3716" s="2">
        <v>64.471900000000005</v>
      </c>
      <c r="J3716" s="2">
        <v>298</v>
      </c>
      <c r="K3716" s="2">
        <v>64.235299999999995</v>
      </c>
      <c r="L3716" s="2">
        <v>299</v>
      </c>
      <c r="M3716" s="2">
        <v>108.6353</v>
      </c>
      <c r="N3716" s="2">
        <v>35</v>
      </c>
      <c r="O3716" s="2">
        <v>110.15900000000001</v>
      </c>
      <c r="P3716" s="2">
        <v>31</v>
      </c>
      <c r="Q3716" s="2">
        <v>92.305599999999998</v>
      </c>
      <c r="R3716" s="2">
        <v>12</v>
      </c>
      <c r="S3716" s="2">
        <v>89.448300000000003</v>
      </c>
      <c r="T3716" s="2">
        <v>7</v>
      </c>
      <c r="U3716" s="2">
        <v>0.91644800000000004</v>
      </c>
      <c r="V3716" s="2">
        <v>7</v>
      </c>
      <c r="W3716" s="2">
        <v>2003</v>
      </c>
    </row>
    <row r="3717" spans="1:23" ht="12.3" x14ac:dyDescent="0.4">
      <c r="A3717" s="2" t="s">
        <v>67</v>
      </c>
      <c r="B3717" s="2">
        <v>1</v>
      </c>
      <c r="C3717" s="3" t="s">
        <v>33</v>
      </c>
      <c r="D3717" s="3" t="s">
        <v>33</v>
      </c>
      <c r="E3717" s="4" t="s">
        <v>33</v>
      </c>
      <c r="F3717" s="4" t="s">
        <v>33</v>
      </c>
      <c r="G3717" s="4"/>
      <c r="H3717" s="4"/>
      <c r="I3717" s="2">
        <v>70.590800000000002</v>
      </c>
      <c r="J3717" s="2">
        <v>92</v>
      </c>
      <c r="K3717" s="2">
        <v>70.774199999999993</v>
      </c>
      <c r="L3717" s="2">
        <v>74</v>
      </c>
      <c r="M3717" s="2">
        <v>111.2154</v>
      </c>
      <c r="N3717" s="2">
        <v>16</v>
      </c>
      <c r="O3717" s="2">
        <v>118.7559</v>
      </c>
      <c r="P3717" s="2">
        <v>2</v>
      </c>
      <c r="Q3717" s="2">
        <v>96.911900000000003</v>
      </c>
      <c r="R3717" s="2">
        <v>66</v>
      </c>
      <c r="S3717" s="2">
        <v>96.450500000000005</v>
      </c>
      <c r="T3717" s="2">
        <v>67</v>
      </c>
      <c r="U3717" s="2">
        <v>0.91625100000000004</v>
      </c>
      <c r="V3717" s="2">
        <v>8</v>
      </c>
      <c r="W3717" s="2">
        <v>2003</v>
      </c>
    </row>
    <row r="3718" spans="1:23" ht="12.3" x14ac:dyDescent="0.4">
      <c r="A3718" s="2" t="s">
        <v>48</v>
      </c>
      <c r="B3718" s="2">
        <v>5</v>
      </c>
      <c r="C3718" s="3"/>
      <c r="D3718" s="3"/>
      <c r="E3718" s="3"/>
      <c r="F3718" s="3"/>
      <c r="G3718" s="4"/>
      <c r="H3718" s="4"/>
      <c r="I3718" s="2">
        <v>66.638099999999994</v>
      </c>
      <c r="J3718" s="2">
        <v>248</v>
      </c>
      <c r="K3718" s="2">
        <v>65.965400000000002</v>
      </c>
      <c r="L3718" s="2">
        <v>269</v>
      </c>
      <c r="M3718" s="2">
        <v>104.3843</v>
      </c>
      <c r="N3718" s="2">
        <v>87</v>
      </c>
      <c r="O3718" s="2">
        <v>106.83450000000001</v>
      </c>
      <c r="P3718" s="2">
        <v>66</v>
      </c>
      <c r="Q3718" s="2">
        <v>90.031499999999994</v>
      </c>
      <c r="R3718" s="2">
        <v>7</v>
      </c>
      <c r="S3718" s="2">
        <v>87.178200000000004</v>
      </c>
      <c r="T3718" s="2">
        <v>3</v>
      </c>
      <c r="U3718" s="2">
        <v>0.91199699999999995</v>
      </c>
      <c r="V3718" s="2">
        <v>9</v>
      </c>
      <c r="W3718" s="2">
        <v>2003</v>
      </c>
    </row>
    <row r="3719" spans="1:23" ht="12.3" x14ac:dyDescent="0.4">
      <c r="A3719" s="2" t="s">
        <v>32</v>
      </c>
      <c r="B3719" s="2">
        <v>3</v>
      </c>
      <c r="C3719" s="3" t="s">
        <v>33</v>
      </c>
      <c r="D3719" s="4" t="s">
        <v>33</v>
      </c>
      <c r="E3719" s="4"/>
      <c r="F3719" s="4"/>
      <c r="G3719" s="4"/>
      <c r="H3719" s="4"/>
      <c r="I3719" s="2">
        <v>73.156300000000002</v>
      </c>
      <c r="J3719" s="2">
        <v>29</v>
      </c>
      <c r="K3719" s="2">
        <v>72.423000000000002</v>
      </c>
      <c r="L3719" s="2">
        <v>35</v>
      </c>
      <c r="M3719" s="2">
        <v>111.4246</v>
      </c>
      <c r="N3719" s="2">
        <v>13</v>
      </c>
      <c r="O3719" s="2">
        <v>115.3631</v>
      </c>
      <c r="P3719" s="2">
        <v>8</v>
      </c>
      <c r="Q3719" s="2">
        <v>95.8249</v>
      </c>
      <c r="R3719" s="2">
        <v>44</v>
      </c>
      <c r="S3719" s="2">
        <v>94.297600000000003</v>
      </c>
      <c r="T3719" s="2">
        <v>40</v>
      </c>
      <c r="U3719" s="2">
        <v>0.910416</v>
      </c>
      <c r="V3719" s="2">
        <v>10</v>
      </c>
      <c r="W3719" s="2">
        <v>2003</v>
      </c>
    </row>
    <row r="3720" spans="1:23" ht="12.3" x14ac:dyDescent="0.4">
      <c r="A3720" s="2" t="s">
        <v>91</v>
      </c>
      <c r="B3720" s="2">
        <v>7</v>
      </c>
      <c r="C3720" s="3"/>
      <c r="D3720" s="4"/>
      <c r="E3720" s="4"/>
      <c r="F3720" s="4"/>
      <c r="G3720" s="4"/>
      <c r="H3720" s="4"/>
      <c r="I3720" s="2">
        <v>65.747600000000006</v>
      </c>
      <c r="J3720" s="2">
        <v>269</v>
      </c>
      <c r="K3720" s="2">
        <v>65.975800000000007</v>
      </c>
      <c r="L3720" s="2">
        <v>268</v>
      </c>
      <c r="M3720" s="2">
        <v>106.5061</v>
      </c>
      <c r="N3720" s="2">
        <v>59</v>
      </c>
      <c r="O3720" s="2">
        <v>107.5022</v>
      </c>
      <c r="P3720" s="2">
        <v>61</v>
      </c>
      <c r="Q3720" s="2">
        <v>89.137900000000002</v>
      </c>
      <c r="R3720" s="2">
        <v>3</v>
      </c>
      <c r="S3720" s="2">
        <v>88.384699999999995</v>
      </c>
      <c r="T3720" s="2">
        <v>5</v>
      </c>
      <c r="U3720" s="2">
        <v>0.90481</v>
      </c>
      <c r="V3720" s="2">
        <v>11</v>
      </c>
      <c r="W3720" s="2">
        <v>2003</v>
      </c>
    </row>
    <row r="3721" spans="1:23" ht="12.3" x14ac:dyDescent="0.4">
      <c r="A3721" s="2" t="s">
        <v>86</v>
      </c>
      <c r="B3721" s="2">
        <v>4</v>
      </c>
      <c r="C3721" s="4" t="s">
        <v>33</v>
      </c>
      <c r="D3721" s="4"/>
      <c r="E3721" s="4"/>
      <c r="F3721" s="4"/>
      <c r="G3721" s="4"/>
      <c r="H3721" s="4"/>
      <c r="I3721" s="2">
        <v>72.501900000000006</v>
      </c>
      <c r="J3721" s="2">
        <v>38</v>
      </c>
      <c r="K3721" s="2">
        <v>73.881299999999996</v>
      </c>
      <c r="L3721" s="2">
        <v>14</v>
      </c>
      <c r="M3721" s="2">
        <v>112.1353</v>
      </c>
      <c r="N3721" s="2">
        <v>8</v>
      </c>
      <c r="O3721" s="2">
        <v>114.02370000000001</v>
      </c>
      <c r="P3721" s="2">
        <v>12</v>
      </c>
      <c r="Q3721" s="2">
        <v>93.547899999999998</v>
      </c>
      <c r="R3721" s="2">
        <v>25</v>
      </c>
      <c r="S3721" s="2">
        <v>93.829599999999999</v>
      </c>
      <c r="T3721" s="2">
        <v>27</v>
      </c>
      <c r="U3721" s="2">
        <v>0.90392700000000004</v>
      </c>
      <c r="V3721" s="2">
        <v>12</v>
      </c>
      <c r="W3721" s="2">
        <v>2003</v>
      </c>
    </row>
    <row r="3722" spans="1:23" ht="12.3" x14ac:dyDescent="0.4">
      <c r="A3722" s="2" t="s">
        <v>76</v>
      </c>
      <c r="B3722" s="2">
        <v>5</v>
      </c>
      <c r="C3722" s="3" t="s">
        <v>33</v>
      </c>
      <c r="D3722" s="3" t="s">
        <v>33</v>
      </c>
      <c r="E3722" s="3"/>
      <c r="F3722" s="4"/>
      <c r="G3722" s="4"/>
      <c r="H3722" s="4"/>
      <c r="I3722" s="2">
        <v>63.297400000000003</v>
      </c>
      <c r="J3722" s="2">
        <v>309</v>
      </c>
      <c r="K3722" s="2">
        <v>63.109099999999998</v>
      </c>
      <c r="L3722" s="2">
        <v>311</v>
      </c>
      <c r="M3722" s="2">
        <v>111.7649</v>
      </c>
      <c r="N3722" s="2">
        <v>11</v>
      </c>
      <c r="O3722" s="2">
        <v>111.34869999999999</v>
      </c>
      <c r="P3722" s="2">
        <v>21</v>
      </c>
      <c r="Q3722" s="2">
        <v>92.648799999999994</v>
      </c>
      <c r="R3722" s="2">
        <v>15</v>
      </c>
      <c r="S3722" s="2">
        <v>92.183499999999995</v>
      </c>
      <c r="T3722" s="2">
        <v>17</v>
      </c>
      <c r="U3722" s="2">
        <v>0.89772399999999997</v>
      </c>
      <c r="V3722" s="2">
        <v>13</v>
      </c>
      <c r="W3722" s="2">
        <v>2003</v>
      </c>
    </row>
    <row r="3723" spans="1:23" ht="12.3" x14ac:dyDescent="0.4">
      <c r="A3723" s="2" t="s">
        <v>39</v>
      </c>
      <c r="B3723" s="2">
        <v>3</v>
      </c>
      <c r="C3723" s="3" t="s">
        <v>33</v>
      </c>
      <c r="D3723" s="4" t="s">
        <v>33</v>
      </c>
      <c r="E3723" s="4" t="s">
        <v>33</v>
      </c>
      <c r="F3723" s="4" t="s">
        <v>33</v>
      </c>
      <c r="G3723" s="4"/>
      <c r="H3723" s="4"/>
      <c r="I3723" s="2">
        <v>67.631699999999995</v>
      </c>
      <c r="J3723" s="2">
        <v>209</v>
      </c>
      <c r="K3723" s="2">
        <v>67.360500000000002</v>
      </c>
      <c r="L3723" s="2">
        <v>216</v>
      </c>
      <c r="M3723" s="2">
        <v>115.1444</v>
      </c>
      <c r="N3723" s="2">
        <v>1</v>
      </c>
      <c r="O3723" s="2">
        <v>116.5789</v>
      </c>
      <c r="P3723" s="2">
        <v>4</v>
      </c>
      <c r="Q3723" s="2">
        <v>99.120699999999999</v>
      </c>
      <c r="R3723" s="2">
        <v>123</v>
      </c>
      <c r="S3723" s="2">
        <v>97.090199999999996</v>
      </c>
      <c r="T3723" s="2">
        <v>79</v>
      </c>
      <c r="U3723" s="2">
        <v>0.89126000000000005</v>
      </c>
      <c r="V3723" s="2">
        <v>15</v>
      </c>
      <c r="W3723" s="2">
        <v>2003</v>
      </c>
    </row>
    <row r="3724" spans="1:23" ht="12.3" x14ac:dyDescent="0.4">
      <c r="A3724" s="2" t="s">
        <v>50</v>
      </c>
      <c r="B3724" s="2">
        <v>3</v>
      </c>
      <c r="C3724" s="4" t="s">
        <v>33</v>
      </c>
      <c r="D3724" s="4"/>
      <c r="E3724" s="4"/>
      <c r="F3724" s="4"/>
      <c r="G3724" s="4"/>
      <c r="H3724" s="4"/>
      <c r="I3724" s="2">
        <v>69.360200000000006</v>
      </c>
      <c r="J3724" s="2">
        <v>138</v>
      </c>
      <c r="K3724" s="2">
        <v>69.961500000000001</v>
      </c>
      <c r="L3724" s="2">
        <v>101</v>
      </c>
      <c r="M3724" s="2">
        <v>111.5928</v>
      </c>
      <c r="N3724" s="2">
        <v>12</v>
      </c>
      <c r="O3724" s="2">
        <v>112.706</v>
      </c>
      <c r="P3724" s="2">
        <v>15</v>
      </c>
      <c r="Q3724" s="2">
        <v>94.373699999999999</v>
      </c>
      <c r="R3724" s="2">
        <v>31</v>
      </c>
      <c r="S3724" s="2">
        <v>93.960800000000006</v>
      </c>
      <c r="T3724" s="2">
        <v>30</v>
      </c>
      <c r="U3724" s="2">
        <v>0.89011399999999996</v>
      </c>
      <c r="V3724" s="2">
        <v>16</v>
      </c>
      <c r="W3724" s="2">
        <v>2003</v>
      </c>
    </row>
    <row r="3725" spans="1:23" ht="12.3" x14ac:dyDescent="0.4">
      <c r="A3725" s="2" t="s">
        <v>61</v>
      </c>
      <c r="B3725" s="2">
        <v>2</v>
      </c>
      <c r="C3725" s="3"/>
      <c r="D3725" s="3"/>
      <c r="E3725" s="4"/>
      <c r="F3725" s="4"/>
      <c r="G3725" s="4"/>
      <c r="H3725" s="4"/>
      <c r="I3725" s="2">
        <v>69.4923</v>
      </c>
      <c r="J3725" s="2">
        <v>130</v>
      </c>
      <c r="K3725" s="2">
        <v>69.061300000000003</v>
      </c>
      <c r="L3725" s="2">
        <v>136</v>
      </c>
      <c r="M3725" s="2">
        <v>112.00790000000001</v>
      </c>
      <c r="N3725" s="2">
        <v>9</v>
      </c>
      <c r="O3725" s="2">
        <v>114.48139999999999</v>
      </c>
      <c r="P3725" s="2">
        <v>9</v>
      </c>
      <c r="Q3725" s="2">
        <v>96.836799999999997</v>
      </c>
      <c r="R3725" s="2">
        <v>63</v>
      </c>
      <c r="S3725" s="2">
        <v>95.463899999999995</v>
      </c>
      <c r="T3725" s="2">
        <v>55</v>
      </c>
      <c r="U3725" s="2">
        <v>0.88984300000000005</v>
      </c>
      <c r="V3725" s="2">
        <v>17</v>
      </c>
      <c r="W3725" s="2">
        <v>2003</v>
      </c>
    </row>
    <row r="3726" spans="1:23" ht="12.3" x14ac:dyDescent="0.4">
      <c r="A3726" s="2" t="s">
        <v>36</v>
      </c>
      <c r="B3726" s="2">
        <v>6</v>
      </c>
      <c r="C3726" s="4" t="s">
        <v>33</v>
      </c>
      <c r="D3726" s="4" t="s">
        <v>33</v>
      </c>
      <c r="E3726" s="4"/>
      <c r="F3726" s="4"/>
      <c r="G3726" s="4"/>
      <c r="H3726" s="4"/>
      <c r="I3726" s="2">
        <v>73.813100000000006</v>
      </c>
      <c r="J3726" s="2">
        <v>21</v>
      </c>
      <c r="K3726" s="2">
        <v>73.730500000000006</v>
      </c>
      <c r="L3726" s="2">
        <v>17</v>
      </c>
      <c r="M3726" s="2">
        <v>108.3978</v>
      </c>
      <c r="N3726" s="2">
        <v>38</v>
      </c>
      <c r="O3726" s="2">
        <v>108.5287</v>
      </c>
      <c r="P3726" s="2">
        <v>50</v>
      </c>
      <c r="Q3726" s="2">
        <v>89.881600000000006</v>
      </c>
      <c r="R3726" s="2">
        <v>6</v>
      </c>
      <c r="S3726" s="2">
        <v>90.893699999999995</v>
      </c>
      <c r="T3726" s="2">
        <v>11</v>
      </c>
      <c r="U3726" s="2">
        <v>0.88485400000000003</v>
      </c>
      <c r="V3726" s="2">
        <v>18</v>
      </c>
      <c r="W3726" s="2">
        <v>2003</v>
      </c>
    </row>
    <row r="3727" spans="1:23" ht="12.3" x14ac:dyDescent="0.4">
      <c r="A3727" s="2" t="s">
        <v>85</v>
      </c>
      <c r="B3727" s="2">
        <v>8</v>
      </c>
      <c r="C3727" s="3"/>
      <c r="D3727" s="4"/>
      <c r="E3727" s="4"/>
      <c r="F3727" s="4"/>
      <c r="G3727" s="4"/>
      <c r="H3727" s="4"/>
      <c r="I3727" s="2">
        <v>68.055999999999997</v>
      </c>
      <c r="J3727" s="2">
        <v>187</v>
      </c>
      <c r="K3727" s="2">
        <v>69.197299999999998</v>
      </c>
      <c r="L3727" s="2">
        <v>130</v>
      </c>
      <c r="M3727" s="2">
        <v>107.75069999999999</v>
      </c>
      <c r="N3727" s="2">
        <v>45</v>
      </c>
      <c r="O3727" s="2">
        <v>110.0228</v>
      </c>
      <c r="P3727" s="2">
        <v>34</v>
      </c>
      <c r="Q3727" s="2">
        <v>92.688100000000006</v>
      </c>
      <c r="R3727" s="2">
        <v>16</v>
      </c>
      <c r="S3727" s="2">
        <v>92.182400000000001</v>
      </c>
      <c r="T3727" s="2">
        <v>16</v>
      </c>
      <c r="U3727" s="2">
        <v>0.884378</v>
      </c>
      <c r="V3727" s="2">
        <v>19</v>
      </c>
      <c r="W3727" s="2">
        <v>2003</v>
      </c>
    </row>
    <row r="3728" spans="1:23" ht="12.3" x14ac:dyDescent="0.4">
      <c r="A3728" s="2" t="s">
        <v>23</v>
      </c>
      <c r="B3728" s="2">
        <v>3</v>
      </c>
      <c r="C3728" s="3" t="s">
        <v>33</v>
      </c>
      <c r="D3728" s="4" t="s">
        <v>33</v>
      </c>
      <c r="E3728" s="4" t="s">
        <v>33</v>
      </c>
      <c r="F3728" s="4" t="s">
        <v>33</v>
      </c>
      <c r="G3728" s="4" t="s">
        <v>33</v>
      </c>
      <c r="H3728" s="4" t="s">
        <v>33</v>
      </c>
      <c r="I3728" s="2">
        <v>72.123500000000007</v>
      </c>
      <c r="J3728" s="2">
        <v>46</v>
      </c>
      <c r="K3728" s="2">
        <v>71.695099999999996</v>
      </c>
      <c r="L3728" s="2">
        <v>51</v>
      </c>
      <c r="M3728" s="2">
        <v>110.28060000000001</v>
      </c>
      <c r="N3728" s="2">
        <v>21</v>
      </c>
      <c r="O3728" s="2">
        <v>112.28660000000001</v>
      </c>
      <c r="P3728" s="2">
        <v>16</v>
      </c>
      <c r="Q3728" s="2">
        <v>96.548900000000003</v>
      </c>
      <c r="R3728" s="2">
        <v>56</v>
      </c>
      <c r="S3728" s="2">
        <v>94.249899999999997</v>
      </c>
      <c r="T3728" s="2">
        <v>38</v>
      </c>
      <c r="U3728" s="2">
        <v>0.88222900000000004</v>
      </c>
      <c r="V3728" s="2">
        <v>20</v>
      </c>
      <c r="W3728" s="2">
        <v>2003</v>
      </c>
    </row>
    <row r="3729" spans="1:23" ht="12.3" x14ac:dyDescent="0.4">
      <c r="A3729" s="2" t="s">
        <v>71</v>
      </c>
      <c r="B3729" s="2">
        <v>7</v>
      </c>
      <c r="C3729" s="3"/>
      <c r="D3729" s="4"/>
      <c r="E3729" s="4"/>
      <c r="F3729" s="4"/>
      <c r="G3729" s="4"/>
      <c r="H3729" s="4"/>
      <c r="I3729" s="2">
        <v>70.4773</v>
      </c>
      <c r="J3729" s="2">
        <v>93</v>
      </c>
      <c r="K3729" s="2">
        <v>69.850200000000001</v>
      </c>
      <c r="L3729" s="2">
        <v>107</v>
      </c>
      <c r="M3729" s="2">
        <v>105.2705</v>
      </c>
      <c r="N3729" s="2">
        <v>76</v>
      </c>
      <c r="O3729" s="2">
        <v>110.2239</v>
      </c>
      <c r="P3729" s="2">
        <v>28</v>
      </c>
      <c r="Q3729" s="2">
        <v>92.9011</v>
      </c>
      <c r="R3729" s="2">
        <v>18</v>
      </c>
      <c r="S3729" s="2">
        <v>93.083500000000001</v>
      </c>
      <c r="T3729" s="2">
        <v>20</v>
      </c>
      <c r="U3729" s="2">
        <v>0.87475800000000004</v>
      </c>
      <c r="V3729" s="2">
        <v>21</v>
      </c>
      <c r="W3729" s="2">
        <v>2003</v>
      </c>
    </row>
    <row r="3730" spans="1:23" ht="12.3" x14ac:dyDescent="0.4">
      <c r="A3730" s="2" t="s">
        <v>54</v>
      </c>
      <c r="B3730" s="2">
        <v>5</v>
      </c>
      <c r="C3730" s="4" t="s">
        <v>33</v>
      </c>
      <c r="D3730" s="4" t="s">
        <v>33</v>
      </c>
      <c r="E3730" s="4"/>
      <c r="F3730" s="4"/>
      <c r="G3730" s="4"/>
      <c r="H3730" s="4"/>
      <c r="I3730" s="2">
        <v>73.265600000000006</v>
      </c>
      <c r="J3730" s="2">
        <v>28</v>
      </c>
      <c r="K3730" s="2">
        <v>72.533100000000005</v>
      </c>
      <c r="L3730" s="2">
        <v>32</v>
      </c>
      <c r="M3730" s="2">
        <v>108.4406</v>
      </c>
      <c r="N3730" s="2">
        <v>37</v>
      </c>
      <c r="O3730" s="2">
        <v>110.58799999999999</v>
      </c>
      <c r="P3730" s="2">
        <v>23</v>
      </c>
      <c r="Q3730" s="2">
        <v>97.175799999999995</v>
      </c>
      <c r="R3730" s="2">
        <v>71</v>
      </c>
      <c r="S3730" s="2">
        <v>93.6982</v>
      </c>
      <c r="T3730" s="2">
        <v>25</v>
      </c>
      <c r="U3730" s="2">
        <v>0.87056100000000003</v>
      </c>
      <c r="V3730" s="2">
        <v>22</v>
      </c>
      <c r="W3730" s="2">
        <v>2003</v>
      </c>
    </row>
    <row r="3731" spans="1:23" ht="12.3" x14ac:dyDescent="0.4">
      <c r="A3731" s="2" t="s">
        <v>56</v>
      </c>
      <c r="B3731" s="2">
        <v>5</v>
      </c>
      <c r="C3731" s="4" t="s">
        <v>33</v>
      </c>
      <c r="D3731" s="4" t="s">
        <v>33</v>
      </c>
      <c r="E3731" s="4"/>
      <c r="F3731" s="4"/>
      <c r="G3731" s="4"/>
      <c r="H3731" s="4"/>
      <c r="I3731" s="2">
        <v>71.663899999999998</v>
      </c>
      <c r="J3731" s="2">
        <v>57</v>
      </c>
      <c r="K3731" s="2">
        <v>70.980099999999993</v>
      </c>
      <c r="L3731" s="2">
        <v>67</v>
      </c>
      <c r="M3731" s="2">
        <v>110.27509999999999</v>
      </c>
      <c r="N3731" s="2">
        <v>22</v>
      </c>
      <c r="O3731" s="2">
        <v>116.4151</v>
      </c>
      <c r="P3731" s="2">
        <v>6</v>
      </c>
      <c r="Q3731" s="2">
        <v>98.0471</v>
      </c>
      <c r="R3731" s="2">
        <v>90</v>
      </c>
      <c r="S3731" s="2">
        <v>99.286600000000007</v>
      </c>
      <c r="T3731" s="2">
        <v>123</v>
      </c>
      <c r="U3731" s="2">
        <v>0.861792</v>
      </c>
      <c r="V3731" s="2">
        <v>23</v>
      </c>
      <c r="W3731" s="2">
        <v>2003</v>
      </c>
    </row>
    <row r="3732" spans="1:23" ht="12.3" x14ac:dyDescent="0.4">
      <c r="A3732" s="2" t="s">
        <v>58</v>
      </c>
      <c r="B3732" s="2">
        <v>7</v>
      </c>
      <c r="C3732" s="3" t="s">
        <v>33</v>
      </c>
      <c r="D3732" s="4" t="s">
        <v>33</v>
      </c>
      <c r="E3732" s="4" t="s">
        <v>33</v>
      </c>
      <c r="F3732" s="4"/>
      <c r="G3732" s="4"/>
      <c r="H3732" s="4"/>
      <c r="I3732" s="2">
        <v>65.142200000000003</v>
      </c>
      <c r="J3732" s="2">
        <v>287</v>
      </c>
      <c r="K3732" s="2">
        <v>64.924599999999998</v>
      </c>
      <c r="L3732" s="2">
        <v>286</v>
      </c>
      <c r="M3732" s="2">
        <v>102.8617</v>
      </c>
      <c r="N3732" s="2">
        <v>126</v>
      </c>
      <c r="O3732" s="2">
        <v>106.43559999999999</v>
      </c>
      <c r="P3732" s="2">
        <v>72</v>
      </c>
      <c r="Q3732" s="2">
        <v>93.251800000000003</v>
      </c>
      <c r="R3732" s="2">
        <v>23</v>
      </c>
      <c r="S3732" s="2">
        <v>90.8202</v>
      </c>
      <c r="T3732" s="2">
        <v>10</v>
      </c>
      <c r="U3732" s="2">
        <v>0.86111400000000005</v>
      </c>
      <c r="V3732" s="2">
        <v>24</v>
      </c>
      <c r="W3732" s="2">
        <v>2003</v>
      </c>
    </row>
    <row r="3733" spans="1:23" ht="12.3" x14ac:dyDescent="0.4">
      <c r="A3733" s="2" t="s">
        <v>73</v>
      </c>
      <c r="B3733" s="2">
        <v>6</v>
      </c>
      <c r="C3733" s="4" t="s">
        <v>33</v>
      </c>
      <c r="D3733" s="4"/>
      <c r="E3733" s="4"/>
      <c r="F3733" s="4"/>
      <c r="G3733" s="4"/>
      <c r="H3733" s="4"/>
      <c r="I3733" s="2">
        <v>68.316100000000006</v>
      </c>
      <c r="J3733" s="2">
        <v>178</v>
      </c>
      <c r="K3733" s="2">
        <v>67.026600000000002</v>
      </c>
      <c r="L3733" s="2">
        <v>231</v>
      </c>
      <c r="M3733" s="2">
        <v>104.9753</v>
      </c>
      <c r="N3733" s="2">
        <v>79</v>
      </c>
      <c r="O3733" s="2">
        <v>110.0055</v>
      </c>
      <c r="P3733" s="2">
        <v>35</v>
      </c>
      <c r="Q3733" s="2">
        <v>97.423299999999998</v>
      </c>
      <c r="R3733" s="2">
        <v>75</v>
      </c>
      <c r="S3733" s="2">
        <v>94.193600000000004</v>
      </c>
      <c r="T3733" s="2">
        <v>37</v>
      </c>
      <c r="U3733" s="2">
        <v>0.85625700000000005</v>
      </c>
      <c r="V3733" s="2">
        <v>25</v>
      </c>
      <c r="W3733" s="2">
        <v>2003</v>
      </c>
    </row>
    <row r="3734" spans="1:23" ht="12.3" x14ac:dyDescent="0.4">
      <c r="A3734" s="2" t="s">
        <v>96</v>
      </c>
      <c r="B3734" s="2">
        <v>12</v>
      </c>
      <c r="C3734" s="4"/>
      <c r="D3734" s="4"/>
      <c r="E3734" s="4"/>
      <c r="F3734" s="4"/>
      <c r="G3734" s="4"/>
      <c r="H3734" s="4"/>
      <c r="I3734" s="2">
        <v>65.910300000000007</v>
      </c>
      <c r="J3734" s="2">
        <v>266</v>
      </c>
      <c r="K3734" s="2">
        <v>66.790999999999997</v>
      </c>
      <c r="L3734" s="2">
        <v>244</v>
      </c>
      <c r="M3734" s="2">
        <v>109.592</v>
      </c>
      <c r="N3734" s="2">
        <v>26</v>
      </c>
      <c r="O3734" s="2">
        <v>108.6906</v>
      </c>
      <c r="P3734" s="2">
        <v>49</v>
      </c>
      <c r="Q3734" s="2">
        <v>95.889200000000002</v>
      </c>
      <c r="R3734" s="2">
        <v>48</v>
      </c>
      <c r="S3734" s="2">
        <v>93.390299999999996</v>
      </c>
      <c r="T3734" s="2">
        <v>21</v>
      </c>
      <c r="U3734" s="2">
        <v>0.85129100000000002</v>
      </c>
      <c r="V3734" s="2">
        <v>26</v>
      </c>
      <c r="W3734" s="2">
        <v>2003</v>
      </c>
    </row>
    <row r="3735" spans="1:23" ht="12.3" x14ac:dyDescent="0.4">
      <c r="A3735" s="2" t="s">
        <v>72</v>
      </c>
      <c r="B3735" s="2">
        <v>6</v>
      </c>
      <c r="C3735" s="3" t="s">
        <v>33</v>
      </c>
      <c r="D3735" s="4"/>
      <c r="E3735" s="4"/>
      <c r="F3735" s="4"/>
      <c r="G3735" s="4"/>
      <c r="H3735" s="4"/>
      <c r="I3735" s="2">
        <v>68.029399999999995</v>
      </c>
      <c r="J3735" s="2">
        <v>191</v>
      </c>
      <c r="K3735" s="2">
        <v>68.106099999999998</v>
      </c>
      <c r="L3735" s="2">
        <v>181</v>
      </c>
      <c r="M3735" s="2">
        <v>100.47329999999999</v>
      </c>
      <c r="N3735" s="2">
        <v>185</v>
      </c>
      <c r="O3735" s="2">
        <v>103.41549999999999</v>
      </c>
      <c r="P3735" s="2">
        <v>121</v>
      </c>
      <c r="Q3735" s="2">
        <v>91.225099999999998</v>
      </c>
      <c r="R3735" s="2">
        <v>9</v>
      </c>
      <c r="S3735" s="2">
        <v>89.011600000000001</v>
      </c>
      <c r="T3735" s="2">
        <v>6</v>
      </c>
      <c r="U3735" s="2">
        <v>0.84875299999999998</v>
      </c>
      <c r="V3735" s="2">
        <v>27</v>
      </c>
      <c r="W3735" s="2">
        <v>2003</v>
      </c>
    </row>
    <row r="3736" spans="1:23" ht="12.3" hidden="1" x14ac:dyDescent="0.4">
      <c r="A3736" s="2" t="s">
        <v>84</v>
      </c>
      <c r="B3736" s="2"/>
      <c r="C3736" s="2"/>
      <c r="D3736" s="2"/>
      <c r="E3736" s="2"/>
      <c r="F3736" s="2"/>
      <c r="G3736" s="2"/>
      <c r="H3736" s="2"/>
      <c r="I3736" s="2"/>
      <c r="J3736" s="2">
        <v>128</v>
      </c>
      <c r="K3736" s="2">
        <v>67.759799999999998</v>
      </c>
      <c r="L3736" s="2">
        <v>88</v>
      </c>
      <c r="M3736" s="2">
        <v>104.25279999999999</v>
      </c>
      <c r="N3736" s="2">
        <v>99</v>
      </c>
      <c r="O3736" s="2">
        <v>106.1994</v>
      </c>
      <c r="P3736" s="2">
        <v>70</v>
      </c>
      <c r="Q3736" s="2">
        <v>93.127799999999993</v>
      </c>
      <c r="R3736" s="2">
        <v>36</v>
      </c>
      <c r="S3736" s="2">
        <v>91.556100000000001</v>
      </c>
      <c r="T3736" s="2">
        <v>22</v>
      </c>
      <c r="U3736" s="2">
        <v>0.84634600000000004</v>
      </c>
      <c r="V3736" s="2">
        <v>33</v>
      </c>
      <c r="W3736" s="2">
        <v>2013</v>
      </c>
    </row>
    <row r="3737" spans="1:23" ht="12.3" x14ac:dyDescent="0.4">
      <c r="A3737" s="2" t="s">
        <v>90</v>
      </c>
      <c r="B3737" s="2">
        <v>6</v>
      </c>
      <c r="C3737" s="3"/>
      <c r="D3737" s="4"/>
      <c r="E3737" s="4"/>
      <c r="F3737" s="4"/>
      <c r="G3737" s="4"/>
      <c r="H3737" s="4"/>
      <c r="I3737" s="2">
        <v>69.154799999999994</v>
      </c>
      <c r="J3737" s="2">
        <v>144</v>
      </c>
      <c r="K3737" s="2">
        <v>70.139899999999997</v>
      </c>
      <c r="L3737" s="2">
        <v>93</v>
      </c>
      <c r="M3737" s="2">
        <v>113.98260000000001</v>
      </c>
      <c r="N3737" s="2">
        <v>2</v>
      </c>
      <c r="O3737" s="2">
        <v>110.1662</v>
      </c>
      <c r="P3737" s="2">
        <v>30</v>
      </c>
      <c r="Q3737" s="2">
        <v>92.916300000000007</v>
      </c>
      <c r="R3737" s="2">
        <v>19</v>
      </c>
      <c r="S3737" s="2">
        <v>95.1464</v>
      </c>
      <c r="T3737" s="2">
        <v>49</v>
      </c>
      <c r="U3737" s="2">
        <v>0.84364399999999995</v>
      </c>
      <c r="V3737" s="2">
        <v>28</v>
      </c>
      <c r="W3737" s="2">
        <v>2003</v>
      </c>
    </row>
    <row r="3738" spans="1:23" ht="12.3" x14ac:dyDescent="0.4">
      <c r="A3738" s="2" t="s">
        <v>99</v>
      </c>
      <c r="B3738" s="2">
        <v>10</v>
      </c>
      <c r="C3738" s="3" t="s">
        <v>33</v>
      </c>
      <c r="D3738" s="3"/>
      <c r="E3738" s="3"/>
      <c r="F3738" s="3"/>
      <c r="G3738" s="3"/>
      <c r="H3738" s="4"/>
      <c r="I3738" s="2">
        <v>69.594800000000006</v>
      </c>
      <c r="J3738" s="2">
        <v>124</v>
      </c>
      <c r="K3738" s="2">
        <v>68.538300000000007</v>
      </c>
      <c r="L3738" s="2">
        <v>159</v>
      </c>
      <c r="M3738" s="2">
        <v>108.2894</v>
      </c>
      <c r="N3738" s="2">
        <v>39</v>
      </c>
      <c r="O3738" s="2">
        <v>111.0911</v>
      </c>
      <c r="P3738" s="2">
        <v>22</v>
      </c>
      <c r="Q3738" s="2">
        <v>98.412599999999998</v>
      </c>
      <c r="R3738" s="2">
        <v>105</v>
      </c>
      <c r="S3738" s="2">
        <v>96.319000000000003</v>
      </c>
      <c r="T3738" s="2">
        <v>63</v>
      </c>
      <c r="U3738" s="2">
        <v>0.83765400000000001</v>
      </c>
      <c r="V3738" s="2">
        <v>29</v>
      </c>
      <c r="W3738" s="2">
        <v>2003</v>
      </c>
    </row>
    <row r="3739" spans="1:23" ht="12.3" hidden="1" x14ac:dyDescent="0.4">
      <c r="A3739" s="2" t="s">
        <v>87</v>
      </c>
      <c r="B3739" s="2"/>
      <c r="C3739" s="2"/>
      <c r="D3739" s="2"/>
      <c r="E3739" s="2"/>
      <c r="F3739" s="2"/>
      <c r="G3739" s="2"/>
      <c r="H3739" s="2"/>
      <c r="I3739" s="2"/>
      <c r="J3739" s="2">
        <v>334</v>
      </c>
      <c r="K3739" s="2">
        <v>60.4756</v>
      </c>
      <c r="L3739" s="2">
        <v>338</v>
      </c>
      <c r="M3739" s="2">
        <v>104.52030000000001</v>
      </c>
      <c r="N3739" s="2">
        <v>95</v>
      </c>
      <c r="O3739" s="2">
        <v>105.0716</v>
      </c>
      <c r="P3739" s="2">
        <v>90</v>
      </c>
      <c r="Q3739" s="2">
        <v>90.180199999999999</v>
      </c>
      <c r="R3739" s="2">
        <v>12</v>
      </c>
      <c r="S3739" s="2">
        <v>91.007400000000004</v>
      </c>
      <c r="T3739" s="2">
        <v>20</v>
      </c>
      <c r="U3739" s="2">
        <v>0.83923800000000004</v>
      </c>
      <c r="V3739" s="2">
        <v>36</v>
      </c>
      <c r="W3739" s="2">
        <v>2013</v>
      </c>
    </row>
    <row r="3740" spans="1:23" ht="12.3" x14ac:dyDescent="0.4">
      <c r="A3740" s="2" t="s">
        <v>64</v>
      </c>
      <c r="B3740" s="2">
        <v>4</v>
      </c>
      <c r="C3740" s="3"/>
      <c r="D3740" s="4"/>
      <c r="E3740" s="4"/>
      <c r="F3740" s="4"/>
      <c r="G3740" s="4"/>
      <c r="H3740" s="4"/>
      <c r="I3740" s="2">
        <v>64.586200000000005</v>
      </c>
      <c r="J3740" s="2">
        <v>295</v>
      </c>
      <c r="K3740" s="2">
        <v>65.641400000000004</v>
      </c>
      <c r="L3740" s="2">
        <v>278</v>
      </c>
      <c r="M3740" s="2">
        <v>112.31</v>
      </c>
      <c r="N3740" s="2">
        <v>6</v>
      </c>
      <c r="O3740" s="2">
        <v>116.4746</v>
      </c>
      <c r="P3740" s="2">
        <v>5</v>
      </c>
      <c r="Q3740" s="2">
        <v>102.0266</v>
      </c>
      <c r="R3740" s="2">
        <v>196</v>
      </c>
      <c r="S3740" s="2">
        <v>101.0134</v>
      </c>
      <c r="T3740" s="2">
        <v>162</v>
      </c>
      <c r="U3740" s="2">
        <v>0.83723899999999996</v>
      </c>
      <c r="V3740" s="2">
        <v>30</v>
      </c>
      <c r="W3740" s="2">
        <v>2003</v>
      </c>
    </row>
    <row r="3741" spans="1:23" ht="12.3" hidden="1" x14ac:dyDescent="0.4">
      <c r="A3741" s="2" t="s">
        <v>158</v>
      </c>
      <c r="B3741" s="2"/>
      <c r="C3741" s="2"/>
      <c r="D3741" s="2"/>
      <c r="E3741" s="2"/>
      <c r="F3741" s="2"/>
      <c r="G3741" s="2"/>
      <c r="H3741" s="2"/>
      <c r="I3741" s="2"/>
      <c r="J3741" s="2">
        <v>94</v>
      </c>
      <c r="K3741" s="2">
        <v>67.088200000000001</v>
      </c>
      <c r="L3741" s="2">
        <v>118</v>
      </c>
      <c r="M3741" s="2">
        <v>107.49339999999999</v>
      </c>
      <c r="N3741" s="2">
        <v>46</v>
      </c>
      <c r="O3741" s="2">
        <v>110.7432</v>
      </c>
      <c r="P3741" s="2">
        <v>30</v>
      </c>
      <c r="Q3741" s="2">
        <v>97.897499999999994</v>
      </c>
      <c r="R3741" s="2">
        <v>112</v>
      </c>
      <c r="S3741" s="2">
        <v>96.338099999999997</v>
      </c>
      <c r="T3741" s="2">
        <v>83</v>
      </c>
      <c r="U3741" s="2">
        <v>0.83237099999999997</v>
      </c>
      <c r="V3741" s="2">
        <v>38</v>
      </c>
      <c r="W3741" s="2">
        <v>2013</v>
      </c>
    </row>
    <row r="3742" spans="1:23" ht="12.3" x14ac:dyDescent="0.4">
      <c r="A3742" s="2" t="s">
        <v>83</v>
      </c>
      <c r="B3742" s="2">
        <v>11</v>
      </c>
      <c r="C3742" s="4"/>
      <c r="D3742" s="4"/>
      <c r="E3742" s="4"/>
      <c r="F3742" s="4"/>
      <c r="G3742" s="4"/>
      <c r="H3742" s="4"/>
      <c r="I3742" s="2">
        <v>65.915099999999995</v>
      </c>
      <c r="J3742" s="2">
        <v>265</v>
      </c>
      <c r="K3742" s="2">
        <v>65.709900000000005</v>
      </c>
      <c r="L3742" s="2">
        <v>276</v>
      </c>
      <c r="M3742" s="2">
        <v>107.5334</v>
      </c>
      <c r="N3742" s="2">
        <v>51</v>
      </c>
      <c r="O3742" s="2">
        <v>107.86</v>
      </c>
      <c r="P3742" s="2">
        <v>58</v>
      </c>
      <c r="Q3742" s="2">
        <v>89.531899999999993</v>
      </c>
      <c r="R3742" s="2">
        <v>4</v>
      </c>
      <c r="S3742" s="2">
        <v>93.688100000000006</v>
      </c>
      <c r="T3742" s="2">
        <v>24</v>
      </c>
      <c r="U3742" s="2">
        <v>0.83478300000000005</v>
      </c>
      <c r="V3742" s="2">
        <v>31</v>
      </c>
      <c r="W3742" s="2">
        <v>2003</v>
      </c>
    </row>
    <row r="3743" spans="1:23" ht="12.3" x14ac:dyDescent="0.4">
      <c r="A3743" s="2" t="s">
        <v>129</v>
      </c>
      <c r="B3743" s="2">
        <v>10</v>
      </c>
      <c r="C3743" s="4"/>
      <c r="D3743" s="4"/>
      <c r="E3743" s="4"/>
      <c r="F3743" s="4"/>
      <c r="G3743" s="4"/>
      <c r="H3743" s="4"/>
      <c r="I3743" s="2">
        <v>71.590500000000006</v>
      </c>
      <c r="J3743" s="2">
        <v>59</v>
      </c>
      <c r="K3743" s="2">
        <v>71.321399999999997</v>
      </c>
      <c r="L3743" s="2">
        <v>56</v>
      </c>
      <c r="M3743" s="2">
        <v>104.8883</v>
      </c>
      <c r="N3743" s="2">
        <v>83</v>
      </c>
      <c r="O3743" s="2">
        <v>108.06959999999999</v>
      </c>
      <c r="P3743" s="2">
        <v>55</v>
      </c>
      <c r="Q3743" s="2">
        <v>97.5822</v>
      </c>
      <c r="R3743" s="2">
        <v>83</v>
      </c>
      <c r="S3743" s="2">
        <v>94.0989</v>
      </c>
      <c r="T3743" s="2">
        <v>35</v>
      </c>
      <c r="U3743" s="2">
        <v>0.83088700000000004</v>
      </c>
      <c r="V3743" s="2">
        <v>32</v>
      </c>
      <c r="W3743" s="2">
        <v>2003</v>
      </c>
    </row>
    <row r="3744" spans="1:23" ht="12.3" x14ac:dyDescent="0.4">
      <c r="A3744" s="2" t="s">
        <v>52</v>
      </c>
      <c r="B3744" s="2">
        <v>4</v>
      </c>
      <c r="C3744" s="4" t="s">
        <v>33</v>
      </c>
      <c r="D3744" s="4"/>
      <c r="E3744" s="4"/>
      <c r="F3744" s="4"/>
      <c r="G3744" s="4"/>
      <c r="H3744" s="4"/>
      <c r="I3744" s="2">
        <v>68.466499999999996</v>
      </c>
      <c r="J3744" s="2">
        <v>167</v>
      </c>
      <c r="K3744" s="2">
        <v>67.139099999999999</v>
      </c>
      <c r="L3744" s="2">
        <v>227</v>
      </c>
      <c r="M3744" s="2">
        <v>105.0137</v>
      </c>
      <c r="N3744" s="2">
        <v>78</v>
      </c>
      <c r="O3744" s="2">
        <v>108.5081</v>
      </c>
      <c r="P3744" s="2">
        <v>52</v>
      </c>
      <c r="Q3744" s="2">
        <v>97.570899999999995</v>
      </c>
      <c r="R3744" s="2">
        <v>81</v>
      </c>
      <c r="S3744" s="2">
        <v>94.815200000000004</v>
      </c>
      <c r="T3744" s="2">
        <v>43</v>
      </c>
      <c r="U3744" s="2">
        <v>0.82509999999999994</v>
      </c>
      <c r="V3744" s="2">
        <v>33</v>
      </c>
      <c r="W3744" s="2">
        <v>2003</v>
      </c>
    </row>
    <row r="3745" spans="1:23" ht="12.3" hidden="1" x14ac:dyDescent="0.4">
      <c r="A3745" s="2" t="s">
        <v>286</v>
      </c>
      <c r="B3745" s="2"/>
      <c r="C3745" s="2"/>
      <c r="D3745" s="2"/>
      <c r="E3745" s="2"/>
      <c r="F3745" s="2"/>
      <c r="G3745" s="2"/>
      <c r="H3745" s="2"/>
      <c r="I3745" s="2"/>
      <c r="J3745" s="2">
        <v>345</v>
      </c>
      <c r="K3745" s="2">
        <v>58.799799999999998</v>
      </c>
      <c r="L3745" s="2">
        <v>346</v>
      </c>
      <c r="M3745" s="2">
        <v>109.5668</v>
      </c>
      <c r="N3745" s="2">
        <v>25</v>
      </c>
      <c r="O3745" s="2">
        <v>109.46420000000001</v>
      </c>
      <c r="P3745" s="2">
        <v>40</v>
      </c>
      <c r="Q3745" s="2">
        <v>93.138800000000003</v>
      </c>
      <c r="R3745" s="2">
        <v>37</v>
      </c>
      <c r="S3745" s="2">
        <v>95.679500000000004</v>
      </c>
      <c r="T3745" s="2">
        <v>72</v>
      </c>
      <c r="U3745" s="2">
        <v>0.82459899999999997</v>
      </c>
      <c r="V3745" s="2">
        <v>42</v>
      </c>
      <c r="W3745" s="2">
        <v>2013</v>
      </c>
    </row>
    <row r="3746" spans="1:23" ht="12.3" x14ac:dyDescent="0.4">
      <c r="A3746" s="2" t="s">
        <v>77</v>
      </c>
      <c r="B3746" s="2">
        <v>11</v>
      </c>
      <c r="C3746" s="3"/>
      <c r="D3746" s="4"/>
      <c r="E3746" s="4"/>
      <c r="F3746" s="4"/>
      <c r="G3746" s="4"/>
      <c r="H3746" s="4"/>
      <c r="I3746" s="2">
        <v>64.088800000000006</v>
      </c>
      <c r="J3746" s="2">
        <v>301</v>
      </c>
      <c r="K3746" s="2">
        <v>64.751400000000004</v>
      </c>
      <c r="L3746" s="2">
        <v>292</v>
      </c>
      <c r="M3746" s="2">
        <v>109.20489999999999</v>
      </c>
      <c r="N3746" s="2">
        <v>29</v>
      </c>
      <c r="O3746" s="2">
        <v>110.0622</v>
      </c>
      <c r="P3746" s="2">
        <v>33</v>
      </c>
      <c r="Q3746" s="2">
        <v>92.437200000000004</v>
      </c>
      <c r="R3746" s="2">
        <v>14</v>
      </c>
      <c r="S3746" s="2">
        <v>96.365399999999994</v>
      </c>
      <c r="T3746" s="2">
        <v>65</v>
      </c>
      <c r="U3746" s="2">
        <v>0.82176099999999996</v>
      </c>
      <c r="V3746" s="2">
        <v>34</v>
      </c>
      <c r="W3746" s="2">
        <v>2003</v>
      </c>
    </row>
    <row r="3747" spans="1:23" ht="12.3" x14ac:dyDescent="0.4">
      <c r="A3747" s="2" t="s">
        <v>34</v>
      </c>
      <c r="B3747" s="2">
        <v>8</v>
      </c>
      <c r="C3747" s="3"/>
      <c r="D3747" s="3"/>
      <c r="E3747" s="4"/>
      <c r="F3747" s="4"/>
      <c r="G3747" s="4"/>
      <c r="H3747" s="4"/>
      <c r="I3747" s="2">
        <v>67.287899999999993</v>
      </c>
      <c r="J3747" s="2">
        <v>229</v>
      </c>
      <c r="K3747" s="2">
        <v>68.004900000000006</v>
      </c>
      <c r="L3747" s="2">
        <v>184</v>
      </c>
      <c r="M3747" s="2">
        <v>100.94670000000001</v>
      </c>
      <c r="N3747" s="2">
        <v>171</v>
      </c>
      <c r="O3747" s="2">
        <v>103.4997</v>
      </c>
      <c r="P3747" s="2">
        <v>119</v>
      </c>
      <c r="Q3747" s="2">
        <v>92.833399999999997</v>
      </c>
      <c r="R3747" s="2">
        <v>17</v>
      </c>
      <c r="S3747" s="2">
        <v>90.991900000000001</v>
      </c>
      <c r="T3747" s="2">
        <v>12</v>
      </c>
      <c r="U3747" s="2">
        <v>0.814751</v>
      </c>
      <c r="V3747" s="2">
        <v>36</v>
      </c>
      <c r="W3747" s="2">
        <v>2003</v>
      </c>
    </row>
    <row r="3748" spans="1:23" ht="12.3" hidden="1" x14ac:dyDescent="0.4">
      <c r="A3748" s="2" t="s">
        <v>52</v>
      </c>
      <c r="B3748" s="2"/>
      <c r="C3748" s="2"/>
      <c r="D3748" s="2"/>
      <c r="E3748" s="2"/>
      <c r="F3748" s="2"/>
      <c r="G3748" s="2"/>
      <c r="H3748" s="2"/>
      <c r="I3748" s="2"/>
      <c r="J3748" s="2">
        <v>70</v>
      </c>
      <c r="K3748" s="2">
        <v>68.162199999999999</v>
      </c>
      <c r="L3748" s="2">
        <v>73</v>
      </c>
      <c r="M3748" s="2">
        <v>103.9511</v>
      </c>
      <c r="N3748" s="2">
        <v>104</v>
      </c>
      <c r="O3748" s="2">
        <v>109.0925</v>
      </c>
      <c r="P3748" s="2">
        <v>41</v>
      </c>
      <c r="Q3748" s="2">
        <v>97.151200000000003</v>
      </c>
      <c r="R3748" s="2">
        <v>89</v>
      </c>
      <c r="S3748" s="2">
        <v>95.769400000000005</v>
      </c>
      <c r="T3748" s="2">
        <v>74</v>
      </c>
      <c r="U3748" s="2">
        <v>0.81726299999999996</v>
      </c>
      <c r="V3748" s="2">
        <v>45</v>
      </c>
      <c r="W3748" s="2">
        <v>2013</v>
      </c>
    </row>
    <row r="3749" spans="1:23" ht="12.3" x14ac:dyDescent="0.4">
      <c r="A3749" s="2" t="s">
        <v>47</v>
      </c>
      <c r="B3749" s="2">
        <v>9</v>
      </c>
      <c r="C3749" s="4" t="s">
        <v>33</v>
      </c>
      <c r="D3749" s="4"/>
      <c r="E3749" s="4"/>
      <c r="F3749" s="4"/>
      <c r="G3749" s="4"/>
      <c r="H3749" s="4"/>
      <c r="I3749" s="2">
        <v>69.401300000000006</v>
      </c>
      <c r="J3749" s="2">
        <v>136</v>
      </c>
      <c r="K3749" s="2">
        <v>68.961600000000004</v>
      </c>
      <c r="L3749" s="2">
        <v>140</v>
      </c>
      <c r="M3749" s="2">
        <v>109.46510000000001</v>
      </c>
      <c r="N3749" s="2">
        <v>27</v>
      </c>
      <c r="O3749" s="2">
        <v>110.2921</v>
      </c>
      <c r="P3749" s="2">
        <v>27</v>
      </c>
      <c r="Q3749" s="2">
        <v>97.0167</v>
      </c>
      <c r="R3749" s="2">
        <v>67</v>
      </c>
      <c r="S3749" s="2">
        <v>96.977999999999994</v>
      </c>
      <c r="T3749" s="2">
        <v>78</v>
      </c>
      <c r="U3749" s="2">
        <v>0.81449099999999997</v>
      </c>
      <c r="V3749" s="2">
        <v>37</v>
      </c>
      <c r="W3749" s="2">
        <v>2003</v>
      </c>
    </row>
    <row r="3750" spans="1:23" ht="12.3" x14ac:dyDescent="0.4">
      <c r="A3750" s="2" t="s">
        <v>49</v>
      </c>
      <c r="B3750" s="2">
        <v>10</v>
      </c>
      <c r="C3750" s="4"/>
      <c r="D3750" s="4"/>
      <c r="E3750" s="4"/>
      <c r="F3750" s="4"/>
      <c r="G3750" s="4"/>
      <c r="H3750" s="4"/>
      <c r="I3750" s="2">
        <v>66.320300000000003</v>
      </c>
      <c r="J3750" s="2">
        <v>259</v>
      </c>
      <c r="K3750" s="2">
        <v>66.941000000000003</v>
      </c>
      <c r="L3750" s="2">
        <v>238</v>
      </c>
      <c r="M3750" s="2">
        <v>103.8026</v>
      </c>
      <c r="N3750" s="2">
        <v>98</v>
      </c>
      <c r="O3750" s="2">
        <v>108.8779</v>
      </c>
      <c r="P3750" s="2">
        <v>47</v>
      </c>
      <c r="Q3750" s="2">
        <v>98.014099999999999</v>
      </c>
      <c r="R3750" s="2">
        <v>88</v>
      </c>
      <c r="S3750" s="2">
        <v>95.754499999999993</v>
      </c>
      <c r="T3750" s="2">
        <v>60</v>
      </c>
      <c r="U3750" s="2">
        <v>0.81412799999999996</v>
      </c>
      <c r="V3750" s="2">
        <v>38</v>
      </c>
      <c r="W3750" s="2">
        <v>2003</v>
      </c>
    </row>
    <row r="3751" spans="1:23" ht="12.3" x14ac:dyDescent="0.4">
      <c r="A3751" s="2" t="s">
        <v>70</v>
      </c>
      <c r="B3751" s="2">
        <v>9</v>
      </c>
      <c r="C3751" s="4" t="s">
        <v>33</v>
      </c>
      <c r="D3751" s="4"/>
      <c r="E3751" s="4"/>
      <c r="F3751" s="4"/>
      <c r="G3751" s="4"/>
      <c r="H3751" s="4"/>
      <c r="I3751" s="2">
        <v>61.730600000000003</v>
      </c>
      <c r="J3751" s="2">
        <v>313</v>
      </c>
      <c r="K3751" s="2">
        <v>62.944499999999998</v>
      </c>
      <c r="L3751" s="2">
        <v>312</v>
      </c>
      <c r="M3751" s="2">
        <v>106.8775</v>
      </c>
      <c r="N3751" s="2">
        <v>55</v>
      </c>
      <c r="O3751" s="2">
        <v>106.27030000000001</v>
      </c>
      <c r="P3751" s="2">
        <v>77</v>
      </c>
      <c r="Q3751" s="2">
        <v>96.182100000000005</v>
      </c>
      <c r="R3751" s="2">
        <v>51</v>
      </c>
      <c r="S3751" s="2">
        <v>93.678899999999999</v>
      </c>
      <c r="T3751" s="2">
        <v>23</v>
      </c>
      <c r="U3751" s="2">
        <v>0.81004399999999999</v>
      </c>
      <c r="V3751" s="2">
        <v>39</v>
      </c>
      <c r="W3751" s="2">
        <v>2003</v>
      </c>
    </row>
    <row r="3752" spans="1:23" ht="12.3" x14ac:dyDescent="0.4">
      <c r="A3752" s="2" t="s">
        <v>57</v>
      </c>
      <c r="B3752" s="2">
        <v>8</v>
      </c>
      <c r="C3752" s="3" t="s">
        <v>33</v>
      </c>
      <c r="D3752" s="4"/>
      <c r="E3752" s="4"/>
      <c r="F3752" s="4"/>
      <c r="G3752" s="4"/>
      <c r="H3752" s="4"/>
      <c r="I3752" s="2">
        <v>69.7273</v>
      </c>
      <c r="J3752" s="2">
        <v>117</v>
      </c>
      <c r="K3752" s="2">
        <v>67.474400000000003</v>
      </c>
      <c r="L3752" s="2">
        <v>209</v>
      </c>
      <c r="M3752" s="2">
        <v>105.2679</v>
      </c>
      <c r="N3752" s="2">
        <v>77</v>
      </c>
      <c r="O3752" s="2">
        <v>108.3908</v>
      </c>
      <c r="P3752" s="2">
        <v>54</v>
      </c>
      <c r="Q3752" s="2">
        <v>98.657700000000006</v>
      </c>
      <c r="R3752" s="2">
        <v>110</v>
      </c>
      <c r="S3752" s="2">
        <v>95.563599999999994</v>
      </c>
      <c r="T3752" s="2">
        <v>58</v>
      </c>
      <c r="U3752" s="2">
        <v>0.80975799999999998</v>
      </c>
      <c r="V3752" s="2">
        <v>40</v>
      </c>
      <c r="W3752" s="2">
        <v>2003</v>
      </c>
    </row>
    <row r="3753" spans="1:23" ht="12.3" x14ac:dyDescent="0.4">
      <c r="A3753" s="2" t="s">
        <v>121</v>
      </c>
      <c r="B3753" s="2">
        <v>9</v>
      </c>
      <c r="C3753" s="4" t="s">
        <v>33</v>
      </c>
      <c r="D3753" s="4"/>
      <c r="E3753" s="4"/>
      <c r="F3753" s="4"/>
      <c r="G3753" s="4"/>
      <c r="H3753" s="4"/>
      <c r="I3753" s="2">
        <v>69.542500000000004</v>
      </c>
      <c r="J3753" s="2">
        <v>126</v>
      </c>
      <c r="K3753" s="2">
        <v>70.768799999999999</v>
      </c>
      <c r="L3753" s="2">
        <v>75</v>
      </c>
      <c r="M3753" s="2">
        <v>102.3733</v>
      </c>
      <c r="N3753" s="2">
        <v>143</v>
      </c>
      <c r="O3753" s="2">
        <v>103.563</v>
      </c>
      <c r="P3753" s="2">
        <v>116</v>
      </c>
      <c r="Q3753" s="2">
        <v>93.654600000000002</v>
      </c>
      <c r="R3753" s="2">
        <v>26</v>
      </c>
      <c r="S3753" s="2">
        <v>91.315899999999999</v>
      </c>
      <c r="T3753" s="2">
        <v>13</v>
      </c>
      <c r="U3753" s="2">
        <v>0.80958799999999997</v>
      </c>
      <c r="V3753" s="2">
        <v>41</v>
      </c>
      <c r="W3753" s="2">
        <v>2003</v>
      </c>
    </row>
    <row r="3754" spans="1:23" ht="12.3" x14ac:dyDescent="0.4">
      <c r="A3754" s="2" t="s">
        <v>18</v>
      </c>
      <c r="B3754" s="2">
        <v>12</v>
      </c>
      <c r="C3754" s="4" t="s">
        <v>33</v>
      </c>
      <c r="D3754" s="4" t="s">
        <v>33</v>
      </c>
      <c r="E3754" s="4"/>
      <c r="F3754" s="4"/>
      <c r="G3754" s="4"/>
      <c r="H3754" s="4"/>
      <c r="I3754" s="2">
        <v>59.628799999999998</v>
      </c>
      <c r="J3754" s="2">
        <v>325</v>
      </c>
      <c r="K3754" s="2">
        <v>59.948099999999997</v>
      </c>
      <c r="L3754" s="2">
        <v>325</v>
      </c>
      <c r="M3754" s="2">
        <v>113.6498</v>
      </c>
      <c r="N3754" s="2">
        <v>3</v>
      </c>
      <c r="O3754" s="2">
        <v>113.1309</v>
      </c>
      <c r="P3754" s="2">
        <v>13</v>
      </c>
      <c r="Q3754" s="2">
        <v>100.0723</v>
      </c>
      <c r="R3754" s="2">
        <v>147</v>
      </c>
      <c r="S3754" s="2">
        <v>99.946899999999999</v>
      </c>
      <c r="T3754" s="2">
        <v>135</v>
      </c>
      <c r="U3754" s="2">
        <v>0.80610899999999996</v>
      </c>
      <c r="V3754" s="2">
        <v>42</v>
      </c>
      <c r="W3754" s="2">
        <v>2003</v>
      </c>
    </row>
    <row r="3755" spans="1:23" ht="12.3" x14ac:dyDescent="0.4">
      <c r="A3755" s="2" t="s">
        <v>41</v>
      </c>
      <c r="B3755" s="2">
        <v>8</v>
      </c>
      <c r="C3755" s="4"/>
      <c r="D3755" s="4"/>
      <c r="E3755" s="4"/>
      <c r="F3755" s="4"/>
      <c r="G3755" s="4"/>
      <c r="H3755" s="4"/>
      <c r="I3755" s="2">
        <v>75.108000000000004</v>
      </c>
      <c r="J3755" s="2">
        <v>10</v>
      </c>
      <c r="K3755" s="2">
        <v>72.465999999999994</v>
      </c>
      <c r="L3755" s="2">
        <v>34</v>
      </c>
      <c r="M3755" s="2">
        <v>108.9914</v>
      </c>
      <c r="N3755" s="2">
        <v>33</v>
      </c>
      <c r="O3755" s="2">
        <v>110.4645</v>
      </c>
      <c r="P3755" s="2">
        <v>25</v>
      </c>
      <c r="Q3755" s="2">
        <v>98.547200000000004</v>
      </c>
      <c r="R3755" s="2">
        <v>107</v>
      </c>
      <c r="S3755" s="2">
        <v>97.740700000000004</v>
      </c>
      <c r="T3755" s="2">
        <v>88</v>
      </c>
      <c r="U3755" s="2">
        <v>0.80334499999999998</v>
      </c>
      <c r="V3755" s="2">
        <v>44</v>
      </c>
      <c r="W3755" s="2">
        <v>2003</v>
      </c>
    </row>
    <row r="3756" spans="1:23" ht="12.3" x14ac:dyDescent="0.4">
      <c r="A3756" s="2" t="s">
        <v>40</v>
      </c>
      <c r="B3756" s="2">
        <v>7</v>
      </c>
      <c r="C3756" s="4" t="s">
        <v>33</v>
      </c>
      <c r="D3756" s="4"/>
      <c r="E3756" s="4"/>
      <c r="F3756" s="4"/>
      <c r="G3756" s="4"/>
      <c r="H3756" s="4"/>
      <c r="I3756" s="2">
        <v>65.566999999999993</v>
      </c>
      <c r="J3756" s="2">
        <v>276</v>
      </c>
      <c r="K3756" s="2">
        <v>64.948499999999996</v>
      </c>
      <c r="L3756" s="2">
        <v>285</v>
      </c>
      <c r="M3756" s="2">
        <v>106.4645</v>
      </c>
      <c r="N3756" s="2">
        <v>60</v>
      </c>
      <c r="O3756" s="2">
        <v>111.5878</v>
      </c>
      <c r="P3756" s="2">
        <v>20</v>
      </c>
      <c r="Q3756" s="2">
        <v>101.4773</v>
      </c>
      <c r="R3756" s="2">
        <v>183</v>
      </c>
      <c r="S3756" s="2">
        <v>98.9495</v>
      </c>
      <c r="T3756" s="2">
        <v>118</v>
      </c>
      <c r="U3756" s="2">
        <v>0.79936399999999996</v>
      </c>
      <c r="V3756" s="2">
        <v>45</v>
      </c>
      <c r="W3756" s="2">
        <v>2003</v>
      </c>
    </row>
    <row r="3757" spans="1:23" ht="12.3" hidden="1" x14ac:dyDescent="0.4">
      <c r="A3757" s="2" t="s">
        <v>54</v>
      </c>
      <c r="B3757" s="2"/>
      <c r="C3757" s="2"/>
      <c r="D3757" s="2"/>
      <c r="E3757" s="2"/>
      <c r="F3757" s="2"/>
      <c r="G3757" s="2"/>
      <c r="H3757" s="2"/>
      <c r="I3757" s="2"/>
      <c r="J3757" s="2">
        <v>223</v>
      </c>
      <c r="K3757" s="2">
        <v>65.434100000000001</v>
      </c>
      <c r="L3757" s="2">
        <v>191</v>
      </c>
      <c r="M3757" s="2">
        <v>103.7974</v>
      </c>
      <c r="N3757" s="2">
        <v>107</v>
      </c>
      <c r="O3757" s="2">
        <v>107.3912</v>
      </c>
      <c r="P3757" s="2">
        <v>58</v>
      </c>
      <c r="Q3757" s="2">
        <v>97.261600000000001</v>
      </c>
      <c r="R3757" s="2">
        <v>93</v>
      </c>
      <c r="S3757" s="2">
        <v>95.048599999999993</v>
      </c>
      <c r="T3757" s="2">
        <v>62</v>
      </c>
      <c r="U3757" s="2">
        <v>0.80282299999999995</v>
      </c>
      <c r="V3757" s="2">
        <v>54</v>
      </c>
      <c r="W3757" s="2">
        <v>2013</v>
      </c>
    </row>
    <row r="3758" spans="1:23" ht="12.3" hidden="1" x14ac:dyDescent="0.4">
      <c r="A3758" s="2" t="s">
        <v>36</v>
      </c>
      <c r="B3758" s="2"/>
      <c r="C3758" s="2"/>
      <c r="D3758" s="2"/>
      <c r="E3758" s="2"/>
      <c r="F3758" s="2"/>
      <c r="G3758" s="2"/>
      <c r="H3758" s="2"/>
      <c r="I3758" s="2"/>
      <c r="J3758" s="2">
        <v>97</v>
      </c>
      <c r="K3758" s="2">
        <v>67.484899999999996</v>
      </c>
      <c r="L3758" s="2">
        <v>100</v>
      </c>
      <c r="M3758" s="2">
        <v>104.9978</v>
      </c>
      <c r="N3758" s="2">
        <v>92</v>
      </c>
      <c r="O3758" s="2">
        <v>104.4483</v>
      </c>
      <c r="P3758" s="2">
        <v>103</v>
      </c>
      <c r="Q3758" s="2">
        <v>94.637</v>
      </c>
      <c r="R3758" s="2">
        <v>50</v>
      </c>
      <c r="S3758" s="2">
        <v>92.921599999999998</v>
      </c>
      <c r="T3758" s="2">
        <v>35</v>
      </c>
      <c r="U3758" s="2">
        <v>0.79327300000000001</v>
      </c>
      <c r="V3758" s="2">
        <v>55</v>
      </c>
      <c r="W3758" s="2">
        <v>2013</v>
      </c>
    </row>
    <row r="3759" spans="1:23" ht="12.3" hidden="1" x14ac:dyDescent="0.4">
      <c r="A3759" s="2" t="s">
        <v>336</v>
      </c>
      <c r="B3759" s="2"/>
      <c r="C3759" s="2"/>
      <c r="D3759" s="2"/>
      <c r="E3759" s="2"/>
      <c r="F3759" s="2"/>
      <c r="G3759" s="2"/>
      <c r="H3759" s="2"/>
      <c r="I3759" s="2"/>
      <c r="J3759" s="2">
        <v>253</v>
      </c>
      <c r="K3759" s="2">
        <v>64.277000000000001</v>
      </c>
      <c r="L3759" s="2">
        <v>251</v>
      </c>
      <c r="M3759" s="2">
        <v>105.0624</v>
      </c>
      <c r="N3759" s="2">
        <v>90</v>
      </c>
      <c r="O3759" s="2">
        <v>105.3686</v>
      </c>
      <c r="P3759" s="2">
        <v>83</v>
      </c>
      <c r="Q3759" s="2">
        <v>89.053899999999999</v>
      </c>
      <c r="R3759" s="2">
        <v>8</v>
      </c>
      <c r="S3759" s="2">
        <v>93.766199999999998</v>
      </c>
      <c r="T3759" s="2">
        <v>40</v>
      </c>
      <c r="U3759" s="2">
        <v>0.79275300000000004</v>
      </c>
      <c r="V3759" s="2">
        <v>56</v>
      </c>
      <c r="W3759" s="2">
        <v>2013</v>
      </c>
    </row>
    <row r="3760" spans="1:23" ht="12.3" x14ac:dyDescent="0.4">
      <c r="A3760" s="2" t="s">
        <v>122</v>
      </c>
      <c r="B3760" s="2">
        <v>12</v>
      </c>
      <c r="C3760" s="3"/>
      <c r="D3760" s="3"/>
      <c r="E3760" s="4"/>
      <c r="F3760" s="4"/>
      <c r="G3760" s="4"/>
      <c r="H3760" s="4"/>
      <c r="I3760" s="2">
        <v>71.342100000000002</v>
      </c>
      <c r="J3760" s="2">
        <v>62</v>
      </c>
      <c r="K3760" s="2">
        <v>73.054500000000004</v>
      </c>
      <c r="L3760" s="2">
        <v>22</v>
      </c>
      <c r="M3760" s="2">
        <v>108.09229999999999</v>
      </c>
      <c r="N3760" s="2">
        <v>43</v>
      </c>
      <c r="O3760" s="2">
        <v>107.3201</v>
      </c>
      <c r="P3760" s="2">
        <v>63</v>
      </c>
      <c r="Q3760" s="2">
        <v>97.882599999999996</v>
      </c>
      <c r="R3760" s="2">
        <v>86</v>
      </c>
      <c r="S3760" s="2">
        <v>95.573700000000002</v>
      </c>
      <c r="T3760" s="2">
        <v>59</v>
      </c>
      <c r="U3760" s="2">
        <v>0.79134599999999999</v>
      </c>
      <c r="V3760" s="2">
        <v>48</v>
      </c>
      <c r="W3760" s="2">
        <v>2003</v>
      </c>
    </row>
    <row r="3761" spans="1:23" ht="12.3" hidden="1" x14ac:dyDescent="0.4">
      <c r="A3761" s="2" t="s">
        <v>175</v>
      </c>
      <c r="B3761" s="2"/>
      <c r="C3761" s="2"/>
      <c r="D3761" s="2"/>
      <c r="E3761" s="2"/>
      <c r="F3761" s="2"/>
      <c r="G3761" s="2"/>
      <c r="H3761" s="2"/>
      <c r="I3761" s="2"/>
      <c r="J3761" s="2">
        <v>201</v>
      </c>
      <c r="K3761" s="2">
        <v>64.806600000000003</v>
      </c>
      <c r="L3761" s="2">
        <v>225</v>
      </c>
      <c r="M3761" s="2">
        <v>108.5616</v>
      </c>
      <c r="N3761" s="2">
        <v>33</v>
      </c>
      <c r="O3761" s="2">
        <v>109.6391</v>
      </c>
      <c r="P3761" s="2">
        <v>38</v>
      </c>
      <c r="Q3761" s="2">
        <v>96.149100000000004</v>
      </c>
      <c r="R3761" s="2">
        <v>74</v>
      </c>
      <c r="S3761" s="2">
        <v>98.072199999999995</v>
      </c>
      <c r="T3761" s="2">
        <v>111</v>
      </c>
      <c r="U3761" s="2">
        <v>0.78281199999999995</v>
      </c>
      <c r="V3761" s="2">
        <v>58</v>
      </c>
      <c r="W3761" s="2">
        <v>2013</v>
      </c>
    </row>
    <row r="3762" spans="1:23" ht="12.3" x14ac:dyDescent="0.4">
      <c r="A3762" s="2" t="s">
        <v>55</v>
      </c>
      <c r="B3762" s="2">
        <v>9</v>
      </c>
      <c r="C3762" s="3"/>
      <c r="D3762" s="4"/>
      <c r="E3762" s="4"/>
      <c r="F3762" s="4"/>
      <c r="G3762" s="4"/>
      <c r="H3762" s="4"/>
      <c r="I3762" s="2">
        <v>66.994</v>
      </c>
      <c r="J3762" s="2">
        <v>237</v>
      </c>
      <c r="K3762" s="2">
        <v>66.267600000000002</v>
      </c>
      <c r="L3762" s="2">
        <v>265</v>
      </c>
      <c r="M3762" s="2">
        <v>107.5849</v>
      </c>
      <c r="N3762" s="2">
        <v>50</v>
      </c>
      <c r="O3762" s="2">
        <v>110.1397</v>
      </c>
      <c r="P3762" s="2">
        <v>32</v>
      </c>
      <c r="Q3762" s="2">
        <v>101.09990000000001</v>
      </c>
      <c r="R3762" s="2">
        <v>171</v>
      </c>
      <c r="S3762" s="2">
        <v>98.209400000000002</v>
      </c>
      <c r="T3762" s="2">
        <v>100</v>
      </c>
      <c r="U3762" s="2">
        <v>0.78892399999999996</v>
      </c>
      <c r="V3762" s="2">
        <v>49</v>
      </c>
      <c r="W3762" s="2">
        <v>2003</v>
      </c>
    </row>
    <row r="3763" spans="1:23" ht="12.3" x14ac:dyDescent="0.4">
      <c r="A3763" s="2" t="s">
        <v>68</v>
      </c>
      <c r="B3763" s="2">
        <v>13</v>
      </c>
      <c r="C3763" s="3"/>
      <c r="D3763" s="4"/>
      <c r="E3763" s="4"/>
      <c r="F3763" s="4"/>
      <c r="G3763" s="4"/>
      <c r="H3763" s="4"/>
      <c r="I3763" s="2">
        <v>68.515500000000003</v>
      </c>
      <c r="J3763" s="2">
        <v>165</v>
      </c>
      <c r="K3763" s="2">
        <v>69.1952</v>
      </c>
      <c r="L3763" s="2">
        <v>132</v>
      </c>
      <c r="M3763" s="2">
        <v>106.211</v>
      </c>
      <c r="N3763" s="2">
        <v>63</v>
      </c>
      <c r="O3763" s="2">
        <v>106.6789</v>
      </c>
      <c r="P3763" s="2">
        <v>67</v>
      </c>
      <c r="Q3763" s="2">
        <v>95.870400000000004</v>
      </c>
      <c r="R3763" s="2">
        <v>47</v>
      </c>
      <c r="S3763" s="2">
        <v>95.462999999999994</v>
      </c>
      <c r="T3763" s="2">
        <v>54</v>
      </c>
      <c r="U3763" s="2">
        <v>0.78201900000000002</v>
      </c>
      <c r="V3763" s="2">
        <v>51</v>
      </c>
      <c r="W3763" s="2">
        <v>2003</v>
      </c>
    </row>
    <row r="3764" spans="1:23" ht="12.3" x14ac:dyDescent="0.4">
      <c r="A3764" s="2" t="s">
        <v>113</v>
      </c>
      <c r="B3764" s="2">
        <v>10</v>
      </c>
      <c r="C3764" s="4" t="s">
        <v>33</v>
      </c>
      <c r="D3764" s="4"/>
      <c r="E3764" s="4"/>
      <c r="F3764" s="4"/>
      <c r="G3764" s="4"/>
      <c r="H3764" s="4"/>
      <c r="I3764" s="2">
        <v>68.055000000000007</v>
      </c>
      <c r="J3764" s="2">
        <v>188</v>
      </c>
      <c r="K3764" s="2">
        <v>68.1404</v>
      </c>
      <c r="L3764" s="2">
        <v>180</v>
      </c>
      <c r="M3764" s="2">
        <v>102.5367</v>
      </c>
      <c r="N3764" s="2">
        <v>136</v>
      </c>
      <c r="O3764" s="2">
        <v>104.4508</v>
      </c>
      <c r="P3764" s="2">
        <v>102</v>
      </c>
      <c r="Q3764" s="2">
        <v>96.688500000000005</v>
      </c>
      <c r="R3764" s="2">
        <v>59</v>
      </c>
      <c r="S3764" s="2">
        <v>93.779799999999994</v>
      </c>
      <c r="T3764" s="2">
        <v>26</v>
      </c>
      <c r="U3764" s="2">
        <v>0.77544599999999997</v>
      </c>
      <c r="V3764" s="2">
        <v>52</v>
      </c>
      <c r="W3764" s="2">
        <v>2003</v>
      </c>
    </row>
    <row r="3765" spans="1:23" ht="12.3" hidden="1" x14ac:dyDescent="0.4">
      <c r="A3765" s="2" t="s">
        <v>45</v>
      </c>
      <c r="B3765" s="2"/>
      <c r="C3765" s="2"/>
      <c r="D3765" s="2"/>
      <c r="E3765" s="2"/>
      <c r="F3765" s="2"/>
      <c r="G3765" s="2"/>
      <c r="H3765" s="2"/>
      <c r="I3765" s="2"/>
      <c r="J3765" s="2">
        <v>114</v>
      </c>
      <c r="K3765" s="2">
        <v>67.338099999999997</v>
      </c>
      <c r="L3765" s="2">
        <v>105</v>
      </c>
      <c r="M3765" s="2">
        <v>107.38679999999999</v>
      </c>
      <c r="N3765" s="2">
        <v>49</v>
      </c>
      <c r="O3765" s="2">
        <v>108.97239999999999</v>
      </c>
      <c r="P3765" s="2">
        <v>42</v>
      </c>
      <c r="Q3765" s="2">
        <v>96.418099999999995</v>
      </c>
      <c r="R3765" s="2">
        <v>77</v>
      </c>
      <c r="S3765" s="2">
        <v>98.665899999999993</v>
      </c>
      <c r="T3765" s="2">
        <v>122</v>
      </c>
      <c r="U3765" s="2">
        <v>0.75815500000000002</v>
      </c>
      <c r="V3765" s="2">
        <v>62</v>
      </c>
      <c r="W3765" s="2">
        <v>2013</v>
      </c>
    </row>
    <row r="3766" spans="1:23" ht="12.3" hidden="1" x14ac:dyDescent="0.4">
      <c r="A3766" s="2" t="s">
        <v>282</v>
      </c>
      <c r="B3766" s="2"/>
      <c r="C3766" s="2"/>
      <c r="D3766" s="2"/>
      <c r="E3766" s="2"/>
      <c r="F3766" s="2"/>
      <c r="G3766" s="2"/>
      <c r="H3766" s="2"/>
      <c r="I3766" s="2"/>
      <c r="J3766" s="2">
        <v>317</v>
      </c>
      <c r="K3766" s="2">
        <v>60.661200000000001</v>
      </c>
      <c r="L3766" s="2">
        <v>335</v>
      </c>
      <c r="M3766" s="2">
        <v>102.19450000000001</v>
      </c>
      <c r="N3766" s="2">
        <v>143</v>
      </c>
      <c r="O3766" s="2">
        <v>98.247600000000006</v>
      </c>
      <c r="P3766" s="2">
        <v>222</v>
      </c>
      <c r="Q3766" s="2">
        <v>83.877899999999997</v>
      </c>
      <c r="R3766" s="2">
        <v>1</v>
      </c>
      <c r="S3766" s="2">
        <v>88.974299999999999</v>
      </c>
      <c r="T3766" s="2">
        <v>8</v>
      </c>
      <c r="U3766" s="2">
        <v>0.75770700000000002</v>
      </c>
      <c r="V3766" s="2">
        <v>63</v>
      </c>
      <c r="W3766" s="2">
        <v>2013</v>
      </c>
    </row>
    <row r="3767" spans="1:23" ht="12.3" hidden="1" x14ac:dyDescent="0.4">
      <c r="A3767" s="2" t="s">
        <v>49</v>
      </c>
      <c r="B3767" s="2"/>
      <c r="C3767" s="2"/>
      <c r="D3767" s="2"/>
      <c r="E3767" s="2"/>
      <c r="F3767" s="2"/>
      <c r="G3767" s="2"/>
      <c r="H3767" s="2"/>
      <c r="I3767" s="2"/>
      <c r="J3767" s="2">
        <v>312</v>
      </c>
      <c r="K3767" s="2">
        <v>61.636099999999999</v>
      </c>
      <c r="L3767" s="2">
        <v>319</v>
      </c>
      <c r="M3767" s="2">
        <v>99.407499999999999</v>
      </c>
      <c r="N3767" s="2">
        <v>190</v>
      </c>
      <c r="O3767" s="2">
        <v>101.80540000000001</v>
      </c>
      <c r="P3767" s="2">
        <v>148</v>
      </c>
      <c r="Q3767" s="2">
        <v>94.253100000000003</v>
      </c>
      <c r="R3767" s="2">
        <v>46</v>
      </c>
      <c r="S3767" s="2">
        <v>92.269599999999997</v>
      </c>
      <c r="T3767" s="2">
        <v>28</v>
      </c>
      <c r="U3767" s="2">
        <v>0.75602499999999995</v>
      </c>
      <c r="V3767" s="2">
        <v>64</v>
      </c>
      <c r="W3767" s="2">
        <v>2013</v>
      </c>
    </row>
    <row r="3768" spans="1:23" ht="12.3" x14ac:dyDescent="0.4">
      <c r="A3768" s="2" t="s">
        <v>82</v>
      </c>
      <c r="B3768" s="2">
        <v>11</v>
      </c>
      <c r="C3768" s="4"/>
      <c r="D3768" s="4"/>
      <c r="E3768" s="4"/>
      <c r="F3768" s="4"/>
      <c r="G3768" s="4"/>
      <c r="H3768" s="4"/>
      <c r="I3768" s="2">
        <v>67.913899999999998</v>
      </c>
      <c r="J3768" s="2">
        <v>195</v>
      </c>
      <c r="K3768" s="2">
        <v>68.507099999999994</v>
      </c>
      <c r="L3768" s="2">
        <v>161</v>
      </c>
      <c r="M3768" s="2">
        <v>109.01</v>
      </c>
      <c r="N3768" s="2">
        <v>32</v>
      </c>
      <c r="O3768" s="2">
        <v>109.44240000000001</v>
      </c>
      <c r="P3768" s="2">
        <v>39</v>
      </c>
      <c r="Q3768" s="2">
        <v>99.468000000000004</v>
      </c>
      <c r="R3768" s="2">
        <v>134</v>
      </c>
      <c r="S3768" s="2">
        <v>98.739400000000003</v>
      </c>
      <c r="T3768" s="2">
        <v>112</v>
      </c>
      <c r="U3768" s="2">
        <v>0.76557900000000001</v>
      </c>
      <c r="V3768" s="2">
        <v>54</v>
      </c>
      <c r="W3768" s="2">
        <v>2003</v>
      </c>
    </row>
    <row r="3769" spans="1:23" ht="12.3" hidden="1" x14ac:dyDescent="0.4">
      <c r="A3769" s="2" t="s">
        <v>81</v>
      </c>
      <c r="B3769" s="2"/>
      <c r="C3769" s="2"/>
      <c r="D3769" s="2"/>
      <c r="E3769" s="2"/>
      <c r="F3769" s="2"/>
      <c r="G3769" s="2"/>
      <c r="H3769" s="2"/>
      <c r="I3769" s="2"/>
      <c r="J3769" s="2">
        <v>283</v>
      </c>
      <c r="K3769" s="2">
        <v>63.500900000000001</v>
      </c>
      <c r="L3769" s="2">
        <v>274</v>
      </c>
      <c r="M3769" s="2">
        <v>103.08799999999999</v>
      </c>
      <c r="N3769" s="2">
        <v>124</v>
      </c>
      <c r="O3769" s="2">
        <v>106.9592</v>
      </c>
      <c r="P3769" s="2">
        <v>63</v>
      </c>
      <c r="Q3769" s="2">
        <v>97.8506</v>
      </c>
      <c r="R3769" s="2">
        <v>109</v>
      </c>
      <c r="S3769" s="2">
        <v>97.138599999999997</v>
      </c>
      <c r="T3769" s="2">
        <v>95</v>
      </c>
      <c r="U3769" s="2">
        <v>0.75167099999999998</v>
      </c>
      <c r="V3769" s="2">
        <v>66</v>
      </c>
      <c r="W3769" s="2">
        <v>2013</v>
      </c>
    </row>
    <row r="3770" spans="1:23" ht="12.3" hidden="1" x14ac:dyDescent="0.4">
      <c r="A3770" s="2" t="s">
        <v>121</v>
      </c>
      <c r="B3770" s="2"/>
      <c r="C3770" s="2"/>
      <c r="D3770" s="2"/>
      <c r="E3770" s="2"/>
      <c r="F3770" s="2"/>
      <c r="G3770" s="2"/>
      <c r="H3770" s="2"/>
      <c r="I3770" s="2"/>
      <c r="J3770" s="2">
        <v>200</v>
      </c>
      <c r="K3770" s="2">
        <v>66.386099999999999</v>
      </c>
      <c r="L3770" s="2">
        <v>151</v>
      </c>
      <c r="M3770" s="2">
        <v>98.972200000000001</v>
      </c>
      <c r="N3770" s="2">
        <v>200</v>
      </c>
      <c r="O3770" s="2">
        <v>104.0604</v>
      </c>
      <c r="P3770" s="2">
        <v>111</v>
      </c>
      <c r="Q3770" s="2">
        <v>97.448400000000007</v>
      </c>
      <c r="R3770" s="2">
        <v>98</v>
      </c>
      <c r="S3770" s="2">
        <v>94.616500000000002</v>
      </c>
      <c r="T3770" s="2">
        <v>52</v>
      </c>
      <c r="U3770" s="2">
        <v>0.74915399999999999</v>
      </c>
      <c r="V3770" s="2">
        <v>67</v>
      </c>
      <c r="W3770" s="2">
        <v>2013</v>
      </c>
    </row>
    <row r="3771" spans="1:23" ht="12.3" hidden="1" x14ac:dyDescent="0.4">
      <c r="A3771" s="2" t="s">
        <v>120</v>
      </c>
      <c r="B3771" s="2"/>
      <c r="C3771" s="2"/>
      <c r="D3771" s="2"/>
      <c r="E3771" s="2"/>
      <c r="F3771" s="2"/>
      <c r="G3771" s="2"/>
      <c r="H3771" s="2"/>
      <c r="I3771" s="2"/>
      <c r="J3771" s="2">
        <v>180</v>
      </c>
      <c r="K3771" s="2">
        <v>66.405100000000004</v>
      </c>
      <c r="L3771" s="2">
        <v>148</v>
      </c>
      <c r="M3771" s="2">
        <v>100.9349</v>
      </c>
      <c r="N3771" s="2">
        <v>167</v>
      </c>
      <c r="O3771" s="2">
        <v>104.4376</v>
      </c>
      <c r="P3771" s="2">
        <v>104</v>
      </c>
      <c r="Q3771" s="2">
        <v>96.561800000000005</v>
      </c>
      <c r="R3771" s="2">
        <v>78</v>
      </c>
      <c r="S3771" s="2">
        <v>94.995699999999999</v>
      </c>
      <c r="T3771" s="2">
        <v>61</v>
      </c>
      <c r="U3771" s="2">
        <v>0.74832699999999996</v>
      </c>
      <c r="V3771" s="2">
        <v>68</v>
      </c>
      <c r="W3771" s="2">
        <v>2013</v>
      </c>
    </row>
    <row r="3772" spans="1:23" ht="12.3" hidden="1" x14ac:dyDescent="0.4">
      <c r="A3772" s="2" t="s">
        <v>64</v>
      </c>
      <c r="B3772" s="2"/>
      <c r="C3772" s="2"/>
      <c r="D3772" s="2"/>
      <c r="E3772" s="2"/>
      <c r="F3772" s="2"/>
      <c r="G3772" s="2"/>
      <c r="H3772" s="2"/>
      <c r="I3772" s="2"/>
      <c r="J3772" s="2">
        <v>155</v>
      </c>
      <c r="K3772" s="2">
        <v>65.964200000000005</v>
      </c>
      <c r="L3772" s="2">
        <v>168</v>
      </c>
      <c r="M3772" s="2">
        <v>107.78570000000001</v>
      </c>
      <c r="N3772" s="2">
        <v>40</v>
      </c>
      <c r="O3772" s="2">
        <v>110.7886</v>
      </c>
      <c r="P3772" s="2">
        <v>29</v>
      </c>
      <c r="Q3772" s="2">
        <v>100.0686</v>
      </c>
      <c r="R3772" s="2">
        <v>157</v>
      </c>
      <c r="S3772" s="2">
        <v>100.782</v>
      </c>
      <c r="T3772" s="2">
        <v>165</v>
      </c>
      <c r="U3772" s="2">
        <v>0.74812400000000001</v>
      </c>
      <c r="V3772" s="2">
        <v>69</v>
      </c>
      <c r="W3772" s="2">
        <v>2013</v>
      </c>
    </row>
    <row r="3773" spans="1:23" ht="12.3" hidden="1" x14ac:dyDescent="0.4">
      <c r="A3773" s="2" t="s">
        <v>216</v>
      </c>
      <c r="B3773" s="2"/>
      <c r="C3773" s="2"/>
      <c r="D3773" s="2"/>
      <c r="E3773" s="2"/>
      <c r="F3773" s="2"/>
      <c r="G3773" s="2"/>
      <c r="H3773" s="2"/>
      <c r="I3773" s="2"/>
      <c r="J3773" s="2">
        <v>292</v>
      </c>
      <c r="K3773" s="2">
        <v>62.680500000000002</v>
      </c>
      <c r="L3773" s="2">
        <v>294</v>
      </c>
      <c r="M3773" s="2">
        <v>101.48990000000001</v>
      </c>
      <c r="N3773" s="2">
        <v>160</v>
      </c>
      <c r="O3773" s="2">
        <v>103.62609999999999</v>
      </c>
      <c r="P3773" s="2">
        <v>120</v>
      </c>
      <c r="Q3773" s="2">
        <v>97.264799999999994</v>
      </c>
      <c r="R3773" s="2">
        <v>94</v>
      </c>
      <c r="S3773" s="2">
        <v>94.575599999999994</v>
      </c>
      <c r="T3773" s="2">
        <v>51</v>
      </c>
      <c r="U3773" s="2">
        <v>0.74096200000000001</v>
      </c>
      <c r="V3773" s="2">
        <v>70</v>
      </c>
      <c r="W3773" s="2">
        <v>2013</v>
      </c>
    </row>
    <row r="3774" spans="1:23" ht="12.3" hidden="1" x14ac:dyDescent="0.4">
      <c r="A3774" s="2" t="s">
        <v>132</v>
      </c>
      <c r="B3774" s="2"/>
      <c r="C3774" s="2"/>
      <c r="D3774" s="2"/>
      <c r="E3774" s="2"/>
      <c r="F3774" s="2"/>
      <c r="G3774" s="2"/>
      <c r="H3774" s="2"/>
      <c r="I3774" s="2"/>
      <c r="J3774" s="2">
        <v>32</v>
      </c>
      <c r="K3774" s="2">
        <v>70.346699999999998</v>
      </c>
      <c r="L3774" s="2">
        <v>22</v>
      </c>
      <c r="M3774" s="2">
        <v>110.07080000000001</v>
      </c>
      <c r="N3774" s="2">
        <v>23</v>
      </c>
      <c r="O3774" s="2">
        <v>111.8206</v>
      </c>
      <c r="P3774" s="2">
        <v>20</v>
      </c>
      <c r="Q3774" s="2">
        <v>102.27419999999999</v>
      </c>
      <c r="R3774" s="2">
        <v>204</v>
      </c>
      <c r="S3774" s="2">
        <v>102.5591</v>
      </c>
      <c r="T3774" s="2">
        <v>207</v>
      </c>
      <c r="U3774" s="2">
        <v>0.72992699999999999</v>
      </c>
      <c r="V3774" s="2">
        <v>71</v>
      </c>
      <c r="W3774" s="2">
        <v>2013</v>
      </c>
    </row>
    <row r="3775" spans="1:23" ht="12.3" hidden="1" x14ac:dyDescent="0.4">
      <c r="A3775" s="2" t="s">
        <v>96</v>
      </c>
      <c r="B3775" s="2"/>
      <c r="C3775" s="2"/>
      <c r="D3775" s="2"/>
      <c r="E3775" s="2"/>
      <c r="F3775" s="2"/>
      <c r="G3775" s="2"/>
      <c r="H3775" s="2"/>
      <c r="I3775" s="2"/>
      <c r="J3775" s="2">
        <v>13</v>
      </c>
      <c r="K3775" s="2">
        <v>71.298699999999997</v>
      </c>
      <c r="L3775" s="2">
        <v>7</v>
      </c>
      <c r="M3775" s="2">
        <v>106.8853</v>
      </c>
      <c r="N3775" s="2">
        <v>58</v>
      </c>
      <c r="O3775" s="2">
        <v>106.04049999999999</v>
      </c>
      <c r="P3775" s="2">
        <v>73</v>
      </c>
      <c r="Q3775" s="2">
        <v>97.985699999999994</v>
      </c>
      <c r="R3775" s="2">
        <v>113</v>
      </c>
      <c r="S3775" s="2">
        <v>97.3095</v>
      </c>
      <c r="T3775" s="2">
        <v>101</v>
      </c>
      <c r="U3775" s="2">
        <v>0.72871900000000001</v>
      </c>
      <c r="V3775" s="2">
        <v>72</v>
      </c>
      <c r="W3775" s="2">
        <v>2013</v>
      </c>
    </row>
    <row r="3776" spans="1:23" ht="12.3" hidden="1" x14ac:dyDescent="0.4">
      <c r="A3776" s="2" t="s">
        <v>164</v>
      </c>
      <c r="B3776" s="2"/>
      <c r="C3776" s="2"/>
      <c r="D3776" s="2"/>
      <c r="E3776" s="2"/>
      <c r="F3776" s="2"/>
      <c r="G3776" s="2"/>
      <c r="H3776" s="2"/>
      <c r="I3776" s="2"/>
      <c r="J3776" s="2">
        <v>42</v>
      </c>
      <c r="K3776" s="2">
        <v>70.332300000000004</v>
      </c>
      <c r="L3776" s="2">
        <v>23</v>
      </c>
      <c r="M3776" s="2">
        <v>106.8999</v>
      </c>
      <c r="N3776" s="2">
        <v>57</v>
      </c>
      <c r="O3776" s="2">
        <v>106.4085</v>
      </c>
      <c r="P3776" s="2">
        <v>68</v>
      </c>
      <c r="Q3776" s="2">
        <v>98.325500000000005</v>
      </c>
      <c r="R3776" s="2">
        <v>123</v>
      </c>
      <c r="S3776" s="2">
        <v>97.7286</v>
      </c>
      <c r="T3776" s="2">
        <v>107</v>
      </c>
      <c r="U3776" s="2">
        <v>0.72682000000000002</v>
      </c>
      <c r="V3776" s="2">
        <v>73</v>
      </c>
      <c r="W3776" s="2">
        <v>2013</v>
      </c>
    </row>
    <row r="3777" spans="1:23" ht="12.3" x14ac:dyDescent="0.4">
      <c r="A3777" s="2" t="s">
        <v>178</v>
      </c>
      <c r="B3777" s="2">
        <v>14</v>
      </c>
      <c r="C3777" s="4"/>
      <c r="D3777" s="4"/>
      <c r="E3777" s="4"/>
      <c r="F3777" s="4"/>
      <c r="G3777" s="4"/>
      <c r="H3777" s="4"/>
      <c r="I3777" s="2">
        <v>65.596100000000007</v>
      </c>
      <c r="J3777" s="2">
        <v>275</v>
      </c>
      <c r="K3777" s="2">
        <v>66.593900000000005</v>
      </c>
      <c r="L3777" s="2">
        <v>253</v>
      </c>
      <c r="M3777" s="2">
        <v>105.81529999999999</v>
      </c>
      <c r="N3777" s="2">
        <v>74</v>
      </c>
      <c r="O3777" s="2">
        <v>104.47750000000001</v>
      </c>
      <c r="P3777" s="2">
        <v>100</v>
      </c>
      <c r="Q3777" s="2">
        <v>88.366500000000002</v>
      </c>
      <c r="R3777" s="2">
        <v>2</v>
      </c>
      <c r="S3777" s="2">
        <v>94.290999999999997</v>
      </c>
      <c r="T3777" s="2">
        <v>39</v>
      </c>
      <c r="U3777" s="2">
        <v>0.76490100000000005</v>
      </c>
      <c r="V3777" s="2">
        <v>55</v>
      </c>
      <c r="W3777" s="2">
        <v>2003</v>
      </c>
    </row>
    <row r="3778" spans="1:23" ht="12.3" hidden="1" x14ac:dyDescent="0.4">
      <c r="A3778" s="2" t="s">
        <v>50</v>
      </c>
      <c r="B3778" s="2"/>
      <c r="C3778" s="2"/>
      <c r="D3778" s="2"/>
      <c r="E3778" s="2"/>
      <c r="F3778" s="2"/>
      <c r="G3778" s="2"/>
      <c r="H3778" s="2"/>
      <c r="I3778" s="2"/>
      <c r="J3778" s="2">
        <v>285</v>
      </c>
      <c r="K3778" s="2">
        <v>63.297699999999999</v>
      </c>
      <c r="L3778" s="2">
        <v>280</v>
      </c>
      <c r="M3778" s="2">
        <v>102.6557</v>
      </c>
      <c r="N3778" s="2">
        <v>130</v>
      </c>
      <c r="O3778" s="2">
        <v>103.2261</v>
      </c>
      <c r="P3778" s="2">
        <v>129</v>
      </c>
      <c r="Q3778" s="2">
        <v>98.437200000000004</v>
      </c>
      <c r="R3778" s="2">
        <v>129</v>
      </c>
      <c r="S3778" s="2">
        <v>95.129000000000005</v>
      </c>
      <c r="T3778" s="2">
        <v>63</v>
      </c>
      <c r="U3778" s="2">
        <v>0.71898099999999998</v>
      </c>
      <c r="V3778" s="2">
        <v>75</v>
      </c>
      <c r="W3778" s="2">
        <v>2013</v>
      </c>
    </row>
    <row r="3779" spans="1:23" ht="12.3" hidden="1" x14ac:dyDescent="0.4">
      <c r="A3779" s="2" t="s">
        <v>99</v>
      </c>
      <c r="B3779" s="2"/>
      <c r="C3779" s="2"/>
      <c r="D3779" s="2"/>
      <c r="E3779" s="2"/>
      <c r="F3779" s="2"/>
      <c r="G3779" s="2"/>
      <c r="H3779" s="2"/>
      <c r="I3779" s="2"/>
      <c r="J3779" s="2">
        <v>115</v>
      </c>
      <c r="K3779" s="2">
        <v>65.332300000000004</v>
      </c>
      <c r="L3779" s="2">
        <v>196</v>
      </c>
      <c r="M3779" s="2">
        <v>103.53189999999999</v>
      </c>
      <c r="N3779" s="2">
        <v>114</v>
      </c>
      <c r="O3779" s="2">
        <v>105.6918</v>
      </c>
      <c r="P3779" s="2">
        <v>79</v>
      </c>
      <c r="Q3779" s="2">
        <v>97.740300000000005</v>
      </c>
      <c r="R3779" s="2">
        <v>105</v>
      </c>
      <c r="S3779" s="2">
        <v>97.593500000000006</v>
      </c>
      <c r="T3779" s="2">
        <v>105</v>
      </c>
      <c r="U3779" s="2">
        <v>0.71437799999999996</v>
      </c>
      <c r="V3779" s="2">
        <v>76</v>
      </c>
      <c r="W3779" s="2">
        <v>2013</v>
      </c>
    </row>
    <row r="3780" spans="1:23" ht="12.3" hidden="1" x14ac:dyDescent="0.4">
      <c r="A3780" s="2" t="s">
        <v>360</v>
      </c>
      <c r="B3780" s="2"/>
      <c r="C3780" s="2"/>
      <c r="D3780" s="2"/>
      <c r="E3780" s="2"/>
      <c r="F3780" s="2"/>
      <c r="G3780" s="2"/>
      <c r="H3780" s="2"/>
      <c r="I3780" s="2"/>
      <c r="J3780" s="2">
        <v>333</v>
      </c>
      <c r="K3780" s="2">
        <v>60.857999999999997</v>
      </c>
      <c r="L3780" s="2">
        <v>331</v>
      </c>
      <c r="M3780" s="2">
        <v>107.7933</v>
      </c>
      <c r="N3780" s="2">
        <v>39</v>
      </c>
      <c r="O3780" s="2">
        <v>102.1139</v>
      </c>
      <c r="P3780" s="2">
        <v>144</v>
      </c>
      <c r="Q3780" s="2">
        <v>92.0792</v>
      </c>
      <c r="R3780" s="2">
        <v>28</v>
      </c>
      <c r="S3780" s="2">
        <v>94.385900000000007</v>
      </c>
      <c r="T3780" s="2">
        <v>47</v>
      </c>
      <c r="U3780" s="2">
        <v>0.71197900000000003</v>
      </c>
      <c r="V3780" s="2">
        <v>77</v>
      </c>
      <c r="W3780" s="2">
        <v>2013</v>
      </c>
    </row>
    <row r="3781" spans="1:23" ht="12.3" hidden="1" x14ac:dyDescent="0.4">
      <c r="A3781" s="2" t="s">
        <v>151</v>
      </c>
      <c r="B3781" s="2"/>
      <c r="C3781" s="2"/>
      <c r="D3781" s="2"/>
      <c r="E3781" s="2"/>
      <c r="F3781" s="2"/>
      <c r="G3781" s="2"/>
      <c r="H3781" s="2"/>
      <c r="I3781" s="2"/>
      <c r="J3781" s="2">
        <v>87</v>
      </c>
      <c r="K3781" s="2">
        <v>67.889399999999995</v>
      </c>
      <c r="L3781" s="2">
        <v>83</v>
      </c>
      <c r="M3781" s="2">
        <v>106.5119</v>
      </c>
      <c r="N3781" s="2">
        <v>66</v>
      </c>
      <c r="O3781" s="2">
        <v>104.0656</v>
      </c>
      <c r="P3781" s="2">
        <v>110</v>
      </c>
      <c r="Q3781" s="2">
        <v>94.150899999999993</v>
      </c>
      <c r="R3781" s="2">
        <v>44</v>
      </c>
      <c r="S3781" s="2">
        <v>96.237300000000005</v>
      </c>
      <c r="T3781" s="2">
        <v>80</v>
      </c>
      <c r="U3781" s="2">
        <v>0.71081499999999997</v>
      </c>
      <c r="V3781" s="2">
        <v>78</v>
      </c>
      <c r="W3781" s="2">
        <v>2013</v>
      </c>
    </row>
    <row r="3782" spans="1:23" ht="12.3" hidden="1" x14ac:dyDescent="0.4">
      <c r="A3782" s="2" t="s">
        <v>204</v>
      </c>
      <c r="B3782" s="2"/>
      <c r="C3782" s="2"/>
      <c r="D3782" s="2"/>
      <c r="E3782" s="2"/>
      <c r="F3782" s="2"/>
      <c r="G3782" s="2"/>
      <c r="H3782" s="2"/>
      <c r="I3782" s="2"/>
      <c r="J3782" s="2">
        <v>243</v>
      </c>
      <c r="K3782" s="2">
        <v>64.400700000000001</v>
      </c>
      <c r="L3782" s="2">
        <v>243</v>
      </c>
      <c r="M3782" s="2">
        <v>106.6559</v>
      </c>
      <c r="N3782" s="2">
        <v>63</v>
      </c>
      <c r="O3782" s="2">
        <v>111.6489</v>
      </c>
      <c r="P3782" s="2">
        <v>22</v>
      </c>
      <c r="Q3782" s="2">
        <v>105.7435</v>
      </c>
      <c r="R3782" s="2">
        <v>280</v>
      </c>
      <c r="S3782" s="2">
        <v>103.2503</v>
      </c>
      <c r="T3782" s="2">
        <v>216</v>
      </c>
      <c r="U3782" s="2">
        <v>0.71081300000000003</v>
      </c>
      <c r="V3782" s="2">
        <v>79</v>
      </c>
      <c r="W3782" s="2">
        <v>2013</v>
      </c>
    </row>
    <row r="3783" spans="1:23" ht="12.3" hidden="1" x14ac:dyDescent="0.4">
      <c r="A3783" s="2" t="s">
        <v>155</v>
      </c>
      <c r="B3783" s="2"/>
      <c r="C3783" s="2"/>
      <c r="D3783" s="2"/>
      <c r="E3783" s="2"/>
      <c r="F3783" s="2"/>
      <c r="G3783" s="2"/>
      <c r="H3783" s="2"/>
      <c r="I3783" s="2"/>
      <c r="J3783" s="2">
        <v>18</v>
      </c>
      <c r="K3783" s="2">
        <v>70.5989</v>
      </c>
      <c r="L3783" s="2">
        <v>18</v>
      </c>
      <c r="M3783" s="2">
        <v>103.5458</v>
      </c>
      <c r="N3783" s="2">
        <v>113</v>
      </c>
      <c r="O3783" s="2">
        <v>106.5967</v>
      </c>
      <c r="P3783" s="2">
        <v>66</v>
      </c>
      <c r="Q3783" s="2">
        <v>100.83320000000001</v>
      </c>
      <c r="R3783" s="2">
        <v>171</v>
      </c>
      <c r="S3783" s="2">
        <v>98.625</v>
      </c>
      <c r="T3783" s="2">
        <v>121</v>
      </c>
      <c r="U3783" s="2">
        <v>0.70968799999999999</v>
      </c>
      <c r="V3783" s="2">
        <v>80</v>
      </c>
      <c r="W3783" s="2">
        <v>2013</v>
      </c>
    </row>
    <row r="3784" spans="1:23" ht="12.3" hidden="1" x14ac:dyDescent="0.4">
      <c r="A3784" s="2" t="s">
        <v>91</v>
      </c>
      <c r="B3784" s="2"/>
      <c r="C3784" s="2"/>
      <c r="D3784" s="2"/>
      <c r="E3784" s="2"/>
      <c r="F3784" s="2"/>
      <c r="G3784" s="2"/>
      <c r="H3784" s="2"/>
      <c r="I3784" s="2"/>
      <c r="J3784" s="2">
        <v>284</v>
      </c>
      <c r="K3784" s="2">
        <v>62.881</v>
      </c>
      <c r="L3784" s="2">
        <v>291</v>
      </c>
      <c r="M3784" s="2">
        <v>105.5527</v>
      </c>
      <c r="N3784" s="2">
        <v>80</v>
      </c>
      <c r="O3784" s="2">
        <v>106.4776</v>
      </c>
      <c r="P3784" s="2">
        <v>67</v>
      </c>
      <c r="Q3784" s="2">
        <v>100.26560000000001</v>
      </c>
      <c r="R3784" s="2">
        <v>160</v>
      </c>
      <c r="S3784" s="2">
        <v>98.528199999999998</v>
      </c>
      <c r="T3784" s="2">
        <v>120</v>
      </c>
      <c r="U3784" s="2">
        <v>0.70936600000000005</v>
      </c>
      <c r="V3784" s="2">
        <v>81</v>
      </c>
      <c r="W3784" s="2">
        <v>2013</v>
      </c>
    </row>
    <row r="3785" spans="1:23" ht="12.3" hidden="1" x14ac:dyDescent="0.4">
      <c r="A3785" s="2" t="s">
        <v>292</v>
      </c>
      <c r="B3785" s="2"/>
      <c r="C3785" s="2"/>
      <c r="D3785" s="2"/>
      <c r="E3785" s="2"/>
      <c r="F3785" s="2"/>
      <c r="G3785" s="2"/>
      <c r="H3785" s="2"/>
      <c r="I3785" s="2"/>
      <c r="J3785" s="2">
        <v>229</v>
      </c>
      <c r="K3785" s="2">
        <v>65.718000000000004</v>
      </c>
      <c r="L3785" s="2">
        <v>180</v>
      </c>
      <c r="M3785" s="2">
        <v>102.2092</v>
      </c>
      <c r="N3785" s="2">
        <v>141</v>
      </c>
      <c r="O3785" s="2">
        <v>103.3715</v>
      </c>
      <c r="P3785" s="2">
        <v>125</v>
      </c>
      <c r="Q3785" s="2">
        <v>98.139600000000002</v>
      </c>
      <c r="R3785" s="2">
        <v>116</v>
      </c>
      <c r="S3785" s="2">
        <v>95.713499999999996</v>
      </c>
      <c r="T3785" s="2">
        <v>73</v>
      </c>
      <c r="U3785" s="2">
        <v>0.70788799999999996</v>
      </c>
      <c r="V3785" s="2">
        <v>82</v>
      </c>
      <c r="W3785" s="2">
        <v>2013</v>
      </c>
    </row>
    <row r="3786" spans="1:23" ht="12.3" hidden="1" x14ac:dyDescent="0.4">
      <c r="A3786" s="2" t="s">
        <v>131</v>
      </c>
      <c r="B3786" s="2"/>
      <c r="C3786" s="2"/>
      <c r="D3786" s="2"/>
      <c r="E3786" s="2"/>
      <c r="F3786" s="2"/>
      <c r="G3786" s="2"/>
      <c r="H3786" s="2"/>
      <c r="I3786" s="2"/>
      <c r="J3786" s="2">
        <v>184</v>
      </c>
      <c r="K3786" s="2">
        <v>65.477000000000004</v>
      </c>
      <c r="L3786" s="2">
        <v>189</v>
      </c>
      <c r="M3786" s="2">
        <v>102.0509</v>
      </c>
      <c r="N3786" s="2">
        <v>145</v>
      </c>
      <c r="O3786" s="2">
        <v>104.7072</v>
      </c>
      <c r="P3786" s="2">
        <v>99</v>
      </c>
      <c r="Q3786" s="2">
        <v>100.4306</v>
      </c>
      <c r="R3786" s="2">
        <v>165</v>
      </c>
      <c r="S3786" s="2">
        <v>96.963200000000001</v>
      </c>
      <c r="T3786" s="2">
        <v>93</v>
      </c>
      <c r="U3786" s="2">
        <v>0.707569</v>
      </c>
      <c r="V3786" s="2">
        <v>83</v>
      </c>
      <c r="W3786" s="2">
        <v>2013</v>
      </c>
    </row>
    <row r="3787" spans="1:23" ht="12.3" hidden="1" x14ac:dyDescent="0.4">
      <c r="A3787" s="2" t="s">
        <v>217</v>
      </c>
      <c r="B3787" s="2"/>
      <c r="C3787" s="2"/>
      <c r="D3787" s="2"/>
      <c r="E3787" s="2"/>
      <c r="F3787" s="2"/>
      <c r="G3787" s="2"/>
      <c r="H3787" s="2"/>
      <c r="I3787" s="2"/>
      <c r="J3787" s="2">
        <v>124</v>
      </c>
      <c r="K3787" s="2">
        <v>67.185100000000006</v>
      </c>
      <c r="L3787" s="2">
        <v>115</v>
      </c>
      <c r="M3787" s="2">
        <v>107.1434</v>
      </c>
      <c r="N3787" s="2">
        <v>52</v>
      </c>
      <c r="O3787" s="2">
        <v>107.59520000000001</v>
      </c>
      <c r="P3787" s="2">
        <v>56</v>
      </c>
      <c r="Q3787" s="2">
        <v>99.890299999999996</v>
      </c>
      <c r="R3787" s="2">
        <v>154</v>
      </c>
      <c r="S3787" s="2">
        <v>99.738399999999999</v>
      </c>
      <c r="T3787" s="2">
        <v>141</v>
      </c>
      <c r="U3787" s="2">
        <v>0.70515799999999995</v>
      </c>
      <c r="V3787" s="2">
        <v>84</v>
      </c>
      <c r="W3787" s="2">
        <v>2013</v>
      </c>
    </row>
    <row r="3788" spans="1:23" ht="12.3" hidden="1" x14ac:dyDescent="0.4">
      <c r="A3788" s="2" t="s">
        <v>80</v>
      </c>
      <c r="B3788" s="2"/>
      <c r="C3788" s="2"/>
      <c r="D3788" s="2"/>
      <c r="E3788" s="2"/>
      <c r="F3788" s="2"/>
      <c r="G3788" s="2"/>
      <c r="H3788" s="2"/>
      <c r="I3788" s="2"/>
      <c r="J3788" s="2">
        <v>22</v>
      </c>
      <c r="K3788" s="2">
        <v>71.037999999999997</v>
      </c>
      <c r="L3788" s="2">
        <v>9</v>
      </c>
      <c r="M3788" s="2">
        <v>103.17270000000001</v>
      </c>
      <c r="N3788" s="2">
        <v>121</v>
      </c>
      <c r="O3788" s="2">
        <v>103.2495</v>
      </c>
      <c r="P3788" s="2">
        <v>127</v>
      </c>
      <c r="Q3788" s="2">
        <v>97.164699999999996</v>
      </c>
      <c r="R3788" s="2">
        <v>90</v>
      </c>
      <c r="S3788" s="2">
        <v>95.904300000000006</v>
      </c>
      <c r="T3788" s="2">
        <v>75</v>
      </c>
      <c r="U3788" s="2">
        <v>0.70028900000000005</v>
      </c>
      <c r="V3788" s="2">
        <v>85</v>
      </c>
      <c r="W3788" s="2">
        <v>2013</v>
      </c>
    </row>
    <row r="3789" spans="1:23" ht="12.3" hidden="1" x14ac:dyDescent="0.4">
      <c r="A3789" s="2" t="s">
        <v>94</v>
      </c>
      <c r="B3789" s="2"/>
      <c r="C3789" s="2"/>
      <c r="D3789" s="2"/>
      <c r="E3789" s="2"/>
      <c r="F3789" s="2"/>
      <c r="G3789" s="2"/>
      <c r="H3789" s="2"/>
      <c r="I3789" s="2"/>
      <c r="J3789" s="2">
        <v>23</v>
      </c>
      <c r="K3789" s="2">
        <v>70.585899999999995</v>
      </c>
      <c r="L3789" s="2">
        <v>19</v>
      </c>
      <c r="M3789" s="2">
        <v>101.917</v>
      </c>
      <c r="N3789" s="2">
        <v>149</v>
      </c>
      <c r="O3789" s="2">
        <v>99.572599999999994</v>
      </c>
      <c r="P3789" s="2">
        <v>195</v>
      </c>
      <c r="Q3789" s="2">
        <v>90.683899999999994</v>
      </c>
      <c r="R3789" s="2">
        <v>14</v>
      </c>
      <c r="S3789" s="2">
        <v>92.667299999999997</v>
      </c>
      <c r="T3789" s="2">
        <v>31</v>
      </c>
      <c r="U3789" s="2">
        <v>0.69561700000000004</v>
      </c>
      <c r="V3789" s="2">
        <v>86</v>
      </c>
      <c r="W3789" s="2">
        <v>2013</v>
      </c>
    </row>
    <row r="3790" spans="1:23" ht="12.3" hidden="1" x14ac:dyDescent="0.4">
      <c r="A3790" s="2" t="s">
        <v>170</v>
      </c>
      <c r="B3790" s="2"/>
      <c r="C3790" s="2"/>
      <c r="D3790" s="2"/>
      <c r="E3790" s="2"/>
      <c r="F3790" s="2"/>
      <c r="G3790" s="2"/>
      <c r="H3790" s="2"/>
      <c r="I3790" s="2"/>
      <c r="J3790" s="2">
        <v>218</v>
      </c>
      <c r="K3790" s="2">
        <v>64.8215</v>
      </c>
      <c r="L3790" s="2">
        <v>222</v>
      </c>
      <c r="M3790" s="2">
        <v>111.5958</v>
      </c>
      <c r="N3790" s="2">
        <v>18</v>
      </c>
      <c r="O3790" s="2">
        <v>106.6241</v>
      </c>
      <c r="P3790" s="2">
        <v>65</v>
      </c>
      <c r="Q3790" s="2">
        <v>94.861699999999999</v>
      </c>
      <c r="R3790" s="2">
        <v>55</v>
      </c>
      <c r="S3790" s="2">
        <v>99.428299999999993</v>
      </c>
      <c r="T3790" s="2">
        <v>136</v>
      </c>
      <c r="U3790" s="2">
        <v>0.69073099999999998</v>
      </c>
      <c r="V3790" s="2">
        <v>87</v>
      </c>
      <c r="W3790" s="2">
        <v>2013</v>
      </c>
    </row>
    <row r="3791" spans="1:23" ht="12.3" hidden="1" x14ac:dyDescent="0.4">
      <c r="A3791" s="2" t="s">
        <v>176</v>
      </c>
      <c r="B3791" s="2"/>
      <c r="C3791" s="2"/>
      <c r="D3791" s="2"/>
      <c r="E3791" s="2"/>
      <c r="F3791" s="2"/>
      <c r="G3791" s="2"/>
      <c r="H3791" s="2"/>
      <c r="I3791" s="2"/>
      <c r="J3791" s="2">
        <v>341</v>
      </c>
      <c r="K3791" s="2">
        <v>60.8429</v>
      </c>
      <c r="L3791" s="2">
        <v>332</v>
      </c>
      <c r="M3791" s="2">
        <v>106.7184</v>
      </c>
      <c r="N3791" s="2">
        <v>60</v>
      </c>
      <c r="O3791" s="2">
        <v>107.0194</v>
      </c>
      <c r="P3791" s="2">
        <v>62</v>
      </c>
      <c r="Q3791" s="2">
        <v>98.363100000000003</v>
      </c>
      <c r="R3791" s="2">
        <v>125</v>
      </c>
      <c r="S3791" s="2">
        <v>99.844499999999996</v>
      </c>
      <c r="T3791" s="2">
        <v>142</v>
      </c>
      <c r="U3791" s="2">
        <v>0.68955900000000003</v>
      </c>
      <c r="V3791" s="2">
        <v>88</v>
      </c>
      <c r="W3791" s="2">
        <v>2013</v>
      </c>
    </row>
    <row r="3792" spans="1:23" ht="12.3" x14ac:dyDescent="0.4">
      <c r="A3792" s="2" t="s">
        <v>139</v>
      </c>
      <c r="B3792" s="2">
        <v>14</v>
      </c>
      <c r="C3792" s="4"/>
      <c r="D3792" s="4"/>
      <c r="E3792" s="4"/>
      <c r="F3792" s="4"/>
      <c r="G3792" s="4"/>
      <c r="H3792" s="4"/>
      <c r="I3792" s="2">
        <v>70.603399999999993</v>
      </c>
      <c r="J3792" s="2">
        <v>91</v>
      </c>
      <c r="K3792" s="2">
        <v>69.676299999999998</v>
      </c>
      <c r="L3792" s="2">
        <v>112</v>
      </c>
      <c r="M3792" s="2">
        <v>106.18770000000001</v>
      </c>
      <c r="N3792" s="2">
        <v>64</v>
      </c>
      <c r="O3792" s="2">
        <v>104.31270000000001</v>
      </c>
      <c r="P3792" s="2">
        <v>103</v>
      </c>
      <c r="Q3792" s="2">
        <v>93.9559</v>
      </c>
      <c r="R3792" s="2">
        <v>28</v>
      </c>
      <c r="S3792" s="2">
        <v>94.180499999999995</v>
      </c>
      <c r="T3792" s="2">
        <v>36</v>
      </c>
      <c r="U3792" s="2">
        <v>0.76405999999999996</v>
      </c>
      <c r="V3792" s="2">
        <v>57</v>
      </c>
      <c r="W3792" s="2">
        <v>2003</v>
      </c>
    </row>
    <row r="3793" spans="1:23" ht="12.3" hidden="1" x14ac:dyDescent="0.4">
      <c r="A3793" s="2" t="s">
        <v>100</v>
      </c>
      <c r="B3793" s="2"/>
      <c r="C3793" s="2"/>
      <c r="D3793" s="2"/>
      <c r="E3793" s="2"/>
      <c r="F3793" s="2"/>
      <c r="G3793" s="2"/>
      <c r="H3793" s="2"/>
      <c r="I3793" s="2"/>
      <c r="J3793" s="2">
        <v>244</v>
      </c>
      <c r="K3793" s="2">
        <v>63.519199999999998</v>
      </c>
      <c r="L3793" s="2">
        <v>272</v>
      </c>
      <c r="M3793" s="2">
        <v>107.3686</v>
      </c>
      <c r="N3793" s="2">
        <v>50</v>
      </c>
      <c r="O3793" s="2">
        <v>108.2931</v>
      </c>
      <c r="P3793" s="2">
        <v>50</v>
      </c>
      <c r="Q3793" s="2">
        <v>102.1559</v>
      </c>
      <c r="R3793" s="2">
        <v>201</v>
      </c>
      <c r="S3793" s="2">
        <v>101.3665</v>
      </c>
      <c r="T3793" s="2">
        <v>181</v>
      </c>
      <c r="U3793" s="2">
        <v>0.68138200000000004</v>
      </c>
      <c r="V3793" s="2">
        <v>90</v>
      </c>
      <c r="W3793" s="2">
        <v>2013</v>
      </c>
    </row>
    <row r="3794" spans="1:23" ht="12.3" x14ac:dyDescent="0.4">
      <c r="A3794" s="2" t="s">
        <v>235</v>
      </c>
      <c r="B3794" s="2">
        <v>11</v>
      </c>
      <c r="C3794" s="4" t="s">
        <v>33</v>
      </c>
      <c r="D3794" s="4"/>
      <c r="E3794" s="4"/>
      <c r="F3794" s="4"/>
      <c r="G3794" s="4"/>
      <c r="H3794" s="4"/>
      <c r="I3794" s="2">
        <v>72.531499999999994</v>
      </c>
      <c r="J3794" s="2">
        <v>37</v>
      </c>
      <c r="K3794" s="2">
        <v>72.930400000000006</v>
      </c>
      <c r="L3794" s="2">
        <v>25</v>
      </c>
      <c r="M3794" s="2">
        <v>109.179</v>
      </c>
      <c r="N3794" s="2">
        <v>30</v>
      </c>
      <c r="O3794" s="2">
        <v>109.02849999999999</v>
      </c>
      <c r="P3794" s="2">
        <v>44</v>
      </c>
      <c r="Q3794" s="2">
        <v>100.8597</v>
      </c>
      <c r="R3794" s="2">
        <v>167</v>
      </c>
      <c r="S3794" s="2">
        <v>98.700900000000004</v>
      </c>
      <c r="T3794" s="2">
        <v>109</v>
      </c>
      <c r="U3794" s="2">
        <v>0.75849</v>
      </c>
      <c r="V3794" s="2">
        <v>61</v>
      </c>
      <c r="W3794" s="2">
        <v>2003</v>
      </c>
    </row>
    <row r="3795" spans="1:23" ht="12.3" hidden="1" x14ac:dyDescent="0.4">
      <c r="A3795" s="2" t="s">
        <v>112</v>
      </c>
      <c r="B3795" s="2"/>
      <c r="C3795" s="2"/>
      <c r="D3795" s="2"/>
      <c r="E3795" s="2"/>
      <c r="F3795" s="2"/>
      <c r="G3795" s="2"/>
      <c r="H3795" s="2"/>
      <c r="I3795" s="2"/>
      <c r="J3795" s="2">
        <v>323</v>
      </c>
      <c r="K3795" s="2">
        <v>61.953699999999998</v>
      </c>
      <c r="L3795" s="2">
        <v>309</v>
      </c>
      <c r="M3795" s="2">
        <v>93.447400000000002</v>
      </c>
      <c r="N3795" s="2">
        <v>299</v>
      </c>
      <c r="O3795" s="2">
        <v>98.359899999999996</v>
      </c>
      <c r="P3795" s="2">
        <v>214</v>
      </c>
      <c r="Q3795" s="2">
        <v>98.245099999999994</v>
      </c>
      <c r="R3795" s="2">
        <v>121</v>
      </c>
      <c r="S3795" s="2">
        <v>92.334400000000002</v>
      </c>
      <c r="T3795" s="2">
        <v>29</v>
      </c>
      <c r="U3795" s="2">
        <v>0.67414499999999999</v>
      </c>
      <c r="V3795" s="2">
        <v>92</v>
      </c>
      <c r="W3795" s="2">
        <v>2013</v>
      </c>
    </row>
    <row r="3796" spans="1:23" ht="12.3" hidden="1" x14ac:dyDescent="0.4">
      <c r="A3796" s="2" t="s">
        <v>67</v>
      </c>
      <c r="B3796" s="2"/>
      <c r="C3796" s="2"/>
      <c r="D3796" s="2"/>
      <c r="E3796" s="2"/>
      <c r="F3796" s="2"/>
      <c r="G3796" s="2"/>
      <c r="H3796" s="2"/>
      <c r="I3796" s="2"/>
      <c r="J3796" s="2">
        <v>163</v>
      </c>
      <c r="K3796" s="2">
        <v>65.700299999999999</v>
      </c>
      <c r="L3796" s="2">
        <v>181</v>
      </c>
      <c r="M3796" s="2">
        <v>96.035499999999999</v>
      </c>
      <c r="N3796" s="2">
        <v>261</v>
      </c>
      <c r="O3796" s="2">
        <v>101.4622</v>
      </c>
      <c r="P3796" s="2">
        <v>157</v>
      </c>
      <c r="Q3796" s="2">
        <v>95.554100000000005</v>
      </c>
      <c r="R3796" s="2">
        <v>64</v>
      </c>
      <c r="S3796" s="2">
        <v>95.278199999999998</v>
      </c>
      <c r="T3796" s="2">
        <v>67</v>
      </c>
      <c r="U3796" s="2">
        <v>0.67330800000000002</v>
      </c>
      <c r="V3796" s="2">
        <v>93</v>
      </c>
      <c r="W3796" s="2">
        <v>2013</v>
      </c>
    </row>
    <row r="3797" spans="1:23" ht="12.3" hidden="1" x14ac:dyDescent="0.4">
      <c r="A3797" s="2" t="s">
        <v>239</v>
      </c>
      <c r="B3797" s="2"/>
      <c r="C3797" s="2"/>
      <c r="D3797" s="2"/>
      <c r="E3797" s="2"/>
      <c r="F3797" s="2"/>
      <c r="G3797" s="2"/>
      <c r="H3797" s="2"/>
      <c r="I3797" s="2"/>
      <c r="J3797" s="2">
        <v>307</v>
      </c>
      <c r="K3797" s="2">
        <v>61.943100000000001</v>
      </c>
      <c r="L3797" s="2">
        <v>311</v>
      </c>
      <c r="M3797" s="2">
        <v>102.5714</v>
      </c>
      <c r="N3797" s="2">
        <v>132</v>
      </c>
      <c r="O3797" s="2">
        <v>105.9525</v>
      </c>
      <c r="P3797" s="2">
        <v>75</v>
      </c>
      <c r="Q3797" s="2">
        <v>100.0527</v>
      </c>
      <c r="R3797" s="2">
        <v>156</v>
      </c>
      <c r="S3797" s="2">
        <v>99.5822</v>
      </c>
      <c r="T3797" s="2">
        <v>138</v>
      </c>
      <c r="U3797" s="2">
        <v>0.67108400000000001</v>
      </c>
      <c r="V3797" s="2">
        <v>94</v>
      </c>
      <c r="W3797" s="2">
        <v>2013</v>
      </c>
    </row>
    <row r="3798" spans="1:23" ht="12.3" hidden="1" x14ac:dyDescent="0.4">
      <c r="A3798" s="2" t="s">
        <v>111</v>
      </c>
      <c r="B3798" s="2"/>
      <c r="C3798" s="2"/>
      <c r="D3798" s="2"/>
      <c r="E3798" s="2"/>
      <c r="F3798" s="2"/>
      <c r="G3798" s="2"/>
      <c r="H3798" s="2"/>
      <c r="I3798" s="2"/>
      <c r="J3798" s="2">
        <v>325</v>
      </c>
      <c r="K3798" s="2">
        <v>60.706600000000002</v>
      </c>
      <c r="L3798" s="2">
        <v>334</v>
      </c>
      <c r="M3798" s="2">
        <v>97.739400000000003</v>
      </c>
      <c r="N3798" s="2">
        <v>233</v>
      </c>
      <c r="O3798" s="2">
        <v>100.5838</v>
      </c>
      <c r="P3798" s="2">
        <v>175</v>
      </c>
      <c r="Q3798" s="2">
        <v>97.008899999999997</v>
      </c>
      <c r="R3798" s="2">
        <v>86</v>
      </c>
      <c r="S3798" s="2">
        <v>94.540099999999995</v>
      </c>
      <c r="T3798" s="2">
        <v>50</v>
      </c>
      <c r="U3798" s="2">
        <v>0.67098100000000005</v>
      </c>
      <c r="V3798" s="2">
        <v>95</v>
      </c>
      <c r="W3798" s="2">
        <v>2013</v>
      </c>
    </row>
    <row r="3799" spans="1:23" ht="12.3" hidden="1" x14ac:dyDescent="0.4">
      <c r="A3799" s="2" t="s">
        <v>93</v>
      </c>
      <c r="B3799" s="2"/>
      <c r="C3799" s="2"/>
      <c r="D3799" s="2"/>
      <c r="E3799" s="2"/>
      <c r="F3799" s="2"/>
      <c r="G3799" s="2"/>
      <c r="H3799" s="2"/>
      <c r="I3799" s="2"/>
      <c r="J3799" s="2">
        <v>337</v>
      </c>
      <c r="K3799" s="2">
        <v>60.654299999999999</v>
      </c>
      <c r="L3799" s="2">
        <v>336</v>
      </c>
      <c r="M3799" s="2">
        <v>98.7821</v>
      </c>
      <c r="N3799" s="2">
        <v>209</v>
      </c>
      <c r="O3799" s="2">
        <v>100.9029</v>
      </c>
      <c r="P3799" s="2">
        <v>170</v>
      </c>
      <c r="Q3799" s="2">
        <v>97.426699999999997</v>
      </c>
      <c r="R3799" s="2">
        <v>97</v>
      </c>
      <c r="S3799" s="2">
        <v>94.915899999999993</v>
      </c>
      <c r="T3799" s="2">
        <v>58</v>
      </c>
      <c r="U3799" s="2">
        <v>0.66894799999999999</v>
      </c>
      <c r="V3799" s="2">
        <v>96</v>
      </c>
      <c r="W3799" s="2">
        <v>2013</v>
      </c>
    </row>
    <row r="3800" spans="1:23" ht="12.3" x14ac:dyDescent="0.4">
      <c r="A3800" s="2" t="s">
        <v>69</v>
      </c>
      <c r="B3800" s="2">
        <v>13</v>
      </c>
      <c r="C3800" s="3" t="s">
        <v>33</v>
      </c>
      <c r="D3800" s="4"/>
      <c r="E3800" s="4"/>
      <c r="F3800" s="4"/>
      <c r="G3800" s="4"/>
      <c r="H3800" s="4"/>
      <c r="I3800" s="2">
        <v>69.045400000000001</v>
      </c>
      <c r="J3800" s="2">
        <v>146</v>
      </c>
      <c r="K3800" s="2">
        <v>68.783199999999994</v>
      </c>
      <c r="L3800" s="2">
        <v>149</v>
      </c>
      <c r="M3800" s="2">
        <v>105.9083</v>
      </c>
      <c r="N3800" s="2">
        <v>73</v>
      </c>
      <c r="O3800" s="2">
        <v>105.1844</v>
      </c>
      <c r="P3800" s="2">
        <v>89</v>
      </c>
      <c r="Q3800" s="2">
        <v>93.8703</v>
      </c>
      <c r="R3800" s="2">
        <v>27</v>
      </c>
      <c r="S3800" s="2">
        <v>95.343000000000004</v>
      </c>
      <c r="T3800" s="2">
        <v>52</v>
      </c>
      <c r="U3800" s="2">
        <v>0.75578100000000004</v>
      </c>
      <c r="V3800" s="2">
        <v>62</v>
      </c>
      <c r="W3800" s="2">
        <v>2003</v>
      </c>
    </row>
    <row r="3801" spans="1:23" ht="12.3" hidden="1" x14ac:dyDescent="0.4">
      <c r="A3801" s="2" t="s">
        <v>267</v>
      </c>
      <c r="B3801" s="2"/>
      <c r="C3801" s="2"/>
      <c r="D3801" s="2"/>
      <c r="E3801" s="2"/>
      <c r="F3801" s="2"/>
      <c r="G3801" s="2"/>
      <c r="H3801" s="2"/>
      <c r="I3801" s="2"/>
      <c r="J3801" s="2">
        <v>195</v>
      </c>
      <c r="K3801" s="2">
        <v>65.443299999999994</v>
      </c>
      <c r="L3801" s="2">
        <v>190</v>
      </c>
      <c r="M3801" s="2">
        <v>99.187600000000003</v>
      </c>
      <c r="N3801" s="2">
        <v>195</v>
      </c>
      <c r="O3801" s="2">
        <v>100.60339999999999</v>
      </c>
      <c r="P3801" s="2">
        <v>174</v>
      </c>
      <c r="Q3801" s="2">
        <v>98.872</v>
      </c>
      <c r="R3801" s="2">
        <v>137</v>
      </c>
      <c r="S3801" s="2">
        <v>94.802599999999998</v>
      </c>
      <c r="T3801" s="2">
        <v>55</v>
      </c>
      <c r="U3801" s="2">
        <v>0.66440200000000005</v>
      </c>
      <c r="V3801" s="2">
        <v>98</v>
      </c>
      <c r="W3801" s="2">
        <v>2013</v>
      </c>
    </row>
    <row r="3802" spans="1:23" ht="12.3" hidden="1" x14ac:dyDescent="0.4">
      <c r="A3802" s="2" t="s">
        <v>95</v>
      </c>
      <c r="B3802" s="2"/>
      <c r="C3802" s="2"/>
      <c r="D3802" s="2"/>
      <c r="E3802" s="2"/>
      <c r="F3802" s="2"/>
      <c r="G3802" s="2"/>
      <c r="H3802" s="2"/>
      <c r="I3802" s="2"/>
      <c r="J3802" s="2">
        <v>252</v>
      </c>
      <c r="K3802" s="2">
        <v>63.939300000000003</v>
      </c>
      <c r="L3802" s="2">
        <v>262</v>
      </c>
      <c r="M3802" s="2">
        <v>104.21510000000001</v>
      </c>
      <c r="N3802" s="2">
        <v>100</v>
      </c>
      <c r="O3802" s="2">
        <v>108.479</v>
      </c>
      <c r="P3802" s="2">
        <v>47</v>
      </c>
      <c r="Q3802" s="2">
        <v>106.0196</v>
      </c>
      <c r="R3802" s="2">
        <v>287</v>
      </c>
      <c r="S3802" s="2">
        <v>102.22790000000001</v>
      </c>
      <c r="T3802" s="2">
        <v>198</v>
      </c>
      <c r="U3802" s="2">
        <v>0.66430800000000001</v>
      </c>
      <c r="V3802" s="2">
        <v>99</v>
      </c>
      <c r="W3802" s="2">
        <v>2013</v>
      </c>
    </row>
    <row r="3803" spans="1:23" ht="12.3" hidden="1" x14ac:dyDescent="0.4">
      <c r="A3803" s="2" t="s">
        <v>85</v>
      </c>
      <c r="B3803" s="2"/>
      <c r="C3803" s="2"/>
      <c r="D3803" s="2"/>
      <c r="E3803" s="2"/>
      <c r="F3803" s="2"/>
      <c r="G3803" s="2"/>
      <c r="H3803" s="2"/>
      <c r="I3803" s="2"/>
      <c r="J3803" s="2">
        <v>49</v>
      </c>
      <c r="K3803" s="2">
        <v>68.602999999999994</v>
      </c>
      <c r="L3803" s="2">
        <v>57</v>
      </c>
      <c r="M3803" s="2">
        <v>100.8702</v>
      </c>
      <c r="N3803" s="2">
        <v>170</v>
      </c>
      <c r="O3803" s="2">
        <v>104.1802</v>
      </c>
      <c r="P3803" s="2">
        <v>107</v>
      </c>
      <c r="Q3803" s="2">
        <v>98.418000000000006</v>
      </c>
      <c r="R3803" s="2">
        <v>127</v>
      </c>
      <c r="S3803" s="2">
        <v>98.295299999999997</v>
      </c>
      <c r="T3803" s="2">
        <v>114</v>
      </c>
      <c r="U3803" s="2">
        <v>0.66120599999999996</v>
      </c>
      <c r="V3803" s="2">
        <v>100</v>
      </c>
      <c r="W3803" s="2">
        <v>2013</v>
      </c>
    </row>
    <row r="3804" spans="1:23" ht="12.3" hidden="1" x14ac:dyDescent="0.4">
      <c r="A3804" s="2" t="s">
        <v>326</v>
      </c>
      <c r="B3804" s="2"/>
      <c r="C3804" s="2"/>
      <c r="D3804" s="2"/>
      <c r="E3804" s="2"/>
      <c r="F3804" s="2"/>
      <c r="G3804" s="2"/>
      <c r="H3804" s="2"/>
      <c r="I3804" s="2"/>
      <c r="J3804" s="2">
        <v>139</v>
      </c>
      <c r="K3804" s="2">
        <v>66.894300000000001</v>
      </c>
      <c r="L3804" s="2">
        <v>125</v>
      </c>
      <c r="M3804" s="2">
        <v>109.5599</v>
      </c>
      <c r="N3804" s="2">
        <v>26</v>
      </c>
      <c r="O3804" s="2">
        <v>105.4246</v>
      </c>
      <c r="P3804" s="2">
        <v>82</v>
      </c>
      <c r="Q3804" s="2">
        <v>98.581199999999995</v>
      </c>
      <c r="R3804" s="2">
        <v>131</v>
      </c>
      <c r="S3804" s="2">
        <v>99.896799999999999</v>
      </c>
      <c r="T3804" s="2">
        <v>145</v>
      </c>
      <c r="U3804" s="2">
        <v>0.65007700000000002</v>
      </c>
      <c r="V3804" s="2">
        <v>101</v>
      </c>
      <c r="W3804" s="2">
        <v>2013</v>
      </c>
    </row>
    <row r="3805" spans="1:23" ht="12.3" hidden="1" x14ac:dyDescent="0.4">
      <c r="A3805" s="2" t="s">
        <v>149</v>
      </c>
      <c r="B3805" s="2"/>
      <c r="C3805" s="2"/>
      <c r="D3805" s="2"/>
      <c r="E3805" s="2"/>
      <c r="F3805" s="2"/>
      <c r="G3805" s="2"/>
      <c r="H3805" s="2"/>
      <c r="I3805" s="2"/>
      <c r="J3805" s="2">
        <v>71</v>
      </c>
      <c r="K3805" s="2">
        <v>68.506399999999999</v>
      </c>
      <c r="L3805" s="2">
        <v>59</v>
      </c>
      <c r="M3805" s="2">
        <v>104.4816</v>
      </c>
      <c r="N3805" s="2">
        <v>96</v>
      </c>
      <c r="O3805" s="2">
        <v>106.90730000000001</v>
      </c>
      <c r="P3805" s="2">
        <v>64</v>
      </c>
      <c r="Q3805" s="2">
        <v>102.0911</v>
      </c>
      <c r="R3805" s="2">
        <v>199</v>
      </c>
      <c r="S3805" s="2">
        <v>101.3173</v>
      </c>
      <c r="T3805" s="2">
        <v>177</v>
      </c>
      <c r="U3805" s="2">
        <v>0.649675</v>
      </c>
      <c r="V3805" s="2">
        <v>102</v>
      </c>
      <c r="W3805" s="2">
        <v>2013</v>
      </c>
    </row>
    <row r="3806" spans="1:23" ht="12.3" hidden="1" x14ac:dyDescent="0.4">
      <c r="A3806" s="2" t="s">
        <v>248</v>
      </c>
      <c r="B3806" s="2"/>
      <c r="C3806" s="2"/>
      <c r="D3806" s="2"/>
      <c r="E3806" s="2"/>
      <c r="F3806" s="2"/>
      <c r="G3806" s="2"/>
      <c r="H3806" s="2"/>
      <c r="I3806" s="2"/>
      <c r="J3806" s="2">
        <v>320</v>
      </c>
      <c r="K3806" s="2">
        <v>61.2956</v>
      </c>
      <c r="L3806" s="2">
        <v>321</v>
      </c>
      <c r="M3806" s="2">
        <v>101.1397</v>
      </c>
      <c r="N3806" s="2">
        <v>166</v>
      </c>
      <c r="O3806" s="2">
        <v>102.10209999999999</v>
      </c>
      <c r="P3806" s="2">
        <v>146</v>
      </c>
      <c r="Q3806" s="2">
        <v>98.431100000000001</v>
      </c>
      <c r="R3806" s="2">
        <v>128</v>
      </c>
      <c r="S3806" s="2">
        <v>96.961399999999998</v>
      </c>
      <c r="T3806" s="2">
        <v>92</v>
      </c>
      <c r="U3806" s="2">
        <v>0.64430399999999999</v>
      </c>
      <c r="V3806" s="2">
        <v>103</v>
      </c>
      <c r="W3806" s="2">
        <v>2013</v>
      </c>
    </row>
    <row r="3807" spans="1:23" ht="12.3" hidden="1" x14ac:dyDescent="0.4">
      <c r="A3807" s="2" t="s">
        <v>19</v>
      </c>
      <c r="B3807" s="2"/>
      <c r="C3807" s="2"/>
      <c r="D3807" s="2"/>
      <c r="E3807" s="2"/>
      <c r="F3807" s="2"/>
      <c r="G3807" s="2"/>
      <c r="H3807" s="2"/>
      <c r="I3807" s="2"/>
      <c r="J3807" s="2">
        <v>304</v>
      </c>
      <c r="K3807" s="2">
        <v>62.2699</v>
      </c>
      <c r="L3807" s="2">
        <v>304</v>
      </c>
      <c r="M3807" s="2">
        <v>96.071299999999994</v>
      </c>
      <c r="N3807" s="2">
        <v>259</v>
      </c>
      <c r="O3807" s="2">
        <v>100.52679999999999</v>
      </c>
      <c r="P3807" s="2">
        <v>177</v>
      </c>
      <c r="Q3807" s="2">
        <v>97.416499999999999</v>
      </c>
      <c r="R3807" s="2">
        <v>96</v>
      </c>
      <c r="S3807" s="2">
        <v>95.465999999999994</v>
      </c>
      <c r="T3807" s="2">
        <v>70</v>
      </c>
      <c r="U3807" s="2">
        <v>0.64428700000000005</v>
      </c>
      <c r="V3807" s="2">
        <v>104</v>
      </c>
      <c r="W3807" s="2">
        <v>2013</v>
      </c>
    </row>
    <row r="3808" spans="1:23" ht="12.3" hidden="1" x14ac:dyDescent="0.4">
      <c r="A3808" s="2" t="s">
        <v>92</v>
      </c>
      <c r="B3808" s="2"/>
      <c r="C3808" s="2"/>
      <c r="D3808" s="2"/>
      <c r="E3808" s="2"/>
      <c r="F3808" s="2"/>
      <c r="G3808" s="2"/>
      <c r="H3808" s="2"/>
      <c r="I3808" s="2"/>
      <c r="J3808" s="2">
        <v>160</v>
      </c>
      <c r="K3808" s="2">
        <v>66.6755</v>
      </c>
      <c r="L3808" s="2">
        <v>132</v>
      </c>
      <c r="M3808" s="2">
        <v>96.855400000000003</v>
      </c>
      <c r="N3808" s="2">
        <v>244</v>
      </c>
      <c r="O3808" s="2">
        <v>98.279300000000006</v>
      </c>
      <c r="P3808" s="2">
        <v>220</v>
      </c>
      <c r="Q3808" s="2">
        <v>93.697599999999994</v>
      </c>
      <c r="R3808" s="2">
        <v>40</v>
      </c>
      <c r="S3808" s="2">
        <v>93.432100000000005</v>
      </c>
      <c r="T3808" s="2">
        <v>38</v>
      </c>
      <c r="U3808" s="2">
        <v>0.64144900000000005</v>
      </c>
      <c r="V3808" s="2">
        <v>105</v>
      </c>
      <c r="W3808" s="2">
        <v>2013</v>
      </c>
    </row>
    <row r="3809" spans="1:23" ht="12.3" hidden="1" x14ac:dyDescent="0.4">
      <c r="A3809" s="2" t="s">
        <v>102</v>
      </c>
      <c r="B3809" s="2"/>
      <c r="C3809" s="2"/>
      <c r="D3809" s="2"/>
      <c r="E3809" s="2"/>
      <c r="F3809" s="2"/>
      <c r="G3809" s="2"/>
      <c r="H3809" s="2"/>
      <c r="I3809" s="2"/>
      <c r="J3809" s="2">
        <v>96</v>
      </c>
      <c r="K3809" s="2">
        <v>67.703199999999995</v>
      </c>
      <c r="L3809" s="2">
        <v>90</v>
      </c>
      <c r="M3809" s="2">
        <v>95.375100000000003</v>
      </c>
      <c r="N3809" s="2">
        <v>270</v>
      </c>
      <c r="O3809" s="2">
        <v>97.1113</v>
      </c>
      <c r="P3809" s="2">
        <v>242</v>
      </c>
      <c r="Q3809" s="2">
        <v>96.771699999999996</v>
      </c>
      <c r="R3809" s="2">
        <v>83</v>
      </c>
      <c r="S3809" s="2">
        <v>92.484800000000007</v>
      </c>
      <c r="T3809" s="2">
        <v>30</v>
      </c>
      <c r="U3809" s="2">
        <v>0.63676500000000003</v>
      </c>
      <c r="V3809" s="2">
        <v>106</v>
      </c>
      <c r="W3809" s="2">
        <v>2013</v>
      </c>
    </row>
    <row r="3810" spans="1:23" ht="12.3" hidden="1" x14ac:dyDescent="0.4">
      <c r="A3810" s="2" t="s">
        <v>42</v>
      </c>
      <c r="B3810" s="2"/>
      <c r="C3810" s="2"/>
      <c r="D3810" s="2"/>
      <c r="E3810" s="2"/>
      <c r="F3810" s="2"/>
      <c r="G3810" s="2"/>
      <c r="H3810" s="2"/>
      <c r="I3810" s="2"/>
      <c r="J3810" s="2">
        <v>121</v>
      </c>
      <c r="K3810" s="2">
        <v>67.534800000000004</v>
      </c>
      <c r="L3810" s="2">
        <v>98</v>
      </c>
      <c r="M3810" s="2">
        <v>96.456000000000003</v>
      </c>
      <c r="N3810" s="2">
        <v>252</v>
      </c>
      <c r="O3810" s="2">
        <v>100.7123</v>
      </c>
      <c r="P3810" s="2">
        <v>173</v>
      </c>
      <c r="Q3810" s="2">
        <v>99.084000000000003</v>
      </c>
      <c r="R3810" s="2">
        <v>141</v>
      </c>
      <c r="S3810" s="2">
        <v>95.917400000000001</v>
      </c>
      <c r="T3810" s="2">
        <v>76</v>
      </c>
      <c r="U3810" s="2">
        <v>0.63667899999999999</v>
      </c>
      <c r="V3810" s="2">
        <v>107</v>
      </c>
      <c r="W3810" s="2">
        <v>2013</v>
      </c>
    </row>
    <row r="3811" spans="1:23" ht="12.3" hidden="1" x14ac:dyDescent="0.4">
      <c r="A3811" s="2" t="s">
        <v>53</v>
      </c>
      <c r="B3811" s="2"/>
      <c r="C3811" s="2"/>
      <c r="D3811" s="2"/>
      <c r="E3811" s="2"/>
      <c r="F3811" s="2"/>
      <c r="G3811" s="2"/>
      <c r="H3811" s="2"/>
      <c r="I3811" s="2"/>
      <c r="J3811" s="2">
        <v>185</v>
      </c>
      <c r="K3811" s="2">
        <v>66.585899999999995</v>
      </c>
      <c r="L3811" s="2">
        <v>139</v>
      </c>
      <c r="M3811" s="2">
        <v>106.4845</v>
      </c>
      <c r="N3811" s="2">
        <v>68</v>
      </c>
      <c r="O3811" s="2">
        <v>105.852</v>
      </c>
      <c r="P3811" s="2">
        <v>76</v>
      </c>
      <c r="Q3811" s="2">
        <v>100.44880000000001</v>
      </c>
      <c r="R3811" s="2">
        <v>166</v>
      </c>
      <c r="S3811" s="2">
        <v>100.9258</v>
      </c>
      <c r="T3811" s="2">
        <v>168</v>
      </c>
      <c r="U3811" s="2">
        <v>0.633683</v>
      </c>
      <c r="V3811" s="2">
        <v>108</v>
      </c>
      <c r="W3811" s="2">
        <v>2013</v>
      </c>
    </row>
    <row r="3812" spans="1:23" ht="12.3" hidden="1" x14ac:dyDescent="0.4">
      <c r="A3812" s="2" t="s">
        <v>123</v>
      </c>
      <c r="B3812" s="2"/>
      <c r="C3812" s="2"/>
      <c r="D3812" s="2"/>
      <c r="E3812" s="2"/>
      <c r="F3812" s="2"/>
      <c r="G3812" s="2"/>
      <c r="H3812" s="2"/>
      <c r="I3812" s="2"/>
      <c r="J3812" s="2">
        <v>230</v>
      </c>
      <c r="K3812" s="2">
        <v>64.104299999999995</v>
      </c>
      <c r="L3812" s="2">
        <v>260</v>
      </c>
      <c r="M3812" s="2">
        <v>101.2439</v>
      </c>
      <c r="N3812" s="2">
        <v>164</v>
      </c>
      <c r="O3812" s="2">
        <v>105.06959999999999</v>
      </c>
      <c r="P3812" s="2">
        <v>91</v>
      </c>
      <c r="Q3812" s="2">
        <v>102.6862</v>
      </c>
      <c r="R3812" s="2">
        <v>214</v>
      </c>
      <c r="S3812" s="2">
        <v>100.19070000000001</v>
      </c>
      <c r="T3812" s="2">
        <v>152</v>
      </c>
      <c r="U3812" s="2">
        <v>0.63339299999999998</v>
      </c>
      <c r="V3812" s="2">
        <v>109</v>
      </c>
      <c r="W3812" s="2">
        <v>2013</v>
      </c>
    </row>
    <row r="3813" spans="1:23" ht="12.3" hidden="1" x14ac:dyDescent="0.4">
      <c r="A3813" s="2" t="s">
        <v>98</v>
      </c>
      <c r="B3813" s="2"/>
      <c r="C3813" s="2"/>
      <c r="D3813" s="2"/>
      <c r="E3813" s="2"/>
      <c r="F3813" s="2"/>
      <c r="G3813" s="2"/>
      <c r="H3813" s="2"/>
      <c r="I3813" s="2"/>
      <c r="J3813" s="2">
        <v>310</v>
      </c>
      <c r="K3813" s="2">
        <v>62.043999999999997</v>
      </c>
      <c r="L3813" s="2">
        <v>307</v>
      </c>
      <c r="M3813" s="2">
        <v>108.6367</v>
      </c>
      <c r="N3813" s="2">
        <v>30</v>
      </c>
      <c r="O3813" s="2">
        <v>107.241</v>
      </c>
      <c r="P3813" s="2">
        <v>60</v>
      </c>
      <c r="Q3813" s="2">
        <v>101.626</v>
      </c>
      <c r="R3813" s="2">
        <v>188</v>
      </c>
      <c r="S3813" s="2">
        <v>102.49209999999999</v>
      </c>
      <c r="T3813" s="2">
        <v>204</v>
      </c>
      <c r="U3813" s="2">
        <v>0.62735200000000002</v>
      </c>
      <c r="V3813" s="2">
        <v>110</v>
      </c>
      <c r="W3813" s="2">
        <v>2013</v>
      </c>
    </row>
    <row r="3814" spans="1:23" ht="12.3" x14ac:dyDescent="0.4">
      <c r="A3814" s="2" t="s">
        <v>133</v>
      </c>
      <c r="B3814" s="2">
        <v>13</v>
      </c>
      <c r="C3814" s="4"/>
      <c r="D3814" s="4"/>
      <c r="E3814" s="4"/>
      <c r="F3814" s="4"/>
      <c r="G3814" s="4"/>
      <c r="H3814" s="4"/>
      <c r="I3814" s="2">
        <v>72.302700000000002</v>
      </c>
      <c r="J3814" s="2">
        <v>42</v>
      </c>
      <c r="K3814" s="2">
        <v>72.1541</v>
      </c>
      <c r="L3814" s="2">
        <v>42</v>
      </c>
      <c r="M3814" s="2">
        <v>102.5277</v>
      </c>
      <c r="N3814" s="2">
        <v>137</v>
      </c>
      <c r="O3814" s="2">
        <v>103.9853</v>
      </c>
      <c r="P3814" s="2">
        <v>111</v>
      </c>
      <c r="Q3814" s="2">
        <v>98.216399999999993</v>
      </c>
      <c r="R3814" s="2">
        <v>95</v>
      </c>
      <c r="S3814" s="2">
        <v>95.801699999999997</v>
      </c>
      <c r="T3814" s="2">
        <v>61</v>
      </c>
      <c r="U3814" s="2">
        <v>0.71963600000000005</v>
      </c>
      <c r="V3814" s="2">
        <v>74</v>
      </c>
      <c r="W3814" s="2">
        <v>2003</v>
      </c>
    </row>
    <row r="3815" spans="1:23" ht="12.3" hidden="1" x14ac:dyDescent="0.4">
      <c r="A3815" s="2" t="s">
        <v>324</v>
      </c>
      <c r="B3815" s="2"/>
      <c r="C3815" s="2"/>
      <c r="D3815" s="2"/>
      <c r="E3815" s="2"/>
      <c r="F3815" s="2"/>
      <c r="G3815" s="2"/>
      <c r="H3815" s="2"/>
      <c r="I3815" s="2"/>
      <c r="J3815" s="2">
        <v>220</v>
      </c>
      <c r="K3815" s="2">
        <v>64.736699999999999</v>
      </c>
      <c r="L3815" s="2">
        <v>226</v>
      </c>
      <c r="M3815" s="2">
        <v>111.6523</v>
      </c>
      <c r="N3815" s="2">
        <v>17</v>
      </c>
      <c r="O3815" s="2">
        <v>108.7175</v>
      </c>
      <c r="P3815" s="2">
        <v>46</v>
      </c>
      <c r="Q3815" s="2">
        <v>101.7497</v>
      </c>
      <c r="R3815" s="2">
        <v>193</v>
      </c>
      <c r="S3815" s="2">
        <v>103.9532</v>
      </c>
      <c r="T3815" s="2">
        <v>240</v>
      </c>
      <c r="U3815" s="2">
        <v>0.62605500000000003</v>
      </c>
      <c r="V3815" s="2">
        <v>112</v>
      </c>
      <c r="W3815" s="2">
        <v>2013</v>
      </c>
    </row>
    <row r="3816" spans="1:23" ht="12.3" hidden="1" x14ac:dyDescent="0.4">
      <c r="A3816" s="2" t="s">
        <v>340</v>
      </c>
      <c r="B3816" s="2"/>
      <c r="C3816" s="2"/>
      <c r="D3816" s="2"/>
      <c r="E3816" s="2"/>
      <c r="F3816" s="2"/>
      <c r="G3816" s="2"/>
      <c r="H3816" s="2"/>
      <c r="I3816" s="2"/>
      <c r="J3816" s="2">
        <v>269</v>
      </c>
      <c r="K3816" s="2">
        <v>63.862299999999998</v>
      </c>
      <c r="L3816" s="2">
        <v>263</v>
      </c>
      <c r="M3816" s="2">
        <v>103.41240000000001</v>
      </c>
      <c r="N3816" s="2">
        <v>117</v>
      </c>
      <c r="O3816" s="2">
        <v>103.854</v>
      </c>
      <c r="P3816" s="2">
        <v>115</v>
      </c>
      <c r="Q3816" s="2">
        <v>97.603999999999999</v>
      </c>
      <c r="R3816" s="2">
        <v>102</v>
      </c>
      <c r="S3816" s="2">
        <v>99.333100000000002</v>
      </c>
      <c r="T3816" s="2">
        <v>135</v>
      </c>
      <c r="U3816" s="2">
        <v>0.62523799999999996</v>
      </c>
      <c r="V3816" s="2">
        <v>113</v>
      </c>
      <c r="W3816" s="2">
        <v>2013</v>
      </c>
    </row>
    <row r="3817" spans="1:23" ht="12.3" hidden="1" x14ac:dyDescent="0.4">
      <c r="A3817" s="2" t="s">
        <v>219</v>
      </c>
      <c r="B3817" s="2"/>
      <c r="C3817" s="2"/>
      <c r="D3817" s="2"/>
      <c r="E3817" s="2"/>
      <c r="F3817" s="2"/>
      <c r="G3817" s="2"/>
      <c r="H3817" s="2"/>
      <c r="I3817" s="2"/>
      <c r="J3817" s="2">
        <v>319</v>
      </c>
      <c r="K3817" s="2">
        <v>61.234000000000002</v>
      </c>
      <c r="L3817" s="2">
        <v>323</v>
      </c>
      <c r="M3817" s="2">
        <v>101.67400000000001</v>
      </c>
      <c r="N3817" s="2">
        <v>156</v>
      </c>
      <c r="O3817" s="2">
        <v>101.59569999999999</v>
      </c>
      <c r="P3817" s="2">
        <v>152</v>
      </c>
      <c r="Q3817" s="2">
        <v>98.316800000000001</v>
      </c>
      <c r="R3817" s="2">
        <v>122</v>
      </c>
      <c r="S3817" s="2">
        <v>97.379000000000005</v>
      </c>
      <c r="T3817" s="2">
        <v>103</v>
      </c>
      <c r="U3817" s="2">
        <v>0.61951500000000004</v>
      </c>
      <c r="V3817" s="2">
        <v>114</v>
      </c>
      <c r="W3817" s="2">
        <v>2013</v>
      </c>
    </row>
    <row r="3818" spans="1:23" ht="12.3" hidden="1" x14ac:dyDescent="0.4">
      <c r="A3818" s="2" t="s">
        <v>236</v>
      </c>
      <c r="B3818" s="2"/>
      <c r="C3818" s="2"/>
      <c r="D3818" s="2"/>
      <c r="E3818" s="2"/>
      <c r="F3818" s="2"/>
      <c r="G3818" s="2"/>
      <c r="H3818" s="2"/>
      <c r="I3818" s="2"/>
      <c r="J3818" s="2">
        <v>273</v>
      </c>
      <c r="K3818" s="2">
        <v>63.390300000000003</v>
      </c>
      <c r="L3818" s="2">
        <v>277</v>
      </c>
      <c r="M3818" s="2">
        <v>102.5095</v>
      </c>
      <c r="N3818" s="2">
        <v>134</v>
      </c>
      <c r="O3818" s="2">
        <v>102.83540000000001</v>
      </c>
      <c r="P3818" s="2">
        <v>135</v>
      </c>
      <c r="Q3818" s="2">
        <v>98.989500000000007</v>
      </c>
      <c r="R3818" s="2">
        <v>140</v>
      </c>
      <c r="S3818" s="2">
        <v>98.687399999999997</v>
      </c>
      <c r="T3818" s="2">
        <v>123</v>
      </c>
      <c r="U3818" s="2">
        <v>0.61620600000000003</v>
      </c>
      <c r="V3818" s="2">
        <v>115</v>
      </c>
      <c r="W3818" s="2">
        <v>2013</v>
      </c>
    </row>
    <row r="3819" spans="1:23" ht="12.3" hidden="1" x14ac:dyDescent="0.4">
      <c r="A3819" s="2" t="s">
        <v>232</v>
      </c>
      <c r="B3819" s="2"/>
      <c r="C3819" s="2"/>
      <c r="D3819" s="2"/>
      <c r="E3819" s="2"/>
      <c r="F3819" s="2"/>
      <c r="G3819" s="2"/>
      <c r="H3819" s="2"/>
      <c r="I3819" s="2"/>
      <c r="J3819" s="2">
        <v>85</v>
      </c>
      <c r="K3819" s="2">
        <v>67.917400000000001</v>
      </c>
      <c r="L3819" s="2">
        <v>80</v>
      </c>
      <c r="M3819" s="2">
        <v>96.997100000000003</v>
      </c>
      <c r="N3819" s="2">
        <v>242</v>
      </c>
      <c r="O3819" s="2">
        <v>98.294799999999995</v>
      </c>
      <c r="P3819" s="2">
        <v>219</v>
      </c>
      <c r="Q3819" s="2">
        <v>96.009799999999998</v>
      </c>
      <c r="R3819" s="2">
        <v>70</v>
      </c>
      <c r="S3819" s="2">
        <v>94.454700000000003</v>
      </c>
      <c r="T3819" s="2">
        <v>48</v>
      </c>
      <c r="U3819" s="2">
        <v>0.61260599999999998</v>
      </c>
      <c r="V3819" s="2">
        <v>116</v>
      </c>
      <c r="W3819" s="2">
        <v>2013</v>
      </c>
    </row>
    <row r="3820" spans="1:23" ht="12.3" hidden="1" x14ac:dyDescent="0.4">
      <c r="A3820" s="2" t="s">
        <v>283</v>
      </c>
      <c r="B3820" s="2"/>
      <c r="C3820" s="2"/>
      <c r="D3820" s="2"/>
      <c r="E3820" s="2"/>
      <c r="F3820" s="2"/>
      <c r="G3820" s="2"/>
      <c r="H3820" s="2"/>
      <c r="I3820" s="2"/>
      <c r="J3820" s="2">
        <v>142</v>
      </c>
      <c r="K3820" s="2">
        <v>66.042299999999997</v>
      </c>
      <c r="L3820" s="2">
        <v>165</v>
      </c>
      <c r="M3820" s="2">
        <v>108.9228</v>
      </c>
      <c r="N3820" s="2">
        <v>29</v>
      </c>
      <c r="O3820" s="2">
        <v>108.81910000000001</v>
      </c>
      <c r="P3820" s="2">
        <v>44</v>
      </c>
      <c r="Q3820" s="2">
        <v>104.2068</v>
      </c>
      <c r="R3820" s="2">
        <v>249</v>
      </c>
      <c r="S3820" s="2">
        <v>104.60120000000001</v>
      </c>
      <c r="T3820" s="2">
        <v>252</v>
      </c>
      <c r="U3820" s="2">
        <v>0.61173599999999995</v>
      </c>
      <c r="V3820" s="2">
        <v>117</v>
      </c>
      <c r="W3820" s="2">
        <v>2013</v>
      </c>
    </row>
    <row r="3821" spans="1:23" ht="12.3" hidden="1" x14ac:dyDescent="0.4">
      <c r="A3821" s="2" t="s">
        <v>70</v>
      </c>
      <c r="B3821" s="2"/>
      <c r="C3821" s="2"/>
      <c r="D3821" s="2"/>
      <c r="E3821" s="2"/>
      <c r="F3821" s="2"/>
      <c r="G3821" s="2"/>
      <c r="H3821" s="2"/>
      <c r="I3821" s="2"/>
      <c r="J3821" s="2">
        <v>293</v>
      </c>
      <c r="K3821" s="2">
        <v>62.291899999999998</v>
      </c>
      <c r="L3821" s="2">
        <v>303</v>
      </c>
      <c r="M3821" s="2">
        <v>98.823800000000006</v>
      </c>
      <c r="N3821" s="2">
        <v>207</v>
      </c>
      <c r="O3821" s="2">
        <v>102.88249999999999</v>
      </c>
      <c r="P3821" s="2">
        <v>133</v>
      </c>
      <c r="Q3821" s="2">
        <v>101.3824</v>
      </c>
      <c r="R3821" s="2">
        <v>182</v>
      </c>
      <c r="S3821" s="2">
        <v>99.061400000000006</v>
      </c>
      <c r="T3821" s="2">
        <v>131</v>
      </c>
      <c r="U3821" s="2">
        <v>0.60712699999999997</v>
      </c>
      <c r="V3821" s="2">
        <v>118</v>
      </c>
      <c r="W3821" s="2">
        <v>2013</v>
      </c>
    </row>
    <row r="3822" spans="1:23" ht="12.3" hidden="1" x14ac:dyDescent="0.4">
      <c r="A3822" s="2" t="s">
        <v>171</v>
      </c>
      <c r="B3822" s="2"/>
      <c r="C3822" s="2"/>
      <c r="D3822" s="2"/>
      <c r="E3822" s="2"/>
      <c r="F3822" s="2"/>
      <c r="G3822" s="2"/>
      <c r="H3822" s="2"/>
      <c r="I3822" s="2"/>
      <c r="J3822" s="2">
        <v>295</v>
      </c>
      <c r="K3822" s="2">
        <v>63.0289</v>
      </c>
      <c r="L3822" s="2">
        <v>289</v>
      </c>
      <c r="M3822" s="2">
        <v>97.319100000000006</v>
      </c>
      <c r="N3822" s="2">
        <v>238</v>
      </c>
      <c r="O3822" s="2">
        <v>95.136399999999995</v>
      </c>
      <c r="P3822" s="2">
        <v>279</v>
      </c>
      <c r="Q3822" s="2">
        <v>92.026899999999998</v>
      </c>
      <c r="R3822" s="2">
        <v>26</v>
      </c>
      <c r="S3822" s="2">
        <v>91.622</v>
      </c>
      <c r="T3822" s="2">
        <v>24</v>
      </c>
      <c r="U3822" s="2">
        <v>0.60655700000000001</v>
      </c>
      <c r="V3822" s="2">
        <v>119</v>
      </c>
      <c r="W3822" s="2">
        <v>2013</v>
      </c>
    </row>
    <row r="3823" spans="1:23" ht="12.3" hidden="1" x14ac:dyDescent="0.4">
      <c r="A3823" s="2" t="s">
        <v>20</v>
      </c>
      <c r="B3823" s="2"/>
      <c r="C3823" s="2"/>
      <c r="D3823" s="2"/>
      <c r="E3823" s="2"/>
      <c r="F3823" s="2"/>
      <c r="G3823" s="2"/>
      <c r="H3823" s="2"/>
      <c r="I3823" s="2"/>
      <c r="J3823" s="2">
        <v>150</v>
      </c>
      <c r="K3823" s="2">
        <v>65.317599999999999</v>
      </c>
      <c r="L3823" s="2">
        <v>197</v>
      </c>
      <c r="M3823" s="2">
        <v>100.64279999999999</v>
      </c>
      <c r="N3823" s="2">
        <v>174</v>
      </c>
      <c r="O3823" s="2">
        <v>105.1444</v>
      </c>
      <c r="P3823" s="2">
        <v>88</v>
      </c>
      <c r="Q3823" s="2">
        <v>103.56570000000001</v>
      </c>
      <c r="R3823" s="2">
        <v>231</v>
      </c>
      <c r="S3823" s="2">
        <v>101.30070000000001</v>
      </c>
      <c r="T3823" s="2">
        <v>176</v>
      </c>
      <c r="U3823" s="2">
        <v>0.60546199999999994</v>
      </c>
      <c r="V3823" s="2">
        <v>120</v>
      </c>
      <c r="W3823" s="2">
        <v>2013</v>
      </c>
    </row>
    <row r="3824" spans="1:23" ht="12.3" hidden="1" x14ac:dyDescent="0.4">
      <c r="A3824" s="2" t="s">
        <v>205</v>
      </c>
      <c r="B3824" s="2"/>
      <c r="C3824" s="2"/>
      <c r="D3824" s="2"/>
      <c r="E3824" s="2"/>
      <c r="F3824" s="2"/>
      <c r="G3824" s="2"/>
      <c r="H3824" s="2"/>
      <c r="I3824" s="2"/>
      <c r="J3824" s="2">
        <v>78</v>
      </c>
      <c r="K3824" s="2">
        <v>68.509699999999995</v>
      </c>
      <c r="L3824" s="2">
        <v>58</v>
      </c>
      <c r="M3824" s="2">
        <v>102.9721</v>
      </c>
      <c r="N3824" s="2">
        <v>125</v>
      </c>
      <c r="O3824" s="2">
        <v>105.20480000000001</v>
      </c>
      <c r="P3824" s="2">
        <v>86</v>
      </c>
      <c r="Q3824" s="2">
        <v>105.32340000000001</v>
      </c>
      <c r="R3824" s="2">
        <v>273</v>
      </c>
      <c r="S3824" s="2">
        <v>101.5549</v>
      </c>
      <c r="T3824" s="2">
        <v>183</v>
      </c>
      <c r="U3824" s="2">
        <v>0.60014400000000001</v>
      </c>
      <c r="V3824" s="2">
        <v>121</v>
      </c>
      <c r="W3824" s="2">
        <v>2013</v>
      </c>
    </row>
    <row r="3825" spans="1:23" ht="12.3" hidden="1" x14ac:dyDescent="0.4">
      <c r="A3825" s="2" t="s">
        <v>119</v>
      </c>
      <c r="B3825" s="2"/>
      <c r="C3825" s="2"/>
      <c r="D3825" s="2"/>
      <c r="E3825" s="2"/>
      <c r="F3825" s="2"/>
      <c r="G3825" s="2"/>
      <c r="H3825" s="2"/>
      <c r="I3825" s="2"/>
      <c r="J3825" s="2">
        <v>217</v>
      </c>
      <c r="K3825" s="2">
        <v>64.602699999999999</v>
      </c>
      <c r="L3825" s="2">
        <v>232</v>
      </c>
      <c r="M3825" s="2">
        <v>98.776700000000005</v>
      </c>
      <c r="N3825" s="2">
        <v>211</v>
      </c>
      <c r="O3825" s="2">
        <v>101.1675</v>
      </c>
      <c r="P3825" s="2">
        <v>164</v>
      </c>
      <c r="Q3825" s="2">
        <v>99.8596</v>
      </c>
      <c r="R3825" s="2">
        <v>153</v>
      </c>
      <c r="S3825" s="2">
        <v>97.828100000000006</v>
      </c>
      <c r="T3825" s="2">
        <v>109</v>
      </c>
      <c r="U3825" s="2">
        <v>0.59531999999999996</v>
      </c>
      <c r="V3825" s="2">
        <v>122</v>
      </c>
      <c r="W3825" s="2">
        <v>2013</v>
      </c>
    </row>
    <row r="3826" spans="1:23" ht="12.3" hidden="1" x14ac:dyDescent="0.4">
      <c r="A3826" s="2" t="s">
        <v>106</v>
      </c>
      <c r="B3826" s="2"/>
      <c r="C3826" s="2"/>
      <c r="D3826" s="2"/>
      <c r="E3826" s="2"/>
      <c r="F3826" s="2"/>
      <c r="G3826" s="2"/>
      <c r="H3826" s="2"/>
      <c r="I3826" s="2"/>
      <c r="J3826" s="2">
        <v>112</v>
      </c>
      <c r="K3826" s="2">
        <v>66.64</v>
      </c>
      <c r="L3826" s="2">
        <v>134</v>
      </c>
      <c r="M3826" s="2">
        <v>107.4195</v>
      </c>
      <c r="N3826" s="2">
        <v>48</v>
      </c>
      <c r="O3826" s="2">
        <v>107.7805</v>
      </c>
      <c r="P3826" s="2">
        <v>53</v>
      </c>
      <c r="Q3826" s="2">
        <v>106.1951</v>
      </c>
      <c r="R3826" s="2">
        <v>290</v>
      </c>
      <c r="S3826" s="2">
        <v>104.2371</v>
      </c>
      <c r="T3826" s="2">
        <v>245</v>
      </c>
      <c r="U3826" s="2">
        <v>0.59494199999999997</v>
      </c>
      <c r="V3826" s="2">
        <v>123</v>
      </c>
      <c r="W3826" s="2">
        <v>2013</v>
      </c>
    </row>
    <row r="3827" spans="1:23" ht="12.3" hidden="1" x14ac:dyDescent="0.4">
      <c r="A3827" s="2" t="s">
        <v>24</v>
      </c>
      <c r="B3827" s="2"/>
      <c r="C3827" s="2"/>
      <c r="D3827" s="2"/>
      <c r="E3827" s="2"/>
      <c r="F3827" s="2"/>
      <c r="G3827" s="2"/>
      <c r="H3827" s="2"/>
      <c r="I3827" s="2"/>
      <c r="J3827" s="2">
        <v>309</v>
      </c>
      <c r="K3827" s="2">
        <v>62.526400000000002</v>
      </c>
      <c r="L3827" s="2">
        <v>297</v>
      </c>
      <c r="M3827" s="2">
        <v>98.839500000000001</v>
      </c>
      <c r="N3827" s="2">
        <v>205</v>
      </c>
      <c r="O3827" s="2">
        <v>98.051900000000003</v>
      </c>
      <c r="P3827" s="2">
        <v>224</v>
      </c>
      <c r="Q3827" s="2">
        <v>96.602800000000002</v>
      </c>
      <c r="R3827" s="2">
        <v>81</v>
      </c>
      <c r="S3827" s="2">
        <v>94.9452</v>
      </c>
      <c r="T3827" s="2">
        <v>60</v>
      </c>
      <c r="U3827" s="2">
        <v>0.59152300000000002</v>
      </c>
      <c r="V3827" s="2">
        <v>124</v>
      </c>
      <c r="W3827" s="2">
        <v>2013</v>
      </c>
    </row>
    <row r="3828" spans="1:23" ht="12.3" hidden="1" x14ac:dyDescent="0.4">
      <c r="A3828" s="2" t="s">
        <v>220</v>
      </c>
      <c r="B3828" s="2"/>
      <c r="C3828" s="2"/>
      <c r="D3828" s="2"/>
      <c r="E3828" s="2"/>
      <c r="F3828" s="2"/>
      <c r="G3828" s="2"/>
      <c r="H3828" s="2"/>
      <c r="I3828" s="2"/>
      <c r="J3828" s="2">
        <v>318</v>
      </c>
      <c r="K3828" s="2">
        <v>61.742400000000004</v>
      </c>
      <c r="L3828" s="2">
        <v>317</v>
      </c>
      <c r="M3828" s="2">
        <v>102.4038</v>
      </c>
      <c r="N3828" s="2">
        <v>138</v>
      </c>
      <c r="O3828" s="2">
        <v>101.6511</v>
      </c>
      <c r="P3828" s="2">
        <v>151</v>
      </c>
      <c r="Q3828" s="2">
        <v>94.697699999999998</v>
      </c>
      <c r="R3828" s="2">
        <v>52</v>
      </c>
      <c r="S3828" s="2">
        <v>98.466300000000004</v>
      </c>
      <c r="T3828" s="2">
        <v>117</v>
      </c>
      <c r="U3828" s="2">
        <v>0.59050899999999995</v>
      </c>
      <c r="V3828" s="2">
        <v>125</v>
      </c>
      <c r="W3828" s="2">
        <v>2013</v>
      </c>
    </row>
    <row r="3829" spans="1:23" ht="12.3" hidden="1" x14ac:dyDescent="0.4">
      <c r="A3829" s="2" t="s">
        <v>194</v>
      </c>
      <c r="B3829" s="2"/>
      <c r="C3829" s="2"/>
      <c r="D3829" s="2"/>
      <c r="E3829" s="2"/>
      <c r="F3829" s="2"/>
      <c r="G3829" s="2"/>
      <c r="H3829" s="2"/>
      <c r="I3829" s="2"/>
      <c r="J3829" s="2">
        <v>57</v>
      </c>
      <c r="K3829" s="2">
        <v>68.989699999999999</v>
      </c>
      <c r="L3829" s="2">
        <v>45</v>
      </c>
      <c r="M3829" s="2">
        <v>105.8905</v>
      </c>
      <c r="N3829" s="2">
        <v>76</v>
      </c>
      <c r="O3829" s="2">
        <v>104.1063</v>
      </c>
      <c r="P3829" s="2">
        <v>108</v>
      </c>
      <c r="Q3829" s="2">
        <v>102.3049</v>
      </c>
      <c r="R3829" s="2">
        <v>205</v>
      </c>
      <c r="S3829" s="2">
        <v>100.9644</v>
      </c>
      <c r="T3829" s="2">
        <v>169</v>
      </c>
      <c r="U3829" s="2">
        <v>0.58720000000000006</v>
      </c>
      <c r="V3829" s="2">
        <v>126</v>
      </c>
      <c r="W3829" s="2">
        <v>2013</v>
      </c>
    </row>
    <row r="3830" spans="1:23" ht="12.3" x14ac:dyDescent="0.4">
      <c r="A3830" s="2" t="s">
        <v>170</v>
      </c>
      <c r="B3830" s="2">
        <v>12</v>
      </c>
      <c r="C3830" s="4"/>
      <c r="D3830" s="4"/>
      <c r="E3830" s="4"/>
      <c r="F3830" s="4"/>
      <c r="G3830" s="4"/>
      <c r="H3830" s="4"/>
      <c r="I3830" s="2">
        <v>67.527199999999993</v>
      </c>
      <c r="J3830" s="2">
        <v>215</v>
      </c>
      <c r="K3830" s="2">
        <v>67.371200000000002</v>
      </c>
      <c r="L3830" s="2">
        <v>214</v>
      </c>
      <c r="M3830" s="2">
        <v>110.25620000000001</v>
      </c>
      <c r="N3830" s="2">
        <v>23</v>
      </c>
      <c r="O3830" s="2">
        <v>109.3373</v>
      </c>
      <c r="P3830" s="2">
        <v>41</v>
      </c>
      <c r="Q3830" s="2">
        <v>99.803899999999999</v>
      </c>
      <c r="R3830" s="2">
        <v>140</v>
      </c>
      <c r="S3830" s="2">
        <v>100.9898</v>
      </c>
      <c r="T3830" s="2">
        <v>161</v>
      </c>
      <c r="U3830" s="2">
        <v>0.71367700000000001</v>
      </c>
      <c r="V3830" s="2">
        <v>75</v>
      </c>
      <c r="W3830" s="2">
        <v>2003</v>
      </c>
    </row>
    <row r="3831" spans="1:23" ht="12.3" hidden="1" x14ac:dyDescent="0.4">
      <c r="A3831" s="2" t="s">
        <v>63</v>
      </c>
      <c r="B3831" s="2"/>
      <c r="C3831" s="2"/>
      <c r="D3831" s="2"/>
      <c r="E3831" s="2"/>
      <c r="F3831" s="2"/>
      <c r="G3831" s="2"/>
      <c r="H3831" s="2"/>
      <c r="I3831" s="2"/>
      <c r="J3831" s="2">
        <v>80</v>
      </c>
      <c r="K3831" s="2">
        <v>67.8339</v>
      </c>
      <c r="L3831" s="2">
        <v>84</v>
      </c>
      <c r="M3831" s="2">
        <v>98.427199999999999</v>
      </c>
      <c r="N3831" s="2">
        <v>220</v>
      </c>
      <c r="O3831" s="2">
        <v>99.021299999999997</v>
      </c>
      <c r="P3831" s="2">
        <v>201</v>
      </c>
      <c r="Q3831" s="2">
        <v>97.820099999999996</v>
      </c>
      <c r="R3831" s="2">
        <v>107</v>
      </c>
      <c r="S3831" s="2">
        <v>96.158500000000004</v>
      </c>
      <c r="T3831" s="2">
        <v>78</v>
      </c>
      <c r="U3831" s="2">
        <v>0.58355400000000002</v>
      </c>
      <c r="V3831" s="2">
        <v>128</v>
      </c>
      <c r="W3831" s="2">
        <v>2013</v>
      </c>
    </row>
    <row r="3832" spans="1:23" ht="12.3" hidden="1" x14ac:dyDescent="0.4">
      <c r="A3832" s="2" t="s">
        <v>229</v>
      </c>
      <c r="B3832" s="2"/>
      <c r="C3832" s="2"/>
      <c r="D3832" s="2"/>
      <c r="E3832" s="2"/>
      <c r="F3832" s="2"/>
      <c r="G3832" s="2"/>
      <c r="H3832" s="2"/>
      <c r="I3832" s="2"/>
      <c r="J3832" s="2">
        <v>194</v>
      </c>
      <c r="K3832" s="2">
        <v>64.523200000000003</v>
      </c>
      <c r="L3832" s="2">
        <v>234</v>
      </c>
      <c r="M3832" s="2">
        <v>100.66540000000001</v>
      </c>
      <c r="N3832" s="2">
        <v>173</v>
      </c>
      <c r="O3832" s="2">
        <v>102.4579</v>
      </c>
      <c r="P3832" s="2">
        <v>139</v>
      </c>
      <c r="Q3832" s="2">
        <v>103.70050000000001</v>
      </c>
      <c r="R3832" s="2">
        <v>236</v>
      </c>
      <c r="S3832" s="2">
        <v>99.603399999999993</v>
      </c>
      <c r="T3832" s="2">
        <v>139</v>
      </c>
      <c r="U3832" s="2">
        <v>0.58052800000000004</v>
      </c>
      <c r="V3832" s="2">
        <v>129</v>
      </c>
      <c r="W3832" s="2">
        <v>2013</v>
      </c>
    </row>
    <row r="3833" spans="1:23" ht="12.3" hidden="1" x14ac:dyDescent="0.4">
      <c r="A3833" s="2" t="s">
        <v>189</v>
      </c>
      <c r="B3833" s="2"/>
      <c r="C3833" s="2"/>
      <c r="D3833" s="2"/>
      <c r="E3833" s="2"/>
      <c r="F3833" s="2"/>
      <c r="G3833" s="2"/>
      <c r="H3833" s="2"/>
      <c r="I3833" s="2"/>
      <c r="J3833" s="2">
        <v>344</v>
      </c>
      <c r="K3833" s="2">
        <v>59.465899999999998</v>
      </c>
      <c r="L3833" s="2">
        <v>345</v>
      </c>
      <c r="M3833" s="2">
        <v>106.9858</v>
      </c>
      <c r="N3833" s="2">
        <v>56</v>
      </c>
      <c r="O3833" s="2">
        <v>105.06010000000001</v>
      </c>
      <c r="P3833" s="2">
        <v>92</v>
      </c>
      <c r="Q3833" s="2">
        <v>104.38209999999999</v>
      </c>
      <c r="R3833" s="2">
        <v>252</v>
      </c>
      <c r="S3833" s="2">
        <v>102.2201</v>
      </c>
      <c r="T3833" s="2">
        <v>197</v>
      </c>
      <c r="U3833" s="2">
        <v>0.57814200000000004</v>
      </c>
      <c r="V3833" s="2">
        <v>130</v>
      </c>
      <c r="W3833" s="2">
        <v>2013</v>
      </c>
    </row>
    <row r="3834" spans="1:23" ht="12.3" x14ac:dyDescent="0.4">
      <c r="A3834" s="2" t="s">
        <v>180</v>
      </c>
      <c r="B3834" s="2">
        <v>14</v>
      </c>
      <c r="C3834" s="3"/>
      <c r="D3834" s="3"/>
      <c r="E3834" s="4"/>
      <c r="F3834" s="4"/>
      <c r="G3834" s="4"/>
      <c r="H3834" s="4"/>
      <c r="I3834" s="2">
        <v>73.087900000000005</v>
      </c>
      <c r="J3834" s="2">
        <v>30</v>
      </c>
      <c r="K3834" s="2">
        <v>72.262100000000004</v>
      </c>
      <c r="L3834" s="2">
        <v>39</v>
      </c>
      <c r="M3834" s="2">
        <v>108.5205</v>
      </c>
      <c r="N3834" s="2">
        <v>36</v>
      </c>
      <c r="O3834" s="2">
        <v>106.42619999999999</v>
      </c>
      <c r="P3834" s="2">
        <v>73</v>
      </c>
      <c r="Q3834" s="2">
        <v>96.7911</v>
      </c>
      <c r="R3834" s="2">
        <v>61</v>
      </c>
      <c r="S3834" s="2">
        <v>99.775199999999998</v>
      </c>
      <c r="T3834" s="2">
        <v>131</v>
      </c>
      <c r="U3834" s="2">
        <v>0.677458</v>
      </c>
      <c r="V3834" s="2">
        <v>88</v>
      </c>
      <c r="W3834" s="2">
        <v>2003</v>
      </c>
    </row>
    <row r="3835" spans="1:23" ht="12.3" hidden="1" x14ac:dyDescent="0.4">
      <c r="A3835" s="2" t="s">
        <v>110</v>
      </c>
      <c r="B3835" s="2"/>
      <c r="C3835" s="2"/>
      <c r="D3835" s="2"/>
      <c r="E3835" s="2"/>
      <c r="F3835" s="2"/>
      <c r="G3835" s="2"/>
      <c r="H3835" s="2"/>
      <c r="I3835" s="2"/>
      <c r="J3835" s="2">
        <v>175</v>
      </c>
      <c r="K3835" s="2">
        <v>65.905699999999996</v>
      </c>
      <c r="L3835" s="2">
        <v>173</v>
      </c>
      <c r="M3835" s="2">
        <v>100.3377</v>
      </c>
      <c r="N3835" s="2">
        <v>179</v>
      </c>
      <c r="O3835" s="2">
        <v>100.0086</v>
      </c>
      <c r="P3835" s="2">
        <v>187</v>
      </c>
      <c r="Q3835" s="2">
        <v>98.984200000000001</v>
      </c>
      <c r="R3835" s="2">
        <v>139</v>
      </c>
      <c r="S3835" s="2">
        <v>97.504900000000006</v>
      </c>
      <c r="T3835" s="2">
        <v>104</v>
      </c>
      <c r="U3835" s="2">
        <v>0.57238199999999995</v>
      </c>
      <c r="V3835" s="2">
        <v>132</v>
      </c>
      <c r="W3835" s="2">
        <v>2013</v>
      </c>
    </row>
    <row r="3836" spans="1:23" ht="12.3" hidden="1" x14ac:dyDescent="0.4">
      <c r="A3836" s="2" t="s">
        <v>139</v>
      </c>
      <c r="B3836" s="2"/>
      <c r="C3836" s="2"/>
      <c r="D3836" s="2"/>
      <c r="E3836" s="2"/>
      <c r="F3836" s="2"/>
      <c r="G3836" s="2"/>
      <c r="H3836" s="2"/>
      <c r="I3836" s="2"/>
      <c r="J3836" s="2">
        <v>302</v>
      </c>
      <c r="K3836" s="2">
        <v>61.831899999999997</v>
      </c>
      <c r="L3836" s="2">
        <v>315</v>
      </c>
      <c r="M3836" s="2">
        <v>92.728399999999993</v>
      </c>
      <c r="N3836" s="2">
        <v>305</v>
      </c>
      <c r="O3836" s="2">
        <v>94.344200000000001</v>
      </c>
      <c r="P3836" s="2">
        <v>288</v>
      </c>
      <c r="Q3836" s="2">
        <v>94.819900000000004</v>
      </c>
      <c r="R3836" s="2">
        <v>54</v>
      </c>
      <c r="S3836" s="2">
        <v>92.006399999999999</v>
      </c>
      <c r="T3836" s="2">
        <v>27</v>
      </c>
      <c r="U3836" s="2">
        <v>0.57164099999999995</v>
      </c>
      <c r="V3836" s="2">
        <v>133</v>
      </c>
      <c r="W3836" s="2">
        <v>2013</v>
      </c>
    </row>
    <row r="3837" spans="1:23" ht="12.3" x14ac:dyDescent="0.4">
      <c r="A3837" s="2" t="s">
        <v>157</v>
      </c>
      <c r="B3837" s="2">
        <v>14</v>
      </c>
      <c r="C3837" s="4"/>
      <c r="D3837" s="4"/>
      <c r="E3837" s="4"/>
      <c r="F3837" s="4"/>
      <c r="G3837" s="4"/>
      <c r="H3837" s="4"/>
      <c r="I3837" s="2">
        <v>68.406499999999994</v>
      </c>
      <c r="J3837" s="2">
        <v>172</v>
      </c>
      <c r="K3837" s="2">
        <v>68.403700000000001</v>
      </c>
      <c r="L3837" s="2">
        <v>168</v>
      </c>
      <c r="M3837" s="2">
        <v>107.6463</v>
      </c>
      <c r="N3837" s="2">
        <v>49</v>
      </c>
      <c r="O3837" s="2">
        <v>110.18</v>
      </c>
      <c r="P3837" s="2">
        <v>29</v>
      </c>
      <c r="Q3837" s="2">
        <v>106.2933</v>
      </c>
      <c r="R3837" s="2">
        <v>270</v>
      </c>
      <c r="S3837" s="2">
        <v>104.26900000000001</v>
      </c>
      <c r="T3837" s="2">
        <v>224</v>
      </c>
      <c r="U3837" s="2">
        <v>0.653424</v>
      </c>
      <c r="V3837" s="2">
        <v>93</v>
      </c>
      <c r="W3837" s="2">
        <v>2003</v>
      </c>
    </row>
    <row r="3838" spans="1:23" ht="12.3" hidden="1" x14ac:dyDescent="0.4">
      <c r="A3838" s="2" t="s">
        <v>61</v>
      </c>
      <c r="B3838" s="2"/>
      <c r="C3838" s="2"/>
      <c r="D3838" s="2"/>
      <c r="E3838" s="2"/>
      <c r="F3838" s="2"/>
      <c r="G3838" s="2"/>
      <c r="H3838" s="2"/>
      <c r="I3838" s="2"/>
      <c r="J3838" s="2">
        <v>43</v>
      </c>
      <c r="K3838" s="2">
        <v>69.289299999999997</v>
      </c>
      <c r="L3838" s="2">
        <v>37</v>
      </c>
      <c r="M3838" s="2">
        <v>97.503900000000002</v>
      </c>
      <c r="N3838" s="2">
        <v>234</v>
      </c>
      <c r="O3838" s="2">
        <v>99.065100000000001</v>
      </c>
      <c r="P3838" s="2">
        <v>199</v>
      </c>
      <c r="Q3838" s="2">
        <v>101.27509999999999</v>
      </c>
      <c r="R3838" s="2">
        <v>180</v>
      </c>
      <c r="S3838" s="2">
        <v>96.712400000000002</v>
      </c>
      <c r="T3838" s="2">
        <v>89</v>
      </c>
      <c r="U3838" s="2">
        <v>0.568666</v>
      </c>
      <c r="V3838" s="2">
        <v>135</v>
      </c>
      <c r="W3838" s="2">
        <v>2013</v>
      </c>
    </row>
    <row r="3839" spans="1:23" ht="12.3" hidden="1" x14ac:dyDescent="0.4">
      <c r="A3839" s="2" t="s">
        <v>181</v>
      </c>
      <c r="B3839" s="2"/>
      <c r="C3839" s="2"/>
      <c r="D3839" s="2"/>
      <c r="E3839" s="2"/>
      <c r="F3839" s="2"/>
      <c r="G3839" s="2"/>
      <c r="H3839" s="2"/>
      <c r="I3839" s="2"/>
      <c r="J3839" s="2">
        <v>133</v>
      </c>
      <c r="K3839" s="2">
        <v>65.902900000000002</v>
      </c>
      <c r="L3839" s="2">
        <v>174</v>
      </c>
      <c r="M3839" s="2">
        <v>106.49979999999999</v>
      </c>
      <c r="N3839" s="2">
        <v>67</v>
      </c>
      <c r="O3839" s="2">
        <v>103.4421</v>
      </c>
      <c r="P3839" s="2">
        <v>124</v>
      </c>
      <c r="Q3839" s="2">
        <v>100.2291</v>
      </c>
      <c r="R3839" s="2">
        <v>159</v>
      </c>
      <c r="S3839" s="2">
        <v>101.19880000000001</v>
      </c>
      <c r="T3839" s="2">
        <v>174</v>
      </c>
      <c r="U3839" s="2">
        <v>0.56270200000000004</v>
      </c>
      <c r="V3839" s="2">
        <v>136</v>
      </c>
      <c r="W3839" s="2">
        <v>2013</v>
      </c>
    </row>
    <row r="3840" spans="1:23" ht="12.3" hidden="1" x14ac:dyDescent="0.4">
      <c r="A3840" s="2" t="s">
        <v>173</v>
      </c>
      <c r="B3840" s="2"/>
      <c r="C3840" s="2"/>
      <c r="D3840" s="2"/>
      <c r="E3840" s="2"/>
      <c r="F3840" s="2"/>
      <c r="G3840" s="2"/>
      <c r="H3840" s="2"/>
      <c r="I3840" s="2"/>
      <c r="J3840" s="2">
        <v>165</v>
      </c>
      <c r="K3840" s="2">
        <v>66.928899999999999</v>
      </c>
      <c r="L3840" s="2">
        <v>124</v>
      </c>
      <c r="M3840" s="2">
        <v>103.4671</v>
      </c>
      <c r="N3840" s="2">
        <v>115</v>
      </c>
      <c r="O3840" s="2">
        <v>105.42489999999999</v>
      </c>
      <c r="P3840" s="2">
        <v>81</v>
      </c>
      <c r="Q3840" s="2">
        <v>103.9562</v>
      </c>
      <c r="R3840" s="2">
        <v>243</v>
      </c>
      <c r="S3840" s="2">
        <v>103.2741</v>
      </c>
      <c r="T3840" s="2">
        <v>218</v>
      </c>
      <c r="U3840" s="2">
        <v>0.55898300000000001</v>
      </c>
      <c r="V3840" s="2">
        <v>137</v>
      </c>
      <c r="W3840" s="2">
        <v>2013</v>
      </c>
    </row>
    <row r="3841" spans="1:23" ht="12.3" hidden="1" x14ac:dyDescent="0.4">
      <c r="A3841" s="2" t="s">
        <v>136</v>
      </c>
      <c r="B3841" s="2"/>
      <c r="C3841" s="2"/>
      <c r="D3841" s="2"/>
      <c r="E3841" s="2"/>
      <c r="F3841" s="2"/>
      <c r="G3841" s="2"/>
      <c r="H3841" s="2"/>
      <c r="I3841" s="2"/>
      <c r="J3841" s="2">
        <v>321</v>
      </c>
      <c r="K3841" s="2">
        <v>61.8643</v>
      </c>
      <c r="L3841" s="2">
        <v>314</v>
      </c>
      <c r="M3841" s="2">
        <v>94.438999999999993</v>
      </c>
      <c r="N3841" s="2">
        <v>287</v>
      </c>
      <c r="O3841" s="2">
        <v>100.2869</v>
      </c>
      <c r="P3841" s="2">
        <v>181</v>
      </c>
      <c r="Q3841" s="2">
        <v>103.20189999999999</v>
      </c>
      <c r="R3841" s="2">
        <v>226</v>
      </c>
      <c r="S3841" s="2">
        <v>98.268500000000003</v>
      </c>
      <c r="T3841" s="2">
        <v>113</v>
      </c>
      <c r="U3841" s="2">
        <v>0.55818900000000005</v>
      </c>
      <c r="V3841" s="2">
        <v>138</v>
      </c>
      <c r="W3841" s="2">
        <v>2013</v>
      </c>
    </row>
    <row r="3842" spans="1:23" ht="12.3" hidden="1" x14ac:dyDescent="0.4">
      <c r="A3842" s="2" t="s">
        <v>318</v>
      </c>
      <c r="B3842" s="2"/>
      <c r="C3842" s="2"/>
      <c r="D3842" s="2"/>
      <c r="E3842" s="2"/>
      <c r="F3842" s="2"/>
      <c r="G3842" s="2"/>
      <c r="H3842" s="2"/>
      <c r="I3842" s="2"/>
      <c r="J3842" s="2">
        <v>297</v>
      </c>
      <c r="K3842" s="2">
        <v>62.4285</v>
      </c>
      <c r="L3842" s="2">
        <v>301</v>
      </c>
      <c r="M3842" s="2">
        <v>102.86920000000001</v>
      </c>
      <c r="N3842" s="2">
        <v>126</v>
      </c>
      <c r="O3842" s="2">
        <v>100.9819</v>
      </c>
      <c r="P3842" s="2">
        <v>166</v>
      </c>
      <c r="Q3842" s="2">
        <v>94.2684</v>
      </c>
      <c r="R3842" s="2">
        <v>47</v>
      </c>
      <c r="S3842" s="2">
        <v>99.054000000000002</v>
      </c>
      <c r="T3842" s="2">
        <v>130</v>
      </c>
      <c r="U3842" s="2">
        <v>0.55519399999999997</v>
      </c>
      <c r="V3842" s="2">
        <v>139</v>
      </c>
      <c r="W3842" s="2">
        <v>2013</v>
      </c>
    </row>
    <row r="3843" spans="1:23" ht="12.3" hidden="1" x14ac:dyDescent="0.4">
      <c r="A3843" s="2" t="s">
        <v>177</v>
      </c>
      <c r="B3843" s="2"/>
      <c r="C3843" s="2"/>
      <c r="D3843" s="2"/>
      <c r="E3843" s="2"/>
      <c r="F3843" s="2"/>
      <c r="G3843" s="2"/>
      <c r="H3843" s="2"/>
      <c r="I3843" s="2"/>
      <c r="J3843" s="2">
        <v>164</v>
      </c>
      <c r="K3843" s="2">
        <v>66.067700000000002</v>
      </c>
      <c r="L3843" s="2">
        <v>163</v>
      </c>
      <c r="M3843" s="2">
        <v>105.1121</v>
      </c>
      <c r="N3843" s="2">
        <v>89</v>
      </c>
      <c r="O3843" s="2">
        <v>103.6597</v>
      </c>
      <c r="P3843" s="2">
        <v>119</v>
      </c>
      <c r="Q3843" s="2">
        <v>101.4331</v>
      </c>
      <c r="R3843" s="2">
        <v>184</v>
      </c>
      <c r="S3843" s="2">
        <v>101.7817</v>
      </c>
      <c r="T3843" s="2">
        <v>189</v>
      </c>
      <c r="U3843" s="2">
        <v>0.55237000000000003</v>
      </c>
      <c r="V3843" s="2">
        <v>140</v>
      </c>
      <c r="W3843" s="2">
        <v>2013</v>
      </c>
    </row>
    <row r="3844" spans="1:23" ht="12.3" hidden="1" x14ac:dyDescent="0.4">
      <c r="A3844" s="2" t="s">
        <v>203</v>
      </c>
      <c r="B3844" s="2"/>
      <c r="C3844" s="2"/>
      <c r="D3844" s="2"/>
      <c r="E3844" s="2"/>
      <c r="F3844" s="2"/>
      <c r="G3844" s="2"/>
      <c r="H3844" s="2"/>
      <c r="I3844" s="2"/>
      <c r="J3844" s="2">
        <v>199</v>
      </c>
      <c r="K3844" s="2">
        <v>65.949600000000004</v>
      </c>
      <c r="L3844" s="2">
        <v>169</v>
      </c>
      <c r="M3844" s="2">
        <v>103.2925</v>
      </c>
      <c r="N3844" s="2">
        <v>119</v>
      </c>
      <c r="O3844" s="2">
        <v>103.76860000000001</v>
      </c>
      <c r="P3844" s="2">
        <v>117</v>
      </c>
      <c r="Q3844" s="2">
        <v>97.626300000000001</v>
      </c>
      <c r="R3844" s="2">
        <v>103</v>
      </c>
      <c r="S3844" s="2">
        <v>101.9151</v>
      </c>
      <c r="T3844" s="2">
        <v>192</v>
      </c>
      <c r="U3844" s="2">
        <v>0.55163200000000001</v>
      </c>
      <c r="V3844" s="2">
        <v>141</v>
      </c>
      <c r="W3844" s="2">
        <v>2013</v>
      </c>
    </row>
    <row r="3845" spans="1:23" ht="12.3" x14ac:dyDescent="0.4">
      <c r="A3845" s="2" t="s">
        <v>98</v>
      </c>
      <c r="B3845" s="2">
        <v>15</v>
      </c>
      <c r="C3845" s="4"/>
      <c r="D3845" s="4"/>
      <c r="E3845" s="4"/>
      <c r="F3845" s="4"/>
      <c r="G3845" s="4"/>
      <c r="H3845" s="4"/>
      <c r="I3845" s="2">
        <v>60.845599999999997</v>
      </c>
      <c r="J3845" s="2">
        <v>318</v>
      </c>
      <c r="K3845" s="2">
        <v>62.792400000000001</v>
      </c>
      <c r="L3845" s="2">
        <v>314</v>
      </c>
      <c r="M3845" s="2">
        <v>107.502</v>
      </c>
      <c r="N3845" s="2">
        <v>52</v>
      </c>
      <c r="O3845" s="2">
        <v>105.03060000000001</v>
      </c>
      <c r="P3845" s="2">
        <v>93</v>
      </c>
      <c r="Q3845" s="2">
        <v>97.937200000000004</v>
      </c>
      <c r="R3845" s="2">
        <v>87</v>
      </c>
      <c r="S3845" s="2">
        <v>99.805099999999996</v>
      </c>
      <c r="T3845" s="2">
        <v>133</v>
      </c>
      <c r="U3845" s="2">
        <v>0.64264600000000005</v>
      </c>
      <c r="V3845" s="2">
        <v>101</v>
      </c>
      <c r="W3845" s="2">
        <v>2003</v>
      </c>
    </row>
    <row r="3846" spans="1:23" ht="12.3" hidden="1" x14ac:dyDescent="0.4">
      <c r="A3846" s="2" t="s">
        <v>270</v>
      </c>
      <c r="B3846" s="2"/>
      <c r="C3846" s="2"/>
      <c r="D3846" s="2"/>
      <c r="E3846" s="2"/>
      <c r="F3846" s="2"/>
      <c r="G3846" s="2"/>
      <c r="H3846" s="2"/>
      <c r="I3846" s="2"/>
      <c r="J3846" s="2">
        <v>162</v>
      </c>
      <c r="K3846" s="2">
        <v>66.502399999999994</v>
      </c>
      <c r="L3846" s="2">
        <v>140</v>
      </c>
      <c r="M3846" s="2">
        <v>96.683999999999997</v>
      </c>
      <c r="N3846" s="2">
        <v>247</v>
      </c>
      <c r="O3846" s="2">
        <v>97.853499999999997</v>
      </c>
      <c r="P3846" s="2">
        <v>229</v>
      </c>
      <c r="Q3846" s="2">
        <v>94.381799999999998</v>
      </c>
      <c r="R3846" s="2">
        <v>48</v>
      </c>
      <c r="S3846" s="2">
        <v>96.292199999999994</v>
      </c>
      <c r="T3846" s="2">
        <v>81</v>
      </c>
      <c r="U3846" s="2">
        <v>0.54611100000000001</v>
      </c>
      <c r="V3846" s="2">
        <v>143</v>
      </c>
      <c r="W3846" s="2">
        <v>2013</v>
      </c>
    </row>
    <row r="3847" spans="1:23" ht="12.3" hidden="1" x14ac:dyDescent="0.4">
      <c r="A3847" s="2" t="s">
        <v>124</v>
      </c>
      <c r="B3847" s="2"/>
      <c r="C3847" s="2"/>
      <c r="D3847" s="2"/>
      <c r="E3847" s="2"/>
      <c r="F3847" s="2"/>
      <c r="G3847" s="2"/>
      <c r="H3847" s="2"/>
      <c r="I3847" s="2"/>
      <c r="J3847" s="2">
        <v>326</v>
      </c>
      <c r="K3847" s="2">
        <v>61.1676</v>
      </c>
      <c r="L3847" s="2">
        <v>325</v>
      </c>
      <c r="M3847" s="2">
        <v>98.435599999999994</v>
      </c>
      <c r="N3847" s="2">
        <v>219</v>
      </c>
      <c r="O3847" s="2">
        <v>101.5038</v>
      </c>
      <c r="P3847" s="2">
        <v>153</v>
      </c>
      <c r="Q3847" s="2">
        <v>103.5566</v>
      </c>
      <c r="R3847" s="2">
        <v>230</v>
      </c>
      <c r="S3847" s="2">
        <v>99.891099999999994</v>
      </c>
      <c r="T3847" s="2">
        <v>143</v>
      </c>
      <c r="U3847" s="2">
        <v>0.54591500000000004</v>
      </c>
      <c r="V3847" s="2">
        <v>144</v>
      </c>
      <c r="W3847" s="2">
        <v>2013</v>
      </c>
    </row>
    <row r="3848" spans="1:23" ht="12.3" hidden="1" x14ac:dyDescent="0.4">
      <c r="A3848" s="2" t="s">
        <v>307</v>
      </c>
      <c r="B3848" s="2"/>
      <c r="C3848" s="2"/>
      <c r="D3848" s="2"/>
      <c r="E3848" s="2"/>
      <c r="F3848" s="2"/>
      <c r="G3848" s="2"/>
      <c r="H3848" s="2"/>
      <c r="I3848" s="2"/>
      <c r="J3848" s="2">
        <v>137</v>
      </c>
      <c r="K3848" s="2">
        <v>65.059100000000001</v>
      </c>
      <c r="L3848" s="2">
        <v>212</v>
      </c>
      <c r="M3848" s="2">
        <v>106.852</v>
      </c>
      <c r="N3848" s="2">
        <v>59</v>
      </c>
      <c r="O3848" s="2">
        <v>102.1726</v>
      </c>
      <c r="P3848" s="2">
        <v>143</v>
      </c>
      <c r="Q3848" s="2">
        <v>98.192300000000003</v>
      </c>
      <c r="R3848" s="2">
        <v>118</v>
      </c>
      <c r="S3848" s="2">
        <v>100.57940000000001</v>
      </c>
      <c r="T3848" s="2">
        <v>162</v>
      </c>
      <c r="U3848" s="2">
        <v>0.54505899999999996</v>
      </c>
      <c r="V3848" s="2">
        <v>145</v>
      </c>
      <c r="W3848" s="2">
        <v>2013</v>
      </c>
    </row>
    <row r="3849" spans="1:23" ht="12.3" hidden="1" x14ac:dyDescent="0.4">
      <c r="A3849" s="2" t="s">
        <v>188</v>
      </c>
      <c r="B3849" s="2"/>
      <c r="C3849" s="2"/>
      <c r="D3849" s="2"/>
      <c r="E3849" s="2"/>
      <c r="F3849" s="2"/>
      <c r="G3849" s="2"/>
      <c r="H3849" s="2"/>
      <c r="I3849" s="2"/>
      <c r="J3849" s="2">
        <v>120</v>
      </c>
      <c r="K3849" s="2">
        <v>66.831999999999994</v>
      </c>
      <c r="L3849" s="2">
        <v>128</v>
      </c>
      <c r="M3849" s="2">
        <v>102.6935</v>
      </c>
      <c r="N3849" s="2">
        <v>129</v>
      </c>
      <c r="O3849" s="2">
        <v>104.3077</v>
      </c>
      <c r="P3849" s="2">
        <v>105</v>
      </c>
      <c r="Q3849" s="2">
        <v>104.58580000000001</v>
      </c>
      <c r="R3849" s="2">
        <v>259</v>
      </c>
      <c r="S3849" s="2">
        <v>102.8327</v>
      </c>
      <c r="T3849" s="2">
        <v>208</v>
      </c>
      <c r="U3849" s="2">
        <v>0.54085399999999995</v>
      </c>
      <c r="V3849" s="2">
        <v>146</v>
      </c>
      <c r="W3849" s="2">
        <v>2013</v>
      </c>
    </row>
    <row r="3850" spans="1:23" ht="12.3" hidden="1" x14ac:dyDescent="0.4">
      <c r="A3850" s="2" t="s">
        <v>172</v>
      </c>
      <c r="B3850" s="2"/>
      <c r="C3850" s="2"/>
      <c r="D3850" s="2"/>
      <c r="E3850" s="2"/>
      <c r="F3850" s="2"/>
      <c r="G3850" s="2"/>
      <c r="H3850" s="2"/>
      <c r="I3850" s="2"/>
      <c r="J3850" s="2">
        <v>152</v>
      </c>
      <c r="K3850" s="2">
        <v>65.75</v>
      </c>
      <c r="L3850" s="2">
        <v>177</v>
      </c>
      <c r="M3850" s="2">
        <v>100.4128</v>
      </c>
      <c r="N3850" s="2">
        <v>177</v>
      </c>
      <c r="O3850" s="2">
        <v>96.174300000000002</v>
      </c>
      <c r="P3850" s="2">
        <v>256</v>
      </c>
      <c r="Q3850" s="2">
        <v>92.758799999999994</v>
      </c>
      <c r="R3850" s="2">
        <v>34</v>
      </c>
      <c r="S3850" s="2">
        <v>94.828400000000002</v>
      </c>
      <c r="T3850" s="2">
        <v>56</v>
      </c>
      <c r="U3850" s="2">
        <v>0.54043099999999999</v>
      </c>
      <c r="V3850" s="2">
        <v>147</v>
      </c>
      <c r="W3850" s="2">
        <v>2013</v>
      </c>
    </row>
    <row r="3851" spans="1:23" ht="12.3" hidden="1" x14ac:dyDescent="0.4">
      <c r="A3851" s="2" t="s">
        <v>162</v>
      </c>
      <c r="B3851" s="2"/>
      <c r="C3851" s="2"/>
      <c r="D3851" s="2"/>
      <c r="E3851" s="2"/>
      <c r="F3851" s="2"/>
      <c r="G3851" s="2"/>
      <c r="H3851" s="2"/>
      <c r="I3851" s="2"/>
      <c r="J3851" s="2">
        <v>210</v>
      </c>
      <c r="K3851" s="2">
        <v>65.477099999999993</v>
      </c>
      <c r="L3851" s="2">
        <v>188</v>
      </c>
      <c r="M3851" s="2">
        <v>101.9842</v>
      </c>
      <c r="N3851" s="2">
        <v>148</v>
      </c>
      <c r="O3851" s="2">
        <v>101.476</v>
      </c>
      <c r="P3851" s="2">
        <v>154</v>
      </c>
      <c r="Q3851" s="2">
        <v>98.535300000000007</v>
      </c>
      <c r="R3851" s="2">
        <v>130</v>
      </c>
      <c r="S3851" s="2">
        <v>100.0616</v>
      </c>
      <c r="T3851" s="2">
        <v>149</v>
      </c>
      <c r="U3851" s="2">
        <v>0.54026600000000002</v>
      </c>
      <c r="V3851" s="2">
        <v>148</v>
      </c>
      <c r="W3851" s="2">
        <v>2013</v>
      </c>
    </row>
    <row r="3852" spans="1:23" ht="12.3" hidden="1" x14ac:dyDescent="0.4">
      <c r="A3852" s="2" t="s">
        <v>105</v>
      </c>
      <c r="B3852" s="2"/>
      <c r="C3852" s="2"/>
      <c r="D3852" s="2"/>
      <c r="E3852" s="2"/>
      <c r="F3852" s="2"/>
      <c r="G3852" s="2"/>
      <c r="H3852" s="2"/>
      <c r="I3852" s="2"/>
      <c r="J3852" s="2">
        <v>249</v>
      </c>
      <c r="K3852" s="2">
        <v>64.727800000000002</v>
      </c>
      <c r="L3852" s="2">
        <v>228</v>
      </c>
      <c r="M3852" s="2">
        <v>102.42359999999999</v>
      </c>
      <c r="N3852" s="2">
        <v>137</v>
      </c>
      <c r="O3852" s="2">
        <v>99.695599999999999</v>
      </c>
      <c r="P3852" s="2">
        <v>192</v>
      </c>
      <c r="Q3852" s="2">
        <v>96.067599999999999</v>
      </c>
      <c r="R3852" s="2">
        <v>72</v>
      </c>
      <c r="S3852" s="2">
        <v>98.378900000000002</v>
      </c>
      <c r="T3852" s="2">
        <v>116</v>
      </c>
      <c r="U3852" s="2">
        <v>0.53815000000000002</v>
      </c>
      <c r="V3852" s="2">
        <v>149</v>
      </c>
      <c r="W3852" s="2">
        <v>2013</v>
      </c>
    </row>
    <row r="3853" spans="1:23" ht="12.3" hidden="1" x14ac:dyDescent="0.4">
      <c r="A3853" s="2" t="s">
        <v>273</v>
      </c>
      <c r="B3853" s="2"/>
      <c r="C3853" s="2"/>
      <c r="D3853" s="2"/>
      <c r="E3853" s="2"/>
      <c r="F3853" s="2"/>
      <c r="G3853" s="2"/>
      <c r="H3853" s="2"/>
      <c r="I3853" s="2"/>
      <c r="J3853" s="2">
        <v>188</v>
      </c>
      <c r="K3853" s="2">
        <v>65.580200000000005</v>
      </c>
      <c r="L3853" s="2">
        <v>186</v>
      </c>
      <c r="M3853" s="2">
        <v>104.3634</v>
      </c>
      <c r="N3853" s="2">
        <v>98</v>
      </c>
      <c r="O3853" s="2">
        <v>105.6302</v>
      </c>
      <c r="P3853" s="2">
        <v>80</v>
      </c>
      <c r="Q3853" s="2">
        <v>104.5164</v>
      </c>
      <c r="R3853" s="2">
        <v>256</v>
      </c>
      <c r="S3853" s="2">
        <v>104.3068</v>
      </c>
      <c r="T3853" s="2">
        <v>246</v>
      </c>
      <c r="U3853" s="2">
        <v>0.53618399999999999</v>
      </c>
      <c r="V3853" s="2">
        <v>150</v>
      </c>
      <c r="W3853" s="2">
        <v>2013</v>
      </c>
    </row>
    <row r="3854" spans="1:23" ht="12.3" hidden="1" x14ac:dyDescent="0.4">
      <c r="A3854" s="2" t="s">
        <v>147</v>
      </c>
      <c r="B3854" s="2"/>
      <c r="C3854" s="2"/>
      <c r="D3854" s="2"/>
      <c r="E3854" s="2"/>
      <c r="F3854" s="2"/>
      <c r="G3854" s="2"/>
      <c r="H3854" s="2"/>
      <c r="I3854" s="2"/>
      <c r="J3854" s="2">
        <v>219</v>
      </c>
      <c r="K3854" s="2">
        <v>66.176500000000004</v>
      </c>
      <c r="L3854" s="2">
        <v>158</v>
      </c>
      <c r="M3854" s="2">
        <v>101.8712</v>
      </c>
      <c r="N3854" s="2">
        <v>150</v>
      </c>
      <c r="O3854" s="2">
        <v>101.7377</v>
      </c>
      <c r="P3854" s="2">
        <v>149</v>
      </c>
      <c r="Q3854" s="2">
        <v>98.371200000000002</v>
      </c>
      <c r="R3854" s="2">
        <v>126</v>
      </c>
      <c r="S3854" s="2">
        <v>100.51390000000001</v>
      </c>
      <c r="T3854" s="2">
        <v>161</v>
      </c>
      <c r="U3854" s="2">
        <v>0.53473700000000002</v>
      </c>
      <c r="V3854" s="2">
        <v>151</v>
      </c>
      <c r="W3854" s="2">
        <v>2013</v>
      </c>
    </row>
    <row r="3855" spans="1:23" ht="12.3" hidden="1" x14ac:dyDescent="0.4">
      <c r="A3855" s="2" t="s">
        <v>103</v>
      </c>
      <c r="B3855" s="2"/>
      <c r="C3855" s="2"/>
      <c r="D3855" s="2"/>
      <c r="E3855" s="2"/>
      <c r="F3855" s="2"/>
      <c r="G3855" s="2"/>
      <c r="H3855" s="2"/>
      <c r="I3855" s="2"/>
      <c r="J3855" s="2">
        <v>343</v>
      </c>
      <c r="K3855" s="2">
        <v>60.014499999999998</v>
      </c>
      <c r="L3855" s="2">
        <v>342</v>
      </c>
      <c r="M3855" s="2">
        <v>95.31</v>
      </c>
      <c r="N3855" s="2">
        <v>277</v>
      </c>
      <c r="O3855" s="2">
        <v>99.890199999999993</v>
      </c>
      <c r="P3855" s="2">
        <v>188</v>
      </c>
      <c r="Q3855" s="2">
        <v>101.2574</v>
      </c>
      <c r="R3855" s="2">
        <v>179</v>
      </c>
      <c r="S3855" s="2">
        <v>98.713300000000004</v>
      </c>
      <c r="T3855" s="2">
        <v>124</v>
      </c>
      <c r="U3855" s="2">
        <v>0.53401900000000002</v>
      </c>
      <c r="V3855" s="2">
        <v>152</v>
      </c>
      <c r="W3855" s="2">
        <v>2013</v>
      </c>
    </row>
    <row r="3856" spans="1:23" ht="12.3" hidden="1" x14ac:dyDescent="0.4">
      <c r="A3856" s="2" t="s">
        <v>182</v>
      </c>
      <c r="B3856" s="2"/>
      <c r="C3856" s="2"/>
      <c r="D3856" s="2"/>
      <c r="E3856" s="2"/>
      <c r="F3856" s="2"/>
      <c r="G3856" s="2"/>
      <c r="H3856" s="2"/>
      <c r="I3856" s="2"/>
      <c r="J3856" s="2">
        <v>171</v>
      </c>
      <c r="K3856" s="2">
        <v>65.728700000000003</v>
      </c>
      <c r="L3856" s="2">
        <v>179</v>
      </c>
      <c r="M3856" s="2">
        <v>97.143100000000004</v>
      </c>
      <c r="N3856" s="2">
        <v>241</v>
      </c>
      <c r="O3856" s="2">
        <v>97.238799999999998</v>
      </c>
      <c r="P3856" s="2">
        <v>241</v>
      </c>
      <c r="Q3856" s="2">
        <v>96.1661</v>
      </c>
      <c r="R3856" s="2">
        <v>75</v>
      </c>
      <c r="S3856" s="2">
        <v>96.292299999999997</v>
      </c>
      <c r="T3856" s="2">
        <v>82</v>
      </c>
      <c r="U3856" s="2">
        <v>0.52809200000000001</v>
      </c>
      <c r="V3856" s="2">
        <v>153</v>
      </c>
      <c r="W3856" s="2">
        <v>2013</v>
      </c>
    </row>
    <row r="3857" spans="1:23" ht="12.3" hidden="1" x14ac:dyDescent="0.4">
      <c r="A3857" s="2" t="s">
        <v>285</v>
      </c>
      <c r="B3857" s="2"/>
      <c r="C3857" s="2"/>
      <c r="D3857" s="2"/>
      <c r="E3857" s="2"/>
      <c r="F3857" s="2"/>
      <c r="G3857" s="2"/>
      <c r="H3857" s="2"/>
      <c r="I3857" s="2"/>
      <c r="J3857" s="2">
        <v>347</v>
      </c>
      <c r="K3857" s="2">
        <v>57.782600000000002</v>
      </c>
      <c r="L3857" s="2">
        <v>347</v>
      </c>
      <c r="M3857" s="2">
        <v>98.797200000000004</v>
      </c>
      <c r="N3857" s="2">
        <v>208</v>
      </c>
      <c r="O3857" s="2">
        <v>94.210599999999999</v>
      </c>
      <c r="P3857" s="2">
        <v>292</v>
      </c>
      <c r="Q3857" s="2">
        <v>91.940299999999993</v>
      </c>
      <c r="R3857" s="2">
        <v>24</v>
      </c>
      <c r="S3857" s="2">
        <v>93.335999999999999</v>
      </c>
      <c r="T3857" s="2">
        <v>37</v>
      </c>
      <c r="U3857" s="2">
        <v>0.52678899999999995</v>
      </c>
      <c r="V3857" s="2">
        <v>154</v>
      </c>
      <c r="W3857" s="2">
        <v>2013</v>
      </c>
    </row>
    <row r="3858" spans="1:23" ht="12.3" hidden="1" x14ac:dyDescent="0.4">
      <c r="A3858" s="2" t="s">
        <v>314</v>
      </c>
      <c r="B3858" s="2"/>
      <c r="C3858" s="2"/>
      <c r="D3858" s="2"/>
      <c r="E3858" s="2"/>
      <c r="F3858" s="2"/>
      <c r="G3858" s="2"/>
      <c r="H3858" s="2"/>
      <c r="I3858" s="2"/>
      <c r="J3858" s="2">
        <v>105</v>
      </c>
      <c r="K3858" s="2">
        <v>68.341999999999999</v>
      </c>
      <c r="L3858" s="2">
        <v>66</v>
      </c>
      <c r="M3858" s="2">
        <v>105.43510000000001</v>
      </c>
      <c r="N3858" s="2">
        <v>83</v>
      </c>
      <c r="O3858" s="2">
        <v>103.8258</v>
      </c>
      <c r="P3858" s="2">
        <v>116</v>
      </c>
      <c r="Q3858" s="2">
        <v>101.136</v>
      </c>
      <c r="R3858" s="2">
        <v>176</v>
      </c>
      <c r="S3858" s="2">
        <v>103.07089999999999</v>
      </c>
      <c r="T3858" s="2">
        <v>213</v>
      </c>
      <c r="U3858" s="2">
        <v>0.52096799999999999</v>
      </c>
      <c r="V3858" s="2">
        <v>155</v>
      </c>
      <c r="W3858" s="2">
        <v>2013</v>
      </c>
    </row>
    <row r="3859" spans="1:23" ht="12.3" hidden="1" x14ac:dyDescent="0.4">
      <c r="A3859" s="2" t="s">
        <v>206</v>
      </c>
      <c r="B3859" s="2"/>
      <c r="C3859" s="2"/>
      <c r="D3859" s="2"/>
      <c r="E3859" s="2"/>
      <c r="F3859" s="2"/>
      <c r="G3859" s="2"/>
      <c r="H3859" s="2"/>
      <c r="I3859" s="2"/>
      <c r="J3859" s="2">
        <v>27</v>
      </c>
      <c r="K3859" s="2">
        <v>68.816599999999994</v>
      </c>
      <c r="L3859" s="2">
        <v>51</v>
      </c>
      <c r="M3859" s="2">
        <v>105.33620000000001</v>
      </c>
      <c r="N3859" s="2">
        <v>86</v>
      </c>
      <c r="O3859" s="2">
        <v>105.82470000000001</v>
      </c>
      <c r="P3859" s="2">
        <v>77</v>
      </c>
      <c r="Q3859" s="2">
        <v>105.6092</v>
      </c>
      <c r="R3859" s="2">
        <v>279</v>
      </c>
      <c r="S3859" s="2">
        <v>105.2919</v>
      </c>
      <c r="T3859" s="2">
        <v>260</v>
      </c>
      <c r="U3859" s="2">
        <v>0.51450700000000005</v>
      </c>
      <c r="V3859" s="2">
        <v>156</v>
      </c>
      <c r="W3859" s="2">
        <v>2013</v>
      </c>
    </row>
    <row r="3860" spans="1:23" ht="12.3" hidden="1" x14ac:dyDescent="0.4">
      <c r="A3860" s="2" t="s">
        <v>161</v>
      </c>
      <c r="B3860" s="2"/>
      <c r="C3860" s="2"/>
      <c r="D3860" s="2"/>
      <c r="E3860" s="2"/>
      <c r="F3860" s="2"/>
      <c r="G3860" s="2"/>
      <c r="H3860" s="2"/>
      <c r="I3860" s="2"/>
      <c r="J3860" s="2">
        <v>224</v>
      </c>
      <c r="K3860" s="2">
        <v>65.377600000000001</v>
      </c>
      <c r="L3860" s="2">
        <v>193</v>
      </c>
      <c r="M3860" s="2">
        <v>106.0774</v>
      </c>
      <c r="N3860" s="2">
        <v>72</v>
      </c>
      <c r="O3860" s="2">
        <v>104.84099999999999</v>
      </c>
      <c r="P3860" s="2">
        <v>95</v>
      </c>
      <c r="Q3860" s="2">
        <v>100.3554</v>
      </c>
      <c r="R3860" s="2">
        <v>163</v>
      </c>
      <c r="S3860" s="2">
        <v>104.41419999999999</v>
      </c>
      <c r="T3860" s="2">
        <v>248</v>
      </c>
      <c r="U3860" s="2">
        <v>0.51172600000000001</v>
      </c>
      <c r="V3860" s="2">
        <v>157</v>
      </c>
      <c r="W3860" s="2">
        <v>2013</v>
      </c>
    </row>
    <row r="3861" spans="1:23" ht="12.3" hidden="1" x14ac:dyDescent="0.4">
      <c r="A3861" s="2" t="s">
        <v>221</v>
      </c>
      <c r="B3861" s="2"/>
      <c r="C3861" s="2"/>
      <c r="D3861" s="2"/>
      <c r="E3861" s="2"/>
      <c r="F3861" s="2"/>
      <c r="G3861" s="2"/>
      <c r="H3861" s="2"/>
      <c r="I3861" s="2"/>
      <c r="J3861" s="2">
        <v>315</v>
      </c>
      <c r="K3861" s="2">
        <v>61.709800000000001</v>
      </c>
      <c r="L3861" s="2">
        <v>318</v>
      </c>
      <c r="M3861" s="2">
        <v>96.73</v>
      </c>
      <c r="N3861" s="2">
        <v>245</v>
      </c>
      <c r="O3861" s="2">
        <v>94.282899999999998</v>
      </c>
      <c r="P3861" s="2">
        <v>289</v>
      </c>
      <c r="Q3861" s="2">
        <v>94.186099999999996</v>
      </c>
      <c r="R3861" s="2">
        <v>45</v>
      </c>
      <c r="S3861" s="2">
        <v>94.077299999999994</v>
      </c>
      <c r="T3861" s="2">
        <v>43</v>
      </c>
      <c r="U3861" s="2">
        <v>0.50627500000000003</v>
      </c>
      <c r="V3861" s="2">
        <v>158</v>
      </c>
      <c r="W3861" s="2">
        <v>2013</v>
      </c>
    </row>
    <row r="3862" spans="1:23" ht="12.3" hidden="1" x14ac:dyDescent="0.4">
      <c r="A3862" s="2" t="s">
        <v>268</v>
      </c>
      <c r="B3862" s="2"/>
      <c r="C3862" s="2"/>
      <c r="D3862" s="2"/>
      <c r="E3862" s="2"/>
      <c r="F3862" s="2"/>
      <c r="G3862" s="2"/>
      <c r="H3862" s="2"/>
      <c r="I3862" s="2"/>
      <c r="J3862" s="2">
        <v>75</v>
      </c>
      <c r="K3862" s="2">
        <v>67.911500000000004</v>
      </c>
      <c r="L3862" s="2">
        <v>82</v>
      </c>
      <c r="M3862" s="2">
        <v>102.4589</v>
      </c>
      <c r="N3862" s="2">
        <v>136</v>
      </c>
      <c r="O3862" s="2">
        <v>104.09990000000001</v>
      </c>
      <c r="P3862" s="2">
        <v>109</v>
      </c>
      <c r="Q3862" s="2">
        <v>103.1665</v>
      </c>
      <c r="R3862" s="2">
        <v>225</v>
      </c>
      <c r="S3862" s="2">
        <v>103.88930000000001</v>
      </c>
      <c r="T3862" s="2">
        <v>236</v>
      </c>
      <c r="U3862" s="2">
        <v>0.50582099999999997</v>
      </c>
      <c r="V3862" s="2">
        <v>159</v>
      </c>
      <c r="W3862" s="2">
        <v>2013</v>
      </c>
    </row>
    <row r="3863" spans="1:23" ht="12.3" hidden="1" x14ac:dyDescent="0.4">
      <c r="A3863" s="2" t="s">
        <v>325</v>
      </c>
      <c r="B3863" s="2"/>
      <c r="C3863" s="2"/>
      <c r="D3863" s="2"/>
      <c r="E3863" s="2"/>
      <c r="F3863" s="2"/>
      <c r="G3863" s="2"/>
      <c r="H3863" s="2"/>
      <c r="I3863" s="2"/>
      <c r="J3863" s="2">
        <v>207</v>
      </c>
      <c r="K3863" s="2">
        <v>64.140600000000006</v>
      </c>
      <c r="L3863" s="2">
        <v>257</v>
      </c>
      <c r="M3863" s="2">
        <v>106.6349</v>
      </c>
      <c r="N3863" s="2">
        <v>64</v>
      </c>
      <c r="O3863" s="2">
        <v>102.4443</v>
      </c>
      <c r="P3863" s="2">
        <v>140</v>
      </c>
      <c r="Q3863" s="2">
        <v>98.183000000000007</v>
      </c>
      <c r="R3863" s="2">
        <v>117</v>
      </c>
      <c r="S3863" s="2">
        <v>102.2775</v>
      </c>
      <c r="T3863" s="2">
        <v>199</v>
      </c>
      <c r="U3863" s="2">
        <v>0.50468500000000005</v>
      </c>
      <c r="V3863" s="2">
        <v>160</v>
      </c>
      <c r="W3863" s="2">
        <v>2013</v>
      </c>
    </row>
    <row r="3864" spans="1:23" ht="12.3" hidden="1" x14ac:dyDescent="0.4">
      <c r="A3864" s="2" t="s">
        <v>145</v>
      </c>
      <c r="B3864" s="2"/>
      <c r="C3864" s="2"/>
      <c r="D3864" s="2"/>
      <c r="E3864" s="2"/>
      <c r="F3864" s="2"/>
      <c r="G3864" s="2"/>
      <c r="H3864" s="2"/>
      <c r="I3864" s="2"/>
      <c r="J3864" s="2">
        <v>148</v>
      </c>
      <c r="K3864" s="2">
        <v>66.985699999999994</v>
      </c>
      <c r="L3864" s="2">
        <v>121</v>
      </c>
      <c r="M3864" s="2">
        <v>99.613500000000002</v>
      </c>
      <c r="N3864" s="2">
        <v>185</v>
      </c>
      <c r="O3864" s="2">
        <v>103.551</v>
      </c>
      <c r="P3864" s="2">
        <v>122</v>
      </c>
      <c r="Q3864" s="2">
        <v>107.31140000000001</v>
      </c>
      <c r="R3864" s="2">
        <v>310</v>
      </c>
      <c r="S3864" s="2">
        <v>103.4823</v>
      </c>
      <c r="T3864" s="2">
        <v>225</v>
      </c>
      <c r="U3864" s="2">
        <v>0.50190800000000002</v>
      </c>
      <c r="V3864" s="2">
        <v>161</v>
      </c>
      <c r="W3864" s="2">
        <v>2013</v>
      </c>
    </row>
    <row r="3865" spans="1:23" ht="12.3" hidden="1" x14ac:dyDescent="0.4">
      <c r="A3865" s="2" t="s">
        <v>138</v>
      </c>
      <c r="B3865" s="2"/>
      <c r="C3865" s="2"/>
      <c r="D3865" s="2"/>
      <c r="E3865" s="2"/>
      <c r="F3865" s="2"/>
      <c r="G3865" s="2"/>
      <c r="H3865" s="2"/>
      <c r="I3865" s="2"/>
      <c r="J3865" s="2">
        <v>174</v>
      </c>
      <c r="K3865" s="2">
        <v>65.245900000000006</v>
      </c>
      <c r="L3865" s="2">
        <v>201</v>
      </c>
      <c r="M3865" s="2">
        <v>104.73860000000001</v>
      </c>
      <c r="N3865" s="2">
        <v>93</v>
      </c>
      <c r="O3865" s="2">
        <v>103.18600000000001</v>
      </c>
      <c r="P3865" s="2">
        <v>131</v>
      </c>
      <c r="Q3865" s="2">
        <v>100.87439999999999</v>
      </c>
      <c r="R3865" s="2">
        <v>172</v>
      </c>
      <c r="S3865" s="2">
        <v>103.2196</v>
      </c>
      <c r="T3865" s="2">
        <v>215</v>
      </c>
      <c r="U3865" s="2">
        <v>0.49906600000000001</v>
      </c>
      <c r="V3865" s="2">
        <v>162</v>
      </c>
      <c r="W3865" s="2">
        <v>2013</v>
      </c>
    </row>
    <row r="3866" spans="1:23" ht="12.3" hidden="1" x14ac:dyDescent="0.4">
      <c r="A3866" s="2" t="s">
        <v>230</v>
      </c>
      <c r="B3866" s="2"/>
      <c r="C3866" s="2"/>
      <c r="D3866" s="2"/>
      <c r="E3866" s="2"/>
      <c r="F3866" s="2"/>
      <c r="G3866" s="2"/>
      <c r="H3866" s="2"/>
      <c r="I3866" s="2"/>
      <c r="J3866" s="2">
        <v>239</v>
      </c>
      <c r="K3866" s="2">
        <v>65.553700000000006</v>
      </c>
      <c r="L3866" s="2">
        <v>187</v>
      </c>
      <c r="M3866" s="2">
        <v>94.626000000000005</v>
      </c>
      <c r="N3866" s="2">
        <v>285</v>
      </c>
      <c r="O3866" s="2">
        <v>100.23690000000001</v>
      </c>
      <c r="P3866" s="2">
        <v>183</v>
      </c>
      <c r="Q3866" s="2">
        <v>105.1748</v>
      </c>
      <c r="R3866" s="2">
        <v>270</v>
      </c>
      <c r="S3866" s="2">
        <v>100.30759999999999</v>
      </c>
      <c r="T3866" s="2">
        <v>156</v>
      </c>
      <c r="U3866" s="2">
        <v>0.49797200000000003</v>
      </c>
      <c r="V3866" s="2">
        <v>163</v>
      </c>
      <c r="W3866" s="2">
        <v>2013</v>
      </c>
    </row>
    <row r="3867" spans="1:23" ht="12.3" hidden="1" x14ac:dyDescent="0.4">
      <c r="A3867" s="2" t="s">
        <v>159</v>
      </c>
      <c r="B3867" s="2"/>
      <c r="C3867" s="2"/>
      <c r="D3867" s="2"/>
      <c r="E3867" s="2"/>
      <c r="F3867" s="2"/>
      <c r="G3867" s="2"/>
      <c r="H3867" s="2"/>
      <c r="I3867" s="2"/>
      <c r="J3867" s="2">
        <v>88</v>
      </c>
      <c r="K3867" s="2">
        <v>66.6036</v>
      </c>
      <c r="L3867" s="2">
        <v>137</v>
      </c>
      <c r="M3867" s="2">
        <v>101.64360000000001</v>
      </c>
      <c r="N3867" s="2">
        <v>158</v>
      </c>
      <c r="O3867" s="2">
        <v>105.2696</v>
      </c>
      <c r="P3867" s="2">
        <v>85</v>
      </c>
      <c r="Q3867" s="2">
        <v>109.16419999999999</v>
      </c>
      <c r="R3867" s="2">
        <v>329</v>
      </c>
      <c r="S3867" s="2">
        <v>105.4196</v>
      </c>
      <c r="T3867" s="2">
        <v>264</v>
      </c>
      <c r="U3867" s="2">
        <v>0.49590800000000002</v>
      </c>
      <c r="V3867" s="2">
        <v>164</v>
      </c>
      <c r="W3867" s="2">
        <v>2013</v>
      </c>
    </row>
    <row r="3868" spans="1:23" ht="12.3" hidden="1" x14ac:dyDescent="0.4">
      <c r="A3868" s="2" t="s">
        <v>128</v>
      </c>
      <c r="B3868" s="2"/>
      <c r="C3868" s="2"/>
      <c r="D3868" s="2"/>
      <c r="E3868" s="2"/>
      <c r="F3868" s="2"/>
      <c r="G3868" s="2"/>
      <c r="H3868" s="2"/>
      <c r="I3868" s="2"/>
      <c r="J3868" s="2">
        <v>12</v>
      </c>
      <c r="K3868" s="2">
        <v>70.171599999999998</v>
      </c>
      <c r="L3868" s="2">
        <v>24</v>
      </c>
      <c r="M3868" s="2">
        <v>98.956000000000003</v>
      </c>
      <c r="N3868" s="2">
        <v>201</v>
      </c>
      <c r="O3868" s="2">
        <v>98.551299999999998</v>
      </c>
      <c r="P3868" s="2">
        <v>210</v>
      </c>
      <c r="Q3868" s="2">
        <v>100.48990000000001</v>
      </c>
      <c r="R3868" s="2">
        <v>167</v>
      </c>
      <c r="S3868" s="2">
        <v>98.724400000000003</v>
      </c>
      <c r="T3868" s="2">
        <v>125</v>
      </c>
      <c r="U3868" s="2">
        <v>0.49495400000000001</v>
      </c>
      <c r="V3868" s="2">
        <v>165</v>
      </c>
      <c r="W3868" s="2">
        <v>2013</v>
      </c>
    </row>
    <row r="3869" spans="1:23" ht="12.3" hidden="1" x14ac:dyDescent="0.4">
      <c r="A3869" s="2" t="s">
        <v>371</v>
      </c>
      <c r="B3869" s="2"/>
      <c r="C3869" s="2"/>
      <c r="D3869" s="2"/>
      <c r="E3869" s="2"/>
      <c r="F3869" s="2"/>
      <c r="G3869" s="2"/>
      <c r="H3869" s="2"/>
      <c r="I3869" s="2"/>
      <c r="J3869" s="2">
        <v>255</v>
      </c>
      <c r="K3869" s="2">
        <v>64.209999999999994</v>
      </c>
      <c r="L3869" s="2">
        <v>254</v>
      </c>
      <c r="M3869" s="2">
        <v>99.197400000000002</v>
      </c>
      <c r="N3869" s="2">
        <v>194</v>
      </c>
      <c r="O3869" s="2">
        <v>95.994600000000005</v>
      </c>
      <c r="P3869" s="2">
        <v>262</v>
      </c>
      <c r="Q3869" s="2">
        <v>91.492400000000004</v>
      </c>
      <c r="R3869" s="2">
        <v>20</v>
      </c>
      <c r="S3869" s="2">
        <v>96.191100000000006</v>
      </c>
      <c r="T3869" s="2">
        <v>79</v>
      </c>
      <c r="U3869" s="2">
        <v>0.49412099999999998</v>
      </c>
      <c r="V3869" s="2">
        <v>166</v>
      </c>
      <c r="W3869" s="2">
        <v>2013</v>
      </c>
    </row>
    <row r="3870" spans="1:23" ht="12.3" hidden="1" x14ac:dyDescent="0.4">
      <c r="A3870" s="2" t="s">
        <v>150</v>
      </c>
      <c r="B3870" s="2"/>
      <c r="C3870" s="2"/>
      <c r="D3870" s="2"/>
      <c r="E3870" s="2"/>
      <c r="F3870" s="2"/>
      <c r="G3870" s="2"/>
      <c r="H3870" s="2"/>
      <c r="I3870" s="2"/>
      <c r="J3870" s="2">
        <v>290</v>
      </c>
      <c r="K3870" s="2">
        <v>63.457000000000001</v>
      </c>
      <c r="L3870" s="2">
        <v>275</v>
      </c>
      <c r="M3870" s="2">
        <v>101.6493</v>
      </c>
      <c r="N3870" s="2">
        <v>157</v>
      </c>
      <c r="O3870" s="2">
        <v>100.995</v>
      </c>
      <c r="P3870" s="2">
        <v>165</v>
      </c>
      <c r="Q3870" s="2">
        <v>99.359800000000007</v>
      </c>
      <c r="R3870" s="2">
        <v>146</v>
      </c>
      <c r="S3870" s="2">
        <v>101.32680000000001</v>
      </c>
      <c r="T3870" s="2">
        <v>178</v>
      </c>
      <c r="U3870" s="2">
        <v>0.49057299999999998</v>
      </c>
      <c r="V3870" s="2">
        <v>167</v>
      </c>
      <c r="W3870" s="2">
        <v>2013</v>
      </c>
    </row>
    <row r="3871" spans="1:23" ht="12.3" hidden="1" x14ac:dyDescent="0.4">
      <c r="A3871" s="2" t="s">
        <v>174</v>
      </c>
      <c r="B3871" s="2"/>
      <c r="C3871" s="2"/>
      <c r="D3871" s="2"/>
      <c r="E3871" s="2"/>
      <c r="F3871" s="2"/>
      <c r="G3871" s="2"/>
      <c r="H3871" s="2"/>
      <c r="I3871" s="2"/>
      <c r="J3871" s="2">
        <v>136</v>
      </c>
      <c r="K3871" s="2">
        <v>67.263400000000004</v>
      </c>
      <c r="L3871" s="2">
        <v>110</v>
      </c>
      <c r="M3871" s="2">
        <v>102.0325</v>
      </c>
      <c r="N3871" s="2">
        <v>146</v>
      </c>
      <c r="O3871" s="2">
        <v>102.5052</v>
      </c>
      <c r="P3871" s="2">
        <v>138</v>
      </c>
      <c r="Q3871" s="2">
        <v>102.15479999999999</v>
      </c>
      <c r="R3871" s="2">
        <v>200</v>
      </c>
      <c r="S3871" s="2">
        <v>102.9295</v>
      </c>
      <c r="T3871" s="2">
        <v>211</v>
      </c>
      <c r="U3871" s="2">
        <v>0.48812499999999998</v>
      </c>
      <c r="V3871" s="2">
        <v>168</v>
      </c>
      <c r="W3871" s="2">
        <v>2013</v>
      </c>
    </row>
    <row r="3872" spans="1:23" ht="12.3" hidden="1" x14ac:dyDescent="0.4">
      <c r="A3872" s="2" t="s">
        <v>210</v>
      </c>
      <c r="B3872" s="2"/>
      <c r="C3872" s="2"/>
      <c r="D3872" s="2"/>
      <c r="E3872" s="2"/>
      <c r="F3872" s="2"/>
      <c r="G3872" s="2"/>
      <c r="H3872" s="2"/>
      <c r="I3872" s="2"/>
      <c r="J3872" s="2">
        <v>329</v>
      </c>
      <c r="K3872" s="2">
        <v>61.798999999999999</v>
      </c>
      <c r="L3872" s="2">
        <v>316</v>
      </c>
      <c r="M3872" s="2">
        <v>100.92910000000001</v>
      </c>
      <c r="N3872" s="2">
        <v>168</v>
      </c>
      <c r="O3872" s="2">
        <v>99.627799999999993</v>
      </c>
      <c r="P3872" s="2">
        <v>194</v>
      </c>
      <c r="Q3872" s="2">
        <v>100.636</v>
      </c>
      <c r="R3872" s="2">
        <v>168</v>
      </c>
      <c r="S3872" s="2">
        <v>100.1914</v>
      </c>
      <c r="T3872" s="2">
        <v>153</v>
      </c>
      <c r="U3872" s="2">
        <v>0.48378700000000002</v>
      </c>
      <c r="V3872" s="2">
        <v>169</v>
      </c>
      <c r="W3872" s="2">
        <v>2013</v>
      </c>
    </row>
    <row r="3873" spans="1:23" ht="12.3" x14ac:dyDescent="0.4">
      <c r="A3873" s="2" t="s">
        <v>227</v>
      </c>
      <c r="B3873" s="2">
        <v>13</v>
      </c>
      <c r="C3873" s="4"/>
      <c r="D3873" s="4"/>
      <c r="E3873" s="4"/>
      <c r="F3873" s="4"/>
      <c r="G3873" s="4"/>
      <c r="H3873" s="4"/>
      <c r="I3873" s="2">
        <v>66.8506</v>
      </c>
      <c r="J3873" s="2">
        <v>240</v>
      </c>
      <c r="K3873" s="2">
        <v>65.137100000000004</v>
      </c>
      <c r="L3873" s="2">
        <v>284</v>
      </c>
      <c r="M3873" s="2">
        <v>102.5179</v>
      </c>
      <c r="N3873" s="2">
        <v>138</v>
      </c>
      <c r="O3873" s="2">
        <v>100.3818</v>
      </c>
      <c r="P3873" s="2">
        <v>183</v>
      </c>
      <c r="Q3873" s="2">
        <v>99.249300000000005</v>
      </c>
      <c r="R3873" s="2">
        <v>127</v>
      </c>
      <c r="S3873" s="2">
        <v>97.145399999999995</v>
      </c>
      <c r="T3873" s="2">
        <v>80</v>
      </c>
      <c r="U3873" s="2">
        <v>0.59311999999999998</v>
      </c>
      <c r="V3873" s="2">
        <v>121</v>
      </c>
      <c r="W3873" s="2">
        <v>2003</v>
      </c>
    </row>
    <row r="3874" spans="1:23" ht="12.3" hidden="1" x14ac:dyDescent="0.4">
      <c r="A3874" s="2" t="s">
        <v>245</v>
      </c>
      <c r="B3874" s="2"/>
      <c r="C3874" s="2"/>
      <c r="D3874" s="2"/>
      <c r="E3874" s="2"/>
      <c r="F3874" s="2"/>
      <c r="G3874" s="2"/>
      <c r="H3874" s="2"/>
      <c r="I3874" s="2"/>
      <c r="J3874" s="2">
        <v>172</v>
      </c>
      <c r="K3874" s="2">
        <v>66.414699999999996</v>
      </c>
      <c r="L3874" s="2">
        <v>144</v>
      </c>
      <c r="M3874" s="2">
        <v>100.36969999999999</v>
      </c>
      <c r="N3874" s="2">
        <v>178</v>
      </c>
      <c r="O3874" s="2">
        <v>100.8091</v>
      </c>
      <c r="P3874" s="2">
        <v>171</v>
      </c>
      <c r="Q3874" s="2">
        <v>102.0613</v>
      </c>
      <c r="R3874" s="2">
        <v>198</v>
      </c>
      <c r="S3874" s="2">
        <v>101.5998</v>
      </c>
      <c r="T3874" s="2">
        <v>184</v>
      </c>
      <c r="U3874" s="2">
        <v>0.47755300000000001</v>
      </c>
      <c r="V3874" s="2">
        <v>171</v>
      </c>
      <c r="W3874" s="2">
        <v>2013</v>
      </c>
    </row>
    <row r="3875" spans="1:23" ht="12.3" x14ac:dyDescent="0.4">
      <c r="A3875" s="2" t="s">
        <v>225</v>
      </c>
      <c r="B3875" s="2">
        <v>15</v>
      </c>
      <c r="C3875" s="4"/>
      <c r="D3875" s="4"/>
      <c r="E3875" s="4"/>
      <c r="F3875" s="4"/>
      <c r="G3875" s="4"/>
      <c r="H3875" s="4"/>
      <c r="I3875" s="2">
        <v>68.815799999999996</v>
      </c>
      <c r="J3875" s="2">
        <v>151</v>
      </c>
      <c r="K3875" s="2">
        <v>68.328199999999995</v>
      </c>
      <c r="L3875" s="2">
        <v>171</v>
      </c>
      <c r="M3875" s="2">
        <v>103.2051</v>
      </c>
      <c r="N3875" s="2">
        <v>118</v>
      </c>
      <c r="O3875" s="2">
        <v>101.04640000000001</v>
      </c>
      <c r="P3875" s="2">
        <v>171</v>
      </c>
      <c r="Q3875" s="2">
        <v>93.522900000000007</v>
      </c>
      <c r="R3875" s="2">
        <v>24</v>
      </c>
      <c r="S3875" s="2">
        <v>98.897999999999996</v>
      </c>
      <c r="T3875" s="2">
        <v>117</v>
      </c>
      <c r="U3875" s="2">
        <v>0.56147199999999997</v>
      </c>
      <c r="V3875" s="2">
        <v>138</v>
      </c>
      <c r="W3875" s="2">
        <v>2003</v>
      </c>
    </row>
    <row r="3876" spans="1:23" ht="12.3" hidden="1" x14ac:dyDescent="0.4">
      <c r="A3876" s="2" t="s">
        <v>293</v>
      </c>
      <c r="B3876" s="2"/>
      <c r="C3876" s="2"/>
      <c r="D3876" s="2"/>
      <c r="E3876" s="2"/>
      <c r="F3876" s="2"/>
      <c r="G3876" s="2"/>
      <c r="H3876" s="2"/>
      <c r="I3876" s="2"/>
      <c r="J3876" s="2">
        <v>198</v>
      </c>
      <c r="K3876" s="2">
        <v>66.332899999999995</v>
      </c>
      <c r="L3876" s="2">
        <v>154</v>
      </c>
      <c r="M3876" s="2">
        <v>101.3981</v>
      </c>
      <c r="N3876" s="2">
        <v>163</v>
      </c>
      <c r="O3876" s="2">
        <v>101.4706</v>
      </c>
      <c r="P3876" s="2">
        <v>155</v>
      </c>
      <c r="Q3876" s="2">
        <v>100.8989</v>
      </c>
      <c r="R3876" s="2">
        <v>174</v>
      </c>
      <c r="S3876" s="2">
        <v>102.31440000000001</v>
      </c>
      <c r="T3876" s="2">
        <v>201</v>
      </c>
      <c r="U3876" s="2">
        <v>0.47620800000000002</v>
      </c>
      <c r="V3876" s="2">
        <v>173</v>
      </c>
      <c r="W3876" s="2">
        <v>2013</v>
      </c>
    </row>
    <row r="3877" spans="1:23" ht="12.3" hidden="1" x14ac:dyDescent="0.4">
      <c r="A3877" s="2" t="s">
        <v>69</v>
      </c>
      <c r="B3877" s="2"/>
      <c r="C3877" s="2"/>
      <c r="D3877" s="2"/>
      <c r="E3877" s="2"/>
      <c r="F3877" s="2"/>
      <c r="G3877" s="2"/>
      <c r="H3877" s="2"/>
      <c r="I3877" s="2"/>
      <c r="J3877" s="2">
        <v>102</v>
      </c>
      <c r="K3877" s="2">
        <v>67.699700000000007</v>
      </c>
      <c r="L3877" s="2">
        <v>92</v>
      </c>
      <c r="M3877" s="2">
        <v>97.933400000000006</v>
      </c>
      <c r="N3877" s="2">
        <v>229</v>
      </c>
      <c r="O3877" s="2">
        <v>98.021699999999996</v>
      </c>
      <c r="P3877" s="2">
        <v>226</v>
      </c>
      <c r="Q3877" s="2">
        <v>99.619299999999996</v>
      </c>
      <c r="R3877" s="2">
        <v>151</v>
      </c>
      <c r="S3877" s="2">
        <v>98.840199999999996</v>
      </c>
      <c r="T3877" s="2">
        <v>128</v>
      </c>
      <c r="U3877" s="2">
        <v>0.47610999999999998</v>
      </c>
      <c r="V3877" s="2">
        <v>174</v>
      </c>
      <c r="W3877" s="2">
        <v>2013</v>
      </c>
    </row>
    <row r="3878" spans="1:23" ht="12.3" hidden="1" x14ac:dyDescent="0.4">
      <c r="A3878" s="2" t="s">
        <v>82</v>
      </c>
      <c r="B3878" s="2"/>
      <c r="C3878" s="2"/>
      <c r="D3878" s="2"/>
      <c r="E3878" s="2"/>
      <c r="F3878" s="2"/>
      <c r="G3878" s="2"/>
      <c r="H3878" s="2"/>
      <c r="I3878" s="2"/>
      <c r="J3878" s="2">
        <v>296</v>
      </c>
      <c r="K3878" s="2">
        <v>62.859000000000002</v>
      </c>
      <c r="L3878" s="2">
        <v>292</v>
      </c>
      <c r="M3878" s="2">
        <v>98.442400000000006</v>
      </c>
      <c r="N3878" s="2">
        <v>218</v>
      </c>
      <c r="O3878" s="2">
        <v>100.78149999999999</v>
      </c>
      <c r="P3878" s="2">
        <v>172</v>
      </c>
      <c r="Q3878" s="2">
        <v>104.00279999999999</v>
      </c>
      <c r="R3878" s="2">
        <v>244</v>
      </c>
      <c r="S3878" s="2">
        <v>101.66670000000001</v>
      </c>
      <c r="T3878" s="2">
        <v>186</v>
      </c>
      <c r="U3878" s="2">
        <v>0.47487699999999999</v>
      </c>
      <c r="V3878" s="2">
        <v>175</v>
      </c>
      <c r="W3878" s="2">
        <v>2013</v>
      </c>
    </row>
    <row r="3879" spans="1:23" ht="12.3" hidden="1" x14ac:dyDescent="0.4">
      <c r="A3879" s="2" t="s">
        <v>375</v>
      </c>
      <c r="B3879" s="2"/>
      <c r="C3879" s="2"/>
      <c r="D3879" s="2"/>
      <c r="E3879" s="2"/>
      <c r="F3879" s="2"/>
      <c r="G3879" s="2"/>
      <c r="H3879" s="2"/>
      <c r="I3879" s="2"/>
      <c r="J3879" s="2">
        <v>127</v>
      </c>
      <c r="K3879" s="2">
        <v>65.9101</v>
      </c>
      <c r="L3879" s="2">
        <v>172</v>
      </c>
      <c r="M3879" s="2">
        <v>110.5184</v>
      </c>
      <c r="N3879" s="2">
        <v>21</v>
      </c>
      <c r="O3879" s="2">
        <v>108.2677</v>
      </c>
      <c r="P3879" s="2">
        <v>51</v>
      </c>
      <c r="Q3879" s="2">
        <v>106.10250000000001</v>
      </c>
      <c r="R3879" s="2">
        <v>289</v>
      </c>
      <c r="S3879" s="2">
        <v>109.2238</v>
      </c>
      <c r="T3879" s="2">
        <v>314</v>
      </c>
      <c r="U3879" s="2">
        <v>0.474744</v>
      </c>
      <c r="V3879" s="2">
        <v>176</v>
      </c>
      <c r="W3879" s="2">
        <v>2013</v>
      </c>
    </row>
    <row r="3880" spans="1:23" ht="12.3" hidden="1" x14ac:dyDescent="0.4">
      <c r="A3880" s="2" t="s">
        <v>213</v>
      </c>
      <c r="B3880" s="2"/>
      <c r="C3880" s="2"/>
      <c r="D3880" s="2"/>
      <c r="E3880" s="2"/>
      <c r="F3880" s="2"/>
      <c r="G3880" s="2"/>
      <c r="H3880" s="2"/>
      <c r="I3880" s="2"/>
      <c r="J3880" s="2">
        <v>225</v>
      </c>
      <c r="K3880" s="2">
        <v>65.274199999999993</v>
      </c>
      <c r="L3880" s="2">
        <v>199</v>
      </c>
      <c r="M3880" s="2">
        <v>100.90689999999999</v>
      </c>
      <c r="N3880" s="2">
        <v>169</v>
      </c>
      <c r="O3880" s="2">
        <v>102.6571</v>
      </c>
      <c r="P3880" s="2">
        <v>137</v>
      </c>
      <c r="Q3880" s="2">
        <v>103.41200000000001</v>
      </c>
      <c r="R3880" s="2">
        <v>228</v>
      </c>
      <c r="S3880" s="2">
        <v>103.58750000000001</v>
      </c>
      <c r="T3880" s="2">
        <v>228</v>
      </c>
      <c r="U3880" s="2">
        <v>0.47408299999999998</v>
      </c>
      <c r="V3880" s="2">
        <v>177</v>
      </c>
      <c r="W3880" s="2">
        <v>2013</v>
      </c>
    </row>
    <row r="3881" spans="1:23" ht="12.3" hidden="1" x14ac:dyDescent="0.4">
      <c r="A3881" s="2" t="s">
        <v>207</v>
      </c>
      <c r="B3881" s="2"/>
      <c r="C3881" s="2"/>
      <c r="D3881" s="2"/>
      <c r="E3881" s="2"/>
      <c r="F3881" s="2"/>
      <c r="G3881" s="2"/>
      <c r="H3881" s="2"/>
      <c r="I3881" s="2"/>
      <c r="J3881" s="2">
        <v>8</v>
      </c>
      <c r="K3881" s="2">
        <v>72.251300000000001</v>
      </c>
      <c r="L3881" s="2">
        <v>4</v>
      </c>
      <c r="M3881" s="2">
        <v>98.9435</v>
      </c>
      <c r="N3881" s="2">
        <v>202</v>
      </c>
      <c r="O3881" s="2">
        <v>103.7097</v>
      </c>
      <c r="P3881" s="2">
        <v>118</v>
      </c>
      <c r="Q3881" s="2">
        <v>105.0701</v>
      </c>
      <c r="R3881" s="2">
        <v>268</v>
      </c>
      <c r="S3881" s="2">
        <v>104.71850000000001</v>
      </c>
      <c r="T3881" s="2">
        <v>253</v>
      </c>
      <c r="U3881" s="2">
        <v>0.47220000000000001</v>
      </c>
      <c r="V3881" s="2">
        <v>178</v>
      </c>
      <c r="W3881" s="2">
        <v>2013</v>
      </c>
    </row>
    <row r="3882" spans="1:23" ht="12.3" hidden="1" x14ac:dyDescent="0.4">
      <c r="A3882" s="2" t="s">
        <v>133</v>
      </c>
      <c r="B3882" s="2"/>
      <c r="C3882" s="2"/>
      <c r="D3882" s="2"/>
      <c r="E3882" s="2"/>
      <c r="F3882" s="2"/>
      <c r="G3882" s="2"/>
      <c r="H3882" s="2"/>
      <c r="I3882" s="2"/>
      <c r="J3882" s="2">
        <v>254</v>
      </c>
      <c r="K3882" s="2">
        <v>63.82</v>
      </c>
      <c r="L3882" s="2">
        <v>267</v>
      </c>
      <c r="M3882" s="2">
        <v>98.825100000000006</v>
      </c>
      <c r="N3882" s="2">
        <v>206</v>
      </c>
      <c r="O3882" s="2">
        <v>100.9191</v>
      </c>
      <c r="P3882" s="2">
        <v>169</v>
      </c>
      <c r="Q3882" s="2">
        <v>103.6572</v>
      </c>
      <c r="R3882" s="2">
        <v>235</v>
      </c>
      <c r="S3882" s="2">
        <v>101.9106</v>
      </c>
      <c r="T3882" s="2">
        <v>191</v>
      </c>
      <c r="U3882" s="2">
        <v>0.47192000000000001</v>
      </c>
      <c r="V3882" s="2">
        <v>179</v>
      </c>
      <c r="W3882" s="2">
        <v>2013</v>
      </c>
    </row>
    <row r="3883" spans="1:23" ht="12.3" hidden="1" x14ac:dyDescent="0.4">
      <c r="A3883" s="2" t="s">
        <v>215</v>
      </c>
      <c r="B3883" s="2"/>
      <c r="C3883" s="2"/>
      <c r="D3883" s="2"/>
      <c r="E3883" s="2"/>
      <c r="F3883" s="2"/>
      <c r="G3883" s="2"/>
      <c r="H3883" s="2"/>
      <c r="I3883" s="2"/>
      <c r="J3883" s="2">
        <v>86</v>
      </c>
      <c r="K3883" s="2">
        <v>67.365099999999998</v>
      </c>
      <c r="L3883" s="2">
        <v>104</v>
      </c>
      <c r="M3883" s="2">
        <v>98.719899999999996</v>
      </c>
      <c r="N3883" s="2">
        <v>214</v>
      </c>
      <c r="O3883" s="2">
        <v>96.226699999999994</v>
      </c>
      <c r="P3883" s="2">
        <v>255</v>
      </c>
      <c r="Q3883" s="2">
        <v>95.816999999999993</v>
      </c>
      <c r="R3883" s="2">
        <v>68</v>
      </c>
      <c r="S3883" s="2">
        <v>97.223399999999998</v>
      </c>
      <c r="T3883" s="2">
        <v>97</v>
      </c>
      <c r="U3883" s="2">
        <v>0.47040799999999999</v>
      </c>
      <c r="V3883" s="2">
        <v>180</v>
      </c>
      <c r="W3883" s="2">
        <v>2013</v>
      </c>
    </row>
    <row r="3884" spans="1:23" ht="12.3" hidden="1" x14ac:dyDescent="0.4">
      <c r="A3884" s="2" t="s">
        <v>308</v>
      </c>
      <c r="B3884" s="2"/>
      <c r="C3884" s="2"/>
      <c r="D3884" s="2"/>
      <c r="E3884" s="2"/>
      <c r="F3884" s="2"/>
      <c r="G3884" s="2"/>
      <c r="H3884" s="2"/>
      <c r="I3884" s="2"/>
      <c r="J3884" s="2">
        <v>261</v>
      </c>
      <c r="K3884" s="2">
        <v>64.2654</v>
      </c>
      <c r="L3884" s="2">
        <v>252</v>
      </c>
      <c r="M3884" s="2">
        <v>106.6755</v>
      </c>
      <c r="N3884" s="2">
        <v>61</v>
      </c>
      <c r="O3884" s="2">
        <v>104.715</v>
      </c>
      <c r="P3884" s="2">
        <v>98</v>
      </c>
      <c r="Q3884" s="2">
        <v>104.6718</v>
      </c>
      <c r="R3884" s="2">
        <v>261</v>
      </c>
      <c r="S3884" s="2">
        <v>105.8411</v>
      </c>
      <c r="T3884" s="2">
        <v>269</v>
      </c>
      <c r="U3884" s="2">
        <v>0.46928799999999998</v>
      </c>
      <c r="V3884" s="2">
        <v>181</v>
      </c>
      <c r="W3884" s="2">
        <v>2013</v>
      </c>
    </row>
    <row r="3885" spans="1:23" ht="12.3" hidden="1" x14ac:dyDescent="0.4">
      <c r="A3885" s="2" t="s">
        <v>152</v>
      </c>
      <c r="B3885" s="2"/>
      <c r="C3885" s="2"/>
      <c r="D3885" s="2"/>
      <c r="E3885" s="2"/>
      <c r="F3885" s="2"/>
      <c r="G3885" s="2"/>
      <c r="H3885" s="2"/>
      <c r="I3885" s="2"/>
      <c r="J3885" s="2">
        <v>262</v>
      </c>
      <c r="K3885" s="2">
        <v>64.148600000000002</v>
      </c>
      <c r="L3885" s="2">
        <v>256</v>
      </c>
      <c r="M3885" s="2">
        <v>104.5812</v>
      </c>
      <c r="N3885" s="2">
        <v>94</v>
      </c>
      <c r="O3885" s="2">
        <v>104.57559999999999</v>
      </c>
      <c r="P3885" s="2">
        <v>101</v>
      </c>
      <c r="Q3885" s="2">
        <v>103.7803</v>
      </c>
      <c r="R3885" s="2">
        <v>238</v>
      </c>
      <c r="S3885" s="2">
        <v>105.715</v>
      </c>
      <c r="T3885" s="2">
        <v>266</v>
      </c>
      <c r="U3885" s="2">
        <v>0.46888800000000003</v>
      </c>
      <c r="V3885" s="2">
        <v>182</v>
      </c>
      <c r="W3885" s="2">
        <v>2013</v>
      </c>
    </row>
    <row r="3886" spans="1:23" ht="12.3" hidden="1" x14ac:dyDescent="0.4">
      <c r="A3886" s="2" t="s">
        <v>144</v>
      </c>
      <c r="B3886" s="2"/>
      <c r="C3886" s="2"/>
      <c r="D3886" s="2"/>
      <c r="E3886" s="2"/>
      <c r="F3886" s="2"/>
      <c r="G3886" s="2"/>
      <c r="H3886" s="2"/>
      <c r="I3886" s="2"/>
      <c r="J3886" s="2">
        <v>277</v>
      </c>
      <c r="K3886" s="2">
        <v>64.382800000000003</v>
      </c>
      <c r="L3886" s="2">
        <v>246</v>
      </c>
      <c r="M3886" s="2">
        <v>96.592600000000004</v>
      </c>
      <c r="N3886" s="2">
        <v>249</v>
      </c>
      <c r="O3886" s="2">
        <v>96.967500000000001</v>
      </c>
      <c r="P3886" s="2">
        <v>243</v>
      </c>
      <c r="Q3886" s="2">
        <v>98.080699999999993</v>
      </c>
      <c r="R3886" s="2">
        <v>114</v>
      </c>
      <c r="S3886" s="2">
        <v>98.165400000000005</v>
      </c>
      <c r="T3886" s="2">
        <v>112</v>
      </c>
      <c r="U3886" s="2">
        <v>0.46476000000000001</v>
      </c>
      <c r="V3886" s="2">
        <v>183</v>
      </c>
      <c r="W3886" s="2">
        <v>2013</v>
      </c>
    </row>
    <row r="3887" spans="1:23" ht="12.3" x14ac:dyDescent="0.4">
      <c r="A3887" s="2" t="s">
        <v>220</v>
      </c>
      <c r="B3887" s="2">
        <v>16</v>
      </c>
      <c r="C3887" s="4"/>
      <c r="D3887" s="4"/>
      <c r="E3887" s="4"/>
      <c r="F3887" s="4"/>
      <c r="G3887" s="4"/>
      <c r="H3887" s="4"/>
      <c r="I3887" s="2">
        <v>65.365899999999996</v>
      </c>
      <c r="J3887" s="2">
        <v>281</v>
      </c>
      <c r="K3887" s="2">
        <v>65.646699999999996</v>
      </c>
      <c r="L3887" s="2">
        <v>277</v>
      </c>
      <c r="M3887" s="2">
        <v>103.2591</v>
      </c>
      <c r="N3887" s="2">
        <v>116</v>
      </c>
      <c r="O3887" s="2">
        <v>100.07850000000001</v>
      </c>
      <c r="P3887" s="2">
        <v>190</v>
      </c>
      <c r="Q3887" s="2">
        <v>95.86</v>
      </c>
      <c r="R3887" s="2">
        <v>46</v>
      </c>
      <c r="S3887" s="2">
        <v>98.190399999999997</v>
      </c>
      <c r="T3887" s="2">
        <v>98</v>
      </c>
      <c r="U3887" s="2">
        <v>0.55454099999999995</v>
      </c>
      <c r="V3887" s="2">
        <v>141</v>
      </c>
      <c r="W3887" s="2">
        <v>2003</v>
      </c>
    </row>
    <row r="3888" spans="1:23" ht="12.3" hidden="1" x14ac:dyDescent="0.4">
      <c r="A3888" s="2" t="s">
        <v>260</v>
      </c>
      <c r="B3888" s="2"/>
      <c r="C3888" s="2"/>
      <c r="D3888" s="2"/>
      <c r="E3888" s="2"/>
      <c r="F3888" s="2"/>
      <c r="G3888" s="2"/>
      <c r="H3888" s="2"/>
      <c r="I3888" s="2"/>
      <c r="J3888" s="2">
        <v>36</v>
      </c>
      <c r="K3888" s="2">
        <v>68.866900000000001</v>
      </c>
      <c r="L3888" s="2">
        <v>47</v>
      </c>
      <c r="M3888" s="2">
        <v>99.253200000000007</v>
      </c>
      <c r="N3888" s="2">
        <v>192</v>
      </c>
      <c r="O3888" s="2">
        <v>99.811499999999995</v>
      </c>
      <c r="P3888" s="2">
        <v>189</v>
      </c>
      <c r="Q3888" s="2">
        <v>99.535600000000002</v>
      </c>
      <c r="R3888" s="2">
        <v>149</v>
      </c>
      <c r="S3888" s="2">
        <v>101.1696</v>
      </c>
      <c r="T3888" s="2">
        <v>173</v>
      </c>
      <c r="U3888" s="2">
        <v>0.46122400000000002</v>
      </c>
      <c r="V3888" s="2">
        <v>185</v>
      </c>
      <c r="W3888" s="2">
        <v>2013</v>
      </c>
    </row>
    <row r="3889" spans="1:23" ht="12.3" hidden="1" x14ac:dyDescent="0.4">
      <c r="A3889" s="2" t="s">
        <v>211</v>
      </c>
      <c r="B3889" s="2"/>
      <c r="C3889" s="2"/>
      <c r="D3889" s="2"/>
      <c r="E3889" s="2"/>
      <c r="F3889" s="2"/>
      <c r="G3889" s="2"/>
      <c r="H3889" s="2"/>
      <c r="I3889" s="2"/>
      <c r="J3889" s="2">
        <v>278</v>
      </c>
      <c r="K3889" s="2">
        <v>62.218499999999999</v>
      </c>
      <c r="L3889" s="2">
        <v>306</v>
      </c>
      <c r="M3889" s="2">
        <v>100.1653</v>
      </c>
      <c r="N3889" s="2">
        <v>180</v>
      </c>
      <c r="O3889" s="2">
        <v>97.727400000000003</v>
      </c>
      <c r="P3889" s="2">
        <v>231</v>
      </c>
      <c r="Q3889" s="2">
        <v>94.995500000000007</v>
      </c>
      <c r="R3889" s="2">
        <v>57</v>
      </c>
      <c r="S3889" s="2">
        <v>99.065399999999997</v>
      </c>
      <c r="T3889" s="2">
        <v>132</v>
      </c>
      <c r="U3889" s="2">
        <v>0.46098299999999998</v>
      </c>
      <c r="V3889" s="2">
        <v>186</v>
      </c>
      <c r="W3889" s="2">
        <v>2013</v>
      </c>
    </row>
    <row r="3890" spans="1:23" ht="12.3" x14ac:dyDescent="0.4">
      <c r="A3890" s="2" t="s">
        <v>199</v>
      </c>
      <c r="B3890" s="2">
        <v>16</v>
      </c>
      <c r="C3890" s="4"/>
      <c r="D3890" s="4"/>
      <c r="E3890" s="4"/>
      <c r="F3890" s="4"/>
      <c r="G3890" s="4"/>
      <c r="H3890" s="4"/>
      <c r="I3890" s="2">
        <v>68.504300000000001</v>
      </c>
      <c r="J3890" s="2">
        <v>166</v>
      </c>
      <c r="K3890" s="2">
        <v>68.378100000000003</v>
      </c>
      <c r="L3890" s="2">
        <v>170</v>
      </c>
      <c r="M3890" s="2">
        <v>103.3479</v>
      </c>
      <c r="N3890" s="2">
        <v>114</v>
      </c>
      <c r="O3890" s="2">
        <v>101.49509999999999</v>
      </c>
      <c r="P3890" s="2">
        <v>159</v>
      </c>
      <c r="Q3890" s="2">
        <v>101.74890000000001</v>
      </c>
      <c r="R3890" s="2">
        <v>190</v>
      </c>
      <c r="S3890" s="2">
        <v>100.2497</v>
      </c>
      <c r="T3890" s="2">
        <v>144</v>
      </c>
      <c r="U3890" s="2">
        <v>0.53543600000000002</v>
      </c>
      <c r="V3890" s="2">
        <v>151</v>
      </c>
      <c r="W3890" s="2">
        <v>2003</v>
      </c>
    </row>
    <row r="3891" spans="1:23" ht="12.3" hidden="1" x14ac:dyDescent="0.4">
      <c r="A3891" s="2" t="s">
        <v>186</v>
      </c>
      <c r="B3891" s="2"/>
      <c r="C3891" s="2"/>
      <c r="D3891" s="2"/>
      <c r="E3891" s="2"/>
      <c r="F3891" s="2"/>
      <c r="G3891" s="2"/>
      <c r="H3891" s="2"/>
      <c r="I3891" s="2"/>
      <c r="J3891" s="2">
        <v>149</v>
      </c>
      <c r="K3891" s="2">
        <v>68.034000000000006</v>
      </c>
      <c r="L3891" s="2">
        <v>77</v>
      </c>
      <c r="M3891" s="2">
        <v>102.8526</v>
      </c>
      <c r="N3891" s="2">
        <v>127</v>
      </c>
      <c r="O3891" s="2">
        <v>102.2107</v>
      </c>
      <c r="P3891" s="2">
        <v>142</v>
      </c>
      <c r="Q3891" s="2">
        <v>101.7238</v>
      </c>
      <c r="R3891" s="2">
        <v>192</v>
      </c>
      <c r="S3891" s="2">
        <v>103.7971</v>
      </c>
      <c r="T3891" s="2">
        <v>233</v>
      </c>
      <c r="U3891" s="2">
        <v>0.45583600000000002</v>
      </c>
      <c r="V3891" s="2">
        <v>188</v>
      </c>
      <c r="W3891" s="2">
        <v>2013</v>
      </c>
    </row>
    <row r="3892" spans="1:23" ht="12.3" hidden="1" x14ac:dyDescent="0.4">
      <c r="A3892" s="2" t="s">
        <v>271</v>
      </c>
      <c r="B3892" s="2"/>
      <c r="C3892" s="2"/>
      <c r="D3892" s="2"/>
      <c r="E3892" s="2"/>
      <c r="F3892" s="2"/>
      <c r="G3892" s="2"/>
      <c r="H3892" s="2"/>
      <c r="I3892" s="2"/>
      <c r="J3892" s="2">
        <v>331</v>
      </c>
      <c r="K3892" s="2">
        <v>61.228400000000001</v>
      </c>
      <c r="L3892" s="2">
        <v>324</v>
      </c>
      <c r="M3892" s="2">
        <v>100.60469999999999</v>
      </c>
      <c r="N3892" s="2">
        <v>175</v>
      </c>
      <c r="O3892" s="2">
        <v>99.6571</v>
      </c>
      <c r="P3892" s="2">
        <v>193</v>
      </c>
      <c r="Q3892" s="2">
        <v>100.3319</v>
      </c>
      <c r="R3892" s="2">
        <v>162</v>
      </c>
      <c r="S3892" s="2">
        <v>101.4876</v>
      </c>
      <c r="T3892" s="2">
        <v>182</v>
      </c>
      <c r="U3892" s="2">
        <v>0.44786199999999998</v>
      </c>
      <c r="V3892" s="2">
        <v>189</v>
      </c>
      <c r="W3892" s="2">
        <v>2013</v>
      </c>
    </row>
    <row r="3893" spans="1:23" ht="12.3" hidden="1" x14ac:dyDescent="0.4">
      <c r="A3893" s="2" t="s">
        <v>140</v>
      </c>
      <c r="B3893" s="2"/>
      <c r="C3893" s="2"/>
      <c r="D3893" s="2"/>
      <c r="E3893" s="2"/>
      <c r="F3893" s="2"/>
      <c r="G3893" s="2"/>
      <c r="H3893" s="2"/>
      <c r="I3893" s="2"/>
      <c r="J3893" s="2">
        <v>263</v>
      </c>
      <c r="K3893" s="2">
        <v>63.787799999999997</v>
      </c>
      <c r="L3893" s="2">
        <v>268</v>
      </c>
      <c r="M3893" s="2">
        <v>99.600899999999996</v>
      </c>
      <c r="N3893" s="2">
        <v>186</v>
      </c>
      <c r="O3893" s="2">
        <v>98.342100000000002</v>
      </c>
      <c r="P3893" s="2">
        <v>215</v>
      </c>
      <c r="Q3893" s="2">
        <v>98.586699999999993</v>
      </c>
      <c r="R3893" s="2">
        <v>132</v>
      </c>
      <c r="S3893" s="2">
        <v>100.1514</v>
      </c>
      <c r="T3893" s="2">
        <v>150</v>
      </c>
      <c r="U3893" s="2">
        <v>0.44777800000000001</v>
      </c>
      <c r="V3893" s="2">
        <v>190</v>
      </c>
      <c r="W3893" s="2">
        <v>2013</v>
      </c>
    </row>
    <row r="3894" spans="1:23" ht="12.3" hidden="1" x14ac:dyDescent="0.4">
      <c r="A3894" s="2" t="s">
        <v>130</v>
      </c>
      <c r="B3894" s="2"/>
      <c r="C3894" s="2"/>
      <c r="D3894" s="2"/>
      <c r="E3894" s="2"/>
      <c r="F3894" s="2"/>
      <c r="G3894" s="2"/>
      <c r="H3894" s="2"/>
      <c r="I3894" s="2"/>
      <c r="J3894" s="2">
        <v>35</v>
      </c>
      <c r="K3894" s="2">
        <v>70.418700000000001</v>
      </c>
      <c r="L3894" s="2">
        <v>21</v>
      </c>
      <c r="M3894" s="2">
        <v>108.4097</v>
      </c>
      <c r="N3894" s="2">
        <v>36</v>
      </c>
      <c r="O3894" s="2">
        <v>106.1901</v>
      </c>
      <c r="P3894" s="2">
        <v>71</v>
      </c>
      <c r="Q3894" s="2">
        <v>102.9045</v>
      </c>
      <c r="R3894" s="2">
        <v>223</v>
      </c>
      <c r="S3894" s="2">
        <v>108.2974</v>
      </c>
      <c r="T3894" s="2">
        <v>300</v>
      </c>
      <c r="U3894" s="2">
        <v>0.443745</v>
      </c>
      <c r="V3894" s="2">
        <v>191</v>
      </c>
      <c r="W3894" s="2">
        <v>2013</v>
      </c>
    </row>
    <row r="3895" spans="1:23" ht="12.3" hidden="1" x14ac:dyDescent="0.4">
      <c r="A3895" s="2" t="s">
        <v>287</v>
      </c>
      <c r="B3895" s="2"/>
      <c r="C3895" s="2"/>
      <c r="D3895" s="2"/>
      <c r="E3895" s="2"/>
      <c r="F3895" s="2"/>
      <c r="G3895" s="2"/>
      <c r="H3895" s="2"/>
      <c r="I3895" s="2"/>
      <c r="J3895" s="2">
        <v>54</v>
      </c>
      <c r="K3895" s="2">
        <v>68.418899999999994</v>
      </c>
      <c r="L3895" s="2">
        <v>64</v>
      </c>
      <c r="M3895" s="2">
        <v>97.942899999999995</v>
      </c>
      <c r="N3895" s="2">
        <v>228</v>
      </c>
      <c r="O3895" s="2">
        <v>96.580299999999994</v>
      </c>
      <c r="P3895" s="2">
        <v>249</v>
      </c>
      <c r="Q3895" s="2">
        <v>97.036799999999999</v>
      </c>
      <c r="R3895" s="2">
        <v>88</v>
      </c>
      <c r="S3895" s="2">
        <v>98.516599999999997</v>
      </c>
      <c r="T3895" s="2">
        <v>118</v>
      </c>
      <c r="U3895" s="2">
        <v>0.44317899999999999</v>
      </c>
      <c r="V3895" s="2">
        <v>192</v>
      </c>
      <c r="W3895" s="2">
        <v>2013</v>
      </c>
    </row>
    <row r="3896" spans="1:23" ht="12.3" hidden="1" x14ac:dyDescent="0.4">
      <c r="A3896" s="2" t="s">
        <v>349</v>
      </c>
      <c r="B3896" s="2"/>
      <c r="C3896" s="2"/>
      <c r="D3896" s="2"/>
      <c r="E3896" s="2"/>
      <c r="F3896" s="2"/>
      <c r="G3896" s="2"/>
      <c r="H3896" s="2"/>
      <c r="I3896" s="2"/>
      <c r="J3896" s="2">
        <v>98</v>
      </c>
      <c r="K3896" s="2">
        <v>67.333600000000004</v>
      </c>
      <c r="L3896" s="2">
        <v>106</v>
      </c>
      <c r="M3896" s="2">
        <v>102.49460000000001</v>
      </c>
      <c r="N3896" s="2">
        <v>135</v>
      </c>
      <c r="O3896" s="2">
        <v>101.22280000000001</v>
      </c>
      <c r="P3896" s="2">
        <v>163</v>
      </c>
      <c r="Q3896" s="2">
        <v>105.5518</v>
      </c>
      <c r="R3896" s="2">
        <v>277</v>
      </c>
      <c r="S3896" s="2">
        <v>103.25409999999999</v>
      </c>
      <c r="T3896" s="2">
        <v>217</v>
      </c>
      <c r="U3896" s="2">
        <v>0.44312299999999999</v>
      </c>
      <c r="V3896" s="2">
        <v>193</v>
      </c>
      <c r="W3896" s="2">
        <v>2013</v>
      </c>
    </row>
    <row r="3897" spans="1:23" ht="12.3" hidden="1" x14ac:dyDescent="0.4">
      <c r="A3897" s="2" t="s">
        <v>305</v>
      </c>
      <c r="B3897" s="2"/>
      <c r="C3897" s="2"/>
      <c r="D3897" s="2"/>
      <c r="E3897" s="2"/>
      <c r="F3897" s="2"/>
      <c r="G3897" s="2"/>
      <c r="H3897" s="2"/>
      <c r="I3897" s="2"/>
      <c r="J3897" s="2">
        <v>116</v>
      </c>
      <c r="K3897" s="2">
        <v>67.798699999999997</v>
      </c>
      <c r="L3897" s="2">
        <v>85</v>
      </c>
      <c r="M3897" s="2">
        <v>104.4208</v>
      </c>
      <c r="N3897" s="2">
        <v>97</v>
      </c>
      <c r="O3897" s="2">
        <v>99.087500000000006</v>
      </c>
      <c r="P3897" s="2">
        <v>197</v>
      </c>
      <c r="Q3897" s="2">
        <v>98.618799999999993</v>
      </c>
      <c r="R3897" s="2">
        <v>134</v>
      </c>
      <c r="S3897" s="2">
        <v>101.1152</v>
      </c>
      <c r="T3897" s="2">
        <v>172</v>
      </c>
      <c r="U3897" s="2">
        <v>0.442023</v>
      </c>
      <c r="V3897" s="2">
        <v>194</v>
      </c>
      <c r="W3897" s="2">
        <v>2013</v>
      </c>
    </row>
    <row r="3898" spans="1:23" ht="12.3" hidden="1" x14ac:dyDescent="0.4">
      <c r="A3898" s="2" t="s">
        <v>160</v>
      </c>
      <c r="B3898" s="2"/>
      <c r="C3898" s="2"/>
      <c r="D3898" s="2"/>
      <c r="E3898" s="2"/>
      <c r="F3898" s="2"/>
      <c r="G3898" s="2"/>
      <c r="H3898" s="2"/>
      <c r="I3898" s="2"/>
      <c r="J3898" s="2">
        <v>276</v>
      </c>
      <c r="K3898" s="2">
        <v>64.734300000000005</v>
      </c>
      <c r="L3898" s="2">
        <v>227</v>
      </c>
      <c r="M3898" s="2">
        <v>99.462199999999996</v>
      </c>
      <c r="N3898" s="2">
        <v>188</v>
      </c>
      <c r="O3898" s="2">
        <v>101.46299999999999</v>
      </c>
      <c r="P3898" s="2">
        <v>156</v>
      </c>
      <c r="Q3898" s="2">
        <v>104.6957</v>
      </c>
      <c r="R3898" s="2">
        <v>263</v>
      </c>
      <c r="S3898" s="2">
        <v>103.8716</v>
      </c>
      <c r="T3898" s="2">
        <v>235</v>
      </c>
      <c r="U3898" s="2">
        <v>0.43295400000000001</v>
      </c>
      <c r="V3898" s="2">
        <v>195</v>
      </c>
      <c r="W3898" s="2">
        <v>2013</v>
      </c>
    </row>
    <row r="3899" spans="1:23" ht="12.3" hidden="1" x14ac:dyDescent="0.4">
      <c r="A3899" s="2" t="s">
        <v>258</v>
      </c>
      <c r="B3899" s="2"/>
      <c r="C3899" s="2"/>
      <c r="D3899" s="2"/>
      <c r="E3899" s="2"/>
      <c r="F3899" s="2"/>
      <c r="G3899" s="2"/>
      <c r="H3899" s="2"/>
      <c r="I3899" s="2"/>
      <c r="J3899" s="2">
        <v>282</v>
      </c>
      <c r="K3899" s="2">
        <v>63.5169</v>
      </c>
      <c r="L3899" s="2">
        <v>273</v>
      </c>
      <c r="M3899" s="2">
        <v>95.715199999999996</v>
      </c>
      <c r="N3899" s="2">
        <v>265</v>
      </c>
      <c r="O3899" s="2">
        <v>98.514600000000002</v>
      </c>
      <c r="P3899" s="2">
        <v>211</v>
      </c>
      <c r="Q3899" s="2">
        <v>104.4966</v>
      </c>
      <c r="R3899" s="2">
        <v>254</v>
      </c>
      <c r="S3899" s="2">
        <v>100.902</v>
      </c>
      <c r="T3899" s="2">
        <v>167</v>
      </c>
      <c r="U3899" s="2">
        <v>0.43158999999999997</v>
      </c>
      <c r="V3899" s="2">
        <v>196</v>
      </c>
      <c r="W3899" s="2">
        <v>2013</v>
      </c>
    </row>
    <row r="3900" spans="1:23" ht="12.3" hidden="1" x14ac:dyDescent="0.4">
      <c r="A3900" s="2" t="s">
        <v>274</v>
      </c>
      <c r="B3900" s="2"/>
      <c r="C3900" s="2"/>
      <c r="D3900" s="2"/>
      <c r="E3900" s="2"/>
      <c r="F3900" s="2"/>
      <c r="G3900" s="2"/>
      <c r="H3900" s="2"/>
      <c r="I3900" s="2"/>
      <c r="J3900" s="2">
        <v>99</v>
      </c>
      <c r="K3900" s="2">
        <v>66.409400000000005</v>
      </c>
      <c r="L3900" s="2">
        <v>147</v>
      </c>
      <c r="M3900" s="2">
        <v>104.0673</v>
      </c>
      <c r="N3900" s="2">
        <v>101</v>
      </c>
      <c r="O3900" s="2">
        <v>101.2235</v>
      </c>
      <c r="P3900" s="2">
        <v>162</v>
      </c>
      <c r="Q3900" s="2">
        <v>103.55589999999999</v>
      </c>
      <c r="R3900" s="2">
        <v>229</v>
      </c>
      <c r="S3900" s="2">
        <v>103.7289</v>
      </c>
      <c r="T3900" s="2">
        <v>231</v>
      </c>
      <c r="U3900" s="2">
        <v>0.43016599999999999</v>
      </c>
      <c r="V3900" s="2">
        <v>197</v>
      </c>
      <c r="W3900" s="2">
        <v>2013</v>
      </c>
    </row>
    <row r="3901" spans="1:23" ht="12.3" hidden="1" x14ac:dyDescent="0.4">
      <c r="A3901" s="2" t="s">
        <v>317</v>
      </c>
      <c r="B3901" s="2"/>
      <c r="C3901" s="2"/>
      <c r="D3901" s="2"/>
      <c r="E3901" s="2"/>
      <c r="F3901" s="2"/>
      <c r="G3901" s="2"/>
      <c r="H3901" s="2"/>
      <c r="I3901" s="2"/>
      <c r="J3901" s="2">
        <v>118</v>
      </c>
      <c r="K3901" s="2">
        <v>67.794600000000003</v>
      </c>
      <c r="L3901" s="2">
        <v>87</v>
      </c>
      <c r="M3901" s="2">
        <v>99.922700000000006</v>
      </c>
      <c r="N3901" s="2">
        <v>182</v>
      </c>
      <c r="O3901" s="2">
        <v>100.2403</v>
      </c>
      <c r="P3901" s="2">
        <v>182</v>
      </c>
      <c r="Q3901" s="2">
        <v>102.42359999999999</v>
      </c>
      <c r="R3901" s="2">
        <v>207</v>
      </c>
      <c r="S3901" s="2">
        <v>102.9034</v>
      </c>
      <c r="T3901" s="2">
        <v>210</v>
      </c>
      <c r="U3901" s="2">
        <v>0.42518400000000001</v>
      </c>
      <c r="V3901" s="2">
        <v>198</v>
      </c>
      <c r="W3901" s="2">
        <v>2013</v>
      </c>
    </row>
    <row r="3902" spans="1:23" ht="12.3" hidden="1" x14ac:dyDescent="0.4">
      <c r="A3902" s="2" t="s">
        <v>345</v>
      </c>
      <c r="B3902" s="2"/>
      <c r="C3902" s="2"/>
      <c r="D3902" s="2"/>
      <c r="E3902" s="2"/>
      <c r="F3902" s="2"/>
      <c r="G3902" s="2"/>
      <c r="H3902" s="2"/>
      <c r="I3902" s="2"/>
      <c r="J3902" s="2">
        <v>109</v>
      </c>
      <c r="K3902" s="2">
        <v>66.953400000000002</v>
      </c>
      <c r="L3902" s="2">
        <v>122</v>
      </c>
      <c r="M3902" s="2">
        <v>98.845600000000005</v>
      </c>
      <c r="N3902" s="2">
        <v>204</v>
      </c>
      <c r="O3902" s="2">
        <v>98.1785</v>
      </c>
      <c r="P3902" s="2">
        <v>223</v>
      </c>
      <c r="Q3902" s="2">
        <v>95.422499999999999</v>
      </c>
      <c r="R3902" s="2">
        <v>61</v>
      </c>
      <c r="S3902" s="2">
        <v>101.08669999999999</v>
      </c>
      <c r="T3902" s="2">
        <v>170</v>
      </c>
      <c r="U3902" s="2">
        <v>0.41685299999999997</v>
      </c>
      <c r="V3902" s="2">
        <v>199</v>
      </c>
      <c r="W3902" s="2">
        <v>2013</v>
      </c>
    </row>
    <row r="3903" spans="1:23" ht="12.3" hidden="1" x14ac:dyDescent="0.4">
      <c r="A3903" s="2" t="s">
        <v>304</v>
      </c>
      <c r="B3903" s="2"/>
      <c r="C3903" s="2"/>
      <c r="D3903" s="2"/>
      <c r="E3903" s="2"/>
      <c r="F3903" s="2"/>
      <c r="G3903" s="2"/>
      <c r="H3903" s="2"/>
      <c r="I3903" s="2"/>
      <c r="J3903" s="2">
        <v>294</v>
      </c>
      <c r="K3903" s="2">
        <v>63.331699999999998</v>
      </c>
      <c r="L3903" s="2">
        <v>278</v>
      </c>
      <c r="M3903" s="2">
        <v>106.2414</v>
      </c>
      <c r="N3903" s="2">
        <v>70</v>
      </c>
      <c r="O3903" s="2">
        <v>108.35550000000001</v>
      </c>
      <c r="P3903" s="2">
        <v>49</v>
      </c>
      <c r="Q3903" s="2">
        <v>110.5295</v>
      </c>
      <c r="R3903" s="2">
        <v>333</v>
      </c>
      <c r="S3903" s="2">
        <v>111.6724</v>
      </c>
      <c r="T3903" s="2">
        <v>334</v>
      </c>
      <c r="U3903" s="2">
        <v>0.41417199999999998</v>
      </c>
      <c r="V3903" s="2">
        <v>200</v>
      </c>
      <c r="W3903" s="2">
        <v>2013</v>
      </c>
    </row>
    <row r="3904" spans="1:23" ht="12.3" hidden="1" x14ac:dyDescent="0.4">
      <c r="A3904" s="2" t="s">
        <v>275</v>
      </c>
      <c r="B3904" s="2"/>
      <c r="C3904" s="2"/>
      <c r="D3904" s="2"/>
      <c r="E3904" s="2"/>
      <c r="F3904" s="2"/>
      <c r="G3904" s="2"/>
      <c r="H3904" s="2"/>
      <c r="I3904" s="2"/>
      <c r="J3904" s="2">
        <v>281</v>
      </c>
      <c r="K3904" s="2">
        <v>62.6526</v>
      </c>
      <c r="L3904" s="2">
        <v>295</v>
      </c>
      <c r="M3904" s="2">
        <v>101.4071</v>
      </c>
      <c r="N3904" s="2">
        <v>162</v>
      </c>
      <c r="O3904" s="2">
        <v>101.2638</v>
      </c>
      <c r="P3904" s="2">
        <v>160</v>
      </c>
      <c r="Q3904" s="2">
        <v>101.8347</v>
      </c>
      <c r="R3904" s="2">
        <v>194</v>
      </c>
      <c r="S3904" s="2">
        <v>104.4555</v>
      </c>
      <c r="T3904" s="2">
        <v>249</v>
      </c>
      <c r="U3904" s="2">
        <v>0.41171600000000003</v>
      </c>
      <c r="V3904" s="2">
        <v>201</v>
      </c>
      <c r="W3904" s="2">
        <v>2013</v>
      </c>
    </row>
    <row r="3905" spans="1:23" ht="12.3" hidden="1" x14ac:dyDescent="0.4">
      <c r="A3905" s="2" t="s">
        <v>311</v>
      </c>
      <c r="B3905" s="2"/>
      <c r="C3905" s="2"/>
      <c r="D3905" s="2"/>
      <c r="E3905" s="2"/>
      <c r="F3905" s="2"/>
      <c r="G3905" s="2"/>
      <c r="H3905" s="2"/>
      <c r="I3905" s="2"/>
      <c r="J3905" s="2">
        <v>29</v>
      </c>
      <c r="K3905" s="2">
        <v>69.133799999999994</v>
      </c>
      <c r="L3905" s="2">
        <v>42</v>
      </c>
      <c r="M3905" s="2">
        <v>107.6144</v>
      </c>
      <c r="N3905" s="2">
        <v>45</v>
      </c>
      <c r="O3905" s="2">
        <v>105.1327</v>
      </c>
      <c r="P3905" s="2">
        <v>89</v>
      </c>
      <c r="Q3905" s="2">
        <v>107.7607</v>
      </c>
      <c r="R3905" s="2">
        <v>316</v>
      </c>
      <c r="S3905" s="2">
        <v>108.5324</v>
      </c>
      <c r="T3905" s="2">
        <v>307</v>
      </c>
      <c r="U3905" s="2">
        <v>0.40950999999999999</v>
      </c>
      <c r="V3905" s="2">
        <v>202</v>
      </c>
      <c r="W3905" s="2">
        <v>2013</v>
      </c>
    </row>
    <row r="3906" spans="1:23" ht="12.3" hidden="1" x14ac:dyDescent="0.4">
      <c r="A3906" s="2" t="s">
        <v>306</v>
      </c>
      <c r="B3906" s="2"/>
      <c r="C3906" s="2"/>
      <c r="D3906" s="2"/>
      <c r="E3906" s="2"/>
      <c r="F3906" s="2"/>
      <c r="G3906" s="2"/>
      <c r="H3906" s="2"/>
      <c r="I3906" s="2"/>
      <c r="J3906" s="2">
        <v>167</v>
      </c>
      <c r="K3906" s="2">
        <v>65.741</v>
      </c>
      <c r="L3906" s="2">
        <v>178</v>
      </c>
      <c r="M3906" s="2">
        <v>101.8656</v>
      </c>
      <c r="N3906" s="2">
        <v>151</v>
      </c>
      <c r="O3906" s="2">
        <v>98.324700000000007</v>
      </c>
      <c r="P3906" s="2">
        <v>217</v>
      </c>
      <c r="Q3906" s="2">
        <v>98.677899999999994</v>
      </c>
      <c r="R3906" s="2">
        <v>135</v>
      </c>
      <c r="S3906" s="2">
        <v>101.8057</v>
      </c>
      <c r="T3906" s="2">
        <v>190</v>
      </c>
      <c r="U3906" s="2">
        <v>0.40128900000000001</v>
      </c>
      <c r="V3906" s="2">
        <v>203</v>
      </c>
      <c r="W3906" s="2">
        <v>2013</v>
      </c>
    </row>
    <row r="3907" spans="1:23" ht="12.3" hidden="1" x14ac:dyDescent="0.4">
      <c r="A3907" s="2" t="s">
        <v>66</v>
      </c>
      <c r="B3907" s="2"/>
      <c r="C3907" s="2"/>
      <c r="D3907" s="2"/>
      <c r="E3907" s="2"/>
      <c r="F3907" s="2"/>
      <c r="G3907" s="2"/>
      <c r="H3907" s="2"/>
      <c r="I3907" s="2"/>
      <c r="J3907" s="2">
        <v>34</v>
      </c>
      <c r="K3907" s="2">
        <v>69.347700000000003</v>
      </c>
      <c r="L3907" s="2">
        <v>33</v>
      </c>
      <c r="M3907" s="2">
        <v>103.27630000000001</v>
      </c>
      <c r="N3907" s="2">
        <v>120</v>
      </c>
      <c r="O3907" s="2">
        <v>101.6926</v>
      </c>
      <c r="P3907" s="2">
        <v>150</v>
      </c>
      <c r="Q3907" s="2">
        <v>102.73090000000001</v>
      </c>
      <c r="R3907" s="2">
        <v>217</v>
      </c>
      <c r="S3907" s="2">
        <v>105.33920000000001</v>
      </c>
      <c r="T3907" s="2">
        <v>261</v>
      </c>
      <c r="U3907" s="2">
        <v>0.40007500000000001</v>
      </c>
      <c r="V3907" s="2">
        <v>204</v>
      </c>
      <c r="W3907" s="2">
        <v>2013</v>
      </c>
    </row>
    <row r="3908" spans="1:23" ht="12.3" hidden="1" x14ac:dyDescent="0.4">
      <c r="A3908" s="2" t="s">
        <v>320</v>
      </c>
      <c r="B3908" s="2"/>
      <c r="C3908" s="2"/>
      <c r="D3908" s="2"/>
      <c r="E3908" s="2"/>
      <c r="F3908" s="2"/>
      <c r="G3908" s="2"/>
      <c r="H3908" s="2"/>
      <c r="I3908" s="2"/>
      <c r="J3908" s="2">
        <v>67</v>
      </c>
      <c r="K3908" s="2">
        <v>68.632199999999997</v>
      </c>
      <c r="L3908" s="2">
        <v>56</v>
      </c>
      <c r="M3908" s="2">
        <v>96.6982</v>
      </c>
      <c r="N3908" s="2">
        <v>246</v>
      </c>
      <c r="O3908" s="2">
        <v>93.937200000000004</v>
      </c>
      <c r="P3908" s="2">
        <v>296</v>
      </c>
      <c r="Q3908" s="2">
        <v>95.088499999999996</v>
      </c>
      <c r="R3908" s="2">
        <v>58</v>
      </c>
      <c r="S3908" s="2">
        <v>97.358599999999996</v>
      </c>
      <c r="T3908" s="2">
        <v>102</v>
      </c>
      <c r="U3908" s="2">
        <v>0.39857399999999998</v>
      </c>
      <c r="V3908" s="2">
        <v>205</v>
      </c>
      <c r="W3908" s="2">
        <v>2013</v>
      </c>
    </row>
    <row r="3909" spans="1:23" ht="12.3" hidden="1" x14ac:dyDescent="0.4">
      <c r="A3909" s="2" t="s">
        <v>22</v>
      </c>
      <c r="B3909" s="2"/>
      <c r="C3909" s="2"/>
      <c r="D3909" s="2"/>
      <c r="E3909" s="2"/>
      <c r="F3909" s="2"/>
      <c r="G3909" s="2"/>
      <c r="H3909" s="2"/>
      <c r="I3909" s="2"/>
      <c r="J3909" s="2">
        <v>332</v>
      </c>
      <c r="K3909" s="2">
        <v>60.882800000000003</v>
      </c>
      <c r="L3909" s="2">
        <v>328</v>
      </c>
      <c r="M3909" s="2">
        <v>94.648300000000006</v>
      </c>
      <c r="N3909" s="2">
        <v>284</v>
      </c>
      <c r="O3909" s="2">
        <v>100.0712</v>
      </c>
      <c r="P3909" s="2">
        <v>186</v>
      </c>
      <c r="Q3909" s="2">
        <v>106.51390000000001</v>
      </c>
      <c r="R3909" s="2">
        <v>299</v>
      </c>
      <c r="S3909" s="2">
        <v>103.7658</v>
      </c>
      <c r="T3909" s="2">
        <v>232</v>
      </c>
      <c r="U3909" s="2">
        <v>0.39725300000000002</v>
      </c>
      <c r="V3909" s="2">
        <v>206</v>
      </c>
      <c r="W3909" s="2">
        <v>2013</v>
      </c>
    </row>
    <row r="3910" spans="1:23" ht="12.3" hidden="1" x14ac:dyDescent="0.4">
      <c r="A3910" s="2" t="s">
        <v>165</v>
      </c>
      <c r="B3910" s="2"/>
      <c r="C3910" s="2"/>
      <c r="D3910" s="2"/>
      <c r="E3910" s="2"/>
      <c r="F3910" s="2"/>
      <c r="G3910" s="2"/>
      <c r="H3910" s="2"/>
      <c r="I3910" s="2"/>
      <c r="J3910" s="2">
        <v>84</v>
      </c>
      <c r="K3910" s="2">
        <v>69.354699999999994</v>
      </c>
      <c r="L3910" s="2">
        <v>32</v>
      </c>
      <c r="M3910" s="2">
        <v>105.41889999999999</v>
      </c>
      <c r="N3910" s="2">
        <v>84</v>
      </c>
      <c r="O3910" s="2">
        <v>104.69329999999999</v>
      </c>
      <c r="P3910" s="2">
        <v>100</v>
      </c>
      <c r="Q3910" s="2">
        <v>109.1502</v>
      </c>
      <c r="R3910" s="2">
        <v>328</v>
      </c>
      <c r="S3910" s="2">
        <v>108.6007</v>
      </c>
      <c r="T3910" s="2">
        <v>309</v>
      </c>
      <c r="U3910" s="2">
        <v>0.39618300000000001</v>
      </c>
      <c r="V3910" s="2">
        <v>207</v>
      </c>
      <c r="W3910" s="2">
        <v>2013</v>
      </c>
    </row>
    <row r="3911" spans="1:23" ht="12.3" hidden="1" x14ac:dyDescent="0.4">
      <c r="A3911" s="2" t="s">
        <v>303</v>
      </c>
      <c r="B3911" s="2"/>
      <c r="C3911" s="2"/>
      <c r="D3911" s="2"/>
      <c r="E3911" s="2"/>
      <c r="F3911" s="2"/>
      <c r="G3911" s="2"/>
      <c r="H3911" s="2"/>
      <c r="I3911" s="2"/>
      <c r="J3911" s="2">
        <v>61</v>
      </c>
      <c r="K3911" s="2">
        <v>68.8523</v>
      </c>
      <c r="L3911" s="2">
        <v>48</v>
      </c>
      <c r="M3911" s="2">
        <v>105.4584</v>
      </c>
      <c r="N3911" s="2">
        <v>82</v>
      </c>
      <c r="O3911" s="2">
        <v>102.86409999999999</v>
      </c>
      <c r="P3911" s="2">
        <v>134</v>
      </c>
      <c r="Q3911" s="2">
        <v>104.62820000000001</v>
      </c>
      <c r="R3911" s="2">
        <v>260</v>
      </c>
      <c r="S3911" s="2">
        <v>106.7787</v>
      </c>
      <c r="T3911" s="2">
        <v>284</v>
      </c>
      <c r="U3911" s="2">
        <v>0.39424100000000001</v>
      </c>
      <c r="V3911" s="2">
        <v>208</v>
      </c>
      <c r="W3911" s="2">
        <v>2013</v>
      </c>
    </row>
    <row r="3912" spans="1:23" ht="12.3" hidden="1" x14ac:dyDescent="0.4">
      <c r="A3912" s="2" t="s">
        <v>197</v>
      </c>
      <c r="B3912" s="2"/>
      <c r="C3912" s="2"/>
      <c r="D3912" s="2"/>
      <c r="E3912" s="2"/>
      <c r="F3912" s="2"/>
      <c r="G3912" s="2"/>
      <c r="H3912" s="2"/>
      <c r="I3912" s="2"/>
      <c r="J3912" s="2">
        <v>64</v>
      </c>
      <c r="K3912" s="2">
        <v>67.966700000000003</v>
      </c>
      <c r="L3912" s="2">
        <v>79</v>
      </c>
      <c r="M3912" s="2">
        <v>99.146900000000002</v>
      </c>
      <c r="N3912" s="2">
        <v>197</v>
      </c>
      <c r="O3912" s="2">
        <v>100.57680000000001</v>
      </c>
      <c r="P3912" s="2">
        <v>176</v>
      </c>
      <c r="Q3912" s="2">
        <v>105.4962</v>
      </c>
      <c r="R3912" s="2">
        <v>275</v>
      </c>
      <c r="S3912" s="2">
        <v>104.4059</v>
      </c>
      <c r="T3912" s="2">
        <v>247</v>
      </c>
      <c r="U3912" s="2">
        <v>0.39419999999999999</v>
      </c>
      <c r="V3912" s="2">
        <v>209</v>
      </c>
      <c r="W3912" s="2">
        <v>2013</v>
      </c>
    </row>
    <row r="3913" spans="1:23" ht="12.3" hidden="1" x14ac:dyDescent="0.4">
      <c r="A3913" s="2" t="s">
        <v>367</v>
      </c>
      <c r="B3913" s="2"/>
      <c r="C3913" s="2"/>
      <c r="D3913" s="2"/>
      <c r="E3913" s="2"/>
      <c r="F3913" s="2"/>
      <c r="G3913" s="2"/>
      <c r="H3913" s="2"/>
      <c r="I3913" s="2"/>
      <c r="J3913" s="2">
        <v>141</v>
      </c>
      <c r="K3913" s="2">
        <v>66.448400000000007</v>
      </c>
      <c r="L3913" s="2">
        <v>143</v>
      </c>
      <c r="M3913" s="2">
        <v>103.5585</v>
      </c>
      <c r="N3913" s="2">
        <v>112</v>
      </c>
      <c r="O3913" s="2">
        <v>100.33920000000001</v>
      </c>
      <c r="P3913" s="2">
        <v>180</v>
      </c>
      <c r="Q3913" s="2">
        <v>101.88249999999999</v>
      </c>
      <c r="R3913" s="2">
        <v>195</v>
      </c>
      <c r="S3913" s="2">
        <v>104.2159</v>
      </c>
      <c r="T3913" s="2">
        <v>244</v>
      </c>
      <c r="U3913" s="2">
        <v>0.39270500000000003</v>
      </c>
      <c r="V3913" s="2">
        <v>210</v>
      </c>
      <c r="W3913" s="2">
        <v>2013</v>
      </c>
    </row>
    <row r="3914" spans="1:23" ht="12.3" hidden="1" x14ac:dyDescent="0.4">
      <c r="A3914" s="2" t="s">
        <v>104</v>
      </c>
      <c r="B3914" s="2"/>
      <c r="C3914" s="2"/>
      <c r="D3914" s="2"/>
      <c r="E3914" s="2"/>
      <c r="F3914" s="2"/>
      <c r="G3914" s="2"/>
      <c r="H3914" s="2"/>
      <c r="I3914" s="2"/>
      <c r="J3914" s="2">
        <v>257</v>
      </c>
      <c r="K3914" s="2">
        <v>64.107900000000001</v>
      </c>
      <c r="L3914" s="2">
        <v>259</v>
      </c>
      <c r="M3914" s="2">
        <v>97.326099999999997</v>
      </c>
      <c r="N3914" s="2">
        <v>237</v>
      </c>
      <c r="O3914" s="2">
        <v>96.703299999999999</v>
      </c>
      <c r="P3914" s="2">
        <v>245</v>
      </c>
      <c r="Q3914" s="2">
        <v>104.4743</v>
      </c>
      <c r="R3914" s="2">
        <v>253</v>
      </c>
      <c r="S3914" s="2">
        <v>100.50279999999999</v>
      </c>
      <c r="T3914" s="2">
        <v>160</v>
      </c>
      <c r="U3914" s="2">
        <v>0.39097999999999999</v>
      </c>
      <c r="V3914" s="2">
        <v>211</v>
      </c>
      <c r="W3914" s="2">
        <v>2013</v>
      </c>
    </row>
    <row r="3915" spans="1:23" ht="12.3" hidden="1" x14ac:dyDescent="0.4">
      <c r="A3915" s="2" t="s">
        <v>352</v>
      </c>
      <c r="B3915" s="2"/>
      <c r="C3915" s="2"/>
      <c r="D3915" s="2"/>
      <c r="E3915" s="2"/>
      <c r="F3915" s="2"/>
      <c r="G3915" s="2"/>
      <c r="H3915" s="2"/>
      <c r="I3915" s="2"/>
      <c r="J3915" s="2">
        <v>298</v>
      </c>
      <c r="K3915" s="2">
        <v>63.298299999999998</v>
      </c>
      <c r="L3915" s="2">
        <v>279</v>
      </c>
      <c r="M3915" s="2">
        <v>85.690100000000001</v>
      </c>
      <c r="N3915" s="2">
        <v>341</v>
      </c>
      <c r="O3915" s="2">
        <v>86.462400000000002</v>
      </c>
      <c r="P3915" s="2">
        <v>340</v>
      </c>
      <c r="Q3915" s="2">
        <v>86.220299999999995</v>
      </c>
      <c r="R3915" s="2">
        <v>4</v>
      </c>
      <c r="S3915" s="2">
        <v>89.972300000000004</v>
      </c>
      <c r="T3915" s="2">
        <v>14</v>
      </c>
      <c r="U3915" s="2">
        <v>0.38755099999999998</v>
      </c>
      <c r="V3915" s="2">
        <v>212</v>
      </c>
      <c r="W3915" s="2">
        <v>2013</v>
      </c>
    </row>
    <row r="3916" spans="1:23" ht="12.3" hidden="1" x14ac:dyDescent="0.4">
      <c r="A3916" s="2" t="s">
        <v>113</v>
      </c>
      <c r="B3916" s="2"/>
      <c r="C3916" s="2"/>
      <c r="D3916" s="2"/>
      <c r="E3916" s="2"/>
      <c r="F3916" s="2"/>
      <c r="G3916" s="2"/>
      <c r="H3916" s="2"/>
      <c r="I3916" s="2"/>
      <c r="J3916" s="2">
        <v>146</v>
      </c>
      <c r="K3916" s="2">
        <v>67.281999999999996</v>
      </c>
      <c r="L3916" s="2">
        <v>108</v>
      </c>
      <c r="M3916" s="2">
        <v>95.318399999999997</v>
      </c>
      <c r="N3916" s="2">
        <v>275</v>
      </c>
      <c r="O3916" s="2">
        <v>96.248900000000006</v>
      </c>
      <c r="P3916" s="2">
        <v>254</v>
      </c>
      <c r="Q3916" s="2">
        <v>101.1803</v>
      </c>
      <c r="R3916" s="2">
        <v>178</v>
      </c>
      <c r="S3916" s="2">
        <v>100.1575</v>
      </c>
      <c r="T3916" s="2">
        <v>151</v>
      </c>
      <c r="U3916" s="2">
        <v>0.38751200000000002</v>
      </c>
      <c r="V3916" s="2">
        <v>213</v>
      </c>
      <c r="W3916" s="2">
        <v>2013</v>
      </c>
    </row>
    <row r="3917" spans="1:23" ht="12.3" hidden="1" x14ac:dyDescent="0.4">
      <c r="A3917" s="2" t="s">
        <v>357</v>
      </c>
      <c r="B3917" s="2"/>
      <c r="C3917" s="2"/>
      <c r="D3917" s="2"/>
      <c r="E3917" s="2"/>
      <c r="F3917" s="2"/>
      <c r="G3917" s="2"/>
      <c r="H3917" s="2"/>
      <c r="I3917" s="2"/>
      <c r="J3917" s="2">
        <v>110</v>
      </c>
      <c r="K3917" s="2">
        <v>67.281000000000006</v>
      </c>
      <c r="L3917" s="2">
        <v>109</v>
      </c>
      <c r="M3917" s="2">
        <v>105.26949999999999</v>
      </c>
      <c r="N3917" s="2">
        <v>88</v>
      </c>
      <c r="O3917" s="2">
        <v>102.6794</v>
      </c>
      <c r="P3917" s="2">
        <v>136</v>
      </c>
      <c r="Q3917" s="2">
        <v>107.0287</v>
      </c>
      <c r="R3917" s="2">
        <v>303</v>
      </c>
      <c r="S3917" s="2">
        <v>106.8664</v>
      </c>
      <c r="T3917" s="2">
        <v>286</v>
      </c>
      <c r="U3917" s="2">
        <v>0.387073</v>
      </c>
      <c r="V3917" s="2">
        <v>214</v>
      </c>
      <c r="W3917" s="2">
        <v>2013</v>
      </c>
    </row>
    <row r="3918" spans="1:23" ht="12.3" hidden="1" x14ac:dyDescent="0.4">
      <c r="A3918" s="2" t="s">
        <v>291</v>
      </c>
      <c r="B3918" s="2"/>
      <c r="C3918" s="2"/>
      <c r="D3918" s="2"/>
      <c r="E3918" s="2"/>
      <c r="F3918" s="2"/>
      <c r="G3918" s="2"/>
      <c r="H3918" s="2"/>
      <c r="I3918" s="2"/>
      <c r="J3918" s="2">
        <v>203</v>
      </c>
      <c r="K3918" s="2">
        <v>64.658500000000004</v>
      </c>
      <c r="L3918" s="2">
        <v>229</v>
      </c>
      <c r="M3918" s="2">
        <v>95.321200000000005</v>
      </c>
      <c r="N3918" s="2">
        <v>274</v>
      </c>
      <c r="O3918" s="2">
        <v>95.938100000000006</v>
      </c>
      <c r="P3918" s="2">
        <v>264</v>
      </c>
      <c r="Q3918" s="2">
        <v>104.54510000000001</v>
      </c>
      <c r="R3918" s="2">
        <v>257</v>
      </c>
      <c r="S3918" s="2">
        <v>99.891499999999994</v>
      </c>
      <c r="T3918" s="2">
        <v>144</v>
      </c>
      <c r="U3918" s="2">
        <v>0.38594800000000001</v>
      </c>
      <c r="V3918" s="2">
        <v>215</v>
      </c>
      <c r="W3918" s="2">
        <v>2013</v>
      </c>
    </row>
    <row r="3919" spans="1:23" ht="12.3" hidden="1" x14ac:dyDescent="0.4">
      <c r="A3919" s="2" t="s">
        <v>295</v>
      </c>
      <c r="B3919" s="2"/>
      <c r="C3919" s="2"/>
      <c r="D3919" s="2"/>
      <c r="E3919" s="2"/>
      <c r="F3919" s="2"/>
      <c r="G3919" s="2"/>
      <c r="H3919" s="2"/>
      <c r="I3919" s="2"/>
      <c r="J3919" s="2">
        <v>240</v>
      </c>
      <c r="K3919" s="2">
        <v>64.231499999999997</v>
      </c>
      <c r="L3919" s="2">
        <v>253</v>
      </c>
      <c r="M3919" s="2">
        <v>93.752399999999994</v>
      </c>
      <c r="N3919" s="2">
        <v>296</v>
      </c>
      <c r="O3919" s="2">
        <v>92.656099999999995</v>
      </c>
      <c r="P3919" s="2">
        <v>304</v>
      </c>
      <c r="Q3919" s="2">
        <v>94.6768</v>
      </c>
      <c r="R3919" s="2">
        <v>51</v>
      </c>
      <c r="S3919" s="2">
        <v>96.484700000000004</v>
      </c>
      <c r="T3919" s="2">
        <v>85</v>
      </c>
      <c r="U3919" s="2">
        <v>0.38565199999999999</v>
      </c>
      <c r="V3919" s="2">
        <v>216</v>
      </c>
      <c r="W3919" s="2">
        <v>2013</v>
      </c>
    </row>
    <row r="3920" spans="1:23" ht="12.3" hidden="1" x14ac:dyDescent="0.4">
      <c r="A3920" s="2" t="s">
        <v>17</v>
      </c>
      <c r="B3920" s="2"/>
      <c r="C3920" s="2"/>
      <c r="D3920" s="2"/>
      <c r="E3920" s="2"/>
      <c r="F3920" s="2"/>
      <c r="G3920" s="2"/>
      <c r="H3920" s="2"/>
      <c r="I3920" s="2"/>
      <c r="J3920" s="2">
        <v>157</v>
      </c>
      <c r="K3920" s="2">
        <v>66.405000000000001</v>
      </c>
      <c r="L3920" s="2">
        <v>149</v>
      </c>
      <c r="M3920" s="2">
        <v>97.835899999999995</v>
      </c>
      <c r="N3920" s="2">
        <v>232</v>
      </c>
      <c r="O3920" s="2">
        <v>99.361800000000002</v>
      </c>
      <c r="P3920" s="2">
        <v>196</v>
      </c>
      <c r="Q3920" s="2">
        <v>102.81699999999999</v>
      </c>
      <c r="R3920" s="2">
        <v>221</v>
      </c>
      <c r="S3920" s="2">
        <v>103.5502</v>
      </c>
      <c r="T3920" s="2">
        <v>227</v>
      </c>
      <c r="U3920" s="2">
        <v>0.38347500000000001</v>
      </c>
      <c r="V3920" s="2">
        <v>217</v>
      </c>
      <c r="W3920" s="2">
        <v>2013</v>
      </c>
    </row>
    <row r="3921" spans="1:23" ht="12.3" hidden="1" x14ac:dyDescent="0.4">
      <c r="A3921" s="2" t="s">
        <v>89</v>
      </c>
      <c r="B3921" s="2"/>
      <c r="C3921" s="2"/>
      <c r="D3921" s="2"/>
      <c r="E3921" s="2"/>
      <c r="F3921" s="2"/>
      <c r="G3921" s="2"/>
      <c r="H3921" s="2"/>
      <c r="I3921" s="2"/>
      <c r="J3921" s="2">
        <v>258</v>
      </c>
      <c r="K3921" s="2">
        <v>64.482900000000001</v>
      </c>
      <c r="L3921" s="2">
        <v>238</v>
      </c>
      <c r="M3921" s="2">
        <v>96.184799999999996</v>
      </c>
      <c r="N3921" s="2">
        <v>256</v>
      </c>
      <c r="O3921" s="2">
        <v>95.075100000000006</v>
      </c>
      <c r="P3921" s="2">
        <v>280</v>
      </c>
      <c r="Q3921" s="2">
        <v>98.210899999999995</v>
      </c>
      <c r="R3921" s="2">
        <v>120</v>
      </c>
      <c r="S3921" s="2">
        <v>99.1023</v>
      </c>
      <c r="T3921" s="2">
        <v>133</v>
      </c>
      <c r="U3921" s="2">
        <v>0.38293899999999997</v>
      </c>
      <c r="V3921" s="2">
        <v>218</v>
      </c>
      <c r="W3921" s="2">
        <v>2013</v>
      </c>
    </row>
    <row r="3922" spans="1:23" ht="12.3" x14ac:dyDescent="0.4">
      <c r="A3922" s="2" t="s">
        <v>108</v>
      </c>
      <c r="B3922" s="2">
        <v>15</v>
      </c>
      <c r="C3922" s="4"/>
      <c r="D3922" s="4"/>
      <c r="E3922" s="4"/>
      <c r="F3922" s="4"/>
      <c r="G3922" s="4"/>
      <c r="H3922" s="4"/>
      <c r="I3922" s="2">
        <v>77.671999999999997</v>
      </c>
      <c r="J3922" s="2">
        <v>2</v>
      </c>
      <c r="K3922" s="2">
        <v>76.266099999999994</v>
      </c>
      <c r="L3922" s="2">
        <v>3</v>
      </c>
      <c r="M3922" s="2">
        <v>102.1313</v>
      </c>
      <c r="N3922" s="2">
        <v>148</v>
      </c>
      <c r="O3922" s="2">
        <v>100.2287</v>
      </c>
      <c r="P3922" s="2">
        <v>185</v>
      </c>
      <c r="Q3922" s="2">
        <v>99.243099999999998</v>
      </c>
      <c r="R3922" s="2">
        <v>126</v>
      </c>
      <c r="S3922" s="2">
        <v>99.614199999999997</v>
      </c>
      <c r="T3922" s="2">
        <v>129</v>
      </c>
      <c r="U3922" s="2">
        <v>0.51767399999999997</v>
      </c>
      <c r="V3922" s="2">
        <v>154</v>
      </c>
      <c r="W3922" s="2">
        <v>2003</v>
      </c>
    </row>
    <row r="3923" spans="1:23" ht="12.3" hidden="1" x14ac:dyDescent="0.4">
      <c r="A3923" s="2" t="s">
        <v>281</v>
      </c>
      <c r="B3923" s="2"/>
      <c r="C3923" s="2"/>
      <c r="D3923" s="2"/>
      <c r="E3923" s="2"/>
      <c r="F3923" s="2"/>
      <c r="G3923" s="2"/>
      <c r="H3923" s="2"/>
      <c r="I3923" s="2"/>
      <c r="J3923" s="2">
        <v>40</v>
      </c>
      <c r="K3923" s="2">
        <v>69.285799999999995</v>
      </c>
      <c r="L3923" s="2">
        <v>38</v>
      </c>
      <c r="M3923" s="2">
        <v>102.0694</v>
      </c>
      <c r="N3923" s="2">
        <v>144</v>
      </c>
      <c r="O3923" s="2">
        <v>98.936000000000007</v>
      </c>
      <c r="P3923" s="2">
        <v>203</v>
      </c>
      <c r="Q3923" s="2">
        <v>101.1716</v>
      </c>
      <c r="R3923" s="2">
        <v>177</v>
      </c>
      <c r="S3923" s="2">
        <v>103.3976</v>
      </c>
      <c r="T3923" s="2">
        <v>222</v>
      </c>
      <c r="U3923" s="2">
        <v>0.37583899999999998</v>
      </c>
      <c r="V3923" s="2">
        <v>220</v>
      </c>
      <c r="W3923" s="2">
        <v>2013</v>
      </c>
    </row>
    <row r="3924" spans="1:23" ht="12.3" hidden="1" x14ac:dyDescent="0.4">
      <c r="A3924" s="2" t="s">
        <v>277</v>
      </c>
      <c r="B3924" s="2"/>
      <c r="C3924" s="2"/>
      <c r="D3924" s="2"/>
      <c r="E3924" s="2"/>
      <c r="F3924" s="2"/>
      <c r="G3924" s="2"/>
      <c r="H3924" s="2"/>
      <c r="I3924" s="2"/>
      <c r="J3924" s="2">
        <v>100</v>
      </c>
      <c r="K3924" s="2">
        <v>66.221000000000004</v>
      </c>
      <c r="L3924" s="2">
        <v>157</v>
      </c>
      <c r="M3924" s="2">
        <v>103.7189</v>
      </c>
      <c r="N3924" s="2">
        <v>109</v>
      </c>
      <c r="O3924" s="2">
        <v>101.4495</v>
      </c>
      <c r="P3924" s="2">
        <v>158</v>
      </c>
      <c r="Q3924" s="2">
        <v>105.1777</v>
      </c>
      <c r="R3924" s="2">
        <v>271</v>
      </c>
      <c r="S3924" s="2">
        <v>106.07640000000001</v>
      </c>
      <c r="T3924" s="2">
        <v>274</v>
      </c>
      <c r="U3924" s="2">
        <v>0.37451899999999999</v>
      </c>
      <c r="V3924" s="2">
        <v>221</v>
      </c>
      <c r="W3924" s="2">
        <v>2013</v>
      </c>
    </row>
    <row r="3925" spans="1:23" ht="12.3" hidden="1" x14ac:dyDescent="0.4">
      <c r="A3925" s="2" t="s">
        <v>257</v>
      </c>
      <c r="B3925" s="2"/>
      <c r="C3925" s="2"/>
      <c r="D3925" s="2"/>
      <c r="E3925" s="2"/>
      <c r="F3925" s="2"/>
      <c r="G3925" s="2"/>
      <c r="H3925" s="2"/>
      <c r="I3925" s="2"/>
      <c r="J3925" s="2">
        <v>288</v>
      </c>
      <c r="K3925" s="2">
        <v>63.421599999999998</v>
      </c>
      <c r="L3925" s="2">
        <v>276</v>
      </c>
      <c r="M3925" s="2">
        <v>105.3967</v>
      </c>
      <c r="N3925" s="2">
        <v>85</v>
      </c>
      <c r="O3925" s="2">
        <v>104.9384</v>
      </c>
      <c r="P3925" s="2">
        <v>93</v>
      </c>
      <c r="Q3925" s="2">
        <v>106.33110000000001</v>
      </c>
      <c r="R3925" s="2">
        <v>294</v>
      </c>
      <c r="S3925" s="2">
        <v>109.73220000000001</v>
      </c>
      <c r="T3925" s="2">
        <v>320</v>
      </c>
      <c r="U3925" s="2">
        <v>0.37432599999999999</v>
      </c>
      <c r="V3925" s="2">
        <v>222</v>
      </c>
      <c r="W3925" s="2">
        <v>2013</v>
      </c>
    </row>
    <row r="3926" spans="1:23" ht="12.3" hidden="1" x14ac:dyDescent="0.4">
      <c r="A3926" s="2" t="s">
        <v>330</v>
      </c>
      <c r="B3926" s="2"/>
      <c r="C3926" s="2"/>
      <c r="D3926" s="2"/>
      <c r="E3926" s="2"/>
      <c r="F3926" s="2"/>
      <c r="G3926" s="2"/>
      <c r="H3926" s="2"/>
      <c r="I3926" s="2"/>
      <c r="J3926" s="2">
        <v>130</v>
      </c>
      <c r="K3926" s="2">
        <v>65.367999999999995</v>
      </c>
      <c r="L3926" s="2">
        <v>194</v>
      </c>
      <c r="M3926" s="2">
        <v>103.8708</v>
      </c>
      <c r="N3926" s="2">
        <v>106</v>
      </c>
      <c r="O3926" s="2">
        <v>97.871300000000005</v>
      </c>
      <c r="P3926" s="2">
        <v>228</v>
      </c>
      <c r="Q3926" s="2">
        <v>99.566699999999997</v>
      </c>
      <c r="R3926" s="2">
        <v>150</v>
      </c>
      <c r="S3926" s="2">
        <v>102.36669999999999</v>
      </c>
      <c r="T3926" s="2">
        <v>202</v>
      </c>
      <c r="U3926" s="2">
        <v>0.37368600000000002</v>
      </c>
      <c r="V3926" s="2">
        <v>223</v>
      </c>
      <c r="W3926" s="2">
        <v>2013</v>
      </c>
    </row>
    <row r="3927" spans="1:23" ht="12.3" hidden="1" x14ac:dyDescent="0.4">
      <c r="A3927" s="2" t="s">
        <v>198</v>
      </c>
      <c r="B3927" s="2"/>
      <c r="C3927" s="2"/>
      <c r="D3927" s="2"/>
      <c r="E3927" s="2"/>
      <c r="F3927" s="2"/>
      <c r="G3927" s="2"/>
      <c r="H3927" s="2"/>
      <c r="I3927" s="2"/>
      <c r="J3927" s="2">
        <v>15</v>
      </c>
      <c r="K3927" s="2">
        <v>70.655000000000001</v>
      </c>
      <c r="L3927" s="2">
        <v>14</v>
      </c>
      <c r="M3927" s="2">
        <v>103.1401</v>
      </c>
      <c r="N3927" s="2">
        <v>123</v>
      </c>
      <c r="O3927" s="2">
        <v>102.3357</v>
      </c>
      <c r="P3927" s="2">
        <v>141</v>
      </c>
      <c r="Q3927" s="2">
        <v>105.93219999999999</v>
      </c>
      <c r="R3927" s="2">
        <v>284</v>
      </c>
      <c r="S3927" s="2">
        <v>107.2727</v>
      </c>
      <c r="T3927" s="2">
        <v>291</v>
      </c>
      <c r="U3927" s="2">
        <v>0.36776199999999998</v>
      </c>
      <c r="V3927" s="2">
        <v>224</v>
      </c>
      <c r="W3927" s="2">
        <v>2013</v>
      </c>
    </row>
    <row r="3928" spans="1:23" ht="12.3" hidden="1" x14ac:dyDescent="0.4">
      <c r="A3928" s="2" t="s">
        <v>233</v>
      </c>
      <c r="B3928" s="2"/>
      <c r="C3928" s="2"/>
      <c r="D3928" s="2"/>
      <c r="E3928" s="2"/>
      <c r="F3928" s="2"/>
      <c r="G3928" s="2"/>
      <c r="H3928" s="2"/>
      <c r="I3928" s="2"/>
      <c r="J3928" s="2">
        <v>270</v>
      </c>
      <c r="K3928" s="2">
        <v>64.840500000000006</v>
      </c>
      <c r="L3928" s="2">
        <v>221</v>
      </c>
      <c r="M3928" s="2">
        <v>95.363900000000001</v>
      </c>
      <c r="N3928" s="2">
        <v>271</v>
      </c>
      <c r="O3928" s="2">
        <v>94.5291</v>
      </c>
      <c r="P3928" s="2">
        <v>284</v>
      </c>
      <c r="Q3928" s="2">
        <v>100.35939999999999</v>
      </c>
      <c r="R3928" s="2">
        <v>164</v>
      </c>
      <c r="S3928" s="2">
        <v>99.120699999999999</v>
      </c>
      <c r="T3928" s="2">
        <v>134</v>
      </c>
      <c r="U3928" s="2">
        <v>0.366919</v>
      </c>
      <c r="V3928" s="2">
        <v>225</v>
      </c>
      <c r="W3928" s="2">
        <v>2013</v>
      </c>
    </row>
    <row r="3929" spans="1:23" ht="12.3" hidden="1" x14ac:dyDescent="0.4">
      <c r="A3929" s="2" t="s">
        <v>201</v>
      </c>
      <c r="B3929" s="2"/>
      <c r="C3929" s="2"/>
      <c r="D3929" s="2"/>
      <c r="E3929" s="2"/>
      <c r="F3929" s="2"/>
      <c r="G3929" s="2"/>
      <c r="H3929" s="2"/>
      <c r="I3929" s="2"/>
      <c r="J3929" s="2">
        <v>30</v>
      </c>
      <c r="K3929" s="2">
        <v>69.421099999999996</v>
      </c>
      <c r="L3929" s="2">
        <v>31</v>
      </c>
      <c r="M3929" s="2">
        <v>98.650199999999998</v>
      </c>
      <c r="N3929" s="2">
        <v>215</v>
      </c>
      <c r="O3929" s="2">
        <v>98.497100000000003</v>
      </c>
      <c r="P3929" s="2">
        <v>212</v>
      </c>
      <c r="Q3929" s="2">
        <v>103.87569999999999</v>
      </c>
      <c r="R3929" s="2">
        <v>241</v>
      </c>
      <c r="S3929" s="2">
        <v>103.29300000000001</v>
      </c>
      <c r="T3929" s="2">
        <v>219</v>
      </c>
      <c r="U3929" s="2">
        <v>0.366622</v>
      </c>
      <c r="V3929" s="2">
        <v>226</v>
      </c>
      <c r="W3929" s="2">
        <v>2013</v>
      </c>
    </row>
    <row r="3930" spans="1:23" ht="12.3" hidden="1" x14ac:dyDescent="0.4">
      <c r="A3930" s="2" t="s">
        <v>125</v>
      </c>
      <c r="B3930" s="2"/>
      <c r="C3930" s="2"/>
      <c r="D3930" s="2"/>
      <c r="E3930" s="2"/>
      <c r="F3930" s="2"/>
      <c r="G3930" s="2"/>
      <c r="H3930" s="2"/>
      <c r="I3930" s="2"/>
      <c r="J3930" s="2">
        <v>46</v>
      </c>
      <c r="K3930" s="2">
        <v>68.226100000000002</v>
      </c>
      <c r="L3930" s="2">
        <v>70</v>
      </c>
      <c r="M3930" s="2">
        <v>95.325199999999995</v>
      </c>
      <c r="N3930" s="2">
        <v>273</v>
      </c>
      <c r="O3930" s="2">
        <v>95.542100000000005</v>
      </c>
      <c r="P3930" s="2">
        <v>270</v>
      </c>
      <c r="Q3930" s="2">
        <v>97.863200000000006</v>
      </c>
      <c r="R3930" s="2">
        <v>111</v>
      </c>
      <c r="S3930" s="2">
        <v>100.2971</v>
      </c>
      <c r="T3930" s="2">
        <v>155</v>
      </c>
      <c r="U3930" s="2">
        <v>0.36388100000000001</v>
      </c>
      <c r="V3930" s="2">
        <v>227</v>
      </c>
      <c r="W3930" s="2">
        <v>2013</v>
      </c>
    </row>
    <row r="3931" spans="1:23" ht="12.3" hidden="1" x14ac:dyDescent="0.4">
      <c r="A3931" s="2" t="s">
        <v>79</v>
      </c>
      <c r="B3931" s="2"/>
      <c r="C3931" s="2"/>
      <c r="D3931" s="2"/>
      <c r="E3931" s="2"/>
      <c r="F3931" s="2"/>
      <c r="G3931" s="2"/>
      <c r="H3931" s="2"/>
      <c r="I3931" s="2"/>
      <c r="J3931" s="2">
        <v>260</v>
      </c>
      <c r="K3931" s="2">
        <v>63.8566</v>
      </c>
      <c r="L3931" s="2">
        <v>264</v>
      </c>
      <c r="M3931" s="2">
        <v>96.620699999999999</v>
      </c>
      <c r="N3931" s="2">
        <v>248</v>
      </c>
      <c r="O3931" s="2">
        <v>96.280299999999997</v>
      </c>
      <c r="P3931" s="2">
        <v>251</v>
      </c>
      <c r="Q3931" s="2">
        <v>104.117</v>
      </c>
      <c r="R3931" s="2">
        <v>247</v>
      </c>
      <c r="S3931" s="2">
        <v>101.3421</v>
      </c>
      <c r="T3931" s="2">
        <v>179</v>
      </c>
      <c r="U3931" s="2">
        <v>0.35681099999999999</v>
      </c>
      <c r="V3931" s="2">
        <v>228</v>
      </c>
      <c r="W3931" s="2">
        <v>2013</v>
      </c>
    </row>
    <row r="3932" spans="1:23" ht="12.3" hidden="1" x14ac:dyDescent="0.4">
      <c r="A3932" s="2" t="s">
        <v>376</v>
      </c>
      <c r="B3932" s="2"/>
      <c r="C3932" s="2"/>
      <c r="D3932" s="2"/>
      <c r="E3932" s="2"/>
      <c r="F3932" s="2"/>
      <c r="G3932" s="2"/>
      <c r="H3932" s="2"/>
      <c r="I3932" s="2"/>
      <c r="J3932" s="2">
        <v>28</v>
      </c>
      <c r="K3932" s="2">
        <v>69.038399999999996</v>
      </c>
      <c r="L3932" s="2">
        <v>43</v>
      </c>
      <c r="M3932" s="2">
        <v>93.030100000000004</v>
      </c>
      <c r="N3932" s="2">
        <v>303</v>
      </c>
      <c r="O3932" s="2">
        <v>92.304100000000005</v>
      </c>
      <c r="P3932" s="2">
        <v>307</v>
      </c>
      <c r="Q3932" s="2">
        <v>97.593100000000007</v>
      </c>
      <c r="R3932" s="2">
        <v>99</v>
      </c>
      <c r="S3932" s="2">
        <v>97.289199999999994</v>
      </c>
      <c r="T3932" s="2">
        <v>99</v>
      </c>
      <c r="U3932" s="2">
        <v>0.35322599999999998</v>
      </c>
      <c r="V3932" s="2">
        <v>229</v>
      </c>
      <c r="W3932" s="2">
        <v>2013</v>
      </c>
    </row>
    <row r="3933" spans="1:23" ht="12.3" hidden="1" x14ac:dyDescent="0.4">
      <c r="A3933" s="2" t="s">
        <v>225</v>
      </c>
      <c r="B3933" s="2"/>
      <c r="C3933" s="2"/>
      <c r="D3933" s="2"/>
      <c r="E3933" s="2"/>
      <c r="F3933" s="2"/>
      <c r="G3933" s="2"/>
      <c r="H3933" s="2"/>
      <c r="I3933" s="2"/>
      <c r="J3933" s="2">
        <v>245</v>
      </c>
      <c r="K3933" s="2">
        <v>62.496699999999997</v>
      </c>
      <c r="L3933" s="2">
        <v>298</v>
      </c>
      <c r="M3933" s="2">
        <v>94.430599999999998</v>
      </c>
      <c r="N3933" s="2">
        <v>288</v>
      </c>
      <c r="O3933" s="2">
        <v>92.554100000000005</v>
      </c>
      <c r="P3933" s="2">
        <v>305</v>
      </c>
      <c r="Q3933" s="2">
        <v>96.196600000000004</v>
      </c>
      <c r="R3933" s="2">
        <v>76</v>
      </c>
      <c r="S3933" s="2">
        <v>97.668000000000006</v>
      </c>
      <c r="T3933" s="2">
        <v>106</v>
      </c>
      <c r="U3933" s="2">
        <v>0.35012799999999999</v>
      </c>
      <c r="V3933" s="2">
        <v>230</v>
      </c>
      <c r="W3933" s="2">
        <v>2013</v>
      </c>
    </row>
    <row r="3934" spans="1:23" ht="12.3" hidden="1" x14ac:dyDescent="0.4">
      <c r="A3934" s="2" t="s">
        <v>331</v>
      </c>
      <c r="B3934" s="2"/>
      <c r="C3934" s="2"/>
      <c r="D3934" s="2"/>
      <c r="E3934" s="2"/>
      <c r="F3934" s="2"/>
      <c r="G3934" s="2"/>
      <c r="H3934" s="2"/>
      <c r="I3934" s="2"/>
      <c r="J3934" s="2">
        <v>335</v>
      </c>
      <c r="K3934" s="2">
        <v>60.517600000000002</v>
      </c>
      <c r="L3934" s="2">
        <v>337</v>
      </c>
      <c r="M3934" s="2">
        <v>90.986699999999999</v>
      </c>
      <c r="N3934" s="2">
        <v>321</v>
      </c>
      <c r="O3934" s="2">
        <v>91.940399999999997</v>
      </c>
      <c r="P3934" s="2">
        <v>310</v>
      </c>
      <c r="Q3934" s="2">
        <v>97.175299999999993</v>
      </c>
      <c r="R3934" s="2">
        <v>91</v>
      </c>
      <c r="S3934" s="2">
        <v>97.111999999999995</v>
      </c>
      <c r="T3934" s="2">
        <v>94</v>
      </c>
      <c r="U3934" s="2">
        <v>0.347661</v>
      </c>
      <c r="V3934" s="2">
        <v>231</v>
      </c>
      <c r="W3934" s="2">
        <v>2013</v>
      </c>
    </row>
    <row r="3935" spans="1:23" ht="12.3" hidden="1" x14ac:dyDescent="0.4">
      <c r="A3935" s="2" t="s">
        <v>218</v>
      </c>
      <c r="B3935" s="2"/>
      <c r="C3935" s="2"/>
      <c r="D3935" s="2"/>
      <c r="E3935" s="2"/>
      <c r="F3935" s="2"/>
      <c r="G3935" s="2"/>
      <c r="H3935" s="2"/>
      <c r="I3935" s="2"/>
      <c r="J3935" s="2">
        <v>166</v>
      </c>
      <c r="K3935" s="2">
        <v>65.219899999999996</v>
      </c>
      <c r="L3935" s="2">
        <v>203</v>
      </c>
      <c r="M3935" s="2">
        <v>96.978200000000001</v>
      </c>
      <c r="N3935" s="2">
        <v>243</v>
      </c>
      <c r="O3935" s="2">
        <v>98.321799999999996</v>
      </c>
      <c r="P3935" s="2">
        <v>218</v>
      </c>
      <c r="Q3935" s="2">
        <v>101.6339</v>
      </c>
      <c r="R3935" s="2">
        <v>189</v>
      </c>
      <c r="S3935" s="2">
        <v>103.9162</v>
      </c>
      <c r="T3935" s="2">
        <v>238</v>
      </c>
      <c r="U3935" s="2">
        <v>0.34605999999999998</v>
      </c>
      <c r="V3935" s="2">
        <v>232</v>
      </c>
      <c r="W3935" s="2">
        <v>2013</v>
      </c>
    </row>
    <row r="3936" spans="1:23" ht="12.3" hidden="1" x14ac:dyDescent="0.4">
      <c r="A3936" s="2" t="s">
        <v>143</v>
      </c>
      <c r="B3936" s="2"/>
      <c r="C3936" s="2"/>
      <c r="D3936" s="2"/>
      <c r="E3936" s="2"/>
      <c r="F3936" s="2"/>
      <c r="G3936" s="2"/>
      <c r="H3936" s="2"/>
      <c r="I3936" s="2"/>
      <c r="J3936" s="2">
        <v>92</v>
      </c>
      <c r="K3936" s="2">
        <v>68.288700000000006</v>
      </c>
      <c r="L3936" s="2">
        <v>68</v>
      </c>
      <c r="M3936" s="2">
        <v>95.414199999999994</v>
      </c>
      <c r="N3936" s="2">
        <v>269</v>
      </c>
      <c r="O3936" s="2">
        <v>97.651399999999995</v>
      </c>
      <c r="P3936" s="2">
        <v>235</v>
      </c>
      <c r="Q3936" s="2">
        <v>102.97320000000001</v>
      </c>
      <c r="R3936" s="2">
        <v>224</v>
      </c>
      <c r="S3936" s="2">
        <v>103.3575</v>
      </c>
      <c r="T3936" s="2">
        <v>220</v>
      </c>
      <c r="U3936" s="2">
        <v>0.34229700000000002</v>
      </c>
      <c r="V3936" s="2">
        <v>233</v>
      </c>
      <c r="W3936" s="2">
        <v>2013</v>
      </c>
    </row>
    <row r="3937" spans="1:23" ht="12.3" hidden="1" x14ac:dyDescent="0.4">
      <c r="A3937" s="2" t="s">
        <v>178</v>
      </c>
      <c r="B3937" s="2"/>
      <c r="C3937" s="2"/>
      <c r="D3937" s="2"/>
      <c r="E3937" s="2"/>
      <c r="F3937" s="2"/>
      <c r="G3937" s="2"/>
      <c r="H3937" s="2"/>
      <c r="I3937" s="2"/>
      <c r="J3937" s="2">
        <v>305</v>
      </c>
      <c r="K3937" s="2">
        <v>63.226500000000001</v>
      </c>
      <c r="L3937" s="2">
        <v>284</v>
      </c>
      <c r="M3937" s="2">
        <v>97.501199999999997</v>
      </c>
      <c r="N3937" s="2">
        <v>235</v>
      </c>
      <c r="O3937" s="2">
        <v>97.4298</v>
      </c>
      <c r="P3937" s="2">
        <v>237</v>
      </c>
      <c r="Q3937" s="2">
        <v>102.70229999999999</v>
      </c>
      <c r="R3937" s="2">
        <v>215</v>
      </c>
      <c r="S3937" s="2">
        <v>103.3733</v>
      </c>
      <c r="T3937" s="2">
        <v>221</v>
      </c>
      <c r="U3937" s="2">
        <v>0.33604699999999998</v>
      </c>
      <c r="V3937" s="2">
        <v>234</v>
      </c>
      <c r="W3937" s="2">
        <v>2013</v>
      </c>
    </row>
    <row r="3938" spans="1:23" ht="12.3" hidden="1" x14ac:dyDescent="0.4">
      <c r="A3938" s="2" t="s">
        <v>334</v>
      </c>
      <c r="B3938" s="2"/>
      <c r="C3938" s="2"/>
      <c r="D3938" s="2"/>
      <c r="E3938" s="2"/>
      <c r="F3938" s="2"/>
      <c r="G3938" s="2"/>
      <c r="H3938" s="2"/>
      <c r="I3938" s="2"/>
      <c r="J3938" s="2">
        <v>205</v>
      </c>
      <c r="K3938" s="2">
        <v>65.102500000000006</v>
      </c>
      <c r="L3938" s="2">
        <v>209</v>
      </c>
      <c r="M3938" s="2">
        <v>99.173000000000002</v>
      </c>
      <c r="N3938" s="2">
        <v>196</v>
      </c>
      <c r="O3938" s="2">
        <v>96.026700000000005</v>
      </c>
      <c r="P3938" s="2">
        <v>260</v>
      </c>
      <c r="Q3938" s="2">
        <v>99.319500000000005</v>
      </c>
      <c r="R3938" s="2">
        <v>144</v>
      </c>
      <c r="S3938" s="2">
        <v>102.0964</v>
      </c>
      <c r="T3938" s="2">
        <v>195</v>
      </c>
      <c r="U3938" s="2">
        <v>0.33073999999999998</v>
      </c>
      <c r="V3938" s="2">
        <v>235</v>
      </c>
      <c r="W3938" s="2">
        <v>2013</v>
      </c>
    </row>
    <row r="3939" spans="1:23" ht="12.3" hidden="1" x14ac:dyDescent="0.4">
      <c r="A3939" s="2" t="s">
        <v>117</v>
      </c>
      <c r="B3939" s="2"/>
      <c r="C3939" s="2"/>
      <c r="D3939" s="2"/>
      <c r="E3939" s="2"/>
      <c r="F3939" s="2"/>
      <c r="G3939" s="2"/>
      <c r="H3939" s="2"/>
      <c r="I3939" s="2"/>
      <c r="J3939" s="2">
        <v>21</v>
      </c>
      <c r="K3939" s="2">
        <v>69.946899999999999</v>
      </c>
      <c r="L3939" s="2">
        <v>27</v>
      </c>
      <c r="M3939" s="2">
        <v>98.781300000000002</v>
      </c>
      <c r="N3939" s="2">
        <v>210</v>
      </c>
      <c r="O3939" s="2">
        <v>98.698899999999995</v>
      </c>
      <c r="P3939" s="2">
        <v>208</v>
      </c>
      <c r="Q3939" s="2">
        <v>102.7722</v>
      </c>
      <c r="R3939" s="2">
        <v>219</v>
      </c>
      <c r="S3939" s="2">
        <v>104.9435</v>
      </c>
      <c r="T3939" s="2">
        <v>254</v>
      </c>
      <c r="U3939" s="2">
        <v>0.330592</v>
      </c>
      <c r="V3939" s="2">
        <v>236</v>
      </c>
      <c r="W3939" s="2">
        <v>2013</v>
      </c>
    </row>
    <row r="3940" spans="1:23" ht="12.3" hidden="1" x14ac:dyDescent="0.4">
      <c r="A3940" s="2" t="s">
        <v>298</v>
      </c>
      <c r="B3940" s="2"/>
      <c r="C3940" s="2"/>
      <c r="D3940" s="2"/>
      <c r="E3940" s="2"/>
      <c r="F3940" s="2"/>
      <c r="G3940" s="2"/>
      <c r="H3940" s="2"/>
      <c r="I3940" s="2"/>
      <c r="J3940" s="2">
        <v>63</v>
      </c>
      <c r="K3940" s="2">
        <v>68.836799999999997</v>
      </c>
      <c r="L3940" s="2">
        <v>49</v>
      </c>
      <c r="M3940" s="2">
        <v>101.8336</v>
      </c>
      <c r="N3940" s="2">
        <v>153</v>
      </c>
      <c r="O3940" s="2">
        <v>98.265199999999993</v>
      </c>
      <c r="P3940" s="2">
        <v>221</v>
      </c>
      <c r="Q3940" s="2">
        <v>104.4979</v>
      </c>
      <c r="R3940" s="2">
        <v>255</v>
      </c>
      <c r="S3940" s="2">
        <v>104.4961</v>
      </c>
      <c r="T3940" s="2">
        <v>250</v>
      </c>
      <c r="U3940" s="2">
        <v>0.33025900000000002</v>
      </c>
      <c r="V3940" s="2">
        <v>237</v>
      </c>
      <c r="W3940" s="2">
        <v>2013</v>
      </c>
    </row>
    <row r="3941" spans="1:23" ht="12.3" hidden="1" x14ac:dyDescent="0.4">
      <c r="A3941" s="2" t="s">
        <v>322</v>
      </c>
      <c r="B3941" s="2"/>
      <c r="C3941" s="2"/>
      <c r="D3941" s="2"/>
      <c r="E3941" s="2"/>
      <c r="F3941" s="2"/>
      <c r="G3941" s="2"/>
      <c r="H3941" s="2"/>
      <c r="I3941" s="2"/>
      <c r="J3941" s="2">
        <v>212</v>
      </c>
      <c r="K3941" s="2">
        <v>65.880300000000005</v>
      </c>
      <c r="L3941" s="2">
        <v>176</v>
      </c>
      <c r="M3941" s="2">
        <v>99.482200000000006</v>
      </c>
      <c r="N3941" s="2">
        <v>187</v>
      </c>
      <c r="O3941" s="2">
        <v>97.296999999999997</v>
      </c>
      <c r="P3941" s="2">
        <v>240</v>
      </c>
      <c r="Q3941" s="2">
        <v>102.4766</v>
      </c>
      <c r="R3941" s="2">
        <v>210</v>
      </c>
      <c r="S3941" s="2">
        <v>103.60760000000001</v>
      </c>
      <c r="T3941" s="2">
        <v>229</v>
      </c>
      <c r="U3941" s="2">
        <v>0.32680100000000001</v>
      </c>
      <c r="V3941" s="2">
        <v>238</v>
      </c>
      <c r="W3941" s="2">
        <v>2013</v>
      </c>
    </row>
    <row r="3942" spans="1:23" ht="12.3" hidden="1" x14ac:dyDescent="0.4">
      <c r="A3942" s="2" t="s">
        <v>370</v>
      </c>
      <c r="B3942" s="2"/>
      <c r="C3942" s="2"/>
      <c r="D3942" s="2"/>
      <c r="E3942" s="2"/>
      <c r="F3942" s="2"/>
      <c r="G3942" s="2"/>
      <c r="H3942" s="2"/>
      <c r="I3942" s="2"/>
      <c r="J3942" s="2">
        <v>144</v>
      </c>
      <c r="K3942" s="2">
        <v>66.290000000000006</v>
      </c>
      <c r="L3942" s="2">
        <v>156</v>
      </c>
      <c r="M3942" s="2">
        <v>96.4148</v>
      </c>
      <c r="N3942" s="2">
        <v>253</v>
      </c>
      <c r="O3942" s="2">
        <v>96.159599999999998</v>
      </c>
      <c r="P3942" s="2">
        <v>257</v>
      </c>
      <c r="Q3942" s="2">
        <v>102.7848</v>
      </c>
      <c r="R3942" s="2">
        <v>220</v>
      </c>
      <c r="S3942" s="2">
        <v>102.5519</v>
      </c>
      <c r="T3942" s="2">
        <v>205</v>
      </c>
      <c r="U3942" s="2">
        <v>0.32297500000000001</v>
      </c>
      <c r="V3942" s="2">
        <v>239</v>
      </c>
      <c r="W3942" s="2">
        <v>2013</v>
      </c>
    </row>
    <row r="3943" spans="1:23" ht="12.3" hidden="1" x14ac:dyDescent="0.4">
      <c r="A3943" s="2" t="s">
        <v>59</v>
      </c>
      <c r="B3943" s="2"/>
      <c r="C3943" s="2"/>
      <c r="D3943" s="2"/>
      <c r="E3943" s="2"/>
      <c r="F3943" s="2"/>
      <c r="G3943" s="2"/>
      <c r="H3943" s="2"/>
      <c r="I3943" s="2"/>
      <c r="J3943" s="2">
        <v>77</v>
      </c>
      <c r="K3943" s="2">
        <v>67.638000000000005</v>
      </c>
      <c r="L3943" s="2">
        <v>96</v>
      </c>
      <c r="M3943" s="2">
        <v>95.261499999999998</v>
      </c>
      <c r="N3943" s="2">
        <v>278</v>
      </c>
      <c r="O3943" s="2">
        <v>98.460899999999995</v>
      </c>
      <c r="P3943" s="2">
        <v>213</v>
      </c>
      <c r="Q3943" s="2">
        <v>106.7234</v>
      </c>
      <c r="R3943" s="2">
        <v>301</v>
      </c>
      <c r="S3943" s="2">
        <v>105.0979</v>
      </c>
      <c r="T3943" s="2">
        <v>256</v>
      </c>
      <c r="U3943" s="2">
        <v>0.32078299999999998</v>
      </c>
      <c r="V3943" s="2">
        <v>240</v>
      </c>
      <c r="W3943" s="2">
        <v>2013</v>
      </c>
    </row>
    <row r="3944" spans="1:23" ht="12.3" hidden="1" x14ac:dyDescent="0.4">
      <c r="A3944" s="2" t="s">
        <v>358</v>
      </c>
      <c r="B3944" s="2"/>
      <c r="C3944" s="2"/>
      <c r="D3944" s="2"/>
      <c r="E3944" s="2"/>
      <c r="F3944" s="2"/>
      <c r="G3944" s="2"/>
      <c r="H3944" s="2"/>
      <c r="I3944" s="2"/>
      <c r="J3944" s="2">
        <v>193</v>
      </c>
      <c r="K3944" s="2">
        <v>66.088800000000006</v>
      </c>
      <c r="L3944" s="2">
        <v>162</v>
      </c>
      <c r="M3944" s="2">
        <v>103.5716</v>
      </c>
      <c r="N3944" s="2">
        <v>111</v>
      </c>
      <c r="O3944" s="2">
        <v>101.38630000000001</v>
      </c>
      <c r="P3944" s="2">
        <v>159</v>
      </c>
      <c r="Q3944" s="2">
        <v>107.1448</v>
      </c>
      <c r="R3944" s="2">
        <v>306</v>
      </c>
      <c r="S3944" s="2">
        <v>108.443</v>
      </c>
      <c r="T3944" s="2">
        <v>305</v>
      </c>
      <c r="U3944" s="2">
        <v>0.31565700000000002</v>
      </c>
      <c r="V3944" s="2">
        <v>241</v>
      </c>
      <c r="W3944" s="2">
        <v>2013</v>
      </c>
    </row>
    <row r="3945" spans="1:23" ht="12.3" hidden="1" x14ac:dyDescent="0.4">
      <c r="A3945" s="2" t="s">
        <v>101</v>
      </c>
      <c r="B3945" s="2"/>
      <c r="C3945" s="2"/>
      <c r="D3945" s="2"/>
      <c r="E3945" s="2"/>
      <c r="F3945" s="2"/>
      <c r="G3945" s="2"/>
      <c r="H3945" s="2"/>
      <c r="I3945" s="2"/>
      <c r="J3945" s="2">
        <v>181</v>
      </c>
      <c r="K3945" s="2">
        <v>66.323599999999999</v>
      </c>
      <c r="L3945" s="2">
        <v>155</v>
      </c>
      <c r="M3945" s="2">
        <v>98.299499999999995</v>
      </c>
      <c r="N3945" s="2">
        <v>222</v>
      </c>
      <c r="O3945" s="2">
        <v>99.0321</v>
      </c>
      <c r="P3945" s="2">
        <v>200</v>
      </c>
      <c r="Q3945" s="2">
        <v>103.6003</v>
      </c>
      <c r="R3945" s="2">
        <v>232</v>
      </c>
      <c r="S3945" s="2">
        <v>105.99209999999999</v>
      </c>
      <c r="T3945" s="2">
        <v>272</v>
      </c>
      <c r="U3945" s="2">
        <v>0.314085</v>
      </c>
      <c r="V3945" s="2">
        <v>242</v>
      </c>
      <c r="W3945" s="2">
        <v>2013</v>
      </c>
    </row>
    <row r="3946" spans="1:23" ht="12.3" hidden="1" x14ac:dyDescent="0.4">
      <c r="A3946" s="2" t="s">
        <v>354</v>
      </c>
      <c r="B3946" s="2"/>
      <c r="C3946" s="2"/>
      <c r="D3946" s="2"/>
      <c r="E3946" s="2"/>
      <c r="F3946" s="2"/>
      <c r="G3946" s="2"/>
      <c r="H3946" s="2"/>
      <c r="I3946" s="2"/>
      <c r="J3946" s="2">
        <v>7</v>
      </c>
      <c r="K3946" s="2">
        <v>71.663799999999995</v>
      </c>
      <c r="L3946" s="2">
        <v>5</v>
      </c>
      <c r="M3946" s="2">
        <v>98.182000000000002</v>
      </c>
      <c r="N3946" s="2">
        <v>224</v>
      </c>
      <c r="O3946" s="2">
        <v>100.467</v>
      </c>
      <c r="P3946" s="2">
        <v>179</v>
      </c>
      <c r="Q3946" s="2">
        <v>105.90900000000001</v>
      </c>
      <c r="R3946" s="2">
        <v>283</v>
      </c>
      <c r="S3946" s="2">
        <v>107.6588</v>
      </c>
      <c r="T3946" s="2">
        <v>296</v>
      </c>
      <c r="U3946" s="2">
        <v>0.31107899999999999</v>
      </c>
      <c r="V3946" s="2">
        <v>243</v>
      </c>
      <c r="W3946" s="2">
        <v>2013</v>
      </c>
    </row>
    <row r="3947" spans="1:23" ht="12.3" hidden="1" x14ac:dyDescent="0.4">
      <c r="A3947" s="2" t="s">
        <v>378</v>
      </c>
      <c r="B3947" s="2"/>
      <c r="C3947" s="2"/>
      <c r="D3947" s="2"/>
      <c r="E3947" s="2"/>
      <c r="F3947" s="2"/>
      <c r="G3947" s="2"/>
      <c r="H3947" s="2"/>
      <c r="I3947" s="2"/>
      <c r="J3947" s="2">
        <v>117</v>
      </c>
      <c r="K3947" s="2">
        <v>67.439499999999995</v>
      </c>
      <c r="L3947" s="2">
        <v>101</v>
      </c>
      <c r="M3947" s="2">
        <v>98.632400000000004</v>
      </c>
      <c r="N3947" s="2">
        <v>216</v>
      </c>
      <c r="O3947" s="2">
        <v>95.513999999999996</v>
      </c>
      <c r="P3947" s="2">
        <v>271</v>
      </c>
      <c r="Q3947" s="2">
        <v>102.7103</v>
      </c>
      <c r="R3947" s="2">
        <v>216</v>
      </c>
      <c r="S3947" s="2">
        <v>102.5549</v>
      </c>
      <c r="T3947" s="2">
        <v>206</v>
      </c>
      <c r="U3947" s="2">
        <v>0.30620000000000003</v>
      </c>
      <c r="V3947" s="2">
        <v>244</v>
      </c>
      <c r="W3947" s="2">
        <v>2013</v>
      </c>
    </row>
    <row r="3948" spans="1:23" ht="12.3" hidden="1" x14ac:dyDescent="0.4">
      <c r="A3948" s="2" t="s">
        <v>167</v>
      </c>
      <c r="B3948" s="2"/>
      <c r="C3948" s="2"/>
      <c r="D3948" s="2"/>
      <c r="E3948" s="2"/>
      <c r="F3948" s="2"/>
      <c r="G3948" s="2"/>
      <c r="H3948" s="2"/>
      <c r="I3948" s="2"/>
      <c r="J3948" s="2">
        <v>209</v>
      </c>
      <c r="K3948" s="2">
        <v>65.213399999999993</v>
      </c>
      <c r="L3948" s="2">
        <v>204</v>
      </c>
      <c r="M3948" s="2">
        <v>95.312899999999999</v>
      </c>
      <c r="N3948" s="2">
        <v>276</v>
      </c>
      <c r="O3948" s="2">
        <v>96.700100000000006</v>
      </c>
      <c r="P3948" s="2">
        <v>246</v>
      </c>
      <c r="Q3948" s="2">
        <v>105.0214</v>
      </c>
      <c r="R3948" s="2">
        <v>267</v>
      </c>
      <c r="S3948" s="2">
        <v>103.84310000000001</v>
      </c>
      <c r="T3948" s="2">
        <v>234</v>
      </c>
      <c r="U3948" s="2">
        <v>0.30585499999999999</v>
      </c>
      <c r="V3948" s="2">
        <v>245</v>
      </c>
      <c r="W3948" s="2">
        <v>2013</v>
      </c>
    </row>
    <row r="3949" spans="1:23" ht="12.3" hidden="1" x14ac:dyDescent="0.4">
      <c r="A3949" s="2" t="s">
        <v>77</v>
      </c>
      <c r="B3949" s="2"/>
      <c r="C3949" s="2"/>
      <c r="D3949" s="2"/>
      <c r="E3949" s="2"/>
      <c r="F3949" s="2"/>
      <c r="G3949" s="2"/>
      <c r="H3949" s="2"/>
      <c r="I3949" s="2"/>
      <c r="J3949" s="2">
        <v>104</v>
      </c>
      <c r="K3949" s="2">
        <v>68.222499999999997</v>
      </c>
      <c r="L3949" s="2">
        <v>71</v>
      </c>
      <c r="M3949" s="2">
        <v>92.679900000000004</v>
      </c>
      <c r="N3949" s="2">
        <v>306</v>
      </c>
      <c r="O3949" s="2">
        <v>93.5886</v>
      </c>
      <c r="P3949" s="2">
        <v>298</v>
      </c>
      <c r="Q3949" s="2">
        <v>100.8877</v>
      </c>
      <c r="R3949" s="2">
        <v>173</v>
      </c>
      <c r="S3949" s="2">
        <v>100.5877</v>
      </c>
      <c r="T3949" s="2">
        <v>163</v>
      </c>
      <c r="U3949" s="2">
        <v>0.30377300000000002</v>
      </c>
      <c r="V3949" s="2">
        <v>246</v>
      </c>
      <c r="W3949" s="2">
        <v>2013</v>
      </c>
    </row>
    <row r="3950" spans="1:23" ht="12.3" hidden="1" x14ac:dyDescent="0.4">
      <c r="A3950" s="2" t="s">
        <v>249</v>
      </c>
      <c r="B3950" s="2"/>
      <c r="C3950" s="2"/>
      <c r="D3950" s="2"/>
      <c r="E3950" s="2"/>
      <c r="F3950" s="2"/>
      <c r="G3950" s="2"/>
      <c r="H3950" s="2"/>
      <c r="I3950" s="2"/>
      <c r="J3950" s="2">
        <v>59</v>
      </c>
      <c r="K3950" s="2">
        <v>68.669899999999998</v>
      </c>
      <c r="L3950" s="2">
        <v>55</v>
      </c>
      <c r="M3950" s="2">
        <v>93.780199999999994</v>
      </c>
      <c r="N3950" s="2">
        <v>295</v>
      </c>
      <c r="O3950" s="2">
        <v>97.879300000000001</v>
      </c>
      <c r="P3950" s="2">
        <v>227</v>
      </c>
      <c r="Q3950" s="2">
        <v>110.7174</v>
      </c>
      <c r="R3950" s="2">
        <v>335</v>
      </c>
      <c r="S3950" s="2">
        <v>105.2015</v>
      </c>
      <c r="T3950" s="2">
        <v>259</v>
      </c>
      <c r="U3950" s="2">
        <v>0.30372100000000002</v>
      </c>
      <c r="V3950" s="2">
        <v>247</v>
      </c>
      <c r="W3950" s="2">
        <v>2013</v>
      </c>
    </row>
    <row r="3951" spans="1:23" ht="12.3" hidden="1" x14ac:dyDescent="0.4">
      <c r="A3951" s="2" t="s">
        <v>222</v>
      </c>
      <c r="B3951" s="2"/>
      <c r="C3951" s="2"/>
      <c r="D3951" s="2"/>
      <c r="E3951" s="2"/>
      <c r="F3951" s="2"/>
      <c r="G3951" s="2"/>
      <c r="H3951" s="2"/>
      <c r="I3951" s="2"/>
      <c r="J3951" s="2">
        <v>222</v>
      </c>
      <c r="K3951" s="2">
        <v>65.066999999999993</v>
      </c>
      <c r="L3951" s="2">
        <v>211</v>
      </c>
      <c r="M3951" s="2">
        <v>96.568799999999996</v>
      </c>
      <c r="N3951" s="2">
        <v>250</v>
      </c>
      <c r="O3951" s="2">
        <v>98.697299999999998</v>
      </c>
      <c r="P3951" s="2">
        <v>209</v>
      </c>
      <c r="Q3951" s="2">
        <v>107.4973</v>
      </c>
      <c r="R3951" s="2">
        <v>313</v>
      </c>
      <c r="S3951" s="2">
        <v>106.09910000000001</v>
      </c>
      <c r="T3951" s="2">
        <v>275</v>
      </c>
      <c r="U3951" s="2">
        <v>0.30330000000000001</v>
      </c>
      <c r="V3951" s="2">
        <v>248</v>
      </c>
      <c r="W3951" s="2">
        <v>2013</v>
      </c>
    </row>
    <row r="3952" spans="1:23" ht="12.3" hidden="1" x14ac:dyDescent="0.4">
      <c r="A3952" s="2" t="s">
        <v>377</v>
      </c>
      <c r="B3952" s="2"/>
      <c r="C3952" s="2"/>
      <c r="D3952" s="2"/>
      <c r="E3952" s="2"/>
      <c r="F3952" s="2"/>
      <c r="G3952" s="2"/>
      <c r="H3952" s="2"/>
      <c r="I3952" s="2"/>
      <c r="J3952" s="2">
        <v>132</v>
      </c>
      <c r="K3952" s="2">
        <v>67.429500000000004</v>
      </c>
      <c r="L3952" s="2">
        <v>102</v>
      </c>
      <c r="M3952" s="2">
        <v>103.76649999999999</v>
      </c>
      <c r="N3952" s="2">
        <v>108</v>
      </c>
      <c r="O3952" s="2">
        <v>103.51519999999999</v>
      </c>
      <c r="P3952" s="2">
        <v>123</v>
      </c>
      <c r="Q3952" s="2">
        <v>111.25490000000001</v>
      </c>
      <c r="R3952" s="2">
        <v>337</v>
      </c>
      <c r="S3952" s="2">
        <v>111.3939</v>
      </c>
      <c r="T3952" s="2">
        <v>331</v>
      </c>
      <c r="U3952" s="2">
        <v>0.30078300000000002</v>
      </c>
      <c r="V3952" s="2">
        <v>249</v>
      </c>
      <c r="W3952" s="2">
        <v>2013</v>
      </c>
    </row>
    <row r="3953" spans="1:23" ht="12.3" hidden="1" x14ac:dyDescent="0.4">
      <c r="A3953" s="2" t="s">
        <v>156</v>
      </c>
      <c r="B3953" s="2"/>
      <c r="C3953" s="2"/>
      <c r="D3953" s="2"/>
      <c r="E3953" s="2"/>
      <c r="F3953" s="2"/>
      <c r="G3953" s="2"/>
      <c r="H3953" s="2"/>
      <c r="I3953" s="2"/>
      <c r="J3953" s="2">
        <v>17</v>
      </c>
      <c r="K3953" s="2">
        <v>70.159899999999993</v>
      </c>
      <c r="L3953" s="2">
        <v>25</v>
      </c>
      <c r="M3953" s="2">
        <v>101.5835</v>
      </c>
      <c r="N3953" s="2">
        <v>159</v>
      </c>
      <c r="O3953" s="2">
        <v>100.113</v>
      </c>
      <c r="P3953" s="2">
        <v>184</v>
      </c>
      <c r="Q3953" s="2">
        <v>107.1872</v>
      </c>
      <c r="R3953" s="2">
        <v>307</v>
      </c>
      <c r="S3953" s="2">
        <v>107.8253</v>
      </c>
      <c r="T3953" s="2">
        <v>298</v>
      </c>
      <c r="U3953" s="2">
        <v>0.29870999999999998</v>
      </c>
      <c r="V3953" s="2">
        <v>250</v>
      </c>
      <c r="W3953" s="2">
        <v>2013</v>
      </c>
    </row>
    <row r="3954" spans="1:23" ht="12.3" hidden="1" x14ac:dyDescent="0.4">
      <c r="A3954" s="2" t="s">
        <v>185</v>
      </c>
      <c r="B3954" s="2"/>
      <c r="C3954" s="2"/>
      <c r="D3954" s="2"/>
      <c r="E3954" s="2"/>
      <c r="F3954" s="2"/>
      <c r="G3954" s="2"/>
      <c r="H3954" s="2"/>
      <c r="I3954" s="2"/>
      <c r="J3954" s="2">
        <v>206</v>
      </c>
      <c r="K3954" s="2">
        <v>64.002600000000001</v>
      </c>
      <c r="L3954" s="2">
        <v>261</v>
      </c>
      <c r="M3954" s="2">
        <v>98.035700000000006</v>
      </c>
      <c r="N3954" s="2">
        <v>226</v>
      </c>
      <c r="O3954" s="2">
        <v>99.075400000000002</v>
      </c>
      <c r="P3954" s="2">
        <v>198</v>
      </c>
      <c r="Q3954" s="2">
        <v>106.3437</v>
      </c>
      <c r="R3954" s="2">
        <v>295</v>
      </c>
      <c r="S3954" s="2">
        <v>106.7538</v>
      </c>
      <c r="T3954" s="2">
        <v>282</v>
      </c>
      <c r="U3954" s="2">
        <v>0.29767399999999999</v>
      </c>
      <c r="V3954" s="2">
        <v>251</v>
      </c>
      <c r="W3954" s="2">
        <v>2013</v>
      </c>
    </row>
    <row r="3955" spans="1:23" ht="12.3" hidden="1" x14ac:dyDescent="0.4">
      <c r="A3955" s="2" t="s">
        <v>309</v>
      </c>
      <c r="B3955" s="2"/>
      <c r="C3955" s="2"/>
      <c r="D3955" s="2"/>
      <c r="E3955" s="2"/>
      <c r="F3955" s="2"/>
      <c r="G3955" s="2"/>
      <c r="H3955" s="2"/>
      <c r="I3955" s="2"/>
      <c r="J3955" s="2">
        <v>53</v>
      </c>
      <c r="K3955" s="2">
        <v>69.257199999999997</v>
      </c>
      <c r="L3955" s="2">
        <v>39</v>
      </c>
      <c r="M3955" s="2">
        <v>94.831599999999995</v>
      </c>
      <c r="N3955" s="2">
        <v>283</v>
      </c>
      <c r="O3955" s="2">
        <v>95.997600000000006</v>
      </c>
      <c r="P3955" s="2">
        <v>261</v>
      </c>
      <c r="Q3955" s="2">
        <v>102.386</v>
      </c>
      <c r="R3955" s="2">
        <v>206</v>
      </c>
      <c r="S3955" s="2">
        <v>103.46729999999999</v>
      </c>
      <c r="T3955" s="2">
        <v>224</v>
      </c>
      <c r="U3955" s="2">
        <v>0.29697899999999999</v>
      </c>
      <c r="V3955" s="2">
        <v>252</v>
      </c>
      <c r="W3955" s="2">
        <v>2013</v>
      </c>
    </row>
    <row r="3956" spans="1:23" ht="12.3" hidden="1" x14ac:dyDescent="0.4">
      <c r="A3956" s="2" t="s">
        <v>235</v>
      </c>
      <c r="B3956" s="2"/>
      <c r="C3956" s="2"/>
      <c r="D3956" s="2"/>
      <c r="E3956" s="2"/>
      <c r="F3956" s="2"/>
      <c r="G3956" s="2"/>
      <c r="H3956" s="2"/>
      <c r="I3956" s="2"/>
      <c r="J3956" s="2">
        <v>208</v>
      </c>
      <c r="K3956" s="2">
        <v>65.589500000000001</v>
      </c>
      <c r="L3956" s="2">
        <v>185</v>
      </c>
      <c r="M3956" s="2">
        <v>102.2085</v>
      </c>
      <c r="N3956" s="2">
        <v>142</v>
      </c>
      <c r="O3956" s="2">
        <v>103.2488</v>
      </c>
      <c r="P3956" s="2">
        <v>128</v>
      </c>
      <c r="Q3956" s="2">
        <v>109.3837</v>
      </c>
      <c r="R3956" s="2">
        <v>330</v>
      </c>
      <c r="S3956" s="2">
        <v>111.32040000000001</v>
      </c>
      <c r="T3956" s="2">
        <v>329</v>
      </c>
      <c r="U3956" s="2">
        <v>0.29616599999999998</v>
      </c>
      <c r="V3956" s="2">
        <v>253</v>
      </c>
      <c r="W3956" s="2">
        <v>2013</v>
      </c>
    </row>
    <row r="3957" spans="1:23" ht="12.3" hidden="1" x14ac:dyDescent="0.4">
      <c r="A3957" s="2" t="s">
        <v>250</v>
      </c>
      <c r="B3957" s="2"/>
      <c r="C3957" s="2"/>
      <c r="D3957" s="2"/>
      <c r="E3957" s="2"/>
      <c r="F3957" s="2"/>
      <c r="G3957" s="2"/>
      <c r="H3957" s="2"/>
      <c r="I3957" s="2"/>
      <c r="J3957" s="2">
        <v>41</v>
      </c>
      <c r="K3957" s="2">
        <v>69.249899999999997</v>
      </c>
      <c r="L3957" s="2">
        <v>40</v>
      </c>
      <c r="M3957" s="2">
        <v>96.225399999999993</v>
      </c>
      <c r="N3957" s="2">
        <v>254</v>
      </c>
      <c r="O3957" s="2">
        <v>98.029600000000002</v>
      </c>
      <c r="P3957" s="2">
        <v>225</v>
      </c>
      <c r="Q3957" s="2">
        <v>108.2758</v>
      </c>
      <c r="R3957" s="2">
        <v>319</v>
      </c>
      <c r="S3957" s="2">
        <v>105.7072</v>
      </c>
      <c r="T3957" s="2">
        <v>265</v>
      </c>
      <c r="U3957" s="2">
        <v>0.29585099999999998</v>
      </c>
      <c r="V3957" s="2">
        <v>254</v>
      </c>
      <c r="W3957" s="2">
        <v>2013</v>
      </c>
    </row>
    <row r="3958" spans="1:23" ht="12.3" hidden="1" x14ac:dyDescent="0.4">
      <c r="A3958" s="2" t="s">
        <v>246</v>
      </c>
      <c r="B3958" s="2"/>
      <c r="C3958" s="2"/>
      <c r="D3958" s="2"/>
      <c r="E3958" s="2"/>
      <c r="F3958" s="2"/>
      <c r="G3958" s="2"/>
      <c r="H3958" s="2"/>
      <c r="I3958" s="2"/>
      <c r="J3958" s="2">
        <v>168</v>
      </c>
      <c r="K3958" s="2">
        <v>66.384600000000006</v>
      </c>
      <c r="L3958" s="2">
        <v>152</v>
      </c>
      <c r="M3958" s="2">
        <v>102.64870000000001</v>
      </c>
      <c r="N3958" s="2">
        <v>131</v>
      </c>
      <c r="O3958" s="2">
        <v>99.737700000000004</v>
      </c>
      <c r="P3958" s="2">
        <v>191</v>
      </c>
      <c r="Q3958" s="2">
        <v>105.5381</v>
      </c>
      <c r="R3958" s="2">
        <v>276</v>
      </c>
      <c r="S3958" s="2">
        <v>107.5675</v>
      </c>
      <c r="T3958" s="2">
        <v>293</v>
      </c>
      <c r="U3958" s="2">
        <v>0.29544100000000001</v>
      </c>
      <c r="V3958" s="2">
        <v>255</v>
      </c>
      <c r="W3958" s="2">
        <v>2013</v>
      </c>
    </row>
    <row r="3959" spans="1:23" ht="12.3" x14ac:dyDescent="0.4">
      <c r="A3959" s="2" t="s">
        <v>215</v>
      </c>
      <c r="B3959" s="2">
        <v>15</v>
      </c>
      <c r="C3959" s="4"/>
      <c r="D3959" s="4"/>
      <c r="E3959" s="4"/>
      <c r="F3959" s="4"/>
      <c r="G3959" s="4"/>
      <c r="H3959" s="4"/>
      <c r="I3959" s="2">
        <v>70.001199999999997</v>
      </c>
      <c r="J3959" s="2">
        <v>109</v>
      </c>
      <c r="K3959" s="2">
        <v>68.168000000000006</v>
      </c>
      <c r="L3959" s="2">
        <v>176</v>
      </c>
      <c r="M3959" s="2">
        <v>108.261</v>
      </c>
      <c r="N3959" s="2">
        <v>41</v>
      </c>
      <c r="O3959" s="2">
        <v>103.87779999999999</v>
      </c>
      <c r="P3959" s="2">
        <v>112</v>
      </c>
      <c r="Q3959" s="2">
        <v>101.7873</v>
      </c>
      <c r="R3959" s="2">
        <v>191</v>
      </c>
      <c r="S3959" s="2">
        <v>104.9877</v>
      </c>
      <c r="T3959" s="2">
        <v>238</v>
      </c>
      <c r="U3959" s="2">
        <v>0.46948299999999998</v>
      </c>
      <c r="V3959" s="2">
        <v>174</v>
      </c>
      <c r="W3959" s="2">
        <v>2003</v>
      </c>
    </row>
    <row r="3960" spans="1:23" ht="12.3" hidden="1" x14ac:dyDescent="0.4">
      <c r="A3960" s="2" t="s">
        <v>380</v>
      </c>
      <c r="B3960" s="2"/>
      <c r="C3960" s="2"/>
      <c r="D3960" s="2"/>
      <c r="E3960" s="2"/>
      <c r="F3960" s="2"/>
      <c r="G3960" s="2"/>
      <c r="H3960" s="2"/>
      <c r="I3960" s="2"/>
      <c r="J3960" s="2">
        <v>338</v>
      </c>
      <c r="K3960" s="2">
        <v>59.582599999999999</v>
      </c>
      <c r="L3960" s="2">
        <v>344</v>
      </c>
      <c r="M3960" s="2">
        <v>97.38</v>
      </c>
      <c r="N3960" s="2">
        <v>236</v>
      </c>
      <c r="O3960" s="2">
        <v>95.488699999999994</v>
      </c>
      <c r="P3960" s="2">
        <v>272</v>
      </c>
      <c r="Q3960" s="2">
        <v>100.68089999999999</v>
      </c>
      <c r="R3960" s="2">
        <v>169</v>
      </c>
      <c r="S3960" s="2">
        <v>103.0626</v>
      </c>
      <c r="T3960" s="2">
        <v>212</v>
      </c>
      <c r="U3960" s="2">
        <v>0.29363800000000001</v>
      </c>
      <c r="V3960" s="2">
        <v>257</v>
      </c>
      <c r="W3960" s="2">
        <v>2013</v>
      </c>
    </row>
    <row r="3961" spans="1:23" ht="12.3" hidden="1" x14ac:dyDescent="0.4">
      <c r="A3961" s="2" t="s">
        <v>48</v>
      </c>
      <c r="B3961" s="2"/>
      <c r="C3961" s="2"/>
      <c r="D3961" s="2"/>
      <c r="E3961" s="2"/>
      <c r="F3961" s="2"/>
      <c r="G3961" s="2"/>
      <c r="H3961" s="2"/>
      <c r="I3961" s="2"/>
      <c r="J3961" s="2">
        <v>76</v>
      </c>
      <c r="K3961" s="2">
        <v>68.114500000000007</v>
      </c>
      <c r="L3961" s="2">
        <v>76</v>
      </c>
      <c r="M3961" s="2">
        <v>87.605400000000003</v>
      </c>
      <c r="N3961" s="2">
        <v>337</v>
      </c>
      <c r="O3961" s="2">
        <v>90.002300000000005</v>
      </c>
      <c r="P3961" s="2">
        <v>325</v>
      </c>
      <c r="Q3961" s="2">
        <v>101.5719</v>
      </c>
      <c r="R3961" s="2">
        <v>187</v>
      </c>
      <c r="S3961" s="2">
        <v>97.144300000000001</v>
      </c>
      <c r="T3961" s="2">
        <v>96</v>
      </c>
      <c r="U3961" s="2">
        <v>0.29355700000000001</v>
      </c>
      <c r="V3961" s="2">
        <v>258</v>
      </c>
      <c r="W3961" s="2">
        <v>2013</v>
      </c>
    </row>
    <row r="3962" spans="1:23" ht="12.3" hidden="1" x14ac:dyDescent="0.4">
      <c r="A3962" s="2" t="s">
        <v>279</v>
      </c>
      <c r="B3962" s="2"/>
      <c r="C3962" s="2"/>
      <c r="D3962" s="2"/>
      <c r="E3962" s="2"/>
      <c r="F3962" s="2"/>
      <c r="G3962" s="2"/>
      <c r="H3962" s="2"/>
      <c r="I3962" s="2"/>
      <c r="J3962" s="2">
        <v>280</v>
      </c>
      <c r="K3962" s="2">
        <v>63.721600000000002</v>
      </c>
      <c r="L3962" s="2">
        <v>270</v>
      </c>
      <c r="M3962" s="2">
        <v>90.181799999999996</v>
      </c>
      <c r="N3962" s="2">
        <v>324</v>
      </c>
      <c r="O3962" s="2">
        <v>86.908100000000005</v>
      </c>
      <c r="P3962" s="2">
        <v>338</v>
      </c>
      <c r="Q3962" s="2">
        <v>93.570400000000006</v>
      </c>
      <c r="R3962" s="2">
        <v>38</v>
      </c>
      <c r="S3962" s="2">
        <v>93.867099999999994</v>
      </c>
      <c r="T3962" s="2">
        <v>41</v>
      </c>
      <c r="U3962" s="2">
        <v>0.29197299999999998</v>
      </c>
      <c r="V3962" s="2">
        <v>259</v>
      </c>
      <c r="W3962" s="2">
        <v>2013</v>
      </c>
    </row>
    <row r="3963" spans="1:23" ht="12.3" hidden="1" x14ac:dyDescent="0.4">
      <c r="A3963" s="2" t="s">
        <v>253</v>
      </c>
      <c r="B3963" s="2"/>
      <c r="C3963" s="2"/>
      <c r="D3963" s="2"/>
      <c r="E3963" s="2"/>
      <c r="F3963" s="2"/>
      <c r="G3963" s="2"/>
      <c r="H3963" s="2"/>
      <c r="I3963" s="2"/>
      <c r="J3963" s="2">
        <v>89</v>
      </c>
      <c r="K3963" s="2">
        <v>67.648200000000003</v>
      </c>
      <c r="L3963" s="2">
        <v>95</v>
      </c>
      <c r="M3963" s="2">
        <v>101.8396</v>
      </c>
      <c r="N3963" s="2">
        <v>152</v>
      </c>
      <c r="O3963" s="2">
        <v>97.7864</v>
      </c>
      <c r="P3963" s="2">
        <v>230</v>
      </c>
      <c r="Q3963" s="2">
        <v>104.779</v>
      </c>
      <c r="R3963" s="2">
        <v>264</v>
      </c>
      <c r="S3963" s="2">
        <v>105.8403</v>
      </c>
      <c r="T3963" s="2">
        <v>268</v>
      </c>
      <c r="U3963" s="2">
        <v>0.286964</v>
      </c>
      <c r="V3963" s="2">
        <v>260</v>
      </c>
      <c r="W3963" s="2">
        <v>2013</v>
      </c>
    </row>
    <row r="3964" spans="1:23" ht="12.3" hidden="1" x14ac:dyDescent="0.4">
      <c r="A3964" s="2" t="s">
        <v>184</v>
      </c>
      <c r="B3964" s="2"/>
      <c r="C3964" s="2"/>
      <c r="D3964" s="2"/>
      <c r="E3964" s="2"/>
      <c r="F3964" s="2"/>
      <c r="G3964" s="2"/>
      <c r="H3964" s="2"/>
      <c r="I3964" s="2"/>
      <c r="J3964" s="2">
        <v>107</v>
      </c>
      <c r="K3964" s="2">
        <v>66.613799999999998</v>
      </c>
      <c r="L3964" s="2">
        <v>136</v>
      </c>
      <c r="M3964" s="2">
        <v>95.969899999999996</v>
      </c>
      <c r="N3964" s="2">
        <v>262</v>
      </c>
      <c r="O3964" s="2">
        <v>95.330399999999997</v>
      </c>
      <c r="P3964" s="2">
        <v>276</v>
      </c>
      <c r="Q3964" s="2">
        <v>101.38500000000001</v>
      </c>
      <c r="R3964" s="2">
        <v>183</v>
      </c>
      <c r="S3964" s="2">
        <v>103.5407</v>
      </c>
      <c r="T3964" s="2">
        <v>226</v>
      </c>
      <c r="U3964" s="2">
        <v>0.278868</v>
      </c>
      <c r="V3964" s="2">
        <v>261</v>
      </c>
      <c r="W3964" s="2">
        <v>2013</v>
      </c>
    </row>
    <row r="3965" spans="1:23" ht="12.3" hidden="1" x14ac:dyDescent="0.4">
      <c r="A3965" s="2" t="s">
        <v>363</v>
      </c>
      <c r="B3965" s="2"/>
      <c r="C3965" s="2"/>
      <c r="D3965" s="2"/>
      <c r="E3965" s="2"/>
      <c r="F3965" s="2"/>
      <c r="G3965" s="2"/>
      <c r="H3965" s="2"/>
      <c r="I3965" s="2"/>
      <c r="J3965" s="2">
        <v>158</v>
      </c>
      <c r="K3965" s="2">
        <v>66.110100000000003</v>
      </c>
      <c r="L3965" s="2">
        <v>160</v>
      </c>
      <c r="M3965" s="2">
        <v>98.863399999999999</v>
      </c>
      <c r="N3965" s="2">
        <v>203</v>
      </c>
      <c r="O3965" s="2">
        <v>98.776700000000005</v>
      </c>
      <c r="P3965" s="2">
        <v>206</v>
      </c>
      <c r="Q3965" s="2">
        <v>105.88630000000001</v>
      </c>
      <c r="R3965" s="2">
        <v>281</v>
      </c>
      <c r="S3965" s="2">
        <v>107.3172</v>
      </c>
      <c r="T3965" s="2">
        <v>292</v>
      </c>
      <c r="U3965" s="2">
        <v>0.27815000000000001</v>
      </c>
      <c r="V3965" s="2">
        <v>262</v>
      </c>
      <c r="W3965" s="2">
        <v>2013</v>
      </c>
    </row>
    <row r="3966" spans="1:23" ht="12.3" hidden="1" x14ac:dyDescent="0.4">
      <c r="A3966" s="2" t="s">
        <v>366</v>
      </c>
      <c r="B3966" s="2"/>
      <c r="C3966" s="2"/>
      <c r="D3966" s="2"/>
      <c r="E3966" s="2"/>
      <c r="F3966" s="2"/>
      <c r="G3966" s="2"/>
      <c r="H3966" s="2"/>
      <c r="I3966" s="2"/>
      <c r="J3966" s="2">
        <v>74</v>
      </c>
      <c r="K3966" s="2">
        <v>67.234999999999999</v>
      </c>
      <c r="L3966" s="2">
        <v>111</v>
      </c>
      <c r="M3966" s="2">
        <v>95.914400000000001</v>
      </c>
      <c r="N3966" s="2">
        <v>263</v>
      </c>
      <c r="O3966" s="2">
        <v>93.571799999999996</v>
      </c>
      <c r="P3966" s="2">
        <v>299</v>
      </c>
      <c r="Q3966" s="2">
        <v>94.949200000000005</v>
      </c>
      <c r="R3966" s="2">
        <v>56</v>
      </c>
      <c r="S3966" s="2">
        <v>101.7041</v>
      </c>
      <c r="T3966" s="2">
        <v>188</v>
      </c>
      <c r="U3966" s="2">
        <v>0.277202</v>
      </c>
      <c r="V3966" s="2">
        <v>263</v>
      </c>
      <c r="W3966" s="2">
        <v>2013</v>
      </c>
    </row>
    <row r="3967" spans="1:23" ht="12.3" hidden="1" x14ac:dyDescent="0.4">
      <c r="A3967" s="2" t="s">
        <v>264</v>
      </c>
      <c r="B3967" s="2"/>
      <c r="C3967" s="2"/>
      <c r="D3967" s="2"/>
      <c r="E3967" s="2"/>
      <c r="F3967" s="2"/>
      <c r="G3967" s="2"/>
      <c r="H3967" s="2"/>
      <c r="I3967" s="2"/>
      <c r="J3967" s="2">
        <v>336</v>
      </c>
      <c r="K3967" s="2">
        <v>59.9116</v>
      </c>
      <c r="L3967" s="2">
        <v>343</v>
      </c>
      <c r="M3967" s="2">
        <v>99.246499999999997</v>
      </c>
      <c r="N3967" s="2">
        <v>193</v>
      </c>
      <c r="O3967" s="2">
        <v>98.985600000000005</v>
      </c>
      <c r="P3967" s="2">
        <v>202</v>
      </c>
      <c r="Q3967" s="2">
        <v>105.95180000000001</v>
      </c>
      <c r="R3967" s="2">
        <v>285</v>
      </c>
      <c r="S3967" s="2">
        <v>107.6913</v>
      </c>
      <c r="T3967" s="2">
        <v>297</v>
      </c>
      <c r="U3967" s="2">
        <v>0.27500200000000002</v>
      </c>
      <c r="V3967" s="2">
        <v>264</v>
      </c>
      <c r="W3967" s="2">
        <v>2013</v>
      </c>
    </row>
    <row r="3968" spans="1:23" ht="12.3" hidden="1" x14ac:dyDescent="0.4">
      <c r="A3968" s="2" t="s">
        <v>316</v>
      </c>
      <c r="B3968" s="2"/>
      <c r="C3968" s="2"/>
      <c r="D3968" s="2"/>
      <c r="E3968" s="2"/>
      <c r="F3968" s="2"/>
      <c r="G3968" s="2"/>
      <c r="H3968" s="2"/>
      <c r="I3968" s="2"/>
      <c r="J3968" s="2">
        <v>56</v>
      </c>
      <c r="K3968" s="2">
        <v>68.441400000000002</v>
      </c>
      <c r="L3968" s="2">
        <v>62</v>
      </c>
      <c r="M3968" s="2">
        <v>101.2032</v>
      </c>
      <c r="N3968" s="2">
        <v>165</v>
      </c>
      <c r="O3968" s="2">
        <v>99.756600000000006</v>
      </c>
      <c r="P3968" s="2">
        <v>190</v>
      </c>
      <c r="Q3968" s="2">
        <v>109.79349999999999</v>
      </c>
      <c r="R3968" s="2">
        <v>331</v>
      </c>
      <c r="S3968" s="2">
        <v>108.9032</v>
      </c>
      <c r="T3968" s="2">
        <v>312</v>
      </c>
      <c r="U3968" s="2">
        <v>0.26720500000000003</v>
      </c>
      <c r="V3968" s="2">
        <v>265</v>
      </c>
      <c r="W3968" s="2">
        <v>2013</v>
      </c>
    </row>
    <row r="3969" spans="1:23" ht="12.3" hidden="1" x14ac:dyDescent="0.4">
      <c r="A3969" s="2" t="s">
        <v>290</v>
      </c>
      <c r="B3969" s="2"/>
      <c r="C3969" s="2"/>
      <c r="D3969" s="2"/>
      <c r="E3969" s="2"/>
      <c r="F3969" s="2"/>
      <c r="G3969" s="2"/>
      <c r="H3969" s="2"/>
      <c r="I3969" s="2"/>
      <c r="J3969" s="2">
        <v>202</v>
      </c>
      <c r="K3969" s="2">
        <v>65.261200000000002</v>
      </c>
      <c r="L3969" s="2">
        <v>200</v>
      </c>
      <c r="M3969" s="2">
        <v>90.753799999999998</v>
      </c>
      <c r="N3969" s="2">
        <v>322</v>
      </c>
      <c r="O3969" s="2">
        <v>94.174800000000005</v>
      </c>
      <c r="P3969" s="2">
        <v>293</v>
      </c>
      <c r="Q3969" s="2">
        <v>104.2222</v>
      </c>
      <c r="R3969" s="2">
        <v>250</v>
      </c>
      <c r="S3969" s="2">
        <v>102.8942</v>
      </c>
      <c r="T3969" s="2">
        <v>209</v>
      </c>
      <c r="U3969" s="2">
        <v>0.26535599999999998</v>
      </c>
      <c r="V3969" s="2">
        <v>266</v>
      </c>
      <c r="W3969" s="2">
        <v>2013</v>
      </c>
    </row>
    <row r="3970" spans="1:23" ht="12.3" hidden="1" x14ac:dyDescent="0.4">
      <c r="A3970" s="2" t="s">
        <v>114</v>
      </c>
      <c r="B3970" s="2"/>
      <c r="C3970" s="2"/>
      <c r="D3970" s="2"/>
      <c r="E3970" s="2"/>
      <c r="F3970" s="2"/>
      <c r="G3970" s="2"/>
      <c r="H3970" s="2"/>
      <c r="I3970" s="2"/>
      <c r="J3970" s="2">
        <v>182</v>
      </c>
      <c r="K3970" s="2">
        <v>65.662300000000002</v>
      </c>
      <c r="L3970" s="2">
        <v>183</v>
      </c>
      <c r="M3970" s="2">
        <v>96.172700000000006</v>
      </c>
      <c r="N3970" s="2">
        <v>258</v>
      </c>
      <c r="O3970" s="2">
        <v>95.248500000000007</v>
      </c>
      <c r="P3970" s="2">
        <v>278</v>
      </c>
      <c r="Q3970" s="2">
        <v>105.5911</v>
      </c>
      <c r="R3970" s="2">
        <v>278</v>
      </c>
      <c r="S3970" s="2">
        <v>104.10980000000001</v>
      </c>
      <c r="T3970" s="2">
        <v>243</v>
      </c>
      <c r="U3970" s="2">
        <v>0.26444099999999998</v>
      </c>
      <c r="V3970" s="2">
        <v>267</v>
      </c>
      <c r="W3970" s="2">
        <v>2013</v>
      </c>
    </row>
    <row r="3971" spans="1:23" ht="12.3" hidden="1" x14ac:dyDescent="0.4">
      <c r="A3971" s="2" t="s">
        <v>356</v>
      </c>
      <c r="B3971" s="2"/>
      <c r="C3971" s="2"/>
      <c r="D3971" s="2"/>
      <c r="E3971" s="2"/>
      <c r="F3971" s="2"/>
      <c r="G3971" s="2"/>
      <c r="H3971" s="2"/>
      <c r="I3971" s="2"/>
      <c r="J3971" s="2">
        <v>316</v>
      </c>
      <c r="K3971" s="2">
        <v>60.9407</v>
      </c>
      <c r="L3971" s="2">
        <v>327</v>
      </c>
      <c r="M3971" s="2">
        <v>97.864999999999995</v>
      </c>
      <c r="N3971" s="2">
        <v>231</v>
      </c>
      <c r="O3971" s="2">
        <v>97.661699999999996</v>
      </c>
      <c r="P3971" s="2">
        <v>234</v>
      </c>
      <c r="Q3971" s="2">
        <v>105.2358</v>
      </c>
      <c r="R3971" s="2">
        <v>272</v>
      </c>
      <c r="S3971" s="2">
        <v>106.88849999999999</v>
      </c>
      <c r="T3971" s="2">
        <v>287</v>
      </c>
      <c r="U3971" s="2">
        <v>0.26150099999999998</v>
      </c>
      <c r="V3971" s="2">
        <v>268</v>
      </c>
      <c r="W3971" s="2">
        <v>2013</v>
      </c>
    </row>
    <row r="3972" spans="1:23" ht="12.3" hidden="1" x14ac:dyDescent="0.4">
      <c r="A3972" s="2" t="s">
        <v>333</v>
      </c>
      <c r="B3972" s="2"/>
      <c r="C3972" s="2"/>
      <c r="D3972" s="2"/>
      <c r="E3972" s="2"/>
      <c r="F3972" s="2"/>
      <c r="G3972" s="2"/>
      <c r="H3972" s="2"/>
      <c r="I3972" s="2"/>
      <c r="J3972" s="2">
        <v>140</v>
      </c>
      <c r="K3972" s="2">
        <v>67.581000000000003</v>
      </c>
      <c r="L3972" s="2">
        <v>97</v>
      </c>
      <c r="M3972" s="2">
        <v>97.175399999999996</v>
      </c>
      <c r="N3972" s="2">
        <v>239</v>
      </c>
      <c r="O3972" s="2">
        <v>98.898300000000006</v>
      </c>
      <c r="P3972" s="2">
        <v>204</v>
      </c>
      <c r="Q3972" s="2">
        <v>104.6846</v>
      </c>
      <c r="R3972" s="2">
        <v>262</v>
      </c>
      <c r="S3972" s="2">
        <v>108.3002</v>
      </c>
      <c r="T3972" s="2">
        <v>301</v>
      </c>
      <c r="U3972" s="2">
        <v>0.26030700000000001</v>
      </c>
      <c r="V3972" s="2">
        <v>269</v>
      </c>
      <c r="W3972" s="2">
        <v>2013</v>
      </c>
    </row>
    <row r="3973" spans="1:23" ht="12.3" hidden="1" x14ac:dyDescent="0.4">
      <c r="A3973" s="2" t="s">
        <v>351</v>
      </c>
      <c r="B3973" s="2"/>
      <c r="C3973" s="2"/>
      <c r="D3973" s="2"/>
      <c r="E3973" s="2"/>
      <c r="F3973" s="2"/>
      <c r="G3973" s="2"/>
      <c r="H3973" s="2"/>
      <c r="I3973" s="2"/>
      <c r="J3973" s="2">
        <v>65</v>
      </c>
      <c r="K3973" s="2">
        <v>68.186300000000003</v>
      </c>
      <c r="L3973" s="2">
        <v>72</v>
      </c>
      <c r="M3973" s="2">
        <v>90.721299999999999</v>
      </c>
      <c r="N3973" s="2">
        <v>323</v>
      </c>
      <c r="O3973" s="2">
        <v>92.267600000000002</v>
      </c>
      <c r="P3973" s="2">
        <v>308</v>
      </c>
      <c r="Q3973" s="2">
        <v>96.589200000000005</v>
      </c>
      <c r="R3973" s="2">
        <v>80</v>
      </c>
      <c r="S3973" s="2">
        <v>101.11069999999999</v>
      </c>
      <c r="T3973" s="2">
        <v>171</v>
      </c>
      <c r="U3973" s="2">
        <v>0.258743</v>
      </c>
      <c r="V3973" s="2">
        <v>270</v>
      </c>
      <c r="W3973" s="2">
        <v>2013</v>
      </c>
    </row>
    <row r="3974" spans="1:23" ht="12.3" hidden="1" x14ac:dyDescent="0.4">
      <c r="A3974" s="2" t="s">
        <v>142</v>
      </c>
      <c r="B3974" s="2"/>
      <c r="C3974" s="2"/>
      <c r="D3974" s="2"/>
      <c r="E3974" s="2"/>
      <c r="F3974" s="2"/>
      <c r="G3974" s="2"/>
      <c r="H3974" s="2"/>
      <c r="I3974" s="2"/>
      <c r="J3974" s="2">
        <v>324</v>
      </c>
      <c r="K3974" s="2">
        <v>61.255600000000001</v>
      </c>
      <c r="L3974" s="2">
        <v>322</v>
      </c>
      <c r="M3974" s="2">
        <v>88.426199999999994</v>
      </c>
      <c r="N3974" s="2">
        <v>333</v>
      </c>
      <c r="O3974" s="2">
        <v>92.448400000000007</v>
      </c>
      <c r="P3974" s="2">
        <v>306</v>
      </c>
      <c r="Q3974" s="2">
        <v>102.4541</v>
      </c>
      <c r="R3974" s="2">
        <v>209</v>
      </c>
      <c r="S3974" s="2">
        <v>101.36579999999999</v>
      </c>
      <c r="T3974" s="2">
        <v>180</v>
      </c>
      <c r="U3974" s="2">
        <v>0.25750400000000001</v>
      </c>
      <c r="V3974" s="2">
        <v>271</v>
      </c>
      <c r="W3974" s="2">
        <v>2013</v>
      </c>
    </row>
    <row r="3975" spans="1:23" ht="12.3" hidden="1" x14ac:dyDescent="0.4">
      <c r="A3975" s="2" t="s">
        <v>247</v>
      </c>
      <c r="B3975" s="2"/>
      <c r="C3975" s="2"/>
      <c r="D3975" s="2"/>
      <c r="E3975" s="2"/>
      <c r="F3975" s="2"/>
      <c r="G3975" s="2"/>
      <c r="H3975" s="2"/>
      <c r="I3975" s="2"/>
      <c r="J3975" s="2">
        <v>145</v>
      </c>
      <c r="K3975" s="2">
        <v>67.073400000000007</v>
      </c>
      <c r="L3975" s="2">
        <v>119</v>
      </c>
      <c r="M3975" s="2">
        <v>95.357399999999998</v>
      </c>
      <c r="N3975" s="2">
        <v>272</v>
      </c>
      <c r="O3975" s="2">
        <v>96.042000000000002</v>
      </c>
      <c r="P3975" s="2">
        <v>259</v>
      </c>
      <c r="Q3975" s="2">
        <v>104.8015</v>
      </c>
      <c r="R3975" s="2">
        <v>265</v>
      </c>
      <c r="S3975" s="2">
        <v>105.352</v>
      </c>
      <c r="T3975" s="2">
        <v>262</v>
      </c>
      <c r="U3975" s="2">
        <v>0.25654399999999999</v>
      </c>
      <c r="V3975" s="2">
        <v>272</v>
      </c>
      <c r="W3975" s="2">
        <v>2013</v>
      </c>
    </row>
    <row r="3976" spans="1:23" ht="12.3" hidden="1" x14ac:dyDescent="0.4">
      <c r="A3976" s="2" t="s">
        <v>190</v>
      </c>
      <c r="B3976" s="2"/>
      <c r="C3976" s="2"/>
      <c r="D3976" s="2"/>
      <c r="E3976" s="2"/>
      <c r="F3976" s="2"/>
      <c r="G3976" s="2"/>
      <c r="H3976" s="2"/>
      <c r="I3976" s="2"/>
      <c r="J3976" s="2">
        <v>178</v>
      </c>
      <c r="K3976" s="2">
        <v>67.187399999999997</v>
      </c>
      <c r="L3976" s="2">
        <v>114</v>
      </c>
      <c r="M3976" s="2">
        <v>98.020600000000002</v>
      </c>
      <c r="N3976" s="2">
        <v>227</v>
      </c>
      <c r="O3976" s="2">
        <v>97.687200000000004</v>
      </c>
      <c r="P3976" s="2">
        <v>232</v>
      </c>
      <c r="Q3976" s="2">
        <v>107.2363</v>
      </c>
      <c r="R3976" s="2">
        <v>308</v>
      </c>
      <c r="S3976" s="2">
        <v>107.2109</v>
      </c>
      <c r="T3976" s="2">
        <v>290</v>
      </c>
      <c r="U3976" s="2">
        <v>0.255438</v>
      </c>
      <c r="V3976" s="2">
        <v>273</v>
      </c>
      <c r="W3976" s="2">
        <v>2013</v>
      </c>
    </row>
    <row r="3977" spans="1:23" ht="12.3" hidden="1" x14ac:dyDescent="0.4">
      <c r="A3977" s="2" t="s">
        <v>327</v>
      </c>
      <c r="B3977" s="2"/>
      <c r="C3977" s="2"/>
      <c r="D3977" s="2"/>
      <c r="E3977" s="2"/>
      <c r="F3977" s="2"/>
      <c r="G3977" s="2"/>
      <c r="H3977" s="2"/>
      <c r="I3977" s="2"/>
      <c r="J3977" s="2">
        <v>259</v>
      </c>
      <c r="K3977" s="2">
        <v>64.435599999999994</v>
      </c>
      <c r="L3977" s="2">
        <v>241</v>
      </c>
      <c r="M3977" s="2">
        <v>94.835300000000004</v>
      </c>
      <c r="N3977" s="2">
        <v>282</v>
      </c>
      <c r="O3977" s="2">
        <v>95.647599999999997</v>
      </c>
      <c r="P3977" s="2">
        <v>268</v>
      </c>
      <c r="Q3977" s="2">
        <v>104.16200000000001</v>
      </c>
      <c r="R3977" s="2">
        <v>248</v>
      </c>
      <c r="S3977" s="2">
        <v>105.1143</v>
      </c>
      <c r="T3977" s="2">
        <v>257</v>
      </c>
      <c r="U3977" s="2">
        <v>0.252496</v>
      </c>
      <c r="V3977" s="2">
        <v>274</v>
      </c>
      <c r="W3977" s="2">
        <v>2013</v>
      </c>
    </row>
    <row r="3978" spans="1:23" ht="12.3" hidden="1" x14ac:dyDescent="0.4">
      <c r="A3978" s="2" t="s">
        <v>313</v>
      </c>
      <c r="B3978" s="2"/>
      <c r="C3978" s="2"/>
      <c r="D3978" s="2"/>
      <c r="E3978" s="2"/>
      <c r="F3978" s="2"/>
      <c r="G3978" s="2"/>
      <c r="H3978" s="2"/>
      <c r="I3978" s="2"/>
      <c r="J3978" s="2">
        <v>135</v>
      </c>
      <c r="K3978" s="2">
        <v>66.6006</v>
      </c>
      <c r="L3978" s="2">
        <v>138</v>
      </c>
      <c r="M3978" s="2">
        <v>97.161699999999996</v>
      </c>
      <c r="N3978" s="2">
        <v>240</v>
      </c>
      <c r="O3978" s="2">
        <v>96.5732</v>
      </c>
      <c r="P3978" s="2">
        <v>250</v>
      </c>
      <c r="Q3978" s="2">
        <v>102.4312</v>
      </c>
      <c r="R3978" s="2">
        <v>208</v>
      </c>
      <c r="S3978" s="2">
        <v>106.16249999999999</v>
      </c>
      <c r="T3978" s="2">
        <v>276</v>
      </c>
      <c r="U3978" s="2">
        <v>0.251863</v>
      </c>
      <c r="V3978" s="2">
        <v>275</v>
      </c>
      <c r="W3978" s="2">
        <v>2013</v>
      </c>
    </row>
    <row r="3979" spans="1:23" ht="12.3" hidden="1" x14ac:dyDescent="0.4">
      <c r="A3979" s="2" t="s">
        <v>328</v>
      </c>
      <c r="B3979" s="2"/>
      <c r="C3979" s="2"/>
      <c r="D3979" s="2"/>
      <c r="E3979" s="2"/>
      <c r="F3979" s="2"/>
      <c r="G3979" s="2"/>
      <c r="H3979" s="2"/>
      <c r="I3979" s="2"/>
      <c r="J3979" s="2">
        <v>161</v>
      </c>
      <c r="K3979" s="2">
        <v>66.396699999999996</v>
      </c>
      <c r="L3979" s="2">
        <v>150</v>
      </c>
      <c r="M3979" s="2">
        <v>93.309200000000004</v>
      </c>
      <c r="N3979" s="2">
        <v>301</v>
      </c>
      <c r="O3979" s="2">
        <v>94.412300000000002</v>
      </c>
      <c r="P3979" s="2">
        <v>287</v>
      </c>
      <c r="Q3979" s="2">
        <v>103.70829999999999</v>
      </c>
      <c r="R3979" s="2">
        <v>237</v>
      </c>
      <c r="S3979" s="2">
        <v>103.9804</v>
      </c>
      <c r="T3979" s="2">
        <v>241</v>
      </c>
      <c r="U3979" s="2">
        <v>0.24785099999999999</v>
      </c>
      <c r="V3979" s="2">
        <v>276</v>
      </c>
      <c r="W3979" s="2">
        <v>2013</v>
      </c>
    </row>
    <row r="3980" spans="1:23" ht="12.3" hidden="1" x14ac:dyDescent="0.4">
      <c r="A3980" s="2" t="s">
        <v>226</v>
      </c>
      <c r="B3980" s="2"/>
      <c r="C3980" s="2"/>
      <c r="D3980" s="2"/>
      <c r="E3980" s="2"/>
      <c r="F3980" s="2"/>
      <c r="G3980" s="2"/>
      <c r="H3980" s="2"/>
      <c r="I3980" s="2"/>
      <c r="J3980" s="2">
        <v>346</v>
      </c>
      <c r="K3980" s="2">
        <v>60.123399999999997</v>
      </c>
      <c r="L3980" s="2">
        <v>341</v>
      </c>
      <c r="M3980" s="2">
        <v>96.043599999999998</v>
      </c>
      <c r="N3980" s="2">
        <v>260</v>
      </c>
      <c r="O3980" s="2">
        <v>95.944199999999995</v>
      </c>
      <c r="P3980" s="2">
        <v>263</v>
      </c>
      <c r="Q3980" s="2">
        <v>106.27070000000001</v>
      </c>
      <c r="R3980" s="2">
        <v>291</v>
      </c>
      <c r="S3980" s="2">
        <v>105.85120000000001</v>
      </c>
      <c r="T3980" s="2">
        <v>270</v>
      </c>
      <c r="U3980" s="2">
        <v>0.244147</v>
      </c>
      <c r="V3980" s="2">
        <v>277</v>
      </c>
      <c r="W3980" s="2">
        <v>2013</v>
      </c>
    </row>
    <row r="3981" spans="1:23" ht="12.3" hidden="1" x14ac:dyDescent="0.4">
      <c r="A3981" s="2" t="s">
        <v>310</v>
      </c>
      <c r="B3981" s="2"/>
      <c r="C3981" s="2"/>
      <c r="D3981" s="2"/>
      <c r="E3981" s="2"/>
      <c r="F3981" s="2"/>
      <c r="G3981" s="2"/>
      <c r="H3981" s="2"/>
      <c r="I3981" s="2"/>
      <c r="J3981" s="2">
        <v>264</v>
      </c>
      <c r="K3981" s="2">
        <v>63.749200000000002</v>
      </c>
      <c r="L3981" s="2">
        <v>269</v>
      </c>
      <c r="M3981" s="2">
        <v>91.140600000000006</v>
      </c>
      <c r="N3981" s="2">
        <v>320</v>
      </c>
      <c r="O3981" s="2">
        <v>91.041799999999995</v>
      </c>
      <c r="P3981" s="2">
        <v>319</v>
      </c>
      <c r="Q3981" s="2">
        <v>98.203100000000006</v>
      </c>
      <c r="R3981" s="2">
        <v>119</v>
      </c>
      <c r="S3981" s="2">
        <v>100.459</v>
      </c>
      <c r="T3981" s="2">
        <v>158</v>
      </c>
      <c r="U3981" s="2">
        <v>0.24379899999999999</v>
      </c>
      <c r="V3981" s="2">
        <v>278</v>
      </c>
      <c r="W3981" s="2">
        <v>2013</v>
      </c>
    </row>
    <row r="3982" spans="1:23" ht="12.3" hidden="1" x14ac:dyDescent="0.4">
      <c r="A3982" s="2" t="s">
        <v>263</v>
      </c>
      <c r="B3982" s="2"/>
      <c r="C3982" s="2"/>
      <c r="D3982" s="2"/>
      <c r="E3982" s="2"/>
      <c r="F3982" s="2"/>
      <c r="G3982" s="2"/>
      <c r="H3982" s="2"/>
      <c r="I3982" s="2"/>
      <c r="J3982" s="2">
        <v>3</v>
      </c>
      <c r="K3982" s="2">
        <v>71.109899999999996</v>
      </c>
      <c r="L3982" s="2">
        <v>8</v>
      </c>
      <c r="M3982" s="2">
        <v>103.8811</v>
      </c>
      <c r="N3982" s="2">
        <v>105</v>
      </c>
      <c r="O3982" s="2">
        <v>100.9241</v>
      </c>
      <c r="P3982" s="2">
        <v>168</v>
      </c>
      <c r="Q3982" s="2">
        <v>109.0215</v>
      </c>
      <c r="R3982" s="2">
        <v>326</v>
      </c>
      <c r="S3982" s="2">
        <v>111.3916</v>
      </c>
      <c r="T3982" s="2">
        <v>330</v>
      </c>
      <c r="U3982" s="2">
        <v>0.24326600000000001</v>
      </c>
      <c r="V3982" s="2">
        <v>279</v>
      </c>
      <c r="W3982" s="2">
        <v>2013</v>
      </c>
    </row>
    <row r="3983" spans="1:23" ht="12.3" hidden="1" x14ac:dyDescent="0.4">
      <c r="A3983" s="2" t="s">
        <v>135</v>
      </c>
      <c r="B3983" s="2"/>
      <c r="C3983" s="2"/>
      <c r="D3983" s="2"/>
      <c r="E3983" s="2"/>
      <c r="F3983" s="2"/>
      <c r="G3983" s="2"/>
      <c r="H3983" s="2"/>
      <c r="I3983" s="2"/>
      <c r="J3983" s="2">
        <v>52</v>
      </c>
      <c r="K3983" s="2">
        <v>70.050200000000004</v>
      </c>
      <c r="L3983" s="2">
        <v>26</v>
      </c>
      <c r="M3983" s="2">
        <v>89.115899999999996</v>
      </c>
      <c r="N3983" s="2">
        <v>329</v>
      </c>
      <c r="O3983" s="2">
        <v>88.6126</v>
      </c>
      <c r="P3983" s="2">
        <v>333</v>
      </c>
      <c r="Q3983" s="2">
        <v>91.255300000000005</v>
      </c>
      <c r="R3983" s="2">
        <v>18</v>
      </c>
      <c r="S3983" s="2">
        <v>97.813699999999997</v>
      </c>
      <c r="T3983" s="2">
        <v>108</v>
      </c>
      <c r="U3983" s="2">
        <v>0.24303900000000001</v>
      </c>
      <c r="V3983" s="2">
        <v>280</v>
      </c>
      <c r="W3983" s="2">
        <v>2013</v>
      </c>
    </row>
    <row r="3984" spans="1:23" ht="12.3" hidden="1" x14ac:dyDescent="0.4">
      <c r="A3984" s="2" t="s">
        <v>265</v>
      </c>
      <c r="B3984" s="2"/>
      <c r="C3984" s="2"/>
      <c r="D3984" s="2"/>
      <c r="E3984" s="2"/>
      <c r="F3984" s="2"/>
      <c r="G3984" s="2"/>
      <c r="H3984" s="2"/>
      <c r="I3984" s="2"/>
      <c r="J3984" s="2">
        <v>328</v>
      </c>
      <c r="K3984" s="2">
        <v>60.868899999999996</v>
      </c>
      <c r="L3984" s="2">
        <v>329</v>
      </c>
      <c r="M3984" s="2">
        <v>93.966200000000001</v>
      </c>
      <c r="N3984" s="2">
        <v>294</v>
      </c>
      <c r="O3984" s="2">
        <v>96.2637</v>
      </c>
      <c r="P3984" s="2">
        <v>252</v>
      </c>
      <c r="Q3984" s="2">
        <v>102.65389999999999</v>
      </c>
      <c r="R3984" s="2">
        <v>212</v>
      </c>
      <c r="S3984" s="2">
        <v>106.40940000000001</v>
      </c>
      <c r="T3984" s="2">
        <v>278</v>
      </c>
      <c r="U3984" s="2">
        <v>0.240062</v>
      </c>
      <c r="V3984" s="2">
        <v>281</v>
      </c>
      <c r="W3984" s="2">
        <v>2013</v>
      </c>
    </row>
    <row r="3985" spans="1:23" ht="12.3" hidden="1" x14ac:dyDescent="0.4">
      <c r="A3985" s="2" t="s">
        <v>153</v>
      </c>
      <c r="B3985" s="2"/>
      <c r="C3985" s="2"/>
      <c r="D3985" s="2"/>
      <c r="E3985" s="2"/>
      <c r="F3985" s="2"/>
      <c r="G3985" s="2"/>
      <c r="H3985" s="2"/>
      <c r="I3985" s="2"/>
      <c r="J3985" s="2">
        <v>306</v>
      </c>
      <c r="K3985" s="2">
        <v>62.6267</v>
      </c>
      <c r="L3985" s="2">
        <v>296</v>
      </c>
      <c r="M3985" s="2">
        <v>96.181899999999999</v>
      </c>
      <c r="N3985" s="2">
        <v>257</v>
      </c>
      <c r="O3985" s="2">
        <v>94.99</v>
      </c>
      <c r="P3985" s="2">
        <v>281</v>
      </c>
      <c r="Q3985" s="2">
        <v>103.6097</v>
      </c>
      <c r="R3985" s="2">
        <v>233</v>
      </c>
      <c r="S3985" s="2">
        <v>105.0046</v>
      </c>
      <c r="T3985" s="2">
        <v>255</v>
      </c>
      <c r="U3985" s="2">
        <v>0.24000099999999999</v>
      </c>
      <c r="V3985" s="2">
        <v>282</v>
      </c>
      <c r="W3985" s="2">
        <v>2013</v>
      </c>
    </row>
    <row r="3986" spans="1:23" ht="12.3" hidden="1" x14ac:dyDescent="0.4">
      <c r="A3986" s="2" t="s">
        <v>240</v>
      </c>
      <c r="B3986" s="2"/>
      <c r="C3986" s="2"/>
      <c r="D3986" s="2"/>
      <c r="E3986" s="2"/>
      <c r="F3986" s="2"/>
      <c r="G3986" s="2"/>
      <c r="H3986" s="2"/>
      <c r="I3986" s="2"/>
      <c r="J3986" s="2">
        <v>322</v>
      </c>
      <c r="K3986" s="2">
        <v>61.073399999999999</v>
      </c>
      <c r="L3986" s="2">
        <v>326</v>
      </c>
      <c r="M3986" s="2">
        <v>94.969099999999997</v>
      </c>
      <c r="N3986" s="2">
        <v>280</v>
      </c>
      <c r="O3986" s="2">
        <v>93.535600000000002</v>
      </c>
      <c r="P3986" s="2">
        <v>300</v>
      </c>
      <c r="Q3986" s="2">
        <v>101.91589999999999</v>
      </c>
      <c r="R3986" s="2">
        <v>196</v>
      </c>
      <c r="S3986" s="2">
        <v>103.6835</v>
      </c>
      <c r="T3986" s="2">
        <v>230</v>
      </c>
      <c r="U3986" s="2">
        <v>0.23424300000000001</v>
      </c>
      <c r="V3986" s="2">
        <v>283</v>
      </c>
      <c r="W3986" s="2">
        <v>2013</v>
      </c>
    </row>
    <row r="3987" spans="1:23" ht="12.3" hidden="1" x14ac:dyDescent="0.4">
      <c r="A3987" s="2" t="s">
        <v>348</v>
      </c>
      <c r="B3987" s="2"/>
      <c r="C3987" s="2"/>
      <c r="D3987" s="2"/>
      <c r="E3987" s="2"/>
      <c r="F3987" s="2"/>
      <c r="G3987" s="2"/>
      <c r="H3987" s="2"/>
      <c r="I3987" s="2"/>
      <c r="J3987" s="2">
        <v>103</v>
      </c>
      <c r="K3987" s="2">
        <v>66.664699999999996</v>
      </c>
      <c r="L3987" s="2">
        <v>133</v>
      </c>
      <c r="M3987" s="2">
        <v>91.204400000000007</v>
      </c>
      <c r="N3987" s="2">
        <v>318</v>
      </c>
      <c r="O3987" s="2">
        <v>90.007400000000004</v>
      </c>
      <c r="P3987" s="2">
        <v>324</v>
      </c>
      <c r="Q3987" s="2">
        <v>101.0886</v>
      </c>
      <c r="R3987" s="2">
        <v>175</v>
      </c>
      <c r="S3987" s="2">
        <v>100.5017</v>
      </c>
      <c r="T3987" s="2">
        <v>159</v>
      </c>
      <c r="U3987" s="2">
        <v>0.219558</v>
      </c>
      <c r="V3987" s="2">
        <v>284</v>
      </c>
      <c r="W3987" s="2">
        <v>2013</v>
      </c>
    </row>
    <row r="3988" spans="1:23" ht="12.3" hidden="1" x14ac:dyDescent="0.4">
      <c r="A3988" s="2" t="s">
        <v>127</v>
      </c>
      <c r="B3988" s="2"/>
      <c r="C3988" s="2"/>
      <c r="D3988" s="2"/>
      <c r="E3988" s="2"/>
      <c r="F3988" s="2"/>
      <c r="G3988" s="2"/>
      <c r="H3988" s="2"/>
      <c r="I3988" s="2"/>
      <c r="J3988" s="2">
        <v>5</v>
      </c>
      <c r="K3988" s="2">
        <v>71.614199999999997</v>
      </c>
      <c r="L3988" s="2">
        <v>6</v>
      </c>
      <c r="M3988" s="2">
        <v>99.043899999999994</v>
      </c>
      <c r="N3988" s="2">
        <v>199</v>
      </c>
      <c r="O3988" s="2">
        <v>95.279300000000006</v>
      </c>
      <c r="P3988" s="2">
        <v>277</v>
      </c>
      <c r="Q3988" s="2">
        <v>104.563</v>
      </c>
      <c r="R3988" s="2">
        <v>258</v>
      </c>
      <c r="S3988" s="2">
        <v>106.4396</v>
      </c>
      <c r="T3988" s="2">
        <v>279</v>
      </c>
      <c r="U3988" s="2">
        <v>0.218607</v>
      </c>
      <c r="V3988" s="2">
        <v>285</v>
      </c>
      <c r="W3988" s="2">
        <v>2013</v>
      </c>
    </row>
    <row r="3989" spans="1:23" ht="12.3" hidden="1" x14ac:dyDescent="0.4">
      <c r="A3989" s="2" t="s">
        <v>83</v>
      </c>
      <c r="B3989" s="2"/>
      <c r="C3989" s="2"/>
      <c r="D3989" s="2"/>
      <c r="E3989" s="2"/>
      <c r="F3989" s="2"/>
      <c r="G3989" s="2"/>
      <c r="H3989" s="2"/>
      <c r="I3989" s="2"/>
      <c r="J3989" s="2">
        <v>147</v>
      </c>
      <c r="K3989" s="2">
        <v>66.69</v>
      </c>
      <c r="L3989" s="2">
        <v>131</v>
      </c>
      <c r="M3989" s="2">
        <v>95.166499999999999</v>
      </c>
      <c r="N3989" s="2">
        <v>279</v>
      </c>
      <c r="O3989" s="2">
        <v>95.829800000000006</v>
      </c>
      <c r="P3989" s="2">
        <v>265</v>
      </c>
      <c r="Q3989" s="2">
        <v>107.0177</v>
      </c>
      <c r="R3989" s="2">
        <v>302</v>
      </c>
      <c r="S3989" s="2">
        <v>107.0715</v>
      </c>
      <c r="T3989" s="2">
        <v>288</v>
      </c>
      <c r="U3989" s="2">
        <v>0.21829699999999999</v>
      </c>
      <c r="V3989" s="2">
        <v>286</v>
      </c>
      <c r="W3989" s="2">
        <v>2013</v>
      </c>
    </row>
    <row r="3990" spans="1:23" ht="12.3" hidden="1" x14ac:dyDescent="0.4">
      <c r="A3990" s="2" t="s">
        <v>335</v>
      </c>
      <c r="B3990" s="2"/>
      <c r="C3990" s="2"/>
      <c r="D3990" s="2"/>
      <c r="E3990" s="2"/>
      <c r="F3990" s="2"/>
      <c r="G3990" s="2"/>
      <c r="H3990" s="2"/>
      <c r="I3990" s="2"/>
      <c r="J3990" s="2">
        <v>250</v>
      </c>
      <c r="K3990" s="2">
        <v>63.665500000000002</v>
      </c>
      <c r="L3990" s="2">
        <v>271</v>
      </c>
      <c r="M3990" s="2">
        <v>92.075999999999993</v>
      </c>
      <c r="N3990" s="2">
        <v>312</v>
      </c>
      <c r="O3990" s="2">
        <v>91.291300000000007</v>
      </c>
      <c r="P3990" s="2">
        <v>316</v>
      </c>
      <c r="Q3990" s="2">
        <v>101.9883</v>
      </c>
      <c r="R3990" s="2">
        <v>197</v>
      </c>
      <c r="S3990" s="2">
        <v>102.13500000000001</v>
      </c>
      <c r="T3990" s="2">
        <v>196</v>
      </c>
      <c r="U3990" s="2">
        <v>0.215724</v>
      </c>
      <c r="V3990" s="2">
        <v>287</v>
      </c>
      <c r="W3990" s="2">
        <v>2013</v>
      </c>
    </row>
    <row r="3991" spans="1:23" ht="12.3" hidden="1" x14ac:dyDescent="0.4">
      <c r="A3991" s="2" t="s">
        <v>208</v>
      </c>
      <c r="B3991" s="2"/>
      <c r="C3991" s="2"/>
      <c r="D3991" s="2"/>
      <c r="E3991" s="2"/>
      <c r="F3991" s="2"/>
      <c r="G3991" s="2"/>
      <c r="H3991" s="2"/>
      <c r="I3991" s="2"/>
      <c r="J3991" s="2">
        <v>330</v>
      </c>
      <c r="K3991" s="2">
        <v>60.177999999999997</v>
      </c>
      <c r="L3991" s="2">
        <v>340</v>
      </c>
      <c r="M3991" s="2">
        <v>98.248500000000007</v>
      </c>
      <c r="N3991" s="2">
        <v>223</v>
      </c>
      <c r="O3991" s="2">
        <v>95.712199999999996</v>
      </c>
      <c r="P3991" s="2">
        <v>267</v>
      </c>
      <c r="Q3991" s="2">
        <v>107.0543</v>
      </c>
      <c r="R3991" s="2">
        <v>304</v>
      </c>
      <c r="S3991" s="2">
        <v>107.09139999999999</v>
      </c>
      <c r="T3991" s="2">
        <v>289</v>
      </c>
      <c r="U3991" s="2">
        <v>0.21553600000000001</v>
      </c>
      <c r="V3991" s="2">
        <v>288</v>
      </c>
      <c r="W3991" s="2">
        <v>2013</v>
      </c>
    </row>
    <row r="3992" spans="1:23" ht="12.3" hidden="1" x14ac:dyDescent="0.4">
      <c r="A3992" s="2" t="s">
        <v>302</v>
      </c>
      <c r="B3992" s="2"/>
      <c r="C3992" s="2"/>
      <c r="D3992" s="2"/>
      <c r="E3992" s="2"/>
      <c r="F3992" s="2"/>
      <c r="G3992" s="2"/>
      <c r="H3992" s="2"/>
      <c r="I3992" s="2"/>
      <c r="J3992" s="2">
        <v>286</v>
      </c>
      <c r="K3992" s="2">
        <v>62.485700000000001</v>
      </c>
      <c r="L3992" s="2">
        <v>300</v>
      </c>
      <c r="M3992" s="2">
        <v>99.917000000000002</v>
      </c>
      <c r="N3992" s="2">
        <v>183</v>
      </c>
      <c r="O3992" s="2">
        <v>94.561199999999999</v>
      </c>
      <c r="P3992" s="2">
        <v>283</v>
      </c>
      <c r="Q3992" s="2">
        <v>103.9511</v>
      </c>
      <c r="R3992" s="2">
        <v>242</v>
      </c>
      <c r="S3992" s="2">
        <v>105.8364</v>
      </c>
      <c r="T3992" s="2">
        <v>267</v>
      </c>
      <c r="U3992" s="2">
        <v>0.21493100000000001</v>
      </c>
      <c r="V3992" s="2">
        <v>289</v>
      </c>
      <c r="W3992" s="2">
        <v>2013</v>
      </c>
    </row>
    <row r="3993" spans="1:23" ht="12.3" hidden="1" x14ac:dyDescent="0.4">
      <c r="A3993" s="2" t="s">
        <v>347</v>
      </c>
      <c r="B3993" s="2"/>
      <c r="C3993" s="2"/>
      <c r="D3993" s="2"/>
      <c r="E3993" s="2"/>
      <c r="F3993" s="2"/>
      <c r="G3993" s="2"/>
      <c r="H3993" s="2"/>
      <c r="I3993" s="2"/>
      <c r="J3993" s="2">
        <v>108</v>
      </c>
      <c r="K3993" s="2">
        <v>67.176199999999994</v>
      </c>
      <c r="L3993" s="2">
        <v>116</v>
      </c>
      <c r="M3993" s="2">
        <v>98.058000000000007</v>
      </c>
      <c r="N3993" s="2">
        <v>225</v>
      </c>
      <c r="O3993" s="2">
        <v>96.836699999999993</v>
      </c>
      <c r="P3993" s="2">
        <v>244</v>
      </c>
      <c r="Q3993" s="2">
        <v>107.25279999999999</v>
      </c>
      <c r="R3993" s="2">
        <v>309</v>
      </c>
      <c r="S3993" s="2">
        <v>108.4735</v>
      </c>
      <c r="T3993" s="2">
        <v>306</v>
      </c>
      <c r="U3993" s="2">
        <v>0.21332300000000001</v>
      </c>
      <c r="V3993" s="2">
        <v>290</v>
      </c>
      <c r="W3993" s="2">
        <v>2013</v>
      </c>
    </row>
    <row r="3994" spans="1:23" ht="12.3" hidden="1" x14ac:dyDescent="0.4">
      <c r="A3994" s="2" t="s">
        <v>337</v>
      </c>
      <c r="B3994" s="2"/>
      <c r="C3994" s="2"/>
      <c r="D3994" s="2"/>
      <c r="E3994" s="2"/>
      <c r="F3994" s="2"/>
      <c r="G3994" s="2"/>
      <c r="H3994" s="2"/>
      <c r="I3994" s="2"/>
      <c r="J3994" s="2">
        <v>11</v>
      </c>
      <c r="K3994" s="2">
        <v>70.626599999999996</v>
      </c>
      <c r="L3994" s="2">
        <v>15</v>
      </c>
      <c r="M3994" s="2">
        <v>96.189400000000006</v>
      </c>
      <c r="N3994" s="2">
        <v>255</v>
      </c>
      <c r="O3994" s="2">
        <v>96.603499999999997</v>
      </c>
      <c r="P3994" s="2">
        <v>247</v>
      </c>
      <c r="Q3994" s="2">
        <v>108.03740000000001</v>
      </c>
      <c r="R3994" s="2">
        <v>318</v>
      </c>
      <c r="S3994" s="2">
        <v>108.3811</v>
      </c>
      <c r="T3994" s="2">
        <v>304</v>
      </c>
      <c r="U3994" s="2">
        <v>0.21032799999999999</v>
      </c>
      <c r="V3994" s="2">
        <v>291</v>
      </c>
      <c r="W3994" s="2">
        <v>2013</v>
      </c>
    </row>
    <row r="3995" spans="1:23" ht="12.3" hidden="1" x14ac:dyDescent="0.4">
      <c r="A3995" s="2" t="s">
        <v>372</v>
      </c>
      <c r="B3995" s="2"/>
      <c r="C3995" s="2"/>
      <c r="D3995" s="2"/>
      <c r="E3995" s="2"/>
      <c r="F3995" s="2"/>
      <c r="G3995" s="2"/>
      <c r="H3995" s="2"/>
      <c r="I3995" s="2"/>
      <c r="J3995" s="2">
        <v>246</v>
      </c>
      <c r="K3995" s="2">
        <v>64.513000000000005</v>
      </c>
      <c r="L3995" s="2">
        <v>237</v>
      </c>
      <c r="M3995" s="2">
        <v>98.503799999999998</v>
      </c>
      <c r="N3995" s="2">
        <v>217</v>
      </c>
      <c r="O3995" s="2">
        <v>97.4148</v>
      </c>
      <c r="P3995" s="2">
        <v>238</v>
      </c>
      <c r="Q3995" s="2">
        <v>105.43470000000001</v>
      </c>
      <c r="R3995" s="2">
        <v>274</v>
      </c>
      <c r="S3995" s="2">
        <v>109.5213</v>
      </c>
      <c r="T3995" s="2">
        <v>318</v>
      </c>
      <c r="U3995" s="2">
        <v>0.206341</v>
      </c>
      <c r="V3995" s="2">
        <v>292</v>
      </c>
      <c r="W3995" s="2">
        <v>2013</v>
      </c>
    </row>
    <row r="3996" spans="1:23" ht="12.3" hidden="1" x14ac:dyDescent="0.4">
      <c r="A3996" s="2" t="s">
        <v>196</v>
      </c>
      <c r="B3996" s="2"/>
      <c r="C3996" s="2"/>
      <c r="D3996" s="2"/>
      <c r="E3996" s="2"/>
      <c r="F3996" s="2"/>
      <c r="G3996" s="2"/>
      <c r="H3996" s="2"/>
      <c r="I3996" s="2"/>
      <c r="J3996" s="2">
        <v>247</v>
      </c>
      <c r="K3996" s="2">
        <v>64.445899999999995</v>
      </c>
      <c r="L3996" s="2">
        <v>240</v>
      </c>
      <c r="M3996" s="2">
        <v>92.892700000000005</v>
      </c>
      <c r="N3996" s="2">
        <v>304</v>
      </c>
      <c r="O3996" s="2">
        <v>94.480500000000006</v>
      </c>
      <c r="P3996" s="2">
        <v>286</v>
      </c>
      <c r="Q3996" s="2">
        <v>106.0612</v>
      </c>
      <c r="R3996" s="2">
        <v>288</v>
      </c>
      <c r="S3996" s="2">
        <v>106.2423</v>
      </c>
      <c r="T3996" s="2">
        <v>277</v>
      </c>
      <c r="U3996" s="2">
        <v>0.205986</v>
      </c>
      <c r="V3996" s="2">
        <v>293</v>
      </c>
      <c r="W3996" s="2">
        <v>2013</v>
      </c>
    </row>
    <row r="3997" spans="1:23" ht="12.3" hidden="1" x14ac:dyDescent="0.4">
      <c r="A3997" s="2" t="s">
        <v>254</v>
      </c>
      <c r="B3997" s="2"/>
      <c r="C3997" s="2"/>
      <c r="D3997" s="2"/>
      <c r="E3997" s="2"/>
      <c r="F3997" s="2"/>
      <c r="G3997" s="2"/>
      <c r="H3997" s="2"/>
      <c r="I3997" s="2"/>
      <c r="J3997" s="2">
        <v>69</v>
      </c>
      <c r="K3997" s="2">
        <v>68.249799999999993</v>
      </c>
      <c r="L3997" s="2">
        <v>69</v>
      </c>
      <c r="M3997" s="2">
        <v>95.881</v>
      </c>
      <c r="N3997" s="2">
        <v>264</v>
      </c>
      <c r="O3997" s="2">
        <v>95.374399999999994</v>
      </c>
      <c r="P3997" s="2">
        <v>274</v>
      </c>
      <c r="Q3997" s="2">
        <v>107.3616</v>
      </c>
      <c r="R3997" s="2">
        <v>311</v>
      </c>
      <c r="S3997" s="2">
        <v>107.62439999999999</v>
      </c>
      <c r="T3997" s="2">
        <v>295</v>
      </c>
      <c r="U3997" s="2">
        <v>0.19946800000000001</v>
      </c>
      <c r="V3997" s="2">
        <v>294</v>
      </c>
      <c r="W3997" s="2">
        <v>2013</v>
      </c>
    </row>
    <row r="3998" spans="1:23" ht="12.3" hidden="1" x14ac:dyDescent="0.4">
      <c r="A3998" s="2" t="s">
        <v>122</v>
      </c>
      <c r="B3998" s="2"/>
      <c r="C3998" s="2"/>
      <c r="D3998" s="2"/>
      <c r="E3998" s="2"/>
      <c r="F3998" s="2"/>
      <c r="G3998" s="2"/>
      <c r="H3998" s="2"/>
      <c r="I3998" s="2"/>
      <c r="J3998" s="2">
        <v>192</v>
      </c>
      <c r="K3998" s="2">
        <v>65.985399999999998</v>
      </c>
      <c r="L3998" s="2">
        <v>167</v>
      </c>
      <c r="M3998" s="2">
        <v>91.418899999999994</v>
      </c>
      <c r="N3998" s="2">
        <v>316</v>
      </c>
      <c r="O3998" s="2">
        <v>93.968900000000005</v>
      </c>
      <c r="P3998" s="2">
        <v>294</v>
      </c>
      <c r="Q3998" s="2">
        <v>107.1314</v>
      </c>
      <c r="R3998" s="2">
        <v>305</v>
      </c>
      <c r="S3998" s="2">
        <v>106.06100000000001</v>
      </c>
      <c r="T3998" s="2">
        <v>273</v>
      </c>
      <c r="U3998" s="2">
        <v>0.199077</v>
      </c>
      <c r="V3998" s="2">
        <v>295</v>
      </c>
      <c r="W3998" s="2">
        <v>2013</v>
      </c>
    </row>
    <row r="3999" spans="1:23" ht="12.3" hidden="1" x14ac:dyDescent="0.4">
      <c r="A3999" s="2" t="s">
        <v>187</v>
      </c>
      <c r="B3999" s="2"/>
      <c r="C3999" s="2"/>
      <c r="D3999" s="2"/>
      <c r="E3999" s="2"/>
      <c r="F3999" s="2"/>
      <c r="G3999" s="2"/>
      <c r="H3999" s="2"/>
      <c r="I3999" s="2"/>
      <c r="J3999" s="2">
        <v>73</v>
      </c>
      <c r="K3999" s="2">
        <v>68.4636</v>
      </c>
      <c r="L3999" s="2">
        <v>60</v>
      </c>
      <c r="M3999" s="2">
        <v>99.410200000000003</v>
      </c>
      <c r="N3999" s="2">
        <v>189</v>
      </c>
      <c r="O3999" s="2">
        <v>95.749700000000004</v>
      </c>
      <c r="P3999" s="2">
        <v>266</v>
      </c>
      <c r="Q3999" s="2">
        <v>107.3754</v>
      </c>
      <c r="R3999" s="2">
        <v>312</v>
      </c>
      <c r="S3999" s="2">
        <v>108.30840000000001</v>
      </c>
      <c r="T3999" s="2">
        <v>302</v>
      </c>
      <c r="U3999" s="2">
        <v>0.19508200000000001</v>
      </c>
      <c r="V3999" s="2">
        <v>296</v>
      </c>
      <c r="W3999" s="2">
        <v>2013</v>
      </c>
    </row>
    <row r="4000" spans="1:23" ht="12.3" hidden="1" x14ac:dyDescent="0.4">
      <c r="A4000" s="2" t="s">
        <v>223</v>
      </c>
      <c r="B4000" s="2"/>
      <c r="C4000" s="2"/>
      <c r="D4000" s="2"/>
      <c r="E4000" s="2"/>
      <c r="F4000" s="2"/>
      <c r="G4000" s="2"/>
      <c r="H4000" s="2"/>
      <c r="I4000" s="2"/>
      <c r="J4000" s="2">
        <v>83</v>
      </c>
      <c r="K4000" s="2">
        <v>67.188299999999998</v>
      </c>
      <c r="L4000" s="2">
        <v>113</v>
      </c>
      <c r="M4000" s="2">
        <v>94.113500000000002</v>
      </c>
      <c r="N4000" s="2">
        <v>291</v>
      </c>
      <c r="O4000" s="2">
        <v>89.810699999999997</v>
      </c>
      <c r="P4000" s="2">
        <v>327</v>
      </c>
      <c r="Q4000" s="2">
        <v>99.471199999999996</v>
      </c>
      <c r="R4000" s="2">
        <v>148</v>
      </c>
      <c r="S4000" s="2">
        <v>101.6807</v>
      </c>
      <c r="T4000" s="2">
        <v>187</v>
      </c>
      <c r="U4000" s="2">
        <v>0.19348399999999999</v>
      </c>
      <c r="V4000" s="2">
        <v>297</v>
      </c>
      <c r="W4000" s="2">
        <v>2013</v>
      </c>
    </row>
    <row r="4001" spans="1:23" ht="12.3" hidden="1" x14ac:dyDescent="0.4">
      <c r="A4001" s="2" t="s">
        <v>364</v>
      </c>
      <c r="B4001" s="2"/>
      <c r="C4001" s="2"/>
      <c r="D4001" s="2"/>
      <c r="E4001" s="2"/>
      <c r="F4001" s="2"/>
      <c r="G4001" s="2"/>
      <c r="H4001" s="2"/>
      <c r="I4001" s="2"/>
      <c r="J4001" s="2">
        <v>2</v>
      </c>
      <c r="K4001" s="2">
        <v>72.788200000000003</v>
      </c>
      <c r="L4001" s="2">
        <v>3</v>
      </c>
      <c r="M4001" s="2">
        <v>99.614000000000004</v>
      </c>
      <c r="N4001" s="2">
        <v>184</v>
      </c>
      <c r="O4001" s="2">
        <v>98.873199999999997</v>
      </c>
      <c r="P4001" s="2">
        <v>205</v>
      </c>
      <c r="Q4001" s="2">
        <v>106.2881</v>
      </c>
      <c r="R4001" s="2">
        <v>292</v>
      </c>
      <c r="S4001" s="2">
        <v>111.9799</v>
      </c>
      <c r="T4001" s="2">
        <v>337</v>
      </c>
      <c r="U4001" s="2">
        <v>0.192859</v>
      </c>
      <c r="V4001" s="2">
        <v>298</v>
      </c>
      <c r="W4001" s="2">
        <v>2013</v>
      </c>
    </row>
    <row r="4002" spans="1:23" ht="12.3" hidden="1" x14ac:dyDescent="0.4">
      <c r="A4002" s="2" t="s">
        <v>214</v>
      </c>
      <c r="B4002" s="2"/>
      <c r="C4002" s="2"/>
      <c r="D4002" s="2"/>
      <c r="E4002" s="2"/>
      <c r="F4002" s="2"/>
      <c r="G4002" s="2"/>
      <c r="H4002" s="2"/>
      <c r="I4002" s="2"/>
      <c r="J4002" s="2">
        <v>50</v>
      </c>
      <c r="K4002" s="2">
        <v>68.991699999999994</v>
      </c>
      <c r="L4002" s="2">
        <v>44</v>
      </c>
      <c r="M4002" s="2">
        <v>95.643900000000002</v>
      </c>
      <c r="N4002" s="2">
        <v>266</v>
      </c>
      <c r="O4002" s="2">
        <v>93.957599999999999</v>
      </c>
      <c r="P4002" s="2">
        <v>295</v>
      </c>
      <c r="Q4002" s="2">
        <v>103.82299999999999</v>
      </c>
      <c r="R4002" s="2">
        <v>239</v>
      </c>
      <c r="S4002" s="2">
        <v>106.6559</v>
      </c>
      <c r="T4002" s="2">
        <v>280</v>
      </c>
      <c r="U4002" s="2">
        <v>0.188805</v>
      </c>
      <c r="V4002" s="2">
        <v>299</v>
      </c>
      <c r="W4002" s="2">
        <v>2013</v>
      </c>
    </row>
    <row r="4003" spans="1:23" ht="12.3" hidden="1" x14ac:dyDescent="0.4">
      <c r="A4003" s="2" t="s">
        <v>252</v>
      </c>
      <c r="B4003" s="2"/>
      <c r="C4003" s="2"/>
      <c r="D4003" s="2"/>
      <c r="E4003" s="2"/>
      <c r="F4003" s="2"/>
      <c r="G4003" s="2"/>
      <c r="H4003" s="2"/>
      <c r="I4003" s="2"/>
      <c r="J4003" s="2">
        <v>106</v>
      </c>
      <c r="K4003" s="2">
        <v>67.523399999999995</v>
      </c>
      <c r="L4003" s="2">
        <v>99</v>
      </c>
      <c r="M4003" s="2">
        <v>92.544600000000003</v>
      </c>
      <c r="N4003" s="2">
        <v>309</v>
      </c>
      <c r="O4003" s="2">
        <v>95.388900000000007</v>
      </c>
      <c r="P4003" s="2">
        <v>273</v>
      </c>
      <c r="Q4003" s="2">
        <v>105.10720000000001</v>
      </c>
      <c r="R4003" s="2">
        <v>269</v>
      </c>
      <c r="S4003" s="2">
        <v>108.3098</v>
      </c>
      <c r="T4003" s="2">
        <v>303</v>
      </c>
      <c r="U4003" s="2">
        <v>0.188331</v>
      </c>
      <c r="V4003" s="2">
        <v>300</v>
      </c>
      <c r="W4003" s="2">
        <v>2013</v>
      </c>
    </row>
    <row r="4004" spans="1:23" ht="12.3" hidden="1" x14ac:dyDescent="0.4">
      <c r="A4004" s="2" t="s">
        <v>319</v>
      </c>
      <c r="B4004" s="2"/>
      <c r="C4004" s="2"/>
      <c r="D4004" s="2"/>
      <c r="E4004" s="2"/>
      <c r="F4004" s="2"/>
      <c r="G4004" s="2"/>
      <c r="H4004" s="2"/>
      <c r="I4004" s="2"/>
      <c r="J4004" s="2">
        <v>113</v>
      </c>
      <c r="K4004" s="2">
        <v>66.410499999999999</v>
      </c>
      <c r="L4004" s="2">
        <v>146</v>
      </c>
      <c r="M4004" s="2">
        <v>99.057699999999997</v>
      </c>
      <c r="N4004" s="2">
        <v>198</v>
      </c>
      <c r="O4004" s="2">
        <v>96.0488</v>
      </c>
      <c r="P4004" s="2">
        <v>258</v>
      </c>
      <c r="Q4004" s="2">
        <v>106.31570000000001</v>
      </c>
      <c r="R4004" s="2">
        <v>293</v>
      </c>
      <c r="S4004" s="2">
        <v>109.23560000000001</v>
      </c>
      <c r="T4004" s="2">
        <v>315</v>
      </c>
      <c r="U4004" s="2">
        <v>0.185506</v>
      </c>
      <c r="V4004" s="2">
        <v>301</v>
      </c>
      <c r="W4004" s="2">
        <v>2013</v>
      </c>
    </row>
    <row r="4005" spans="1:23" ht="12.3" hidden="1" x14ac:dyDescent="0.4">
      <c r="A4005" s="2" t="s">
        <v>107</v>
      </c>
      <c r="B4005" s="2"/>
      <c r="C4005" s="2"/>
      <c r="D4005" s="2"/>
      <c r="E4005" s="2"/>
      <c r="F4005" s="2"/>
      <c r="G4005" s="2"/>
      <c r="H4005" s="2"/>
      <c r="I4005" s="2"/>
      <c r="J4005" s="2">
        <v>176</v>
      </c>
      <c r="K4005" s="2">
        <v>64.171899999999994</v>
      </c>
      <c r="L4005" s="2">
        <v>255</v>
      </c>
      <c r="M4005" s="2">
        <v>95.585999999999999</v>
      </c>
      <c r="N4005" s="2">
        <v>267</v>
      </c>
      <c r="O4005" s="2">
        <v>95.334400000000002</v>
      </c>
      <c r="P4005" s="2">
        <v>275</v>
      </c>
      <c r="Q4005" s="2">
        <v>106.0168</v>
      </c>
      <c r="R4005" s="2">
        <v>286</v>
      </c>
      <c r="S4005" s="2">
        <v>108.5493</v>
      </c>
      <c r="T4005" s="2">
        <v>308</v>
      </c>
      <c r="U4005" s="2">
        <v>0.18349299999999999</v>
      </c>
      <c r="V4005" s="2">
        <v>302</v>
      </c>
      <c r="W4005" s="2">
        <v>2013</v>
      </c>
    </row>
    <row r="4006" spans="1:23" ht="12.3" hidden="1" x14ac:dyDescent="0.4">
      <c r="A4006" s="2" t="s">
        <v>227</v>
      </c>
      <c r="B4006" s="2"/>
      <c r="C4006" s="2"/>
      <c r="D4006" s="2"/>
      <c r="E4006" s="2"/>
      <c r="F4006" s="2"/>
      <c r="G4006" s="2"/>
      <c r="H4006" s="2"/>
      <c r="I4006" s="2"/>
      <c r="J4006" s="2">
        <v>38</v>
      </c>
      <c r="K4006" s="2">
        <v>69.153999999999996</v>
      </c>
      <c r="L4006" s="2">
        <v>41</v>
      </c>
      <c r="M4006" s="2">
        <v>98.398399999999995</v>
      </c>
      <c r="N4006" s="2">
        <v>221</v>
      </c>
      <c r="O4006" s="2">
        <v>97.669300000000007</v>
      </c>
      <c r="P4006" s="2">
        <v>233</v>
      </c>
      <c r="Q4006" s="2">
        <v>109.8963</v>
      </c>
      <c r="R4006" s="2">
        <v>332</v>
      </c>
      <c r="S4006" s="2">
        <v>111.2085</v>
      </c>
      <c r="T4006" s="2">
        <v>328</v>
      </c>
      <c r="U4006" s="2">
        <v>0.18348300000000001</v>
      </c>
      <c r="V4006" s="2">
        <v>303</v>
      </c>
      <c r="W4006" s="2">
        <v>2013</v>
      </c>
    </row>
    <row r="4007" spans="1:23" ht="12.3" hidden="1" x14ac:dyDescent="0.4">
      <c r="A4007" s="2" t="s">
        <v>284</v>
      </c>
      <c r="B4007" s="2"/>
      <c r="C4007" s="2"/>
      <c r="D4007" s="2"/>
      <c r="E4007" s="2"/>
      <c r="F4007" s="2"/>
      <c r="G4007" s="2"/>
      <c r="H4007" s="2"/>
      <c r="I4007" s="2"/>
      <c r="J4007" s="2">
        <v>274</v>
      </c>
      <c r="K4007" s="2">
        <v>63.143900000000002</v>
      </c>
      <c r="L4007" s="2">
        <v>286</v>
      </c>
      <c r="M4007" s="2">
        <v>88.423100000000005</v>
      </c>
      <c r="N4007" s="2">
        <v>334</v>
      </c>
      <c r="O4007" s="2">
        <v>88.87</v>
      </c>
      <c r="P4007" s="2">
        <v>331</v>
      </c>
      <c r="Q4007" s="2">
        <v>104.0104</v>
      </c>
      <c r="R4007" s="2">
        <v>246</v>
      </c>
      <c r="S4007" s="2">
        <v>101.2372</v>
      </c>
      <c r="T4007" s="2">
        <v>175</v>
      </c>
      <c r="U4007" s="2">
        <v>0.182671</v>
      </c>
      <c r="V4007" s="2">
        <v>304</v>
      </c>
      <c r="W4007" s="2">
        <v>2013</v>
      </c>
    </row>
    <row r="4008" spans="1:23" ht="12.3" hidden="1" x14ac:dyDescent="0.4">
      <c r="A4008" s="2" t="s">
        <v>163</v>
      </c>
      <c r="B4008" s="2"/>
      <c r="C4008" s="2"/>
      <c r="D4008" s="2"/>
      <c r="E4008" s="2"/>
      <c r="F4008" s="2"/>
      <c r="G4008" s="2"/>
      <c r="H4008" s="2"/>
      <c r="I4008" s="2"/>
      <c r="J4008" s="2">
        <v>151</v>
      </c>
      <c r="K4008" s="2">
        <v>65.596000000000004</v>
      </c>
      <c r="L4008" s="2">
        <v>184</v>
      </c>
      <c r="M4008" s="2">
        <v>103.166</v>
      </c>
      <c r="N4008" s="2">
        <v>122</v>
      </c>
      <c r="O4008" s="2">
        <v>98.749399999999994</v>
      </c>
      <c r="P4008" s="2">
        <v>207</v>
      </c>
      <c r="Q4008" s="2">
        <v>109.12350000000001</v>
      </c>
      <c r="R4008" s="2">
        <v>327</v>
      </c>
      <c r="S4008" s="2">
        <v>112.6481</v>
      </c>
      <c r="T4008" s="2">
        <v>339</v>
      </c>
      <c r="U4008" s="2">
        <v>0.18029300000000001</v>
      </c>
      <c r="V4008" s="2">
        <v>305</v>
      </c>
      <c r="W4008" s="2">
        <v>2013</v>
      </c>
    </row>
    <row r="4009" spans="1:23" ht="12.3" hidden="1" x14ac:dyDescent="0.4">
      <c r="A4009" s="2" t="s">
        <v>243</v>
      </c>
      <c r="B4009" s="2"/>
      <c r="C4009" s="2"/>
      <c r="D4009" s="2"/>
      <c r="E4009" s="2"/>
      <c r="F4009" s="2"/>
      <c r="G4009" s="2"/>
      <c r="H4009" s="2"/>
      <c r="I4009" s="2"/>
      <c r="J4009" s="2">
        <v>232</v>
      </c>
      <c r="K4009" s="2">
        <v>64.513499999999993</v>
      </c>
      <c r="L4009" s="2">
        <v>236</v>
      </c>
      <c r="M4009" s="2">
        <v>89.009399999999999</v>
      </c>
      <c r="N4009" s="2">
        <v>330</v>
      </c>
      <c r="O4009" s="2">
        <v>87.560299999999998</v>
      </c>
      <c r="P4009" s="2">
        <v>335</v>
      </c>
      <c r="Q4009" s="2">
        <v>102.25539999999999</v>
      </c>
      <c r="R4009" s="2">
        <v>202</v>
      </c>
      <c r="S4009" s="2">
        <v>99.926000000000002</v>
      </c>
      <c r="T4009" s="2">
        <v>146</v>
      </c>
      <c r="U4009" s="2">
        <v>0.17958199999999999</v>
      </c>
      <c r="V4009" s="2">
        <v>306</v>
      </c>
      <c r="W4009" s="2">
        <v>2013</v>
      </c>
    </row>
    <row r="4010" spans="1:23" ht="12.3" hidden="1" x14ac:dyDescent="0.4">
      <c r="A4010" s="2" t="s">
        <v>373</v>
      </c>
      <c r="B4010" s="2"/>
      <c r="C4010" s="2"/>
      <c r="D4010" s="2"/>
      <c r="E4010" s="2"/>
      <c r="F4010" s="2"/>
      <c r="G4010" s="2"/>
      <c r="H4010" s="2"/>
      <c r="I4010" s="2"/>
      <c r="J4010" s="2">
        <v>179</v>
      </c>
      <c r="K4010" s="2">
        <v>66.046199999999999</v>
      </c>
      <c r="L4010" s="2">
        <v>164</v>
      </c>
      <c r="M4010" s="2">
        <v>93.265900000000002</v>
      </c>
      <c r="N4010" s="2">
        <v>302</v>
      </c>
      <c r="O4010" s="2">
        <v>91.514099999999999</v>
      </c>
      <c r="P4010" s="2">
        <v>315</v>
      </c>
      <c r="Q4010" s="2">
        <v>103.2114</v>
      </c>
      <c r="R4010" s="2">
        <v>227</v>
      </c>
      <c r="S4010" s="2">
        <v>104.5581</v>
      </c>
      <c r="T4010" s="2">
        <v>251</v>
      </c>
      <c r="U4010" s="2">
        <v>0.177647</v>
      </c>
      <c r="V4010" s="2">
        <v>307</v>
      </c>
      <c r="W4010" s="2">
        <v>2013</v>
      </c>
    </row>
    <row r="4011" spans="1:23" ht="12.3" hidden="1" x14ac:dyDescent="0.4">
      <c r="A4011" s="2" t="s">
        <v>237</v>
      </c>
      <c r="B4011" s="2"/>
      <c r="C4011" s="2"/>
      <c r="D4011" s="2"/>
      <c r="E4011" s="2"/>
      <c r="F4011" s="2"/>
      <c r="G4011" s="2"/>
      <c r="H4011" s="2"/>
      <c r="I4011" s="2"/>
      <c r="J4011" s="2">
        <v>44</v>
      </c>
      <c r="K4011" s="2">
        <v>69.310199999999995</v>
      </c>
      <c r="L4011" s="2">
        <v>36</v>
      </c>
      <c r="M4011" s="2">
        <v>93.984899999999996</v>
      </c>
      <c r="N4011" s="2">
        <v>293</v>
      </c>
      <c r="O4011" s="2">
        <v>90.959299999999999</v>
      </c>
      <c r="P4011" s="2">
        <v>321</v>
      </c>
      <c r="Q4011" s="2">
        <v>103.61790000000001</v>
      </c>
      <c r="R4011" s="2">
        <v>234</v>
      </c>
      <c r="S4011" s="2">
        <v>103.93940000000001</v>
      </c>
      <c r="T4011" s="2">
        <v>239</v>
      </c>
      <c r="U4011" s="2">
        <v>0.17740300000000001</v>
      </c>
      <c r="V4011" s="2">
        <v>308</v>
      </c>
      <c r="W4011" s="2">
        <v>2013</v>
      </c>
    </row>
    <row r="4012" spans="1:23" ht="12.3" hidden="1" x14ac:dyDescent="0.4">
      <c r="A4012" s="2" t="s">
        <v>269</v>
      </c>
      <c r="B4012" s="2"/>
      <c r="C4012" s="2"/>
      <c r="D4012" s="2"/>
      <c r="E4012" s="2"/>
      <c r="F4012" s="2"/>
      <c r="G4012" s="2"/>
      <c r="H4012" s="2"/>
      <c r="I4012" s="2"/>
      <c r="J4012" s="2">
        <v>211</v>
      </c>
      <c r="K4012" s="2">
        <v>65.245599999999996</v>
      </c>
      <c r="L4012" s="2">
        <v>202</v>
      </c>
      <c r="M4012" s="2">
        <v>104.04859999999999</v>
      </c>
      <c r="N4012" s="2">
        <v>102</v>
      </c>
      <c r="O4012" s="2">
        <v>101.87130000000001</v>
      </c>
      <c r="P4012" s="2">
        <v>147</v>
      </c>
      <c r="Q4012" s="2">
        <v>112.0425</v>
      </c>
      <c r="R4012" s="2">
        <v>340</v>
      </c>
      <c r="S4012" s="2">
        <v>116.5454</v>
      </c>
      <c r="T4012" s="2">
        <v>345</v>
      </c>
      <c r="U4012" s="2">
        <v>0.17543900000000001</v>
      </c>
      <c r="V4012" s="2">
        <v>309</v>
      </c>
      <c r="W4012" s="2">
        <v>2013</v>
      </c>
    </row>
    <row r="4013" spans="1:23" ht="12.3" hidden="1" x14ac:dyDescent="0.4">
      <c r="A4013" s="2" t="s">
        <v>379</v>
      </c>
      <c r="B4013" s="2"/>
      <c r="C4013" s="2"/>
      <c r="D4013" s="2"/>
      <c r="E4013" s="2"/>
      <c r="F4013" s="2"/>
      <c r="G4013" s="2"/>
      <c r="H4013" s="2"/>
      <c r="I4013" s="2"/>
      <c r="J4013" s="2">
        <v>10</v>
      </c>
      <c r="K4013" s="2">
        <v>72.828599999999994</v>
      </c>
      <c r="L4013" s="2">
        <v>2</v>
      </c>
      <c r="M4013" s="2">
        <v>99.3</v>
      </c>
      <c r="N4013" s="2">
        <v>191</v>
      </c>
      <c r="O4013" s="2">
        <v>101.2313</v>
      </c>
      <c r="P4013" s="2">
        <v>161</v>
      </c>
      <c r="Q4013" s="2">
        <v>115.67359999999999</v>
      </c>
      <c r="R4013" s="2">
        <v>345</v>
      </c>
      <c r="S4013" s="2">
        <v>115.9517</v>
      </c>
      <c r="T4013" s="2">
        <v>344</v>
      </c>
      <c r="U4013" s="2">
        <v>0.17346</v>
      </c>
      <c r="V4013" s="2">
        <v>310</v>
      </c>
      <c r="W4013" s="2">
        <v>2013</v>
      </c>
    </row>
    <row r="4014" spans="1:23" ht="12.3" hidden="1" x14ac:dyDescent="0.4">
      <c r="A4014" s="2" t="s">
        <v>166</v>
      </c>
      <c r="B4014" s="2"/>
      <c r="C4014" s="2"/>
      <c r="D4014" s="2"/>
      <c r="E4014" s="2"/>
      <c r="F4014" s="2"/>
      <c r="G4014" s="2"/>
      <c r="H4014" s="2"/>
      <c r="I4014" s="2"/>
      <c r="J4014" s="2">
        <v>93</v>
      </c>
      <c r="K4014" s="2">
        <v>67.710999999999999</v>
      </c>
      <c r="L4014" s="2">
        <v>89</v>
      </c>
      <c r="M4014" s="2">
        <v>98.760999999999996</v>
      </c>
      <c r="N4014" s="2">
        <v>212</v>
      </c>
      <c r="O4014" s="2">
        <v>97.308300000000003</v>
      </c>
      <c r="P4014" s="2">
        <v>239</v>
      </c>
      <c r="Q4014" s="2">
        <v>106.66030000000001</v>
      </c>
      <c r="R4014" s="2">
        <v>300</v>
      </c>
      <c r="S4014" s="2">
        <v>111.52119999999999</v>
      </c>
      <c r="T4014" s="2">
        <v>333</v>
      </c>
      <c r="U4014" s="2">
        <v>0.17253099999999999</v>
      </c>
      <c r="V4014" s="2">
        <v>311</v>
      </c>
      <c r="W4014" s="2">
        <v>2013</v>
      </c>
    </row>
    <row r="4015" spans="1:23" ht="12.3" hidden="1" x14ac:dyDescent="0.4">
      <c r="A4015" s="2" t="s">
        <v>202</v>
      </c>
      <c r="B4015" s="2"/>
      <c r="C4015" s="2"/>
      <c r="D4015" s="2"/>
      <c r="E4015" s="2"/>
      <c r="F4015" s="2"/>
      <c r="G4015" s="2"/>
      <c r="H4015" s="2"/>
      <c r="I4015" s="2"/>
      <c r="J4015" s="2">
        <v>196</v>
      </c>
      <c r="K4015" s="2">
        <v>63.851199999999999</v>
      </c>
      <c r="L4015" s="2">
        <v>265</v>
      </c>
      <c r="M4015" s="2">
        <v>93.539100000000005</v>
      </c>
      <c r="N4015" s="2">
        <v>298</v>
      </c>
      <c r="O4015" s="2">
        <v>91.756299999999996</v>
      </c>
      <c r="P4015" s="2">
        <v>313</v>
      </c>
      <c r="Q4015" s="2">
        <v>101.65049999999999</v>
      </c>
      <c r="R4015" s="2">
        <v>190</v>
      </c>
      <c r="S4015" s="2">
        <v>105.1885</v>
      </c>
      <c r="T4015" s="2">
        <v>258</v>
      </c>
      <c r="U4015" s="2">
        <v>0.17205899999999999</v>
      </c>
      <c r="V4015" s="2">
        <v>312</v>
      </c>
      <c r="W4015" s="2">
        <v>2013</v>
      </c>
    </row>
    <row r="4016" spans="1:23" ht="12.3" hidden="1" x14ac:dyDescent="0.4">
      <c r="A4016" s="2" t="s">
        <v>251</v>
      </c>
      <c r="B4016" s="2"/>
      <c r="C4016" s="2"/>
      <c r="D4016" s="2"/>
      <c r="E4016" s="2"/>
      <c r="F4016" s="2"/>
      <c r="G4016" s="2"/>
      <c r="H4016" s="2"/>
      <c r="I4016" s="2"/>
      <c r="J4016" s="2">
        <v>16</v>
      </c>
      <c r="K4016" s="2">
        <v>69.539199999999994</v>
      </c>
      <c r="L4016" s="2">
        <v>30</v>
      </c>
      <c r="M4016" s="2">
        <v>91.681799999999996</v>
      </c>
      <c r="N4016" s="2">
        <v>315</v>
      </c>
      <c r="O4016" s="2">
        <v>90.644300000000001</v>
      </c>
      <c r="P4016" s="2">
        <v>323</v>
      </c>
      <c r="Q4016" s="2">
        <v>102.8695</v>
      </c>
      <c r="R4016" s="2">
        <v>222</v>
      </c>
      <c r="S4016" s="2">
        <v>103.9151</v>
      </c>
      <c r="T4016" s="2">
        <v>237</v>
      </c>
      <c r="U4016" s="2">
        <v>0.172037</v>
      </c>
      <c r="V4016" s="2">
        <v>313</v>
      </c>
      <c r="W4016" s="2">
        <v>2013</v>
      </c>
    </row>
    <row r="4017" spans="1:23" ht="12.3" hidden="1" x14ac:dyDescent="0.4">
      <c r="A4017" s="2" t="s">
        <v>278</v>
      </c>
      <c r="B4017" s="2"/>
      <c r="C4017" s="2"/>
      <c r="D4017" s="2"/>
      <c r="E4017" s="2"/>
      <c r="F4017" s="2"/>
      <c r="G4017" s="2"/>
      <c r="H4017" s="2"/>
      <c r="I4017" s="2"/>
      <c r="J4017" s="2">
        <v>91</v>
      </c>
      <c r="K4017" s="2">
        <v>67.097200000000001</v>
      </c>
      <c r="L4017" s="2">
        <v>117</v>
      </c>
      <c r="M4017" s="2">
        <v>89.231200000000001</v>
      </c>
      <c r="N4017" s="2">
        <v>328</v>
      </c>
      <c r="O4017" s="2">
        <v>89.179199999999994</v>
      </c>
      <c r="P4017" s="2">
        <v>330</v>
      </c>
      <c r="Q4017" s="2">
        <v>102.7336</v>
      </c>
      <c r="R4017" s="2">
        <v>218</v>
      </c>
      <c r="S4017" s="2">
        <v>102.3115</v>
      </c>
      <c r="T4017" s="2">
        <v>200</v>
      </c>
      <c r="U4017" s="2">
        <v>0.170822</v>
      </c>
      <c r="V4017" s="2">
        <v>314</v>
      </c>
      <c r="W4017" s="2">
        <v>2013</v>
      </c>
    </row>
    <row r="4018" spans="1:23" ht="12.3" hidden="1" x14ac:dyDescent="0.4">
      <c r="A4018" s="2" t="s">
        <v>191</v>
      </c>
      <c r="B4018" s="2"/>
      <c r="C4018" s="2"/>
      <c r="D4018" s="2"/>
      <c r="E4018" s="2"/>
      <c r="F4018" s="2"/>
      <c r="G4018" s="2"/>
      <c r="H4018" s="2"/>
      <c r="I4018" s="2"/>
      <c r="J4018" s="2">
        <v>221</v>
      </c>
      <c r="K4018" s="2">
        <v>64.935299999999998</v>
      </c>
      <c r="L4018" s="2">
        <v>218</v>
      </c>
      <c r="M4018" s="2">
        <v>92.253399999999999</v>
      </c>
      <c r="N4018" s="2">
        <v>311</v>
      </c>
      <c r="O4018" s="2">
        <v>92.747100000000003</v>
      </c>
      <c r="P4018" s="2">
        <v>303</v>
      </c>
      <c r="Q4018" s="2">
        <v>108.5039</v>
      </c>
      <c r="R4018" s="2">
        <v>322</v>
      </c>
      <c r="S4018" s="2">
        <v>106.7016</v>
      </c>
      <c r="T4018" s="2">
        <v>281</v>
      </c>
      <c r="U4018" s="2">
        <v>0.16633300000000001</v>
      </c>
      <c r="V4018" s="2">
        <v>315</v>
      </c>
      <c r="W4018" s="2">
        <v>2013</v>
      </c>
    </row>
    <row r="4019" spans="1:23" ht="12.3" hidden="1" x14ac:dyDescent="0.4">
      <c r="A4019" s="2" t="s">
        <v>312</v>
      </c>
      <c r="B4019" s="2"/>
      <c r="C4019" s="2"/>
      <c r="D4019" s="2"/>
      <c r="E4019" s="2"/>
      <c r="F4019" s="2"/>
      <c r="G4019" s="2"/>
      <c r="H4019" s="2"/>
      <c r="I4019" s="2"/>
      <c r="J4019" s="2">
        <v>39</v>
      </c>
      <c r="K4019" s="2">
        <v>68.021600000000007</v>
      </c>
      <c r="L4019" s="2">
        <v>78</v>
      </c>
      <c r="M4019" s="2">
        <v>94.252399999999994</v>
      </c>
      <c r="N4019" s="2">
        <v>289</v>
      </c>
      <c r="O4019" s="2">
        <v>93.767799999999994</v>
      </c>
      <c r="P4019" s="2">
        <v>297</v>
      </c>
      <c r="Q4019" s="2">
        <v>101.3507</v>
      </c>
      <c r="R4019" s="2">
        <v>181</v>
      </c>
      <c r="S4019" s="2">
        <v>107.9541</v>
      </c>
      <c r="T4019" s="2">
        <v>299</v>
      </c>
      <c r="U4019" s="2">
        <v>0.16517999999999999</v>
      </c>
      <c r="V4019" s="2">
        <v>316</v>
      </c>
      <c r="W4019" s="2">
        <v>2013</v>
      </c>
    </row>
    <row r="4020" spans="1:23" ht="12.3" hidden="1" x14ac:dyDescent="0.4">
      <c r="A4020" s="2" t="s">
        <v>276</v>
      </c>
      <c r="B4020" s="2"/>
      <c r="C4020" s="2"/>
      <c r="D4020" s="2"/>
      <c r="E4020" s="2"/>
      <c r="F4020" s="2"/>
      <c r="G4020" s="2"/>
      <c r="H4020" s="2"/>
      <c r="I4020" s="2"/>
      <c r="J4020" s="2">
        <v>291</v>
      </c>
      <c r="K4020" s="2">
        <v>61.897199999999998</v>
      </c>
      <c r="L4020" s="2">
        <v>312</v>
      </c>
      <c r="M4020" s="2">
        <v>95.539400000000001</v>
      </c>
      <c r="N4020" s="2">
        <v>268</v>
      </c>
      <c r="O4020" s="2">
        <v>94.601699999999994</v>
      </c>
      <c r="P4020" s="2">
        <v>282</v>
      </c>
      <c r="Q4020" s="2">
        <v>108.4289</v>
      </c>
      <c r="R4020" s="2">
        <v>320</v>
      </c>
      <c r="S4020" s="2">
        <v>109.4055</v>
      </c>
      <c r="T4020" s="2">
        <v>317</v>
      </c>
      <c r="U4020" s="2">
        <v>0.158166</v>
      </c>
      <c r="V4020" s="2">
        <v>317</v>
      </c>
      <c r="W4020" s="2">
        <v>2013</v>
      </c>
    </row>
    <row r="4021" spans="1:23" ht="12.3" hidden="1" x14ac:dyDescent="0.4">
      <c r="A4021" s="2" t="s">
        <v>300</v>
      </c>
      <c r="B4021" s="2"/>
      <c r="C4021" s="2"/>
      <c r="D4021" s="2"/>
      <c r="E4021" s="2"/>
      <c r="F4021" s="2"/>
      <c r="G4021" s="2"/>
      <c r="H4021" s="2"/>
      <c r="I4021" s="2"/>
      <c r="J4021" s="2">
        <v>339</v>
      </c>
      <c r="K4021" s="2">
        <v>60.771999999999998</v>
      </c>
      <c r="L4021" s="2">
        <v>333</v>
      </c>
      <c r="M4021" s="2">
        <v>89.596000000000004</v>
      </c>
      <c r="N4021" s="2">
        <v>326</v>
      </c>
      <c r="O4021" s="2">
        <v>88.380300000000005</v>
      </c>
      <c r="P4021" s="2">
        <v>334</v>
      </c>
      <c r="Q4021" s="2">
        <v>101.4837</v>
      </c>
      <c r="R4021" s="2">
        <v>186</v>
      </c>
      <c r="S4021" s="2">
        <v>102.41679999999999</v>
      </c>
      <c r="T4021" s="2">
        <v>203</v>
      </c>
      <c r="U4021" s="2">
        <v>0.15510299999999999</v>
      </c>
      <c r="V4021" s="2">
        <v>318</v>
      </c>
      <c r="W4021" s="2">
        <v>2013</v>
      </c>
    </row>
    <row r="4022" spans="1:23" ht="12.3" hidden="1" x14ac:dyDescent="0.4">
      <c r="A4022" s="2" t="s">
        <v>341</v>
      </c>
      <c r="B4022" s="2"/>
      <c r="C4022" s="2"/>
      <c r="D4022" s="2"/>
      <c r="E4022" s="2"/>
      <c r="F4022" s="2"/>
      <c r="G4022" s="2"/>
      <c r="H4022" s="2"/>
      <c r="I4022" s="2"/>
      <c r="J4022" s="2">
        <v>55</v>
      </c>
      <c r="K4022" s="2">
        <v>68.320999999999998</v>
      </c>
      <c r="L4022" s="2">
        <v>67</v>
      </c>
      <c r="M4022" s="2">
        <v>89.630399999999995</v>
      </c>
      <c r="N4022" s="2">
        <v>325</v>
      </c>
      <c r="O4022" s="2">
        <v>91.876800000000003</v>
      </c>
      <c r="P4022" s="2">
        <v>311</v>
      </c>
      <c r="Q4022" s="2">
        <v>101.47799999999999</v>
      </c>
      <c r="R4022" s="2">
        <v>185</v>
      </c>
      <c r="S4022" s="2">
        <v>106.76949999999999</v>
      </c>
      <c r="T4022" s="2">
        <v>283</v>
      </c>
      <c r="U4022" s="2">
        <v>0.150898</v>
      </c>
      <c r="V4022" s="2">
        <v>319</v>
      </c>
      <c r="W4022" s="2">
        <v>2013</v>
      </c>
    </row>
    <row r="4023" spans="1:23" ht="12.3" hidden="1" x14ac:dyDescent="0.4">
      <c r="A4023" s="2" t="s">
        <v>374</v>
      </c>
      <c r="B4023" s="2"/>
      <c r="C4023" s="2"/>
      <c r="D4023" s="2"/>
      <c r="E4023" s="2"/>
      <c r="F4023" s="2"/>
      <c r="G4023" s="2"/>
      <c r="H4023" s="2"/>
      <c r="I4023" s="2"/>
      <c r="J4023" s="2">
        <v>60</v>
      </c>
      <c r="K4023" s="2">
        <v>68.414400000000001</v>
      </c>
      <c r="L4023" s="2">
        <v>65</v>
      </c>
      <c r="M4023" s="2">
        <v>87.345799999999997</v>
      </c>
      <c r="N4023" s="2">
        <v>338</v>
      </c>
      <c r="O4023" s="2">
        <v>87.388199999999998</v>
      </c>
      <c r="P4023" s="2">
        <v>336</v>
      </c>
      <c r="Q4023" s="2">
        <v>97.2483</v>
      </c>
      <c r="R4023" s="2">
        <v>92</v>
      </c>
      <c r="S4023" s="2">
        <v>102.07129999999999</v>
      </c>
      <c r="T4023" s="2">
        <v>194</v>
      </c>
      <c r="U4023" s="2">
        <v>0.14355399999999999</v>
      </c>
      <c r="V4023" s="2">
        <v>320</v>
      </c>
      <c r="W4023" s="2">
        <v>2013</v>
      </c>
    </row>
    <row r="4024" spans="1:23" ht="12.3" hidden="1" x14ac:dyDescent="0.4">
      <c r="A4024" s="2" t="s">
        <v>108</v>
      </c>
      <c r="B4024" s="2"/>
      <c r="C4024" s="2"/>
      <c r="D4024" s="2"/>
      <c r="E4024" s="2"/>
      <c r="F4024" s="2"/>
      <c r="G4024" s="2"/>
      <c r="H4024" s="2"/>
      <c r="I4024" s="2"/>
      <c r="J4024" s="2">
        <v>169</v>
      </c>
      <c r="K4024" s="2">
        <v>65.297200000000004</v>
      </c>
      <c r="L4024" s="2">
        <v>198</v>
      </c>
      <c r="M4024" s="2">
        <v>92.587699999999998</v>
      </c>
      <c r="N4024" s="2">
        <v>308</v>
      </c>
      <c r="O4024" s="2">
        <v>94.2239</v>
      </c>
      <c r="P4024" s="2">
        <v>291</v>
      </c>
      <c r="Q4024" s="2">
        <v>108.47920000000001</v>
      </c>
      <c r="R4024" s="2">
        <v>321</v>
      </c>
      <c r="S4024" s="2">
        <v>110.3236</v>
      </c>
      <c r="T4024" s="2">
        <v>322</v>
      </c>
      <c r="U4024" s="2">
        <v>0.140149</v>
      </c>
      <c r="V4024" s="2">
        <v>321</v>
      </c>
      <c r="W4024" s="2">
        <v>2013</v>
      </c>
    </row>
    <row r="4025" spans="1:23" ht="12.3" hidden="1" x14ac:dyDescent="0.4">
      <c r="A4025" s="2" t="s">
        <v>294</v>
      </c>
      <c r="B4025" s="2"/>
      <c r="C4025" s="2"/>
      <c r="D4025" s="2"/>
      <c r="E4025" s="2"/>
      <c r="F4025" s="2"/>
      <c r="G4025" s="2"/>
      <c r="H4025" s="2"/>
      <c r="I4025" s="2"/>
      <c r="J4025" s="2">
        <v>340</v>
      </c>
      <c r="K4025" s="2">
        <v>60.861800000000002</v>
      </c>
      <c r="L4025" s="2">
        <v>330</v>
      </c>
      <c r="M4025" s="2">
        <v>92.592100000000002</v>
      </c>
      <c r="N4025" s="2">
        <v>307</v>
      </c>
      <c r="O4025" s="2">
        <v>90.991299999999995</v>
      </c>
      <c r="P4025" s="2">
        <v>320</v>
      </c>
      <c r="Q4025" s="2">
        <v>106.5132</v>
      </c>
      <c r="R4025" s="2">
        <v>298</v>
      </c>
      <c r="S4025" s="2">
        <v>106.8165</v>
      </c>
      <c r="T4025" s="2">
        <v>285</v>
      </c>
      <c r="U4025" s="2">
        <v>0.136578</v>
      </c>
      <c r="V4025" s="2">
        <v>322</v>
      </c>
      <c r="W4025" s="2">
        <v>2013</v>
      </c>
    </row>
    <row r="4026" spans="1:23" ht="12.3" hidden="1" x14ac:dyDescent="0.4">
      <c r="A4026" s="2" t="s">
        <v>231</v>
      </c>
      <c r="B4026" s="2"/>
      <c r="C4026" s="2"/>
      <c r="D4026" s="2"/>
      <c r="E4026" s="2"/>
      <c r="F4026" s="2"/>
      <c r="G4026" s="2"/>
      <c r="H4026" s="2"/>
      <c r="I4026" s="2"/>
      <c r="J4026" s="2">
        <v>279</v>
      </c>
      <c r="K4026" s="2">
        <v>62.979100000000003</v>
      </c>
      <c r="L4026" s="2">
        <v>290</v>
      </c>
      <c r="M4026" s="2">
        <v>94.088099999999997</v>
      </c>
      <c r="N4026" s="2">
        <v>292</v>
      </c>
      <c r="O4026" s="2">
        <v>94.513400000000004</v>
      </c>
      <c r="P4026" s="2">
        <v>285</v>
      </c>
      <c r="Q4026" s="2">
        <v>111.81399999999999</v>
      </c>
      <c r="R4026" s="2">
        <v>338</v>
      </c>
      <c r="S4026" s="2">
        <v>111.48560000000001</v>
      </c>
      <c r="T4026" s="2">
        <v>332</v>
      </c>
      <c r="U4026" s="2">
        <v>0.130191</v>
      </c>
      <c r="V4026" s="2">
        <v>323</v>
      </c>
      <c r="W4026" s="2">
        <v>2013</v>
      </c>
    </row>
    <row r="4027" spans="1:23" ht="12.3" hidden="1" x14ac:dyDescent="0.4">
      <c r="A4027" s="2" t="s">
        <v>209</v>
      </c>
      <c r="B4027" s="2"/>
      <c r="C4027" s="2"/>
      <c r="D4027" s="2"/>
      <c r="E4027" s="2"/>
      <c r="F4027" s="2"/>
      <c r="G4027" s="2"/>
      <c r="H4027" s="2"/>
      <c r="I4027" s="2"/>
      <c r="J4027" s="2">
        <v>301</v>
      </c>
      <c r="K4027" s="2">
        <v>61.975000000000001</v>
      </c>
      <c r="L4027" s="2">
        <v>308</v>
      </c>
      <c r="M4027" s="2">
        <v>84.337000000000003</v>
      </c>
      <c r="N4027" s="2">
        <v>342</v>
      </c>
      <c r="O4027" s="2">
        <v>84.9161</v>
      </c>
      <c r="P4027" s="2">
        <v>342</v>
      </c>
      <c r="Q4027" s="2">
        <v>100.2683</v>
      </c>
      <c r="R4027" s="2">
        <v>161</v>
      </c>
      <c r="S4027" s="2">
        <v>100.4132</v>
      </c>
      <c r="T4027" s="2">
        <v>157</v>
      </c>
      <c r="U4027" s="2">
        <v>0.127</v>
      </c>
      <c r="V4027" s="2">
        <v>324</v>
      </c>
      <c r="W4027" s="2">
        <v>2013</v>
      </c>
    </row>
    <row r="4028" spans="1:23" ht="12.3" hidden="1" x14ac:dyDescent="0.4">
      <c r="A4028" s="2" t="s">
        <v>193</v>
      </c>
      <c r="B4028" s="2"/>
      <c r="C4028" s="2"/>
      <c r="D4028" s="2"/>
      <c r="E4028" s="2"/>
      <c r="F4028" s="2"/>
      <c r="G4028" s="2"/>
      <c r="H4028" s="2"/>
      <c r="I4028" s="2"/>
      <c r="J4028" s="2">
        <v>125</v>
      </c>
      <c r="K4028" s="2">
        <v>66.157700000000006</v>
      </c>
      <c r="L4028" s="2">
        <v>159</v>
      </c>
      <c r="M4028" s="2">
        <v>88.695099999999996</v>
      </c>
      <c r="N4028" s="2">
        <v>332</v>
      </c>
      <c r="O4028" s="2">
        <v>91.810900000000004</v>
      </c>
      <c r="P4028" s="2">
        <v>312</v>
      </c>
      <c r="Q4028" s="2">
        <v>107.5959</v>
      </c>
      <c r="R4028" s="2">
        <v>315</v>
      </c>
      <c r="S4028" s="2">
        <v>108.8763</v>
      </c>
      <c r="T4028" s="2">
        <v>311</v>
      </c>
      <c r="U4028" s="2">
        <v>0.123409</v>
      </c>
      <c r="V4028" s="2">
        <v>325</v>
      </c>
      <c r="W4028" s="2">
        <v>2013</v>
      </c>
    </row>
    <row r="4029" spans="1:23" ht="12.3" hidden="1" x14ac:dyDescent="0.4">
      <c r="A4029" s="2" t="s">
        <v>342</v>
      </c>
      <c r="B4029" s="2"/>
      <c r="C4029" s="2"/>
      <c r="D4029" s="2"/>
      <c r="E4029" s="2"/>
      <c r="F4029" s="2"/>
      <c r="G4029" s="2"/>
      <c r="H4029" s="2"/>
      <c r="I4029" s="2"/>
      <c r="J4029" s="2">
        <v>82</v>
      </c>
      <c r="K4029" s="2">
        <v>66.751000000000005</v>
      </c>
      <c r="L4029" s="2">
        <v>130</v>
      </c>
      <c r="M4029" s="2">
        <v>89.5565</v>
      </c>
      <c r="N4029" s="2">
        <v>327</v>
      </c>
      <c r="O4029" s="2">
        <v>87.1584</v>
      </c>
      <c r="P4029" s="2">
        <v>337</v>
      </c>
      <c r="Q4029" s="2">
        <v>97.698300000000003</v>
      </c>
      <c r="R4029" s="2">
        <v>104</v>
      </c>
      <c r="S4029" s="2">
        <v>103.4483</v>
      </c>
      <c r="T4029" s="2">
        <v>223</v>
      </c>
      <c r="U4029" s="2">
        <v>0.122339</v>
      </c>
      <c r="V4029" s="2">
        <v>326</v>
      </c>
      <c r="W4029" s="2">
        <v>2013</v>
      </c>
    </row>
    <row r="4030" spans="1:23" ht="12.3" hidden="1" x14ac:dyDescent="0.4">
      <c r="A4030" s="2" t="s">
        <v>332</v>
      </c>
      <c r="B4030" s="2"/>
      <c r="C4030" s="2"/>
      <c r="D4030" s="2"/>
      <c r="E4030" s="2"/>
      <c r="F4030" s="2"/>
      <c r="G4030" s="2"/>
      <c r="H4030" s="2"/>
      <c r="I4030" s="2"/>
      <c r="J4030" s="2">
        <v>236</v>
      </c>
      <c r="K4030" s="2">
        <v>63.280500000000004</v>
      </c>
      <c r="L4030" s="2">
        <v>281</v>
      </c>
      <c r="M4030" s="2">
        <v>94.8733</v>
      </c>
      <c r="N4030" s="2">
        <v>281</v>
      </c>
      <c r="O4030" s="2">
        <v>92.211100000000002</v>
      </c>
      <c r="P4030" s="2">
        <v>309</v>
      </c>
      <c r="Q4030" s="2">
        <v>111.9044</v>
      </c>
      <c r="R4030" s="2">
        <v>339</v>
      </c>
      <c r="S4030" s="2">
        <v>109.7556</v>
      </c>
      <c r="T4030" s="2">
        <v>321</v>
      </c>
      <c r="U4030" s="2">
        <v>0.11888600000000001</v>
      </c>
      <c r="V4030" s="2">
        <v>327</v>
      </c>
      <c r="W4030" s="2">
        <v>2013</v>
      </c>
    </row>
    <row r="4031" spans="1:23" ht="12.3" hidden="1" x14ac:dyDescent="0.4">
      <c r="A4031" s="2" t="s">
        <v>179</v>
      </c>
      <c r="B4031" s="2"/>
      <c r="C4031" s="2"/>
      <c r="D4031" s="2"/>
      <c r="E4031" s="2"/>
      <c r="F4031" s="2"/>
      <c r="G4031" s="2"/>
      <c r="H4031" s="2"/>
      <c r="I4031" s="2"/>
      <c r="J4031" s="2">
        <v>227</v>
      </c>
      <c r="K4031" s="2">
        <v>65.364000000000004</v>
      </c>
      <c r="L4031" s="2">
        <v>195</v>
      </c>
      <c r="M4031" s="2">
        <v>97.906800000000004</v>
      </c>
      <c r="N4031" s="2">
        <v>230</v>
      </c>
      <c r="O4031" s="2">
        <v>98.331999999999994</v>
      </c>
      <c r="P4031" s="2">
        <v>216</v>
      </c>
      <c r="Q4031" s="2">
        <v>115.5164</v>
      </c>
      <c r="R4031" s="2">
        <v>344</v>
      </c>
      <c r="S4031" s="2">
        <v>117.12269999999999</v>
      </c>
      <c r="T4031" s="2">
        <v>346</v>
      </c>
      <c r="U4031" s="2">
        <v>0.118049</v>
      </c>
      <c r="V4031" s="2">
        <v>328</v>
      </c>
      <c r="W4031" s="2">
        <v>2013</v>
      </c>
    </row>
    <row r="4032" spans="1:23" ht="12.3" hidden="1" x14ac:dyDescent="0.4">
      <c r="A4032" s="2" t="s">
        <v>359</v>
      </c>
      <c r="B4032" s="2"/>
      <c r="C4032" s="2"/>
      <c r="D4032" s="2"/>
      <c r="E4032" s="2"/>
      <c r="F4032" s="2"/>
      <c r="G4032" s="2"/>
      <c r="H4032" s="2"/>
      <c r="I4032" s="2"/>
      <c r="J4032" s="2">
        <v>4</v>
      </c>
      <c r="K4032" s="2">
        <v>70.663600000000002</v>
      </c>
      <c r="L4032" s="2">
        <v>13</v>
      </c>
      <c r="M4032" s="2">
        <v>93.671999999999997</v>
      </c>
      <c r="N4032" s="2">
        <v>297</v>
      </c>
      <c r="O4032" s="2">
        <v>95.557699999999997</v>
      </c>
      <c r="P4032" s="2">
        <v>269</v>
      </c>
      <c r="Q4032" s="2">
        <v>113.44119999999999</v>
      </c>
      <c r="R4032" s="2">
        <v>342</v>
      </c>
      <c r="S4032" s="2">
        <v>113.9789</v>
      </c>
      <c r="T4032" s="2">
        <v>341</v>
      </c>
      <c r="U4032" s="2">
        <v>0.116371</v>
      </c>
      <c r="V4032" s="2">
        <v>329</v>
      </c>
      <c r="W4032" s="2">
        <v>2013</v>
      </c>
    </row>
    <row r="4033" spans="1:23" ht="12.3" hidden="1" x14ac:dyDescent="0.4">
      <c r="A4033" s="2" t="s">
        <v>301</v>
      </c>
      <c r="B4033" s="2"/>
      <c r="C4033" s="2"/>
      <c r="D4033" s="2"/>
      <c r="E4033" s="2"/>
      <c r="F4033" s="2"/>
      <c r="G4033" s="2"/>
      <c r="H4033" s="2"/>
      <c r="I4033" s="2"/>
      <c r="J4033" s="2">
        <v>33</v>
      </c>
      <c r="K4033" s="2">
        <v>68.821200000000005</v>
      </c>
      <c r="L4033" s="2">
        <v>50</v>
      </c>
      <c r="M4033" s="2">
        <v>88.296199999999999</v>
      </c>
      <c r="N4033" s="2">
        <v>335</v>
      </c>
      <c r="O4033" s="2">
        <v>88.779899999999998</v>
      </c>
      <c r="P4033" s="2">
        <v>332</v>
      </c>
      <c r="Q4033" s="2">
        <v>102.2645</v>
      </c>
      <c r="R4033" s="2">
        <v>203</v>
      </c>
      <c r="S4033" s="2">
        <v>105.9494</v>
      </c>
      <c r="T4033" s="2">
        <v>271</v>
      </c>
      <c r="U4033" s="2">
        <v>0.11576</v>
      </c>
      <c r="V4033" s="2">
        <v>330</v>
      </c>
      <c r="W4033" s="2">
        <v>2013</v>
      </c>
    </row>
    <row r="4034" spans="1:23" ht="12.3" hidden="1" x14ac:dyDescent="0.4">
      <c r="A4034" s="2" t="s">
        <v>199</v>
      </c>
      <c r="B4034" s="2"/>
      <c r="C4034" s="2"/>
      <c r="D4034" s="2"/>
      <c r="E4034" s="2"/>
      <c r="F4034" s="2"/>
      <c r="G4034" s="2"/>
      <c r="H4034" s="2"/>
      <c r="I4034" s="2"/>
      <c r="J4034" s="2">
        <v>177</v>
      </c>
      <c r="K4034" s="2">
        <v>65.402100000000004</v>
      </c>
      <c r="L4034" s="2">
        <v>192</v>
      </c>
      <c r="M4034" s="2">
        <v>96.487799999999993</v>
      </c>
      <c r="N4034" s="2">
        <v>251</v>
      </c>
      <c r="O4034" s="2">
        <v>96.587599999999995</v>
      </c>
      <c r="P4034" s="2">
        <v>248</v>
      </c>
      <c r="Q4034" s="2">
        <v>116.68129999999999</v>
      </c>
      <c r="R4034" s="2">
        <v>347</v>
      </c>
      <c r="S4034" s="2">
        <v>115.518</v>
      </c>
      <c r="T4034" s="2">
        <v>343</v>
      </c>
      <c r="U4034" s="2">
        <v>0.11322400000000001</v>
      </c>
      <c r="V4034" s="2">
        <v>331</v>
      </c>
      <c r="W4034" s="2">
        <v>2013</v>
      </c>
    </row>
    <row r="4035" spans="1:23" ht="12.3" hidden="1" x14ac:dyDescent="0.4">
      <c r="A4035" s="2" t="s">
        <v>280</v>
      </c>
      <c r="B4035" s="2"/>
      <c r="C4035" s="2"/>
      <c r="D4035" s="2"/>
      <c r="E4035" s="2"/>
      <c r="F4035" s="2"/>
      <c r="G4035" s="2"/>
      <c r="H4035" s="2"/>
      <c r="I4035" s="2"/>
      <c r="J4035" s="2">
        <v>48</v>
      </c>
      <c r="K4035" s="2">
        <v>68.448499999999996</v>
      </c>
      <c r="L4035" s="2">
        <v>61</v>
      </c>
      <c r="M4035" s="2">
        <v>93.386799999999994</v>
      </c>
      <c r="N4035" s="2">
        <v>300</v>
      </c>
      <c r="O4035" s="2">
        <v>93.255899999999997</v>
      </c>
      <c r="P4035" s="2">
        <v>301</v>
      </c>
      <c r="Q4035" s="2">
        <v>110.8199</v>
      </c>
      <c r="R4035" s="2">
        <v>336</v>
      </c>
      <c r="S4035" s="2">
        <v>111.7886</v>
      </c>
      <c r="T4035" s="2">
        <v>335</v>
      </c>
      <c r="U4035" s="2">
        <v>0.110611</v>
      </c>
      <c r="V4035" s="2">
        <v>332</v>
      </c>
      <c r="W4035" s="2">
        <v>2013</v>
      </c>
    </row>
    <row r="4036" spans="1:23" ht="12.3" hidden="1" x14ac:dyDescent="0.4">
      <c r="A4036" s="2" t="s">
        <v>261</v>
      </c>
      <c r="B4036" s="2"/>
      <c r="C4036" s="2"/>
      <c r="D4036" s="2"/>
      <c r="E4036" s="2"/>
      <c r="F4036" s="2"/>
      <c r="G4036" s="2"/>
      <c r="H4036" s="2"/>
      <c r="I4036" s="2"/>
      <c r="J4036" s="2">
        <v>72</v>
      </c>
      <c r="K4036" s="2">
        <v>68.150400000000005</v>
      </c>
      <c r="L4036" s="2">
        <v>75</v>
      </c>
      <c r="M4036" s="2">
        <v>85.906800000000004</v>
      </c>
      <c r="N4036" s="2">
        <v>340</v>
      </c>
      <c r="O4036" s="2">
        <v>84.4255</v>
      </c>
      <c r="P4036" s="2">
        <v>345</v>
      </c>
      <c r="Q4036" s="2">
        <v>96.057100000000005</v>
      </c>
      <c r="R4036" s="2">
        <v>71</v>
      </c>
      <c r="S4036" s="2">
        <v>101.6347</v>
      </c>
      <c r="T4036" s="2">
        <v>185</v>
      </c>
      <c r="U4036" s="2">
        <v>0.105889</v>
      </c>
      <c r="V4036" s="2">
        <v>333</v>
      </c>
      <c r="W4036" s="2">
        <v>2013</v>
      </c>
    </row>
    <row r="4037" spans="1:23" ht="12.3" hidden="1" x14ac:dyDescent="0.4">
      <c r="A4037" s="2" t="s">
        <v>344</v>
      </c>
      <c r="B4037" s="2"/>
      <c r="C4037" s="2"/>
      <c r="D4037" s="2"/>
      <c r="E4037" s="2"/>
      <c r="F4037" s="2"/>
      <c r="G4037" s="2"/>
      <c r="H4037" s="2"/>
      <c r="I4037" s="2"/>
      <c r="J4037" s="2">
        <v>47</v>
      </c>
      <c r="K4037" s="2">
        <v>68.785300000000007</v>
      </c>
      <c r="L4037" s="2">
        <v>52</v>
      </c>
      <c r="M4037" s="2">
        <v>94.230099999999993</v>
      </c>
      <c r="N4037" s="2">
        <v>290</v>
      </c>
      <c r="O4037" s="2">
        <v>92.819400000000002</v>
      </c>
      <c r="P4037" s="2">
        <v>302</v>
      </c>
      <c r="Q4037" s="2">
        <v>113.3644</v>
      </c>
      <c r="R4037" s="2">
        <v>341</v>
      </c>
      <c r="S4037" s="2">
        <v>111.79600000000001</v>
      </c>
      <c r="T4037" s="2">
        <v>336</v>
      </c>
      <c r="U4037" s="2">
        <v>0.10534200000000001</v>
      </c>
      <c r="V4037" s="2">
        <v>334</v>
      </c>
      <c r="W4037" s="2">
        <v>2013</v>
      </c>
    </row>
    <row r="4038" spans="1:23" ht="12.3" hidden="1" x14ac:dyDescent="0.4">
      <c r="A4038" s="2" t="s">
        <v>242</v>
      </c>
      <c r="B4038" s="2"/>
      <c r="C4038" s="2"/>
      <c r="D4038" s="2"/>
      <c r="E4038" s="2"/>
      <c r="F4038" s="2"/>
      <c r="G4038" s="2"/>
      <c r="H4038" s="2"/>
      <c r="I4038" s="2"/>
      <c r="J4038" s="2">
        <v>313</v>
      </c>
      <c r="K4038" s="2">
        <v>62.361699999999999</v>
      </c>
      <c r="L4038" s="2">
        <v>302</v>
      </c>
      <c r="M4038" s="2">
        <v>82.930899999999994</v>
      </c>
      <c r="N4038" s="2">
        <v>346</v>
      </c>
      <c r="O4038" s="2">
        <v>82.482600000000005</v>
      </c>
      <c r="P4038" s="2">
        <v>346</v>
      </c>
      <c r="Q4038" s="2">
        <v>97.597300000000004</v>
      </c>
      <c r="R4038" s="2">
        <v>101</v>
      </c>
      <c r="S4038" s="2">
        <v>99.613699999999994</v>
      </c>
      <c r="T4038" s="2">
        <v>140</v>
      </c>
      <c r="U4038" s="2">
        <v>0.10246</v>
      </c>
      <c r="V4038" s="2">
        <v>335</v>
      </c>
      <c r="W4038" s="2">
        <v>2013</v>
      </c>
    </row>
    <row r="4039" spans="1:23" ht="12.3" hidden="1" x14ac:dyDescent="0.4">
      <c r="A4039" s="2" t="s">
        <v>297</v>
      </c>
      <c r="B4039" s="2"/>
      <c r="C4039" s="2"/>
      <c r="D4039" s="2"/>
      <c r="E4039" s="2"/>
      <c r="F4039" s="2"/>
      <c r="G4039" s="2"/>
      <c r="H4039" s="2"/>
      <c r="I4039" s="2"/>
      <c r="J4039" s="2">
        <v>119</v>
      </c>
      <c r="K4039" s="2">
        <v>66.462800000000001</v>
      </c>
      <c r="L4039" s="2">
        <v>142</v>
      </c>
      <c r="M4039" s="2">
        <v>91.188100000000006</v>
      </c>
      <c r="N4039" s="2">
        <v>319</v>
      </c>
      <c r="O4039" s="2">
        <v>91.203100000000006</v>
      </c>
      <c r="P4039" s="2">
        <v>317</v>
      </c>
      <c r="Q4039" s="2">
        <v>103.8682</v>
      </c>
      <c r="R4039" s="2">
        <v>240</v>
      </c>
      <c r="S4039" s="2">
        <v>110.4173</v>
      </c>
      <c r="T4039" s="2">
        <v>324</v>
      </c>
      <c r="U4039" s="2">
        <v>9.9880999999999998E-2</v>
      </c>
      <c r="V4039" s="2">
        <v>336</v>
      </c>
      <c r="W4039" s="2">
        <v>2013</v>
      </c>
    </row>
    <row r="4040" spans="1:23" ht="12.3" hidden="1" x14ac:dyDescent="0.4">
      <c r="A4040" s="2" t="s">
        <v>272</v>
      </c>
      <c r="B4040" s="2"/>
      <c r="C4040" s="2"/>
      <c r="D4040" s="2"/>
      <c r="E4040" s="2"/>
      <c r="F4040" s="2"/>
      <c r="G4040" s="2"/>
      <c r="H4040" s="2"/>
      <c r="I4040" s="2"/>
      <c r="J4040" s="2">
        <v>143</v>
      </c>
      <c r="K4040" s="2">
        <v>66.093299999999999</v>
      </c>
      <c r="L4040" s="2">
        <v>161</v>
      </c>
      <c r="M4040" s="2">
        <v>91.412700000000001</v>
      </c>
      <c r="N4040" s="2">
        <v>317</v>
      </c>
      <c r="O4040" s="2">
        <v>89.769099999999995</v>
      </c>
      <c r="P4040" s="2">
        <v>328</v>
      </c>
      <c r="Q4040" s="2">
        <v>104.00620000000001</v>
      </c>
      <c r="R4040" s="2">
        <v>245</v>
      </c>
      <c r="S4040" s="2">
        <v>109.25879999999999</v>
      </c>
      <c r="T4040" s="2">
        <v>316</v>
      </c>
      <c r="U4040" s="2">
        <v>9.4532000000000005E-2</v>
      </c>
      <c r="V4040" s="2">
        <v>337</v>
      </c>
      <c r="W4040" s="2">
        <v>2013</v>
      </c>
    </row>
    <row r="4041" spans="1:23" ht="12.3" hidden="1" x14ac:dyDescent="0.4">
      <c r="A4041" s="2" t="s">
        <v>368</v>
      </c>
      <c r="B4041" s="2"/>
      <c r="C4041" s="2"/>
      <c r="D4041" s="2"/>
      <c r="E4041" s="2"/>
      <c r="F4041" s="2"/>
      <c r="G4041" s="2"/>
      <c r="H4041" s="2"/>
      <c r="I4041" s="2"/>
      <c r="J4041" s="2">
        <v>308</v>
      </c>
      <c r="K4041" s="2">
        <v>62.266399999999997</v>
      </c>
      <c r="L4041" s="2">
        <v>305</v>
      </c>
      <c r="M4041" s="2">
        <v>94.541300000000007</v>
      </c>
      <c r="N4041" s="2">
        <v>286</v>
      </c>
      <c r="O4041" s="2">
        <v>94.276399999999995</v>
      </c>
      <c r="P4041" s="2">
        <v>290</v>
      </c>
      <c r="Q4041" s="2">
        <v>115.0553</v>
      </c>
      <c r="R4041" s="2">
        <v>343</v>
      </c>
      <c r="S4041" s="2">
        <v>115.3544</v>
      </c>
      <c r="T4041" s="2">
        <v>342</v>
      </c>
      <c r="U4041" s="2">
        <v>8.9442999999999995E-2</v>
      </c>
      <c r="V4041" s="2">
        <v>338</v>
      </c>
      <c r="W4041" s="2">
        <v>2013</v>
      </c>
    </row>
    <row r="4042" spans="1:23" ht="12.3" hidden="1" x14ac:dyDescent="0.4">
      <c r="A4042" s="2" t="s">
        <v>361</v>
      </c>
      <c r="B4042" s="2"/>
      <c r="C4042" s="2"/>
      <c r="D4042" s="2"/>
      <c r="E4042" s="2"/>
      <c r="F4042" s="2"/>
      <c r="G4042" s="2"/>
      <c r="H4042" s="2"/>
      <c r="I4042" s="2"/>
      <c r="J4042" s="2">
        <v>238</v>
      </c>
      <c r="K4042" s="2">
        <v>64.807199999999995</v>
      </c>
      <c r="L4042" s="2">
        <v>224</v>
      </c>
      <c r="M4042" s="2">
        <v>92.332099999999997</v>
      </c>
      <c r="N4042" s="2">
        <v>310</v>
      </c>
      <c r="O4042" s="2">
        <v>89.836699999999993</v>
      </c>
      <c r="P4042" s="2">
        <v>326</v>
      </c>
      <c r="Q4042" s="2">
        <v>108.9599</v>
      </c>
      <c r="R4042" s="2">
        <v>325</v>
      </c>
      <c r="S4042" s="2">
        <v>110.8629</v>
      </c>
      <c r="T4042" s="2">
        <v>326</v>
      </c>
      <c r="U4042" s="2">
        <v>8.1776000000000001E-2</v>
      </c>
      <c r="V4042" s="2">
        <v>339</v>
      </c>
      <c r="W4042" s="2">
        <v>2013</v>
      </c>
    </row>
    <row r="4043" spans="1:23" ht="12.3" hidden="1" x14ac:dyDescent="0.4">
      <c r="A4043" s="2" t="s">
        <v>195</v>
      </c>
      <c r="B4043" s="2"/>
      <c r="C4043" s="2"/>
      <c r="D4043" s="2"/>
      <c r="E4043" s="2"/>
      <c r="F4043" s="2"/>
      <c r="G4043" s="2"/>
      <c r="H4043" s="2"/>
      <c r="I4043" s="2"/>
      <c r="J4043" s="2">
        <v>248</v>
      </c>
      <c r="K4043" s="2">
        <v>64.640299999999996</v>
      </c>
      <c r="L4043" s="2">
        <v>230</v>
      </c>
      <c r="M4043" s="2">
        <v>91.690299999999993</v>
      </c>
      <c r="N4043" s="2">
        <v>314</v>
      </c>
      <c r="O4043" s="2">
        <v>91.651399999999995</v>
      </c>
      <c r="P4043" s="2">
        <v>314</v>
      </c>
      <c r="Q4043" s="2">
        <v>110.6529</v>
      </c>
      <c r="R4043" s="2">
        <v>334</v>
      </c>
      <c r="S4043" s="2">
        <v>113.6559</v>
      </c>
      <c r="T4043" s="2">
        <v>340</v>
      </c>
      <c r="U4043" s="2">
        <v>7.7658000000000005E-2</v>
      </c>
      <c r="V4043" s="2">
        <v>340</v>
      </c>
      <c r="W4043" s="2">
        <v>2013</v>
      </c>
    </row>
    <row r="4044" spans="1:23" ht="12.3" hidden="1" x14ac:dyDescent="0.4">
      <c r="A4044" s="2" t="s">
        <v>299</v>
      </c>
      <c r="B4044" s="2"/>
      <c r="C4044" s="2"/>
      <c r="D4044" s="2"/>
      <c r="E4044" s="2"/>
      <c r="F4044" s="2"/>
      <c r="G4044" s="2"/>
      <c r="H4044" s="2"/>
      <c r="I4044" s="2"/>
      <c r="J4044" s="2">
        <v>19</v>
      </c>
      <c r="K4044" s="2">
        <v>70.790499999999994</v>
      </c>
      <c r="L4044" s="2">
        <v>11</v>
      </c>
      <c r="M4044" s="2">
        <v>88.805899999999994</v>
      </c>
      <c r="N4044" s="2">
        <v>331</v>
      </c>
      <c r="O4044" s="2">
        <v>89.608800000000002</v>
      </c>
      <c r="P4044" s="2">
        <v>329</v>
      </c>
      <c r="Q4044" s="2">
        <v>104.2324</v>
      </c>
      <c r="R4044" s="2">
        <v>251</v>
      </c>
      <c r="S4044" s="2">
        <v>111.1639</v>
      </c>
      <c r="T4044" s="2">
        <v>327</v>
      </c>
      <c r="U4044" s="2">
        <v>7.7354999999999993E-2</v>
      </c>
      <c r="V4044" s="2">
        <v>341</v>
      </c>
      <c r="W4044" s="2">
        <v>2013</v>
      </c>
    </row>
    <row r="4045" spans="1:23" ht="12.3" hidden="1" x14ac:dyDescent="0.4">
      <c r="A4045" s="2" t="s">
        <v>288</v>
      </c>
      <c r="B4045" s="2"/>
      <c r="C4045" s="2"/>
      <c r="D4045" s="2"/>
      <c r="E4045" s="2"/>
      <c r="F4045" s="2"/>
      <c r="G4045" s="2"/>
      <c r="H4045" s="2"/>
      <c r="I4045" s="2"/>
      <c r="J4045" s="2">
        <v>187</v>
      </c>
      <c r="K4045" s="2">
        <v>65.1691</v>
      </c>
      <c r="L4045" s="2">
        <v>206</v>
      </c>
      <c r="M4045" s="2">
        <v>87.900800000000004</v>
      </c>
      <c r="N4045" s="2">
        <v>336</v>
      </c>
      <c r="O4045" s="2">
        <v>90.745099999999994</v>
      </c>
      <c r="P4045" s="2">
        <v>322</v>
      </c>
      <c r="Q4045" s="2">
        <v>107.5886</v>
      </c>
      <c r="R4045" s="2">
        <v>314</v>
      </c>
      <c r="S4045" s="2">
        <v>112.6386</v>
      </c>
      <c r="T4045" s="2">
        <v>338</v>
      </c>
      <c r="U4045" s="2">
        <v>7.6881000000000005E-2</v>
      </c>
      <c r="V4045" s="2">
        <v>342</v>
      </c>
      <c r="W4045" s="2">
        <v>2013</v>
      </c>
    </row>
    <row r="4046" spans="1:23" ht="12.3" hidden="1" x14ac:dyDescent="0.4">
      <c r="A4046" s="2" t="s">
        <v>315</v>
      </c>
      <c r="B4046" s="2"/>
      <c r="C4046" s="2"/>
      <c r="D4046" s="2"/>
      <c r="E4046" s="2"/>
      <c r="F4046" s="2"/>
      <c r="G4046" s="2"/>
      <c r="H4046" s="2"/>
      <c r="I4046" s="2"/>
      <c r="J4046" s="2">
        <v>173</v>
      </c>
      <c r="K4046" s="2">
        <v>66.413899999999998</v>
      </c>
      <c r="L4046" s="2">
        <v>145</v>
      </c>
      <c r="M4046" s="2">
        <v>83.459400000000002</v>
      </c>
      <c r="N4046" s="2">
        <v>345</v>
      </c>
      <c r="O4046" s="2">
        <v>84.665599999999998</v>
      </c>
      <c r="P4046" s="2">
        <v>344</v>
      </c>
      <c r="Q4046" s="2">
        <v>106.3896</v>
      </c>
      <c r="R4046" s="2">
        <v>296</v>
      </c>
      <c r="S4046" s="2">
        <v>107.5941</v>
      </c>
      <c r="T4046" s="2">
        <v>294</v>
      </c>
      <c r="U4046" s="2">
        <v>5.9746E-2</v>
      </c>
      <c r="V4046" s="2">
        <v>343</v>
      </c>
      <c r="W4046" s="2">
        <v>2013</v>
      </c>
    </row>
    <row r="4047" spans="1:23" ht="12.3" hidden="1" x14ac:dyDescent="0.4">
      <c r="A4047" s="2" t="s">
        <v>183</v>
      </c>
      <c r="B4047" s="2"/>
      <c r="C4047" s="2"/>
      <c r="D4047" s="2"/>
      <c r="E4047" s="2"/>
      <c r="F4047" s="2"/>
      <c r="G4047" s="2"/>
      <c r="H4047" s="2"/>
      <c r="I4047" s="2"/>
      <c r="J4047" s="2">
        <v>9</v>
      </c>
      <c r="K4047" s="2">
        <v>70.936499999999995</v>
      </c>
      <c r="L4047" s="2">
        <v>10</v>
      </c>
      <c r="M4047" s="2">
        <v>87.203900000000004</v>
      </c>
      <c r="N4047" s="2">
        <v>339</v>
      </c>
      <c r="O4047" s="2">
        <v>86.499899999999997</v>
      </c>
      <c r="P4047" s="2">
        <v>339</v>
      </c>
      <c r="Q4047" s="2">
        <v>108.5976</v>
      </c>
      <c r="R4047" s="2">
        <v>324</v>
      </c>
      <c r="S4047" s="2">
        <v>110.3771</v>
      </c>
      <c r="T4047" s="2">
        <v>323</v>
      </c>
      <c r="U4047" s="2">
        <v>5.7149999999999999E-2</v>
      </c>
      <c r="V4047" s="2">
        <v>344</v>
      </c>
      <c r="W4047" s="2">
        <v>2013</v>
      </c>
    </row>
    <row r="4048" spans="1:23" ht="12.3" hidden="1" x14ac:dyDescent="0.4">
      <c r="A4048" s="2" t="s">
        <v>321</v>
      </c>
      <c r="B4048" s="2"/>
      <c r="C4048" s="2"/>
      <c r="D4048" s="2"/>
      <c r="E4048" s="2"/>
      <c r="F4048" s="2"/>
      <c r="G4048" s="2"/>
      <c r="H4048" s="2"/>
      <c r="I4048" s="2"/>
      <c r="J4048" s="2">
        <v>231</v>
      </c>
      <c r="K4048" s="2">
        <v>64.301699999999997</v>
      </c>
      <c r="L4048" s="2">
        <v>249</v>
      </c>
      <c r="M4048" s="2">
        <v>84.2697</v>
      </c>
      <c r="N4048" s="2">
        <v>343</v>
      </c>
      <c r="O4048" s="2">
        <v>84.881600000000006</v>
      </c>
      <c r="P4048" s="2">
        <v>343</v>
      </c>
      <c r="Q4048" s="2">
        <v>106.4365</v>
      </c>
      <c r="R4048" s="2">
        <v>297</v>
      </c>
      <c r="S4048" s="2">
        <v>108.8133</v>
      </c>
      <c r="T4048" s="2">
        <v>310</v>
      </c>
      <c r="U4048" s="2">
        <v>5.4356000000000002E-2</v>
      </c>
      <c r="V4048" s="2">
        <v>345</v>
      </c>
      <c r="W4048" s="2">
        <v>2013</v>
      </c>
    </row>
    <row r="4049" spans="1:23" ht="12.3" hidden="1" x14ac:dyDescent="0.4">
      <c r="A4049" s="2" t="s">
        <v>266</v>
      </c>
      <c r="B4049" s="2"/>
      <c r="C4049" s="2"/>
      <c r="D4049" s="2"/>
      <c r="E4049" s="2"/>
      <c r="F4049" s="2"/>
      <c r="G4049" s="2"/>
      <c r="H4049" s="2"/>
      <c r="I4049" s="2"/>
      <c r="J4049" s="2">
        <v>20</v>
      </c>
      <c r="K4049" s="2">
        <v>70.434100000000001</v>
      </c>
      <c r="L4049" s="2">
        <v>20</v>
      </c>
      <c r="M4049" s="2">
        <v>84.0398</v>
      </c>
      <c r="N4049" s="2">
        <v>344</v>
      </c>
      <c r="O4049" s="2">
        <v>84.927800000000005</v>
      </c>
      <c r="P4049" s="2">
        <v>341</v>
      </c>
      <c r="Q4049" s="2">
        <v>108.5712</v>
      </c>
      <c r="R4049" s="2">
        <v>323</v>
      </c>
      <c r="S4049" s="2">
        <v>109.5826</v>
      </c>
      <c r="T4049" s="2">
        <v>319</v>
      </c>
      <c r="U4049" s="2">
        <v>5.0638000000000002E-2</v>
      </c>
      <c r="V4049" s="2">
        <v>346</v>
      </c>
      <c r="W4049" s="2">
        <v>2013</v>
      </c>
    </row>
    <row r="4050" spans="1:23" ht="12.3" hidden="1" x14ac:dyDescent="0.4">
      <c r="A4050" s="2" t="s">
        <v>329</v>
      </c>
      <c r="B4050" s="2"/>
      <c r="C4050" s="2"/>
      <c r="D4050" s="2"/>
      <c r="E4050" s="2"/>
      <c r="F4050" s="2"/>
      <c r="G4050" s="2"/>
      <c r="H4050" s="2"/>
      <c r="I4050" s="2"/>
      <c r="J4050" s="2">
        <v>191</v>
      </c>
      <c r="K4050" s="2">
        <v>64.328199999999995</v>
      </c>
      <c r="L4050" s="2">
        <v>247</v>
      </c>
      <c r="M4050" s="2">
        <v>75.882099999999994</v>
      </c>
      <c r="N4050" s="2">
        <v>347</v>
      </c>
      <c r="O4050" s="2">
        <v>76.144300000000001</v>
      </c>
      <c r="P4050" s="2">
        <v>347</v>
      </c>
      <c r="Q4050" s="2">
        <v>116.46550000000001</v>
      </c>
      <c r="R4050" s="2">
        <v>346</v>
      </c>
      <c r="S4050" s="2">
        <v>120.6883</v>
      </c>
      <c r="T4050" s="2">
        <v>347</v>
      </c>
      <c r="U4050" s="2">
        <v>4.9829999999999996E-3</v>
      </c>
      <c r="V4050" s="2">
        <v>347</v>
      </c>
      <c r="W4050" s="2">
        <v>2013</v>
      </c>
    </row>
    <row r="4051" spans="1:23" ht="12.3" x14ac:dyDescent="0.4">
      <c r="A4051" s="2" t="s">
        <v>288</v>
      </c>
      <c r="B4051" s="2">
        <v>16</v>
      </c>
      <c r="C4051" s="3"/>
      <c r="D4051" s="3"/>
      <c r="E4051" s="3"/>
      <c r="F4051" s="4"/>
      <c r="G4051" s="4"/>
      <c r="H4051" s="4"/>
      <c r="I4051" s="2">
        <v>72.6708</v>
      </c>
      <c r="J4051" s="2">
        <v>35</v>
      </c>
      <c r="K4051" s="2">
        <v>73.357100000000003</v>
      </c>
      <c r="L4051" s="2">
        <v>21</v>
      </c>
      <c r="M4051" s="2">
        <v>100.14830000000001</v>
      </c>
      <c r="N4051" s="2">
        <v>187</v>
      </c>
      <c r="O4051" s="2">
        <v>96.287999999999997</v>
      </c>
      <c r="P4051" s="2">
        <v>254</v>
      </c>
      <c r="Q4051" s="2">
        <v>97.6678</v>
      </c>
      <c r="R4051" s="2">
        <v>84</v>
      </c>
      <c r="S4051" s="2">
        <v>103.9392</v>
      </c>
      <c r="T4051" s="2">
        <v>221</v>
      </c>
      <c r="U4051" s="2">
        <v>0.29331800000000002</v>
      </c>
      <c r="V4051" s="2">
        <v>243</v>
      </c>
      <c r="W4051" s="2">
        <v>2003</v>
      </c>
    </row>
    <row r="4052" spans="1:23" ht="12.3" x14ac:dyDescent="0.4">
      <c r="A4052" s="2" t="s">
        <v>325</v>
      </c>
      <c r="B4052" s="2">
        <v>16</v>
      </c>
      <c r="C4052" s="3"/>
      <c r="D4052" s="3"/>
      <c r="E4052" s="4"/>
      <c r="F4052" s="4"/>
      <c r="G4052" s="4"/>
      <c r="H4052" s="4"/>
      <c r="I4052" s="2">
        <v>70.805700000000002</v>
      </c>
      <c r="J4052" s="2">
        <v>81</v>
      </c>
      <c r="K4052" s="2">
        <v>69.304500000000004</v>
      </c>
      <c r="L4052" s="2">
        <v>127</v>
      </c>
      <c r="M4052" s="2">
        <v>102.1859</v>
      </c>
      <c r="N4052" s="2">
        <v>146</v>
      </c>
      <c r="O4052" s="2">
        <v>97.646699999999996</v>
      </c>
      <c r="P4052" s="2">
        <v>231</v>
      </c>
      <c r="Q4052" s="2">
        <v>99.9739</v>
      </c>
      <c r="R4052" s="2">
        <v>144</v>
      </c>
      <c r="S4052" s="2">
        <v>107.60509999999999</v>
      </c>
      <c r="T4052" s="2">
        <v>280</v>
      </c>
      <c r="U4052" s="2">
        <v>0.24660699999999999</v>
      </c>
      <c r="V4052" s="2">
        <v>262</v>
      </c>
      <c r="W4052" s="2">
        <v>2003</v>
      </c>
    </row>
    <row r="4053" spans="1:23" ht="12.3" x14ac:dyDescent="0.4">
      <c r="A4053" s="2" t="s">
        <v>281</v>
      </c>
      <c r="B4053" s="2">
        <v>16</v>
      </c>
      <c r="C4053" s="3"/>
      <c r="D4053" s="3"/>
      <c r="E4053" s="3"/>
      <c r="F4053" s="3"/>
      <c r="G4053" s="4"/>
      <c r="H4053" s="4"/>
      <c r="I4053" s="2">
        <v>69.472800000000007</v>
      </c>
      <c r="J4053" s="2">
        <v>132</v>
      </c>
      <c r="K4053" s="2">
        <v>68.939099999999996</v>
      </c>
      <c r="L4053" s="2">
        <v>141</v>
      </c>
      <c r="M4053" s="2">
        <v>100.7461</v>
      </c>
      <c r="N4053" s="2">
        <v>175</v>
      </c>
      <c r="O4053" s="2">
        <v>101.4705</v>
      </c>
      <c r="P4053" s="2">
        <v>160</v>
      </c>
      <c r="Q4053" s="2">
        <v>110.5521</v>
      </c>
      <c r="R4053" s="2">
        <v>319</v>
      </c>
      <c r="S4053" s="2">
        <v>114.05800000000001</v>
      </c>
      <c r="T4053" s="2">
        <v>319</v>
      </c>
      <c r="U4053" s="2">
        <v>0.20672199999999999</v>
      </c>
      <c r="V4053" s="2">
        <v>283</v>
      </c>
      <c r="W4053" s="2">
        <v>2003</v>
      </c>
    </row>
    <row r="4054" spans="1:23" ht="12.3" x14ac:dyDescent="0.4">
      <c r="A4054" s="2" t="s">
        <v>32</v>
      </c>
      <c r="B4054" s="2">
        <v>1</v>
      </c>
      <c r="C4054" s="25" t="s">
        <v>33</v>
      </c>
      <c r="D4054" s="25" t="s">
        <v>33</v>
      </c>
      <c r="E4054" s="2"/>
      <c r="F4054" s="2"/>
      <c r="G4054" s="2"/>
      <c r="H4054" s="2"/>
      <c r="I4054" s="2">
        <v>77.073400000000007</v>
      </c>
      <c r="J4054" s="2">
        <v>8</v>
      </c>
      <c r="K4054" s="2">
        <v>75.168499999999995</v>
      </c>
      <c r="L4054" s="2">
        <v>15</v>
      </c>
      <c r="M4054" s="2">
        <v>116.37260000000001</v>
      </c>
      <c r="N4054" s="2">
        <v>1</v>
      </c>
      <c r="O4054" s="2">
        <v>118.59990000000001</v>
      </c>
      <c r="P4054" s="2">
        <v>1</v>
      </c>
      <c r="Q4054" s="2">
        <v>90.254400000000004</v>
      </c>
      <c r="R4054" s="2">
        <v>4</v>
      </c>
      <c r="S4054" s="2">
        <v>87.750399999999999</v>
      </c>
      <c r="T4054" s="2">
        <v>2</v>
      </c>
      <c r="U4054" s="2">
        <v>0.96965999999999997</v>
      </c>
      <c r="V4054" s="2">
        <v>1</v>
      </c>
      <c r="W4054" s="2">
        <v>2002</v>
      </c>
    </row>
    <row r="4055" spans="1:23" ht="12.3" x14ac:dyDescent="0.4">
      <c r="A4055" s="2" t="s">
        <v>34</v>
      </c>
      <c r="B4055" s="2">
        <v>1</v>
      </c>
      <c r="C4055" s="25" t="s">
        <v>33</v>
      </c>
      <c r="D4055" s="2"/>
      <c r="E4055" s="2"/>
      <c r="F4055" s="2"/>
      <c r="G4055" s="2"/>
      <c r="H4055" s="2"/>
      <c r="I4055" s="2">
        <v>68.436800000000005</v>
      </c>
      <c r="J4055" s="2">
        <v>212</v>
      </c>
      <c r="K4055" s="2">
        <v>68.715199999999996</v>
      </c>
      <c r="L4055" s="2">
        <v>204</v>
      </c>
      <c r="M4055" s="2">
        <v>112.2741</v>
      </c>
      <c r="N4055" s="2">
        <v>10</v>
      </c>
      <c r="O4055" s="2">
        <v>115.7842</v>
      </c>
      <c r="P4055" s="2">
        <v>5</v>
      </c>
      <c r="Q4055" s="2">
        <v>86.392399999999995</v>
      </c>
      <c r="R4055" s="2">
        <v>1</v>
      </c>
      <c r="S4055" s="2">
        <v>88.035700000000006</v>
      </c>
      <c r="T4055" s="2">
        <v>3</v>
      </c>
      <c r="U4055" s="2">
        <v>0.95894199999999996</v>
      </c>
      <c r="V4055" s="2">
        <v>2</v>
      </c>
      <c r="W4055" s="2">
        <v>2002</v>
      </c>
    </row>
    <row r="4056" spans="1:23" ht="12.3" x14ac:dyDescent="0.4">
      <c r="A4056" s="2" t="s">
        <v>35</v>
      </c>
      <c r="B4056" s="2">
        <v>1</v>
      </c>
      <c r="C4056" s="25" t="s">
        <v>33</v>
      </c>
      <c r="D4056" s="2" t="s">
        <v>33</v>
      </c>
      <c r="E4056" s="2" t="s">
        <v>33</v>
      </c>
      <c r="F4056" s="2" t="s">
        <v>33</v>
      </c>
      <c r="G4056" s="2"/>
      <c r="H4056" s="2"/>
      <c r="I4056" s="2">
        <v>79.037099999999995</v>
      </c>
      <c r="J4056" s="2">
        <v>5</v>
      </c>
      <c r="K4056" s="2">
        <v>79.121700000000004</v>
      </c>
      <c r="L4056" s="2">
        <v>3</v>
      </c>
      <c r="M4056" s="2">
        <v>114.5438</v>
      </c>
      <c r="N4056" s="2">
        <v>4</v>
      </c>
      <c r="O4056" s="2">
        <v>115.0406</v>
      </c>
      <c r="P4056" s="2">
        <v>9</v>
      </c>
      <c r="Q4056" s="2">
        <v>94.426100000000005</v>
      </c>
      <c r="R4056" s="2">
        <v>39</v>
      </c>
      <c r="S4056" s="2">
        <v>90.539900000000003</v>
      </c>
      <c r="T4056" s="2">
        <v>10</v>
      </c>
      <c r="U4056" s="2">
        <v>0.94014900000000001</v>
      </c>
      <c r="V4056" s="2">
        <v>3</v>
      </c>
      <c r="W4056" s="2">
        <v>2002</v>
      </c>
    </row>
    <row r="4057" spans="1:23" ht="12.3" x14ac:dyDescent="0.4">
      <c r="A4057" s="2" t="s">
        <v>36</v>
      </c>
      <c r="B4057" s="2">
        <v>1</v>
      </c>
      <c r="C4057" s="2" t="s">
        <v>33</v>
      </c>
      <c r="D4057" s="2" t="s">
        <v>33</v>
      </c>
      <c r="E4057" s="2" t="s">
        <v>33</v>
      </c>
      <c r="F4057" s="2" t="s">
        <v>33</v>
      </c>
      <c r="G4057" s="2" t="s">
        <v>33</v>
      </c>
      <c r="H4057" s="2" t="s">
        <v>33</v>
      </c>
      <c r="I4057" s="2">
        <v>75.275800000000004</v>
      </c>
      <c r="J4057" s="2">
        <v>20</v>
      </c>
      <c r="K4057" s="2">
        <v>75.418000000000006</v>
      </c>
      <c r="L4057" s="2">
        <v>12</v>
      </c>
      <c r="M4057" s="2">
        <v>113.1674</v>
      </c>
      <c r="N4057" s="2">
        <v>5</v>
      </c>
      <c r="O4057" s="2">
        <v>116.2551</v>
      </c>
      <c r="P4057" s="2">
        <v>4</v>
      </c>
      <c r="Q4057" s="2">
        <v>94.370599999999996</v>
      </c>
      <c r="R4057" s="2">
        <v>36</v>
      </c>
      <c r="S4057" s="2">
        <v>91.542400000000001</v>
      </c>
      <c r="T4057" s="2">
        <v>14</v>
      </c>
      <c r="U4057" s="2">
        <v>0.93981800000000004</v>
      </c>
      <c r="V4057" s="2">
        <v>4</v>
      </c>
      <c r="W4057" s="2">
        <v>2002</v>
      </c>
    </row>
    <row r="4058" spans="1:23" ht="12.3" x14ac:dyDescent="0.4">
      <c r="A4058" s="2" t="s">
        <v>37</v>
      </c>
      <c r="B4058" s="2">
        <v>5</v>
      </c>
      <c r="C4058" s="25"/>
      <c r="D4058" s="2"/>
      <c r="E4058" s="2"/>
      <c r="F4058" s="2"/>
      <c r="G4058" s="2"/>
      <c r="H4058" s="2"/>
      <c r="I4058" s="2">
        <v>71.897099999999995</v>
      </c>
      <c r="J4058" s="2">
        <v>84</v>
      </c>
      <c r="K4058" s="2">
        <v>71.4041</v>
      </c>
      <c r="L4058" s="2">
        <v>95</v>
      </c>
      <c r="M4058" s="2">
        <v>110.4177</v>
      </c>
      <c r="N4058" s="2">
        <v>22</v>
      </c>
      <c r="O4058" s="2">
        <v>112.90689999999999</v>
      </c>
      <c r="P4058" s="2">
        <v>17</v>
      </c>
      <c r="Q4058" s="2">
        <v>91.125</v>
      </c>
      <c r="R4058" s="2">
        <v>7</v>
      </c>
      <c r="S4058" s="2">
        <v>90.428799999999995</v>
      </c>
      <c r="T4058" s="2">
        <v>8</v>
      </c>
      <c r="U4058" s="2">
        <v>0.92777600000000005</v>
      </c>
      <c r="V4058" s="2">
        <v>5</v>
      </c>
      <c r="W4058" s="2">
        <v>2002</v>
      </c>
    </row>
    <row r="4059" spans="1:23" ht="12.3" x14ac:dyDescent="0.4">
      <c r="A4059" s="2" t="s">
        <v>38</v>
      </c>
      <c r="B4059" s="2">
        <v>2</v>
      </c>
      <c r="C4059" s="25" t="s">
        <v>33</v>
      </c>
      <c r="D4059" s="2" t="s">
        <v>33</v>
      </c>
      <c r="E4059" s="2" t="s">
        <v>33</v>
      </c>
      <c r="F4059" s="2" t="s">
        <v>33</v>
      </c>
      <c r="G4059" s="2"/>
      <c r="H4059" s="2"/>
      <c r="I4059" s="2">
        <v>69.360399999999998</v>
      </c>
      <c r="J4059" s="2">
        <v>180</v>
      </c>
      <c r="K4059" s="2">
        <v>68.484399999999994</v>
      </c>
      <c r="L4059" s="2">
        <v>212</v>
      </c>
      <c r="M4059" s="2">
        <v>111.04349999999999</v>
      </c>
      <c r="N4059" s="2">
        <v>16</v>
      </c>
      <c r="O4059" s="2">
        <v>110.4555</v>
      </c>
      <c r="P4059" s="2">
        <v>31</v>
      </c>
      <c r="Q4059" s="2">
        <v>91.441299999999998</v>
      </c>
      <c r="R4059" s="2">
        <v>8</v>
      </c>
      <c r="S4059" s="2">
        <v>88.594099999999997</v>
      </c>
      <c r="T4059" s="2">
        <v>4</v>
      </c>
      <c r="U4059" s="2">
        <v>0.926647</v>
      </c>
      <c r="V4059" s="2">
        <v>6</v>
      </c>
      <c r="W4059" s="2">
        <v>2002</v>
      </c>
    </row>
    <row r="4060" spans="1:23" ht="12.3" x14ac:dyDescent="0.4">
      <c r="A4060" s="2" t="s">
        <v>39</v>
      </c>
      <c r="B4060" s="2">
        <v>5</v>
      </c>
      <c r="C4060" s="25"/>
      <c r="D4060" s="25"/>
      <c r="E4060" s="25"/>
      <c r="F4060" s="2"/>
      <c r="G4060" s="2"/>
      <c r="H4060" s="2"/>
      <c r="I4060" s="2">
        <v>67.380899999999997</v>
      </c>
      <c r="J4060" s="2">
        <v>244</v>
      </c>
      <c r="K4060" s="2">
        <v>66.346400000000003</v>
      </c>
      <c r="L4060" s="2">
        <v>275</v>
      </c>
      <c r="M4060" s="2">
        <v>108.5643</v>
      </c>
      <c r="N4060" s="2">
        <v>36</v>
      </c>
      <c r="O4060" s="2">
        <v>110.5513</v>
      </c>
      <c r="P4060" s="2">
        <v>29</v>
      </c>
      <c r="Q4060" s="2">
        <v>90.015100000000004</v>
      </c>
      <c r="R4060" s="2">
        <v>2</v>
      </c>
      <c r="S4060" s="2">
        <v>90.524699999999996</v>
      </c>
      <c r="T4060" s="2">
        <v>9</v>
      </c>
      <c r="U4060" s="2">
        <v>0.90874100000000002</v>
      </c>
      <c r="V4060" s="2">
        <v>7</v>
      </c>
      <c r="W4060" s="2">
        <v>2002</v>
      </c>
    </row>
    <row r="4061" spans="1:23" ht="12.3" x14ac:dyDescent="0.4">
      <c r="A4061" s="2" t="s">
        <v>40</v>
      </c>
      <c r="B4061" s="2">
        <v>5</v>
      </c>
      <c r="C4061" s="25" t="s">
        <v>33</v>
      </c>
      <c r="D4061" s="25" t="s">
        <v>33</v>
      </c>
      <c r="E4061" s="25" t="s">
        <v>33</v>
      </c>
      <c r="F4061" s="25" t="s">
        <v>33</v>
      </c>
      <c r="G4061" s="2" t="s">
        <v>33</v>
      </c>
      <c r="H4061" s="2"/>
      <c r="I4061" s="2">
        <v>65.744200000000006</v>
      </c>
      <c r="J4061" s="2">
        <v>285</v>
      </c>
      <c r="K4061" s="2">
        <v>66.573899999999995</v>
      </c>
      <c r="L4061" s="2">
        <v>269</v>
      </c>
      <c r="M4061" s="2">
        <v>105.3974</v>
      </c>
      <c r="N4061" s="2">
        <v>80</v>
      </c>
      <c r="O4061" s="2">
        <v>109.61360000000001</v>
      </c>
      <c r="P4061" s="2">
        <v>38</v>
      </c>
      <c r="Q4061" s="2">
        <v>94.498699999999999</v>
      </c>
      <c r="R4061" s="2">
        <v>42</v>
      </c>
      <c r="S4061" s="2">
        <v>89.922399999999996</v>
      </c>
      <c r="T4061" s="2">
        <v>6</v>
      </c>
      <c r="U4061" s="2">
        <v>0.90696900000000003</v>
      </c>
      <c r="V4061" s="2">
        <v>8</v>
      </c>
      <c r="W4061" s="2">
        <v>2002</v>
      </c>
    </row>
    <row r="4062" spans="1:23" ht="12.3" x14ac:dyDescent="0.4">
      <c r="A4062" s="2" t="s">
        <v>41</v>
      </c>
      <c r="B4062" s="2">
        <v>2</v>
      </c>
      <c r="C4062" s="2" t="s">
        <v>33</v>
      </c>
      <c r="D4062" s="2" t="s">
        <v>33</v>
      </c>
      <c r="E4062" s="2" t="s">
        <v>33</v>
      </c>
      <c r="F4062" s="2"/>
      <c r="G4062" s="2"/>
      <c r="H4062" s="2"/>
      <c r="I4062" s="2">
        <v>73.305300000000003</v>
      </c>
      <c r="J4062" s="2">
        <v>52</v>
      </c>
      <c r="K4062" s="2">
        <v>72.386799999999994</v>
      </c>
      <c r="L4062" s="2">
        <v>65</v>
      </c>
      <c r="M4062" s="2">
        <v>116.3415</v>
      </c>
      <c r="N4062" s="2">
        <v>2</v>
      </c>
      <c r="O4062" s="2">
        <v>116.6486</v>
      </c>
      <c r="P4062" s="2">
        <v>3</v>
      </c>
      <c r="Q4062" s="2">
        <v>96.866500000000002</v>
      </c>
      <c r="R4062" s="2">
        <v>75</v>
      </c>
      <c r="S4062" s="2">
        <v>95.864699999999999</v>
      </c>
      <c r="T4062" s="2">
        <v>56</v>
      </c>
      <c r="U4062" s="2">
        <v>0.90522000000000002</v>
      </c>
      <c r="V4062" s="2">
        <v>9</v>
      </c>
      <c r="W4062" s="2">
        <v>2002</v>
      </c>
    </row>
    <row r="4063" spans="1:23" ht="12.3" x14ac:dyDescent="0.4">
      <c r="A4063" s="2" t="s">
        <v>42</v>
      </c>
      <c r="B4063" s="2">
        <v>4</v>
      </c>
      <c r="C4063" s="25"/>
      <c r="D4063" s="25"/>
      <c r="E4063" s="2"/>
      <c r="F4063" s="2"/>
      <c r="G4063" s="2"/>
      <c r="H4063" s="2"/>
      <c r="I4063" s="2">
        <v>71.632800000000003</v>
      </c>
      <c r="J4063" s="2">
        <v>94</v>
      </c>
      <c r="K4063" s="2">
        <v>71.328000000000003</v>
      </c>
      <c r="L4063" s="2">
        <v>99</v>
      </c>
      <c r="M4063" s="2">
        <v>107.3489</v>
      </c>
      <c r="N4063" s="2">
        <v>51</v>
      </c>
      <c r="O4063" s="2">
        <v>110.6461</v>
      </c>
      <c r="P4063" s="2">
        <v>28</v>
      </c>
      <c r="Q4063" s="2">
        <v>95.462400000000002</v>
      </c>
      <c r="R4063" s="2">
        <v>57</v>
      </c>
      <c r="S4063" s="2">
        <v>91.103399999999993</v>
      </c>
      <c r="T4063" s="2">
        <v>12</v>
      </c>
      <c r="U4063" s="2">
        <v>0.90334300000000001</v>
      </c>
      <c r="V4063" s="2">
        <v>10</v>
      </c>
      <c r="W4063" s="2">
        <v>2002</v>
      </c>
    </row>
    <row r="4064" spans="1:23" ht="12.3" x14ac:dyDescent="0.4">
      <c r="A4064" s="2" t="s">
        <v>43</v>
      </c>
      <c r="B4064" s="2">
        <v>3</v>
      </c>
      <c r="C4064" s="25" t="s">
        <v>33</v>
      </c>
      <c r="D4064" s="25" t="s">
        <v>33</v>
      </c>
      <c r="E4064" s="25"/>
      <c r="F4064" s="2"/>
      <c r="G4064" s="2"/>
      <c r="H4064" s="2"/>
      <c r="I4064" s="2">
        <v>74.146199999999993</v>
      </c>
      <c r="J4064" s="2">
        <v>32</v>
      </c>
      <c r="K4064" s="2">
        <v>72.820700000000002</v>
      </c>
      <c r="L4064" s="2">
        <v>57</v>
      </c>
      <c r="M4064" s="2">
        <v>111.0077</v>
      </c>
      <c r="N4064" s="2">
        <v>17</v>
      </c>
      <c r="O4064" s="2">
        <v>117.3877</v>
      </c>
      <c r="P4064" s="2">
        <v>2</v>
      </c>
      <c r="Q4064" s="2">
        <v>104.0411</v>
      </c>
      <c r="R4064" s="2">
        <v>235</v>
      </c>
      <c r="S4064" s="2">
        <v>96.926199999999994</v>
      </c>
      <c r="T4064" s="2">
        <v>77</v>
      </c>
      <c r="U4064" s="2">
        <v>0.90048399999999995</v>
      </c>
      <c r="V4064" s="2">
        <v>11</v>
      </c>
      <c r="W4064" s="2">
        <v>2002</v>
      </c>
    </row>
    <row r="4065" spans="1:23" ht="12.3" x14ac:dyDescent="0.4">
      <c r="A4065" s="2" t="s">
        <v>44</v>
      </c>
      <c r="B4065" s="2">
        <v>4</v>
      </c>
      <c r="C4065" s="25" t="s">
        <v>33</v>
      </c>
      <c r="D4065" s="2" t="s">
        <v>33</v>
      </c>
      <c r="E4065" s="2"/>
      <c r="F4065" s="2"/>
      <c r="G4065" s="2"/>
      <c r="H4065" s="2"/>
      <c r="I4065" s="2">
        <v>70.396500000000003</v>
      </c>
      <c r="J4065" s="2">
        <v>139</v>
      </c>
      <c r="K4065" s="2">
        <v>70.700999999999993</v>
      </c>
      <c r="L4065" s="2">
        <v>122</v>
      </c>
      <c r="M4065" s="2">
        <v>109.6636</v>
      </c>
      <c r="N4065" s="2">
        <v>24</v>
      </c>
      <c r="O4065" s="2">
        <v>111.9148</v>
      </c>
      <c r="P4065" s="2">
        <v>21</v>
      </c>
      <c r="Q4065" s="2">
        <v>96.4559</v>
      </c>
      <c r="R4065" s="2">
        <v>69</v>
      </c>
      <c r="S4065" s="2">
        <v>92.797700000000006</v>
      </c>
      <c r="T4065" s="2">
        <v>25</v>
      </c>
      <c r="U4065" s="2">
        <v>0.89605400000000002</v>
      </c>
      <c r="V4065" s="2">
        <v>12</v>
      </c>
      <c r="W4065" s="2">
        <v>2002</v>
      </c>
    </row>
    <row r="4066" spans="1:23" ht="12.3" x14ac:dyDescent="0.4">
      <c r="A4066" s="2" t="s">
        <v>45</v>
      </c>
      <c r="B4066" s="2">
        <v>4</v>
      </c>
      <c r="C4066" s="25" t="s">
        <v>33</v>
      </c>
      <c r="D4066" s="25" t="s">
        <v>33</v>
      </c>
      <c r="E4066" s="2"/>
      <c r="F4066" s="2"/>
      <c r="G4066" s="2"/>
      <c r="H4066" s="2"/>
      <c r="I4066" s="2">
        <v>70.265900000000002</v>
      </c>
      <c r="J4066" s="2">
        <v>145</v>
      </c>
      <c r="K4066" s="2">
        <v>69.344499999999996</v>
      </c>
      <c r="L4066" s="2">
        <v>176</v>
      </c>
      <c r="M4066" s="2">
        <v>105.2773</v>
      </c>
      <c r="N4066" s="2">
        <v>85</v>
      </c>
      <c r="O4066" s="2">
        <v>109.82559999999999</v>
      </c>
      <c r="P4066" s="2">
        <v>35</v>
      </c>
      <c r="Q4066" s="2">
        <v>94.988100000000003</v>
      </c>
      <c r="R4066" s="2">
        <v>49</v>
      </c>
      <c r="S4066" s="2">
        <v>91.1143</v>
      </c>
      <c r="T4066" s="2">
        <v>13</v>
      </c>
      <c r="U4066" s="2">
        <v>0.895478</v>
      </c>
      <c r="V4066" s="2">
        <v>13</v>
      </c>
      <c r="W4066" s="2">
        <v>2002</v>
      </c>
    </row>
    <row r="4067" spans="1:23" ht="12.3" x14ac:dyDescent="0.4">
      <c r="A4067" s="2" t="s">
        <v>46</v>
      </c>
      <c r="B4067" s="2">
        <v>3</v>
      </c>
      <c r="C4067" s="25" t="s">
        <v>33</v>
      </c>
      <c r="D4067" s="25" t="s">
        <v>33</v>
      </c>
      <c r="E4067" s="25"/>
      <c r="F4067" s="25"/>
      <c r="G4067" s="25"/>
      <c r="H4067" s="2"/>
      <c r="I4067" s="2">
        <v>66.500699999999995</v>
      </c>
      <c r="J4067" s="2">
        <v>268</v>
      </c>
      <c r="K4067" s="2">
        <v>65.677499999999995</v>
      </c>
      <c r="L4067" s="2">
        <v>288</v>
      </c>
      <c r="M4067" s="2">
        <v>107.3403</v>
      </c>
      <c r="N4067" s="2">
        <v>52</v>
      </c>
      <c r="O4067" s="2">
        <v>110.25700000000001</v>
      </c>
      <c r="P4067" s="2">
        <v>32</v>
      </c>
      <c r="Q4067" s="2">
        <v>90.144199999999998</v>
      </c>
      <c r="R4067" s="2">
        <v>3</v>
      </c>
      <c r="S4067" s="2">
        <v>91.654700000000005</v>
      </c>
      <c r="T4067" s="2">
        <v>17</v>
      </c>
      <c r="U4067" s="2">
        <v>0.89331300000000002</v>
      </c>
      <c r="V4067" s="2">
        <v>14</v>
      </c>
      <c r="W4067" s="2">
        <v>2002</v>
      </c>
    </row>
    <row r="4068" spans="1:23" ht="12.3" x14ac:dyDescent="0.4">
      <c r="A4068" s="2" t="s">
        <v>47</v>
      </c>
      <c r="B4068" s="2">
        <v>6</v>
      </c>
      <c r="C4068" s="25"/>
      <c r="D4068" s="2"/>
      <c r="E4068" s="2"/>
      <c r="F4068" s="2"/>
      <c r="G4068" s="2"/>
      <c r="H4068" s="2"/>
      <c r="I4068" s="2">
        <v>70.977999999999994</v>
      </c>
      <c r="J4068" s="2">
        <v>114</v>
      </c>
      <c r="K4068" s="2">
        <v>70.175799999999995</v>
      </c>
      <c r="L4068" s="2">
        <v>149</v>
      </c>
      <c r="M4068" s="2">
        <v>112.7484</v>
      </c>
      <c r="N4068" s="2">
        <v>7</v>
      </c>
      <c r="O4068" s="2">
        <v>115.1777</v>
      </c>
      <c r="P4068" s="2">
        <v>8</v>
      </c>
      <c r="Q4068" s="2">
        <v>93.661600000000007</v>
      </c>
      <c r="R4068" s="2">
        <v>28</v>
      </c>
      <c r="S4068" s="2">
        <v>96.341499999999996</v>
      </c>
      <c r="T4068" s="2">
        <v>63</v>
      </c>
      <c r="U4068" s="2">
        <v>0.88631400000000005</v>
      </c>
      <c r="V4068" s="2">
        <v>15</v>
      </c>
      <c r="W4068" s="2">
        <v>2002</v>
      </c>
    </row>
    <row r="4069" spans="1:23" ht="12.3" x14ac:dyDescent="0.4">
      <c r="A4069" s="2" t="s">
        <v>21</v>
      </c>
      <c r="B4069" s="2">
        <v>4</v>
      </c>
      <c r="C4069" s="2" t="s">
        <v>33</v>
      </c>
      <c r="D4069" s="2"/>
      <c r="E4069" s="2"/>
      <c r="F4069" s="2"/>
      <c r="G4069" s="2"/>
      <c r="H4069" s="2"/>
      <c r="I4069" s="2">
        <v>66.378200000000007</v>
      </c>
      <c r="J4069" s="2">
        <v>274</v>
      </c>
      <c r="K4069" s="2">
        <v>68.186199999999999</v>
      </c>
      <c r="L4069" s="2">
        <v>218</v>
      </c>
      <c r="M4069" s="2">
        <v>111.3386</v>
      </c>
      <c r="N4069" s="2">
        <v>15</v>
      </c>
      <c r="O4069" s="2">
        <v>115.5508</v>
      </c>
      <c r="P4069" s="2">
        <v>7</v>
      </c>
      <c r="Q4069" s="2">
        <v>96.574799999999996</v>
      </c>
      <c r="R4069" s="2">
        <v>71</v>
      </c>
      <c r="S4069" s="2">
        <v>96.731800000000007</v>
      </c>
      <c r="T4069" s="2">
        <v>71</v>
      </c>
      <c r="U4069" s="2">
        <v>0.88537399999999999</v>
      </c>
      <c r="V4069" s="2">
        <v>16</v>
      </c>
      <c r="W4069" s="2">
        <v>2002</v>
      </c>
    </row>
    <row r="4070" spans="1:23" ht="12.3" x14ac:dyDescent="0.4">
      <c r="A4070" s="2" t="s">
        <v>48</v>
      </c>
      <c r="B4070" s="2">
        <v>3</v>
      </c>
      <c r="C4070" s="25" t="s">
        <v>33</v>
      </c>
      <c r="D4070" s="2"/>
      <c r="E4070" s="2"/>
      <c r="F4070" s="2"/>
      <c r="G4070" s="2"/>
      <c r="H4070" s="2"/>
      <c r="I4070" s="2">
        <v>70.012299999999996</v>
      </c>
      <c r="J4070" s="2">
        <v>159</v>
      </c>
      <c r="K4070" s="2">
        <v>69.238699999999994</v>
      </c>
      <c r="L4070" s="2">
        <v>182</v>
      </c>
      <c r="M4070" s="2">
        <v>104.5274</v>
      </c>
      <c r="N4070" s="2">
        <v>99</v>
      </c>
      <c r="O4070" s="2">
        <v>109.3856</v>
      </c>
      <c r="P4070" s="2">
        <v>39</v>
      </c>
      <c r="Q4070" s="2">
        <v>94.726699999999994</v>
      </c>
      <c r="R4070" s="2">
        <v>46</v>
      </c>
      <c r="S4070" s="2">
        <v>91.629400000000004</v>
      </c>
      <c r="T4070" s="2">
        <v>16</v>
      </c>
      <c r="U4070" s="2">
        <v>0.88462399999999997</v>
      </c>
      <c r="V4070" s="2">
        <v>17</v>
      </c>
      <c r="W4070" s="2">
        <v>2002</v>
      </c>
    </row>
    <row r="4071" spans="1:23" ht="12.3" x14ac:dyDescent="0.4">
      <c r="A4071" s="2" t="s">
        <v>49</v>
      </c>
      <c r="B4071" s="2">
        <v>2</v>
      </c>
      <c r="C4071" s="25" t="s">
        <v>33</v>
      </c>
      <c r="D4071" s="25"/>
      <c r="E4071" s="2"/>
      <c r="F4071" s="2"/>
      <c r="G4071" s="2"/>
      <c r="H4071" s="2"/>
      <c r="I4071" s="2">
        <v>69.863600000000005</v>
      </c>
      <c r="J4071" s="2">
        <v>167</v>
      </c>
      <c r="K4071" s="2">
        <v>69.900099999999995</v>
      </c>
      <c r="L4071" s="2">
        <v>159</v>
      </c>
      <c r="M4071" s="2">
        <v>108.4361</v>
      </c>
      <c r="N4071" s="2">
        <v>40</v>
      </c>
      <c r="O4071" s="2">
        <v>111.4954</v>
      </c>
      <c r="P4071" s="2">
        <v>24</v>
      </c>
      <c r="Q4071" s="2">
        <v>95.231300000000005</v>
      </c>
      <c r="R4071" s="2">
        <v>55</v>
      </c>
      <c r="S4071" s="2">
        <v>93.876999999999995</v>
      </c>
      <c r="T4071" s="2">
        <v>31</v>
      </c>
      <c r="U4071" s="2">
        <v>0.87846400000000002</v>
      </c>
      <c r="V4071" s="2">
        <v>18</v>
      </c>
      <c r="W4071" s="2">
        <v>2002</v>
      </c>
    </row>
    <row r="4072" spans="1:23" ht="12.3" x14ac:dyDescent="0.4">
      <c r="A4072" s="2" t="s">
        <v>50</v>
      </c>
      <c r="B4072" s="2">
        <v>7</v>
      </c>
      <c r="C4072" s="2" t="s">
        <v>33</v>
      </c>
      <c r="D4072" s="2"/>
      <c r="E4072" s="2"/>
      <c r="F4072" s="2"/>
      <c r="G4072" s="2"/>
      <c r="H4072" s="2"/>
      <c r="I4072" s="2">
        <v>66.829800000000006</v>
      </c>
      <c r="J4072" s="2">
        <v>259</v>
      </c>
      <c r="K4072" s="2">
        <v>68.028199999999998</v>
      </c>
      <c r="L4072" s="2">
        <v>223</v>
      </c>
      <c r="M4072" s="2">
        <v>108.3514</v>
      </c>
      <c r="N4072" s="2">
        <v>42</v>
      </c>
      <c r="O4072" s="2">
        <v>109.11790000000001</v>
      </c>
      <c r="P4072" s="2">
        <v>41</v>
      </c>
      <c r="Q4072" s="2">
        <v>93.248199999999997</v>
      </c>
      <c r="R4072" s="2">
        <v>22</v>
      </c>
      <c r="S4072" s="2">
        <v>92.009</v>
      </c>
      <c r="T4072" s="2">
        <v>20</v>
      </c>
      <c r="U4072" s="2">
        <v>0.87666599999999995</v>
      </c>
      <c r="V4072" s="2">
        <v>19</v>
      </c>
      <c r="W4072" s="2">
        <v>2002</v>
      </c>
    </row>
    <row r="4073" spans="1:23" ht="12.3" x14ac:dyDescent="0.4">
      <c r="A4073" s="2" t="s">
        <v>51</v>
      </c>
      <c r="B4073" s="2">
        <v>9</v>
      </c>
      <c r="C4073" s="25"/>
      <c r="D4073" s="25"/>
      <c r="E4073" s="2"/>
      <c r="F4073" s="2"/>
      <c r="G4073" s="2"/>
      <c r="H4073" s="2"/>
      <c r="I4073" s="2">
        <v>66.966999999999999</v>
      </c>
      <c r="J4073" s="2">
        <v>253</v>
      </c>
      <c r="K4073" s="2">
        <v>66.487799999999993</v>
      </c>
      <c r="L4073" s="2">
        <v>271</v>
      </c>
      <c r="M4073" s="2">
        <v>107.7291</v>
      </c>
      <c r="N4073" s="2">
        <v>45</v>
      </c>
      <c r="O4073" s="2">
        <v>112.3212</v>
      </c>
      <c r="P4073" s="2">
        <v>20</v>
      </c>
      <c r="Q4073" s="2">
        <v>95.626499999999993</v>
      </c>
      <c r="R4073" s="2">
        <v>59</v>
      </c>
      <c r="S4073" s="2">
        <v>94.857699999999994</v>
      </c>
      <c r="T4073" s="2">
        <v>42</v>
      </c>
      <c r="U4073" s="2">
        <v>0.87471600000000005</v>
      </c>
      <c r="V4073" s="2">
        <v>20</v>
      </c>
      <c r="W4073" s="2">
        <v>2002</v>
      </c>
    </row>
    <row r="4074" spans="1:23" ht="12.3" x14ac:dyDescent="0.4">
      <c r="A4074" s="2" t="s">
        <v>52</v>
      </c>
      <c r="B4074" s="2">
        <v>8</v>
      </c>
      <c r="C4074" s="2" t="s">
        <v>33</v>
      </c>
      <c r="D4074" s="2"/>
      <c r="E4074" s="2"/>
      <c r="F4074" s="2"/>
      <c r="G4074" s="2"/>
      <c r="H4074" s="2"/>
      <c r="I4074" s="2">
        <v>71.435500000000005</v>
      </c>
      <c r="J4074" s="2">
        <v>101</v>
      </c>
      <c r="K4074" s="2">
        <v>71.239800000000002</v>
      </c>
      <c r="L4074" s="2">
        <v>105</v>
      </c>
      <c r="M4074" s="2">
        <v>112.5213</v>
      </c>
      <c r="N4074" s="2">
        <v>9</v>
      </c>
      <c r="O4074" s="2">
        <v>113.95780000000001</v>
      </c>
      <c r="P4074" s="2">
        <v>11</v>
      </c>
      <c r="Q4074" s="2">
        <v>99.801000000000002</v>
      </c>
      <c r="R4074" s="2">
        <v>142</v>
      </c>
      <c r="S4074" s="2">
        <v>96.312200000000004</v>
      </c>
      <c r="T4074" s="2">
        <v>62</v>
      </c>
      <c r="U4074" s="2">
        <v>0.87376799999999999</v>
      </c>
      <c r="V4074" s="2">
        <v>21</v>
      </c>
      <c r="W4074" s="2">
        <v>2002</v>
      </c>
    </row>
    <row r="4075" spans="1:23" ht="12.3" x14ac:dyDescent="0.4">
      <c r="A4075" s="2" t="s">
        <v>19</v>
      </c>
      <c r="B4075" s="2">
        <v>3</v>
      </c>
      <c r="C4075" s="25" t="s">
        <v>33</v>
      </c>
      <c r="D4075" s="25"/>
      <c r="E4075" s="25"/>
      <c r="F4075" s="25"/>
      <c r="G4075" s="25"/>
      <c r="H4075" s="25"/>
      <c r="I4075" s="2">
        <v>70.678600000000003</v>
      </c>
      <c r="J4075" s="2">
        <v>129</v>
      </c>
      <c r="K4075" s="2">
        <v>70.960400000000007</v>
      </c>
      <c r="L4075" s="2">
        <v>114</v>
      </c>
      <c r="M4075" s="2">
        <v>108.4477</v>
      </c>
      <c r="N4075" s="2">
        <v>38</v>
      </c>
      <c r="O4075" s="2">
        <v>114.569</v>
      </c>
      <c r="P4075" s="2">
        <v>10</v>
      </c>
      <c r="Q4075" s="2">
        <v>100.5115</v>
      </c>
      <c r="R4075" s="2">
        <v>160</v>
      </c>
      <c r="S4075" s="2">
        <v>96.926299999999998</v>
      </c>
      <c r="T4075" s="2">
        <v>78</v>
      </c>
      <c r="U4075" s="2">
        <v>0.87248400000000004</v>
      </c>
      <c r="V4075" s="2">
        <v>23</v>
      </c>
      <c r="W4075" s="2">
        <v>2002</v>
      </c>
    </row>
    <row r="4076" spans="1:23" ht="12.3" x14ac:dyDescent="0.4">
      <c r="A4076" s="2" t="s">
        <v>53</v>
      </c>
      <c r="B4076" s="2">
        <v>10</v>
      </c>
      <c r="C4076" s="25" t="s">
        <v>33</v>
      </c>
      <c r="D4076" s="2" t="s">
        <v>33</v>
      </c>
      <c r="E4076" s="2" t="s">
        <v>33</v>
      </c>
      <c r="F4076" s="2"/>
      <c r="G4076" s="2"/>
      <c r="H4076" s="2"/>
      <c r="I4076" s="2">
        <v>65.414500000000004</v>
      </c>
      <c r="J4076" s="2">
        <v>288</v>
      </c>
      <c r="K4076" s="2">
        <v>66.165800000000004</v>
      </c>
      <c r="L4076" s="2">
        <v>279</v>
      </c>
      <c r="M4076" s="2">
        <v>115.7547</v>
      </c>
      <c r="N4076" s="2">
        <v>3</v>
      </c>
      <c r="O4076" s="2">
        <v>113.6686</v>
      </c>
      <c r="P4076" s="2">
        <v>14</v>
      </c>
      <c r="Q4076" s="2">
        <v>96.708399999999997</v>
      </c>
      <c r="R4076" s="2">
        <v>73</v>
      </c>
      <c r="S4076" s="2">
        <v>96.200999999999993</v>
      </c>
      <c r="T4076" s="2">
        <v>60</v>
      </c>
      <c r="U4076" s="2">
        <v>0.87199800000000005</v>
      </c>
      <c r="V4076" s="2">
        <v>24</v>
      </c>
      <c r="W4076" s="2">
        <v>2002</v>
      </c>
    </row>
    <row r="4077" spans="1:23" ht="12.3" x14ac:dyDescent="0.4">
      <c r="A4077" s="2" t="s">
        <v>54</v>
      </c>
      <c r="B4077" s="2">
        <v>2</v>
      </c>
      <c r="C4077" s="2"/>
      <c r="D4077" s="2"/>
      <c r="E4077" s="2"/>
      <c r="F4077" s="2"/>
      <c r="G4077" s="2"/>
      <c r="H4077" s="2"/>
      <c r="I4077" s="2">
        <v>71.860500000000002</v>
      </c>
      <c r="J4077" s="2">
        <v>87</v>
      </c>
      <c r="K4077" s="2">
        <v>70.345600000000005</v>
      </c>
      <c r="L4077" s="2">
        <v>138</v>
      </c>
      <c r="M4077" s="2">
        <v>106.1949</v>
      </c>
      <c r="N4077" s="2">
        <v>64</v>
      </c>
      <c r="O4077" s="2">
        <v>108.1906</v>
      </c>
      <c r="P4077" s="2">
        <v>53</v>
      </c>
      <c r="Q4077" s="2">
        <v>93.642899999999997</v>
      </c>
      <c r="R4077" s="2">
        <v>27</v>
      </c>
      <c r="S4077" s="2">
        <v>91.594800000000006</v>
      </c>
      <c r="T4077" s="2">
        <v>15</v>
      </c>
      <c r="U4077" s="2">
        <v>0.87157700000000005</v>
      </c>
      <c r="V4077" s="2">
        <v>25</v>
      </c>
      <c r="W4077" s="2">
        <v>2002</v>
      </c>
    </row>
    <row r="4078" spans="1:23" ht="12.3" x14ac:dyDescent="0.4">
      <c r="A4078" s="2" t="s">
        <v>55</v>
      </c>
      <c r="B4078" s="2">
        <v>7</v>
      </c>
      <c r="C4078" s="2" t="s">
        <v>33</v>
      </c>
      <c r="D4078" s="2"/>
      <c r="E4078" s="2"/>
      <c r="F4078" s="2"/>
      <c r="G4078" s="2"/>
      <c r="H4078" s="2"/>
      <c r="I4078" s="2">
        <v>69.905900000000003</v>
      </c>
      <c r="J4078" s="2">
        <v>166</v>
      </c>
      <c r="K4078" s="2">
        <v>68.809399999999997</v>
      </c>
      <c r="L4078" s="2">
        <v>201</v>
      </c>
      <c r="M4078" s="2">
        <v>108.3939</v>
      </c>
      <c r="N4078" s="2">
        <v>41</v>
      </c>
      <c r="O4078" s="2">
        <v>109.9085</v>
      </c>
      <c r="P4078" s="2">
        <v>34</v>
      </c>
      <c r="Q4078" s="2">
        <v>96.700299999999999</v>
      </c>
      <c r="R4078" s="2">
        <v>72</v>
      </c>
      <c r="S4078" s="2">
        <v>93.574600000000004</v>
      </c>
      <c r="T4078" s="2">
        <v>29</v>
      </c>
      <c r="U4078" s="2">
        <v>0.86415399999999998</v>
      </c>
      <c r="V4078" s="2">
        <v>26</v>
      </c>
      <c r="W4078" s="2">
        <v>2002</v>
      </c>
    </row>
    <row r="4079" spans="1:23" ht="12.3" x14ac:dyDescent="0.4">
      <c r="A4079" s="2" t="s">
        <v>56</v>
      </c>
      <c r="B4079" s="2">
        <v>8</v>
      </c>
      <c r="C4079" s="2" t="s">
        <v>33</v>
      </c>
      <c r="D4079" s="2"/>
      <c r="E4079" s="2"/>
      <c r="F4079" s="2"/>
      <c r="G4079" s="2"/>
      <c r="H4079" s="2"/>
      <c r="I4079" s="2">
        <v>70.369299999999996</v>
      </c>
      <c r="J4079" s="2">
        <v>140</v>
      </c>
      <c r="K4079" s="2">
        <v>70.129900000000006</v>
      </c>
      <c r="L4079" s="2">
        <v>150</v>
      </c>
      <c r="M4079" s="2">
        <v>109</v>
      </c>
      <c r="N4079" s="2">
        <v>31</v>
      </c>
      <c r="O4079" s="2">
        <v>113.8693</v>
      </c>
      <c r="P4079" s="2">
        <v>12</v>
      </c>
      <c r="Q4079" s="2">
        <v>95.823499999999996</v>
      </c>
      <c r="R4079" s="2">
        <v>60</v>
      </c>
      <c r="S4079" s="2">
        <v>97.334199999999996</v>
      </c>
      <c r="T4079" s="2">
        <v>83</v>
      </c>
      <c r="U4079" s="2">
        <v>0.85867899999999997</v>
      </c>
      <c r="V4079" s="2">
        <v>27</v>
      </c>
      <c r="W4079" s="2">
        <v>2002</v>
      </c>
    </row>
    <row r="4080" spans="1:23" ht="12.3" x14ac:dyDescent="0.4">
      <c r="A4080" s="2" t="s">
        <v>57</v>
      </c>
      <c r="B4080" s="2">
        <v>6</v>
      </c>
      <c r="C4080" s="25" t="s">
        <v>33</v>
      </c>
      <c r="D4080" s="2"/>
      <c r="E4080" s="2"/>
      <c r="F4080" s="2"/>
      <c r="G4080" s="2"/>
      <c r="H4080" s="2"/>
      <c r="I4080" s="2">
        <v>68.944500000000005</v>
      </c>
      <c r="J4080" s="2">
        <v>191</v>
      </c>
      <c r="K4080" s="2">
        <v>68.008399999999995</v>
      </c>
      <c r="L4080" s="2">
        <v>224</v>
      </c>
      <c r="M4080" s="2">
        <v>104.0471</v>
      </c>
      <c r="N4080" s="2">
        <v>107</v>
      </c>
      <c r="O4080" s="2">
        <v>108.42140000000001</v>
      </c>
      <c r="P4080" s="2">
        <v>49</v>
      </c>
      <c r="Q4080" s="2">
        <v>94.989699999999999</v>
      </c>
      <c r="R4080" s="2">
        <v>50</v>
      </c>
      <c r="S4080" s="2">
        <v>93.091300000000004</v>
      </c>
      <c r="T4080" s="2">
        <v>26</v>
      </c>
      <c r="U4080" s="2">
        <v>0.85234500000000002</v>
      </c>
      <c r="V4080" s="2">
        <v>28</v>
      </c>
      <c r="W4080" s="2">
        <v>2002</v>
      </c>
    </row>
    <row r="4081" spans="1:23" ht="12.3" x14ac:dyDescent="0.4">
      <c r="A4081" s="2" t="s">
        <v>58</v>
      </c>
      <c r="B4081" s="2">
        <v>10</v>
      </c>
      <c r="C4081" s="25"/>
      <c r="D4081" s="25"/>
      <c r="E4081" s="2"/>
      <c r="F4081" s="2"/>
      <c r="G4081" s="2"/>
      <c r="H4081" s="2"/>
      <c r="I4081" s="2">
        <v>64.841300000000004</v>
      </c>
      <c r="J4081" s="2">
        <v>297</v>
      </c>
      <c r="K4081" s="2">
        <v>64.561800000000005</v>
      </c>
      <c r="L4081" s="2">
        <v>302</v>
      </c>
      <c r="M4081" s="2">
        <v>107.5694</v>
      </c>
      <c r="N4081" s="2">
        <v>47</v>
      </c>
      <c r="O4081" s="2">
        <v>111.2209</v>
      </c>
      <c r="P4081" s="2">
        <v>25</v>
      </c>
      <c r="Q4081" s="2">
        <v>98.523300000000006</v>
      </c>
      <c r="R4081" s="2">
        <v>102</v>
      </c>
      <c r="S4081" s="2">
        <v>95.861500000000007</v>
      </c>
      <c r="T4081" s="2">
        <v>55</v>
      </c>
      <c r="U4081" s="2">
        <v>0.84671399999999997</v>
      </c>
      <c r="V4081" s="2">
        <v>30</v>
      </c>
      <c r="W4081" s="2">
        <v>2002</v>
      </c>
    </row>
    <row r="4082" spans="1:23" ht="12.3" hidden="1" x14ac:dyDescent="0.4">
      <c r="A4082" s="2" t="s">
        <v>140</v>
      </c>
      <c r="B4082" s="2"/>
      <c r="C4082" s="2"/>
      <c r="D4082" s="2"/>
      <c r="E4082" s="2"/>
      <c r="F4082" s="2"/>
      <c r="G4082" s="2"/>
      <c r="H4082" s="2"/>
      <c r="I4082" s="2">
        <v>66.5535</v>
      </c>
      <c r="J4082" s="2">
        <v>168</v>
      </c>
      <c r="K4082" s="2">
        <v>66.466099999999997</v>
      </c>
      <c r="L4082" s="2">
        <v>168</v>
      </c>
      <c r="M4082" s="2">
        <v>107.2576</v>
      </c>
      <c r="N4082" s="2">
        <v>109</v>
      </c>
      <c r="O4082" s="2">
        <v>108.34050000000001</v>
      </c>
      <c r="P4082" s="2">
        <v>96</v>
      </c>
      <c r="Q4082" s="2">
        <v>93.513300000000001</v>
      </c>
      <c r="R4082" s="2">
        <v>14</v>
      </c>
      <c r="S4082" s="2">
        <v>93.455699999999993</v>
      </c>
      <c r="T4082" s="2">
        <v>12</v>
      </c>
      <c r="U4082" s="2">
        <v>0.84548100000000004</v>
      </c>
      <c r="V4082" s="2">
        <v>32</v>
      </c>
      <c r="W4082" s="2">
        <v>2014</v>
      </c>
    </row>
    <row r="4083" spans="1:23" ht="12.3" x14ac:dyDescent="0.4">
      <c r="A4083" s="2" t="s">
        <v>59</v>
      </c>
      <c r="B4083" s="2">
        <v>6</v>
      </c>
      <c r="C4083" s="25"/>
      <c r="D4083" s="2"/>
      <c r="E4083" s="2"/>
      <c r="F4083" s="2"/>
      <c r="G4083" s="2"/>
      <c r="H4083" s="2"/>
      <c r="I4083" s="2">
        <v>72.547700000000006</v>
      </c>
      <c r="J4083" s="2">
        <v>68</v>
      </c>
      <c r="K4083" s="2">
        <v>71.367900000000006</v>
      </c>
      <c r="L4083" s="2">
        <v>97</v>
      </c>
      <c r="M4083" s="2">
        <v>109.0757</v>
      </c>
      <c r="N4083" s="2">
        <v>30</v>
      </c>
      <c r="O4083" s="2">
        <v>112.4064</v>
      </c>
      <c r="P4083" s="2">
        <v>18</v>
      </c>
      <c r="Q4083" s="2">
        <v>97.725200000000001</v>
      </c>
      <c r="R4083" s="2">
        <v>89</v>
      </c>
      <c r="S4083" s="2">
        <v>96.971100000000007</v>
      </c>
      <c r="T4083" s="2">
        <v>79</v>
      </c>
      <c r="U4083" s="2">
        <v>0.845356</v>
      </c>
      <c r="V4083" s="2">
        <v>31</v>
      </c>
      <c r="W4083" s="2">
        <v>2002</v>
      </c>
    </row>
    <row r="4084" spans="1:23" ht="12.3" x14ac:dyDescent="0.4">
      <c r="A4084" s="2" t="s">
        <v>60</v>
      </c>
      <c r="B4084" s="2">
        <v>5</v>
      </c>
      <c r="C4084" s="25"/>
      <c r="D4084" s="2"/>
      <c r="E4084" s="2"/>
      <c r="F4084" s="2"/>
      <c r="G4084" s="2"/>
      <c r="H4084" s="2"/>
      <c r="I4084" s="2">
        <v>70.537499999999994</v>
      </c>
      <c r="J4084" s="2">
        <v>134</v>
      </c>
      <c r="K4084" s="2">
        <v>70.287599999999998</v>
      </c>
      <c r="L4084" s="2">
        <v>143</v>
      </c>
      <c r="M4084" s="2">
        <v>104.5566</v>
      </c>
      <c r="N4084" s="2">
        <v>97</v>
      </c>
      <c r="O4084" s="2">
        <v>108.28619999999999</v>
      </c>
      <c r="P4084" s="2">
        <v>51</v>
      </c>
      <c r="Q4084" s="2">
        <v>93.076999999999998</v>
      </c>
      <c r="R4084" s="2">
        <v>20</v>
      </c>
      <c r="S4084" s="2">
        <v>93.516900000000007</v>
      </c>
      <c r="T4084" s="2">
        <v>28</v>
      </c>
      <c r="U4084" s="2">
        <v>0.84373900000000002</v>
      </c>
      <c r="V4084" s="2">
        <v>32</v>
      </c>
      <c r="W4084" s="2">
        <v>2002</v>
      </c>
    </row>
    <row r="4085" spans="1:23" ht="12.3" hidden="1" x14ac:dyDescent="0.4">
      <c r="A4085" s="2" t="s">
        <v>94</v>
      </c>
      <c r="B4085" s="2"/>
      <c r="C4085" s="2"/>
      <c r="D4085" s="2"/>
      <c r="E4085" s="2"/>
      <c r="F4085" s="2"/>
      <c r="G4085" s="2"/>
      <c r="H4085" s="2"/>
      <c r="I4085" s="2">
        <v>71.823700000000002</v>
      </c>
      <c r="J4085" s="2">
        <v>14</v>
      </c>
      <c r="K4085" s="2">
        <v>70.593299999999999</v>
      </c>
      <c r="L4085" s="2">
        <v>23</v>
      </c>
      <c r="M4085" s="2">
        <v>110.9631</v>
      </c>
      <c r="N4085" s="2">
        <v>48</v>
      </c>
      <c r="O4085" s="2">
        <v>108.7033</v>
      </c>
      <c r="P4085" s="2">
        <v>92</v>
      </c>
      <c r="Q4085" s="2">
        <v>90.910799999999995</v>
      </c>
      <c r="R4085" s="2">
        <v>5</v>
      </c>
      <c r="S4085" s="2">
        <v>95.248900000000006</v>
      </c>
      <c r="T4085" s="2">
        <v>23</v>
      </c>
      <c r="U4085" s="2">
        <v>0.82046200000000002</v>
      </c>
      <c r="V4085" s="2">
        <v>35</v>
      </c>
      <c r="W4085" s="2">
        <v>2014</v>
      </c>
    </row>
    <row r="4086" spans="1:23" ht="12.3" hidden="1" x14ac:dyDescent="0.4">
      <c r="A4086" s="2" t="s">
        <v>70</v>
      </c>
      <c r="B4086" s="2"/>
      <c r="C4086" s="2"/>
      <c r="D4086" s="2"/>
      <c r="E4086" s="2"/>
      <c r="F4086" s="2"/>
      <c r="G4086" s="2"/>
      <c r="H4086" s="2"/>
      <c r="I4086" s="2">
        <v>65.754199999999997</v>
      </c>
      <c r="J4086" s="2">
        <v>213</v>
      </c>
      <c r="K4086" s="2">
        <v>64.921400000000006</v>
      </c>
      <c r="L4086" s="2">
        <v>250</v>
      </c>
      <c r="M4086" s="2">
        <v>108.39870000000001</v>
      </c>
      <c r="N4086" s="2">
        <v>83</v>
      </c>
      <c r="O4086" s="2">
        <v>110.1259</v>
      </c>
      <c r="P4086" s="2">
        <v>69</v>
      </c>
      <c r="Q4086" s="2">
        <v>98.550799999999995</v>
      </c>
      <c r="R4086" s="2">
        <v>52</v>
      </c>
      <c r="S4086" s="2">
        <v>96.622799999999998</v>
      </c>
      <c r="T4086" s="2">
        <v>41</v>
      </c>
      <c r="U4086" s="2">
        <v>0.81821600000000005</v>
      </c>
      <c r="V4086" s="2">
        <v>36</v>
      </c>
      <c r="W4086" s="2">
        <v>2014</v>
      </c>
    </row>
    <row r="4087" spans="1:23" ht="12.3" x14ac:dyDescent="0.4">
      <c r="A4087" s="2" t="s">
        <v>61</v>
      </c>
      <c r="B4087" s="2">
        <v>7</v>
      </c>
      <c r="C4087" s="25" t="s">
        <v>33</v>
      </c>
      <c r="D4087" s="25"/>
      <c r="E4087" s="2"/>
      <c r="F4087" s="2"/>
      <c r="G4087" s="2"/>
      <c r="H4087" s="2"/>
      <c r="I4087" s="2">
        <v>73.207499999999996</v>
      </c>
      <c r="J4087" s="2">
        <v>53</v>
      </c>
      <c r="K4087" s="2">
        <v>71.524100000000004</v>
      </c>
      <c r="L4087" s="2">
        <v>90</v>
      </c>
      <c r="M4087" s="2">
        <v>110.63120000000001</v>
      </c>
      <c r="N4087" s="2">
        <v>20</v>
      </c>
      <c r="O4087" s="2">
        <v>115.7479</v>
      </c>
      <c r="P4087" s="2">
        <v>6</v>
      </c>
      <c r="Q4087" s="2">
        <v>103.9414</v>
      </c>
      <c r="R4087" s="2">
        <v>234</v>
      </c>
      <c r="S4087" s="2">
        <v>100.3366</v>
      </c>
      <c r="T4087" s="2">
        <v>151</v>
      </c>
      <c r="U4087" s="2">
        <v>0.83796599999999999</v>
      </c>
      <c r="V4087" s="2">
        <v>33</v>
      </c>
      <c r="W4087" s="2">
        <v>2002</v>
      </c>
    </row>
    <row r="4088" spans="1:23" ht="12.3" hidden="1" x14ac:dyDescent="0.4">
      <c r="A4088" s="2" t="s">
        <v>102</v>
      </c>
      <c r="B4088" s="2"/>
      <c r="C4088" s="2"/>
      <c r="D4088" s="2"/>
      <c r="E4088" s="2"/>
      <c r="F4088" s="2"/>
      <c r="G4088" s="2"/>
      <c r="H4088" s="2"/>
      <c r="I4088" s="2">
        <v>67.134699999999995</v>
      </c>
      <c r="J4088" s="2">
        <v>140</v>
      </c>
      <c r="K4088" s="2">
        <v>68.144800000000004</v>
      </c>
      <c r="L4088" s="2">
        <v>86</v>
      </c>
      <c r="M4088" s="2">
        <v>106.14019999999999</v>
      </c>
      <c r="N4088" s="2">
        <v>142</v>
      </c>
      <c r="O4088" s="2">
        <v>107.5556</v>
      </c>
      <c r="P4088" s="2">
        <v>115</v>
      </c>
      <c r="Q4088" s="2">
        <v>97.7333</v>
      </c>
      <c r="R4088" s="2">
        <v>40</v>
      </c>
      <c r="S4088" s="2">
        <v>94.474999999999994</v>
      </c>
      <c r="T4088" s="2">
        <v>21</v>
      </c>
      <c r="U4088" s="2">
        <v>0.81626399999999999</v>
      </c>
      <c r="V4088" s="2">
        <v>38</v>
      </c>
      <c r="W4088" s="2">
        <v>2014</v>
      </c>
    </row>
    <row r="4089" spans="1:23" ht="12.3" x14ac:dyDescent="0.4">
      <c r="A4089" s="2" t="s">
        <v>63</v>
      </c>
      <c r="B4089" s="2">
        <v>9</v>
      </c>
      <c r="C4089" s="25"/>
      <c r="D4089" s="2"/>
      <c r="E4089" s="2"/>
      <c r="F4089" s="2"/>
      <c r="G4089" s="2"/>
      <c r="H4089" s="2"/>
      <c r="I4089" s="2">
        <v>68.468199999999996</v>
      </c>
      <c r="J4089" s="2">
        <v>211</v>
      </c>
      <c r="K4089" s="2">
        <v>68.493600000000001</v>
      </c>
      <c r="L4089" s="2">
        <v>211</v>
      </c>
      <c r="M4089" s="2">
        <v>107.2881</v>
      </c>
      <c r="N4089" s="2">
        <v>53</v>
      </c>
      <c r="O4089" s="2">
        <v>111.8788</v>
      </c>
      <c r="P4089" s="2">
        <v>22</v>
      </c>
      <c r="Q4089" s="2">
        <v>99.058000000000007</v>
      </c>
      <c r="R4089" s="2">
        <v>117</v>
      </c>
      <c r="S4089" s="2">
        <v>97.390100000000004</v>
      </c>
      <c r="T4089" s="2">
        <v>84</v>
      </c>
      <c r="U4089" s="2">
        <v>0.83131200000000005</v>
      </c>
      <c r="V4089" s="2">
        <v>35</v>
      </c>
      <c r="W4089" s="2">
        <v>2002</v>
      </c>
    </row>
    <row r="4090" spans="1:23" ht="12.3" x14ac:dyDescent="0.4">
      <c r="A4090" s="2" t="s">
        <v>65</v>
      </c>
      <c r="B4090" s="2">
        <v>8</v>
      </c>
      <c r="C4090" s="2" t="s">
        <v>33</v>
      </c>
      <c r="D4090" s="2" t="s">
        <v>33</v>
      </c>
      <c r="E4090" s="2"/>
      <c r="F4090" s="2"/>
      <c r="G4090" s="2"/>
      <c r="H4090" s="2"/>
      <c r="I4090" s="2">
        <v>69.504999999999995</v>
      </c>
      <c r="J4090" s="2">
        <v>177</v>
      </c>
      <c r="K4090" s="2">
        <v>68.532700000000006</v>
      </c>
      <c r="L4090" s="2">
        <v>209</v>
      </c>
      <c r="M4090" s="2">
        <v>106.244</v>
      </c>
      <c r="N4090" s="2">
        <v>63</v>
      </c>
      <c r="O4090" s="2">
        <v>110.6811</v>
      </c>
      <c r="P4090" s="2">
        <v>27</v>
      </c>
      <c r="Q4090" s="2">
        <v>102.9371</v>
      </c>
      <c r="R4090" s="2">
        <v>211</v>
      </c>
      <c r="S4090" s="2">
        <v>96.745099999999994</v>
      </c>
      <c r="T4090" s="2">
        <v>72</v>
      </c>
      <c r="U4090" s="2">
        <v>0.82456600000000002</v>
      </c>
      <c r="V4090" s="2">
        <v>37</v>
      </c>
      <c r="W4090" s="2">
        <v>2002</v>
      </c>
    </row>
    <row r="4091" spans="1:23" ht="12.3" hidden="1" x14ac:dyDescent="0.4">
      <c r="A4091" s="2" t="s">
        <v>20</v>
      </c>
      <c r="B4091" s="2"/>
      <c r="C4091" s="2"/>
      <c r="D4091" s="2"/>
      <c r="E4091" s="2"/>
      <c r="F4091" s="2"/>
      <c r="G4091" s="2"/>
      <c r="H4091" s="2"/>
      <c r="I4091" s="2">
        <v>65.9238</v>
      </c>
      <c r="J4091" s="2">
        <v>206</v>
      </c>
      <c r="K4091" s="2">
        <v>66.612499999999997</v>
      </c>
      <c r="L4091" s="2">
        <v>165</v>
      </c>
      <c r="M4091" s="2">
        <v>106.3278</v>
      </c>
      <c r="N4091" s="2">
        <v>135</v>
      </c>
      <c r="O4091" s="2">
        <v>111.6427</v>
      </c>
      <c r="P4091" s="2">
        <v>46</v>
      </c>
      <c r="Q4091" s="2">
        <v>100.25149999999999</v>
      </c>
      <c r="R4091" s="2">
        <v>81</v>
      </c>
      <c r="S4091" s="2">
        <v>98.438800000000001</v>
      </c>
      <c r="T4091" s="2">
        <v>56</v>
      </c>
      <c r="U4091" s="2">
        <v>0.80961099999999997</v>
      </c>
      <c r="V4091" s="2">
        <v>41</v>
      </c>
      <c r="W4091" s="2">
        <v>2014</v>
      </c>
    </row>
    <row r="4092" spans="1:23" ht="12.3" x14ac:dyDescent="0.4">
      <c r="A4092" s="2" t="s">
        <v>66</v>
      </c>
      <c r="B4092" s="2">
        <v>10</v>
      </c>
      <c r="C4092" s="2"/>
      <c r="D4092" s="2"/>
      <c r="E4092" s="2"/>
      <c r="F4092" s="2"/>
      <c r="G4092" s="2"/>
      <c r="H4092" s="2"/>
      <c r="I4092" s="2">
        <v>67.032300000000006</v>
      </c>
      <c r="J4092" s="2">
        <v>251</v>
      </c>
      <c r="K4092" s="2">
        <v>66.894300000000001</v>
      </c>
      <c r="L4092" s="2">
        <v>256</v>
      </c>
      <c r="M4092" s="2">
        <v>108.4417</v>
      </c>
      <c r="N4092" s="2">
        <v>39</v>
      </c>
      <c r="O4092" s="2">
        <v>110.4563</v>
      </c>
      <c r="P4092" s="2">
        <v>30</v>
      </c>
      <c r="Q4092" s="2">
        <v>94.634500000000003</v>
      </c>
      <c r="R4092" s="2">
        <v>44</v>
      </c>
      <c r="S4092" s="2">
        <v>96.625900000000001</v>
      </c>
      <c r="T4092" s="2">
        <v>65</v>
      </c>
      <c r="U4092" s="2">
        <v>0.82323000000000002</v>
      </c>
      <c r="V4092" s="2">
        <v>38</v>
      </c>
      <c r="W4092" s="2">
        <v>2002</v>
      </c>
    </row>
    <row r="4093" spans="1:23" ht="12.3" hidden="1" x14ac:dyDescent="0.4">
      <c r="A4093" s="2" t="s">
        <v>36</v>
      </c>
      <c r="B4093" s="2"/>
      <c r="C4093" s="2"/>
      <c r="D4093" s="2"/>
      <c r="E4093" s="2"/>
      <c r="F4093" s="2"/>
      <c r="G4093" s="2"/>
      <c r="H4093" s="2"/>
      <c r="I4093" s="2">
        <v>67.712999999999994</v>
      </c>
      <c r="J4093" s="2">
        <v>115</v>
      </c>
      <c r="K4093" s="2">
        <v>69.156000000000006</v>
      </c>
      <c r="L4093" s="2">
        <v>55</v>
      </c>
      <c r="M4093" s="2">
        <v>103.75060000000001</v>
      </c>
      <c r="N4093" s="2">
        <v>194</v>
      </c>
      <c r="O4093" s="2">
        <v>107.8867</v>
      </c>
      <c r="P4093" s="2">
        <v>108</v>
      </c>
      <c r="Q4093" s="2">
        <v>98.655699999999996</v>
      </c>
      <c r="R4093" s="2">
        <v>56</v>
      </c>
      <c r="S4093" s="2">
        <v>95.404499999999999</v>
      </c>
      <c r="T4093" s="2">
        <v>24</v>
      </c>
      <c r="U4093" s="2">
        <v>0.80439499999999997</v>
      </c>
      <c r="V4093" s="2">
        <v>43</v>
      </c>
      <c r="W4093" s="2">
        <v>2014</v>
      </c>
    </row>
    <row r="4094" spans="1:23" ht="12.3" x14ac:dyDescent="0.4">
      <c r="A4094" s="2" t="s">
        <v>67</v>
      </c>
      <c r="B4094" s="2">
        <v>6</v>
      </c>
      <c r="C4094" s="2" t="s">
        <v>33</v>
      </c>
      <c r="D4094" s="2" t="s">
        <v>33</v>
      </c>
      <c r="E4094" s="2"/>
      <c r="F4094" s="2"/>
      <c r="G4094" s="2"/>
      <c r="H4094" s="2"/>
      <c r="I4094" s="2">
        <v>70.785499999999999</v>
      </c>
      <c r="J4094" s="2">
        <v>125</v>
      </c>
      <c r="K4094" s="2">
        <v>70.620699999999999</v>
      </c>
      <c r="L4094" s="2">
        <v>126</v>
      </c>
      <c r="M4094" s="2">
        <v>109.8999</v>
      </c>
      <c r="N4094" s="2">
        <v>23</v>
      </c>
      <c r="O4094" s="2">
        <v>113.6185</v>
      </c>
      <c r="P4094" s="2">
        <v>15</v>
      </c>
      <c r="Q4094" s="2">
        <v>102.73439999999999</v>
      </c>
      <c r="R4094" s="2">
        <v>204</v>
      </c>
      <c r="S4094" s="2">
        <v>99.437299999999993</v>
      </c>
      <c r="T4094" s="2">
        <v>129</v>
      </c>
      <c r="U4094" s="2">
        <v>0.82246900000000001</v>
      </c>
      <c r="V4094" s="2">
        <v>39</v>
      </c>
      <c r="W4094" s="2">
        <v>2002</v>
      </c>
    </row>
    <row r="4095" spans="1:23" ht="12.3" x14ac:dyDescent="0.4">
      <c r="A4095" s="2" t="s">
        <v>68</v>
      </c>
      <c r="B4095" s="2">
        <v>9</v>
      </c>
      <c r="C4095" s="25"/>
      <c r="D4095" s="2"/>
      <c r="E4095" s="2"/>
      <c r="F4095" s="2"/>
      <c r="G4095" s="2"/>
      <c r="H4095" s="2"/>
      <c r="I4095" s="2">
        <v>69.028099999999995</v>
      </c>
      <c r="J4095" s="2">
        <v>188</v>
      </c>
      <c r="K4095" s="2">
        <v>69.006699999999995</v>
      </c>
      <c r="L4095" s="2">
        <v>190</v>
      </c>
      <c r="M4095" s="2">
        <v>109.1221</v>
      </c>
      <c r="N4095" s="2">
        <v>29</v>
      </c>
      <c r="O4095" s="2">
        <v>107.45610000000001</v>
      </c>
      <c r="P4095" s="2">
        <v>64</v>
      </c>
      <c r="Q4095" s="2">
        <v>92.5488</v>
      </c>
      <c r="R4095" s="2">
        <v>16</v>
      </c>
      <c r="S4095" s="2">
        <v>94.334999999999994</v>
      </c>
      <c r="T4095" s="2">
        <v>35</v>
      </c>
      <c r="U4095" s="2">
        <v>0.81722300000000003</v>
      </c>
      <c r="V4095" s="2">
        <v>40</v>
      </c>
      <c r="W4095" s="2">
        <v>2002</v>
      </c>
    </row>
    <row r="4096" spans="1:23" ht="12.3" x14ac:dyDescent="0.4">
      <c r="A4096" s="2" t="s">
        <v>69</v>
      </c>
      <c r="B4096" s="2">
        <v>12</v>
      </c>
      <c r="C4096" s="2" t="s">
        <v>33</v>
      </c>
      <c r="D4096" s="2"/>
      <c r="E4096" s="2"/>
      <c r="F4096" s="2"/>
      <c r="G4096" s="2"/>
      <c r="H4096" s="2"/>
      <c r="I4096" s="2">
        <v>71.355500000000006</v>
      </c>
      <c r="J4096" s="2">
        <v>104</v>
      </c>
      <c r="K4096" s="2">
        <v>71.284999999999997</v>
      </c>
      <c r="L4096" s="2">
        <v>102</v>
      </c>
      <c r="M4096" s="2">
        <v>112.0819</v>
      </c>
      <c r="N4096" s="2">
        <v>12</v>
      </c>
      <c r="O4096" s="2">
        <v>111.68</v>
      </c>
      <c r="P4096" s="2">
        <v>23</v>
      </c>
      <c r="Q4096" s="2">
        <v>96.535399999999996</v>
      </c>
      <c r="R4096" s="2">
        <v>70</v>
      </c>
      <c r="S4096" s="2">
        <v>98.070700000000002</v>
      </c>
      <c r="T4096" s="2">
        <v>94</v>
      </c>
      <c r="U4096" s="2">
        <v>0.81674000000000002</v>
      </c>
      <c r="V4096" s="2">
        <v>41</v>
      </c>
      <c r="W4096" s="2">
        <v>2002</v>
      </c>
    </row>
    <row r="4097" spans="1:23" ht="12.3" x14ac:dyDescent="0.4">
      <c r="A4097" s="2" t="s">
        <v>70</v>
      </c>
      <c r="B4097" s="2">
        <v>12</v>
      </c>
      <c r="C4097" s="2"/>
      <c r="D4097" s="2"/>
      <c r="E4097" s="2"/>
      <c r="F4097" s="2"/>
      <c r="G4097" s="2"/>
      <c r="H4097" s="2"/>
      <c r="I4097" s="2">
        <v>62.618099999999998</v>
      </c>
      <c r="J4097" s="2">
        <v>316</v>
      </c>
      <c r="K4097" s="2">
        <v>63.354700000000001</v>
      </c>
      <c r="L4097" s="2">
        <v>317</v>
      </c>
      <c r="M4097" s="2">
        <v>107.7123</v>
      </c>
      <c r="N4097" s="2">
        <v>46</v>
      </c>
      <c r="O4097" s="2">
        <v>108.62309999999999</v>
      </c>
      <c r="P4097" s="2">
        <v>44</v>
      </c>
      <c r="Q4097" s="2">
        <v>97.431799999999996</v>
      </c>
      <c r="R4097" s="2">
        <v>81</v>
      </c>
      <c r="S4097" s="2">
        <v>95.645899999999997</v>
      </c>
      <c r="T4097" s="2">
        <v>49</v>
      </c>
      <c r="U4097" s="2">
        <v>0.81201500000000004</v>
      </c>
      <c r="V4097" s="2">
        <v>42</v>
      </c>
      <c r="W4097" s="2">
        <v>2002</v>
      </c>
    </row>
    <row r="4098" spans="1:23" ht="12.3" x14ac:dyDescent="0.4">
      <c r="A4098" s="2" t="s">
        <v>72</v>
      </c>
      <c r="B4098" s="2">
        <v>7</v>
      </c>
      <c r="C4098" s="2"/>
      <c r="D4098" s="2"/>
      <c r="E4098" s="2"/>
      <c r="F4098" s="2"/>
      <c r="G4098" s="2"/>
      <c r="H4098" s="2"/>
      <c r="I4098" s="2">
        <v>68.880099999999999</v>
      </c>
      <c r="J4098" s="2">
        <v>194</v>
      </c>
      <c r="K4098" s="2">
        <v>67.384900000000002</v>
      </c>
      <c r="L4098" s="2">
        <v>241</v>
      </c>
      <c r="M4098" s="2">
        <v>103.93470000000001</v>
      </c>
      <c r="N4098" s="2">
        <v>111</v>
      </c>
      <c r="O4098" s="2">
        <v>104.227</v>
      </c>
      <c r="P4098" s="2">
        <v>102</v>
      </c>
      <c r="Q4098" s="2">
        <v>92.809700000000007</v>
      </c>
      <c r="R4098" s="2">
        <v>18</v>
      </c>
      <c r="S4098" s="2">
        <v>91.898799999999994</v>
      </c>
      <c r="T4098" s="2">
        <v>19</v>
      </c>
      <c r="U4098" s="2">
        <v>0.80963700000000005</v>
      </c>
      <c r="V4098" s="2">
        <v>44</v>
      </c>
      <c r="W4098" s="2">
        <v>2002</v>
      </c>
    </row>
    <row r="4099" spans="1:23" ht="12.3" x14ac:dyDescent="0.4">
      <c r="A4099" s="2" t="s">
        <v>73</v>
      </c>
      <c r="B4099" s="2">
        <v>12</v>
      </c>
      <c r="C4099" s="2" t="s">
        <v>33</v>
      </c>
      <c r="D4099" s="2" t="s">
        <v>33</v>
      </c>
      <c r="E4099" s="2" t="s">
        <v>33</v>
      </c>
      <c r="F4099" s="2"/>
      <c r="G4099" s="2"/>
      <c r="H4099" s="2"/>
      <c r="I4099" s="2">
        <v>70.757800000000003</v>
      </c>
      <c r="J4099" s="2">
        <v>127</v>
      </c>
      <c r="K4099" s="2">
        <v>70.588899999999995</v>
      </c>
      <c r="L4099" s="2">
        <v>127</v>
      </c>
      <c r="M4099" s="2">
        <v>112.71599999999999</v>
      </c>
      <c r="N4099" s="2">
        <v>8</v>
      </c>
      <c r="O4099" s="2">
        <v>112.3241</v>
      </c>
      <c r="P4099" s="2">
        <v>19</v>
      </c>
      <c r="Q4099" s="2">
        <v>101.992</v>
      </c>
      <c r="R4099" s="2">
        <v>185</v>
      </c>
      <c r="S4099" s="2">
        <v>99.091899999999995</v>
      </c>
      <c r="T4099" s="2">
        <v>115</v>
      </c>
      <c r="U4099" s="2">
        <v>0.808674</v>
      </c>
      <c r="V4099" s="2">
        <v>45</v>
      </c>
      <c r="W4099" s="2">
        <v>2002</v>
      </c>
    </row>
    <row r="4100" spans="1:23" ht="12.3" x14ac:dyDescent="0.4">
      <c r="A4100" s="2" t="s">
        <v>74</v>
      </c>
      <c r="B4100" s="2">
        <v>13</v>
      </c>
      <c r="C4100" s="2"/>
      <c r="D4100" s="2"/>
      <c r="E4100" s="2"/>
      <c r="F4100" s="2"/>
      <c r="G4100" s="2"/>
      <c r="H4100" s="2"/>
      <c r="I4100" s="2">
        <v>69.909199999999998</v>
      </c>
      <c r="J4100" s="2">
        <v>165</v>
      </c>
      <c r="K4100" s="2">
        <v>70.216800000000006</v>
      </c>
      <c r="L4100" s="2">
        <v>147</v>
      </c>
      <c r="M4100" s="2">
        <v>110.5689</v>
      </c>
      <c r="N4100" s="2">
        <v>21</v>
      </c>
      <c r="O4100" s="2">
        <v>109.2741</v>
      </c>
      <c r="P4100" s="2">
        <v>40</v>
      </c>
      <c r="Q4100" s="2">
        <v>94.066800000000001</v>
      </c>
      <c r="R4100" s="2">
        <v>30</v>
      </c>
      <c r="S4100" s="2">
        <v>96.788399999999996</v>
      </c>
      <c r="T4100" s="2">
        <v>76</v>
      </c>
      <c r="U4100" s="2">
        <v>0.80144099999999996</v>
      </c>
      <c r="V4100" s="2">
        <v>46</v>
      </c>
      <c r="W4100" s="2">
        <v>2002</v>
      </c>
    </row>
    <row r="4101" spans="1:23" ht="12.3" hidden="1" x14ac:dyDescent="0.4">
      <c r="A4101" s="2" t="s">
        <v>24</v>
      </c>
      <c r="B4101" s="2"/>
      <c r="C4101" s="2"/>
      <c r="D4101" s="2"/>
      <c r="E4101" s="2"/>
      <c r="F4101" s="2"/>
      <c r="G4101" s="2"/>
      <c r="H4101" s="2"/>
      <c r="I4101" s="2">
        <v>59.698500000000003</v>
      </c>
      <c r="J4101" s="2">
        <v>349</v>
      </c>
      <c r="K4101" s="2">
        <v>59.829900000000002</v>
      </c>
      <c r="L4101" s="2">
        <v>349</v>
      </c>
      <c r="M4101" s="2">
        <v>103.7396</v>
      </c>
      <c r="N4101" s="2">
        <v>195</v>
      </c>
      <c r="O4101" s="2">
        <v>105.65860000000001</v>
      </c>
      <c r="P4101" s="2">
        <v>149</v>
      </c>
      <c r="Q4101" s="2">
        <v>95.1999</v>
      </c>
      <c r="R4101" s="2">
        <v>18</v>
      </c>
      <c r="S4101" s="2">
        <v>94.341700000000003</v>
      </c>
      <c r="T4101" s="2">
        <v>20</v>
      </c>
      <c r="U4101" s="2">
        <v>0.78631200000000001</v>
      </c>
      <c r="V4101" s="2">
        <v>51</v>
      </c>
      <c r="W4101" s="2">
        <v>2014</v>
      </c>
    </row>
    <row r="4102" spans="1:23" ht="12.3" x14ac:dyDescent="0.4">
      <c r="A4102" s="2" t="s">
        <v>76</v>
      </c>
      <c r="B4102" s="2">
        <v>8</v>
      </c>
      <c r="C4102" s="2" t="s">
        <v>33</v>
      </c>
      <c r="D4102" s="2"/>
      <c r="E4102" s="2"/>
      <c r="F4102" s="2"/>
      <c r="G4102" s="2"/>
      <c r="H4102" s="2"/>
      <c r="I4102" s="2">
        <v>63.801600000000001</v>
      </c>
      <c r="J4102" s="2">
        <v>310</v>
      </c>
      <c r="K4102" s="2">
        <v>64.6828</v>
      </c>
      <c r="L4102" s="2">
        <v>300</v>
      </c>
      <c r="M4102" s="2">
        <v>103.0291</v>
      </c>
      <c r="N4102" s="2">
        <v>124</v>
      </c>
      <c r="O4102" s="2">
        <v>107.4935</v>
      </c>
      <c r="P4102" s="2">
        <v>63</v>
      </c>
      <c r="Q4102" s="2">
        <v>100.3758</v>
      </c>
      <c r="R4102" s="2">
        <v>153</v>
      </c>
      <c r="S4102" s="2">
        <v>95.442499999999995</v>
      </c>
      <c r="T4102" s="2">
        <v>48</v>
      </c>
      <c r="U4102" s="2">
        <v>0.79696299999999998</v>
      </c>
      <c r="V4102" s="2">
        <v>48</v>
      </c>
      <c r="W4102" s="2">
        <v>2002</v>
      </c>
    </row>
    <row r="4103" spans="1:23" ht="12.3" x14ac:dyDescent="0.4">
      <c r="A4103" s="2" t="s">
        <v>77</v>
      </c>
      <c r="B4103" s="2">
        <v>11</v>
      </c>
      <c r="C4103" s="25"/>
      <c r="D4103" s="25"/>
      <c r="E4103" s="25"/>
      <c r="F4103" s="2"/>
      <c r="G4103" s="2"/>
      <c r="H4103" s="2"/>
      <c r="I4103" s="2">
        <v>65.672799999999995</v>
      </c>
      <c r="J4103" s="2">
        <v>286</v>
      </c>
      <c r="K4103" s="2">
        <v>66.893000000000001</v>
      </c>
      <c r="L4103" s="2">
        <v>257</v>
      </c>
      <c r="M4103" s="2">
        <v>109.5414</v>
      </c>
      <c r="N4103" s="2">
        <v>27</v>
      </c>
      <c r="O4103" s="2">
        <v>106.9622</v>
      </c>
      <c r="P4103" s="2">
        <v>71</v>
      </c>
      <c r="Q4103" s="2">
        <v>94.223399999999998</v>
      </c>
      <c r="R4103" s="2">
        <v>32</v>
      </c>
      <c r="S4103" s="2">
        <v>95.191500000000005</v>
      </c>
      <c r="T4103" s="2">
        <v>44</v>
      </c>
      <c r="U4103" s="2">
        <v>0.79260900000000001</v>
      </c>
      <c r="V4103" s="2">
        <v>49</v>
      </c>
      <c r="W4103" s="2">
        <v>2002</v>
      </c>
    </row>
    <row r="4104" spans="1:23" ht="12.3" hidden="1" x14ac:dyDescent="0.4">
      <c r="A4104" s="2" t="s">
        <v>62</v>
      </c>
      <c r="B4104" s="2"/>
      <c r="C4104" s="2"/>
      <c r="D4104" s="2"/>
      <c r="E4104" s="2"/>
      <c r="F4104" s="2"/>
      <c r="G4104" s="2"/>
      <c r="H4104" s="2"/>
      <c r="I4104" s="2">
        <v>64.811300000000003</v>
      </c>
      <c r="J4104" s="2">
        <v>255</v>
      </c>
      <c r="K4104" s="2">
        <v>64.369</v>
      </c>
      <c r="L4104" s="2">
        <v>274</v>
      </c>
      <c r="M4104" s="2">
        <v>107.69540000000001</v>
      </c>
      <c r="N4104" s="2">
        <v>99</v>
      </c>
      <c r="O4104" s="2">
        <v>111.4025</v>
      </c>
      <c r="P4104" s="2">
        <v>51</v>
      </c>
      <c r="Q4104" s="2">
        <v>103.37739999999999</v>
      </c>
      <c r="R4104" s="2">
        <v>134</v>
      </c>
      <c r="S4104" s="2">
        <v>100.17059999999999</v>
      </c>
      <c r="T4104" s="2">
        <v>77</v>
      </c>
      <c r="U4104" s="2">
        <v>0.77244400000000002</v>
      </c>
      <c r="V4104" s="2">
        <v>54</v>
      </c>
      <c r="W4104" s="2">
        <v>2014</v>
      </c>
    </row>
    <row r="4105" spans="1:23" ht="12.3" x14ac:dyDescent="0.4">
      <c r="A4105" s="2" t="s">
        <v>79</v>
      </c>
      <c r="B4105" s="2">
        <v>10</v>
      </c>
      <c r="C4105" s="25"/>
      <c r="D4105" s="2"/>
      <c r="E4105" s="2"/>
      <c r="F4105" s="2"/>
      <c r="G4105" s="2"/>
      <c r="H4105" s="2"/>
      <c r="I4105" s="2">
        <v>74.144499999999994</v>
      </c>
      <c r="J4105" s="2">
        <v>33</v>
      </c>
      <c r="K4105" s="2">
        <v>74.116299999999995</v>
      </c>
      <c r="L4105" s="2">
        <v>30</v>
      </c>
      <c r="M4105" s="2">
        <v>107.0549</v>
      </c>
      <c r="N4105" s="2">
        <v>59</v>
      </c>
      <c r="O4105" s="2">
        <v>108.5752</v>
      </c>
      <c r="P4105" s="2">
        <v>47</v>
      </c>
      <c r="Q4105" s="2">
        <v>99.043300000000002</v>
      </c>
      <c r="R4105" s="2">
        <v>116</v>
      </c>
      <c r="S4105" s="2">
        <v>96.780699999999996</v>
      </c>
      <c r="T4105" s="2">
        <v>75</v>
      </c>
      <c r="U4105" s="2">
        <v>0.78958700000000004</v>
      </c>
      <c r="V4105" s="2">
        <v>51</v>
      </c>
      <c r="W4105" s="2">
        <v>2002</v>
      </c>
    </row>
    <row r="4106" spans="1:23" ht="12.3" hidden="1" x14ac:dyDescent="0.4">
      <c r="A4106" s="2" t="s">
        <v>44</v>
      </c>
      <c r="B4106" s="2"/>
      <c r="C4106" s="2"/>
      <c r="D4106" s="2"/>
      <c r="E4106" s="2"/>
      <c r="F4106" s="2"/>
      <c r="G4106" s="2"/>
      <c r="H4106" s="2"/>
      <c r="I4106" s="2">
        <v>62.901899999999998</v>
      </c>
      <c r="J4106" s="2">
        <v>330</v>
      </c>
      <c r="K4106" s="2">
        <v>62.619700000000002</v>
      </c>
      <c r="L4106" s="2">
        <v>329</v>
      </c>
      <c r="M4106" s="2">
        <v>102.254</v>
      </c>
      <c r="N4106" s="2">
        <v>227</v>
      </c>
      <c r="O4106" s="2">
        <v>104.0478</v>
      </c>
      <c r="P4106" s="2">
        <v>181</v>
      </c>
      <c r="Q4106" s="2">
        <v>98.763900000000007</v>
      </c>
      <c r="R4106" s="2">
        <v>58</v>
      </c>
      <c r="S4106" s="2">
        <v>93.738600000000005</v>
      </c>
      <c r="T4106" s="2">
        <v>15</v>
      </c>
      <c r="U4106" s="2">
        <v>0.76851000000000003</v>
      </c>
      <c r="V4106" s="2">
        <v>56</v>
      </c>
      <c r="W4106" s="2">
        <v>2014</v>
      </c>
    </row>
    <row r="4107" spans="1:23" ht="12.3" hidden="1" x14ac:dyDescent="0.4">
      <c r="A4107" s="2" t="s">
        <v>75</v>
      </c>
      <c r="B4107" s="2"/>
      <c r="C4107" s="2"/>
      <c r="D4107" s="2"/>
      <c r="E4107" s="2"/>
      <c r="F4107" s="2"/>
      <c r="G4107" s="2"/>
      <c r="H4107" s="2"/>
      <c r="I4107" s="2">
        <v>64.538899999999998</v>
      </c>
      <c r="J4107" s="2">
        <v>274</v>
      </c>
      <c r="K4107" s="2">
        <v>64.664699999999996</v>
      </c>
      <c r="L4107" s="2">
        <v>263</v>
      </c>
      <c r="M4107" s="2">
        <v>108.07040000000001</v>
      </c>
      <c r="N4107" s="2">
        <v>91</v>
      </c>
      <c r="O4107" s="2">
        <v>111.402</v>
      </c>
      <c r="P4107" s="2">
        <v>52</v>
      </c>
      <c r="Q4107" s="2">
        <v>103.4327</v>
      </c>
      <c r="R4107" s="2">
        <v>136</v>
      </c>
      <c r="S4107" s="2">
        <v>100.4586</v>
      </c>
      <c r="T4107" s="2">
        <v>87</v>
      </c>
      <c r="U4107" s="2">
        <v>0.76658099999999996</v>
      </c>
      <c r="V4107" s="2">
        <v>57</v>
      </c>
      <c r="W4107" s="2">
        <v>2014</v>
      </c>
    </row>
    <row r="4108" spans="1:23" ht="12.3" hidden="1" x14ac:dyDescent="0.4">
      <c r="A4108" s="2" t="s">
        <v>80</v>
      </c>
      <c r="B4108" s="2"/>
      <c r="C4108" s="2"/>
      <c r="D4108" s="2"/>
      <c r="E4108" s="2"/>
      <c r="F4108" s="2"/>
      <c r="G4108" s="2"/>
      <c r="H4108" s="2"/>
      <c r="I4108" s="2">
        <v>72.241600000000005</v>
      </c>
      <c r="J4108" s="2">
        <v>9</v>
      </c>
      <c r="K4108" s="2">
        <v>72.588399999999993</v>
      </c>
      <c r="L4108" s="2">
        <v>6</v>
      </c>
      <c r="M4108" s="2">
        <v>109.0997</v>
      </c>
      <c r="N4108" s="2">
        <v>71</v>
      </c>
      <c r="O4108" s="2">
        <v>109.34310000000001</v>
      </c>
      <c r="P4108" s="2">
        <v>82</v>
      </c>
      <c r="Q4108" s="2">
        <v>97.479100000000003</v>
      </c>
      <c r="R4108" s="2">
        <v>37</v>
      </c>
      <c r="S4108" s="2">
        <v>98.654499999999999</v>
      </c>
      <c r="T4108" s="2">
        <v>58</v>
      </c>
      <c r="U4108" s="2">
        <v>0.76548000000000005</v>
      </c>
      <c r="V4108" s="2">
        <v>58</v>
      </c>
      <c r="W4108" s="2">
        <v>2014</v>
      </c>
    </row>
    <row r="4109" spans="1:23" ht="12.3" x14ac:dyDescent="0.4">
      <c r="A4109" s="2" t="s">
        <v>82</v>
      </c>
      <c r="B4109" s="2">
        <v>11</v>
      </c>
      <c r="C4109" s="25" t="s">
        <v>33</v>
      </c>
      <c r="D4109" s="2" t="s">
        <v>33</v>
      </c>
      <c r="E4109" s="2"/>
      <c r="F4109" s="2"/>
      <c r="G4109" s="2"/>
      <c r="H4109" s="2"/>
      <c r="I4109" s="2">
        <v>70.926900000000003</v>
      </c>
      <c r="J4109" s="2">
        <v>118</v>
      </c>
      <c r="K4109" s="2">
        <v>73.073499999999996</v>
      </c>
      <c r="L4109" s="2">
        <v>50</v>
      </c>
      <c r="M4109" s="2">
        <v>107.0924</v>
      </c>
      <c r="N4109" s="2">
        <v>58</v>
      </c>
      <c r="O4109" s="2">
        <v>105.45699999999999</v>
      </c>
      <c r="P4109" s="2">
        <v>86</v>
      </c>
      <c r="Q4109" s="2">
        <v>94.309899999999999</v>
      </c>
      <c r="R4109" s="2">
        <v>34</v>
      </c>
      <c r="S4109" s="2">
        <v>94.661600000000007</v>
      </c>
      <c r="T4109" s="2">
        <v>38</v>
      </c>
      <c r="U4109" s="2">
        <v>0.77590000000000003</v>
      </c>
      <c r="V4109" s="2">
        <v>54</v>
      </c>
      <c r="W4109" s="2">
        <v>2002</v>
      </c>
    </row>
    <row r="4110" spans="1:23" ht="12.3" hidden="1" x14ac:dyDescent="0.4">
      <c r="A4110" s="2" t="s">
        <v>152</v>
      </c>
      <c r="B4110" s="2"/>
      <c r="C4110" s="2"/>
      <c r="D4110" s="2"/>
      <c r="E4110" s="2"/>
      <c r="F4110" s="2"/>
      <c r="G4110" s="2"/>
      <c r="H4110" s="2"/>
      <c r="I4110" s="2">
        <v>65.728200000000001</v>
      </c>
      <c r="J4110" s="2">
        <v>215</v>
      </c>
      <c r="K4110" s="2">
        <v>65.391900000000007</v>
      </c>
      <c r="L4110" s="2">
        <v>226</v>
      </c>
      <c r="M4110" s="2">
        <v>116.4341</v>
      </c>
      <c r="N4110" s="2">
        <v>7</v>
      </c>
      <c r="O4110" s="2">
        <v>113.857</v>
      </c>
      <c r="P4110" s="2">
        <v>26</v>
      </c>
      <c r="Q4110" s="2">
        <v>102.0605</v>
      </c>
      <c r="R4110" s="2">
        <v>106</v>
      </c>
      <c r="S4110" s="2">
        <v>102.8219</v>
      </c>
      <c r="T4110" s="2">
        <v>132</v>
      </c>
      <c r="U4110" s="2">
        <v>0.76357200000000003</v>
      </c>
      <c r="V4110" s="2">
        <v>60</v>
      </c>
      <c r="W4110" s="2">
        <v>2014</v>
      </c>
    </row>
    <row r="4111" spans="1:23" ht="12.3" hidden="1" x14ac:dyDescent="0.4">
      <c r="A4111" s="2" t="s">
        <v>236</v>
      </c>
      <c r="B4111" s="2"/>
      <c r="C4111" s="2"/>
      <c r="D4111" s="2"/>
      <c r="E4111" s="2"/>
      <c r="F4111" s="2"/>
      <c r="G4111" s="2"/>
      <c r="H4111" s="2"/>
      <c r="I4111" s="2">
        <v>67.146600000000007</v>
      </c>
      <c r="J4111" s="2">
        <v>139</v>
      </c>
      <c r="K4111" s="2">
        <v>66.701800000000006</v>
      </c>
      <c r="L4111" s="2">
        <v>157</v>
      </c>
      <c r="M4111" s="2">
        <v>108.4337</v>
      </c>
      <c r="N4111" s="2">
        <v>82</v>
      </c>
      <c r="O4111" s="2">
        <v>108.11620000000001</v>
      </c>
      <c r="P4111" s="2">
        <v>101</v>
      </c>
      <c r="Q4111" s="2">
        <v>96.719099999999997</v>
      </c>
      <c r="R4111" s="2">
        <v>26</v>
      </c>
      <c r="S4111" s="2">
        <v>97.77</v>
      </c>
      <c r="T4111" s="2">
        <v>52</v>
      </c>
      <c r="U4111" s="2">
        <v>0.76074600000000003</v>
      </c>
      <c r="V4111" s="2">
        <v>61</v>
      </c>
      <c r="W4111" s="2">
        <v>2014</v>
      </c>
    </row>
    <row r="4112" spans="1:23" ht="12.3" hidden="1" x14ac:dyDescent="0.4">
      <c r="A4112" s="2" t="s">
        <v>39</v>
      </c>
      <c r="B4112" s="2"/>
      <c r="C4112" s="2"/>
      <c r="D4112" s="2"/>
      <c r="E4112" s="2"/>
      <c r="F4112" s="2"/>
      <c r="G4112" s="2"/>
      <c r="H4112" s="2"/>
      <c r="I4112" s="2">
        <v>66.285799999999995</v>
      </c>
      <c r="J4112" s="2">
        <v>189</v>
      </c>
      <c r="K4112" s="2">
        <v>66.631299999999996</v>
      </c>
      <c r="L4112" s="2">
        <v>162</v>
      </c>
      <c r="M4112" s="2">
        <v>105.36839999999999</v>
      </c>
      <c r="N4112" s="2">
        <v>159</v>
      </c>
      <c r="O4112" s="2">
        <v>109.7927</v>
      </c>
      <c r="P4112" s="2">
        <v>75</v>
      </c>
      <c r="Q4112" s="2">
        <v>100.66119999999999</v>
      </c>
      <c r="R4112" s="2">
        <v>86</v>
      </c>
      <c r="S4112" s="2">
        <v>99.394300000000001</v>
      </c>
      <c r="T4112" s="2">
        <v>66</v>
      </c>
      <c r="U4112" s="2">
        <v>0.75845799999999997</v>
      </c>
      <c r="V4112" s="2">
        <v>62</v>
      </c>
      <c r="W4112" s="2">
        <v>2014</v>
      </c>
    </row>
    <row r="4113" spans="1:23" ht="12.3" hidden="1" x14ac:dyDescent="0.4">
      <c r="A4113" s="2" t="s">
        <v>175</v>
      </c>
      <c r="B4113" s="2"/>
      <c r="C4113" s="2"/>
      <c r="D4113" s="2"/>
      <c r="E4113" s="2"/>
      <c r="F4113" s="2"/>
      <c r="G4113" s="2"/>
      <c r="H4113" s="2"/>
      <c r="I4113" s="2">
        <v>64.723299999999995</v>
      </c>
      <c r="J4113" s="2">
        <v>264</v>
      </c>
      <c r="K4113" s="2">
        <v>64.631299999999996</v>
      </c>
      <c r="L4113" s="2">
        <v>264</v>
      </c>
      <c r="M4113" s="2">
        <v>108.84520000000001</v>
      </c>
      <c r="N4113" s="2">
        <v>78</v>
      </c>
      <c r="O4113" s="2">
        <v>110.7675</v>
      </c>
      <c r="P4113" s="2">
        <v>62</v>
      </c>
      <c r="Q4113" s="2">
        <v>97.616</v>
      </c>
      <c r="R4113" s="2">
        <v>39</v>
      </c>
      <c r="S4113" s="2">
        <v>100.5051</v>
      </c>
      <c r="T4113" s="2">
        <v>88</v>
      </c>
      <c r="U4113" s="2">
        <v>0.75363400000000003</v>
      </c>
      <c r="V4113" s="2">
        <v>63</v>
      </c>
      <c r="W4113" s="2">
        <v>2014</v>
      </c>
    </row>
    <row r="4114" spans="1:23" ht="12.3" x14ac:dyDescent="0.4">
      <c r="A4114" s="2" t="s">
        <v>83</v>
      </c>
      <c r="B4114" s="2">
        <v>13</v>
      </c>
      <c r="C4114" s="2" t="s">
        <v>33</v>
      </c>
      <c r="D4114" s="2"/>
      <c r="E4114" s="2"/>
      <c r="F4114" s="2"/>
      <c r="G4114" s="2"/>
      <c r="H4114" s="2"/>
      <c r="I4114" s="2">
        <v>64.204899999999995</v>
      </c>
      <c r="J4114" s="2">
        <v>308</v>
      </c>
      <c r="K4114" s="2">
        <v>64.534000000000006</v>
      </c>
      <c r="L4114" s="2">
        <v>303</v>
      </c>
      <c r="M4114" s="2">
        <v>104.15989999999999</v>
      </c>
      <c r="N4114" s="2">
        <v>106</v>
      </c>
      <c r="O4114" s="2">
        <v>104.5005</v>
      </c>
      <c r="P4114" s="2">
        <v>97</v>
      </c>
      <c r="Q4114" s="2">
        <v>93.391599999999997</v>
      </c>
      <c r="R4114" s="2">
        <v>23</v>
      </c>
      <c r="S4114" s="2">
        <v>93.828999999999994</v>
      </c>
      <c r="T4114" s="2">
        <v>30</v>
      </c>
      <c r="U4114" s="2">
        <v>0.77534700000000001</v>
      </c>
      <c r="V4114" s="2">
        <v>55</v>
      </c>
      <c r="W4114" s="2">
        <v>2002</v>
      </c>
    </row>
    <row r="4115" spans="1:23" ht="12.3" hidden="1" x14ac:dyDescent="0.4">
      <c r="A4115" s="2" t="s">
        <v>229</v>
      </c>
      <c r="B4115" s="2"/>
      <c r="C4115" s="2"/>
      <c r="D4115" s="2"/>
      <c r="E4115" s="2"/>
      <c r="F4115" s="2"/>
      <c r="G4115" s="2"/>
      <c r="H4115" s="2"/>
      <c r="I4115" s="2">
        <v>68.641400000000004</v>
      </c>
      <c r="J4115" s="2">
        <v>77</v>
      </c>
      <c r="K4115" s="2">
        <v>68.083600000000004</v>
      </c>
      <c r="L4115" s="2">
        <v>92</v>
      </c>
      <c r="M4115" s="2">
        <v>112.2163</v>
      </c>
      <c r="N4115" s="2">
        <v>38</v>
      </c>
      <c r="O4115" s="2">
        <v>114.251</v>
      </c>
      <c r="P4115" s="2">
        <v>23</v>
      </c>
      <c r="Q4115" s="2">
        <v>106.1508</v>
      </c>
      <c r="R4115" s="2">
        <v>209</v>
      </c>
      <c r="S4115" s="2">
        <v>103.9585</v>
      </c>
      <c r="T4115" s="2">
        <v>153</v>
      </c>
      <c r="U4115" s="2">
        <v>0.74756599999999995</v>
      </c>
      <c r="V4115" s="2">
        <v>65</v>
      </c>
      <c r="W4115" s="2">
        <v>2014</v>
      </c>
    </row>
    <row r="4116" spans="1:23" ht="12.3" x14ac:dyDescent="0.4">
      <c r="A4116" s="2" t="s">
        <v>90</v>
      </c>
      <c r="B4116" s="2">
        <v>12</v>
      </c>
      <c r="C4116" s="2" t="s">
        <v>33</v>
      </c>
      <c r="D4116" s="2"/>
      <c r="E4116" s="2"/>
      <c r="F4116" s="2"/>
      <c r="G4116" s="2"/>
      <c r="H4116" s="2"/>
      <c r="I4116" s="2">
        <v>68.176500000000004</v>
      </c>
      <c r="J4116" s="2">
        <v>226</v>
      </c>
      <c r="K4116" s="2">
        <v>68.609300000000005</v>
      </c>
      <c r="L4116" s="2">
        <v>206</v>
      </c>
      <c r="M4116" s="2">
        <v>109.6425</v>
      </c>
      <c r="N4116" s="2">
        <v>25</v>
      </c>
      <c r="O4116" s="2">
        <v>109.7891</v>
      </c>
      <c r="P4116" s="2">
        <v>36</v>
      </c>
      <c r="Q4116" s="2">
        <v>98.299300000000002</v>
      </c>
      <c r="R4116" s="2">
        <v>96</v>
      </c>
      <c r="S4116" s="2">
        <v>99.233500000000006</v>
      </c>
      <c r="T4116" s="2">
        <v>121</v>
      </c>
      <c r="U4116" s="2">
        <v>0.76178400000000002</v>
      </c>
      <c r="V4116" s="2">
        <v>62</v>
      </c>
      <c r="W4116" s="2">
        <v>2002</v>
      </c>
    </row>
    <row r="4117" spans="1:23" ht="12.3" x14ac:dyDescent="0.4">
      <c r="A4117" s="2" t="s">
        <v>93</v>
      </c>
      <c r="B4117" s="2">
        <v>11</v>
      </c>
      <c r="C4117" s="2" t="s">
        <v>33</v>
      </c>
      <c r="D4117" s="2"/>
      <c r="E4117" s="2"/>
      <c r="F4117" s="2"/>
      <c r="G4117" s="2"/>
      <c r="H4117" s="2"/>
      <c r="I4117" s="2">
        <v>69.617199999999997</v>
      </c>
      <c r="J4117" s="2">
        <v>175</v>
      </c>
      <c r="K4117" s="2">
        <v>70.412400000000005</v>
      </c>
      <c r="L4117" s="2">
        <v>134</v>
      </c>
      <c r="M4117" s="2">
        <v>105.36539999999999</v>
      </c>
      <c r="N4117" s="2">
        <v>81</v>
      </c>
      <c r="O4117" s="2">
        <v>106.03700000000001</v>
      </c>
      <c r="P4117" s="2">
        <v>80</v>
      </c>
      <c r="Q4117" s="2">
        <v>97.056799999999996</v>
      </c>
      <c r="R4117" s="2">
        <v>78</v>
      </c>
      <c r="S4117" s="2">
        <v>96.6601</v>
      </c>
      <c r="T4117" s="2">
        <v>67</v>
      </c>
      <c r="U4117" s="2">
        <v>0.74359799999999998</v>
      </c>
      <c r="V4117" s="2">
        <v>66</v>
      </c>
      <c r="W4117" s="2">
        <v>2002</v>
      </c>
    </row>
    <row r="4118" spans="1:23" ht="12.3" x14ac:dyDescent="0.4">
      <c r="A4118" s="2" t="s">
        <v>95</v>
      </c>
      <c r="B4118" s="2">
        <v>11</v>
      </c>
      <c r="C4118" s="2"/>
      <c r="D4118" s="2"/>
      <c r="E4118" s="2"/>
      <c r="F4118" s="2"/>
      <c r="G4118" s="2"/>
      <c r="H4118" s="2"/>
      <c r="I4118" s="2">
        <v>70.698499999999996</v>
      </c>
      <c r="J4118" s="2">
        <v>128</v>
      </c>
      <c r="K4118" s="2">
        <v>70.707999999999998</v>
      </c>
      <c r="L4118" s="2">
        <v>121</v>
      </c>
      <c r="M4118" s="2">
        <v>103.70659999999999</v>
      </c>
      <c r="N4118" s="2">
        <v>116</v>
      </c>
      <c r="O4118" s="2">
        <v>107.0112</v>
      </c>
      <c r="P4118" s="2">
        <v>70</v>
      </c>
      <c r="Q4118" s="2">
        <v>99.252700000000004</v>
      </c>
      <c r="R4118" s="2">
        <v>128</v>
      </c>
      <c r="S4118" s="2">
        <v>97.686700000000002</v>
      </c>
      <c r="T4118" s="2">
        <v>89</v>
      </c>
      <c r="U4118" s="2">
        <v>0.74047300000000005</v>
      </c>
      <c r="V4118" s="2">
        <v>68</v>
      </c>
      <c r="W4118" s="2">
        <v>2002</v>
      </c>
    </row>
    <row r="4119" spans="1:23" ht="12.3" hidden="1" x14ac:dyDescent="0.4">
      <c r="A4119" s="2" t="s">
        <v>85</v>
      </c>
      <c r="B4119" s="2"/>
      <c r="C4119" s="2"/>
      <c r="D4119" s="2"/>
      <c r="E4119" s="2"/>
      <c r="F4119" s="2"/>
      <c r="G4119" s="2"/>
      <c r="H4119" s="2"/>
      <c r="I4119" s="2">
        <v>70.515799999999999</v>
      </c>
      <c r="J4119" s="2">
        <v>32</v>
      </c>
      <c r="K4119" s="2">
        <v>70.215900000000005</v>
      </c>
      <c r="L4119" s="2">
        <v>28</v>
      </c>
      <c r="M4119" s="2">
        <v>105.28489999999999</v>
      </c>
      <c r="N4119" s="2">
        <v>163</v>
      </c>
      <c r="O4119" s="2">
        <v>109.0894</v>
      </c>
      <c r="P4119" s="2">
        <v>86</v>
      </c>
      <c r="Q4119" s="2">
        <v>99.944000000000003</v>
      </c>
      <c r="R4119" s="2">
        <v>73</v>
      </c>
      <c r="S4119" s="2">
        <v>99.584400000000002</v>
      </c>
      <c r="T4119" s="2">
        <v>70</v>
      </c>
      <c r="U4119" s="2">
        <v>0.74046000000000001</v>
      </c>
      <c r="V4119" s="2">
        <v>69</v>
      </c>
      <c r="W4119" s="2">
        <v>2014</v>
      </c>
    </row>
    <row r="4120" spans="1:23" ht="12.3" hidden="1" x14ac:dyDescent="0.4">
      <c r="A4120" s="2" t="s">
        <v>220</v>
      </c>
      <c r="B4120" s="2"/>
      <c r="C4120" s="2"/>
      <c r="D4120" s="2"/>
      <c r="E4120" s="2"/>
      <c r="F4120" s="2"/>
      <c r="G4120" s="2"/>
      <c r="H4120" s="2"/>
      <c r="I4120" s="2">
        <v>63.591299999999997</v>
      </c>
      <c r="J4120" s="2">
        <v>308</v>
      </c>
      <c r="K4120" s="2">
        <v>63.967399999999998</v>
      </c>
      <c r="L4120" s="2">
        <v>292</v>
      </c>
      <c r="M4120" s="2">
        <v>110.5526</v>
      </c>
      <c r="N4120" s="2">
        <v>55</v>
      </c>
      <c r="O4120" s="2">
        <v>109.023</v>
      </c>
      <c r="P4120" s="2">
        <v>87</v>
      </c>
      <c r="Q4120" s="2">
        <v>95.130099999999999</v>
      </c>
      <c r="R4120" s="2">
        <v>17</v>
      </c>
      <c r="S4120" s="2">
        <v>99.761799999999994</v>
      </c>
      <c r="T4120" s="2">
        <v>72</v>
      </c>
      <c r="U4120" s="2">
        <v>0.73514699999999999</v>
      </c>
      <c r="V4120" s="2">
        <v>70</v>
      </c>
      <c r="W4120" s="2">
        <v>2014</v>
      </c>
    </row>
    <row r="4121" spans="1:23" ht="12.3" x14ac:dyDescent="0.4">
      <c r="A4121" s="2" t="s">
        <v>97</v>
      </c>
      <c r="B4121" s="2">
        <v>13</v>
      </c>
      <c r="C4121" s="2"/>
      <c r="D4121" s="2"/>
      <c r="E4121" s="2"/>
      <c r="F4121" s="2"/>
      <c r="G4121" s="2"/>
      <c r="H4121" s="2"/>
      <c r="I4121" s="2">
        <v>70.886099999999999</v>
      </c>
      <c r="J4121" s="2">
        <v>121</v>
      </c>
      <c r="K4121" s="2">
        <v>71.200299999999999</v>
      </c>
      <c r="L4121" s="2">
        <v>107</v>
      </c>
      <c r="M4121" s="2">
        <v>103.1405</v>
      </c>
      <c r="N4121" s="2">
        <v>123</v>
      </c>
      <c r="O4121" s="2">
        <v>104.1575</v>
      </c>
      <c r="P4121" s="2">
        <v>104</v>
      </c>
      <c r="Q4121" s="2">
        <v>98.706800000000001</v>
      </c>
      <c r="R4121" s="2">
        <v>108</v>
      </c>
      <c r="S4121" s="2">
        <v>95.206199999999995</v>
      </c>
      <c r="T4121" s="2">
        <v>45</v>
      </c>
      <c r="U4121" s="2">
        <v>0.73756999999999995</v>
      </c>
      <c r="V4121" s="2">
        <v>70</v>
      </c>
      <c r="W4121" s="2">
        <v>2002</v>
      </c>
    </row>
    <row r="4122" spans="1:23" ht="12.3" hidden="1" x14ac:dyDescent="0.4">
      <c r="A4122" s="2" t="s">
        <v>60</v>
      </c>
      <c r="B4122" s="2"/>
      <c r="C4122" s="2"/>
      <c r="D4122" s="2"/>
      <c r="E4122" s="2"/>
      <c r="F4122" s="2"/>
      <c r="G4122" s="2"/>
      <c r="H4122" s="2"/>
      <c r="I4122" s="2">
        <v>57.925800000000002</v>
      </c>
      <c r="J4122" s="2">
        <v>351</v>
      </c>
      <c r="K4122" s="2">
        <v>58.579300000000003</v>
      </c>
      <c r="L4122" s="2">
        <v>351</v>
      </c>
      <c r="M4122" s="2">
        <v>104.3051</v>
      </c>
      <c r="N4122" s="2">
        <v>179</v>
      </c>
      <c r="O4122" s="2">
        <v>108.98350000000001</v>
      </c>
      <c r="P4122" s="2">
        <v>89</v>
      </c>
      <c r="Q4122" s="2">
        <v>101.0599</v>
      </c>
      <c r="R4122" s="2">
        <v>95</v>
      </c>
      <c r="S4122" s="2">
        <v>99.844999999999999</v>
      </c>
      <c r="T4122" s="2">
        <v>73</v>
      </c>
      <c r="U4122" s="2">
        <v>0.73246100000000003</v>
      </c>
      <c r="V4122" s="2">
        <v>72</v>
      </c>
      <c r="W4122" s="2">
        <v>2014</v>
      </c>
    </row>
    <row r="4123" spans="1:23" ht="12.3" hidden="1" x14ac:dyDescent="0.4">
      <c r="A4123" s="2" t="s">
        <v>57</v>
      </c>
      <c r="B4123" s="2"/>
      <c r="C4123" s="2"/>
      <c r="D4123" s="2"/>
      <c r="E4123" s="2"/>
      <c r="F4123" s="2"/>
      <c r="G4123" s="2"/>
      <c r="H4123" s="2"/>
      <c r="I4123" s="2">
        <v>66.696399999999997</v>
      </c>
      <c r="J4123" s="2">
        <v>162</v>
      </c>
      <c r="K4123" s="2">
        <v>66.310100000000006</v>
      </c>
      <c r="L4123" s="2">
        <v>179</v>
      </c>
      <c r="M4123" s="2">
        <v>107.3531</v>
      </c>
      <c r="N4123" s="2">
        <v>106</v>
      </c>
      <c r="O4123" s="2">
        <v>109.34139999999999</v>
      </c>
      <c r="P4123" s="2">
        <v>83</v>
      </c>
      <c r="Q4123" s="2">
        <v>103.09010000000001</v>
      </c>
      <c r="R4123" s="2">
        <v>123</v>
      </c>
      <c r="S4123" s="2">
        <v>100.1972</v>
      </c>
      <c r="T4123" s="2">
        <v>80</v>
      </c>
      <c r="U4123" s="2">
        <v>0.73191399999999995</v>
      </c>
      <c r="V4123" s="2">
        <v>73</v>
      </c>
      <c r="W4123" s="2">
        <v>2014</v>
      </c>
    </row>
    <row r="4124" spans="1:23" ht="12.3" hidden="1" x14ac:dyDescent="0.4">
      <c r="A4124" s="2" t="s">
        <v>40</v>
      </c>
      <c r="B4124" s="2"/>
      <c r="C4124" s="2"/>
      <c r="D4124" s="2"/>
      <c r="E4124" s="2"/>
      <c r="F4124" s="2"/>
      <c r="G4124" s="2"/>
      <c r="H4124" s="2"/>
      <c r="I4124" s="2">
        <v>68.677000000000007</v>
      </c>
      <c r="J4124" s="2">
        <v>74</v>
      </c>
      <c r="K4124" s="2">
        <v>68.779600000000002</v>
      </c>
      <c r="L4124" s="2">
        <v>64</v>
      </c>
      <c r="M4124" s="2">
        <v>104.0902</v>
      </c>
      <c r="N4124" s="2">
        <v>185</v>
      </c>
      <c r="O4124" s="2">
        <v>106.3432</v>
      </c>
      <c r="P4124" s="2">
        <v>132</v>
      </c>
      <c r="Q4124" s="2">
        <v>98.619299999999996</v>
      </c>
      <c r="R4124" s="2">
        <v>54</v>
      </c>
      <c r="S4124" s="2">
        <v>97.575699999999998</v>
      </c>
      <c r="T4124" s="2">
        <v>50</v>
      </c>
      <c r="U4124" s="2">
        <v>0.72898799999999997</v>
      </c>
      <c r="V4124" s="2">
        <v>74</v>
      </c>
      <c r="W4124" s="2">
        <v>2014</v>
      </c>
    </row>
    <row r="4125" spans="1:23" ht="12.3" hidden="1" x14ac:dyDescent="0.4">
      <c r="A4125" s="2" t="s">
        <v>19</v>
      </c>
      <c r="B4125" s="2"/>
      <c r="C4125" s="2"/>
      <c r="D4125" s="2"/>
      <c r="E4125" s="2"/>
      <c r="F4125" s="2"/>
      <c r="G4125" s="2"/>
      <c r="H4125" s="2"/>
      <c r="I4125" s="2">
        <v>65.081699999999998</v>
      </c>
      <c r="J4125" s="2">
        <v>246</v>
      </c>
      <c r="K4125" s="2">
        <v>64.158500000000004</v>
      </c>
      <c r="L4125" s="2">
        <v>281</v>
      </c>
      <c r="M4125" s="2">
        <v>105.0941</v>
      </c>
      <c r="N4125" s="2">
        <v>166</v>
      </c>
      <c r="O4125" s="2">
        <v>107.8944</v>
      </c>
      <c r="P4125" s="2">
        <v>107</v>
      </c>
      <c r="Q4125" s="2">
        <v>101.8694</v>
      </c>
      <c r="R4125" s="2">
        <v>104</v>
      </c>
      <c r="S4125" s="2">
        <v>99.178299999999993</v>
      </c>
      <c r="T4125" s="2">
        <v>65</v>
      </c>
      <c r="U4125" s="2">
        <v>0.724858</v>
      </c>
      <c r="V4125" s="2">
        <v>75</v>
      </c>
      <c r="W4125" s="2">
        <v>2014</v>
      </c>
    </row>
    <row r="4126" spans="1:23" ht="12.3" hidden="1" x14ac:dyDescent="0.4">
      <c r="A4126" s="2" t="s">
        <v>241</v>
      </c>
      <c r="B4126" s="2"/>
      <c r="C4126" s="2"/>
      <c r="D4126" s="2"/>
      <c r="E4126" s="2"/>
      <c r="F4126" s="2"/>
      <c r="G4126" s="2"/>
      <c r="H4126" s="2"/>
      <c r="I4126" s="2">
        <v>70.885199999999998</v>
      </c>
      <c r="J4126" s="2">
        <v>24</v>
      </c>
      <c r="K4126" s="2">
        <v>69.800600000000003</v>
      </c>
      <c r="L4126" s="2">
        <v>39</v>
      </c>
      <c r="M4126" s="2">
        <v>117.4524</v>
      </c>
      <c r="N4126" s="2">
        <v>4</v>
      </c>
      <c r="O4126" s="2">
        <v>117.5363</v>
      </c>
      <c r="P4126" s="2">
        <v>9</v>
      </c>
      <c r="Q4126" s="2">
        <v>108.6371</v>
      </c>
      <c r="R4126" s="2">
        <v>268</v>
      </c>
      <c r="S4126" s="2">
        <v>108.0444</v>
      </c>
      <c r="T4126" s="2">
        <v>235</v>
      </c>
      <c r="U4126" s="2">
        <v>0.72479099999999996</v>
      </c>
      <c r="V4126" s="2">
        <v>76</v>
      </c>
      <c r="W4126" s="2">
        <v>2014</v>
      </c>
    </row>
    <row r="4127" spans="1:23" ht="12.3" hidden="1" x14ac:dyDescent="0.4">
      <c r="A4127" s="2" t="s">
        <v>73</v>
      </c>
      <c r="B4127" s="2"/>
      <c r="C4127" s="2"/>
      <c r="D4127" s="2"/>
      <c r="E4127" s="2"/>
      <c r="F4127" s="2"/>
      <c r="G4127" s="2"/>
      <c r="H4127" s="2"/>
      <c r="I4127" s="2">
        <v>65.741799999999998</v>
      </c>
      <c r="J4127" s="2">
        <v>214</v>
      </c>
      <c r="K4127" s="2">
        <v>66.069900000000004</v>
      </c>
      <c r="L4127" s="2">
        <v>194</v>
      </c>
      <c r="M4127" s="2">
        <v>109.47920000000001</v>
      </c>
      <c r="N4127" s="2">
        <v>64</v>
      </c>
      <c r="O4127" s="2">
        <v>113.3664</v>
      </c>
      <c r="P4127" s="2">
        <v>31</v>
      </c>
      <c r="Q4127" s="2">
        <v>104.5964</v>
      </c>
      <c r="R4127" s="2">
        <v>166</v>
      </c>
      <c r="S4127" s="2">
        <v>104.2397</v>
      </c>
      <c r="T4127" s="2">
        <v>160</v>
      </c>
      <c r="U4127" s="2">
        <v>0.72416400000000003</v>
      </c>
      <c r="V4127" s="2">
        <v>77</v>
      </c>
      <c r="W4127" s="2">
        <v>2014</v>
      </c>
    </row>
    <row r="4128" spans="1:23" ht="12.3" x14ac:dyDescent="0.4">
      <c r="A4128" s="2" t="s">
        <v>102</v>
      </c>
      <c r="B4128" s="2">
        <v>9</v>
      </c>
      <c r="C4128" s="2"/>
      <c r="D4128" s="2"/>
      <c r="E4128" s="2"/>
      <c r="F4128" s="2"/>
      <c r="G4128" s="2"/>
      <c r="H4128" s="2"/>
      <c r="I4128" s="2">
        <v>71.818799999999996</v>
      </c>
      <c r="J4128" s="2">
        <v>90</v>
      </c>
      <c r="K4128" s="2">
        <v>70.724999999999994</v>
      </c>
      <c r="L4128" s="2">
        <v>120</v>
      </c>
      <c r="M4128" s="2">
        <v>97.013900000000007</v>
      </c>
      <c r="N4128" s="2">
        <v>236</v>
      </c>
      <c r="O4128" s="2">
        <v>99.351799999999997</v>
      </c>
      <c r="P4128" s="2">
        <v>193</v>
      </c>
      <c r="Q4128" s="2">
        <v>94.376499999999993</v>
      </c>
      <c r="R4128" s="2">
        <v>37</v>
      </c>
      <c r="S4128" s="2">
        <v>91.720299999999995</v>
      </c>
      <c r="T4128" s="2">
        <v>18</v>
      </c>
      <c r="U4128" s="2">
        <v>0.71486300000000003</v>
      </c>
      <c r="V4128" s="2">
        <v>75</v>
      </c>
      <c r="W4128" s="2">
        <v>2002</v>
      </c>
    </row>
    <row r="4129" spans="1:23" ht="12.3" hidden="1" x14ac:dyDescent="0.4">
      <c r="A4129" s="2" t="s">
        <v>262</v>
      </c>
      <c r="B4129" s="2"/>
      <c r="C4129" s="2"/>
      <c r="D4129" s="2"/>
      <c r="E4129" s="2"/>
      <c r="F4129" s="2"/>
      <c r="G4129" s="2"/>
      <c r="H4129" s="2"/>
      <c r="I4129" s="2">
        <v>63.476900000000001</v>
      </c>
      <c r="J4129" s="2">
        <v>314</v>
      </c>
      <c r="K4129" s="2">
        <v>63.063899999999997</v>
      </c>
      <c r="L4129" s="2">
        <v>321</v>
      </c>
      <c r="M4129" s="2">
        <v>112.3813</v>
      </c>
      <c r="N4129" s="2">
        <v>33</v>
      </c>
      <c r="O4129" s="2">
        <v>110.881</v>
      </c>
      <c r="P4129" s="2">
        <v>61</v>
      </c>
      <c r="Q4129" s="2">
        <v>104.45350000000001</v>
      </c>
      <c r="R4129" s="2">
        <v>162</v>
      </c>
      <c r="S4129" s="2">
        <v>102.20229999999999</v>
      </c>
      <c r="T4129" s="2">
        <v>115</v>
      </c>
      <c r="U4129" s="2">
        <v>0.71855199999999997</v>
      </c>
      <c r="V4129" s="2">
        <v>79</v>
      </c>
      <c r="W4129" s="2">
        <v>2014</v>
      </c>
    </row>
    <row r="4130" spans="1:23" ht="12.3" hidden="1" x14ac:dyDescent="0.4">
      <c r="A4130" s="2" t="s">
        <v>212</v>
      </c>
      <c r="B4130" s="2"/>
      <c r="C4130" s="2"/>
      <c r="D4130" s="2"/>
      <c r="E4130" s="2"/>
      <c r="F4130" s="2"/>
      <c r="G4130" s="2"/>
      <c r="H4130" s="2"/>
      <c r="I4130" s="2">
        <v>65.392899999999997</v>
      </c>
      <c r="J4130" s="2">
        <v>231</v>
      </c>
      <c r="K4130" s="2">
        <v>65.33</v>
      </c>
      <c r="L4130" s="2">
        <v>233</v>
      </c>
      <c r="M4130" s="2">
        <v>112.7548</v>
      </c>
      <c r="N4130" s="2">
        <v>30</v>
      </c>
      <c r="O4130" s="2">
        <v>113.358</v>
      </c>
      <c r="P4130" s="2">
        <v>32</v>
      </c>
      <c r="Q4130" s="2">
        <v>105.7337</v>
      </c>
      <c r="R4130" s="2">
        <v>197</v>
      </c>
      <c r="S4130" s="2">
        <v>104.5234</v>
      </c>
      <c r="T4130" s="2">
        <v>167</v>
      </c>
      <c r="U4130" s="2">
        <v>0.71770500000000004</v>
      </c>
      <c r="V4130" s="2">
        <v>80</v>
      </c>
      <c r="W4130" s="2">
        <v>2014</v>
      </c>
    </row>
    <row r="4131" spans="1:23" ht="12.3" hidden="1" x14ac:dyDescent="0.4">
      <c r="A4131" s="2" t="s">
        <v>173</v>
      </c>
      <c r="B4131" s="2"/>
      <c r="C4131" s="2"/>
      <c r="D4131" s="2"/>
      <c r="E4131" s="2"/>
      <c r="F4131" s="2"/>
      <c r="G4131" s="2"/>
      <c r="H4131" s="2"/>
      <c r="I4131" s="2">
        <v>65.821399999999997</v>
      </c>
      <c r="J4131" s="2">
        <v>210</v>
      </c>
      <c r="K4131" s="2">
        <v>65.444900000000004</v>
      </c>
      <c r="L4131" s="2">
        <v>221</v>
      </c>
      <c r="M4131" s="2">
        <v>110.7397</v>
      </c>
      <c r="N4131" s="2">
        <v>53</v>
      </c>
      <c r="O4131" s="2">
        <v>111.80029999999999</v>
      </c>
      <c r="P4131" s="2">
        <v>45</v>
      </c>
      <c r="Q4131" s="2">
        <v>107.2088</v>
      </c>
      <c r="R4131" s="2">
        <v>237</v>
      </c>
      <c r="S4131" s="2">
        <v>103.4768</v>
      </c>
      <c r="T4131" s="2">
        <v>145</v>
      </c>
      <c r="U4131" s="2">
        <v>0.70883300000000005</v>
      </c>
      <c r="V4131" s="2">
        <v>81</v>
      </c>
      <c r="W4131" s="2">
        <v>2014</v>
      </c>
    </row>
    <row r="4132" spans="1:23" ht="12.3" hidden="1" x14ac:dyDescent="0.4">
      <c r="A4132" s="2" t="s">
        <v>230</v>
      </c>
      <c r="B4132" s="2"/>
      <c r="C4132" s="2"/>
      <c r="D4132" s="2"/>
      <c r="E4132" s="2"/>
      <c r="F4132" s="2"/>
      <c r="G4132" s="2"/>
      <c r="H4132" s="2"/>
      <c r="I4132" s="2">
        <v>66.562100000000001</v>
      </c>
      <c r="J4132" s="2">
        <v>166</v>
      </c>
      <c r="K4132" s="2">
        <v>66.288899999999998</v>
      </c>
      <c r="L4132" s="2">
        <v>181</v>
      </c>
      <c r="M4132" s="2">
        <v>106.0998</v>
      </c>
      <c r="N4132" s="2">
        <v>143</v>
      </c>
      <c r="O4132" s="2">
        <v>109.2221</v>
      </c>
      <c r="P4132" s="2">
        <v>85</v>
      </c>
      <c r="Q4132" s="2">
        <v>105.18</v>
      </c>
      <c r="R4132" s="2">
        <v>182</v>
      </c>
      <c r="S4132" s="2">
        <v>101.12779999999999</v>
      </c>
      <c r="T4132" s="2">
        <v>97</v>
      </c>
      <c r="U4132" s="2">
        <v>0.70795699999999995</v>
      </c>
      <c r="V4132" s="2">
        <v>82</v>
      </c>
      <c r="W4132" s="2">
        <v>2014</v>
      </c>
    </row>
    <row r="4133" spans="1:23" ht="12.3" hidden="1" x14ac:dyDescent="0.4">
      <c r="A4133" s="2" t="s">
        <v>228</v>
      </c>
      <c r="B4133" s="2"/>
      <c r="C4133" s="2"/>
      <c r="D4133" s="2"/>
      <c r="E4133" s="2"/>
      <c r="F4133" s="2"/>
      <c r="G4133" s="2"/>
      <c r="H4133" s="2"/>
      <c r="I4133" s="2">
        <v>64.994399999999999</v>
      </c>
      <c r="J4133" s="2">
        <v>250</v>
      </c>
      <c r="K4133" s="2">
        <v>64.205299999999994</v>
      </c>
      <c r="L4133" s="2">
        <v>279</v>
      </c>
      <c r="M4133" s="2">
        <v>104.2638</v>
      </c>
      <c r="N4133" s="2">
        <v>180</v>
      </c>
      <c r="O4133" s="2">
        <v>103.8747</v>
      </c>
      <c r="P4133" s="2">
        <v>184</v>
      </c>
      <c r="Q4133" s="2">
        <v>95.450100000000006</v>
      </c>
      <c r="R4133" s="2">
        <v>19</v>
      </c>
      <c r="S4133" s="2">
        <v>96.283100000000005</v>
      </c>
      <c r="T4133" s="2">
        <v>34</v>
      </c>
      <c r="U4133" s="2">
        <v>0.70532099999999998</v>
      </c>
      <c r="V4133" s="2">
        <v>83</v>
      </c>
      <c r="W4133" s="2">
        <v>2014</v>
      </c>
    </row>
    <row r="4134" spans="1:23" ht="12.3" hidden="1" x14ac:dyDescent="0.4">
      <c r="A4134" s="2" t="s">
        <v>59</v>
      </c>
      <c r="B4134" s="2"/>
      <c r="C4134" s="2"/>
      <c r="D4134" s="2"/>
      <c r="E4134" s="2"/>
      <c r="F4134" s="2"/>
      <c r="G4134" s="2"/>
      <c r="H4134" s="2"/>
      <c r="I4134" s="2">
        <v>63.567100000000003</v>
      </c>
      <c r="J4134" s="2">
        <v>310</v>
      </c>
      <c r="K4134" s="2">
        <v>61.939799999999998</v>
      </c>
      <c r="L4134" s="2">
        <v>340</v>
      </c>
      <c r="M4134" s="2">
        <v>107.009</v>
      </c>
      <c r="N4134" s="2">
        <v>120</v>
      </c>
      <c r="O4134" s="2">
        <v>109.7304</v>
      </c>
      <c r="P4134" s="2">
        <v>77</v>
      </c>
      <c r="Q4134" s="2">
        <v>107.52079999999999</v>
      </c>
      <c r="R4134" s="2">
        <v>243</v>
      </c>
      <c r="S4134" s="2">
        <v>102.01949999999999</v>
      </c>
      <c r="T4134" s="2">
        <v>113</v>
      </c>
      <c r="U4134" s="2">
        <v>0.69802600000000004</v>
      </c>
      <c r="V4134" s="2">
        <v>84</v>
      </c>
      <c r="W4134" s="2">
        <v>2014</v>
      </c>
    </row>
    <row r="4135" spans="1:23" ht="12.3" hidden="1" x14ac:dyDescent="0.4">
      <c r="A4135" s="2" t="s">
        <v>222</v>
      </c>
      <c r="B4135" s="2"/>
      <c r="C4135" s="2"/>
      <c r="D4135" s="2"/>
      <c r="E4135" s="2"/>
      <c r="F4135" s="2"/>
      <c r="G4135" s="2"/>
      <c r="H4135" s="2"/>
      <c r="I4135" s="2">
        <v>64.5535</v>
      </c>
      <c r="J4135" s="2">
        <v>272</v>
      </c>
      <c r="K4135" s="2">
        <v>63.7423</v>
      </c>
      <c r="L4135" s="2">
        <v>299</v>
      </c>
      <c r="M4135" s="2">
        <v>110.05589999999999</v>
      </c>
      <c r="N4135" s="2">
        <v>59</v>
      </c>
      <c r="O4135" s="2">
        <v>110.4346</v>
      </c>
      <c r="P4135" s="2">
        <v>65</v>
      </c>
      <c r="Q4135" s="2">
        <v>102.06610000000001</v>
      </c>
      <c r="R4135" s="2">
        <v>107</v>
      </c>
      <c r="S4135" s="2">
        <v>102.69459999999999</v>
      </c>
      <c r="T4135" s="2">
        <v>130</v>
      </c>
      <c r="U4135" s="2">
        <v>0.69754400000000005</v>
      </c>
      <c r="V4135" s="2">
        <v>85</v>
      </c>
      <c r="W4135" s="2">
        <v>2014</v>
      </c>
    </row>
    <row r="4136" spans="1:23" ht="12.3" hidden="1" x14ac:dyDescent="0.4">
      <c r="A4136" s="2" t="s">
        <v>110</v>
      </c>
      <c r="B4136" s="2"/>
      <c r="C4136" s="2"/>
      <c r="D4136" s="2"/>
      <c r="E4136" s="2"/>
      <c r="F4136" s="2"/>
      <c r="G4136" s="2"/>
      <c r="H4136" s="2"/>
      <c r="I4136" s="2">
        <v>64.900599999999997</v>
      </c>
      <c r="J4136" s="2">
        <v>253</v>
      </c>
      <c r="K4136" s="2">
        <v>63.9358</v>
      </c>
      <c r="L4136" s="2">
        <v>293</v>
      </c>
      <c r="M4136" s="2">
        <v>105.6281</v>
      </c>
      <c r="N4136" s="2">
        <v>157</v>
      </c>
      <c r="O4136" s="2">
        <v>102.76779999999999</v>
      </c>
      <c r="P4136" s="2">
        <v>206</v>
      </c>
      <c r="Q4136" s="2">
        <v>96.106099999999998</v>
      </c>
      <c r="R4136" s="2">
        <v>22</v>
      </c>
      <c r="S4136" s="2">
        <v>95.598600000000005</v>
      </c>
      <c r="T4136" s="2">
        <v>26</v>
      </c>
      <c r="U4136" s="2">
        <v>0.69669599999999998</v>
      </c>
      <c r="V4136" s="2">
        <v>86</v>
      </c>
      <c r="W4136" s="2">
        <v>2014</v>
      </c>
    </row>
    <row r="4137" spans="1:23" ht="12.3" hidden="1" x14ac:dyDescent="0.4">
      <c r="A4137" s="2" t="s">
        <v>119</v>
      </c>
      <c r="B4137" s="2"/>
      <c r="C4137" s="2"/>
      <c r="D4137" s="2"/>
      <c r="E4137" s="2"/>
      <c r="F4137" s="2"/>
      <c r="G4137" s="2"/>
      <c r="H4137" s="2"/>
      <c r="I4137" s="2">
        <v>66.099299999999999</v>
      </c>
      <c r="J4137" s="2">
        <v>195</v>
      </c>
      <c r="K4137" s="2">
        <v>65.868499999999997</v>
      </c>
      <c r="L4137" s="2">
        <v>202</v>
      </c>
      <c r="M4137" s="2">
        <v>106.6026</v>
      </c>
      <c r="N4137" s="2">
        <v>129</v>
      </c>
      <c r="O4137" s="2">
        <v>107.8325</v>
      </c>
      <c r="P4137" s="2">
        <v>110</v>
      </c>
      <c r="Q4137" s="2">
        <v>104.0539</v>
      </c>
      <c r="R4137" s="2">
        <v>155</v>
      </c>
      <c r="S4137" s="2">
        <v>100.376</v>
      </c>
      <c r="T4137" s="2">
        <v>84</v>
      </c>
      <c r="U4137" s="2">
        <v>0.69509399999999999</v>
      </c>
      <c r="V4137" s="2">
        <v>87</v>
      </c>
      <c r="W4137" s="2">
        <v>2014</v>
      </c>
    </row>
    <row r="4138" spans="1:23" ht="12.3" hidden="1" x14ac:dyDescent="0.4">
      <c r="A4138" s="2" t="s">
        <v>106</v>
      </c>
      <c r="B4138" s="2"/>
      <c r="C4138" s="2"/>
      <c r="D4138" s="2"/>
      <c r="E4138" s="2"/>
      <c r="F4138" s="2"/>
      <c r="G4138" s="2"/>
      <c r="H4138" s="2"/>
      <c r="I4138" s="2">
        <v>68.251099999999994</v>
      </c>
      <c r="J4138" s="2">
        <v>97</v>
      </c>
      <c r="K4138" s="2">
        <v>67.419499999999999</v>
      </c>
      <c r="L4138" s="2">
        <v>114</v>
      </c>
      <c r="M4138" s="2">
        <v>107.74120000000001</v>
      </c>
      <c r="N4138" s="2">
        <v>96</v>
      </c>
      <c r="O4138" s="2">
        <v>111.19070000000001</v>
      </c>
      <c r="P4138" s="2">
        <v>56</v>
      </c>
      <c r="Q4138" s="2">
        <v>102.652</v>
      </c>
      <c r="R4138" s="2">
        <v>112</v>
      </c>
      <c r="S4138" s="2">
        <v>103.5664</v>
      </c>
      <c r="T4138" s="2">
        <v>146</v>
      </c>
      <c r="U4138" s="2">
        <v>0.69357500000000005</v>
      </c>
      <c r="V4138" s="2">
        <v>88</v>
      </c>
      <c r="W4138" s="2">
        <v>2014</v>
      </c>
    </row>
    <row r="4139" spans="1:23" ht="12.3" hidden="1" x14ac:dyDescent="0.4">
      <c r="A4139" s="2" t="s">
        <v>109</v>
      </c>
      <c r="B4139" s="2"/>
      <c r="C4139" s="2"/>
      <c r="D4139" s="2"/>
      <c r="E4139" s="2"/>
      <c r="F4139" s="2"/>
      <c r="G4139" s="2"/>
      <c r="H4139" s="2"/>
      <c r="I4139" s="2">
        <v>66.547899999999998</v>
      </c>
      <c r="J4139" s="2">
        <v>169</v>
      </c>
      <c r="K4139" s="2">
        <v>66.806700000000006</v>
      </c>
      <c r="L4139" s="2">
        <v>149</v>
      </c>
      <c r="M4139" s="2">
        <v>106.43689999999999</v>
      </c>
      <c r="N4139" s="2">
        <v>133</v>
      </c>
      <c r="O4139" s="2">
        <v>107.3074</v>
      </c>
      <c r="P4139" s="2">
        <v>120</v>
      </c>
      <c r="Q4139" s="2">
        <v>98.063699999999997</v>
      </c>
      <c r="R4139" s="2">
        <v>46</v>
      </c>
      <c r="S4139" s="2">
        <v>100.5201</v>
      </c>
      <c r="T4139" s="2">
        <v>89</v>
      </c>
      <c r="U4139" s="2">
        <v>0.67948600000000003</v>
      </c>
      <c r="V4139" s="2">
        <v>89</v>
      </c>
      <c r="W4139" s="2">
        <v>2014</v>
      </c>
    </row>
    <row r="4140" spans="1:23" ht="12.3" hidden="1" x14ac:dyDescent="0.4">
      <c r="A4140" s="2" t="s">
        <v>51</v>
      </c>
      <c r="B4140" s="2"/>
      <c r="C4140" s="2"/>
      <c r="D4140" s="2"/>
      <c r="E4140" s="2"/>
      <c r="F4140" s="2"/>
      <c r="G4140" s="2"/>
      <c r="H4140" s="2"/>
      <c r="I4140" s="2">
        <v>69.396100000000004</v>
      </c>
      <c r="J4140" s="2">
        <v>53</v>
      </c>
      <c r="K4140" s="2">
        <v>69.732399999999998</v>
      </c>
      <c r="L4140" s="2">
        <v>40</v>
      </c>
      <c r="M4140" s="2">
        <v>107.00230000000001</v>
      </c>
      <c r="N4140" s="2">
        <v>121</v>
      </c>
      <c r="O4140" s="2">
        <v>109.73990000000001</v>
      </c>
      <c r="P4140" s="2">
        <v>76</v>
      </c>
      <c r="Q4140" s="2">
        <v>103.3519</v>
      </c>
      <c r="R4140" s="2">
        <v>132</v>
      </c>
      <c r="S4140" s="2">
        <v>102.8779</v>
      </c>
      <c r="T4140" s="2">
        <v>134</v>
      </c>
      <c r="U4140" s="2">
        <v>0.67755600000000005</v>
      </c>
      <c r="V4140" s="2">
        <v>90</v>
      </c>
      <c r="W4140" s="2">
        <v>2014</v>
      </c>
    </row>
    <row r="4141" spans="1:23" ht="12.3" hidden="1" x14ac:dyDescent="0.4">
      <c r="A4141" s="2" t="s">
        <v>219</v>
      </c>
      <c r="B4141" s="2"/>
      <c r="C4141" s="2"/>
      <c r="D4141" s="2"/>
      <c r="E4141" s="2"/>
      <c r="F4141" s="2"/>
      <c r="G4141" s="2"/>
      <c r="H4141" s="2"/>
      <c r="I4141" s="2">
        <v>64.926000000000002</v>
      </c>
      <c r="J4141" s="2">
        <v>251</v>
      </c>
      <c r="K4141" s="2">
        <v>64.686700000000002</v>
      </c>
      <c r="L4141" s="2">
        <v>261</v>
      </c>
      <c r="M4141" s="2">
        <v>105.74930000000001</v>
      </c>
      <c r="N4141" s="2">
        <v>152</v>
      </c>
      <c r="O4141" s="2">
        <v>105.4777</v>
      </c>
      <c r="P4141" s="2">
        <v>154</v>
      </c>
      <c r="Q4141" s="2">
        <v>98.537800000000004</v>
      </c>
      <c r="R4141" s="2">
        <v>51</v>
      </c>
      <c r="S4141" s="2">
        <v>98.983900000000006</v>
      </c>
      <c r="T4141" s="2">
        <v>62</v>
      </c>
      <c r="U4141" s="2">
        <v>0.67496500000000004</v>
      </c>
      <c r="V4141" s="2">
        <v>91</v>
      </c>
      <c r="W4141" s="2">
        <v>2014</v>
      </c>
    </row>
    <row r="4142" spans="1:23" ht="12.3" hidden="1" x14ac:dyDescent="0.4">
      <c r="A4142" s="2" t="s">
        <v>100</v>
      </c>
      <c r="B4142" s="2"/>
      <c r="C4142" s="2"/>
      <c r="D4142" s="2"/>
      <c r="E4142" s="2"/>
      <c r="F4142" s="2"/>
      <c r="G4142" s="2"/>
      <c r="H4142" s="2"/>
      <c r="I4142" s="2">
        <v>64.720200000000006</v>
      </c>
      <c r="J4142" s="2">
        <v>265</v>
      </c>
      <c r="K4142" s="2">
        <v>63.644799999999996</v>
      </c>
      <c r="L4142" s="2">
        <v>301</v>
      </c>
      <c r="M4142" s="2">
        <v>101.6832</v>
      </c>
      <c r="N4142" s="2">
        <v>236</v>
      </c>
      <c r="O4142" s="2">
        <v>103.68980000000001</v>
      </c>
      <c r="P4142" s="2">
        <v>191</v>
      </c>
      <c r="Q4142" s="2">
        <v>99.150599999999997</v>
      </c>
      <c r="R4142" s="2">
        <v>63</v>
      </c>
      <c r="S4142" s="2">
        <v>97.388300000000001</v>
      </c>
      <c r="T4142" s="2">
        <v>48</v>
      </c>
      <c r="U4142" s="2">
        <v>0.67283300000000001</v>
      </c>
      <c r="V4142" s="2">
        <v>92</v>
      </c>
      <c r="W4142" s="2">
        <v>2014</v>
      </c>
    </row>
    <row r="4143" spans="1:23" ht="12.3" hidden="1" x14ac:dyDescent="0.4">
      <c r="A4143" s="2" t="s">
        <v>18</v>
      </c>
      <c r="B4143" s="2"/>
      <c r="C4143" s="2"/>
      <c r="D4143" s="2"/>
      <c r="E4143" s="2"/>
      <c r="F4143" s="2"/>
      <c r="G4143" s="2"/>
      <c r="H4143" s="2"/>
      <c r="I4143" s="2">
        <v>63.933199999999999</v>
      </c>
      <c r="J4143" s="2">
        <v>292</v>
      </c>
      <c r="K4143" s="2">
        <v>63.492199999999997</v>
      </c>
      <c r="L4143" s="2">
        <v>308</v>
      </c>
      <c r="M4143" s="2">
        <v>102.3411</v>
      </c>
      <c r="N4143" s="2">
        <v>224</v>
      </c>
      <c r="O4143" s="2">
        <v>104.9876</v>
      </c>
      <c r="P4143" s="2">
        <v>168</v>
      </c>
      <c r="Q4143" s="2">
        <v>102.8995</v>
      </c>
      <c r="R4143" s="2">
        <v>120</v>
      </c>
      <c r="S4143" s="2">
        <v>98.629199999999997</v>
      </c>
      <c r="T4143" s="2">
        <v>57</v>
      </c>
      <c r="U4143" s="2">
        <v>0.67226699999999995</v>
      </c>
      <c r="V4143" s="2">
        <v>93</v>
      </c>
      <c r="W4143" s="2">
        <v>2014</v>
      </c>
    </row>
    <row r="4144" spans="1:23" ht="12.3" hidden="1" x14ac:dyDescent="0.4">
      <c r="A4144" s="2" t="s">
        <v>216</v>
      </c>
      <c r="B4144" s="2"/>
      <c r="C4144" s="2"/>
      <c r="D4144" s="2"/>
      <c r="E4144" s="2"/>
      <c r="F4144" s="2"/>
      <c r="G4144" s="2"/>
      <c r="H4144" s="2"/>
      <c r="I4144" s="2">
        <v>65.439400000000006</v>
      </c>
      <c r="J4144" s="2">
        <v>229</v>
      </c>
      <c r="K4144" s="2">
        <v>65.870800000000003</v>
      </c>
      <c r="L4144" s="2">
        <v>201</v>
      </c>
      <c r="M4144" s="2">
        <v>109.71250000000001</v>
      </c>
      <c r="N4144" s="2">
        <v>63</v>
      </c>
      <c r="O4144" s="2">
        <v>112.07</v>
      </c>
      <c r="P4144" s="2">
        <v>43</v>
      </c>
      <c r="Q4144" s="2">
        <v>105.5886</v>
      </c>
      <c r="R4144" s="2">
        <v>191</v>
      </c>
      <c r="S4144" s="2">
        <v>105.3027</v>
      </c>
      <c r="T4144" s="2">
        <v>180</v>
      </c>
      <c r="U4144" s="2">
        <v>0.67178700000000002</v>
      </c>
      <c r="V4144" s="2">
        <v>94</v>
      </c>
      <c r="W4144" s="2">
        <v>2014</v>
      </c>
    </row>
    <row r="4145" spans="1:23" ht="12.3" hidden="1" x14ac:dyDescent="0.4">
      <c r="A4145" s="2" t="s">
        <v>131</v>
      </c>
      <c r="B4145" s="2"/>
      <c r="C4145" s="2"/>
      <c r="D4145" s="2"/>
      <c r="E4145" s="2"/>
      <c r="F4145" s="2"/>
      <c r="G4145" s="2"/>
      <c r="H4145" s="2"/>
      <c r="I4145" s="2">
        <v>68.664500000000004</v>
      </c>
      <c r="J4145" s="2">
        <v>75</v>
      </c>
      <c r="K4145" s="2">
        <v>68.537199999999999</v>
      </c>
      <c r="L4145" s="2">
        <v>70</v>
      </c>
      <c r="M4145" s="2">
        <v>107.76900000000001</v>
      </c>
      <c r="N4145" s="2">
        <v>95</v>
      </c>
      <c r="O4145" s="2">
        <v>110.67359999999999</v>
      </c>
      <c r="P4145" s="2">
        <v>63</v>
      </c>
      <c r="Q4145" s="2">
        <v>108.0334</v>
      </c>
      <c r="R4145" s="2">
        <v>252</v>
      </c>
      <c r="S4145" s="2">
        <v>104.2109</v>
      </c>
      <c r="T4145" s="2">
        <v>159</v>
      </c>
      <c r="U4145" s="2">
        <v>0.66639899999999996</v>
      </c>
      <c r="V4145" s="2">
        <v>95</v>
      </c>
      <c r="W4145" s="2">
        <v>2014</v>
      </c>
    </row>
    <row r="4146" spans="1:23" ht="12.3" hidden="1" x14ac:dyDescent="0.4">
      <c r="A4146" s="2" t="s">
        <v>176</v>
      </c>
      <c r="B4146" s="2"/>
      <c r="C4146" s="2"/>
      <c r="D4146" s="2"/>
      <c r="E4146" s="2"/>
      <c r="F4146" s="2"/>
      <c r="G4146" s="2"/>
      <c r="H4146" s="2"/>
      <c r="I4146" s="2">
        <v>64.368700000000004</v>
      </c>
      <c r="J4146" s="2">
        <v>277</v>
      </c>
      <c r="K4146" s="2">
        <v>64.843299999999999</v>
      </c>
      <c r="L4146" s="2">
        <v>255</v>
      </c>
      <c r="M4146" s="2">
        <v>108.74250000000001</v>
      </c>
      <c r="N4146" s="2">
        <v>79</v>
      </c>
      <c r="O4146" s="2">
        <v>106.4635</v>
      </c>
      <c r="P4146" s="2">
        <v>131</v>
      </c>
      <c r="Q4146" s="2">
        <v>98.644199999999998</v>
      </c>
      <c r="R4146" s="2">
        <v>55</v>
      </c>
      <c r="S4146" s="2">
        <v>100.28870000000001</v>
      </c>
      <c r="T4146" s="2">
        <v>82</v>
      </c>
      <c r="U4146" s="2">
        <v>0.66532500000000006</v>
      </c>
      <c r="V4146" s="2">
        <v>96</v>
      </c>
      <c r="W4146" s="2">
        <v>2014</v>
      </c>
    </row>
    <row r="4147" spans="1:23" ht="12.3" hidden="1" x14ac:dyDescent="0.4">
      <c r="A4147" s="2" t="s">
        <v>49</v>
      </c>
      <c r="B4147" s="2"/>
      <c r="C4147" s="2"/>
      <c r="D4147" s="2"/>
      <c r="E4147" s="2"/>
      <c r="F4147" s="2"/>
      <c r="G4147" s="2"/>
      <c r="H4147" s="2"/>
      <c r="I4147" s="2">
        <v>64.108500000000006</v>
      </c>
      <c r="J4147" s="2">
        <v>288</v>
      </c>
      <c r="K4147" s="2">
        <v>63.547800000000002</v>
      </c>
      <c r="L4147" s="2">
        <v>306</v>
      </c>
      <c r="M4147" s="2">
        <v>102.8532</v>
      </c>
      <c r="N4147" s="2">
        <v>212</v>
      </c>
      <c r="O4147" s="2">
        <v>106.1298</v>
      </c>
      <c r="P4147" s="2">
        <v>137</v>
      </c>
      <c r="Q4147" s="2">
        <v>103.94450000000001</v>
      </c>
      <c r="R4147" s="2">
        <v>149</v>
      </c>
      <c r="S4147" s="2">
        <v>100.1322</v>
      </c>
      <c r="T4147" s="2">
        <v>76</v>
      </c>
      <c r="U4147" s="2">
        <v>0.66127199999999997</v>
      </c>
      <c r="V4147" s="2">
        <v>97</v>
      </c>
      <c r="W4147" s="2">
        <v>2014</v>
      </c>
    </row>
    <row r="4148" spans="1:23" ht="12.3" x14ac:dyDescent="0.4">
      <c r="A4148" s="2" t="s">
        <v>104</v>
      </c>
      <c r="B4148" s="2">
        <v>14</v>
      </c>
      <c r="C4148" s="2"/>
      <c r="D4148" s="2"/>
      <c r="E4148" s="2"/>
      <c r="F4148" s="2"/>
      <c r="G4148" s="2"/>
      <c r="H4148" s="2"/>
      <c r="I4148" s="2">
        <v>63.234499999999997</v>
      </c>
      <c r="J4148" s="2">
        <v>312</v>
      </c>
      <c r="K4148" s="2">
        <v>64.794799999999995</v>
      </c>
      <c r="L4148" s="2">
        <v>296</v>
      </c>
      <c r="M4148" s="2">
        <v>105.2163</v>
      </c>
      <c r="N4148" s="2">
        <v>86</v>
      </c>
      <c r="O4148" s="2">
        <v>105.4534</v>
      </c>
      <c r="P4148" s="2">
        <v>87</v>
      </c>
      <c r="Q4148" s="2">
        <v>96.096500000000006</v>
      </c>
      <c r="R4148" s="2">
        <v>65</v>
      </c>
      <c r="S4148" s="2">
        <v>97.670400000000001</v>
      </c>
      <c r="T4148" s="2">
        <v>88</v>
      </c>
      <c r="U4148" s="2">
        <v>0.70717600000000003</v>
      </c>
      <c r="V4148" s="2">
        <v>77</v>
      </c>
      <c r="W4148" s="2">
        <v>2002</v>
      </c>
    </row>
    <row r="4149" spans="1:23" ht="12.3" x14ac:dyDescent="0.4">
      <c r="A4149" s="2" t="s">
        <v>107</v>
      </c>
      <c r="B4149" s="2">
        <v>14</v>
      </c>
      <c r="C4149" s="25"/>
      <c r="D4149" s="2"/>
      <c r="E4149" s="2"/>
      <c r="F4149" s="2"/>
      <c r="G4149" s="2"/>
      <c r="H4149" s="2"/>
      <c r="I4149" s="2">
        <v>68.608400000000003</v>
      </c>
      <c r="J4149" s="2">
        <v>206</v>
      </c>
      <c r="K4149" s="2">
        <v>66.805000000000007</v>
      </c>
      <c r="L4149" s="2">
        <v>260</v>
      </c>
      <c r="M4149" s="2">
        <v>102.226</v>
      </c>
      <c r="N4149" s="2">
        <v>142</v>
      </c>
      <c r="O4149" s="2">
        <v>102.3383</v>
      </c>
      <c r="P4149" s="2">
        <v>134</v>
      </c>
      <c r="Q4149" s="2">
        <v>92.412000000000006</v>
      </c>
      <c r="R4149" s="2">
        <v>14</v>
      </c>
      <c r="S4149" s="2">
        <v>95.354900000000001</v>
      </c>
      <c r="T4149" s="2">
        <v>46</v>
      </c>
      <c r="U4149" s="2">
        <v>0.69270500000000002</v>
      </c>
      <c r="V4149" s="2">
        <v>80</v>
      </c>
      <c r="W4149" s="2">
        <v>2002</v>
      </c>
    </row>
    <row r="4150" spans="1:23" ht="12.3" hidden="1" x14ac:dyDescent="0.4">
      <c r="A4150" s="2" t="s">
        <v>213</v>
      </c>
      <c r="B4150" s="2"/>
      <c r="C4150" s="2"/>
      <c r="D4150" s="2"/>
      <c r="E4150" s="2"/>
      <c r="F4150" s="2"/>
      <c r="G4150" s="2"/>
      <c r="H4150" s="2"/>
      <c r="I4150" s="2">
        <v>67.664599999999993</v>
      </c>
      <c r="J4150" s="2">
        <v>120</v>
      </c>
      <c r="K4150" s="2">
        <v>68.140699999999995</v>
      </c>
      <c r="L4150" s="2">
        <v>87</v>
      </c>
      <c r="M4150" s="2">
        <v>107.9813</v>
      </c>
      <c r="N4150" s="2">
        <v>92</v>
      </c>
      <c r="O4150" s="2">
        <v>110.099</v>
      </c>
      <c r="P4150" s="2">
        <v>70</v>
      </c>
      <c r="Q4150" s="2">
        <v>99.233400000000003</v>
      </c>
      <c r="R4150" s="2">
        <v>65</v>
      </c>
      <c r="S4150" s="2">
        <v>104.0256</v>
      </c>
      <c r="T4150" s="2">
        <v>154</v>
      </c>
      <c r="U4150" s="2">
        <v>0.65758300000000003</v>
      </c>
      <c r="V4150" s="2">
        <v>100</v>
      </c>
      <c r="W4150" s="2">
        <v>2014</v>
      </c>
    </row>
    <row r="4151" spans="1:23" ht="12.3" hidden="1" x14ac:dyDescent="0.4">
      <c r="A4151" s="2" t="s">
        <v>56</v>
      </c>
      <c r="B4151" s="2"/>
      <c r="C4151" s="2"/>
      <c r="D4151" s="2"/>
      <c r="E4151" s="2"/>
      <c r="F4151" s="2"/>
      <c r="G4151" s="2"/>
      <c r="H4151" s="2"/>
      <c r="I4151" s="2">
        <v>64.116699999999994</v>
      </c>
      <c r="J4151" s="2">
        <v>286</v>
      </c>
      <c r="K4151" s="2">
        <v>64.117500000000007</v>
      </c>
      <c r="L4151" s="2">
        <v>283</v>
      </c>
      <c r="M4151" s="2">
        <v>110.1211</v>
      </c>
      <c r="N4151" s="2">
        <v>58</v>
      </c>
      <c r="O4151" s="2">
        <v>112.136</v>
      </c>
      <c r="P4151" s="2">
        <v>41</v>
      </c>
      <c r="Q4151" s="2">
        <v>108.5455</v>
      </c>
      <c r="R4151" s="2">
        <v>266</v>
      </c>
      <c r="S4151" s="2">
        <v>106.2261</v>
      </c>
      <c r="T4151" s="2">
        <v>203</v>
      </c>
      <c r="U4151" s="2">
        <v>0.65081599999999995</v>
      </c>
      <c r="V4151" s="2">
        <v>101</v>
      </c>
      <c r="W4151" s="2">
        <v>2014</v>
      </c>
    </row>
    <row r="4152" spans="1:23" ht="12.3" hidden="1" x14ac:dyDescent="0.4">
      <c r="A4152" s="2" t="s">
        <v>121</v>
      </c>
      <c r="B4152" s="2"/>
      <c r="C4152" s="2"/>
      <c r="D4152" s="2"/>
      <c r="E4152" s="2"/>
      <c r="F4152" s="2"/>
      <c r="G4152" s="2"/>
      <c r="H4152" s="2"/>
      <c r="I4152" s="2">
        <v>68.111099999999993</v>
      </c>
      <c r="J4152" s="2">
        <v>103</v>
      </c>
      <c r="K4152" s="2">
        <v>68.888000000000005</v>
      </c>
      <c r="L4152" s="2">
        <v>60</v>
      </c>
      <c r="M4152" s="2">
        <v>103.9194</v>
      </c>
      <c r="N4152" s="2">
        <v>192</v>
      </c>
      <c r="O4152" s="2">
        <v>106.7248</v>
      </c>
      <c r="P4152" s="2">
        <v>127</v>
      </c>
      <c r="Q4152" s="2">
        <v>103.4967</v>
      </c>
      <c r="R4152" s="2">
        <v>138</v>
      </c>
      <c r="S4152" s="2">
        <v>101.23309999999999</v>
      </c>
      <c r="T4152" s="2">
        <v>99</v>
      </c>
      <c r="U4152" s="2">
        <v>0.647374</v>
      </c>
      <c r="V4152" s="2">
        <v>102</v>
      </c>
      <c r="W4152" s="2">
        <v>2014</v>
      </c>
    </row>
    <row r="4153" spans="1:23" ht="12.3" hidden="1" x14ac:dyDescent="0.4">
      <c r="A4153" s="2" t="s">
        <v>149</v>
      </c>
      <c r="B4153" s="2"/>
      <c r="C4153" s="2"/>
      <c r="D4153" s="2"/>
      <c r="E4153" s="2"/>
      <c r="F4153" s="2"/>
      <c r="G4153" s="2"/>
      <c r="H4153" s="2"/>
      <c r="I4153" s="2">
        <v>68.167199999999994</v>
      </c>
      <c r="J4153" s="2">
        <v>102</v>
      </c>
      <c r="K4153" s="2">
        <v>66.795900000000003</v>
      </c>
      <c r="L4153" s="2">
        <v>150</v>
      </c>
      <c r="M4153" s="2">
        <v>108.9265</v>
      </c>
      <c r="N4153" s="2">
        <v>76</v>
      </c>
      <c r="O4153" s="2">
        <v>111.4866</v>
      </c>
      <c r="P4153" s="2">
        <v>50</v>
      </c>
      <c r="Q4153" s="2">
        <v>108.95959999999999</v>
      </c>
      <c r="R4153" s="2">
        <v>274</v>
      </c>
      <c r="S4153" s="2">
        <v>105.7582</v>
      </c>
      <c r="T4153" s="2">
        <v>195</v>
      </c>
      <c r="U4153" s="2">
        <v>0.64716899999999999</v>
      </c>
      <c r="V4153" s="2">
        <v>103</v>
      </c>
      <c r="W4153" s="2">
        <v>2014</v>
      </c>
    </row>
    <row r="4154" spans="1:23" ht="12.3" hidden="1" x14ac:dyDescent="0.4">
      <c r="A4154" s="2" t="s">
        <v>267</v>
      </c>
      <c r="B4154" s="2"/>
      <c r="C4154" s="2"/>
      <c r="D4154" s="2"/>
      <c r="E4154" s="2"/>
      <c r="F4154" s="2"/>
      <c r="G4154" s="2"/>
      <c r="H4154" s="2"/>
      <c r="I4154" s="2">
        <v>65.9649</v>
      </c>
      <c r="J4154" s="2">
        <v>204</v>
      </c>
      <c r="K4154" s="2">
        <v>66.624899999999997</v>
      </c>
      <c r="L4154" s="2">
        <v>163</v>
      </c>
      <c r="M4154" s="2">
        <v>105.9207</v>
      </c>
      <c r="N4154" s="2">
        <v>147</v>
      </c>
      <c r="O4154" s="2">
        <v>105.4585</v>
      </c>
      <c r="P4154" s="2">
        <v>156</v>
      </c>
      <c r="Q4154" s="2">
        <v>101.60939999999999</v>
      </c>
      <c r="R4154" s="2">
        <v>101</v>
      </c>
      <c r="S4154" s="2">
        <v>100.327</v>
      </c>
      <c r="T4154" s="2">
        <v>83</v>
      </c>
      <c r="U4154" s="2">
        <v>0.63960499999999998</v>
      </c>
      <c r="V4154" s="2">
        <v>104</v>
      </c>
      <c r="W4154" s="2">
        <v>2014</v>
      </c>
    </row>
    <row r="4155" spans="1:23" ht="12.3" x14ac:dyDescent="0.4">
      <c r="A4155" s="2" t="s">
        <v>134</v>
      </c>
      <c r="B4155" s="2">
        <v>13</v>
      </c>
      <c r="C4155" s="2"/>
      <c r="D4155" s="2"/>
      <c r="E4155" s="2"/>
      <c r="F4155" s="2"/>
      <c r="G4155" s="2"/>
      <c r="H4155" s="2"/>
      <c r="I4155" s="2">
        <v>68.883600000000001</v>
      </c>
      <c r="J4155" s="2">
        <v>192</v>
      </c>
      <c r="K4155" s="2">
        <v>66.721100000000007</v>
      </c>
      <c r="L4155" s="2">
        <v>265</v>
      </c>
      <c r="M4155" s="2">
        <v>98.002600000000001</v>
      </c>
      <c r="N4155" s="2">
        <v>215</v>
      </c>
      <c r="O4155" s="2">
        <v>99.806700000000006</v>
      </c>
      <c r="P4155" s="2">
        <v>186</v>
      </c>
      <c r="Q4155" s="2">
        <v>97.679000000000002</v>
      </c>
      <c r="R4155" s="2">
        <v>88</v>
      </c>
      <c r="S4155" s="2">
        <v>95.789699999999996</v>
      </c>
      <c r="T4155" s="2">
        <v>53</v>
      </c>
      <c r="U4155" s="2">
        <v>0.61595500000000003</v>
      </c>
      <c r="V4155" s="2">
        <v>107</v>
      </c>
      <c r="W4155" s="2">
        <v>2002</v>
      </c>
    </row>
    <row r="4156" spans="1:23" ht="12.3" hidden="1" x14ac:dyDescent="0.4">
      <c r="A4156" s="2" t="s">
        <v>258</v>
      </c>
      <c r="B4156" s="2"/>
      <c r="C4156" s="2"/>
      <c r="D4156" s="2"/>
      <c r="E4156" s="2"/>
      <c r="F4156" s="2"/>
      <c r="G4156" s="2"/>
      <c r="H4156" s="2"/>
      <c r="I4156" s="2">
        <v>67.337800000000001</v>
      </c>
      <c r="J4156" s="2">
        <v>133</v>
      </c>
      <c r="K4156" s="2">
        <v>66.164500000000004</v>
      </c>
      <c r="L4156" s="2">
        <v>187</v>
      </c>
      <c r="M4156" s="2">
        <v>100.24939999999999</v>
      </c>
      <c r="N4156" s="2">
        <v>259</v>
      </c>
      <c r="O4156" s="2">
        <v>103.7531</v>
      </c>
      <c r="P4156" s="2">
        <v>188</v>
      </c>
      <c r="Q4156" s="2">
        <v>100.8689</v>
      </c>
      <c r="R4156" s="2">
        <v>90</v>
      </c>
      <c r="S4156" s="2">
        <v>98.893299999999996</v>
      </c>
      <c r="T4156" s="2">
        <v>61</v>
      </c>
      <c r="U4156" s="2">
        <v>0.63452699999999995</v>
      </c>
      <c r="V4156" s="2">
        <v>106</v>
      </c>
      <c r="W4156" s="2">
        <v>2014</v>
      </c>
    </row>
    <row r="4157" spans="1:23" ht="12.3" hidden="1" x14ac:dyDescent="0.4">
      <c r="A4157" s="2" t="s">
        <v>169</v>
      </c>
      <c r="B4157" s="2"/>
      <c r="C4157" s="2"/>
      <c r="D4157" s="2"/>
      <c r="E4157" s="2"/>
      <c r="F4157" s="2"/>
      <c r="G4157" s="2"/>
      <c r="H4157" s="2"/>
      <c r="I4157" s="2">
        <v>65.168099999999995</v>
      </c>
      <c r="J4157" s="2">
        <v>242</v>
      </c>
      <c r="K4157" s="2">
        <v>64.556200000000004</v>
      </c>
      <c r="L4157" s="2">
        <v>266</v>
      </c>
      <c r="M4157" s="2">
        <v>102.29130000000001</v>
      </c>
      <c r="N4157" s="2">
        <v>226</v>
      </c>
      <c r="O4157" s="2">
        <v>105.05629999999999</v>
      </c>
      <c r="P4157" s="2">
        <v>165</v>
      </c>
      <c r="Q4157" s="2">
        <v>103.1794</v>
      </c>
      <c r="R4157" s="2">
        <v>127</v>
      </c>
      <c r="S4157" s="2">
        <v>100.1939</v>
      </c>
      <c r="T4157" s="2">
        <v>79</v>
      </c>
      <c r="U4157" s="2">
        <v>0.632969</v>
      </c>
      <c r="V4157" s="2">
        <v>107</v>
      </c>
      <c r="W4157" s="2">
        <v>2014</v>
      </c>
    </row>
    <row r="4158" spans="1:23" ht="12.3" hidden="1" x14ac:dyDescent="0.4">
      <c r="A4158" s="2" t="s">
        <v>186</v>
      </c>
      <c r="B4158" s="2"/>
      <c r="C4158" s="2"/>
      <c r="D4158" s="2"/>
      <c r="E4158" s="2"/>
      <c r="F4158" s="2"/>
      <c r="G4158" s="2"/>
      <c r="H4158" s="2"/>
      <c r="I4158" s="2">
        <v>68.426199999999994</v>
      </c>
      <c r="J4158" s="2">
        <v>88</v>
      </c>
      <c r="K4158" s="2">
        <v>68.4392</v>
      </c>
      <c r="L4158" s="2">
        <v>74</v>
      </c>
      <c r="M4158" s="2">
        <v>114.6319</v>
      </c>
      <c r="N4158" s="2">
        <v>16</v>
      </c>
      <c r="O4158" s="2">
        <v>114.61450000000001</v>
      </c>
      <c r="P4158" s="2">
        <v>21</v>
      </c>
      <c r="Q4158" s="2">
        <v>107.02809999999999</v>
      </c>
      <c r="R4158" s="2">
        <v>230</v>
      </c>
      <c r="S4158" s="2">
        <v>109.3404</v>
      </c>
      <c r="T4158" s="2">
        <v>262</v>
      </c>
      <c r="U4158" s="2">
        <v>0.63221700000000003</v>
      </c>
      <c r="V4158" s="2">
        <v>108</v>
      </c>
      <c r="W4158" s="2">
        <v>2014</v>
      </c>
    </row>
    <row r="4159" spans="1:23" ht="12.3" hidden="1" x14ac:dyDescent="0.4">
      <c r="A4159" s="2" t="s">
        <v>244</v>
      </c>
      <c r="B4159" s="2"/>
      <c r="C4159" s="2"/>
      <c r="D4159" s="2"/>
      <c r="E4159" s="2"/>
      <c r="F4159" s="2"/>
      <c r="G4159" s="2"/>
      <c r="H4159" s="2"/>
      <c r="I4159" s="2">
        <v>69.555899999999994</v>
      </c>
      <c r="J4159" s="2">
        <v>50</v>
      </c>
      <c r="K4159" s="2">
        <v>68.931600000000003</v>
      </c>
      <c r="L4159" s="2">
        <v>59</v>
      </c>
      <c r="M4159" s="2">
        <v>114.3974</v>
      </c>
      <c r="N4159" s="2">
        <v>17</v>
      </c>
      <c r="O4159" s="2">
        <v>112.1404</v>
      </c>
      <c r="P4159" s="2">
        <v>40</v>
      </c>
      <c r="Q4159" s="2">
        <v>106.94929999999999</v>
      </c>
      <c r="R4159" s="2">
        <v>226</v>
      </c>
      <c r="S4159" s="2">
        <v>107.07429999999999</v>
      </c>
      <c r="T4159" s="2">
        <v>217</v>
      </c>
      <c r="U4159" s="2">
        <v>0.62986500000000001</v>
      </c>
      <c r="V4159" s="2">
        <v>109</v>
      </c>
      <c r="W4159" s="2">
        <v>2014</v>
      </c>
    </row>
    <row r="4160" spans="1:23" ht="12.3" hidden="1" x14ac:dyDescent="0.4">
      <c r="A4160" s="2" t="s">
        <v>283</v>
      </c>
      <c r="B4160" s="2"/>
      <c r="C4160" s="2"/>
      <c r="D4160" s="2"/>
      <c r="E4160" s="2"/>
      <c r="F4160" s="2"/>
      <c r="G4160" s="2"/>
      <c r="H4160" s="2"/>
      <c r="I4160" s="2">
        <v>67.836200000000005</v>
      </c>
      <c r="J4160" s="2">
        <v>111</v>
      </c>
      <c r="K4160" s="2">
        <v>66.768299999999996</v>
      </c>
      <c r="L4160" s="2">
        <v>151</v>
      </c>
      <c r="M4160" s="2">
        <v>112.3672</v>
      </c>
      <c r="N4160" s="2">
        <v>34</v>
      </c>
      <c r="O4160" s="2">
        <v>111.5836</v>
      </c>
      <c r="P4160" s="2">
        <v>48</v>
      </c>
      <c r="Q4160" s="2">
        <v>107.0586</v>
      </c>
      <c r="R4160" s="2">
        <v>232</v>
      </c>
      <c r="S4160" s="2">
        <v>106.85980000000001</v>
      </c>
      <c r="T4160" s="2">
        <v>215</v>
      </c>
      <c r="U4160" s="2">
        <v>0.62185999999999997</v>
      </c>
      <c r="V4160" s="2">
        <v>110</v>
      </c>
      <c r="W4160" s="2">
        <v>2014</v>
      </c>
    </row>
    <row r="4161" spans="1:23" ht="12.3" hidden="1" x14ac:dyDescent="0.4">
      <c r="A4161" s="2" t="s">
        <v>92</v>
      </c>
      <c r="B4161" s="2"/>
      <c r="C4161" s="2"/>
      <c r="D4161" s="2"/>
      <c r="E4161" s="2"/>
      <c r="F4161" s="2"/>
      <c r="G4161" s="2"/>
      <c r="H4161" s="2"/>
      <c r="I4161" s="2">
        <v>64.787599999999998</v>
      </c>
      <c r="J4161" s="2">
        <v>257</v>
      </c>
      <c r="K4161" s="2">
        <v>65.737799999999993</v>
      </c>
      <c r="L4161" s="2">
        <v>207</v>
      </c>
      <c r="M4161" s="2">
        <v>101.4967</v>
      </c>
      <c r="N4161" s="2">
        <v>239</v>
      </c>
      <c r="O4161" s="2">
        <v>103.9962</v>
      </c>
      <c r="P4161" s="2">
        <v>182</v>
      </c>
      <c r="Q4161" s="2">
        <v>102.1632</v>
      </c>
      <c r="R4161" s="2">
        <v>109</v>
      </c>
      <c r="S4161" s="2">
        <v>99.683300000000003</v>
      </c>
      <c r="T4161" s="2">
        <v>71</v>
      </c>
      <c r="U4161" s="2">
        <v>0.61941999999999997</v>
      </c>
      <c r="V4161" s="2">
        <v>111</v>
      </c>
      <c r="W4161" s="2">
        <v>2014</v>
      </c>
    </row>
    <row r="4162" spans="1:23" ht="12.3" hidden="1" x14ac:dyDescent="0.4">
      <c r="A4162" s="2" t="s">
        <v>290</v>
      </c>
      <c r="B4162" s="2"/>
      <c r="C4162" s="2"/>
      <c r="D4162" s="2"/>
      <c r="E4162" s="2"/>
      <c r="F4162" s="2"/>
      <c r="G4162" s="2"/>
      <c r="H4162" s="2"/>
      <c r="I4162" s="2">
        <v>67.218999999999994</v>
      </c>
      <c r="J4162" s="2">
        <v>137</v>
      </c>
      <c r="K4162" s="2">
        <v>66.601600000000005</v>
      </c>
      <c r="L4162" s="2">
        <v>166</v>
      </c>
      <c r="M4162" s="2">
        <v>108.9521</v>
      </c>
      <c r="N4162" s="2">
        <v>75</v>
      </c>
      <c r="O4162" s="2">
        <v>108.0701</v>
      </c>
      <c r="P4162" s="2">
        <v>102</v>
      </c>
      <c r="Q4162" s="2">
        <v>104.748</v>
      </c>
      <c r="R4162" s="2">
        <v>169</v>
      </c>
      <c r="S4162" s="2">
        <v>103.6198</v>
      </c>
      <c r="T4162" s="2">
        <v>147</v>
      </c>
      <c r="U4162" s="2">
        <v>0.61859500000000001</v>
      </c>
      <c r="V4162" s="2">
        <v>112</v>
      </c>
      <c r="W4162" s="2">
        <v>2014</v>
      </c>
    </row>
    <row r="4163" spans="1:23" ht="12.3" x14ac:dyDescent="0.4">
      <c r="A4163" s="2" t="s">
        <v>135</v>
      </c>
      <c r="B4163" s="2">
        <v>15</v>
      </c>
      <c r="C4163" s="2"/>
      <c r="D4163" s="2"/>
      <c r="E4163" s="2"/>
      <c r="F4163" s="2"/>
      <c r="G4163" s="2"/>
      <c r="H4163" s="2"/>
      <c r="I4163" s="2">
        <v>70.183499999999995</v>
      </c>
      <c r="J4163" s="2">
        <v>148</v>
      </c>
      <c r="K4163" s="2">
        <v>70.284199999999998</v>
      </c>
      <c r="L4163" s="2">
        <v>144</v>
      </c>
      <c r="M4163" s="2">
        <v>112.2398</v>
      </c>
      <c r="N4163" s="2">
        <v>11</v>
      </c>
      <c r="O4163" s="2">
        <v>107.6656</v>
      </c>
      <c r="P4163" s="2">
        <v>62</v>
      </c>
      <c r="Q4163" s="2">
        <v>98.991600000000005</v>
      </c>
      <c r="R4163" s="2">
        <v>114</v>
      </c>
      <c r="S4163" s="2">
        <v>103.74169999999999</v>
      </c>
      <c r="T4163" s="2">
        <v>220</v>
      </c>
      <c r="U4163" s="2">
        <v>0.60514400000000002</v>
      </c>
      <c r="V4163" s="2">
        <v>108</v>
      </c>
      <c r="W4163" s="2">
        <v>2002</v>
      </c>
    </row>
    <row r="4164" spans="1:23" ht="12.3" hidden="1" x14ac:dyDescent="0.4">
      <c r="A4164" s="2" t="s">
        <v>104</v>
      </c>
      <c r="B4164" s="2"/>
      <c r="C4164" s="2"/>
      <c r="D4164" s="2"/>
      <c r="E4164" s="2"/>
      <c r="F4164" s="2"/>
      <c r="G4164" s="2"/>
      <c r="H4164" s="2"/>
      <c r="I4164" s="2">
        <v>63.128399999999999</v>
      </c>
      <c r="J4164" s="2">
        <v>321</v>
      </c>
      <c r="K4164" s="2">
        <v>63.562600000000003</v>
      </c>
      <c r="L4164" s="2">
        <v>305</v>
      </c>
      <c r="M4164" s="2">
        <v>110.2983</v>
      </c>
      <c r="N4164" s="2">
        <v>57</v>
      </c>
      <c r="O4164" s="2">
        <v>108.8236</v>
      </c>
      <c r="P4164" s="2">
        <v>91</v>
      </c>
      <c r="Q4164" s="2">
        <v>104.0252</v>
      </c>
      <c r="R4164" s="2">
        <v>152</v>
      </c>
      <c r="S4164" s="2">
        <v>104.62690000000001</v>
      </c>
      <c r="T4164" s="2">
        <v>169</v>
      </c>
      <c r="U4164" s="2">
        <v>0.61117600000000005</v>
      </c>
      <c r="V4164" s="2">
        <v>114</v>
      </c>
      <c r="W4164" s="2">
        <v>2014</v>
      </c>
    </row>
    <row r="4165" spans="1:23" ht="12.3" x14ac:dyDescent="0.4">
      <c r="A4165" s="2" t="s">
        <v>144</v>
      </c>
      <c r="B4165" s="2">
        <v>15</v>
      </c>
      <c r="C4165" s="2"/>
      <c r="D4165" s="2"/>
      <c r="E4165" s="2"/>
      <c r="F4165" s="2"/>
      <c r="G4165" s="2"/>
      <c r="H4165" s="2"/>
      <c r="I4165" s="2">
        <v>68.559799999999996</v>
      </c>
      <c r="J4165" s="2">
        <v>208</v>
      </c>
      <c r="K4165" s="2">
        <v>68.922799999999995</v>
      </c>
      <c r="L4165" s="2">
        <v>197</v>
      </c>
      <c r="M4165" s="2">
        <v>105.7122</v>
      </c>
      <c r="N4165" s="2">
        <v>74</v>
      </c>
      <c r="O4165" s="2">
        <v>106.9515</v>
      </c>
      <c r="P4165" s="2">
        <v>72</v>
      </c>
      <c r="Q4165" s="2">
        <v>104.3741</v>
      </c>
      <c r="R4165" s="2">
        <v>243</v>
      </c>
      <c r="S4165" s="2">
        <v>103.9632</v>
      </c>
      <c r="T4165" s="2">
        <v>227</v>
      </c>
      <c r="U4165" s="2">
        <v>0.58076000000000005</v>
      </c>
      <c r="V4165" s="2">
        <v>117</v>
      </c>
      <c r="W4165" s="2">
        <v>2002</v>
      </c>
    </row>
    <row r="4166" spans="1:23" ht="12.3" hidden="1" x14ac:dyDescent="0.4">
      <c r="A4166" s="2" t="s">
        <v>61</v>
      </c>
      <c r="B4166" s="2"/>
      <c r="C4166" s="2"/>
      <c r="D4166" s="2"/>
      <c r="E4166" s="2"/>
      <c r="F4166" s="2"/>
      <c r="G4166" s="2"/>
      <c r="H4166" s="2"/>
      <c r="I4166" s="2">
        <v>67.403999999999996</v>
      </c>
      <c r="J4166" s="2">
        <v>129</v>
      </c>
      <c r="K4166" s="2">
        <v>68.076700000000002</v>
      </c>
      <c r="L4166" s="2">
        <v>93</v>
      </c>
      <c r="M4166" s="2">
        <v>102.79989999999999</v>
      </c>
      <c r="N4166" s="2">
        <v>214</v>
      </c>
      <c r="O4166" s="2">
        <v>105.7657</v>
      </c>
      <c r="P4166" s="2">
        <v>145</v>
      </c>
      <c r="Q4166" s="2">
        <v>105.3278</v>
      </c>
      <c r="R4166" s="2">
        <v>185</v>
      </c>
      <c r="S4166" s="2">
        <v>101.8267</v>
      </c>
      <c r="T4166" s="2">
        <v>108</v>
      </c>
      <c r="U4166" s="2">
        <v>0.60741699999999998</v>
      </c>
      <c r="V4166" s="2">
        <v>116</v>
      </c>
      <c r="W4166" s="2">
        <v>2014</v>
      </c>
    </row>
    <row r="4167" spans="1:23" ht="12.3" hidden="1" x14ac:dyDescent="0.4">
      <c r="A4167" s="2" t="s">
        <v>93</v>
      </c>
      <c r="B4167" s="2"/>
      <c r="C4167" s="2"/>
      <c r="D4167" s="2"/>
      <c r="E4167" s="2"/>
      <c r="F4167" s="2"/>
      <c r="G4167" s="2"/>
      <c r="H4167" s="2"/>
      <c r="I4167" s="2">
        <v>60.331499999999998</v>
      </c>
      <c r="J4167" s="2">
        <v>348</v>
      </c>
      <c r="K4167" s="2">
        <v>60.931899999999999</v>
      </c>
      <c r="L4167" s="2">
        <v>346</v>
      </c>
      <c r="M4167" s="2">
        <v>105.2881</v>
      </c>
      <c r="N4167" s="2">
        <v>162</v>
      </c>
      <c r="O4167" s="2">
        <v>104.7839</v>
      </c>
      <c r="P4167" s="2">
        <v>171</v>
      </c>
      <c r="Q4167" s="2">
        <v>101.2337</v>
      </c>
      <c r="R4167" s="2">
        <v>98</v>
      </c>
      <c r="S4167" s="2">
        <v>100.9804</v>
      </c>
      <c r="T4167" s="2">
        <v>96</v>
      </c>
      <c r="U4167" s="2">
        <v>0.60472800000000004</v>
      </c>
      <c r="V4167" s="2">
        <v>117</v>
      </c>
      <c r="W4167" s="2">
        <v>2014</v>
      </c>
    </row>
    <row r="4168" spans="1:23" ht="12.3" hidden="1" x14ac:dyDescent="0.4">
      <c r="A4168" s="2" t="s">
        <v>134</v>
      </c>
      <c r="B4168" s="2"/>
      <c r="C4168" s="2"/>
      <c r="D4168" s="2"/>
      <c r="E4168" s="2"/>
      <c r="F4168" s="2"/>
      <c r="G4168" s="2"/>
      <c r="H4168" s="2"/>
      <c r="I4168" s="2">
        <v>67.392200000000003</v>
      </c>
      <c r="J4168" s="2">
        <v>131</v>
      </c>
      <c r="K4168" s="2">
        <v>67.276499999999999</v>
      </c>
      <c r="L4168" s="2">
        <v>123</v>
      </c>
      <c r="M4168" s="2">
        <v>113.5</v>
      </c>
      <c r="N4168" s="2">
        <v>22</v>
      </c>
      <c r="O4168" s="2">
        <v>112.9543</v>
      </c>
      <c r="P4168" s="2">
        <v>36</v>
      </c>
      <c r="Q4168" s="2">
        <v>105.6413</v>
      </c>
      <c r="R4168" s="2">
        <v>193</v>
      </c>
      <c r="S4168" s="2">
        <v>109.05370000000001</v>
      </c>
      <c r="T4168" s="2">
        <v>257</v>
      </c>
      <c r="U4168" s="2">
        <v>0.59968399999999999</v>
      </c>
      <c r="V4168" s="2">
        <v>118</v>
      </c>
      <c r="W4168" s="2">
        <v>2014</v>
      </c>
    </row>
    <row r="4169" spans="1:23" ht="12.3" hidden="1" x14ac:dyDescent="0.4">
      <c r="A4169" s="2" t="s">
        <v>151</v>
      </c>
      <c r="B4169" s="2"/>
      <c r="C4169" s="2"/>
      <c r="D4169" s="2"/>
      <c r="E4169" s="2"/>
      <c r="F4169" s="2"/>
      <c r="G4169" s="2"/>
      <c r="H4169" s="2"/>
      <c r="I4169" s="2">
        <v>66.072100000000006</v>
      </c>
      <c r="J4169" s="2">
        <v>197</v>
      </c>
      <c r="K4169" s="2">
        <v>65.544399999999996</v>
      </c>
      <c r="L4169" s="2">
        <v>218</v>
      </c>
      <c r="M4169" s="2">
        <v>106.0352</v>
      </c>
      <c r="N4169" s="2">
        <v>145</v>
      </c>
      <c r="O4169" s="2">
        <v>107.3205</v>
      </c>
      <c r="P4169" s="2">
        <v>119</v>
      </c>
      <c r="Q4169" s="2">
        <v>99.633399999999995</v>
      </c>
      <c r="R4169" s="2">
        <v>70</v>
      </c>
      <c r="S4169" s="2">
        <v>103.7</v>
      </c>
      <c r="T4169" s="2">
        <v>150</v>
      </c>
      <c r="U4169" s="2">
        <v>0.59740199999999999</v>
      </c>
      <c r="V4169" s="2">
        <v>119</v>
      </c>
      <c r="W4169" s="2">
        <v>2014</v>
      </c>
    </row>
    <row r="4170" spans="1:23" ht="12.3" hidden="1" x14ac:dyDescent="0.4">
      <c r="A4170" s="2" t="s">
        <v>111</v>
      </c>
      <c r="B4170" s="2"/>
      <c r="C4170" s="2"/>
      <c r="D4170" s="2"/>
      <c r="E4170" s="2"/>
      <c r="F4170" s="2"/>
      <c r="G4170" s="2"/>
      <c r="H4170" s="2"/>
      <c r="I4170" s="2">
        <v>64.346699999999998</v>
      </c>
      <c r="J4170" s="2">
        <v>279</v>
      </c>
      <c r="K4170" s="2">
        <v>63.347900000000003</v>
      </c>
      <c r="L4170" s="2">
        <v>311</v>
      </c>
      <c r="M4170" s="2">
        <v>99.569400000000002</v>
      </c>
      <c r="N4170" s="2">
        <v>271</v>
      </c>
      <c r="O4170" s="2">
        <v>102.56789999999999</v>
      </c>
      <c r="P4170" s="2">
        <v>211</v>
      </c>
      <c r="Q4170" s="2">
        <v>101.27500000000001</v>
      </c>
      <c r="R4170" s="2">
        <v>99</v>
      </c>
      <c r="S4170" s="2">
        <v>99.138400000000004</v>
      </c>
      <c r="T4170" s="2">
        <v>64</v>
      </c>
      <c r="U4170" s="2">
        <v>0.59654499999999999</v>
      </c>
      <c r="V4170" s="2">
        <v>120</v>
      </c>
      <c r="W4170" s="2">
        <v>2014</v>
      </c>
    </row>
    <row r="4171" spans="1:23" ht="12.3" hidden="1" x14ac:dyDescent="0.4">
      <c r="A4171" s="2" t="s">
        <v>17</v>
      </c>
      <c r="B4171" s="2"/>
      <c r="C4171" s="2"/>
      <c r="D4171" s="2"/>
      <c r="E4171" s="2"/>
      <c r="F4171" s="2"/>
      <c r="G4171" s="2"/>
      <c r="H4171" s="2"/>
      <c r="I4171" s="2">
        <v>66.855900000000005</v>
      </c>
      <c r="J4171" s="2">
        <v>155</v>
      </c>
      <c r="K4171" s="2">
        <v>66.701300000000003</v>
      </c>
      <c r="L4171" s="2">
        <v>158</v>
      </c>
      <c r="M4171" s="2">
        <v>102.24630000000001</v>
      </c>
      <c r="N4171" s="2">
        <v>228</v>
      </c>
      <c r="O4171" s="2">
        <v>105.91679999999999</v>
      </c>
      <c r="P4171" s="2">
        <v>140</v>
      </c>
      <c r="Q4171" s="2">
        <v>104.6024</v>
      </c>
      <c r="R4171" s="2">
        <v>167</v>
      </c>
      <c r="S4171" s="2">
        <v>102.4409</v>
      </c>
      <c r="T4171" s="2">
        <v>123</v>
      </c>
      <c r="U4171" s="2">
        <v>0.594773</v>
      </c>
      <c r="V4171" s="2">
        <v>121</v>
      </c>
      <c r="W4171" s="2">
        <v>2014</v>
      </c>
    </row>
    <row r="4172" spans="1:23" ht="12.3" hidden="1" x14ac:dyDescent="0.4">
      <c r="A4172" s="2" t="s">
        <v>331</v>
      </c>
      <c r="B4172" s="2"/>
      <c r="C4172" s="2"/>
      <c r="D4172" s="2"/>
      <c r="E4172" s="2"/>
      <c r="F4172" s="2"/>
      <c r="G4172" s="2"/>
      <c r="H4172" s="2"/>
      <c r="I4172" s="2">
        <v>65.061199999999999</v>
      </c>
      <c r="J4172" s="2">
        <v>247</v>
      </c>
      <c r="K4172" s="2">
        <v>64.574299999999994</v>
      </c>
      <c r="L4172" s="2">
        <v>265</v>
      </c>
      <c r="M4172" s="2">
        <v>97.276300000000006</v>
      </c>
      <c r="N4172" s="2">
        <v>299</v>
      </c>
      <c r="O4172" s="2">
        <v>97.496600000000001</v>
      </c>
      <c r="P4172" s="2">
        <v>293</v>
      </c>
      <c r="Q4172" s="2">
        <v>94.762900000000002</v>
      </c>
      <c r="R4172" s="2">
        <v>16</v>
      </c>
      <c r="S4172" s="2">
        <v>94.306700000000006</v>
      </c>
      <c r="T4172" s="2">
        <v>19</v>
      </c>
      <c r="U4172" s="2">
        <v>0.59448800000000002</v>
      </c>
      <c r="V4172" s="2">
        <v>122</v>
      </c>
      <c r="W4172" s="2">
        <v>2014</v>
      </c>
    </row>
    <row r="4173" spans="1:23" ht="12.3" hidden="1" x14ac:dyDescent="0.4">
      <c r="A4173" s="2" t="s">
        <v>112</v>
      </c>
      <c r="B4173" s="2"/>
      <c r="C4173" s="2"/>
      <c r="D4173" s="2"/>
      <c r="E4173" s="2"/>
      <c r="F4173" s="2"/>
      <c r="G4173" s="2"/>
      <c r="H4173" s="2"/>
      <c r="I4173" s="2">
        <v>65.542500000000004</v>
      </c>
      <c r="J4173" s="2">
        <v>222</v>
      </c>
      <c r="K4173" s="2">
        <v>66.754400000000004</v>
      </c>
      <c r="L4173" s="2">
        <v>153</v>
      </c>
      <c r="M4173" s="2">
        <v>106.867</v>
      </c>
      <c r="N4173" s="2">
        <v>125</v>
      </c>
      <c r="O4173" s="2">
        <v>109.9661</v>
      </c>
      <c r="P4173" s="2">
        <v>72</v>
      </c>
      <c r="Q4173" s="2">
        <v>107.98439999999999</v>
      </c>
      <c r="R4173" s="2">
        <v>251</v>
      </c>
      <c r="S4173" s="2">
        <v>106.4016</v>
      </c>
      <c r="T4173" s="2">
        <v>205</v>
      </c>
      <c r="U4173" s="2">
        <v>0.59361699999999995</v>
      </c>
      <c r="V4173" s="2">
        <v>123</v>
      </c>
      <c r="W4173" s="2">
        <v>2014</v>
      </c>
    </row>
    <row r="4174" spans="1:23" ht="12.3" hidden="1" x14ac:dyDescent="0.4">
      <c r="A4174" s="2" t="s">
        <v>362</v>
      </c>
      <c r="B4174" s="2"/>
      <c r="C4174" s="2"/>
      <c r="D4174" s="2"/>
      <c r="E4174" s="2"/>
      <c r="F4174" s="2"/>
      <c r="G4174" s="2"/>
      <c r="H4174" s="2"/>
      <c r="I4174" s="2">
        <v>66.943700000000007</v>
      </c>
      <c r="J4174" s="2">
        <v>150</v>
      </c>
      <c r="K4174" s="2">
        <v>67.572800000000001</v>
      </c>
      <c r="L4174" s="2">
        <v>111</v>
      </c>
      <c r="M4174" s="2">
        <v>107.16330000000001</v>
      </c>
      <c r="N4174" s="2">
        <v>111</v>
      </c>
      <c r="O4174" s="2">
        <v>105.6146</v>
      </c>
      <c r="P4174" s="2">
        <v>151</v>
      </c>
      <c r="Q4174" s="2">
        <v>103.6867</v>
      </c>
      <c r="R4174" s="2">
        <v>143</v>
      </c>
      <c r="S4174" s="2">
        <v>102.33410000000001</v>
      </c>
      <c r="T4174" s="2">
        <v>119</v>
      </c>
      <c r="U4174" s="2">
        <v>0.58973399999999998</v>
      </c>
      <c r="V4174" s="2">
        <v>124</v>
      </c>
      <c r="W4174" s="2">
        <v>2014</v>
      </c>
    </row>
    <row r="4175" spans="1:23" ht="12.3" hidden="1" x14ac:dyDescent="0.4">
      <c r="A4175" s="2" t="s">
        <v>203</v>
      </c>
      <c r="B4175" s="2"/>
      <c r="C4175" s="2"/>
      <c r="D4175" s="2"/>
      <c r="E4175" s="2"/>
      <c r="F4175" s="2"/>
      <c r="G4175" s="2"/>
      <c r="H4175" s="2"/>
      <c r="I4175" s="2">
        <v>66.004900000000006</v>
      </c>
      <c r="J4175" s="2">
        <v>202</v>
      </c>
      <c r="K4175" s="2">
        <v>66.736199999999997</v>
      </c>
      <c r="L4175" s="2">
        <v>154</v>
      </c>
      <c r="M4175" s="2">
        <v>106.4948</v>
      </c>
      <c r="N4175" s="2">
        <v>131</v>
      </c>
      <c r="O4175" s="2">
        <v>105.04859999999999</v>
      </c>
      <c r="P4175" s="2">
        <v>166</v>
      </c>
      <c r="Q4175" s="2">
        <v>100.06100000000001</v>
      </c>
      <c r="R4175" s="2">
        <v>78</v>
      </c>
      <c r="S4175" s="2">
        <v>101.91030000000001</v>
      </c>
      <c r="T4175" s="2">
        <v>111</v>
      </c>
      <c r="U4175" s="2">
        <v>0.58632600000000001</v>
      </c>
      <c r="V4175" s="2">
        <v>125</v>
      </c>
      <c r="W4175" s="2">
        <v>2014</v>
      </c>
    </row>
    <row r="4176" spans="1:23" ht="12.3" hidden="1" x14ac:dyDescent="0.4">
      <c r="A4176" s="2" t="s">
        <v>271</v>
      </c>
      <c r="B4176" s="2"/>
      <c r="C4176" s="2"/>
      <c r="D4176" s="2"/>
      <c r="E4176" s="2"/>
      <c r="F4176" s="2"/>
      <c r="G4176" s="2"/>
      <c r="H4176" s="2"/>
      <c r="I4176" s="2">
        <v>61.921799999999998</v>
      </c>
      <c r="J4176" s="2">
        <v>341</v>
      </c>
      <c r="K4176" s="2">
        <v>62.120100000000001</v>
      </c>
      <c r="L4176" s="2">
        <v>337</v>
      </c>
      <c r="M4176" s="2">
        <v>106.2752</v>
      </c>
      <c r="N4176" s="2">
        <v>139</v>
      </c>
      <c r="O4176" s="2">
        <v>105.3544</v>
      </c>
      <c r="P4176" s="2">
        <v>161</v>
      </c>
      <c r="Q4176" s="2">
        <v>99.593100000000007</v>
      </c>
      <c r="R4176" s="2">
        <v>68</v>
      </c>
      <c r="S4176" s="2">
        <v>102.2269</v>
      </c>
      <c r="T4176" s="2">
        <v>116</v>
      </c>
      <c r="U4176" s="2">
        <v>0.58578300000000005</v>
      </c>
      <c r="V4176" s="2">
        <v>126</v>
      </c>
      <c r="W4176" s="2">
        <v>2014</v>
      </c>
    </row>
    <row r="4177" spans="1:23" ht="12.3" hidden="1" x14ac:dyDescent="0.4">
      <c r="A4177" s="2" t="s">
        <v>171</v>
      </c>
      <c r="B4177" s="2"/>
      <c r="C4177" s="2"/>
      <c r="D4177" s="2"/>
      <c r="E4177" s="2"/>
      <c r="F4177" s="2"/>
      <c r="G4177" s="2"/>
      <c r="H4177" s="2"/>
      <c r="I4177" s="2">
        <v>65.834000000000003</v>
      </c>
      <c r="J4177" s="2">
        <v>209</v>
      </c>
      <c r="K4177" s="2">
        <v>64.884299999999996</v>
      </c>
      <c r="L4177" s="2">
        <v>253</v>
      </c>
      <c r="M4177" s="2">
        <v>101.0051</v>
      </c>
      <c r="N4177" s="2">
        <v>250</v>
      </c>
      <c r="O4177" s="2">
        <v>100.04430000000001</v>
      </c>
      <c r="P4177" s="2">
        <v>257</v>
      </c>
      <c r="Q4177" s="2">
        <v>96.288200000000003</v>
      </c>
      <c r="R4177" s="2">
        <v>23</v>
      </c>
      <c r="S4177" s="2">
        <v>97.311099999999996</v>
      </c>
      <c r="T4177" s="2">
        <v>47</v>
      </c>
      <c r="U4177" s="2">
        <v>0.57896999999999998</v>
      </c>
      <c r="V4177" s="2">
        <v>127</v>
      </c>
      <c r="W4177" s="2">
        <v>2014</v>
      </c>
    </row>
    <row r="4178" spans="1:23" ht="12.3" hidden="1" x14ac:dyDescent="0.4">
      <c r="A4178" s="2" t="s">
        <v>293</v>
      </c>
      <c r="B4178" s="2"/>
      <c r="C4178" s="2"/>
      <c r="D4178" s="2"/>
      <c r="E4178" s="2"/>
      <c r="F4178" s="2"/>
      <c r="G4178" s="2"/>
      <c r="H4178" s="2"/>
      <c r="I4178" s="2">
        <v>64.758899999999997</v>
      </c>
      <c r="J4178" s="2">
        <v>263</v>
      </c>
      <c r="K4178" s="2">
        <v>65.250200000000007</v>
      </c>
      <c r="L4178" s="2">
        <v>235</v>
      </c>
      <c r="M4178" s="2">
        <v>111.29819999999999</v>
      </c>
      <c r="N4178" s="2">
        <v>47</v>
      </c>
      <c r="O4178" s="2">
        <v>110.9208</v>
      </c>
      <c r="P4178" s="2">
        <v>59</v>
      </c>
      <c r="Q4178" s="2">
        <v>104.87139999999999</v>
      </c>
      <c r="R4178" s="2">
        <v>174</v>
      </c>
      <c r="S4178" s="2">
        <v>107.9044</v>
      </c>
      <c r="T4178" s="2">
        <v>233</v>
      </c>
      <c r="U4178" s="2">
        <v>0.57860900000000004</v>
      </c>
      <c r="V4178" s="2">
        <v>128</v>
      </c>
      <c r="W4178" s="2">
        <v>2014</v>
      </c>
    </row>
    <row r="4179" spans="1:23" ht="12.3" x14ac:dyDescent="0.4">
      <c r="A4179" s="2" t="s">
        <v>156</v>
      </c>
      <c r="B4179" s="2">
        <v>14</v>
      </c>
      <c r="C4179" s="2"/>
      <c r="D4179" s="2"/>
      <c r="E4179" s="2"/>
      <c r="F4179" s="2"/>
      <c r="G4179" s="2"/>
      <c r="H4179" s="2"/>
      <c r="I4179" s="2">
        <v>67.375500000000002</v>
      </c>
      <c r="J4179" s="2">
        <v>245</v>
      </c>
      <c r="K4179" s="2">
        <v>65.6751</v>
      </c>
      <c r="L4179" s="2">
        <v>289</v>
      </c>
      <c r="M4179" s="2">
        <v>105.11499999999999</v>
      </c>
      <c r="N4179" s="2">
        <v>88</v>
      </c>
      <c r="O4179" s="2">
        <v>98.433899999999994</v>
      </c>
      <c r="P4179" s="2">
        <v>211</v>
      </c>
      <c r="Q4179" s="2">
        <v>92.176500000000004</v>
      </c>
      <c r="R4179" s="2">
        <v>11</v>
      </c>
      <c r="S4179" s="2">
        <v>96.393100000000004</v>
      </c>
      <c r="T4179" s="2">
        <v>64</v>
      </c>
      <c r="U4179" s="2">
        <v>0.55994200000000005</v>
      </c>
      <c r="V4179" s="2">
        <v>129</v>
      </c>
      <c r="W4179" s="2">
        <v>2002</v>
      </c>
    </row>
    <row r="4180" spans="1:23" ht="12.3" hidden="1" x14ac:dyDescent="0.4">
      <c r="A4180" s="2" t="s">
        <v>130</v>
      </c>
      <c r="B4180" s="2"/>
      <c r="C4180" s="2"/>
      <c r="D4180" s="2"/>
      <c r="E4180" s="2"/>
      <c r="F4180" s="2"/>
      <c r="G4180" s="2"/>
      <c r="H4180" s="2"/>
      <c r="I4180" s="2">
        <v>67.128200000000007</v>
      </c>
      <c r="J4180" s="2">
        <v>141</v>
      </c>
      <c r="K4180" s="2">
        <v>67.120800000000003</v>
      </c>
      <c r="L4180" s="2">
        <v>135</v>
      </c>
      <c r="M4180" s="2">
        <v>105.73399999999999</v>
      </c>
      <c r="N4180" s="2">
        <v>153</v>
      </c>
      <c r="O4180" s="2">
        <v>111.1709</v>
      </c>
      <c r="P4180" s="2">
        <v>57</v>
      </c>
      <c r="Q4180" s="2">
        <v>108.3159</v>
      </c>
      <c r="R4180" s="2">
        <v>260</v>
      </c>
      <c r="S4180" s="2">
        <v>108.2183</v>
      </c>
      <c r="T4180" s="2">
        <v>237</v>
      </c>
      <c r="U4180" s="2">
        <v>0.57677699999999998</v>
      </c>
      <c r="V4180" s="2">
        <v>130</v>
      </c>
      <c r="W4180" s="2">
        <v>2014</v>
      </c>
    </row>
    <row r="4181" spans="1:23" ht="12.3" hidden="1" x14ac:dyDescent="0.4">
      <c r="A4181" s="2" t="s">
        <v>248</v>
      </c>
      <c r="B4181" s="2"/>
      <c r="C4181" s="2"/>
      <c r="D4181" s="2"/>
      <c r="E4181" s="2"/>
      <c r="F4181" s="2"/>
      <c r="G4181" s="2"/>
      <c r="H4181" s="2"/>
      <c r="I4181" s="2">
        <v>64.110100000000003</v>
      </c>
      <c r="J4181" s="2">
        <v>287</v>
      </c>
      <c r="K4181" s="2">
        <v>63.212400000000002</v>
      </c>
      <c r="L4181" s="2">
        <v>315</v>
      </c>
      <c r="M4181" s="2">
        <v>99.484399999999994</v>
      </c>
      <c r="N4181" s="2">
        <v>274</v>
      </c>
      <c r="O4181" s="2">
        <v>100.1901</v>
      </c>
      <c r="P4181" s="2">
        <v>256</v>
      </c>
      <c r="Q4181" s="2">
        <v>97.224999999999994</v>
      </c>
      <c r="R4181" s="2">
        <v>33</v>
      </c>
      <c r="S4181" s="2">
        <v>97.677999999999997</v>
      </c>
      <c r="T4181" s="2">
        <v>51</v>
      </c>
      <c r="U4181" s="2">
        <v>0.57248900000000003</v>
      </c>
      <c r="V4181" s="2">
        <v>131</v>
      </c>
      <c r="W4181" s="2">
        <v>2014</v>
      </c>
    </row>
    <row r="4182" spans="1:23" ht="12.3" hidden="1" x14ac:dyDescent="0.4">
      <c r="A4182" s="2" t="s">
        <v>98</v>
      </c>
      <c r="B4182" s="2"/>
      <c r="C4182" s="2"/>
      <c r="D4182" s="2"/>
      <c r="E4182" s="2"/>
      <c r="F4182" s="2"/>
      <c r="G4182" s="2"/>
      <c r="H4182" s="2"/>
      <c r="I4182" s="2">
        <v>62.884399999999999</v>
      </c>
      <c r="J4182" s="2">
        <v>331</v>
      </c>
      <c r="K4182" s="2">
        <v>63.921900000000001</v>
      </c>
      <c r="L4182" s="2">
        <v>294</v>
      </c>
      <c r="M4182" s="2">
        <v>108.23350000000001</v>
      </c>
      <c r="N4182" s="2">
        <v>87</v>
      </c>
      <c r="O4182" s="2">
        <v>107.7341</v>
      </c>
      <c r="P4182" s="2">
        <v>113</v>
      </c>
      <c r="Q4182" s="2">
        <v>105.9379</v>
      </c>
      <c r="R4182" s="2">
        <v>204</v>
      </c>
      <c r="S4182" s="2">
        <v>105.2419</v>
      </c>
      <c r="T4182" s="2">
        <v>177</v>
      </c>
      <c r="U4182" s="2">
        <v>0.56688700000000003</v>
      </c>
      <c r="V4182" s="2">
        <v>132</v>
      </c>
      <c r="W4182" s="2">
        <v>2014</v>
      </c>
    </row>
    <row r="4183" spans="1:23" ht="12.3" hidden="1" x14ac:dyDescent="0.4">
      <c r="A4183" s="2" t="s">
        <v>256</v>
      </c>
      <c r="B4183" s="2"/>
      <c r="C4183" s="2"/>
      <c r="D4183" s="2"/>
      <c r="E4183" s="2"/>
      <c r="F4183" s="2"/>
      <c r="G4183" s="2"/>
      <c r="H4183" s="2"/>
      <c r="I4183" s="2">
        <v>65.538499999999999</v>
      </c>
      <c r="J4183" s="2">
        <v>223</v>
      </c>
      <c r="K4183" s="2">
        <v>65.213399999999993</v>
      </c>
      <c r="L4183" s="2">
        <v>238</v>
      </c>
      <c r="M4183" s="2">
        <v>102.3622</v>
      </c>
      <c r="N4183" s="2">
        <v>223</v>
      </c>
      <c r="O4183" s="2">
        <v>103.0762</v>
      </c>
      <c r="P4183" s="2">
        <v>201</v>
      </c>
      <c r="Q4183" s="2">
        <v>99.716700000000003</v>
      </c>
      <c r="R4183" s="2">
        <v>72</v>
      </c>
      <c r="S4183" s="2">
        <v>100.74039999999999</v>
      </c>
      <c r="T4183" s="2">
        <v>94</v>
      </c>
      <c r="U4183" s="2">
        <v>0.56552000000000002</v>
      </c>
      <c r="V4183" s="2">
        <v>133</v>
      </c>
      <c r="W4183" s="2">
        <v>2014</v>
      </c>
    </row>
    <row r="4184" spans="1:23" ht="12.3" hidden="1" x14ac:dyDescent="0.4">
      <c r="A4184" s="2" t="s">
        <v>210</v>
      </c>
      <c r="B4184" s="2"/>
      <c r="C4184" s="2"/>
      <c r="D4184" s="2"/>
      <c r="E4184" s="2"/>
      <c r="F4184" s="2"/>
      <c r="G4184" s="2"/>
      <c r="H4184" s="2"/>
      <c r="I4184" s="2">
        <v>63.524299999999997</v>
      </c>
      <c r="J4184" s="2">
        <v>312</v>
      </c>
      <c r="K4184" s="2">
        <v>64.096400000000003</v>
      </c>
      <c r="L4184" s="2">
        <v>284</v>
      </c>
      <c r="M4184" s="2">
        <v>104.70189999999999</v>
      </c>
      <c r="N4184" s="2">
        <v>172</v>
      </c>
      <c r="O4184" s="2">
        <v>103.8635</v>
      </c>
      <c r="P4184" s="2">
        <v>186</v>
      </c>
      <c r="Q4184" s="2">
        <v>102.095</v>
      </c>
      <c r="R4184" s="2">
        <v>108</v>
      </c>
      <c r="S4184" s="2">
        <v>101.6651</v>
      </c>
      <c r="T4184" s="2">
        <v>106</v>
      </c>
      <c r="U4184" s="2">
        <v>0.561199</v>
      </c>
      <c r="V4184" s="2">
        <v>134</v>
      </c>
      <c r="W4184" s="2">
        <v>2014</v>
      </c>
    </row>
    <row r="4185" spans="1:23" ht="12.3" hidden="1" x14ac:dyDescent="0.4">
      <c r="A4185" s="2" t="s">
        <v>124</v>
      </c>
      <c r="B4185" s="2"/>
      <c r="C4185" s="2"/>
      <c r="D4185" s="2"/>
      <c r="E4185" s="2"/>
      <c r="F4185" s="2"/>
      <c r="G4185" s="2"/>
      <c r="H4185" s="2"/>
      <c r="I4185" s="2">
        <v>62.613</v>
      </c>
      <c r="J4185" s="2">
        <v>335</v>
      </c>
      <c r="K4185" s="2">
        <v>61.587000000000003</v>
      </c>
      <c r="L4185" s="2">
        <v>341</v>
      </c>
      <c r="M4185" s="2">
        <v>93.968400000000003</v>
      </c>
      <c r="N4185" s="2">
        <v>333</v>
      </c>
      <c r="O4185" s="2">
        <v>96.112899999999996</v>
      </c>
      <c r="P4185" s="2">
        <v>312</v>
      </c>
      <c r="Q4185" s="2">
        <v>100.7015</v>
      </c>
      <c r="R4185" s="2">
        <v>88</v>
      </c>
      <c r="S4185" s="2">
        <v>94.0809</v>
      </c>
      <c r="T4185" s="2">
        <v>17</v>
      </c>
      <c r="U4185" s="2">
        <v>0.56112799999999996</v>
      </c>
      <c r="V4185" s="2">
        <v>135</v>
      </c>
      <c r="W4185" s="2">
        <v>2014</v>
      </c>
    </row>
    <row r="4186" spans="1:23" ht="12.3" hidden="1" x14ac:dyDescent="0.4">
      <c r="A4186" s="2" t="s">
        <v>113</v>
      </c>
      <c r="B4186" s="2"/>
      <c r="C4186" s="2"/>
      <c r="D4186" s="2"/>
      <c r="E4186" s="2"/>
      <c r="F4186" s="2"/>
      <c r="G4186" s="2"/>
      <c r="H4186" s="2"/>
      <c r="I4186" s="2">
        <v>67.676299999999998</v>
      </c>
      <c r="J4186" s="2">
        <v>119</v>
      </c>
      <c r="K4186" s="2">
        <v>67.683400000000006</v>
      </c>
      <c r="L4186" s="2">
        <v>105</v>
      </c>
      <c r="M4186" s="2">
        <v>105.7496</v>
      </c>
      <c r="N4186" s="2">
        <v>151</v>
      </c>
      <c r="O4186" s="2">
        <v>108.9526</v>
      </c>
      <c r="P4186" s="2">
        <v>90</v>
      </c>
      <c r="Q4186" s="2">
        <v>106.24079999999999</v>
      </c>
      <c r="R4186" s="2">
        <v>212</v>
      </c>
      <c r="S4186" s="2">
        <v>106.7167</v>
      </c>
      <c r="T4186" s="2">
        <v>214</v>
      </c>
      <c r="U4186" s="2">
        <v>0.55933299999999997</v>
      </c>
      <c r="V4186" s="2">
        <v>136</v>
      </c>
      <c r="W4186" s="2">
        <v>2014</v>
      </c>
    </row>
    <row r="4187" spans="1:23" ht="12.3" hidden="1" x14ac:dyDescent="0.4">
      <c r="A4187" s="2" t="s">
        <v>147</v>
      </c>
      <c r="B4187" s="2"/>
      <c r="C4187" s="2"/>
      <c r="D4187" s="2"/>
      <c r="E4187" s="2"/>
      <c r="F4187" s="2"/>
      <c r="G4187" s="2"/>
      <c r="H4187" s="2"/>
      <c r="I4187" s="2">
        <v>67.702200000000005</v>
      </c>
      <c r="J4187" s="2">
        <v>117</v>
      </c>
      <c r="K4187" s="2">
        <v>66.855199999999996</v>
      </c>
      <c r="L4187" s="2">
        <v>147</v>
      </c>
      <c r="M4187" s="2">
        <v>101.3974</v>
      </c>
      <c r="N4187" s="2">
        <v>242</v>
      </c>
      <c r="O4187" s="2">
        <v>106.0775</v>
      </c>
      <c r="P4187" s="2">
        <v>138</v>
      </c>
      <c r="Q4187" s="2">
        <v>104.84569999999999</v>
      </c>
      <c r="R4187" s="2">
        <v>171</v>
      </c>
      <c r="S4187" s="2">
        <v>103.9311</v>
      </c>
      <c r="T4187" s="2">
        <v>152</v>
      </c>
      <c r="U4187" s="2">
        <v>0.55850100000000003</v>
      </c>
      <c r="V4187" s="2">
        <v>137</v>
      </c>
      <c r="W4187" s="2">
        <v>2014</v>
      </c>
    </row>
    <row r="4188" spans="1:23" ht="12.3" hidden="1" x14ac:dyDescent="0.4">
      <c r="A4188" s="2" t="s">
        <v>157</v>
      </c>
      <c r="B4188" s="2"/>
      <c r="C4188" s="2"/>
      <c r="D4188" s="2"/>
      <c r="E4188" s="2"/>
      <c r="F4188" s="2"/>
      <c r="G4188" s="2"/>
      <c r="H4188" s="2"/>
      <c r="I4188" s="2">
        <v>65.337900000000005</v>
      </c>
      <c r="J4188" s="2">
        <v>234</v>
      </c>
      <c r="K4188" s="2">
        <v>66.714699999999993</v>
      </c>
      <c r="L4188" s="2">
        <v>155</v>
      </c>
      <c r="M4188" s="2">
        <v>109.34910000000001</v>
      </c>
      <c r="N4188" s="2">
        <v>67</v>
      </c>
      <c r="O4188" s="2">
        <v>109.4863</v>
      </c>
      <c r="P4188" s="2">
        <v>79</v>
      </c>
      <c r="Q4188" s="2">
        <v>107.3177</v>
      </c>
      <c r="R4188" s="2">
        <v>239</v>
      </c>
      <c r="S4188" s="2">
        <v>107.3977</v>
      </c>
      <c r="T4188" s="2">
        <v>226</v>
      </c>
      <c r="U4188" s="2">
        <v>0.555149</v>
      </c>
      <c r="V4188" s="2">
        <v>138</v>
      </c>
      <c r="W4188" s="2">
        <v>2014</v>
      </c>
    </row>
    <row r="4189" spans="1:23" ht="12.3" hidden="1" x14ac:dyDescent="0.4">
      <c r="A4189" s="2" t="s">
        <v>164</v>
      </c>
      <c r="B4189" s="2"/>
      <c r="C4189" s="2"/>
      <c r="D4189" s="2"/>
      <c r="E4189" s="2"/>
      <c r="F4189" s="2"/>
      <c r="G4189" s="2"/>
      <c r="H4189" s="2"/>
      <c r="I4189" s="2">
        <v>67.817800000000005</v>
      </c>
      <c r="J4189" s="2">
        <v>113</v>
      </c>
      <c r="K4189" s="2">
        <v>68.088399999999993</v>
      </c>
      <c r="L4189" s="2">
        <v>91</v>
      </c>
      <c r="M4189" s="2">
        <v>100.18040000000001</v>
      </c>
      <c r="N4189" s="2">
        <v>261</v>
      </c>
      <c r="O4189" s="2">
        <v>101.9892</v>
      </c>
      <c r="P4189" s="2">
        <v>221</v>
      </c>
      <c r="Q4189" s="2">
        <v>101.19110000000001</v>
      </c>
      <c r="R4189" s="2">
        <v>97</v>
      </c>
      <c r="S4189" s="2">
        <v>100.05970000000001</v>
      </c>
      <c r="T4189" s="2">
        <v>74</v>
      </c>
      <c r="U4189" s="2">
        <v>0.55469400000000002</v>
      </c>
      <c r="V4189" s="2">
        <v>139</v>
      </c>
      <c r="W4189" s="2">
        <v>2014</v>
      </c>
    </row>
    <row r="4190" spans="1:23" ht="12.3" hidden="1" x14ac:dyDescent="0.4">
      <c r="A4190" s="2" t="s">
        <v>286</v>
      </c>
      <c r="B4190" s="2"/>
      <c r="C4190" s="2"/>
      <c r="D4190" s="2"/>
      <c r="E4190" s="2"/>
      <c r="F4190" s="2"/>
      <c r="G4190" s="2"/>
      <c r="H4190" s="2"/>
      <c r="I4190" s="2">
        <v>59.134300000000003</v>
      </c>
      <c r="J4190" s="2">
        <v>350</v>
      </c>
      <c r="K4190" s="2">
        <v>59.188699999999997</v>
      </c>
      <c r="L4190" s="2">
        <v>350</v>
      </c>
      <c r="M4190" s="2">
        <v>109.3844</v>
      </c>
      <c r="N4190" s="2">
        <v>65</v>
      </c>
      <c r="O4190" s="2">
        <v>110.4443</v>
      </c>
      <c r="P4190" s="2">
        <v>64</v>
      </c>
      <c r="Q4190" s="2">
        <v>107.5304</v>
      </c>
      <c r="R4190" s="2">
        <v>244</v>
      </c>
      <c r="S4190" s="2">
        <v>108.3549</v>
      </c>
      <c r="T4190" s="2">
        <v>241</v>
      </c>
      <c r="U4190" s="2">
        <v>0.55469100000000005</v>
      </c>
      <c r="V4190" s="2">
        <v>140</v>
      </c>
      <c r="W4190" s="2">
        <v>2014</v>
      </c>
    </row>
    <row r="4191" spans="1:23" ht="12.3" hidden="1" x14ac:dyDescent="0.4">
      <c r="A4191" s="2" t="s">
        <v>95</v>
      </c>
      <c r="B4191" s="2"/>
      <c r="C4191" s="2"/>
      <c r="D4191" s="2"/>
      <c r="E4191" s="2"/>
      <c r="F4191" s="2"/>
      <c r="G4191" s="2"/>
      <c r="H4191" s="2"/>
      <c r="I4191" s="2">
        <v>62.683500000000002</v>
      </c>
      <c r="J4191" s="2">
        <v>334</v>
      </c>
      <c r="K4191" s="2">
        <v>63.046399999999998</v>
      </c>
      <c r="L4191" s="2">
        <v>322</v>
      </c>
      <c r="M4191" s="2">
        <v>107.52</v>
      </c>
      <c r="N4191" s="2">
        <v>104</v>
      </c>
      <c r="O4191" s="2">
        <v>113.3412</v>
      </c>
      <c r="P4191" s="2">
        <v>33</v>
      </c>
      <c r="Q4191" s="2">
        <v>116.4255</v>
      </c>
      <c r="R4191" s="2">
        <v>345</v>
      </c>
      <c r="S4191" s="2">
        <v>111.23560000000001</v>
      </c>
      <c r="T4191" s="2">
        <v>298</v>
      </c>
      <c r="U4191" s="2">
        <v>0.55370399999999997</v>
      </c>
      <c r="V4191" s="2">
        <v>141</v>
      </c>
      <c r="W4191" s="2">
        <v>2014</v>
      </c>
    </row>
    <row r="4192" spans="1:23" ht="12.3" hidden="1" x14ac:dyDescent="0.4">
      <c r="A4192" s="2" t="s">
        <v>133</v>
      </c>
      <c r="B4192" s="2"/>
      <c r="C4192" s="2"/>
      <c r="D4192" s="2"/>
      <c r="E4192" s="2"/>
      <c r="F4192" s="2"/>
      <c r="G4192" s="2"/>
      <c r="H4192" s="2"/>
      <c r="I4192" s="2">
        <v>63.300400000000003</v>
      </c>
      <c r="J4192" s="2">
        <v>317</v>
      </c>
      <c r="K4192" s="2">
        <v>62.911799999999999</v>
      </c>
      <c r="L4192" s="2">
        <v>324</v>
      </c>
      <c r="M4192" s="2">
        <v>103.9379</v>
      </c>
      <c r="N4192" s="2">
        <v>190</v>
      </c>
      <c r="O4192" s="2">
        <v>104.2617</v>
      </c>
      <c r="P4192" s="2">
        <v>178</v>
      </c>
      <c r="Q4192" s="2">
        <v>104.2942</v>
      </c>
      <c r="R4192" s="2">
        <v>158</v>
      </c>
      <c r="S4192" s="2">
        <v>102.4258</v>
      </c>
      <c r="T4192" s="2">
        <v>122</v>
      </c>
      <c r="U4192" s="2">
        <v>0.550898</v>
      </c>
      <c r="V4192" s="2">
        <v>142</v>
      </c>
      <c r="W4192" s="2">
        <v>2014</v>
      </c>
    </row>
    <row r="4193" spans="1:23" ht="12.3" hidden="1" x14ac:dyDescent="0.4">
      <c r="A4193" s="2" t="s">
        <v>322</v>
      </c>
      <c r="B4193" s="2"/>
      <c r="C4193" s="2"/>
      <c r="D4193" s="2"/>
      <c r="E4193" s="2"/>
      <c r="F4193" s="2"/>
      <c r="G4193" s="2"/>
      <c r="H4193" s="2"/>
      <c r="I4193" s="2">
        <v>66.478300000000004</v>
      </c>
      <c r="J4193" s="2">
        <v>173</v>
      </c>
      <c r="K4193" s="2">
        <v>66.866399999999999</v>
      </c>
      <c r="L4193" s="2">
        <v>146</v>
      </c>
      <c r="M4193" s="2">
        <v>109.8518</v>
      </c>
      <c r="N4193" s="2">
        <v>62</v>
      </c>
      <c r="O4193" s="2">
        <v>107.25700000000001</v>
      </c>
      <c r="P4193" s="2">
        <v>121</v>
      </c>
      <c r="Q4193" s="2">
        <v>103.95820000000001</v>
      </c>
      <c r="R4193" s="2">
        <v>150</v>
      </c>
      <c r="S4193" s="2">
        <v>105.55410000000001</v>
      </c>
      <c r="T4193" s="2">
        <v>188</v>
      </c>
      <c r="U4193" s="2">
        <v>0.54588400000000004</v>
      </c>
      <c r="V4193" s="2">
        <v>143</v>
      </c>
      <c r="W4193" s="2">
        <v>2014</v>
      </c>
    </row>
    <row r="4194" spans="1:23" ht="12.3" hidden="1" x14ac:dyDescent="0.4">
      <c r="A4194" s="2" t="s">
        <v>250</v>
      </c>
      <c r="B4194" s="2"/>
      <c r="C4194" s="2"/>
      <c r="D4194" s="2"/>
      <c r="E4194" s="2"/>
      <c r="F4194" s="2"/>
      <c r="G4194" s="2"/>
      <c r="H4194" s="2"/>
      <c r="I4194" s="2">
        <v>68.252899999999997</v>
      </c>
      <c r="J4194" s="2">
        <v>96</v>
      </c>
      <c r="K4194" s="2">
        <v>68.071700000000007</v>
      </c>
      <c r="L4194" s="2">
        <v>94</v>
      </c>
      <c r="M4194" s="2">
        <v>107.5035</v>
      </c>
      <c r="N4194" s="2">
        <v>105</v>
      </c>
      <c r="O4194" s="2">
        <v>109.9982</v>
      </c>
      <c r="P4194" s="2">
        <v>71</v>
      </c>
      <c r="Q4194" s="2">
        <v>108.10680000000001</v>
      </c>
      <c r="R4194" s="2">
        <v>253</v>
      </c>
      <c r="S4194" s="2">
        <v>108.3947</v>
      </c>
      <c r="T4194" s="2">
        <v>243</v>
      </c>
      <c r="U4194" s="2">
        <v>0.54211900000000002</v>
      </c>
      <c r="V4194" s="2">
        <v>144</v>
      </c>
      <c r="W4194" s="2">
        <v>2014</v>
      </c>
    </row>
    <row r="4195" spans="1:23" ht="12.3" hidden="1" x14ac:dyDescent="0.4">
      <c r="A4195" s="2" t="s">
        <v>188</v>
      </c>
      <c r="B4195" s="2"/>
      <c r="C4195" s="2"/>
      <c r="D4195" s="2"/>
      <c r="E4195" s="2"/>
      <c r="F4195" s="2"/>
      <c r="G4195" s="2"/>
      <c r="H4195" s="2"/>
      <c r="I4195" s="2">
        <v>66.3018</v>
      </c>
      <c r="J4195" s="2">
        <v>186</v>
      </c>
      <c r="K4195" s="2">
        <v>66.650999999999996</v>
      </c>
      <c r="L4195" s="2">
        <v>160</v>
      </c>
      <c r="M4195" s="2">
        <v>103.018</v>
      </c>
      <c r="N4195" s="2">
        <v>210</v>
      </c>
      <c r="O4195" s="2">
        <v>104.08669999999999</v>
      </c>
      <c r="P4195" s="2">
        <v>179</v>
      </c>
      <c r="Q4195" s="2">
        <v>105.1495</v>
      </c>
      <c r="R4195" s="2">
        <v>181</v>
      </c>
      <c r="S4195" s="2">
        <v>102.6</v>
      </c>
      <c r="T4195" s="2">
        <v>127</v>
      </c>
      <c r="U4195" s="2">
        <v>0.541265</v>
      </c>
      <c r="V4195" s="2">
        <v>145</v>
      </c>
      <c r="W4195" s="2">
        <v>2014</v>
      </c>
    </row>
    <row r="4196" spans="1:23" ht="12.3" hidden="1" x14ac:dyDescent="0.4">
      <c r="A4196" s="2" t="s">
        <v>145</v>
      </c>
      <c r="B4196" s="2"/>
      <c r="C4196" s="2"/>
      <c r="D4196" s="2"/>
      <c r="E4196" s="2"/>
      <c r="F4196" s="2"/>
      <c r="G4196" s="2"/>
      <c r="H4196" s="2"/>
      <c r="I4196" s="2">
        <v>65.197599999999994</v>
      </c>
      <c r="J4196" s="2">
        <v>240</v>
      </c>
      <c r="K4196" s="2">
        <v>65.384900000000002</v>
      </c>
      <c r="L4196" s="2">
        <v>228</v>
      </c>
      <c r="M4196" s="2">
        <v>107.58450000000001</v>
      </c>
      <c r="N4196" s="2">
        <v>101</v>
      </c>
      <c r="O4196" s="2">
        <v>107.93519999999999</v>
      </c>
      <c r="P4196" s="2">
        <v>105</v>
      </c>
      <c r="Q4196" s="2">
        <v>109.7525</v>
      </c>
      <c r="R4196" s="2">
        <v>285</v>
      </c>
      <c r="S4196" s="2">
        <v>106.4452</v>
      </c>
      <c r="T4196" s="2">
        <v>209</v>
      </c>
      <c r="U4196" s="2">
        <v>0.539879</v>
      </c>
      <c r="V4196" s="2">
        <v>146</v>
      </c>
      <c r="W4196" s="2">
        <v>2014</v>
      </c>
    </row>
    <row r="4197" spans="1:23" ht="12.3" hidden="1" x14ac:dyDescent="0.4">
      <c r="A4197" s="2" t="s">
        <v>66</v>
      </c>
      <c r="B4197" s="2"/>
      <c r="C4197" s="2"/>
      <c r="D4197" s="2"/>
      <c r="E4197" s="2"/>
      <c r="F4197" s="2"/>
      <c r="G4197" s="2"/>
      <c r="H4197" s="2"/>
      <c r="I4197" s="2">
        <v>68.597099999999998</v>
      </c>
      <c r="J4197" s="2">
        <v>78</v>
      </c>
      <c r="K4197" s="2">
        <v>68.719899999999996</v>
      </c>
      <c r="L4197" s="2">
        <v>65</v>
      </c>
      <c r="M4197" s="2">
        <v>112.66549999999999</v>
      </c>
      <c r="N4197" s="2">
        <v>31</v>
      </c>
      <c r="O4197" s="2">
        <v>109.93729999999999</v>
      </c>
      <c r="P4197" s="2">
        <v>73</v>
      </c>
      <c r="Q4197" s="2">
        <v>105.5579</v>
      </c>
      <c r="R4197" s="2">
        <v>190</v>
      </c>
      <c r="S4197" s="2">
        <v>108.55629999999999</v>
      </c>
      <c r="T4197" s="2">
        <v>247</v>
      </c>
      <c r="U4197" s="2">
        <v>0.53627899999999995</v>
      </c>
      <c r="V4197" s="2">
        <v>147</v>
      </c>
      <c r="W4197" s="2">
        <v>2014</v>
      </c>
    </row>
    <row r="4198" spans="1:23" ht="12.3" hidden="1" x14ac:dyDescent="0.4">
      <c r="A4198" s="2" t="s">
        <v>22</v>
      </c>
      <c r="B4198" s="2"/>
      <c r="C4198" s="2"/>
      <c r="D4198" s="2"/>
      <c r="E4198" s="2"/>
      <c r="F4198" s="2"/>
      <c r="G4198" s="2"/>
      <c r="H4198" s="2"/>
      <c r="I4198" s="2">
        <v>64.77</v>
      </c>
      <c r="J4198" s="2">
        <v>260</v>
      </c>
      <c r="K4198" s="2">
        <v>64.671099999999996</v>
      </c>
      <c r="L4198" s="2">
        <v>262</v>
      </c>
      <c r="M4198" s="2">
        <v>104.1156</v>
      </c>
      <c r="N4198" s="2">
        <v>183</v>
      </c>
      <c r="O4198" s="2">
        <v>105.52670000000001</v>
      </c>
      <c r="P4198" s="2">
        <v>153</v>
      </c>
      <c r="Q4198" s="2">
        <v>105.1092</v>
      </c>
      <c r="R4198" s="2">
        <v>180</v>
      </c>
      <c r="S4198" s="2">
        <v>104.3141</v>
      </c>
      <c r="T4198" s="2">
        <v>163</v>
      </c>
      <c r="U4198" s="2">
        <v>0.53318100000000002</v>
      </c>
      <c r="V4198" s="2">
        <v>148</v>
      </c>
      <c r="W4198" s="2">
        <v>2014</v>
      </c>
    </row>
    <row r="4199" spans="1:23" ht="12.3" hidden="1" x14ac:dyDescent="0.4">
      <c r="A4199" s="2" t="s">
        <v>274</v>
      </c>
      <c r="B4199" s="2"/>
      <c r="C4199" s="2"/>
      <c r="D4199" s="2"/>
      <c r="E4199" s="2"/>
      <c r="F4199" s="2"/>
      <c r="G4199" s="2"/>
      <c r="H4199" s="2"/>
      <c r="I4199" s="2">
        <v>70.926900000000003</v>
      </c>
      <c r="J4199" s="2">
        <v>23</v>
      </c>
      <c r="K4199" s="2">
        <v>69.9405</v>
      </c>
      <c r="L4199" s="2">
        <v>34</v>
      </c>
      <c r="M4199" s="2">
        <v>110.88549999999999</v>
      </c>
      <c r="N4199" s="2">
        <v>49</v>
      </c>
      <c r="O4199" s="2">
        <v>111.2607</v>
      </c>
      <c r="P4199" s="2">
        <v>54</v>
      </c>
      <c r="Q4199" s="2">
        <v>107.37050000000001</v>
      </c>
      <c r="R4199" s="2">
        <v>241</v>
      </c>
      <c r="S4199" s="2">
        <v>110.0603</v>
      </c>
      <c r="T4199" s="2">
        <v>275</v>
      </c>
      <c r="U4199" s="2">
        <v>0.53114600000000001</v>
      </c>
      <c r="V4199" s="2">
        <v>149</v>
      </c>
      <c r="W4199" s="2">
        <v>2014</v>
      </c>
    </row>
    <row r="4200" spans="1:23" ht="12.3" hidden="1" x14ac:dyDescent="0.4">
      <c r="A4200" s="2" t="s">
        <v>289</v>
      </c>
      <c r="B4200" s="2"/>
      <c r="C4200" s="2"/>
      <c r="D4200" s="2"/>
      <c r="E4200" s="2"/>
      <c r="F4200" s="2"/>
      <c r="G4200" s="2"/>
      <c r="H4200" s="2"/>
      <c r="I4200" s="2">
        <v>63.667499999999997</v>
      </c>
      <c r="J4200" s="2">
        <v>303</v>
      </c>
      <c r="K4200" s="2">
        <v>64.819999999999993</v>
      </c>
      <c r="L4200" s="2">
        <v>258</v>
      </c>
      <c r="M4200" s="2">
        <v>103.6009</v>
      </c>
      <c r="N4200" s="2">
        <v>199</v>
      </c>
      <c r="O4200" s="2">
        <v>101.65479999999999</v>
      </c>
      <c r="P4200" s="2">
        <v>228</v>
      </c>
      <c r="Q4200" s="2">
        <v>100.5089</v>
      </c>
      <c r="R4200" s="2">
        <v>83</v>
      </c>
      <c r="S4200" s="2">
        <v>100.6533</v>
      </c>
      <c r="T4200" s="2">
        <v>93</v>
      </c>
      <c r="U4200" s="2">
        <v>0.52843399999999996</v>
      </c>
      <c r="V4200" s="2">
        <v>150</v>
      </c>
      <c r="W4200" s="2">
        <v>2014</v>
      </c>
    </row>
    <row r="4201" spans="1:23" ht="12.3" hidden="1" x14ac:dyDescent="0.4">
      <c r="A4201" s="2" t="s">
        <v>178</v>
      </c>
      <c r="B4201" s="2"/>
      <c r="C4201" s="2"/>
      <c r="D4201" s="2"/>
      <c r="E4201" s="2"/>
      <c r="F4201" s="2"/>
      <c r="G4201" s="2"/>
      <c r="H4201" s="2"/>
      <c r="I4201" s="2">
        <v>63.685099999999998</v>
      </c>
      <c r="J4201" s="2">
        <v>301</v>
      </c>
      <c r="K4201" s="2">
        <v>63.896799999999999</v>
      </c>
      <c r="L4201" s="2">
        <v>295</v>
      </c>
      <c r="M4201" s="2">
        <v>104.11839999999999</v>
      </c>
      <c r="N4201" s="2">
        <v>182</v>
      </c>
      <c r="O4201" s="2">
        <v>103.5823</v>
      </c>
      <c r="P4201" s="2">
        <v>195</v>
      </c>
      <c r="Q4201" s="2">
        <v>101.0077</v>
      </c>
      <c r="R4201" s="2">
        <v>93</v>
      </c>
      <c r="S4201" s="2">
        <v>102.626</v>
      </c>
      <c r="T4201" s="2">
        <v>128</v>
      </c>
      <c r="U4201" s="2">
        <v>0.52664100000000003</v>
      </c>
      <c r="V4201" s="2">
        <v>151</v>
      </c>
      <c r="W4201" s="2">
        <v>2014</v>
      </c>
    </row>
    <row r="4202" spans="1:23" ht="12.3" hidden="1" x14ac:dyDescent="0.4">
      <c r="A4202" s="2" t="s">
        <v>217</v>
      </c>
      <c r="B4202" s="2"/>
      <c r="C4202" s="2"/>
      <c r="D4202" s="2"/>
      <c r="E4202" s="2"/>
      <c r="F4202" s="2"/>
      <c r="G4202" s="2"/>
      <c r="H4202" s="2"/>
      <c r="I4202" s="2">
        <v>65.461500000000001</v>
      </c>
      <c r="J4202" s="2">
        <v>227</v>
      </c>
      <c r="K4202" s="2">
        <v>65.601600000000005</v>
      </c>
      <c r="L4202" s="2">
        <v>216</v>
      </c>
      <c r="M4202" s="2">
        <v>105.75839999999999</v>
      </c>
      <c r="N4202" s="2">
        <v>150</v>
      </c>
      <c r="O4202" s="2">
        <v>106.64230000000001</v>
      </c>
      <c r="P4202" s="2">
        <v>129</v>
      </c>
      <c r="Q4202" s="2">
        <v>108.88160000000001</v>
      </c>
      <c r="R4202" s="2">
        <v>272</v>
      </c>
      <c r="S4202" s="2">
        <v>105.828</v>
      </c>
      <c r="T4202" s="2">
        <v>197</v>
      </c>
      <c r="U4202" s="2">
        <v>0.52202199999999999</v>
      </c>
      <c r="V4202" s="2">
        <v>152</v>
      </c>
      <c r="W4202" s="2">
        <v>2014</v>
      </c>
    </row>
    <row r="4203" spans="1:23" ht="12.3" hidden="1" x14ac:dyDescent="0.4">
      <c r="A4203" s="2" t="s">
        <v>82</v>
      </c>
      <c r="B4203" s="2"/>
      <c r="C4203" s="2"/>
      <c r="D4203" s="2"/>
      <c r="E4203" s="2"/>
      <c r="F4203" s="2"/>
      <c r="G4203" s="2"/>
      <c r="H4203" s="2"/>
      <c r="I4203" s="2">
        <v>63.076500000000003</v>
      </c>
      <c r="J4203" s="2">
        <v>324</v>
      </c>
      <c r="K4203" s="2">
        <v>63.005299999999998</v>
      </c>
      <c r="L4203" s="2">
        <v>323</v>
      </c>
      <c r="M4203" s="2">
        <v>104.4569</v>
      </c>
      <c r="N4203" s="2">
        <v>176</v>
      </c>
      <c r="O4203" s="2">
        <v>105.79559999999999</v>
      </c>
      <c r="P4203" s="2">
        <v>143</v>
      </c>
      <c r="Q4203" s="2">
        <v>105.8631</v>
      </c>
      <c r="R4203" s="2">
        <v>201</v>
      </c>
      <c r="S4203" s="2">
        <v>105.1313</v>
      </c>
      <c r="T4203" s="2">
        <v>175</v>
      </c>
      <c r="U4203" s="2">
        <v>0.5181</v>
      </c>
      <c r="V4203" s="2">
        <v>153</v>
      </c>
      <c r="W4203" s="2">
        <v>2014</v>
      </c>
    </row>
    <row r="4204" spans="1:23" ht="12.3" hidden="1" x14ac:dyDescent="0.4">
      <c r="A4204" s="2" t="s">
        <v>233</v>
      </c>
      <c r="B4204" s="2"/>
      <c r="C4204" s="2"/>
      <c r="D4204" s="2"/>
      <c r="E4204" s="2"/>
      <c r="F4204" s="2"/>
      <c r="G4204" s="2"/>
      <c r="H4204" s="2"/>
      <c r="I4204" s="2">
        <v>69.192300000000003</v>
      </c>
      <c r="J4204" s="2">
        <v>60</v>
      </c>
      <c r="K4204" s="2">
        <v>69.974800000000002</v>
      </c>
      <c r="L4204" s="2">
        <v>33</v>
      </c>
      <c r="M4204" s="2">
        <v>101.21769999999999</v>
      </c>
      <c r="N4204" s="2">
        <v>246</v>
      </c>
      <c r="O4204" s="2">
        <v>101.0735</v>
      </c>
      <c r="P4204" s="2">
        <v>235</v>
      </c>
      <c r="Q4204" s="2">
        <v>97.299300000000002</v>
      </c>
      <c r="R4204" s="2">
        <v>35</v>
      </c>
      <c r="S4204" s="2">
        <v>100.5633</v>
      </c>
      <c r="T4204" s="2">
        <v>91</v>
      </c>
      <c r="U4204" s="2">
        <v>0.514544</v>
      </c>
      <c r="V4204" s="2">
        <v>154</v>
      </c>
      <c r="W4204" s="2">
        <v>2014</v>
      </c>
    </row>
    <row r="4205" spans="1:23" ht="12.3" hidden="1" x14ac:dyDescent="0.4">
      <c r="A4205" s="2" t="s">
        <v>128</v>
      </c>
      <c r="B4205" s="2"/>
      <c r="C4205" s="2"/>
      <c r="D4205" s="2"/>
      <c r="E4205" s="2"/>
      <c r="F4205" s="2"/>
      <c r="G4205" s="2"/>
      <c r="H4205" s="2"/>
      <c r="I4205" s="2">
        <v>69.057000000000002</v>
      </c>
      <c r="J4205" s="2">
        <v>66</v>
      </c>
      <c r="K4205" s="2">
        <v>68.514700000000005</v>
      </c>
      <c r="L4205" s="2">
        <v>71</v>
      </c>
      <c r="M4205" s="2">
        <v>103.19199999999999</v>
      </c>
      <c r="N4205" s="2">
        <v>206</v>
      </c>
      <c r="O4205" s="2">
        <v>103.5201</v>
      </c>
      <c r="P4205" s="2">
        <v>196</v>
      </c>
      <c r="Q4205" s="2">
        <v>100.68170000000001</v>
      </c>
      <c r="R4205" s="2">
        <v>87</v>
      </c>
      <c r="S4205" s="2">
        <v>103.03019999999999</v>
      </c>
      <c r="T4205" s="2">
        <v>137</v>
      </c>
      <c r="U4205" s="2">
        <v>0.51363400000000003</v>
      </c>
      <c r="V4205" s="2">
        <v>155</v>
      </c>
      <c r="W4205" s="2">
        <v>2014</v>
      </c>
    </row>
    <row r="4206" spans="1:23" ht="12.3" hidden="1" x14ac:dyDescent="0.4">
      <c r="A4206" s="2" t="s">
        <v>181</v>
      </c>
      <c r="B4206" s="2"/>
      <c r="C4206" s="2"/>
      <c r="D4206" s="2"/>
      <c r="E4206" s="2"/>
      <c r="F4206" s="2"/>
      <c r="G4206" s="2"/>
      <c r="H4206" s="2"/>
      <c r="I4206" s="2">
        <v>67.921099999999996</v>
      </c>
      <c r="J4206" s="2">
        <v>108</v>
      </c>
      <c r="K4206" s="2">
        <v>67.359300000000005</v>
      </c>
      <c r="L4206" s="2">
        <v>119</v>
      </c>
      <c r="M4206" s="2">
        <v>110.7461</v>
      </c>
      <c r="N4206" s="2">
        <v>52</v>
      </c>
      <c r="O4206" s="2">
        <v>107.72320000000001</v>
      </c>
      <c r="P4206" s="2">
        <v>114</v>
      </c>
      <c r="Q4206" s="2">
        <v>106.80589999999999</v>
      </c>
      <c r="R4206" s="2">
        <v>223</v>
      </c>
      <c r="S4206" s="2">
        <v>107.2591</v>
      </c>
      <c r="T4206" s="2">
        <v>223</v>
      </c>
      <c r="U4206" s="2">
        <v>0.51241000000000003</v>
      </c>
      <c r="V4206" s="2">
        <v>156</v>
      </c>
      <c r="W4206" s="2">
        <v>2014</v>
      </c>
    </row>
    <row r="4207" spans="1:23" ht="12.3" hidden="1" x14ac:dyDescent="0.4">
      <c r="A4207" s="2" t="s">
        <v>42</v>
      </c>
      <c r="B4207" s="2"/>
      <c r="C4207" s="2"/>
      <c r="D4207" s="2"/>
      <c r="E4207" s="2"/>
      <c r="F4207" s="2"/>
      <c r="G4207" s="2"/>
      <c r="H4207" s="2"/>
      <c r="I4207" s="2">
        <v>70.551900000000003</v>
      </c>
      <c r="J4207" s="2">
        <v>29</v>
      </c>
      <c r="K4207" s="2">
        <v>70.287599999999998</v>
      </c>
      <c r="L4207" s="2">
        <v>27</v>
      </c>
      <c r="M4207" s="2">
        <v>98.816699999999997</v>
      </c>
      <c r="N4207" s="2">
        <v>282</v>
      </c>
      <c r="O4207" s="2">
        <v>102.15730000000001</v>
      </c>
      <c r="P4207" s="2">
        <v>217</v>
      </c>
      <c r="Q4207" s="2">
        <v>106.4774</v>
      </c>
      <c r="R4207" s="2">
        <v>218</v>
      </c>
      <c r="S4207" s="2">
        <v>101.828</v>
      </c>
      <c r="T4207" s="2">
        <v>109</v>
      </c>
      <c r="U4207" s="2">
        <v>0.50928099999999998</v>
      </c>
      <c r="V4207" s="2">
        <v>157</v>
      </c>
      <c r="W4207" s="2">
        <v>2014</v>
      </c>
    </row>
    <row r="4208" spans="1:23" ht="12.3" hidden="1" x14ac:dyDescent="0.4">
      <c r="A4208" s="2" t="s">
        <v>126</v>
      </c>
      <c r="B4208" s="2"/>
      <c r="C4208" s="2"/>
      <c r="D4208" s="2"/>
      <c r="E4208" s="2"/>
      <c r="F4208" s="2"/>
      <c r="G4208" s="2"/>
      <c r="H4208" s="2"/>
      <c r="I4208" s="2">
        <v>67.004300000000001</v>
      </c>
      <c r="J4208" s="2">
        <v>146</v>
      </c>
      <c r="K4208" s="2">
        <v>67.100800000000007</v>
      </c>
      <c r="L4208" s="2">
        <v>136</v>
      </c>
      <c r="M4208" s="2">
        <v>107.0414</v>
      </c>
      <c r="N4208" s="2">
        <v>118</v>
      </c>
      <c r="O4208" s="2">
        <v>108.3032</v>
      </c>
      <c r="P4208" s="2">
        <v>98</v>
      </c>
      <c r="Q4208" s="2">
        <v>111.0381</v>
      </c>
      <c r="R4208" s="2">
        <v>312</v>
      </c>
      <c r="S4208" s="2">
        <v>108.297</v>
      </c>
      <c r="T4208" s="2">
        <v>239</v>
      </c>
      <c r="U4208" s="2">
        <v>0.50016499999999997</v>
      </c>
      <c r="V4208" s="2">
        <v>158</v>
      </c>
      <c r="W4208" s="2">
        <v>2014</v>
      </c>
    </row>
    <row r="4209" spans="1:23" ht="12.3" hidden="1" x14ac:dyDescent="0.4">
      <c r="A4209" s="2" t="s">
        <v>88</v>
      </c>
      <c r="B4209" s="2"/>
      <c r="C4209" s="2"/>
      <c r="D4209" s="2"/>
      <c r="E4209" s="2"/>
      <c r="F4209" s="2"/>
      <c r="G4209" s="2"/>
      <c r="H4209" s="2"/>
      <c r="I4209" s="2">
        <v>68.396000000000001</v>
      </c>
      <c r="J4209" s="2">
        <v>92</v>
      </c>
      <c r="K4209" s="2">
        <v>67.935400000000001</v>
      </c>
      <c r="L4209" s="2">
        <v>99</v>
      </c>
      <c r="M4209" s="2">
        <v>105.9276</v>
      </c>
      <c r="N4209" s="2">
        <v>146</v>
      </c>
      <c r="O4209" s="2">
        <v>109.28489999999999</v>
      </c>
      <c r="P4209" s="2">
        <v>84</v>
      </c>
      <c r="Q4209" s="2">
        <v>112.2602</v>
      </c>
      <c r="R4209" s="2">
        <v>323</v>
      </c>
      <c r="S4209" s="2">
        <v>109.33369999999999</v>
      </c>
      <c r="T4209" s="2">
        <v>261</v>
      </c>
      <c r="U4209" s="2">
        <v>0.49871700000000002</v>
      </c>
      <c r="V4209" s="2">
        <v>159</v>
      </c>
      <c r="W4209" s="2">
        <v>2014</v>
      </c>
    </row>
    <row r="4210" spans="1:23" ht="12.3" hidden="1" x14ac:dyDescent="0.4">
      <c r="A4210" s="2" t="s">
        <v>367</v>
      </c>
      <c r="B4210" s="2"/>
      <c r="C4210" s="2"/>
      <c r="D4210" s="2"/>
      <c r="E4210" s="2"/>
      <c r="F4210" s="2"/>
      <c r="G4210" s="2"/>
      <c r="H4210" s="2"/>
      <c r="I4210" s="2">
        <v>66.449200000000005</v>
      </c>
      <c r="J4210" s="2">
        <v>177</v>
      </c>
      <c r="K4210" s="2">
        <v>65.694299999999998</v>
      </c>
      <c r="L4210" s="2">
        <v>210</v>
      </c>
      <c r="M4210" s="2">
        <v>107.67959999999999</v>
      </c>
      <c r="N4210" s="2">
        <v>100</v>
      </c>
      <c r="O4210" s="2">
        <v>105.3777</v>
      </c>
      <c r="P4210" s="2">
        <v>159</v>
      </c>
      <c r="Q4210" s="2">
        <v>103.429</v>
      </c>
      <c r="R4210" s="2">
        <v>135</v>
      </c>
      <c r="S4210" s="2">
        <v>105.4639</v>
      </c>
      <c r="T4210" s="2">
        <v>186</v>
      </c>
      <c r="U4210" s="2">
        <v>0.49764900000000001</v>
      </c>
      <c r="V4210" s="2">
        <v>160</v>
      </c>
      <c r="W4210" s="2">
        <v>2014</v>
      </c>
    </row>
    <row r="4211" spans="1:23" ht="12.3" hidden="1" x14ac:dyDescent="0.4">
      <c r="A4211" s="2" t="s">
        <v>74</v>
      </c>
      <c r="B4211" s="2"/>
      <c r="C4211" s="2"/>
      <c r="D4211" s="2"/>
      <c r="E4211" s="2"/>
      <c r="F4211" s="2"/>
      <c r="G4211" s="2"/>
      <c r="H4211" s="2"/>
      <c r="I4211" s="2">
        <v>66.068899999999999</v>
      </c>
      <c r="J4211" s="2">
        <v>198</v>
      </c>
      <c r="K4211" s="2">
        <v>65.396600000000007</v>
      </c>
      <c r="L4211" s="2">
        <v>225</v>
      </c>
      <c r="M4211" s="2">
        <v>103.59650000000001</v>
      </c>
      <c r="N4211" s="2">
        <v>201</v>
      </c>
      <c r="O4211" s="2">
        <v>102.17870000000001</v>
      </c>
      <c r="P4211" s="2">
        <v>215</v>
      </c>
      <c r="Q4211" s="2">
        <v>102.8193</v>
      </c>
      <c r="R4211" s="2">
        <v>118</v>
      </c>
      <c r="S4211" s="2">
        <v>102.3878</v>
      </c>
      <c r="T4211" s="2">
        <v>120</v>
      </c>
      <c r="U4211" s="2">
        <v>0.49412299999999998</v>
      </c>
      <c r="V4211" s="2">
        <v>161</v>
      </c>
      <c r="W4211" s="2">
        <v>2014</v>
      </c>
    </row>
    <row r="4212" spans="1:23" ht="12.3" hidden="1" x14ac:dyDescent="0.4">
      <c r="A4212" s="2" t="s">
        <v>172</v>
      </c>
      <c r="B4212" s="2"/>
      <c r="C4212" s="2"/>
      <c r="D4212" s="2"/>
      <c r="E4212" s="2"/>
      <c r="F4212" s="2"/>
      <c r="G4212" s="2"/>
      <c r="H4212" s="2"/>
      <c r="I4212" s="2">
        <v>69.016900000000007</v>
      </c>
      <c r="J4212" s="2">
        <v>67</v>
      </c>
      <c r="K4212" s="2">
        <v>68.109200000000001</v>
      </c>
      <c r="L4212" s="2">
        <v>89</v>
      </c>
      <c r="M4212" s="2">
        <v>106.8248</v>
      </c>
      <c r="N4212" s="2">
        <v>126</v>
      </c>
      <c r="O4212" s="2">
        <v>106.13939999999999</v>
      </c>
      <c r="P4212" s="2">
        <v>136</v>
      </c>
      <c r="Q4212" s="2">
        <v>103.1433</v>
      </c>
      <c r="R4212" s="2">
        <v>124</v>
      </c>
      <c r="S4212" s="2">
        <v>106.41540000000001</v>
      </c>
      <c r="T4212" s="2">
        <v>206</v>
      </c>
      <c r="U4212" s="2">
        <v>0.49253400000000003</v>
      </c>
      <c r="V4212" s="2">
        <v>162</v>
      </c>
      <c r="W4212" s="2">
        <v>2014</v>
      </c>
    </row>
    <row r="4213" spans="1:23" ht="12.3" x14ac:dyDescent="0.4">
      <c r="A4213" s="2" t="s">
        <v>178</v>
      </c>
      <c r="B4213" s="2">
        <v>16</v>
      </c>
      <c r="C4213" s="2"/>
      <c r="D4213" s="2"/>
      <c r="E4213" s="2"/>
      <c r="F4213" s="2"/>
      <c r="G4213" s="2"/>
      <c r="H4213" s="2"/>
      <c r="I4213" s="2">
        <v>64.213800000000006</v>
      </c>
      <c r="J4213" s="2">
        <v>307</v>
      </c>
      <c r="K4213" s="2">
        <v>63.758800000000001</v>
      </c>
      <c r="L4213" s="2">
        <v>313</v>
      </c>
      <c r="M4213" s="2">
        <v>98.075400000000002</v>
      </c>
      <c r="N4213" s="2">
        <v>214</v>
      </c>
      <c r="O4213" s="2">
        <v>96.6995</v>
      </c>
      <c r="P4213" s="2">
        <v>237</v>
      </c>
      <c r="Q4213" s="2">
        <v>92.289699999999996</v>
      </c>
      <c r="R4213" s="2">
        <v>12</v>
      </c>
      <c r="S4213" s="2">
        <v>96.649900000000002</v>
      </c>
      <c r="T4213" s="2">
        <v>66</v>
      </c>
      <c r="U4213" s="2">
        <v>0.50147399999999998</v>
      </c>
      <c r="V4213" s="2">
        <v>153</v>
      </c>
      <c r="W4213" s="2">
        <v>2002</v>
      </c>
    </row>
    <row r="4214" spans="1:23" ht="12.3" hidden="1" x14ac:dyDescent="0.4">
      <c r="A4214" s="2" t="s">
        <v>257</v>
      </c>
      <c r="B4214" s="2"/>
      <c r="C4214" s="2"/>
      <c r="D4214" s="2"/>
      <c r="E4214" s="2"/>
      <c r="F4214" s="2"/>
      <c r="G4214" s="2"/>
      <c r="H4214" s="2"/>
      <c r="I4214" s="2">
        <v>64.661600000000007</v>
      </c>
      <c r="J4214" s="2">
        <v>267</v>
      </c>
      <c r="K4214" s="2">
        <v>65.165199999999999</v>
      </c>
      <c r="L4214" s="2">
        <v>240</v>
      </c>
      <c r="M4214" s="2">
        <v>111.64409999999999</v>
      </c>
      <c r="N4214" s="2">
        <v>45</v>
      </c>
      <c r="O4214" s="2">
        <v>111.99039999999999</v>
      </c>
      <c r="P4214" s="2">
        <v>44</v>
      </c>
      <c r="Q4214" s="2">
        <v>110.5776</v>
      </c>
      <c r="R4214" s="2">
        <v>307</v>
      </c>
      <c r="S4214" s="2">
        <v>112.51349999999999</v>
      </c>
      <c r="T4214" s="2">
        <v>320</v>
      </c>
      <c r="U4214" s="2">
        <v>0.48660399999999998</v>
      </c>
      <c r="V4214" s="2">
        <v>164</v>
      </c>
      <c r="W4214" s="2">
        <v>2014</v>
      </c>
    </row>
    <row r="4215" spans="1:23" ht="12.3" hidden="1" x14ac:dyDescent="0.4">
      <c r="A4215" s="2" t="s">
        <v>336</v>
      </c>
      <c r="B4215" s="2"/>
      <c r="C4215" s="2"/>
      <c r="D4215" s="2"/>
      <c r="E4215" s="2"/>
      <c r="F4215" s="2"/>
      <c r="G4215" s="2"/>
      <c r="H4215" s="2"/>
      <c r="I4215" s="2">
        <v>66.051100000000005</v>
      </c>
      <c r="J4215" s="2">
        <v>201</v>
      </c>
      <c r="K4215" s="2">
        <v>66.002200000000002</v>
      </c>
      <c r="L4215" s="2">
        <v>198</v>
      </c>
      <c r="M4215" s="2">
        <v>107.0643</v>
      </c>
      <c r="N4215" s="2">
        <v>115</v>
      </c>
      <c r="O4215" s="2">
        <v>105.0478</v>
      </c>
      <c r="P4215" s="2">
        <v>167</v>
      </c>
      <c r="Q4215" s="2">
        <v>99.036100000000005</v>
      </c>
      <c r="R4215" s="2">
        <v>62</v>
      </c>
      <c r="S4215" s="2">
        <v>105.5716</v>
      </c>
      <c r="T4215" s="2">
        <v>189</v>
      </c>
      <c r="U4215" s="2">
        <v>0.485705</v>
      </c>
      <c r="V4215" s="2">
        <v>165</v>
      </c>
      <c r="W4215" s="2">
        <v>2014</v>
      </c>
    </row>
    <row r="4216" spans="1:23" ht="12.3" hidden="1" x14ac:dyDescent="0.4">
      <c r="A4216" s="2" t="s">
        <v>79</v>
      </c>
      <c r="B4216" s="2"/>
      <c r="C4216" s="2"/>
      <c r="D4216" s="2"/>
      <c r="E4216" s="2"/>
      <c r="F4216" s="2"/>
      <c r="G4216" s="2"/>
      <c r="H4216" s="2"/>
      <c r="I4216" s="2">
        <v>66.444500000000005</v>
      </c>
      <c r="J4216" s="2">
        <v>178</v>
      </c>
      <c r="K4216" s="2">
        <v>67.124399999999994</v>
      </c>
      <c r="L4216" s="2">
        <v>134</v>
      </c>
      <c r="M4216" s="2">
        <v>106.2962</v>
      </c>
      <c r="N4216" s="2">
        <v>138</v>
      </c>
      <c r="O4216" s="2">
        <v>106.5647</v>
      </c>
      <c r="P4216" s="2">
        <v>130</v>
      </c>
      <c r="Q4216" s="2">
        <v>108.74290000000001</v>
      </c>
      <c r="R4216" s="2">
        <v>269</v>
      </c>
      <c r="S4216" s="2">
        <v>107.1125</v>
      </c>
      <c r="T4216" s="2">
        <v>220</v>
      </c>
      <c r="U4216" s="2">
        <v>0.485263</v>
      </c>
      <c r="V4216" s="2">
        <v>166</v>
      </c>
      <c r="W4216" s="2">
        <v>2014</v>
      </c>
    </row>
    <row r="4217" spans="1:23" ht="12.3" hidden="1" x14ac:dyDescent="0.4">
      <c r="A4217" s="2" t="s">
        <v>259</v>
      </c>
      <c r="B4217" s="2"/>
      <c r="C4217" s="2"/>
      <c r="D4217" s="2"/>
      <c r="E4217" s="2"/>
      <c r="F4217" s="2"/>
      <c r="G4217" s="2"/>
      <c r="H4217" s="2"/>
      <c r="I4217" s="2">
        <v>76.594899999999996</v>
      </c>
      <c r="J4217" s="2">
        <v>1</v>
      </c>
      <c r="K4217" s="2">
        <v>75.5732</v>
      </c>
      <c r="L4217" s="2">
        <v>1</v>
      </c>
      <c r="M4217" s="2">
        <v>109.8664</v>
      </c>
      <c r="N4217" s="2">
        <v>61</v>
      </c>
      <c r="O4217" s="2">
        <v>108.43859999999999</v>
      </c>
      <c r="P4217" s="2">
        <v>93</v>
      </c>
      <c r="Q4217" s="2">
        <v>108.25960000000001</v>
      </c>
      <c r="R4217" s="2">
        <v>259</v>
      </c>
      <c r="S4217" s="2">
        <v>109.02</v>
      </c>
      <c r="T4217" s="2">
        <v>256</v>
      </c>
      <c r="U4217" s="2">
        <v>0.48463200000000001</v>
      </c>
      <c r="V4217" s="2">
        <v>167</v>
      </c>
      <c r="W4217" s="2">
        <v>2014</v>
      </c>
    </row>
    <row r="4218" spans="1:23" ht="12.3" hidden="1" x14ac:dyDescent="0.4">
      <c r="A4218" s="2" t="s">
        <v>177</v>
      </c>
      <c r="B4218" s="2"/>
      <c r="C4218" s="2"/>
      <c r="D4218" s="2"/>
      <c r="E4218" s="2"/>
      <c r="F4218" s="2"/>
      <c r="G4218" s="2"/>
      <c r="H4218" s="2"/>
      <c r="I4218" s="2">
        <v>67.492599999999996</v>
      </c>
      <c r="J4218" s="2">
        <v>126</v>
      </c>
      <c r="K4218" s="2">
        <v>67.575100000000006</v>
      </c>
      <c r="L4218" s="2">
        <v>110</v>
      </c>
      <c r="M4218" s="2">
        <v>103.6409</v>
      </c>
      <c r="N4218" s="2">
        <v>198</v>
      </c>
      <c r="O4218" s="2">
        <v>105.705</v>
      </c>
      <c r="P4218" s="2">
        <v>147</v>
      </c>
      <c r="Q4218" s="2">
        <v>108.1947</v>
      </c>
      <c r="R4218" s="2">
        <v>257</v>
      </c>
      <c r="S4218" s="2">
        <v>106.3177</v>
      </c>
      <c r="T4218" s="2">
        <v>204</v>
      </c>
      <c r="U4218" s="2">
        <v>0.48338999999999999</v>
      </c>
      <c r="V4218" s="2">
        <v>168</v>
      </c>
      <c r="W4218" s="2">
        <v>2014</v>
      </c>
    </row>
    <row r="4219" spans="1:23" ht="12.3" x14ac:dyDescent="0.4">
      <c r="A4219" s="2" t="s">
        <v>181</v>
      </c>
      <c r="B4219" s="2">
        <v>14</v>
      </c>
      <c r="C4219" s="2"/>
      <c r="D4219" s="2"/>
      <c r="E4219" s="2"/>
      <c r="F4219" s="2"/>
      <c r="G4219" s="2"/>
      <c r="H4219" s="2"/>
      <c r="I4219" s="2">
        <v>72.066000000000003</v>
      </c>
      <c r="J4219" s="2">
        <v>82</v>
      </c>
      <c r="K4219" s="2">
        <v>70.7761</v>
      </c>
      <c r="L4219" s="2">
        <v>119</v>
      </c>
      <c r="M4219" s="2">
        <v>106.5064</v>
      </c>
      <c r="N4219" s="2">
        <v>60</v>
      </c>
      <c r="O4219" s="2">
        <v>104.1288</v>
      </c>
      <c r="P4219" s="2">
        <v>107</v>
      </c>
      <c r="Q4219" s="2">
        <v>103.1195</v>
      </c>
      <c r="R4219" s="2">
        <v>216</v>
      </c>
      <c r="S4219" s="2">
        <v>104.2136</v>
      </c>
      <c r="T4219" s="2">
        <v>234</v>
      </c>
      <c r="U4219" s="2">
        <v>0.49765900000000002</v>
      </c>
      <c r="V4219" s="2">
        <v>156</v>
      </c>
      <c r="W4219" s="2">
        <v>2002</v>
      </c>
    </row>
    <row r="4220" spans="1:23" ht="12.3" hidden="1" x14ac:dyDescent="0.4">
      <c r="A4220" s="2" t="s">
        <v>123</v>
      </c>
      <c r="B4220" s="2"/>
      <c r="C4220" s="2"/>
      <c r="D4220" s="2"/>
      <c r="E4220" s="2"/>
      <c r="F4220" s="2"/>
      <c r="G4220" s="2"/>
      <c r="H4220" s="2"/>
      <c r="I4220" s="2">
        <v>68.95</v>
      </c>
      <c r="J4220" s="2">
        <v>69</v>
      </c>
      <c r="K4220" s="2">
        <v>68.581000000000003</v>
      </c>
      <c r="L4220" s="2">
        <v>69</v>
      </c>
      <c r="M4220" s="2">
        <v>101.2285</v>
      </c>
      <c r="N4220" s="2">
        <v>245</v>
      </c>
      <c r="O4220" s="2">
        <v>105.6799</v>
      </c>
      <c r="P4220" s="2">
        <v>148</v>
      </c>
      <c r="Q4220" s="2">
        <v>110.0386</v>
      </c>
      <c r="R4220" s="2">
        <v>295</v>
      </c>
      <c r="S4220" s="2">
        <v>106.495</v>
      </c>
      <c r="T4220" s="2">
        <v>210</v>
      </c>
      <c r="U4220" s="2">
        <v>0.47792299999999999</v>
      </c>
      <c r="V4220" s="2">
        <v>170</v>
      </c>
      <c r="W4220" s="2">
        <v>2014</v>
      </c>
    </row>
    <row r="4221" spans="1:23" ht="12.3" hidden="1" x14ac:dyDescent="0.4">
      <c r="A4221" s="2" t="s">
        <v>160</v>
      </c>
      <c r="B4221" s="2"/>
      <c r="C4221" s="2"/>
      <c r="D4221" s="2"/>
      <c r="E4221" s="2"/>
      <c r="F4221" s="2"/>
      <c r="G4221" s="2"/>
      <c r="H4221" s="2"/>
      <c r="I4221" s="2">
        <v>64.767499999999998</v>
      </c>
      <c r="J4221" s="2">
        <v>261</v>
      </c>
      <c r="K4221" s="2">
        <v>65.2256</v>
      </c>
      <c r="L4221" s="2">
        <v>237</v>
      </c>
      <c r="M4221" s="2">
        <v>101.0138</v>
      </c>
      <c r="N4221" s="2">
        <v>249</v>
      </c>
      <c r="O4221" s="2">
        <v>100.7765</v>
      </c>
      <c r="P4221" s="2">
        <v>241</v>
      </c>
      <c r="Q4221" s="2">
        <v>102.7927</v>
      </c>
      <c r="R4221" s="2">
        <v>115</v>
      </c>
      <c r="S4221" s="2">
        <v>101.63330000000001</v>
      </c>
      <c r="T4221" s="2">
        <v>105</v>
      </c>
      <c r="U4221" s="2">
        <v>0.47567999999999999</v>
      </c>
      <c r="V4221" s="2">
        <v>171</v>
      </c>
      <c r="W4221" s="2">
        <v>2014</v>
      </c>
    </row>
    <row r="4222" spans="1:23" ht="12.3" hidden="1" x14ac:dyDescent="0.4">
      <c r="A4222" s="2" t="s">
        <v>196</v>
      </c>
      <c r="B4222" s="2"/>
      <c r="C4222" s="2"/>
      <c r="D4222" s="2"/>
      <c r="E4222" s="2"/>
      <c r="F4222" s="2"/>
      <c r="G4222" s="2"/>
      <c r="H4222" s="2"/>
      <c r="I4222" s="2">
        <v>67.626800000000003</v>
      </c>
      <c r="J4222" s="2">
        <v>122</v>
      </c>
      <c r="K4222" s="2">
        <v>66.430800000000005</v>
      </c>
      <c r="L4222" s="2">
        <v>172</v>
      </c>
      <c r="M4222" s="2">
        <v>101.9191</v>
      </c>
      <c r="N4222" s="2">
        <v>232</v>
      </c>
      <c r="O4222" s="2">
        <v>100.9132</v>
      </c>
      <c r="P4222" s="2">
        <v>239</v>
      </c>
      <c r="Q4222" s="2">
        <v>104.01349999999999</v>
      </c>
      <c r="R4222" s="2">
        <v>151</v>
      </c>
      <c r="S4222" s="2">
        <v>101.9508</v>
      </c>
      <c r="T4222" s="2">
        <v>112</v>
      </c>
      <c r="U4222" s="2">
        <v>0.47062199999999998</v>
      </c>
      <c r="V4222" s="2">
        <v>172</v>
      </c>
      <c r="W4222" s="2">
        <v>2014</v>
      </c>
    </row>
    <row r="4223" spans="1:23" ht="12.3" x14ac:dyDescent="0.4">
      <c r="A4223" s="2" t="s">
        <v>196</v>
      </c>
      <c r="B4223" s="2">
        <v>16</v>
      </c>
      <c r="C4223" s="2"/>
      <c r="D4223" s="2"/>
      <c r="E4223" s="2"/>
      <c r="F4223" s="2"/>
      <c r="G4223" s="2"/>
      <c r="H4223" s="2"/>
      <c r="I4223" s="2">
        <v>68.842500000000001</v>
      </c>
      <c r="J4223" s="2">
        <v>196</v>
      </c>
      <c r="K4223" s="2">
        <v>67.735900000000001</v>
      </c>
      <c r="L4223" s="2">
        <v>231</v>
      </c>
      <c r="M4223" s="2">
        <v>98.692999999999998</v>
      </c>
      <c r="N4223" s="2">
        <v>201</v>
      </c>
      <c r="O4223" s="2">
        <v>98.610200000000006</v>
      </c>
      <c r="P4223" s="2">
        <v>207</v>
      </c>
      <c r="Q4223" s="2">
        <v>96.368799999999993</v>
      </c>
      <c r="R4223" s="2">
        <v>67</v>
      </c>
      <c r="S4223" s="2">
        <v>99.688500000000005</v>
      </c>
      <c r="T4223" s="2">
        <v>133</v>
      </c>
      <c r="U4223" s="2">
        <v>0.468773</v>
      </c>
      <c r="V4223" s="2">
        <v>171</v>
      </c>
      <c r="W4223" s="2">
        <v>2002</v>
      </c>
    </row>
    <row r="4224" spans="1:23" ht="12.3" hidden="1" x14ac:dyDescent="0.4">
      <c r="A4224" s="2" t="s">
        <v>215</v>
      </c>
      <c r="B4224" s="2"/>
      <c r="C4224" s="2"/>
      <c r="D4224" s="2"/>
      <c r="E4224" s="2"/>
      <c r="F4224" s="2"/>
      <c r="G4224" s="2"/>
      <c r="H4224" s="2"/>
      <c r="I4224" s="2">
        <v>69.176900000000003</v>
      </c>
      <c r="J4224" s="2">
        <v>61</v>
      </c>
      <c r="K4224" s="2">
        <v>68.026700000000005</v>
      </c>
      <c r="L4224" s="2">
        <v>97</v>
      </c>
      <c r="M4224" s="2">
        <v>102.4148</v>
      </c>
      <c r="N4224" s="2">
        <v>222</v>
      </c>
      <c r="O4224" s="2">
        <v>98.231399999999994</v>
      </c>
      <c r="P4224" s="2">
        <v>280</v>
      </c>
      <c r="Q4224" s="2">
        <v>98.103499999999997</v>
      </c>
      <c r="R4224" s="2">
        <v>49</v>
      </c>
      <c r="S4224" s="2">
        <v>99.428799999999995</v>
      </c>
      <c r="T4224" s="2">
        <v>67</v>
      </c>
      <c r="U4224" s="2">
        <v>0.465223</v>
      </c>
      <c r="V4224" s="2">
        <v>174</v>
      </c>
      <c r="W4224" s="2">
        <v>2014</v>
      </c>
    </row>
    <row r="4225" spans="1:23" ht="12.3" hidden="1" x14ac:dyDescent="0.4">
      <c r="A4225" s="2" t="s">
        <v>207</v>
      </c>
      <c r="B4225" s="2"/>
      <c r="C4225" s="2"/>
      <c r="D4225" s="2"/>
      <c r="E4225" s="2"/>
      <c r="F4225" s="2"/>
      <c r="G4225" s="2"/>
      <c r="H4225" s="2"/>
      <c r="I4225" s="2">
        <v>67.281000000000006</v>
      </c>
      <c r="J4225" s="2">
        <v>135</v>
      </c>
      <c r="K4225" s="2">
        <v>67.271600000000007</v>
      </c>
      <c r="L4225" s="2">
        <v>125</v>
      </c>
      <c r="M4225" s="2">
        <v>101.43519999999999</v>
      </c>
      <c r="N4225" s="2">
        <v>241</v>
      </c>
      <c r="O4225" s="2">
        <v>105.1992</v>
      </c>
      <c r="P4225" s="2">
        <v>163</v>
      </c>
      <c r="Q4225" s="2">
        <v>111.0547</v>
      </c>
      <c r="R4225" s="2">
        <v>313</v>
      </c>
      <c r="S4225" s="2">
        <v>106.51390000000001</v>
      </c>
      <c r="T4225" s="2">
        <v>211</v>
      </c>
      <c r="U4225" s="2">
        <v>0.46435399999999999</v>
      </c>
      <c r="V4225" s="2">
        <v>175</v>
      </c>
      <c r="W4225" s="2">
        <v>2014</v>
      </c>
    </row>
    <row r="4226" spans="1:23" ht="12.3" hidden="1" x14ac:dyDescent="0.4">
      <c r="A4226" s="2" t="s">
        <v>63</v>
      </c>
      <c r="B4226" s="2"/>
      <c r="C4226" s="2"/>
      <c r="D4226" s="2"/>
      <c r="E4226" s="2"/>
      <c r="F4226" s="2"/>
      <c r="G4226" s="2"/>
      <c r="H4226" s="2"/>
      <c r="I4226" s="2">
        <v>69.722399999999993</v>
      </c>
      <c r="J4226" s="2">
        <v>46</v>
      </c>
      <c r="K4226" s="2">
        <v>69.433999999999997</v>
      </c>
      <c r="L4226" s="2">
        <v>48</v>
      </c>
      <c r="M4226" s="2">
        <v>101.7757</v>
      </c>
      <c r="N4226" s="2">
        <v>234</v>
      </c>
      <c r="O4226" s="2">
        <v>101.5373</v>
      </c>
      <c r="P4226" s="2">
        <v>231</v>
      </c>
      <c r="Q4226" s="2">
        <v>101.66079999999999</v>
      </c>
      <c r="R4226" s="2">
        <v>102</v>
      </c>
      <c r="S4226" s="2">
        <v>102.87560000000001</v>
      </c>
      <c r="T4226" s="2">
        <v>133</v>
      </c>
      <c r="U4226" s="2">
        <v>0.462426</v>
      </c>
      <c r="V4226" s="2">
        <v>176</v>
      </c>
      <c r="W4226" s="2">
        <v>2014</v>
      </c>
    </row>
    <row r="4227" spans="1:23" ht="12.3" x14ac:dyDescent="0.4">
      <c r="A4227" s="2" t="s">
        <v>203</v>
      </c>
      <c r="B4227" s="2">
        <v>16</v>
      </c>
      <c r="C4227" s="2"/>
      <c r="D4227" s="2"/>
      <c r="E4227" s="2"/>
      <c r="F4227" s="2"/>
      <c r="G4227" s="2"/>
      <c r="H4227" s="2"/>
      <c r="I4227" s="2">
        <v>65.002499999999998</v>
      </c>
      <c r="J4227" s="2">
        <v>292</v>
      </c>
      <c r="K4227" s="2">
        <v>65.861199999999997</v>
      </c>
      <c r="L4227" s="2">
        <v>286</v>
      </c>
      <c r="M4227" s="2">
        <v>102.6611</v>
      </c>
      <c r="N4227" s="2">
        <v>127</v>
      </c>
      <c r="O4227" s="2">
        <v>99.563400000000001</v>
      </c>
      <c r="P4227" s="2">
        <v>189</v>
      </c>
      <c r="Q4227" s="2">
        <v>95.619799999999998</v>
      </c>
      <c r="R4227" s="2">
        <v>58</v>
      </c>
      <c r="S4227" s="2">
        <v>101.1011</v>
      </c>
      <c r="T4227" s="2">
        <v>166</v>
      </c>
      <c r="U4227" s="2">
        <v>0.45605099999999998</v>
      </c>
      <c r="V4227" s="2">
        <v>178</v>
      </c>
      <c r="W4227" s="2">
        <v>2002</v>
      </c>
    </row>
    <row r="4228" spans="1:23" ht="12.3" hidden="1" x14ac:dyDescent="0.4">
      <c r="A4228" s="2" t="s">
        <v>379</v>
      </c>
      <c r="B4228" s="2"/>
      <c r="C4228" s="2"/>
      <c r="D4228" s="2"/>
      <c r="E4228" s="2"/>
      <c r="F4228" s="2"/>
      <c r="G4228" s="2"/>
      <c r="H4228" s="2"/>
      <c r="I4228" s="2">
        <v>73.589600000000004</v>
      </c>
      <c r="J4228" s="2">
        <v>5</v>
      </c>
      <c r="K4228" s="2">
        <v>74.184100000000001</v>
      </c>
      <c r="L4228" s="2">
        <v>4</v>
      </c>
      <c r="M4228" s="2">
        <v>106.2724</v>
      </c>
      <c r="N4228" s="2">
        <v>140</v>
      </c>
      <c r="O4228" s="2">
        <v>103.68210000000001</v>
      </c>
      <c r="P4228" s="2">
        <v>192</v>
      </c>
      <c r="Q4228" s="2">
        <v>103.7987</v>
      </c>
      <c r="R4228" s="2">
        <v>145</v>
      </c>
      <c r="S4228" s="2">
        <v>105.2123</v>
      </c>
      <c r="T4228" s="2">
        <v>176</v>
      </c>
      <c r="U4228" s="2">
        <v>0.457978</v>
      </c>
      <c r="V4228" s="2">
        <v>178</v>
      </c>
      <c r="W4228" s="2">
        <v>2014</v>
      </c>
    </row>
    <row r="4229" spans="1:23" ht="12.3" hidden="1" x14ac:dyDescent="0.4">
      <c r="A4229" s="2" t="s">
        <v>68</v>
      </c>
      <c r="B4229" s="2"/>
      <c r="C4229" s="2"/>
      <c r="D4229" s="2"/>
      <c r="E4229" s="2"/>
      <c r="F4229" s="2"/>
      <c r="G4229" s="2"/>
      <c r="H4229" s="2"/>
      <c r="I4229" s="2">
        <v>66.2774</v>
      </c>
      <c r="J4229" s="2">
        <v>190</v>
      </c>
      <c r="K4229" s="2">
        <v>66.2209</v>
      </c>
      <c r="L4229" s="2">
        <v>183</v>
      </c>
      <c r="M4229" s="2">
        <v>100.80889999999999</v>
      </c>
      <c r="N4229" s="2">
        <v>253</v>
      </c>
      <c r="O4229" s="2">
        <v>100.6617</v>
      </c>
      <c r="P4229" s="2">
        <v>244</v>
      </c>
      <c r="Q4229" s="2">
        <v>100.8293</v>
      </c>
      <c r="R4229" s="2">
        <v>89</v>
      </c>
      <c r="S4229" s="2">
        <v>102.251</v>
      </c>
      <c r="T4229" s="2">
        <v>117</v>
      </c>
      <c r="U4229" s="2">
        <v>0.45508599999999999</v>
      </c>
      <c r="V4229" s="2">
        <v>179</v>
      </c>
      <c r="W4229" s="2">
        <v>2014</v>
      </c>
    </row>
    <row r="4230" spans="1:23" ht="12.3" hidden="1" x14ac:dyDescent="0.4">
      <c r="A4230" s="2" t="s">
        <v>369</v>
      </c>
      <c r="B4230" s="2"/>
      <c r="C4230" s="2"/>
      <c r="D4230" s="2"/>
      <c r="E4230" s="2"/>
      <c r="F4230" s="2"/>
      <c r="G4230" s="2"/>
      <c r="H4230" s="2"/>
      <c r="I4230" s="2">
        <v>68.400199999999998</v>
      </c>
      <c r="J4230" s="2">
        <v>91</v>
      </c>
      <c r="K4230" s="2">
        <v>68.305300000000003</v>
      </c>
      <c r="L4230" s="2">
        <v>79</v>
      </c>
      <c r="M4230" s="2">
        <v>104.36320000000001</v>
      </c>
      <c r="N4230" s="2">
        <v>177</v>
      </c>
      <c r="O4230" s="2">
        <v>100.2299</v>
      </c>
      <c r="P4230" s="2">
        <v>255</v>
      </c>
      <c r="Q4230" s="2">
        <v>98.599800000000002</v>
      </c>
      <c r="R4230" s="2">
        <v>53</v>
      </c>
      <c r="S4230" s="2">
        <v>101.8348</v>
      </c>
      <c r="T4230" s="2">
        <v>110</v>
      </c>
      <c r="U4230" s="2">
        <v>0.454457</v>
      </c>
      <c r="V4230" s="2">
        <v>180</v>
      </c>
      <c r="W4230" s="2">
        <v>2014</v>
      </c>
    </row>
    <row r="4231" spans="1:23" ht="12.3" hidden="1" x14ac:dyDescent="0.4">
      <c r="A4231" s="2" t="s">
        <v>247</v>
      </c>
      <c r="B4231" s="2"/>
      <c r="C4231" s="2"/>
      <c r="D4231" s="2"/>
      <c r="E4231" s="2"/>
      <c r="F4231" s="2"/>
      <c r="G4231" s="2"/>
      <c r="H4231" s="2"/>
      <c r="I4231" s="2">
        <v>62.743600000000001</v>
      </c>
      <c r="J4231" s="2">
        <v>333</v>
      </c>
      <c r="K4231" s="2">
        <v>63.978299999999997</v>
      </c>
      <c r="L4231" s="2">
        <v>290</v>
      </c>
      <c r="M4231" s="2">
        <v>108.8678</v>
      </c>
      <c r="N4231" s="2">
        <v>77</v>
      </c>
      <c r="O4231" s="2">
        <v>107.8245</v>
      </c>
      <c r="P4231" s="2">
        <v>111</v>
      </c>
      <c r="Q4231" s="2">
        <v>106.3506</v>
      </c>
      <c r="R4231" s="2">
        <v>216</v>
      </c>
      <c r="S4231" s="2">
        <v>109.7077</v>
      </c>
      <c r="T4231" s="2">
        <v>271</v>
      </c>
      <c r="U4231" s="2">
        <v>0.45038400000000001</v>
      </c>
      <c r="V4231" s="2">
        <v>181</v>
      </c>
      <c r="W4231" s="2">
        <v>2014</v>
      </c>
    </row>
    <row r="4232" spans="1:23" ht="12.3" hidden="1" x14ac:dyDescent="0.4">
      <c r="A4232" s="2" t="s">
        <v>190</v>
      </c>
      <c r="B4232" s="2"/>
      <c r="C4232" s="2"/>
      <c r="D4232" s="2"/>
      <c r="E4232" s="2"/>
      <c r="F4232" s="2"/>
      <c r="G4232" s="2"/>
      <c r="H4232" s="2"/>
      <c r="I4232" s="2">
        <v>64.159199999999998</v>
      </c>
      <c r="J4232" s="2">
        <v>285</v>
      </c>
      <c r="K4232" s="2">
        <v>63.862499999999997</v>
      </c>
      <c r="L4232" s="2">
        <v>296</v>
      </c>
      <c r="M4232" s="2">
        <v>98.140100000000004</v>
      </c>
      <c r="N4232" s="2">
        <v>287</v>
      </c>
      <c r="O4232" s="2">
        <v>99.351299999999995</v>
      </c>
      <c r="P4232" s="2">
        <v>268</v>
      </c>
      <c r="Q4232" s="2">
        <v>99.624300000000005</v>
      </c>
      <c r="R4232" s="2">
        <v>69</v>
      </c>
      <c r="S4232" s="2">
        <v>101.1384</v>
      </c>
      <c r="T4232" s="2">
        <v>98</v>
      </c>
      <c r="U4232" s="2">
        <v>0.44892199999999999</v>
      </c>
      <c r="V4232" s="2">
        <v>182</v>
      </c>
      <c r="W4232" s="2">
        <v>2014</v>
      </c>
    </row>
    <row r="4233" spans="1:23" ht="12.3" hidden="1" x14ac:dyDescent="0.4">
      <c r="A4233" s="2" t="s">
        <v>317</v>
      </c>
      <c r="B4233" s="2"/>
      <c r="C4233" s="2"/>
      <c r="D4233" s="2"/>
      <c r="E4233" s="2"/>
      <c r="F4233" s="2"/>
      <c r="G4233" s="2"/>
      <c r="H4233" s="2"/>
      <c r="I4233" s="2">
        <v>68.413499999999999</v>
      </c>
      <c r="J4233" s="2">
        <v>90</v>
      </c>
      <c r="K4233" s="2">
        <v>67.6554</v>
      </c>
      <c r="L4233" s="2">
        <v>106</v>
      </c>
      <c r="M4233" s="2">
        <v>106.9246</v>
      </c>
      <c r="N4233" s="2">
        <v>123</v>
      </c>
      <c r="O4233" s="2">
        <v>107.0091</v>
      </c>
      <c r="P4233" s="2">
        <v>124</v>
      </c>
      <c r="Q4233" s="2">
        <v>108.35120000000001</v>
      </c>
      <c r="R4233" s="2">
        <v>261</v>
      </c>
      <c r="S4233" s="2">
        <v>108.9491</v>
      </c>
      <c r="T4233" s="2">
        <v>255</v>
      </c>
      <c r="U4233" s="2">
        <v>0.44852900000000001</v>
      </c>
      <c r="V4233" s="2">
        <v>183</v>
      </c>
      <c r="W4233" s="2">
        <v>2014</v>
      </c>
    </row>
    <row r="4234" spans="1:23" ht="12.3" x14ac:dyDescent="0.4">
      <c r="A4234" s="2" t="s">
        <v>218</v>
      </c>
      <c r="B4234" s="2">
        <v>15</v>
      </c>
      <c r="C4234" s="2"/>
      <c r="D4234" s="2"/>
      <c r="E4234" s="2"/>
      <c r="F4234" s="2"/>
      <c r="G4234" s="2"/>
      <c r="H4234" s="2"/>
      <c r="I4234" s="2">
        <v>71.235699999999994</v>
      </c>
      <c r="J4234" s="2">
        <v>107</v>
      </c>
      <c r="K4234" s="2">
        <v>71.244600000000005</v>
      </c>
      <c r="L4234" s="2">
        <v>104</v>
      </c>
      <c r="M4234" s="2">
        <v>100.2897</v>
      </c>
      <c r="N4234" s="2">
        <v>171</v>
      </c>
      <c r="O4234" s="2">
        <v>96.866900000000001</v>
      </c>
      <c r="P4234" s="2">
        <v>230</v>
      </c>
      <c r="Q4234" s="2">
        <v>98.418300000000002</v>
      </c>
      <c r="R4234" s="2">
        <v>100</v>
      </c>
      <c r="S4234" s="2">
        <v>99.926299999999998</v>
      </c>
      <c r="T4234" s="2">
        <v>137</v>
      </c>
      <c r="U4234" s="2">
        <v>0.41154200000000002</v>
      </c>
      <c r="V4234" s="2">
        <v>193</v>
      </c>
      <c r="W4234" s="2">
        <v>2002</v>
      </c>
    </row>
    <row r="4235" spans="1:23" ht="12.3" hidden="1" x14ac:dyDescent="0.4">
      <c r="A4235" s="2" t="s">
        <v>291</v>
      </c>
      <c r="B4235" s="2"/>
      <c r="C4235" s="2"/>
      <c r="D4235" s="2"/>
      <c r="E4235" s="2"/>
      <c r="F4235" s="2"/>
      <c r="G4235" s="2"/>
      <c r="H4235" s="2"/>
      <c r="I4235" s="2">
        <v>69.709900000000005</v>
      </c>
      <c r="J4235" s="2">
        <v>47</v>
      </c>
      <c r="K4235" s="2">
        <v>69.685299999999998</v>
      </c>
      <c r="L4235" s="2">
        <v>41</v>
      </c>
      <c r="M4235" s="2">
        <v>103.3678</v>
      </c>
      <c r="N4235" s="2">
        <v>204</v>
      </c>
      <c r="O4235" s="2">
        <v>104.0609</v>
      </c>
      <c r="P4235" s="2">
        <v>180</v>
      </c>
      <c r="Q4235" s="2">
        <v>109.9803</v>
      </c>
      <c r="R4235" s="2">
        <v>294</v>
      </c>
      <c r="S4235" s="2">
        <v>106.0003</v>
      </c>
      <c r="T4235" s="2">
        <v>198</v>
      </c>
      <c r="U4235" s="2">
        <v>0.44711000000000001</v>
      </c>
      <c r="V4235" s="2">
        <v>185</v>
      </c>
      <c r="W4235" s="2">
        <v>2014</v>
      </c>
    </row>
    <row r="4236" spans="1:23" ht="12.3" hidden="1" x14ac:dyDescent="0.4">
      <c r="A4236" s="2" t="s">
        <v>307</v>
      </c>
      <c r="B4236" s="2"/>
      <c r="C4236" s="2"/>
      <c r="D4236" s="2"/>
      <c r="E4236" s="2"/>
      <c r="F4236" s="2"/>
      <c r="G4236" s="2"/>
      <c r="H4236" s="2"/>
      <c r="I4236" s="2">
        <v>66.539299999999997</v>
      </c>
      <c r="J4236" s="2">
        <v>170</v>
      </c>
      <c r="K4236" s="2">
        <v>65.330299999999994</v>
      </c>
      <c r="L4236" s="2">
        <v>232</v>
      </c>
      <c r="M4236" s="2">
        <v>107.294</v>
      </c>
      <c r="N4236" s="2">
        <v>108</v>
      </c>
      <c r="O4236" s="2">
        <v>103.7492</v>
      </c>
      <c r="P4236" s="2">
        <v>189</v>
      </c>
      <c r="Q4236" s="2">
        <v>106.3425</v>
      </c>
      <c r="R4236" s="2">
        <v>215</v>
      </c>
      <c r="S4236" s="2">
        <v>105.6857</v>
      </c>
      <c r="T4236" s="2">
        <v>194</v>
      </c>
      <c r="U4236" s="2">
        <v>0.44703199999999998</v>
      </c>
      <c r="V4236" s="2">
        <v>186</v>
      </c>
      <c r="W4236" s="2">
        <v>2014</v>
      </c>
    </row>
    <row r="4237" spans="1:23" ht="12.3" hidden="1" x14ac:dyDescent="0.4">
      <c r="A4237" s="2" t="s">
        <v>239</v>
      </c>
      <c r="B4237" s="2"/>
      <c r="C4237" s="2"/>
      <c r="D4237" s="2"/>
      <c r="E4237" s="2"/>
      <c r="F4237" s="2"/>
      <c r="G4237" s="2"/>
      <c r="H4237" s="2"/>
      <c r="I4237" s="2">
        <v>63.011899999999997</v>
      </c>
      <c r="J4237" s="2">
        <v>327</v>
      </c>
      <c r="K4237" s="2">
        <v>62.1387</v>
      </c>
      <c r="L4237" s="2">
        <v>336</v>
      </c>
      <c r="M4237" s="2">
        <v>96.641499999999994</v>
      </c>
      <c r="N4237" s="2">
        <v>311</v>
      </c>
      <c r="O4237" s="2">
        <v>101.20059999999999</v>
      </c>
      <c r="P4237" s="2">
        <v>233</v>
      </c>
      <c r="Q4237" s="2">
        <v>107.0035</v>
      </c>
      <c r="R4237" s="2">
        <v>229</v>
      </c>
      <c r="S4237" s="2">
        <v>103.0934</v>
      </c>
      <c r="T4237" s="2">
        <v>138</v>
      </c>
      <c r="U4237" s="2">
        <v>0.44692599999999999</v>
      </c>
      <c r="V4237" s="2">
        <v>187</v>
      </c>
      <c r="W4237" s="2">
        <v>2014</v>
      </c>
    </row>
    <row r="4238" spans="1:23" ht="12.3" hidden="1" x14ac:dyDescent="0.4">
      <c r="A4238" s="2" t="s">
        <v>201</v>
      </c>
      <c r="B4238" s="2"/>
      <c r="C4238" s="2"/>
      <c r="D4238" s="2"/>
      <c r="E4238" s="2"/>
      <c r="F4238" s="2"/>
      <c r="G4238" s="2"/>
      <c r="H4238" s="2"/>
      <c r="I4238" s="2">
        <v>70.049000000000007</v>
      </c>
      <c r="J4238" s="2">
        <v>40</v>
      </c>
      <c r="K4238" s="2">
        <v>69.149900000000002</v>
      </c>
      <c r="L4238" s="2">
        <v>56</v>
      </c>
      <c r="M4238" s="2">
        <v>104.82259999999999</v>
      </c>
      <c r="N4238" s="2">
        <v>170</v>
      </c>
      <c r="O4238" s="2">
        <v>102.1961</v>
      </c>
      <c r="P4238" s="2">
        <v>214</v>
      </c>
      <c r="Q4238" s="2">
        <v>103.172</v>
      </c>
      <c r="R4238" s="2">
        <v>126</v>
      </c>
      <c r="S4238" s="2">
        <v>104.151</v>
      </c>
      <c r="T4238" s="2">
        <v>157</v>
      </c>
      <c r="U4238" s="2">
        <v>0.445739</v>
      </c>
      <c r="V4238" s="2">
        <v>188</v>
      </c>
      <c r="W4238" s="2">
        <v>2014</v>
      </c>
    </row>
    <row r="4239" spans="1:23" ht="12.3" hidden="1" x14ac:dyDescent="0.4">
      <c r="A4239" s="2" t="s">
        <v>138</v>
      </c>
      <c r="B4239" s="2"/>
      <c r="C4239" s="2"/>
      <c r="D4239" s="2"/>
      <c r="E4239" s="2"/>
      <c r="F4239" s="2"/>
      <c r="G4239" s="2"/>
      <c r="H4239" s="2"/>
      <c r="I4239" s="2">
        <v>65.379800000000003</v>
      </c>
      <c r="J4239" s="2">
        <v>232</v>
      </c>
      <c r="K4239" s="2">
        <v>64.438000000000002</v>
      </c>
      <c r="L4239" s="2">
        <v>270</v>
      </c>
      <c r="M4239" s="2">
        <v>108.6315</v>
      </c>
      <c r="N4239" s="2">
        <v>81</v>
      </c>
      <c r="O4239" s="2">
        <v>107.44119999999999</v>
      </c>
      <c r="P4239" s="2">
        <v>118</v>
      </c>
      <c r="Q4239" s="2">
        <v>106.5638</v>
      </c>
      <c r="R4239" s="2">
        <v>220</v>
      </c>
      <c r="S4239" s="2">
        <v>109.73390000000001</v>
      </c>
      <c r="T4239" s="2">
        <v>272</v>
      </c>
      <c r="U4239" s="2">
        <v>0.43959199999999998</v>
      </c>
      <c r="V4239" s="2">
        <v>189</v>
      </c>
      <c r="W4239" s="2">
        <v>2014</v>
      </c>
    </row>
    <row r="4240" spans="1:23" ht="12.3" x14ac:dyDescent="0.4">
      <c r="A4240" s="2" t="s">
        <v>234</v>
      </c>
      <c r="B4240" s="2">
        <v>15</v>
      </c>
      <c r="C4240" s="2"/>
      <c r="D4240" s="2"/>
      <c r="E4240" s="2"/>
      <c r="F4240" s="2"/>
      <c r="G4240" s="2"/>
      <c r="H4240" s="2"/>
      <c r="I4240" s="2">
        <v>70.030799999999999</v>
      </c>
      <c r="J4240" s="2">
        <v>158</v>
      </c>
      <c r="K4240" s="2">
        <v>70.075100000000006</v>
      </c>
      <c r="L4240" s="2">
        <v>151</v>
      </c>
      <c r="M4240" s="2">
        <v>101.9545</v>
      </c>
      <c r="N4240" s="2">
        <v>145</v>
      </c>
      <c r="O4240" s="2">
        <v>100.48480000000001</v>
      </c>
      <c r="P4240" s="2">
        <v>167</v>
      </c>
      <c r="Q4240" s="2">
        <v>105.02760000000001</v>
      </c>
      <c r="R4240" s="2">
        <v>252</v>
      </c>
      <c r="S4240" s="2">
        <v>104.8021</v>
      </c>
      <c r="T4240" s="2">
        <v>245</v>
      </c>
      <c r="U4240" s="2">
        <v>0.38135999999999998</v>
      </c>
      <c r="V4240" s="2">
        <v>209</v>
      </c>
      <c r="W4240" s="2">
        <v>2002</v>
      </c>
    </row>
    <row r="4241" spans="1:23" ht="12.3" hidden="1" x14ac:dyDescent="0.4">
      <c r="A4241" s="2" t="s">
        <v>159</v>
      </c>
      <c r="B4241" s="2"/>
      <c r="C4241" s="2"/>
      <c r="D4241" s="2"/>
      <c r="E4241" s="2"/>
      <c r="F4241" s="2"/>
      <c r="G4241" s="2"/>
      <c r="H4241" s="2"/>
      <c r="I4241" s="2">
        <v>63.649299999999997</v>
      </c>
      <c r="J4241" s="2">
        <v>306</v>
      </c>
      <c r="K4241" s="2">
        <v>63.608800000000002</v>
      </c>
      <c r="L4241" s="2">
        <v>303</v>
      </c>
      <c r="M4241" s="2">
        <v>97.113399999999999</v>
      </c>
      <c r="N4241" s="2">
        <v>303</v>
      </c>
      <c r="O4241" s="2">
        <v>98.137699999999995</v>
      </c>
      <c r="P4241" s="2">
        <v>283</v>
      </c>
      <c r="Q4241" s="2">
        <v>104.3964</v>
      </c>
      <c r="R4241" s="2">
        <v>161</v>
      </c>
      <c r="S4241" s="2">
        <v>100.4194</v>
      </c>
      <c r="T4241" s="2">
        <v>86</v>
      </c>
      <c r="U4241" s="2">
        <v>0.43430200000000002</v>
      </c>
      <c r="V4241" s="2">
        <v>191</v>
      </c>
      <c r="W4241" s="2">
        <v>2014</v>
      </c>
    </row>
    <row r="4242" spans="1:23" ht="12.3" hidden="1" x14ac:dyDescent="0.4">
      <c r="A4242" s="2" t="s">
        <v>165</v>
      </c>
      <c r="B4242" s="2"/>
      <c r="C4242" s="2"/>
      <c r="D4242" s="2"/>
      <c r="E4242" s="2"/>
      <c r="F4242" s="2"/>
      <c r="G4242" s="2"/>
      <c r="H4242" s="2"/>
      <c r="I4242" s="2">
        <v>69.070400000000006</v>
      </c>
      <c r="J4242" s="2">
        <v>65</v>
      </c>
      <c r="K4242" s="2">
        <v>69.123599999999996</v>
      </c>
      <c r="L4242" s="2">
        <v>57</v>
      </c>
      <c r="M4242" s="2">
        <v>105.3484</v>
      </c>
      <c r="N4242" s="2">
        <v>160</v>
      </c>
      <c r="O4242" s="2">
        <v>109.00020000000001</v>
      </c>
      <c r="P4242" s="2">
        <v>88</v>
      </c>
      <c r="Q4242" s="2">
        <v>112.78360000000001</v>
      </c>
      <c r="R4242" s="2">
        <v>329</v>
      </c>
      <c r="S4242" s="2">
        <v>111.6022</v>
      </c>
      <c r="T4242" s="2">
        <v>304</v>
      </c>
      <c r="U4242" s="2">
        <v>0.43258799999999997</v>
      </c>
      <c r="V4242" s="2">
        <v>192</v>
      </c>
      <c r="W4242" s="2">
        <v>2014</v>
      </c>
    </row>
    <row r="4243" spans="1:23" ht="12.3" hidden="1" x14ac:dyDescent="0.4">
      <c r="A4243" s="2" t="s">
        <v>53</v>
      </c>
      <c r="B4243" s="2"/>
      <c r="C4243" s="2"/>
      <c r="D4243" s="2"/>
      <c r="E4243" s="2"/>
      <c r="F4243" s="2"/>
      <c r="G4243" s="2"/>
      <c r="H4243" s="2"/>
      <c r="I4243" s="2">
        <v>66.276899999999998</v>
      </c>
      <c r="J4243" s="2">
        <v>191</v>
      </c>
      <c r="K4243" s="2">
        <v>66.642099999999999</v>
      </c>
      <c r="L4243" s="2">
        <v>161</v>
      </c>
      <c r="M4243" s="2">
        <v>103.6</v>
      </c>
      <c r="N4243" s="2">
        <v>200</v>
      </c>
      <c r="O4243" s="2">
        <v>102.9118</v>
      </c>
      <c r="P4243" s="2">
        <v>205</v>
      </c>
      <c r="Q4243" s="2">
        <v>103.37479999999999</v>
      </c>
      <c r="R4243" s="2">
        <v>133</v>
      </c>
      <c r="S4243" s="2">
        <v>105.4273</v>
      </c>
      <c r="T4243" s="2">
        <v>183</v>
      </c>
      <c r="U4243" s="2">
        <v>0.43101499999999998</v>
      </c>
      <c r="V4243" s="2">
        <v>193</v>
      </c>
      <c r="W4243" s="2">
        <v>2014</v>
      </c>
    </row>
    <row r="4244" spans="1:23" ht="12.3" hidden="1" x14ac:dyDescent="0.4">
      <c r="A4244" s="2" t="s">
        <v>132</v>
      </c>
      <c r="B4244" s="2"/>
      <c r="C4244" s="2"/>
      <c r="D4244" s="2"/>
      <c r="E4244" s="2"/>
      <c r="F4244" s="2"/>
      <c r="G4244" s="2"/>
      <c r="H4244" s="2"/>
      <c r="I4244" s="2">
        <v>67.809200000000004</v>
      </c>
      <c r="J4244" s="2">
        <v>114</v>
      </c>
      <c r="K4244" s="2">
        <v>67.811099999999996</v>
      </c>
      <c r="L4244" s="2">
        <v>102</v>
      </c>
      <c r="M4244" s="2">
        <v>99.876400000000004</v>
      </c>
      <c r="N4244" s="2">
        <v>264</v>
      </c>
      <c r="O4244" s="2">
        <v>100.5562</v>
      </c>
      <c r="P4244" s="2">
        <v>247</v>
      </c>
      <c r="Q4244" s="2">
        <v>104.1956</v>
      </c>
      <c r="R4244" s="2">
        <v>157</v>
      </c>
      <c r="S4244" s="2">
        <v>103.0188</v>
      </c>
      <c r="T4244" s="2">
        <v>136</v>
      </c>
      <c r="U4244" s="2">
        <v>0.43088500000000002</v>
      </c>
      <c r="V4244" s="2">
        <v>194</v>
      </c>
      <c r="W4244" s="2">
        <v>2014</v>
      </c>
    </row>
    <row r="4245" spans="1:23" ht="12.3" hidden="1" x14ac:dyDescent="0.4">
      <c r="A4245" s="2" t="s">
        <v>225</v>
      </c>
      <c r="B4245" s="2"/>
      <c r="C4245" s="2"/>
      <c r="D4245" s="2"/>
      <c r="E4245" s="2"/>
      <c r="F4245" s="2"/>
      <c r="G4245" s="2"/>
      <c r="H4245" s="2"/>
      <c r="I4245" s="2">
        <v>66.451499999999996</v>
      </c>
      <c r="J4245" s="2">
        <v>176</v>
      </c>
      <c r="K4245" s="2">
        <v>65.427199999999999</v>
      </c>
      <c r="L4245" s="2">
        <v>222</v>
      </c>
      <c r="M4245" s="2">
        <v>109.3531</v>
      </c>
      <c r="N4245" s="2">
        <v>66</v>
      </c>
      <c r="O4245" s="2">
        <v>105.38679999999999</v>
      </c>
      <c r="P4245" s="2">
        <v>158</v>
      </c>
      <c r="Q4245" s="2">
        <v>104.99169999999999</v>
      </c>
      <c r="R4245" s="2">
        <v>178</v>
      </c>
      <c r="S4245" s="2">
        <v>107.9699</v>
      </c>
      <c r="T4245" s="2">
        <v>234</v>
      </c>
      <c r="U4245" s="2">
        <v>0.43082799999999999</v>
      </c>
      <c r="V4245" s="2">
        <v>195</v>
      </c>
      <c r="W4245" s="2">
        <v>2014</v>
      </c>
    </row>
    <row r="4246" spans="1:23" ht="12.3" hidden="1" x14ac:dyDescent="0.4">
      <c r="A4246" s="2" t="s">
        <v>205</v>
      </c>
      <c r="B4246" s="2"/>
      <c r="C4246" s="2"/>
      <c r="D4246" s="2"/>
      <c r="E4246" s="2"/>
      <c r="F4246" s="2"/>
      <c r="G4246" s="2"/>
      <c r="H4246" s="2"/>
      <c r="I4246" s="2">
        <v>64.258499999999998</v>
      </c>
      <c r="J4246" s="2">
        <v>282</v>
      </c>
      <c r="K4246" s="2">
        <v>64.553600000000003</v>
      </c>
      <c r="L4246" s="2">
        <v>267</v>
      </c>
      <c r="M4246" s="2">
        <v>103.9208</v>
      </c>
      <c r="N4246" s="2">
        <v>191</v>
      </c>
      <c r="O4246" s="2">
        <v>103.8733</v>
      </c>
      <c r="P4246" s="2">
        <v>185</v>
      </c>
      <c r="Q4246" s="2">
        <v>106.8562</v>
      </c>
      <c r="R4246" s="2">
        <v>225</v>
      </c>
      <c r="S4246" s="2">
        <v>106.5977</v>
      </c>
      <c r="T4246" s="2">
        <v>212</v>
      </c>
      <c r="U4246" s="2">
        <v>0.42611300000000002</v>
      </c>
      <c r="V4246" s="2">
        <v>196</v>
      </c>
      <c r="W4246" s="2">
        <v>2014</v>
      </c>
    </row>
    <row r="4247" spans="1:23" ht="12.3" hidden="1" x14ac:dyDescent="0.4">
      <c r="A4247" s="2" t="s">
        <v>103</v>
      </c>
      <c r="B4247" s="2"/>
      <c r="C4247" s="2"/>
      <c r="D4247" s="2"/>
      <c r="E4247" s="2"/>
      <c r="F4247" s="2"/>
      <c r="G4247" s="2"/>
      <c r="H4247" s="2"/>
      <c r="I4247" s="2">
        <v>66.289400000000001</v>
      </c>
      <c r="J4247" s="2">
        <v>188</v>
      </c>
      <c r="K4247" s="2">
        <v>65.5441</v>
      </c>
      <c r="L4247" s="2">
        <v>219</v>
      </c>
      <c r="M4247" s="2">
        <v>97.915400000000005</v>
      </c>
      <c r="N4247" s="2">
        <v>289</v>
      </c>
      <c r="O4247" s="2">
        <v>101.5534</v>
      </c>
      <c r="P4247" s="2">
        <v>230</v>
      </c>
      <c r="Q4247" s="2">
        <v>105.7188</v>
      </c>
      <c r="R4247" s="2">
        <v>196</v>
      </c>
      <c r="S4247" s="2">
        <v>104.25830000000001</v>
      </c>
      <c r="T4247" s="2">
        <v>161</v>
      </c>
      <c r="U4247" s="2">
        <v>0.42499500000000001</v>
      </c>
      <c r="V4247" s="2">
        <v>197</v>
      </c>
      <c r="W4247" s="2">
        <v>2014</v>
      </c>
    </row>
    <row r="4248" spans="1:23" ht="12.3" hidden="1" x14ac:dyDescent="0.4">
      <c r="A4248" s="2" t="s">
        <v>372</v>
      </c>
      <c r="B4248" s="2"/>
      <c r="C4248" s="2"/>
      <c r="D4248" s="2"/>
      <c r="E4248" s="2"/>
      <c r="F4248" s="2"/>
      <c r="G4248" s="2"/>
      <c r="H4248" s="2"/>
      <c r="I4248" s="2">
        <v>63.1967</v>
      </c>
      <c r="J4248" s="2">
        <v>319</v>
      </c>
      <c r="K4248" s="2">
        <v>62.3489</v>
      </c>
      <c r="L4248" s="2">
        <v>333</v>
      </c>
      <c r="M4248" s="2">
        <v>103.45820000000001</v>
      </c>
      <c r="N4248" s="2">
        <v>203</v>
      </c>
      <c r="O4248" s="2">
        <v>102.59650000000001</v>
      </c>
      <c r="P4248" s="2">
        <v>209</v>
      </c>
      <c r="Q4248" s="2">
        <v>104.0279</v>
      </c>
      <c r="R4248" s="2">
        <v>153</v>
      </c>
      <c r="S4248" s="2">
        <v>105.3741</v>
      </c>
      <c r="T4248" s="2">
        <v>181</v>
      </c>
      <c r="U4248" s="2">
        <v>0.42379899999999998</v>
      </c>
      <c r="V4248" s="2">
        <v>198</v>
      </c>
      <c r="W4248" s="2">
        <v>2014</v>
      </c>
    </row>
    <row r="4249" spans="1:23" ht="12.3" hidden="1" x14ac:dyDescent="0.4">
      <c r="A4249" s="2" t="s">
        <v>375</v>
      </c>
      <c r="B4249" s="2"/>
      <c r="C4249" s="2"/>
      <c r="D4249" s="2"/>
      <c r="E4249" s="2"/>
      <c r="F4249" s="2"/>
      <c r="G4249" s="2"/>
      <c r="H4249" s="2"/>
      <c r="I4249" s="2">
        <v>67.634799999999998</v>
      </c>
      <c r="J4249" s="2">
        <v>121</v>
      </c>
      <c r="K4249" s="2">
        <v>66.9285</v>
      </c>
      <c r="L4249" s="2">
        <v>141</v>
      </c>
      <c r="M4249" s="2">
        <v>107.0419</v>
      </c>
      <c r="N4249" s="2">
        <v>117</v>
      </c>
      <c r="O4249" s="2">
        <v>104.8044</v>
      </c>
      <c r="P4249" s="2">
        <v>170</v>
      </c>
      <c r="Q4249" s="2">
        <v>106.09650000000001</v>
      </c>
      <c r="R4249" s="2">
        <v>208</v>
      </c>
      <c r="S4249" s="2">
        <v>107.8698</v>
      </c>
      <c r="T4249" s="2">
        <v>232</v>
      </c>
      <c r="U4249" s="2">
        <v>0.41786800000000002</v>
      </c>
      <c r="V4249" s="2">
        <v>199</v>
      </c>
      <c r="W4249" s="2">
        <v>2014</v>
      </c>
    </row>
    <row r="4250" spans="1:23" ht="12.3" hidden="1" x14ac:dyDescent="0.4">
      <c r="A4250" s="2" t="s">
        <v>306</v>
      </c>
      <c r="B4250" s="2"/>
      <c r="C4250" s="2"/>
      <c r="D4250" s="2"/>
      <c r="E4250" s="2"/>
      <c r="F4250" s="2"/>
      <c r="G4250" s="2"/>
      <c r="H4250" s="2"/>
      <c r="I4250" s="2">
        <v>66.995000000000005</v>
      </c>
      <c r="J4250" s="2">
        <v>147</v>
      </c>
      <c r="K4250" s="2">
        <v>66.197299999999998</v>
      </c>
      <c r="L4250" s="2">
        <v>185</v>
      </c>
      <c r="M4250" s="2">
        <v>106.4914</v>
      </c>
      <c r="N4250" s="2">
        <v>132</v>
      </c>
      <c r="O4250" s="2">
        <v>103.9371</v>
      </c>
      <c r="P4250" s="2">
        <v>183</v>
      </c>
      <c r="Q4250" s="2">
        <v>105.5117</v>
      </c>
      <c r="R4250" s="2">
        <v>188</v>
      </c>
      <c r="S4250" s="2">
        <v>107.08629999999999</v>
      </c>
      <c r="T4250" s="2">
        <v>219</v>
      </c>
      <c r="U4250" s="2">
        <v>0.41501700000000002</v>
      </c>
      <c r="V4250" s="2">
        <v>200</v>
      </c>
      <c r="W4250" s="2">
        <v>2014</v>
      </c>
    </row>
    <row r="4251" spans="1:23" ht="12.3" hidden="1" x14ac:dyDescent="0.4">
      <c r="A4251" s="2" t="s">
        <v>249</v>
      </c>
      <c r="B4251" s="2"/>
      <c r="C4251" s="2"/>
      <c r="D4251" s="2"/>
      <c r="E4251" s="2"/>
      <c r="F4251" s="2"/>
      <c r="G4251" s="2"/>
      <c r="H4251" s="2"/>
      <c r="I4251" s="2">
        <v>69.193399999999997</v>
      </c>
      <c r="J4251" s="2">
        <v>59</v>
      </c>
      <c r="K4251" s="2">
        <v>68.840199999999996</v>
      </c>
      <c r="L4251" s="2">
        <v>62</v>
      </c>
      <c r="M4251" s="2">
        <v>103.6478</v>
      </c>
      <c r="N4251" s="2">
        <v>197</v>
      </c>
      <c r="O4251" s="2">
        <v>107.7744</v>
      </c>
      <c r="P4251" s="2">
        <v>112</v>
      </c>
      <c r="Q4251" s="2">
        <v>112.2794</v>
      </c>
      <c r="R4251" s="2">
        <v>324</v>
      </c>
      <c r="S4251" s="2">
        <v>111.0402</v>
      </c>
      <c r="T4251" s="2">
        <v>293</v>
      </c>
      <c r="U4251" s="2">
        <v>0.41500700000000001</v>
      </c>
      <c r="V4251" s="2">
        <v>201</v>
      </c>
      <c r="W4251" s="2">
        <v>2014</v>
      </c>
    </row>
    <row r="4252" spans="1:23" ht="12.3" hidden="1" x14ac:dyDescent="0.4">
      <c r="A4252" s="2" t="s">
        <v>338</v>
      </c>
      <c r="B4252" s="2"/>
      <c r="C4252" s="2"/>
      <c r="D4252" s="2"/>
      <c r="E4252" s="2"/>
      <c r="F4252" s="2"/>
      <c r="G4252" s="2"/>
      <c r="H4252" s="2"/>
      <c r="I4252" s="2">
        <v>67.676500000000004</v>
      </c>
      <c r="J4252" s="2">
        <v>118</v>
      </c>
      <c r="K4252" s="2">
        <v>67.415899999999993</v>
      </c>
      <c r="L4252" s="2">
        <v>115</v>
      </c>
      <c r="M4252" s="2">
        <v>99.770099999999999</v>
      </c>
      <c r="N4252" s="2">
        <v>265</v>
      </c>
      <c r="O4252" s="2">
        <v>96.503699999999995</v>
      </c>
      <c r="P4252" s="2">
        <v>307</v>
      </c>
      <c r="Q4252" s="2">
        <v>94.322900000000004</v>
      </c>
      <c r="R4252" s="2">
        <v>15</v>
      </c>
      <c r="S4252" s="2">
        <v>99.442999999999998</v>
      </c>
      <c r="T4252" s="2">
        <v>68</v>
      </c>
      <c r="U4252" s="2">
        <v>0.41458499999999998</v>
      </c>
      <c r="V4252" s="2">
        <v>202</v>
      </c>
      <c r="W4252" s="2">
        <v>2014</v>
      </c>
    </row>
    <row r="4253" spans="1:23" ht="12.3" hidden="1" x14ac:dyDescent="0.4">
      <c r="A4253" s="2" t="s">
        <v>277</v>
      </c>
      <c r="B4253" s="2"/>
      <c r="C4253" s="2"/>
      <c r="D4253" s="2"/>
      <c r="E4253" s="2"/>
      <c r="F4253" s="2"/>
      <c r="G4253" s="2"/>
      <c r="H4253" s="2"/>
      <c r="I4253" s="2">
        <v>66.867500000000007</v>
      </c>
      <c r="J4253" s="2">
        <v>153</v>
      </c>
      <c r="K4253" s="2">
        <v>66.759</v>
      </c>
      <c r="L4253" s="2">
        <v>152</v>
      </c>
      <c r="M4253" s="2">
        <v>101.47329999999999</v>
      </c>
      <c r="N4253" s="2">
        <v>240</v>
      </c>
      <c r="O4253" s="2">
        <v>98.7273</v>
      </c>
      <c r="P4253" s="2">
        <v>274</v>
      </c>
      <c r="Q4253" s="2">
        <v>99.468699999999998</v>
      </c>
      <c r="R4253" s="2">
        <v>67</v>
      </c>
      <c r="S4253" s="2">
        <v>101.8109</v>
      </c>
      <c r="T4253" s="2">
        <v>107</v>
      </c>
      <c r="U4253" s="2">
        <v>0.41248800000000002</v>
      </c>
      <c r="V4253" s="2">
        <v>203</v>
      </c>
      <c r="W4253" s="2">
        <v>2014</v>
      </c>
    </row>
    <row r="4254" spans="1:23" ht="12.3" hidden="1" x14ac:dyDescent="0.4">
      <c r="A4254" s="2" t="s">
        <v>308</v>
      </c>
      <c r="B4254" s="2"/>
      <c r="C4254" s="2"/>
      <c r="D4254" s="2"/>
      <c r="E4254" s="2"/>
      <c r="F4254" s="2"/>
      <c r="G4254" s="2"/>
      <c r="H4254" s="2"/>
      <c r="I4254" s="2">
        <v>64.777799999999999</v>
      </c>
      <c r="J4254" s="2">
        <v>259</v>
      </c>
      <c r="K4254" s="2">
        <v>65.182500000000005</v>
      </c>
      <c r="L4254" s="2">
        <v>239</v>
      </c>
      <c r="M4254" s="2">
        <v>100.22410000000001</v>
      </c>
      <c r="N4254" s="2">
        <v>260</v>
      </c>
      <c r="O4254" s="2">
        <v>100.4268</v>
      </c>
      <c r="P4254" s="2">
        <v>248</v>
      </c>
      <c r="Q4254" s="2">
        <v>104.51649999999999</v>
      </c>
      <c r="R4254" s="2">
        <v>164</v>
      </c>
      <c r="S4254" s="2">
        <v>103.62949999999999</v>
      </c>
      <c r="T4254" s="2">
        <v>148</v>
      </c>
      <c r="U4254" s="2">
        <v>0.41071299999999999</v>
      </c>
      <c r="V4254" s="2">
        <v>204</v>
      </c>
      <c r="W4254" s="2">
        <v>2014</v>
      </c>
    </row>
    <row r="4255" spans="1:23" ht="12.3" hidden="1" x14ac:dyDescent="0.4">
      <c r="A4255" s="2" t="s">
        <v>143</v>
      </c>
      <c r="B4255" s="2"/>
      <c r="C4255" s="2"/>
      <c r="D4255" s="2"/>
      <c r="E4255" s="2"/>
      <c r="F4255" s="2"/>
      <c r="G4255" s="2"/>
      <c r="H4255" s="2"/>
      <c r="I4255" s="2">
        <v>67.454400000000007</v>
      </c>
      <c r="J4255" s="2">
        <v>128</v>
      </c>
      <c r="K4255" s="2">
        <v>66.394900000000007</v>
      </c>
      <c r="L4255" s="2">
        <v>174</v>
      </c>
      <c r="M4255" s="2">
        <v>99.7667</v>
      </c>
      <c r="N4255" s="2">
        <v>266</v>
      </c>
      <c r="O4255" s="2">
        <v>102.04179999999999</v>
      </c>
      <c r="P4255" s="2">
        <v>220</v>
      </c>
      <c r="Q4255" s="2">
        <v>104.968</v>
      </c>
      <c r="R4255" s="2">
        <v>177</v>
      </c>
      <c r="S4255" s="2">
        <v>105.4432</v>
      </c>
      <c r="T4255" s="2">
        <v>184</v>
      </c>
      <c r="U4255" s="2">
        <v>0.40683200000000003</v>
      </c>
      <c r="V4255" s="2">
        <v>205</v>
      </c>
      <c r="W4255" s="2">
        <v>2014</v>
      </c>
    </row>
    <row r="4256" spans="1:23" ht="12.3" hidden="1" x14ac:dyDescent="0.4">
      <c r="A4256" s="2" t="s">
        <v>105</v>
      </c>
      <c r="B4256" s="2"/>
      <c r="C4256" s="2"/>
      <c r="D4256" s="2"/>
      <c r="E4256" s="2"/>
      <c r="F4256" s="2"/>
      <c r="G4256" s="2"/>
      <c r="H4256" s="2"/>
      <c r="I4256" s="2">
        <v>62.251600000000003</v>
      </c>
      <c r="J4256" s="2">
        <v>339</v>
      </c>
      <c r="K4256" s="2">
        <v>62.303100000000001</v>
      </c>
      <c r="L4256" s="2">
        <v>334</v>
      </c>
      <c r="M4256" s="2">
        <v>99.207800000000006</v>
      </c>
      <c r="N4256" s="2">
        <v>278</v>
      </c>
      <c r="O4256" s="2">
        <v>96.906599999999997</v>
      </c>
      <c r="P4256" s="2">
        <v>301</v>
      </c>
      <c r="Q4256" s="2">
        <v>99.994500000000002</v>
      </c>
      <c r="R4256" s="2">
        <v>76</v>
      </c>
      <c r="S4256" s="2">
        <v>100.19280000000001</v>
      </c>
      <c r="T4256" s="2">
        <v>78</v>
      </c>
      <c r="U4256" s="2">
        <v>0.405281</v>
      </c>
      <c r="V4256" s="2">
        <v>206</v>
      </c>
      <c r="W4256" s="2">
        <v>2014</v>
      </c>
    </row>
    <row r="4257" spans="1:23" ht="12.3" hidden="1" x14ac:dyDescent="0.4">
      <c r="A4257" s="2" t="s">
        <v>209</v>
      </c>
      <c r="B4257" s="2"/>
      <c r="C4257" s="2"/>
      <c r="D4257" s="2"/>
      <c r="E4257" s="2"/>
      <c r="F4257" s="2"/>
      <c r="G4257" s="2"/>
      <c r="H4257" s="2"/>
      <c r="I4257" s="2">
        <v>63.485700000000001</v>
      </c>
      <c r="J4257" s="2">
        <v>313</v>
      </c>
      <c r="K4257" s="2">
        <v>63.154499999999999</v>
      </c>
      <c r="L4257" s="2">
        <v>318</v>
      </c>
      <c r="M4257" s="2">
        <v>93.750399999999999</v>
      </c>
      <c r="N4257" s="2">
        <v>335</v>
      </c>
      <c r="O4257" s="2">
        <v>93.295400000000001</v>
      </c>
      <c r="P4257" s="2">
        <v>336</v>
      </c>
      <c r="Q4257" s="2">
        <v>97.025700000000001</v>
      </c>
      <c r="R4257" s="2">
        <v>30</v>
      </c>
      <c r="S4257" s="2">
        <v>96.592399999999998</v>
      </c>
      <c r="T4257" s="2">
        <v>40</v>
      </c>
      <c r="U4257" s="2">
        <v>0.40146100000000001</v>
      </c>
      <c r="V4257" s="2">
        <v>207</v>
      </c>
      <c r="W4257" s="2">
        <v>2014</v>
      </c>
    </row>
    <row r="4258" spans="1:23" ht="12.3" hidden="1" x14ac:dyDescent="0.4">
      <c r="A4258" s="2" t="s">
        <v>292</v>
      </c>
      <c r="B4258" s="2"/>
      <c r="C4258" s="2"/>
      <c r="D4258" s="2"/>
      <c r="E4258" s="2"/>
      <c r="F4258" s="2"/>
      <c r="G4258" s="2"/>
      <c r="H4258" s="2"/>
      <c r="I4258" s="2">
        <v>66.460899999999995</v>
      </c>
      <c r="J4258" s="2">
        <v>175</v>
      </c>
      <c r="K4258" s="2">
        <v>67.189700000000002</v>
      </c>
      <c r="L4258" s="2">
        <v>129</v>
      </c>
      <c r="M4258" s="2">
        <v>101.3609</v>
      </c>
      <c r="N4258" s="2">
        <v>243</v>
      </c>
      <c r="O4258" s="2">
        <v>102.2556</v>
      </c>
      <c r="P4258" s="2">
        <v>213</v>
      </c>
      <c r="Q4258" s="2">
        <v>107.9415</v>
      </c>
      <c r="R4258" s="2">
        <v>250</v>
      </c>
      <c r="S4258" s="2">
        <v>106.10769999999999</v>
      </c>
      <c r="T4258" s="2">
        <v>202</v>
      </c>
      <c r="U4258" s="2">
        <v>0.395258</v>
      </c>
      <c r="V4258" s="2">
        <v>208</v>
      </c>
      <c r="W4258" s="2">
        <v>2014</v>
      </c>
    </row>
    <row r="4259" spans="1:23" ht="12.3" hidden="1" x14ac:dyDescent="0.4">
      <c r="A4259" s="2" t="s">
        <v>245</v>
      </c>
      <c r="B4259" s="2"/>
      <c r="C4259" s="2"/>
      <c r="D4259" s="2"/>
      <c r="E4259" s="2"/>
      <c r="F4259" s="2"/>
      <c r="G4259" s="2"/>
      <c r="H4259" s="2"/>
      <c r="I4259" s="2">
        <v>63.840600000000002</v>
      </c>
      <c r="J4259" s="2">
        <v>294</v>
      </c>
      <c r="K4259" s="2">
        <v>64.262200000000007</v>
      </c>
      <c r="L4259" s="2">
        <v>276</v>
      </c>
      <c r="M4259" s="2">
        <v>99.680999999999997</v>
      </c>
      <c r="N4259" s="2">
        <v>267</v>
      </c>
      <c r="O4259" s="2">
        <v>99.802899999999994</v>
      </c>
      <c r="P4259" s="2">
        <v>261</v>
      </c>
      <c r="Q4259" s="2">
        <v>104.04819999999999</v>
      </c>
      <c r="R4259" s="2">
        <v>154</v>
      </c>
      <c r="S4259" s="2">
        <v>103.67019999999999</v>
      </c>
      <c r="T4259" s="2">
        <v>149</v>
      </c>
      <c r="U4259" s="2">
        <v>0.39240999999999998</v>
      </c>
      <c r="V4259" s="2">
        <v>209</v>
      </c>
      <c r="W4259" s="2">
        <v>2014</v>
      </c>
    </row>
    <row r="4260" spans="1:23" ht="12.3" hidden="1" x14ac:dyDescent="0.4">
      <c r="A4260" s="2" t="s">
        <v>270</v>
      </c>
      <c r="B4260" s="2"/>
      <c r="C4260" s="2"/>
      <c r="D4260" s="2"/>
      <c r="E4260" s="2"/>
      <c r="F4260" s="2"/>
      <c r="G4260" s="2"/>
      <c r="H4260" s="2"/>
      <c r="I4260" s="2">
        <v>70.0702</v>
      </c>
      <c r="J4260" s="2">
        <v>39</v>
      </c>
      <c r="K4260" s="2">
        <v>69.857299999999995</v>
      </c>
      <c r="L4260" s="2">
        <v>38</v>
      </c>
      <c r="M4260" s="2">
        <v>104.7754</v>
      </c>
      <c r="N4260" s="2">
        <v>171</v>
      </c>
      <c r="O4260" s="2">
        <v>105.1803</v>
      </c>
      <c r="P4260" s="2">
        <v>164</v>
      </c>
      <c r="Q4260" s="2">
        <v>110.29049999999999</v>
      </c>
      <c r="R4260" s="2">
        <v>302</v>
      </c>
      <c r="S4260" s="2">
        <v>109.40989999999999</v>
      </c>
      <c r="T4260" s="2">
        <v>264</v>
      </c>
      <c r="U4260" s="2">
        <v>0.38855499999999998</v>
      </c>
      <c r="V4260" s="2">
        <v>210</v>
      </c>
      <c r="W4260" s="2">
        <v>2014</v>
      </c>
    </row>
    <row r="4261" spans="1:23" ht="12.3" hidden="1" x14ac:dyDescent="0.4">
      <c r="A4261" s="2" t="s">
        <v>234</v>
      </c>
      <c r="B4261" s="2"/>
      <c r="C4261" s="2"/>
      <c r="D4261" s="2"/>
      <c r="E4261" s="2"/>
      <c r="F4261" s="2"/>
      <c r="G4261" s="2"/>
      <c r="H4261" s="2"/>
      <c r="I4261" s="2">
        <v>61.349800000000002</v>
      </c>
      <c r="J4261" s="2">
        <v>342</v>
      </c>
      <c r="K4261" s="2">
        <v>61.226599999999998</v>
      </c>
      <c r="L4261" s="2">
        <v>344</v>
      </c>
      <c r="M4261" s="2">
        <v>111.8121</v>
      </c>
      <c r="N4261" s="2">
        <v>40</v>
      </c>
      <c r="O4261" s="2">
        <v>106.7762</v>
      </c>
      <c r="P4261" s="2">
        <v>125</v>
      </c>
      <c r="Q4261" s="2">
        <v>110.2808</v>
      </c>
      <c r="R4261" s="2">
        <v>301</v>
      </c>
      <c r="S4261" s="2">
        <v>111.1788</v>
      </c>
      <c r="T4261" s="2">
        <v>296</v>
      </c>
      <c r="U4261" s="2">
        <v>0.385882</v>
      </c>
      <c r="V4261" s="2">
        <v>211</v>
      </c>
      <c r="W4261" s="2">
        <v>2014</v>
      </c>
    </row>
    <row r="4262" spans="1:23" ht="12.3" hidden="1" x14ac:dyDescent="0.4">
      <c r="A4262" s="2" t="s">
        <v>273</v>
      </c>
      <c r="B4262" s="2"/>
      <c r="C4262" s="2"/>
      <c r="D4262" s="2"/>
      <c r="E4262" s="2"/>
      <c r="F4262" s="2"/>
      <c r="G4262" s="2"/>
      <c r="H4262" s="2"/>
      <c r="I4262" s="2">
        <v>65.692300000000003</v>
      </c>
      <c r="J4262" s="2">
        <v>218</v>
      </c>
      <c r="K4262" s="2">
        <v>66.370199999999997</v>
      </c>
      <c r="L4262" s="2">
        <v>177</v>
      </c>
      <c r="M4262" s="2">
        <v>107.5733</v>
      </c>
      <c r="N4262" s="2">
        <v>102</v>
      </c>
      <c r="O4262" s="2">
        <v>110.3952</v>
      </c>
      <c r="P4262" s="2">
        <v>67</v>
      </c>
      <c r="Q4262" s="2">
        <v>113.35850000000001</v>
      </c>
      <c r="R4262" s="2">
        <v>333</v>
      </c>
      <c r="S4262" s="2">
        <v>115.04819999999999</v>
      </c>
      <c r="T4262" s="2">
        <v>334</v>
      </c>
      <c r="U4262" s="2">
        <v>0.38348599999999999</v>
      </c>
      <c r="V4262" s="2">
        <v>212</v>
      </c>
      <c r="W4262" s="2">
        <v>2014</v>
      </c>
    </row>
    <row r="4263" spans="1:23" ht="12.3" hidden="1" x14ac:dyDescent="0.4">
      <c r="A4263" s="2" t="s">
        <v>167</v>
      </c>
      <c r="B4263" s="2"/>
      <c r="C4263" s="2"/>
      <c r="D4263" s="2"/>
      <c r="E4263" s="2"/>
      <c r="F4263" s="2"/>
      <c r="G4263" s="2"/>
      <c r="H4263" s="2"/>
      <c r="I4263" s="2">
        <v>66.856999999999999</v>
      </c>
      <c r="J4263" s="2">
        <v>154</v>
      </c>
      <c r="K4263" s="2">
        <v>66.877499999999998</v>
      </c>
      <c r="L4263" s="2">
        <v>143</v>
      </c>
      <c r="M4263" s="2">
        <v>96.941800000000001</v>
      </c>
      <c r="N4263" s="2">
        <v>306</v>
      </c>
      <c r="O4263" s="2">
        <v>98.201099999999997</v>
      </c>
      <c r="P4263" s="2">
        <v>281</v>
      </c>
      <c r="Q4263" s="2">
        <v>103.5748</v>
      </c>
      <c r="R4263" s="2">
        <v>141</v>
      </c>
      <c r="S4263" s="2">
        <v>102.3998</v>
      </c>
      <c r="T4263" s="2">
        <v>121</v>
      </c>
      <c r="U4263" s="2">
        <v>0.38190200000000002</v>
      </c>
      <c r="V4263" s="2">
        <v>213</v>
      </c>
      <c r="W4263" s="2">
        <v>2014</v>
      </c>
    </row>
    <row r="4264" spans="1:23" ht="12.3" hidden="1" x14ac:dyDescent="0.4">
      <c r="A4264" s="2" t="s">
        <v>198</v>
      </c>
      <c r="B4264" s="2"/>
      <c r="C4264" s="2"/>
      <c r="D4264" s="2"/>
      <c r="E4264" s="2"/>
      <c r="F4264" s="2"/>
      <c r="G4264" s="2"/>
      <c r="H4264" s="2"/>
      <c r="I4264" s="2">
        <v>68.514600000000002</v>
      </c>
      <c r="J4264" s="2">
        <v>80</v>
      </c>
      <c r="K4264" s="2">
        <v>69.369500000000002</v>
      </c>
      <c r="L4264" s="2">
        <v>51</v>
      </c>
      <c r="M4264" s="2">
        <v>107.0928</v>
      </c>
      <c r="N4264" s="2">
        <v>114</v>
      </c>
      <c r="O4264" s="2">
        <v>106.2032</v>
      </c>
      <c r="P4264" s="2">
        <v>134</v>
      </c>
      <c r="Q4264" s="2">
        <v>109.6836</v>
      </c>
      <c r="R4264" s="2">
        <v>284</v>
      </c>
      <c r="S4264" s="2">
        <v>110.7804</v>
      </c>
      <c r="T4264" s="2">
        <v>290</v>
      </c>
      <c r="U4264" s="2">
        <v>0.38101499999999999</v>
      </c>
      <c r="V4264" s="2">
        <v>214</v>
      </c>
      <c r="W4264" s="2">
        <v>2014</v>
      </c>
    </row>
    <row r="4265" spans="1:23" ht="12.3" hidden="1" x14ac:dyDescent="0.4">
      <c r="A4265" s="2" t="s">
        <v>182</v>
      </c>
      <c r="B4265" s="2"/>
      <c r="C4265" s="2"/>
      <c r="D4265" s="2"/>
      <c r="E4265" s="2"/>
      <c r="F4265" s="2"/>
      <c r="G4265" s="2"/>
      <c r="H4265" s="2"/>
      <c r="I4265" s="2">
        <v>68.232299999999995</v>
      </c>
      <c r="J4265" s="2">
        <v>100</v>
      </c>
      <c r="K4265" s="2">
        <v>66.926000000000002</v>
      </c>
      <c r="L4265" s="2">
        <v>142</v>
      </c>
      <c r="M4265" s="2">
        <v>106.539</v>
      </c>
      <c r="N4265" s="2">
        <v>130</v>
      </c>
      <c r="O4265" s="2">
        <v>105.52800000000001</v>
      </c>
      <c r="P4265" s="2">
        <v>152</v>
      </c>
      <c r="Q4265" s="2">
        <v>110.83369999999999</v>
      </c>
      <c r="R4265" s="2">
        <v>309</v>
      </c>
      <c r="S4265" s="2">
        <v>110.1306</v>
      </c>
      <c r="T4265" s="2">
        <v>279</v>
      </c>
      <c r="U4265" s="2">
        <v>0.37967099999999998</v>
      </c>
      <c r="V4265" s="2">
        <v>215</v>
      </c>
      <c r="W4265" s="2">
        <v>2014</v>
      </c>
    </row>
    <row r="4266" spans="1:23" ht="12.3" hidden="1" x14ac:dyDescent="0.4">
      <c r="A4266" s="2" t="s">
        <v>48</v>
      </c>
      <c r="B4266" s="2"/>
      <c r="C4266" s="2"/>
      <c r="D4266" s="2"/>
      <c r="E4266" s="2"/>
      <c r="F4266" s="2"/>
      <c r="G4266" s="2"/>
      <c r="H4266" s="2"/>
      <c r="I4266" s="2">
        <v>68.481499999999997</v>
      </c>
      <c r="J4266" s="2">
        <v>82</v>
      </c>
      <c r="K4266" s="2">
        <v>68.405299999999997</v>
      </c>
      <c r="L4266" s="2">
        <v>77</v>
      </c>
      <c r="M4266" s="2">
        <v>97.9024</v>
      </c>
      <c r="N4266" s="2">
        <v>290</v>
      </c>
      <c r="O4266" s="2">
        <v>99.463800000000006</v>
      </c>
      <c r="P4266" s="2">
        <v>267</v>
      </c>
      <c r="Q4266" s="2">
        <v>103.4517</v>
      </c>
      <c r="R4266" s="2">
        <v>137</v>
      </c>
      <c r="S4266" s="2">
        <v>103.82729999999999</v>
      </c>
      <c r="T4266" s="2">
        <v>151</v>
      </c>
      <c r="U4266" s="2">
        <v>0.37900899999999998</v>
      </c>
      <c r="V4266" s="2">
        <v>216</v>
      </c>
      <c r="W4266" s="2">
        <v>2014</v>
      </c>
    </row>
    <row r="4267" spans="1:23" ht="12.3" hidden="1" x14ac:dyDescent="0.4">
      <c r="A4267" s="2" t="s">
        <v>276</v>
      </c>
      <c r="B4267" s="2"/>
      <c r="C4267" s="2"/>
      <c r="D4267" s="2"/>
      <c r="E4267" s="2"/>
      <c r="F4267" s="2"/>
      <c r="G4267" s="2"/>
      <c r="H4267" s="2"/>
      <c r="I4267" s="2">
        <v>63.535200000000003</v>
      </c>
      <c r="J4267" s="2">
        <v>311</v>
      </c>
      <c r="K4267" s="2">
        <v>62.267600000000002</v>
      </c>
      <c r="L4267" s="2">
        <v>335</v>
      </c>
      <c r="M4267" s="2">
        <v>107.7264</v>
      </c>
      <c r="N4267" s="2">
        <v>98</v>
      </c>
      <c r="O4267" s="2">
        <v>103.8587</v>
      </c>
      <c r="P4267" s="2">
        <v>187</v>
      </c>
      <c r="Q4267" s="2">
        <v>105.93810000000001</v>
      </c>
      <c r="R4267" s="2">
        <v>205</v>
      </c>
      <c r="S4267" s="2">
        <v>108.58199999999999</v>
      </c>
      <c r="T4267" s="2">
        <v>250</v>
      </c>
      <c r="U4267" s="2">
        <v>0.37485200000000002</v>
      </c>
      <c r="V4267" s="2">
        <v>217</v>
      </c>
      <c r="W4267" s="2">
        <v>2014</v>
      </c>
    </row>
    <row r="4268" spans="1:23" ht="12.3" hidden="1" x14ac:dyDescent="0.4">
      <c r="A4268" s="2" t="s">
        <v>89</v>
      </c>
      <c r="B4268" s="2"/>
      <c r="C4268" s="2"/>
      <c r="D4268" s="2"/>
      <c r="E4268" s="2"/>
      <c r="F4268" s="2"/>
      <c r="G4268" s="2"/>
      <c r="H4268" s="2"/>
      <c r="I4268" s="2">
        <v>66.497500000000002</v>
      </c>
      <c r="J4268" s="2">
        <v>172</v>
      </c>
      <c r="K4268" s="2">
        <v>66.709500000000006</v>
      </c>
      <c r="L4268" s="2">
        <v>156</v>
      </c>
      <c r="M4268" s="2">
        <v>91.619100000000003</v>
      </c>
      <c r="N4268" s="2">
        <v>348</v>
      </c>
      <c r="O4268" s="2">
        <v>91.995099999999994</v>
      </c>
      <c r="P4268" s="2">
        <v>345</v>
      </c>
      <c r="Q4268" s="2">
        <v>96.408000000000001</v>
      </c>
      <c r="R4268" s="2">
        <v>24</v>
      </c>
      <c r="S4268" s="2">
        <v>96.2059</v>
      </c>
      <c r="T4268" s="2">
        <v>31</v>
      </c>
      <c r="U4268" s="2">
        <v>0.37409399999999998</v>
      </c>
      <c r="V4268" s="2">
        <v>218</v>
      </c>
      <c r="W4268" s="2">
        <v>2014</v>
      </c>
    </row>
    <row r="4269" spans="1:23" ht="12.3" hidden="1" x14ac:dyDescent="0.4">
      <c r="A4269" s="2" t="s">
        <v>263</v>
      </c>
      <c r="B4269" s="2"/>
      <c r="C4269" s="2"/>
      <c r="D4269" s="2"/>
      <c r="E4269" s="2"/>
      <c r="F4269" s="2"/>
      <c r="G4269" s="2"/>
      <c r="H4269" s="2"/>
      <c r="I4269" s="2">
        <v>74.259799999999998</v>
      </c>
      <c r="J4269" s="2">
        <v>2</v>
      </c>
      <c r="K4269" s="2">
        <v>74.500699999999995</v>
      </c>
      <c r="L4269" s="2">
        <v>3</v>
      </c>
      <c r="M4269" s="2">
        <v>109.1275</v>
      </c>
      <c r="N4269" s="2">
        <v>70</v>
      </c>
      <c r="O4269" s="2">
        <v>105.8626</v>
      </c>
      <c r="P4269" s="2">
        <v>142</v>
      </c>
      <c r="Q4269" s="2">
        <v>108.46939999999999</v>
      </c>
      <c r="R4269" s="2">
        <v>262</v>
      </c>
      <c r="S4269" s="2">
        <v>110.88039999999999</v>
      </c>
      <c r="T4269" s="2">
        <v>291</v>
      </c>
      <c r="U4269" s="2">
        <v>0.36991800000000002</v>
      </c>
      <c r="V4269" s="2">
        <v>219</v>
      </c>
      <c r="W4269" s="2">
        <v>2014</v>
      </c>
    </row>
    <row r="4270" spans="1:23" ht="12.3" hidden="1" x14ac:dyDescent="0.4">
      <c r="A4270" s="2" t="s">
        <v>135</v>
      </c>
      <c r="B4270" s="2"/>
      <c r="C4270" s="2"/>
      <c r="D4270" s="2"/>
      <c r="E4270" s="2"/>
      <c r="F4270" s="2"/>
      <c r="G4270" s="2"/>
      <c r="H4270" s="2"/>
      <c r="I4270" s="2">
        <v>71.375200000000007</v>
      </c>
      <c r="J4270" s="2">
        <v>17</v>
      </c>
      <c r="K4270" s="2">
        <v>72.187799999999996</v>
      </c>
      <c r="L4270" s="2">
        <v>9</v>
      </c>
      <c r="M4270" s="2">
        <v>99.641800000000003</v>
      </c>
      <c r="N4270" s="2">
        <v>268</v>
      </c>
      <c r="O4270" s="2">
        <v>95.820999999999998</v>
      </c>
      <c r="P4270" s="2">
        <v>315</v>
      </c>
      <c r="Q4270" s="2">
        <v>95.491299999999995</v>
      </c>
      <c r="R4270" s="2">
        <v>21</v>
      </c>
      <c r="S4270" s="2">
        <v>100.38339999999999</v>
      </c>
      <c r="T4270" s="2">
        <v>85</v>
      </c>
      <c r="U4270" s="2">
        <v>0.369369</v>
      </c>
      <c r="V4270" s="2">
        <v>220</v>
      </c>
      <c r="W4270" s="2">
        <v>2014</v>
      </c>
    </row>
    <row r="4271" spans="1:23" ht="12.3" hidden="1" x14ac:dyDescent="0.4">
      <c r="A4271" s="2" t="s">
        <v>260</v>
      </c>
      <c r="B4271" s="2"/>
      <c r="C4271" s="2"/>
      <c r="D4271" s="2"/>
      <c r="E4271" s="2"/>
      <c r="F4271" s="2"/>
      <c r="G4271" s="2"/>
      <c r="H4271" s="2"/>
      <c r="I4271" s="2">
        <v>66.760000000000005</v>
      </c>
      <c r="J4271" s="2">
        <v>160</v>
      </c>
      <c r="K4271" s="2">
        <v>67.075900000000004</v>
      </c>
      <c r="L4271" s="2">
        <v>137</v>
      </c>
      <c r="M4271" s="2">
        <v>100.5074</v>
      </c>
      <c r="N4271" s="2">
        <v>257</v>
      </c>
      <c r="O4271" s="2">
        <v>100.9491</v>
      </c>
      <c r="P4271" s="2">
        <v>237</v>
      </c>
      <c r="Q4271" s="2">
        <v>105.60809999999999</v>
      </c>
      <c r="R4271" s="2">
        <v>192</v>
      </c>
      <c r="S4271" s="2">
        <v>105.7784</v>
      </c>
      <c r="T4271" s="2">
        <v>196</v>
      </c>
      <c r="U4271" s="2">
        <v>0.36879400000000001</v>
      </c>
      <c r="V4271" s="2">
        <v>221</v>
      </c>
      <c r="W4271" s="2">
        <v>2014</v>
      </c>
    </row>
    <row r="4272" spans="1:23" ht="12.3" hidden="1" x14ac:dyDescent="0.4">
      <c r="A4272" s="2" t="s">
        <v>125</v>
      </c>
      <c r="B4272" s="2"/>
      <c r="C4272" s="2"/>
      <c r="D4272" s="2"/>
      <c r="E4272" s="2"/>
      <c r="F4272" s="2"/>
      <c r="G4272" s="2"/>
      <c r="H4272" s="2"/>
      <c r="I4272" s="2">
        <v>68.422700000000006</v>
      </c>
      <c r="J4272" s="2">
        <v>89</v>
      </c>
      <c r="K4272" s="2">
        <v>68.032700000000006</v>
      </c>
      <c r="L4272" s="2">
        <v>96</v>
      </c>
      <c r="M4272" s="2">
        <v>99.5715</v>
      </c>
      <c r="N4272" s="2">
        <v>270</v>
      </c>
      <c r="O4272" s="2">
        <v>100.5954</v>
      </c>
      <c r="P4272" s="2">
        <v>246</v>
      </c>
      <c r="Q4272" s="2">
        <v>105.2997</v>
      </c>
      <c r="R4272" s="2">
        <v>184</v>
      </c>
      <c r="S4272" s="2">
        <v>105.4192</v>
      </c>
      <c r="T4272" s="2">
        <v>182</v>
      </c>
      <c r="U4272" s="2">
        <v>0.36850500000000003</v>
      </c>
      <c r="V4272" s="2">
        <v>222</v>
      </c>
      <c r="W4272" s="2">
        <v>2014</v>
      </c>
    </row>
    <row r="4273" spans="1:23" ht="12.3" hidden="1" x14ac:dyDescent="0.4">
      <c r="A4273" s="2" t="s">
        <v>358</v>
      </c>
      <c r="B4273" s="2"/>
      <c r="C4273" s="2"/>
      <c r="D4273" s="2"/>
      <c r="E4273" s="2"/>
      <c r="F4273" s="2"/>
      <c r="G4273" s="2"/>
      <c r="H4273" s="2"/>
      <c r="I4273" s="2">
        <v>63.339500000000001</v>
      </c>
      <c r="J4273" s="2">
        <v>316</v>
      </c>
      <c r="K4273" s="2">
        <v>64.130300000000005</v>
      </c>
      <c r="L4273" s="2">
        <v>282</v>
      </c>
      <c r="M4273" s="2">
        <v>112.7841</v>
      </c>
      <c r="N4273" s="2">
        <v>29</v>
      </c>
      <c r="O4273" s="2">
        <v>108.157</v>
      </c>
      <c r="P4273" s="2">
        <v>100</v>
      </c>
      <c r="Q4273" s="2">
        <v>109.21850000000001</v>
      </c>
      <c r="R4273" s="2">
        <v>275</v>
      </c>
      <c r="S4273" s="2">
        <v>113.3434</v>
      </c>
      <c r="T4273" s="2">
        <v>327</v>
      </c>
      <c r="U4273" s="2">
        <v>0.368504</v>
      </c>
      <c r="V4273" s="2">
        <v>223</v>
      </c>
      <c r="W4273" s="2">
        <v>2014</v>
      </c>
    </row>
    <row r="4274" spans="1:23" ht="12.3" hidden="1" x14ac:dyDescent="0.4">
      <c r="A4274" s="2" t="s">
        <v>281</v>
      </c>
      <c r="B4274" s="2"/>
      <c r="C4274" s="2"/>
      <c r="D4274" s="2"/>
      <c r="E4274" s="2"/>
      <c r="F4274" s="2"/>
      <c r="G4274" s="2"/>
      <c r="H4274" s="2"/>
      <c r="I4274" s="2">
        <v>70.269499999999994</v>
      </c>
      <c r="J4274" s="2">
        <v>36</v>
      </c>
      <c r="K4274" s="2">
        <v>71.363399999999999</v>
      </c>
      <c r="L4274" s="2">
        <v>16</v>
      </c>
      <c r="M4274" s="2">
        <v>108.39</v>
      </c>
      <c r="N4274" s="2">
        <v>84</v>
      </c>
      <c r="O4274" s="2">
        <v>106.7492</v>
      </c>
      <c r="P4274" s="2">
        <v>126</v>
      </c>
      <c r="Q4274" s="2">
        <v>110.5262</v>
      </c>
      <c r="R4274" s="2">
        <v>306</v>
      </c>
      <c r="S4274" s="2">
        <v>111.8687</v>
      </c>
      <c r="T4274" s="2">
        <v>310</v>
      </c>
      <c r="U4274" s="2">
        <v>0.36848900000000001</v>
      </c>
      <c r="V4274" s="2">
        <v>224</v>
      </c>
      <c r="W4274" s="2">
        <v>2014</v>
      </c>
    </row>
    <row r="4275" spans="1:23" ht="12.3" hidden="1" x14ac:dyDescent="0.4">
      <c r="A4275" s="2" t="s">
        <v>345</v>
      </c>
      <c r="B4275" s="2"/>
      <c r="C4275" s="2"/>
      <c r="D4275" s="2"/>
      <c r="E4275" s="2"/>
      <c r="F4275" s="2"/>
      <c r="G4275" s="2"/>
      <c r="H4275" s="2"/>
      <c r="I4275" s="2">
        <v>69.319999999999993</v>
      </c>
      <c r="J4275" s="2">
        <v>56</v>
      </c>
      <c r="K4275" s="2">
        <v>69.227999999999994</v>
      </c>
      <c r="L4275" s="2">
        <v>54</v>
      </c>
      <c r="M4275" s="2">
        <v>101.172</v>
      </c>
      <c r="N4275" s="2">
        <v>248</v>
      </c>
      <c r="O4275" s="2">
        <v>99.731099999999998</v>
      </c>
      <c r="P4275" s="2">
        <v>263</v>
      </c>
      <c r="Q4275" s="2">
        <v>102.23220000000001</v>
      </c>
      <c r="R4275" s="2">
        <v>110</v>
      </c>
      <c r="S4275" s="2">
        <v>104.5658</v>
      </c>
      <c r="T4275" s="2">
        <v>168</v>
      </c>
      <c r="U4275" s="2">
        <v>0.36716399999999999</v>
      </c>
      <c r="V4275" s="2">
        <v>225</v>
      </c>
      <c r="W4275" s="2">
        <v>2014</v>
      </c>
    </row>
    <row r="4276" spans="1:23" ht="12.3" hidden="1" x14ac:dyDescent="0.4">
      <c r="A4276" s="2" t="s">
        <v>187</v>
      </c>
      <c r="B4276" s="2"/>
      <c r="C4276" s="2"/>
      <c r="D4276" s="2"/>
      <c r="E4276" s="2"/>
      <c r="F4276" s="2"/>
      <c r="G4276" s="2"/>
      <c r="H4276" s="2"/>
      <c r="I4276" s="2">
        <v>69.6858</v>
      </c>
      <c r="J4276" s="2">
        <v>48</v>
      </c>
      <c r="K4276" s="2">
        <v>70.838300000000004</v>
      </c>
      <c r="L4276" s="2">
        <v>20</v>
      </c>
      <c r="M4276" s="2">
        <v>108.2561</v>
      </c>
      <c r="N4276" s="2">
        <v>86</v>
      </c>
      <c r="O4276" s="2">
        <v>105.46380000000001</v>
      </c>
      <c r="P4276" s="2">
        <v>155</v>
      </c>
      <c r="Q4276" s="2">
        <v>109.55670000000001</v>
      </c>
      <c r="R4276" s="2">
        <v>282</v>
      </c>
      <c r="S4276" s="2">
        <v>110.64449999999999</v>
      </c>
      <c r="T4276" s="2">
        <v>286</v>
      </c>
      <c r="U4276" s="2">
        <v>0.36552400000000002</v>
      </c>
      <c r="V4276" s="2">
        <v>226</v>
      </c>
      <c r="W4276" s="2">
        <v>2014</v>
      </c>
    </row>
    <row r="4277" spans="1:23" ht="12.3" hidden="1" x14ac:dyDescent="0.4">
      <c r="A4277" s="2" t="s">
        <v>370</v>
      </c>
      <c r="B4277" s="2"/>
      <c r="C4277" s="2"/>
      <c r="D4277" s="2"/>
      <c r="E4277" s="2"/>
      <c r="F4277" s="2"/>
      <c r="G4277" s="2"/>
      <c r="H4277" s="2"/>
      <c r="I4277" s="2">
        <v>65.794700000000006</v>
      </c>
      <c r="J4277" s="2">
        <v>211</v>
      </c>
      <c r="K4277" s="2">
        <v>65.423699999999997</v>
      </c>
      <c r="L4277" s="2">
        <v>223</v>
      </c>
      <c r="M4277" s="2">
        <v>102.9105</v>
      </c>
      <c r="N4277" s="2">
        <v>211</v>
      </c>
      <c r="O4277" s="2">
        <v>100.3706</v>
      </c>
      <c r="P4277" s="2">
        <v>250</v>
      </c>
      <c r="Q4277" s="2">
        <v>103.8305</v>
      </c>
      <c r="R4277" s="2">
        <v>146</v>
      </c>
      <c r="S4277" s="2">
        <v>105.4569</v>
      </c>
      <c r="T4277" s="2">
        <v>185</v>
      </c>
      <c r="U4277" s="2">
        <v>0.36158800000000002</v>
      </c>
      <c r="V4277" s="2">
        <v>227</v>
      </c>
      <c r="W4277" s="2">
        <v>2014</v>
      </c>
    </row>
    <row r="4278" spans="1:23" ht="12.3" hidden="1" x14ac:dyDescent="0.4">
      <c r="A4278" s="2" t="s">
        <v>295</v>
      </c>
      <c r="B4278" s="2"/>
      <c r="C4278" s="2"/>
      <c r="D4278" s="2"/>
      <c r="E4278" s="2"/>
      <c r="F4278" s="2"/>
      <c r="G4278" s="2"/>
      <c r="H4278" s="2"/>
      <c r="I4278" s="2">
        <v>63.658499999999997</v>
      </c>
      <c r="J4278" s="2">
        <v>305</v>
      </c>
      <c r="K4278" s="2">
        <v>63.501300000000001</v>
      </c>
      <c r="L4278" s="2">
        <v>307</v>
      </c>
      <c r="M4278" s="2">
        <v>102.46769999999999</v>
      </c>
      <c r="N4278" s="2">
        <v>220</v>
      </c>
      <c r="O4278" s="2">
        <v>101.8283</v>
      </c>
      <c r="P4278" s="2">
        <v>227</v>
      </c>
      <c r="Q4278" s="2">
        <v>103.27119999999999</v>
      </c>
      <c r="R4278" s="2">
        <v>129</v>
      </c>
      <c r="S4278" s="2">
        <v>107.0423</v>
      </c>
      <c r="T4278" s="2">
        <v>216</v>
      </c>
      <c r="U4278" s="2">
        <v>0.36025400000000002</v>
      </c>
      <c r="V4278" s="2">
        <v>228</v>
      </c>
      <c r="W4278" s="2">
        <v>2014</v>
      </c>
    </row>
    <row r="4279" spans="1:23" ht="12.3" hidden="1" x14ac:dyDescent="0.4">
      <c r="A4279" s="2" t="s">
        <v>184</v>
      </c>
      <c r="B4279" s="2"/>
      <c r="C4279" s="2"/>
      <c r="D4279" s="2"/>
      <c r="E4279" s="2"/>
      <c r="F4279" s="2"/>
      <c r="G4279" s="2"/>
      <c r="H4279" s="2"/>
      <c r="I4279" s="2">
        <v>69.215500000000006</v>
      </c>
      <c r="J4279" s="2">
        <v>58</v>
      </c>
      <c r="K4279" s="2">
        <v>68.656999999999996</v>
      </c>
      <c r="L4279" s="2">
        <v>68</v>
      </c>
      <c r="M4279" s="2">
        <v>99.055999999999997</v>
      </c>
      <c r="N4279" s="2">
        <v>280</v>
      </c>
      <c r="O4279" s="2">
        <v>99.000699999999995</v>
      </c>
      <c r="P4279" s="2">
        <v>271</v>
      </c>
      <c r="Q4279" s="2">
        <v>103.0759</v>
      </c>
      <c r="R4279" s="2">
        <v>122</v>
      </c>
      <c r="S4279" s="2">
        <v>104.1848</v>
      </c>
      <c r="T4279" s="2">
        <v>158</v>
      </c>
      <c r="U4279" s="2">
        <v>0.35733399999999998</v>
      </c>
      <c r="V4279" s="2">
        <v>229</v>
      </c>
      <c r="W4279" s="2">
        <v>2014</v>
      </c>
    </row>
    <row r="4280" spans="1:23" ht="12.3" hidden="1" x14ac:dyDescent="0.4">
      <c r="A4280" s="2" t="s">
        <v>314</v>
      </c>
      <c r="B4280" s="2"/>
      <c r="C4280" s="2"/>
      <c r="D4280" s="2"/>
      <c r="E4280" s="2"/>
      <c r="F4280" s="2"/>
      <c r="G4280" s="2"/>
      <c r="H4280" s="2"/>
      <c r="I4280" s="2">
        <v>68.249099999999999</v>
      </c>
      <c r="J4280" s="2">
        <v>99</v>
      </c>
      <c r="K4280" s="2">
        <v>68.846199999999996</v>
      </c>
      <c r="L4280" s="2">
        <v>61</v>
      </c>
      <c r="M4280" s="2">
        <v>105.4573</v>
      </c>
      <c r="N4280" s="2">
        <v>158</v>
      </c>
      <c r="O4280" s="2">
        <v>104.5839</v>
      </c>
      <c r="P4280" s="2">
        <v>176</v>
      </c>
      <c r="Q4280" s="2">
        <v>107.6478</v>
      </c>
      <c r="R4280" s="2">
        <v>246</v>
      </c>
      <c r="S4280" s="2">
        <v>110.0692</v>
      </c>
      <c r="T4280" s="2">
        <v>276</v>
      </c>
      <c r="U4280" s="2">
        <v>0.35712300000000002</v>
      </c>
      <c r="V4280" s="2">
        <v>230</v>
      </c>
      <c r="W4280" s="2">
        <v>2014</v>
      </c>
    </row>
    <row r="4281" spans="1:23" ht="12.3" hidden="1" x14ac:dyDescent="0.4">
      <c r="A4281" s="2" t="s">
        <v>142</v>
      </c>
      <c r="B4281" s="2"/>
      <c r="C4281" s="2"/>
      <c r="D4281" s="2"/>
      <c r="E4281" s="2"/>
      <c r="F4281" s="2"/>
      <c r="G4281" s="2"/>
      <c r="H4281" s="2"/>
      <c r="I4281" s="2">
        <v>66.37</v>
      </c>
      <c r="J4281" s="2">
        <v>180</v>
      </c>
      <c r="K4281" s="2">
        <v>65.830399999999997</v>
      </c>
      <c r="L4281" s="2">
        <v>205</v>
      </c>
      <c r="M4281" s="2">
        <v>95.215400000000002</v>
      </c>
      <c r="N4281" s="2">
        <v>325</v>
      </c>
      <c r="O4281" s="2">
        <v>97.865399999999994</v>
      </c>
      <c r="P4281" s="2">
        <v>287</v>
      </c>
      <c r="Q4281" s="2">
        <v>109.2654</v>
      </c>
      <c r="R4281" s="2">
        <v>276</v>
      </c>
      <c r="S4281" s="2">
        <v>103.01139999999999</v>
      </c>
      <c r="T4281" s="2">
        <v>135</v>
      </c>
      <c r="U4281" s="2">
        <v>0.35678500000000002</v>
      </c>
      <c r="V4281" s="2">
        <v>231</v>
      </c>
      <c r="W4281" s="2">
        <v>2014</v>
      </c>
    </row>
    <row r="4282" spans="1:23" ht="12.3" x14ac:dyDescent="0.4">
      <c r="A4282" s="2" t="s">
        <v>240</v>
      </c>
      <c r="B4282" s="2">
        <v>16</v>
      </c>
      <c r="C4282" s="2"/>
      <c r="D4282" s="2"/>
      <c r="E4282" s="2"/>
      <c r="F4282" s="2"/>
      <c r="G4282" s="2"/>
      <c r="H4282" s="2"/>
      <c r="I4282" s="2">
        <v>68.212800000000001</v>
      </c>
      <c r="J4282" s="2">
        <v>222</v>
      </c>
      <c r="K4282" s="2">
        <v>67.463899999999995</v>
      </c>
      <c r="L4282" s="2">
        <v>239</v>
      </c>
      <c r="M4282" s="2">
        <v>100.2384</v>
      </c>
      <c r="N4282" s="2">
        <v>175</v>
      </c>
      <c r="O4282" s="2">
        <v>95.363200000000006</v>
      </c>
      <c r="P4282" s="2">
        <v>257</v>
      </c>
      <c r="Q4282" s="2">
        <v>94.658699999999996</v>
      </c>
      <c r="R4282" s="2">
        <v>45</v>
      </c>
      <c r="S4282" s="2">
        <v>99.975399999999993</v>
      </c>
      <c r="T4282" s="2">
        <v>138</v>
      </c>
      <c r="U4282" s="2">
        <v>0.36745299999999997</v>
      </c>
      <c r="V4282" s="2">
        <v>215</v>
      </c>
      <c r="W4282" s="2">
        <v>2002</v>
      </c>
    </row>
    <row r="4283" spans="1:23" ht="12.3" hidden="1" x14ac:dyDescent="0.4">
      <c r="A4283" s="2" t="s">
        <v>206</v>
      </c>
      <c r="B4283" s="2"/>
      <c r="C4283" s="2"/>
      <c r="D4283" s="2"/>
      <c r="E4283" s="2"/>
      <c r="F4283" s="2"/>
      <c r="G4283" s="2"/>
      <c r="H4283" s="2"/>
      <c r="I4283" s="2">
        <v>65.948700000000002</v>
      </c>
      <c r="J4283" s="2">
        <v>205</v>
      </c>
      <c r="K4283" s="2">
        <v>64.970799999999997</v>
      </c>
      <c r="L4283" s="2">
        <v>248</v>
      </c>
      <c r="M4283" s="2">
        <v>106.747</v>
      </c>
      <c r="N4283" s="2">
        <v>127</v>
      </c>
      <c r="O4283" s="2">
        <v>105.3663</v>
      </c>
      <c r="P4283" s="2">
        <v>160</v>
      </c>
      <c r="Q4283" s="2">
        <v>109.4204</v>
      </c>
      <c r="R4283" s="2">
        <v>277</v>
      </c>
      <c r="S4283" s="2">
        <v>110.9919</v>
      </c>
      <c r="T4283" s="2">
        <v>292</v>
      </c>
      <c r="U4283" s="2">
        <v>0.35476400000000002</v>
      </c>
      <c r="V4283" s="2">
        <v>233</v>
      </c>
      <c r="W4283" s="2">
        <v>2014</v>
      </c>
    </row>
    <row r="4284" spans="1:23" ht="12.3" hidden="1" x14ac:dyDescent="0.4">
      <c r="A4284" s="2" t="s">
        <v>240</v>
      </c>
      <c r="B4284" s="2"/>
      <c r="C4284" s="2"/>
      <c r="D4284" s="2"/>
      <c r="E4284" s="2"/>
      <c r="F4284" s="2"/>
      <c r="G4284" s="2"/>
      <c r="H4284" s="2"/>
      <c r="I4284" s="2">
        <v>66.6233</v>
      </c>
      <c r="J4284" s="2">
        <v>163</v>
      </c>
      <c r="K4284" s="2">
        <v>65.617699999999999</v>
      </c>
      <c r="L4284" s="2">
        <v>215</v>
      </c>
      <c r="M4284" s="2">
        <v>105.7837</v>
      </c>
      <c r="N4284" s="2">
        <v>149</v>
      </c>
      <c r="O4284" s="2">
        <v>103.0491</v>
      </c>
      <c r="P4284" s="2">
        <v>202</v>
      </c>
      <c r="Q4284" s="2">
        <v>105.4517</v>
      </c>
      <c r="R4284" s="2">
        <v>187</v>
      </c>
      <c r="S4284" s="2">
        <v>108.6708</v>
      </c>
      <c r="T4284" s="2">
        <v>251</v>
      </c>
      <c r="U4284" s="2">
        <v>0.35186299999999998</v>
      </c>
      <c r="V4284" s="2">
        <v>234</v>
      </c>
      <c r="W4284" s="2">
        <v>2014</v>
      </c>
    </row>
    <row r="4285" spans="1:23" ht="12.3" hidden="1" x14ac:dyDescent="0.4">
      <c r="A4285" s="2" t="s">
        <v>246</v>
      </c>
      <c r="B4285" s="2"/>
      <c r="C4285" s="2"/>
      <c r="D4285" s="2"/>
      <c r="E4285" s="2"/>
      <c r="F4285" s="2"/>
      <c r="G4285" s="2"/>
      <c r="H4285" s="2"/>
      <c r="I4285" s="2">
        <v>67.838800000000006</v>
      </c>
      <c r="J4285" s="2">
        <v>110</v>
      </c>
      <c r="K4285" s="2">
        <v>67.360900000000001</v>
      </c>
      <c r="L4285" s="2">
        <v>118</v>
      </c>
      <c r="M4285" s="2">
        <v>105.72539999999999</v>
      </c>
      <c r="N4285" s="2">
        <v>154</v>
      </c>
      <c r="O4285" s="2">
        <v>103.60680000000001</v>
      </c>
      <c r="P4285" s="2">
        <v>194</v>
      </c>
      <c r="Q4285" s="2">
        <v>106.2037</v>
      </c>
      <c r="R4285" s="2">
        <v>210</v>
      </c>
      <c r="S4285" s="2">
        <v>109.29640000000001</v>
      </c>
      <c r="T4285" s="2">
        <v>260</v>
      </c>
      <c r="U4285" s="2">
        <v>0.35096699999999997</v>
      </c>
      <c r="V4285" s="2">
        <v>235</v>
      </c>
      <c r="W4285" s="2">
        <v>2014</v>
      </c>
    </row>
    <row r="4286" spans="1:23" ht="12.3" hidden="1" x14ac:dyDescent="0.4">
      <c r="A4286" s="2" t="s">
        <v>381</v>
      </c>
      <c r="B4286" s="2"/>
      <c r="C4286" s="2"/>
      <c r="D4286" s="2"/>
      <c r="E4286" s="2"/>
      <c r="F4286" s="2"/>
      <c r="G4286" s="2"/>
      <c r="H4286" s="2"/>
      <c r="I4286" s="2">
        <v>67.392399999999995</v>
      </c>
      <c r="J4286" s="2">
        <v>130</v>
      </c>
      <c r="K4286" s="2">
        <v>67.337599999999995</v>
      </c>
      <c r="L4286" s="2">
        <v>120</v>
      </c>
      <c r="M4286" s="2">
        <v>104.0911</v>
      </c>
      <c r="N4286" s="2">
        <v>184</v>
      </c>
      <c r="O4286" s="2">
        <v>105.7102</v>
      </c>
      <c r="P4286" s="2">
        <v>146</v>
      </c>
      <c r="Q4286" s="2">
        <v>108.5885</v>
      </c>
      <c r="R4286" s="2">
        <v>267</v>
      </c>
      <c r="S4286" s="2">
        <v>111.63939999999999</v>
      </c>
      <c r="T4286" s="2">
        <v>307</v>
      </c>
      <c r="U4286" s="2">
        <v>0.34805799999999998</v>
      </c>
      <c r="V4286" s="2">
        <v>236</v>
      </c>
      <c r="W4286" s="2">
        <v>2014</v>
      </c>
    </row>
    <row r="4287" spans="1:23" ht="12.3" x14ac:dyDescent="0.4">
      <c r="A4287" s="2" t="s">
        <v>261</v>
      </c>
      <c r="B4287" s="2">
        <v>16</v>
      </c>
      <c r="C4287" s="2"/>
      <c r="D4287" s="2"/>
      <c r="E4287" s="2"/>
      <c r="F4287" s="2"/>
      <c r="G4287" s="2"/>
      <c r="H4287" s="2"/>
      <c r="I4287" s="2">
        <v>76.066400000000002</v>
      </c>
      <c r="J4287" s="2">
        <v>16</v>
      </c>
      <c r="K4287" s="2">
        <v>73.850399999999993</v>
      </c>
      <c r="L4287" s="2">
        <v>35</v>
      </c>
      <c r="M4287" s="2">
        <v>103.4213</v>
      </c>
      <c r="N4287" s="2">
        <v>118</v>
      </c>
      <c r="O4287" s="2">
        <v>99.866500000000002</v>
      </c>
      <c r="P4287" s="2">
        <v>184</v>
      </c>
      <c r="Q4287" s="2">
        <v>99.637</v>
      </c>
      <c r="R4287" s="2">
        <v>138</v>
      </c>
      <c r="S4287" s="2">
        <v>106.45</v>
      </c>
      <c r="T4287" s="2">
        <v>263</v>
      </c>
      <c r="U4287" s="2">
        <v>0.32427899999999998</v>
      </c>
      <c r="V4287" s="2">
        <v>236</v>
      </c>
      <c r="W4287" s="2">
        <v>2002</v>
      </c>
    </row>
    <row r="4288" spans="1:23" ht="12.3" hidden="1" x14ac:dyDescent="0.4">
      <c r="A4288" s="2" t="s">
        <v>303</v>
      </c>
      <c r="B4288" s="2"/>
      <c r="C4288" s="2"/>
      <c r="D4288" s="2"/>
      <c r="E4288" s="2"/>
      <c r="F4288" s="2"/>
      <c r="G4288" s="2"/>
      <c r="H4288" s="2"/>
      <c r="I4288" s="2">
        <v>70.988</v>
      </c>
      <c r="J4288" s="2">
        <v>22</v>
      </c>
      <c r="K4288" s="2">
        <v>70.5047</v>
      </c>
      <c r="L4288" s="2">
        <v>25</v>
      </c>
      <c r="M4288" s="2">
        <v>112.3389</v>
      </c>
      <c r="N4288" s="2">
        <v>35</v>
      </c>
      <c r="O4288" s="2">
        <v>107.10290000000001</v>
      </c>
      <c r="P4288" s="2">
        <v>123</v>
      </c>
      <c r="Q4288" s="2">
        <v>110.5244</v>
      </c>
      <c r="R4288" s="2">
        <v>305</v>
      </c>
      <c r="S4288" s="2">
        <v>113.1409</v>
      </c>
      <c r="T4288" s="2">
        <v>324</v>
      </c>
      <c r="U4288" s="2">
        <v>0.34734999999999999</v>
      </c>
      <c r="V4288" s="2">
        <v>238</v>
      </c>
      <c r="W4288" s="2">
        <v>2014</v>
      </c>
    </row>
    <row r="4289" spans="1:23" ht="12.3" hidden="1" x14ac:dyDescent="0.4">
      <c r="A4289" s="2" t="s">
        <v>335</v>
      </c>
      <c r="B4289" s="2"/>
      <c r="C4289" s="2"/>
      <c r="D4289" s="2"/>
      <c r="E4289" s="2"/>
      <c r="F4289" s="2"/>
      <c r="G4289" s="2"/>
      <c r="H4289" s="2"/>
      <c r="I4289" s="2">
        <v>63.695700000000002</v>
      </c>
      <c r="J4289" s="2">
        <v>300</v>
      </c>
      <c r="K4289" s="2">
        <v>61.999000000000002</v>
      </c>
      <c r="L4289" s="2">
        <v>338</v>
      </c>
      <c r="M4289" s="2">
        <v>98.626300000000001</v>
      </c>
      <c r="N4289" s="2">
        <v>283</v>
      </c>
      <c r="O4289" s="2">
        <v>97.777799999999999</v>
      </c>
      <c r="P4289" s="2">
        <v>289</v>
      </c>
      <c r="Q4289" s="2">
        <v>102.6935</v>
      </c>
      <c r="R4289" s="2">
        <v>113</v>
      </c>
      <c r="S4289" s="2">
        <v>103.3052</v>
      </c>
      <c r="T4289" s="2">
        <v>142</v>
      </c>
      <c r="U4289" s="2">
        <v>0.346972</v>
      </c>
      <c r="V4289" s="2">
        <v>239</v>
      </c>
      <c r="W4289" s="2">
        <v>2014</v>
      </c>
    </row>
    <row r="4290" spans="1:23" ht="12.3" hidden="1" x14ac:dyDescent="0.4">
      <c r="A4290" s="2" t="s">
        <v>327</v>
      </c>
      <c r="B4290" s="2"/>
      <c r="C4290" s="2"/>
      <c r="D4290" s="2"/>
      <c r="E4290" s="2"/>
      <c r="F4290" s="2"/>
      <c r="G4290" s="2"/>
      <c r="H4290" s="2"/>
      <c r="I4290" s="2">
        <v>63.663400000000003</v>
      </c>
      <c r="J4290" s="2">
        <v>304</v>
      </c>
      <c r="K4290" s="2">
        <v>64.534899999999993</v>
      </c>
      <c r="L4290" s="2">
        <v>268</v>
      </c>
      <c r="M4290" s="2">
        <v>103.2557</v>
      </c>
      <c r="N4290" s="2">
        <v>205</v>
      </c>
      <c r="O4290" s="2">
        <v>103.0204</v>
      </c>
      <c r="P4290" s="2">
        <v>203</v>
      </c>
      <c r="Q4290" s="2">
        <v>105.41030000000001</v>
      </c>
      <c r="R4290" s="2">
        <v>186</v>
      </c>
      <c r="S4290" s="2">
        <v>108.94370000000001</v>
      </c>
      <c r="T4290" s="2">
        <v>254</v>
      </c>
      <c r="U4290" s="2">
        <v>0.34459299999999998</v>
      </c>
      <c r="V4290" s="2">
        <v>240</v>
      </c>
      <c r="W4290" s="2">
        <v>2014</v>
      </c>
    </row>
    <row r="4291" spans="1:23" ht="12.3" hidden="1" x14ac:dyDescent="0.4">
      <c r="A4291" s="2" t="s">
        <v>376</v>
      </c>
      <c r="B4291" s="2"/>
      <c r="C4291" s="2"/>
      <c r="D4291" s="2"/>
      <c r="E4291" s="2"/>
      <c r="F4291" s="2"/>
      <c r="G4291" s="2"/>
      <c r="H4291" s="2"/>
      <c r="I4291" s="2">
        <v>67.942599999999999</v>
      </c>
      <c r="J4291" s="2">
        <v>107</v>
      </c>
      <c r="K4291" s="2">
        <v>67.205500000000001</v>
      </c>
      <c r="L4291" s="2">
        <v>128</v>
      </c>
      <c r="M4291" s="2">
        <v>102.7162</v>
      </c>
      <c r="N4291" s="2">
        <v>215</v>
      </c>
      <c r="O4291" s="2">
        <v>99.607200000000006</v>
      </c>
      <c r="P4291" s="2">
        <v>266</v>
      </c>
      <c r="Q4291" s="2">
        <v>104.4765</v>
      </c>
      <c r="R4291" s="2">
        <v>163</v>
      </c>
      <c r="S4291" s="2">
        <v>105.51649999999999</v>
      </c>
      <c r="T4291" s="2">
        <v>187</v>
      </c>
      <c r="U4291" s="2">
        <v>0.34011599999999997</v>
      </c>
      <c r="V4291" s="2">
        <v>241</v>
      </c>
      <c r="W4291" s="2">
        <v>2014</v>
      </c>
    </row>
    <row r="4292" spans="1:23" ht="12.3" hidden="1" x14ac:dyDescent="0.4">
      <c r="A4292" s="2" t="s">
        <v>305</v>
      </c>
      <c r="B4292" s="2"/>
      <c r="C4292" s="2"/>
      <c r="D4292" s="2"/>
      <c r="E4292" s="2"/>
      <c r="F4292" s="2"/>
      <c r="G4292" s="2"/>
      <c r="H4292" s="2"/>
      <c r="I4292" s="2">
        <v>68.25</v>
      </c>
      <c r="J4292" s="2">
        <v>98</v>
      </c>
      <c r="K4292" s="2">
        <v>67.302700000000002</v>
      </c>
      <c r="L4292" s="2">
        <v>122</v>
      </c>
      <c r="M4292" s="2">
        <v>109.2968</v>
      </c>
      <c r="N4292" s="2">
        <v>68</v>
      </c>
      <c r="O4292" s="2">
        <v>104.7397</v>
      </c>
      <c r="P4292" s="2">
        <v>172</v>
      </c>
      <c r="Q4292" s="2">
        <v>108.52290000000001</v>
      </c>
      <c r="R4292" s="2">
        <v>265</v>
      </c>
      <c r="S4292" s="2">
        <v>111.0822</v>
      </c>
      <c r="T4292" s="2">
        <v>294</v>
      </c>
      <c r="U4292" s="2">
        <v>0.33713100000000001</v>
      </c>
      <c r="V4292" s="2">
        <v>242</v>
      </c>
      <c r="W4292" s="2">
        <v>2014</v>
      </c>
    </row>
    <row r="4293" spans="1:23" ht="12.3" hidden="1" x14ac:dyDescent="0.4">
      <c r="A4293" s="2" t="s">
        <v>304</v>
      </c>
      <c r="B4293" s="2"/>
      <c r="C4293" s="2"/>
      <c r="D4293" s="2"/>
      <c r="E4293" s="2"/>
      <c r="F4293" s="2"/>
      <c r="G4293" s="2"/>
      <c r="H4293" s="2"/>
      <c r="I4293" s="2">
        <v>67.102800000000002</v>
      </c>
      <c r="J4293" s="2">
        <v>143</v>
      </c>
      <c r="K4293" s="2">
        <v>67.429299999999998</v>
      </c>
      <c r="L4293" s="2">
        <v>113</v>
      </c>
      <c r="M4293" s="2">
        <v>106.3133</v>
      </c>
      <c r="N4293" s="2">
        <v>137</v>
      </c>
      <c r="O4293" s="2">
        <v>105.41500000000001</v>
      </c>
      <c r="P4293" s="2">
        <v>157</v>
      </c>
      <c r="Q4293" s="2">
        <v>110.4845</v>
      </c>
      <c r="R4293" s="2">
        <v>304</v>
      </c>
      <c r="S4293" s="2">
        <v>111.87909999999999</v>
      </c>
      <c r="T4293" s="2">
        <v>311</v>
      </c>
      <c r="U4293" s="2">
        <v>0.33527699999999999</v>
      </c>
      <c r="V4293" s="2">
        <v>243</v>
      </c>
      <c r="W4293" s="2">
        <v>2014</v>
      </c>
    </row>
    <row r="4294" spans="1:23" ht="12.3" hidden="1" x14ac:dyDescent="0.4">
      <c r="A4294" s="2" t="s">
        <v>218</v>
      </c>
      <c r="B4294" s="2"/>
      <c r="C4294" s="2"/>
      <c r="D4294" s="2"/>
      <c r="E4294" s="2"/>
      <c r="F4294" s="2"/>
      <c r="G4294" s="2"/>
      <c r="H4294" s="2"/>
      <c r="I4294" s="2">
        <v>65.262500000000003</v>
      </c>
      <c r="J4294" s="2">
        <v>237</v>
      </c>
      <c r="K4294" s="2">
        <v>64.794899999999998</v>
      </c>
      <c r="L4294" s="2">
        <v>259</v>
      </c>
      <c r="M4294" s="2">
        <v>100.1031</v>
      </c>
      <c r="N4294" s="2">
        <v>262</v>
      </c>
      <c r="O4294" s="2">
        <v>101.0442</v>
      </c>
      <c r="P4294" s="2">
        <v>236</v>
      </c>
      <c r="Q4294" s="2">
        <v>107.05710000000001</v>
      </c>
      <c r="R4294" s="2">
        <v>231</v>
      </c>
      <c r="S4294" s="2">
        <v>107.3244</v>
      </c>
      <c r="T4294" s="2">
        <v>225</v>
      </c>
      <c r="U4294" s="2">
        <v>0.33327200000000001</v>
      </c>
      <c r="V4294" s="2">
        <v>244</v>
      </c>
      <c r="W4294" s="2">
        <v>2014</v>
      </c>
    </row>
    <row r="4295" spans="1:23" ht="12.3" hidden="1" x14ac:dyDescent="0.4">
      <c r="A4295" s="2" t="s">
        <v>378</v>
      </c>
      <c r="B4295" s="2"/>
      <c r="C4295" s="2"/>
      <c r="D4295" s="2"/>
      <c r="E4295" s="2"/>
      <c r="F4295" s="2"/>
      <c r="G4295" s="2"/>
      <c r="H4295" s="2"/>
      <c r="I4295" s="2">
        <v>68.3065</v>
      </c>
      <c r="J4295" s="2">
        <v>94</v>
      </c>
      <c r="K4295" s="2">
        <v>69.428700000000006</v>
      </c>
      <c r="L4295" s="2">
        <v>49</v>
      </c>
      <c r="M4295" s="2">
        <v>107.05710000000001</v>
      </c>
      <c r="N4295" s="2">
        <v>116</v>
      </c>
      <c r="O4295" s="2">
        <v>104.6324</v>
      </c>
      <c r="P4295" s="2">
        <v>173</v>
      </c>
      <c r="Q4295" s="2">
        <v>110.7872</v>
      </c>
      <c r="R4295" s="2">
        <v>308</v>
      </c>
      <c r="S4295" s="2">
        <v>111.203</v>
      </c>
      <c r="T4295" s="2">
        <v>297</v>
      </c>
      <c r="U4295" s="2">
        <v>0.33172400000000002</v>
      </c>
      <c r="V4295" s="2">
        <v>245</v>
      </c>
      <c r="W4295" s="2">
        <v>2014</v>
      </c>
    </row>
    <row r="4296" spans="1:23" ht="12.3" hidden="1" x14ac:dyDescent="0.4">
      <c r="A4296" s="2" t="s">
        <v>108</v>
      </c>
      <c r="B4296" s="2"/>
      <c r="C4296" s="2"/>
      <c r="D4296" s="2"/>
      <c r="E4296" s="2"/>
      <c r="F4296" s="2"/>
      <c r="G4296" s="2"/>
      <c r="H4296" s="2"/>
      <c r="I4296" s="2">
        <v>71.122799999999998</v>
      </c>
      <c r="J4296" s="2">
        <v>19</v>
      </c>
      <c r="K4296" s="2">
        <v>70.388999999999996</v>
      </c>
      <c r="L4296" s="2">
        <v>26</v>
      </c>
      <c r="M4296" s="2">
        <v>106.0425</v>
      </c>
      <c r="N4296" s="2">
        <v>144</v>
      </c>
      <c r="O4296" s="2">
        <v>102.65519999999999</v>
      </c>
      <c r="P4296" s="2">
        <v>208</v>
      </c>
      <c r="Q4296" s="2">
        <v>105.8262</v>
      </c>
      <c r="R4296" s="2">
        <v>200</v>
      </c>
      <c r="S4296" s="2">
        <v>109.11</v>
      </c>
      <c r="T4296" s="2">
        <v>258</v>
      </c>
      <c r="U4296" s="2">
        <v>0.33152999999999999</v>
      </c>
      <c r="V4296" s="2">
        <v>246</v>
      </c>
      <c r="W4296" s="2">
        <v>2014</v>
      </c>
    </row>
    <row r="4297" spans="1:23" ht="12.3" hidden="1" x14ac:dyDescent="0.4">
      <c r="A4297" s="2" t="s">
        <v>356</v>
      </c>
      <c r="B4297" s="2"/>
      <c r="C4297" s="2"/>
      <c r="D4297" s="2"/>
      <c r="E4297" s="2"/>
      <c r="F4297" s="2"/>
      <c r="G4297" s="2"/>
      <c r="H4297" s="2"/>
      <c r="I4297" s="2">
        <v>65.059200000000004</v>
      </c>
      <c r="J4297" s="2">
        <v>248</v>
      </c>
      <c r="K4297" s="2">
        <v>65.052499999999995</v>
      </c>
      <c r="L4297" s="2">
        <v>244</v>
      </c>
      <c r="M4297" s="2">
        <v>101.1998</v>
      </c>
      <c r="N4297" s="2">
        <v>247</v>
      </c>
      <c r="O4297" s="2">
        <v>102.1403</v>
      </c>
      <c r="P4297" s="2">
        <v>218</v>
      </c>
      <c r="Q4297" s="2">
        <v>106.2606</v>
      </c>
      <c r="R4297" s="2">
        <v>213</v>
      </c>
      <c r="S4297" s="2">
        <v>108.56440000000001</v>
      </c>
      <c r="T4297" s="2">
        <v>248</v>
      </c>
      <c r="U4297" s="2">
        <v>0.33148899999999998</v>
      </c>
      <c r="V4297" s="2">
        <v>247</v>
      </c>
      <c r="W4297" s="2">
        <v>2014</v>
      </c>
    </row>
    <row r="4298" spans="1:23" ht="12.3" hidden="1" x14ac:dyDescent="0.4">
      <c r="A4298" s="2" t="s">
        <v>330</v>
      </c>
      <c r="B4298" s="2"/>
      <c r="C4298" s="2"/>
      <c r="D4298" s="2"/>
      <c r="E4298" s="2"/>
      <c r="F4298" s="2"/>
      <c r="G4298" s="2"/>
      <c r="H4298" s="2"/>
      <c r="I4298" s="2">
        <v>64.7</v>
      </c>
      <c r="J4298" s="2">
        <v>266</v>
      </c>
      <c r="K4298" s="2">
        <v>63.980600000000003</v>
      </c>
      <c r="L4298" s="2">
        <v>289</v>
      </c>
      <c r="M4298" s="2">
        <v>107.13639999999999</v>
      </c>
      <c r="N4298" s="2">
        <v>113</v>
      </c>
      <c r="O4298" s="2">
        <v>104.80500000000001</v>
      </c>
      <c r="P4298" s="2">
        <v>169</v>
      </c>
      <c r="Q4298" s="2">
        <v>111.1987</v>
      </c>
      <c r="R4298" s="2">
        <v>317</v>
      </c>
      <c r="S4298" s="2">
        <v>111.60599999999999</v>
      </c>
      <c r="T4298" s="2">
        <v>305</v>
      </c>
      <c r="U4298" s="2">
        <v>0.32672499999999999</v>
      </c>
      <c r="V4298" s="2">
        <v>248</v>
      </c>
      <c r="W4298" s="2">
        <v>2014</v>
      </c>
    </row>
    <row r="4299" spans="1:23" ht="12.3" hidden="1" x14ac:dyDescent="0.4">
      <c r="A4299" s="2" t="s">
        <v>150</v>
      </c>
      <c r="B4299" s="2"/>
      <c r="C4299" s="2"/>
      <c r="D4299" s="2"/>
      <c r="E4299" s="2"/>
      <c r="F4299" s="2"/>
      <c r="G4299" s="2"/>
      <c r="H4299" s="2"/>
      <c r="I4299" s="2">
        <v>63.1053</v>
      </c>
      <c r="J4299" s="2">
        <v>322</v>
      </c>
      <c r="K4299" s="2">
        <v>64.055800000000005</v>
      </c>
      <c r="L4299" s="2">
        <v>286</v>
      </c>
      <c r="M4299" s="2">
        <v>101.7084</v>
      </c>
      <c r="N4299" s="2">
        <v>235</v>
      </c>
      <c r="O4299" s="2">
        <v>101.90170000000001</v>
      </c>
      <c r="P4299" s="2">
        <v>224</v>
      </c>
      <c r="Q4299" s="2">
        <v>107.4671</v>
      </c>
      <c r="R4299" s="2">
        <v>242</v>
      </c>
      <c r="S4299" s="2">
        <v>108.51819999999999</v>
      </c>
      <c r="T4299" s="2">
        <v>244</v>
      </c>
      <c r="U4299" s="2">
        <v>0.32663399999999998</v>
      </c>
      <c r="V4299" s="2">
        <v>249</v>
      </c>
      <c r="W4299" s="2">
        <v>2014</v>
      </c>
    </row>
    <row r="4300" spans="1:23" ht="12.3" hidden="1" x14ac:dyDescent="0.4">
      <c r="A4300" s="2" t="s">
        <v>382</v>
      </c>
      <c r="B4300" s="2"/>
      <c r="C4300" s="2"/>
      <c r="D4300" s="2"/>
      <c r="E4300" s="2"/>
      <c r="F4300" s="2"/>
      <c r="G4300" s="2"/>
      <c r="H4300" s="2"/>
      <c r="I4300" s="2">
        <v>70.555999999999997</v>
      </c>
      <c r="J4300" s="2">
        <v>28</v>
      </c>
      <c r="K4300" s="2">
        <v>69.5762</v>
      </c>
      <c r="L4300" s="2">
        <v>43</v>
      </c>
      <c r="M4300" s="2">
        <v>108.166</v>
      </c>
      <c r="N4300" s="2">
        <v>89</v>
      </c>
      <c r="O4300" s="2">
        <v>102.66849999999999</v>
      </c>
      <c r="P4300" s="2">
        <v>207</v>
      </c>
      <c r="Q4300" s="2">
        <v>104.7666</v>
      </c>
      <c r="R4300" s="2">
        <v>170</v>
      </c>
      <c r="S4300" s="2">
        <v>109.4413</v>
      </c>
      <c r="T4300" s="2">
        <v>266</v>
      </c>
      <c r="U4300" s="2">
        <v>0.32417400000000002</v>
      </c>
      <c r="V4300" s="2">
        <v>250</v>
      </c>
      <c r="W4300" s="2">
        <v>2014</v>
      </c>
    </row>
    <row r="4301" spans="1:23" ht="12.3" hidden="1" x14ac:dyDescent="0.4">
      <c r="A4301" s="2" t="s">
        <v>211</v>
      </c>
      <c r="B4301" s="2"/>
      <c r="C4301" s="2"/>
      <c r="D4301" s="2"/>
      <c r="E4301" s="2"/>
      <c r="F4301" s="2"/>
      <c r="G4301" s="2"/>
      <c r="H4301" s="2"/>
      <c r="I4301" s="2">
        <v>66.975399999999993</v>
      </c>
      <c r="J4301" s="2">
        <v>148</v>
      </c>
      <c r="K4301" s="2">
        <v>66.677700000000002</v>
      </c>
      <c r="L4301" s="2">
        <v>159</v>
      </c>
      <c r="M4301" s="2">
        <v>103.02079999999999</v>
      </c>
      <c r="N4301" s="2">
        <v>209</v>
      </c>
      <c r="O4301" s="2">
        <v>99.041600000000003</v>
      </c>
      <c r="P4301" s="2">
        <v>269</v>
      </c>
      <c r="Q4301" s="2">
        <v>103.2512</v>
      </c>
      <c r="R4301" s="2">
        <v>128</v>
      </c>
      <c r="S4301" s="2">
        <v>105.6219</v>
      </c>
      <c r="T4301" s="2">
        <v>191</v>
      </c>
      <c r="U4301" s="2">
        <v>0.32305899999999999</v>
      </c>
      <c r="V4301" s="2">
        <v>251</v>
      </c>
      <c r="W4301" s="2">
        <v>2014</v>
      </c>
    </row>
    <row r="4302" spans="1:23" ht="12.3" hidden="1" x14ac:dyDescent="0.4">
      <c r="A4302" s="2" t="s">
        <v>294</v>
      </c>
      <c r="B4302" s="2"/>
      <c r="C4302" s="2"/>
      <c r="D4302" s="2"/>
      <c r="E4302" s="2"/>
      <c r="F4302" s="2"/>
      <c r="G4302" s="2"/>
      <c r="H4302" s="2"/>
      <c r="I4302" s="2">
        <v>64.161900000000003</v>
      </c>
      <c r="J4302" s="2">
        <v>284</v>
      </c>
      <c r="K4302" s="2">
        <v>64.487499999999997</v>
      </c>
      <c r="L4302" s="2">
        <v>269</v>
      </c>
      <c r="M4302" s="2">
        <v>106.89660000000001</v>
      </c>
      <c r="N4302" s="2">
        <v>124</v>
      </c>
      <c r="O4302" s="2">
        <v>103.73650000000001</v>
      </c>
      <c r="P4302" s="2">
        <v>190</v>
      </c>
      <c r="Q4302" s="2">
        <v>109.55</v>
      </c>
      <c r="R4302" s="2">
        <v>281</v>
      </c>
      <c r="S4302" s="2">
        <v>110.71250000000001</v>
      </c>
      <c r="T4302" s="2">
        <v>289</v>
      </c>
      <c r="U4302" s="2">
        <v>0.32115899999999997</v>
      </c>
      <c r="V4302" s="2">
        <v>252</v>
      </c>
      <c r="W4302" s="2">
        <v>2014</v>
      </c>
    </row>
    <row r="4303" spans="1:23" ht="12.3" hidden="1" x14ac:dyDescent="0.4">
      <c r="A4303" s="2" t="s">
        <v>326</v>
      </c>
      <c r="B4303" s="2"/>
      <c r="C4303" s="2"/>
      <c r="D4303" s="2"/>
      <c r="E4303" s="2"/>
      <c r="F4303" s="2"/>
      <c r="G4303" s="2"/>
      <c r="H4303" s="2"/>
      <c r="I4303" s="2">
        <v>65.566900000000004</v>
      </c>
      <c r="J4303" s="2">
        <v>221</v>
      </c>
      <c r="K4303" s="2">
        <v>66.209299999999999</v>
      </c>
      <c r="L4303" s="2">
        <v>184</v>
      </c>
      <c r="M4303" s="2">
        <v>99.540800000000004</v>
      </c>
      <c r="N4303" s="2">
        <v>272</v>
      </c>
      <c r="O4303" s="2">
        <v>97.477500000000006</v>
      </c>
      <c r="P4303" s="2">
        <v>294</v>
      </c>
      <c r="Q4303" s="2">
        <v>103.7816</v>
      </c>
      <c r="R4303" s="2">
        <v>144</v>
      </c>
      <c r="S4303" s="2">
        <v>104.0629</v>
      </c>
      <c r="T4303" s="2">
        <v>155</v>
      </c>
      <c r="U4303" s="2">
        <v>0.32043100000000002</v>
      </c>
      <c r="V4303" s="2">
        <v>253</v>
      </c>
      <c r="W4303" s="2">
        <v>2014</v>
      </c>
    </row>
    <row r="4304" spans="1:23" ht="12.3" hidden="1" x14ac:dyDescent="0.4">
      <c r="A4304" s="2" t="s">
        <v>311</v>
      </c>
      <c r="B4304" s="2"/>
      <c r="C4304" s="2"/>
      <c r="D4304" s="2"/>
      <c r="E4304" s="2"/>
      <c r="F4304" s="2"/>
      <c r="G4304" s="2"/>
      <c r="H4304" s="2"/>
      <c r="I4304" s="2">
        <v>66.756399999999999</v>
      </c>
      <c r="J4304" s="2">
        <v>161</v>
      </c>
      <c r="K4304" s="2">
        <v>67.210999999999999</v>
      </c>
      <c r="L4304" s="2">
        <v>127</v>
      </c>
      <c r="M4304" s="2">
        <v>100.4872</v>
      </c>
      <c r="N4304" s="2">
        <v>258</v>
      </c>
      <c r="O4304" s="2">
        <v>100.3913</v>
      </c>
      <c r="P4304" s="2">
        <v>249</v>
      </c>
      <c r="Q4304" s="2">
        <v>106.4252</v>
      </c>
      <c r="R4304" s="2">
        <v>217</v>
      </c>
      <c r="S4304" s="2">
        <v>107.20529999999999</v>
      </c>
      <c r="T4304" s="2">
        <v>222</v>
      </c>
      <c r="U4304" s="2">
        <v>0.31968800000000003</v>
      </c>
      <c r="V4304" s="2">
        <v>254</v>
      </c>
      <c r="W4304" s="2">
        <v>2014</v>
      </c>
    </row>
    <row r="4305" spans="1:23" ht="12.3" hidden="1" x14ac:dyDescent="0.4">
      <c r="A4305" s="2" t="s">
        <v>197</v>
      </c>
      <c r="B4305" s="2"/>
      <c r="C4305" s="2"/>
      <c r="D4305" s="2"/>
      <c r="E4305" s="2"/>
      <c r="F4305" s="2"/>
      <c r="G4305" s="2"/>
      <c r="H4305" s="2"/>
      <c r="I4305" s="2">
        <v>68.906499999999994</v>
      </c>
      <c r="J4305" s="2">
        <v>70</v>
      </c>
      <c r="K4305" s="2">
        <v>68.161000000000001</v>
      </c>
      <c r="L4305" s="2">
        <v>85</v>
      </c>
      <c r="M4305" s="2">
        <v>99.348200000000006</v>
      </c>
      <c r="N4305" s="2">
        <v>277</v>
      </c>
      <c r="O4305" s="2">
        <v>98.570999999999998</v>
      </c>
      <c r="P4305" s="2">
        <v>277</v>
      </c>
      <c r="Q4305" s="2">
        <v>103.6293</v>
      </c>
      <c r="R4305" s="2">
        <v>142</v>
      </c>
      <c r="S4305" s="2">
        <v>105.2679</v>
      </c>
      <c r="T4305" s="2">
        <v>179</v>
      </c>
      <c r="U4305" s="2">
        <v>0.31953500000000001</v>
      </c>
      <c r="V4305" s="2">
        <v>255</v>
      </c>
      <c r="W4305" s="2">
        <v>2014</v>
      </c>
    </row>
    <row r="4306" spans="1:23" ht="12.3" hidden="1" x14ac:dyDescent="0.4">
      <c r="A4306" s="2" t="s">
        <v>254</v>
      </c>
      <c r="B4306" s="2"/>
      <c r="C4306" s="2"/>
      <c r="D4306" s="2"/>
      <c r="E4306" s="2"/>
      <c r="F4306" s="2"/>
      <c r="G4306" s="2"/>
      <c r="H4306" s="2"/>
      <c r="I4306" s="2">
        <v>63.589399999999998</v>
      </c>
      <c r="J4306" s="2">
        <v>309</v>
      </c>
      <c r="K4306" s="2">
        <v>63.671799999999998</v>
      </c>
      <c r="L4306" s="2">
        <v>300</v>
      </c>
      <c r="M4306" s="2">
        <v>104.0624</v>
      </c>
      <c r="N4306" s="2">
        <v>187</v>
      </c>
      <c r="O4306" s="2">
        <v>100.24079999999999</v>
      </c>
      <c r="P4306" s="2">
        <v>254</v>
      </c>
      <c r="Q4306" s="2">
        <v>107.16379999999999</v>
      </c>
      <c r="R4306" s="2">
        <v>235</v>
      </c>
      <c r="S4306" s="2">
        <v>107.0762</v>
      </c>
      <c r="T4306" s="2">
        <v>218</v>
      </c>
      <c r="U4306" s="2">
        <v>0.31895099999999998</v>
      </c>
      <c r="V4306" s="2">
        <v>256</v>
      </c>
      <c r="W4306" s="2">
        <v>2014</v>
      </c>
    </row>
    <row r="4307" spans="1:23" ht="12.3" hidden="1" x14ac:dyDescent="0.4">
      <c r="A4307" s="2" t="s">
        <v>377</v>
      </c>
      <c r="B4307" s="2"/>
      <c r="C4307" s="2"/>
      <c r="D4307" s="2"/>
      <c r="E4307" s="2"/>
      <c r="F4307" s="2"/>
      <c r="G4307" s="2"/>
      <c r="H4307" s="2"/>
      <c r="I4307" s="2">
        <v>66.294499999999999</v>
      </c>
      <c r="J4307" s="2">
        <v>187</v>
      </c>
      <c r="K4307" s="2">
        <v>67.141599999999997</v>
      </c>
      <c r="L4307" s="2">
        <v>133</v>
      </c>
      <c r="M4307" s="2">
        <v>100.5172</v>
      </c>
      <c r="N4307" s="2">
        <v>256</v>
      </c>
      <c r="O4307" s="2">
        <v>101.5829</v>
      </c>
      <c r="P4307" s="2">
        <v>229</v>
      </c>
      <c r="Q4307" s="2">
        <v>109.5842</v>
      </c>
      <c r="R4307" s="2">
        <v>283</v>
      </c>
      <c r="S4307" s="2">
        <v>108.5548</v>
      </c>
      <c r="T4307" s="2">
        <v>246</v>
      </c>
      <c r="U4307" s="2">
        <v>0.31791399999999997</v>
      </c>
      <c r="V4307" s="2">
        <v>257</v>
      </c>
      <c r="W4307" s="2">
        <v>2014</v>
      </c>
    </row>
    <row r="4308" spans="1:23" ht="12.3" hidden="1" x14ac:dyDescent="0.4">
      <c r="A4308" s="2" t="s">
        <v>320</v>
      </c>
      <c r="B4308" s="2"/>
      <c r="C4308" s="2"/>
      <c r="D4308" s="2"/>
      <c r="E4308" s="2"/>
      <c r="F4308" s="2"/>
      <c r="G4308" s="2"/>
      <c r="H4308" s="2"/>
      <c r="I4308" s="2">
        <v>64.798900000000003</v>
      </c>
      <c r="J4308" s="2">
        <v>256</v>
      </c>
      <c r="K4308" s="2">
        <v>64.170100000000005</v>
      </c>
      <c r="L4308" s="2">
        <v>280</v>
      </c>
      <c r="M4308" s="2">
        <v>105.0778</v>
      </c>
      <c r="N4308" s="2">
        <v>168</v>
      </c>
      <c r="O4308" s="2">
        <v>102.0802</v>
      </c>
      <c r="P4308" s="2">
        <v>219</v>
      </c>
      <c r="Q4308" s="2">
        <v>106.0329</v>
      </c>
      <c r="R4308" s="2">
        <v>206</v>
      </c>
      <c r="S4308" s="2">
        <v>109.55929999999999</v>
      </c>
      <c r="T4308" s="2">
        <v>268</v>
      </c>
      <c r="U4308" s="2">
        <v>0.307224</v>
      </c>
      <c r="V4308" s="2">
        <v>258</v>
      </c>
      <c r="W4308" s="2">
        <v>2014</v>
      </c>
    </row>
    <row r="4309" spans="1:23" ht="12.3" hidden="1" x14ac:dyDescent="0.4">
      <c r="A4309" s="2" t="s">
        <v>223</v>
      </c>
      <c r="B4309" s="2"/>
      <c r="C4309" s="2"/>
      <c r="D4309" s="2"/>
      <c r="E4309" s="2"/>
      <c r="F4309" s="2"/>
      <c r="G4309" s="2"/>
      <c r="H4309" s="2"/>
      <c r="I4309" s="2">
        <v>68.472700000000003</v>
      </c>
      <c r="J4309" s="2">
        <v>83</v>
      </c>
      <c r="K4309" s="2">
        <v>67.900700000000001</v>
      </c>
      <c r="L4309" s="2">
        <v>100</v>
      </c>
      <c r="M4309" s="2">
        <v>110.423</v>
      </c>
      <c r="N4309" s="2">
        <v>56</v>
      </c>
      <c r="O4309" s="2">
        <v>105.78100000000001</v>
      </c>
      <c r="P4309" s="2">
        <v>144</v>
      </c>
      <c r="Q4309" s="2">
        <v>108.8527</v>
      </c>
      <c r="R4309" s="2">
        <v>271</v>
      </c>
      <c r="S4309" s="2">
        <v>113.7179</v>
      </c>
      <c r="T4309" s="2">
        <v>329</v>
      </c>
      <c r="U4309" s="2">
        <v>0.30321700000000001</v>
      </c>
      <c r="V4309" s="2">
        <v>259</v>
      </c>
      <c r="W4309" s="2">
        <v>2014</v>
      </c>
    </row>
    <row r="4310" spans="1:23" ht="12.3" hidden="1" x14ac:dyDescent="0.4">
      <c r="A4310" s="2" t="s">
        <v>204</v>
      </c>
      <c r="B4310" s="2"/>
      <c r="C4310" s="2"/>
      <c r="D4310" s="2"/>
      <c r="E4310" s="2"/>
      <c r="F4310" s="2"/>
      <c r="G4310" s="2"/>
      <c r="H4310" s="2"/>
      <c r="I4310" s="2">
        <v>65.204700000000003</v>
      </c>
      <c r="J4310" s="2">
        <v>239</v>
      </c>
      <c r="K4310" s="2">
        <v>65.355400000000003</v>
      </c>
      <c r="L4310" s="2">
        <v>229</v>
      </c>
      <c r="M4310" s="2">
        <v>98.245900000000006</v>
      </c>
      <c r="N4310" s="2">
        <v>286</v>
      </c>
      <c r="O4310" s="2">
        <v>98.094899999999996</v>
      </c>
      <c r="P4310" s="2">
        <v>285</v>
      </c>
      <c r="Q4310" s="2">
        <v>107.21339999999999</v>
      </c>
      <c r="R4310" s="2">
        <v>238</v>
      </c>
      <c r="S4310" s="2">
        <v>105.6057</v>
      </c>
      <c r="T4310" s="2">
        <v>190</v>
      </c>
      <c r="U4310" s="2">
        <v>0.29976000000000003</v>
      </c>
      <c r="V4310" s="2">
        <v>260</v>
      </c>
      <c r="W4310" s="2">
        <v>2014</v>
      </c>
    </row>
    <row r="4311" spans="1:23" ht="12.3" hidden="1" x14ac:dyDescent="0.4">
      <c r="A4311" s="2" t="s">
        <v>337</v>
      </c>
      <c r="B4311" s="2"/>
      <c r="C4311" s="2"/>
      <c r="D4311" s="2"/>
      <c r="E4311" s="2"/>
      <c r="F4311" s="2"/>
      <c r="G4311" s="2"/>
      <c r="H4311" s="2"/>
      <c r="I4311" s="2">
        <v>71.008799999999994</v>
      </c>
      <c r="J4311" s="2">
        <v>20</v>
      </c>
      <c r="K4311" s="2">
        <v>70.090699999999998</v>
      </c>
      <c r="L4311" s="2">
        <v>30</v>
      </c>
      <c r="M4311" s="2">
        <v>105.2469</v>
      </c>
      <c r="N4311" s="2">
        <v>164</v>
      </c>
      <c r="O4311" s="2">
        <v>103.1782</v>
      </c>
      <c r="P4311" s="2">
        <v>198</v>
      </c>
      <c r="Q4311" s="2">
        <v>109.85469999999999</v>
      </c>
      <c r="R4311" s="2">
        <v>288</v>
      </c>
      <c r="S4311" s="2">
        <v>111.15300000000001</v>
      </c>
      <c r="T4311" s="2">
        <v>295</v>
      </c>
      <c r="U4311" s="2">
        <v>0.29813899999999999</v>
      </c>
      <c r="V4311" s="2">
        <v>261</v>
      </c>
      <c r="W4311" s="2">
        <v>2014</v>
      </c>
    </row>
    <row r="4312" spans="1:23" ht="12.3" hidden="1" x14ac:dyDescent="0.4">
      <c r="A4312" s="2" t="s">
        <v>269</v>
      </c>
      <c r="B4312" s="2"/>
      <c r="C4312" s="2"/>
      <c r="D4312" s="2"/>
      <c r="E4312" s="2"/>
      <c r="F4312" s="2"/>
      <c r="G4312" s="2"/>
      <c r="H4312" s="2"/>
      <c r="I4312" s="2">
        <v>65.499200000000002</v>
      </c>
      <c r="J4312" s="2">
        <v>225</v>
      </c>
      <c r="K4312" s="2">
        <v>66.375900000000001</v>
      </c>
      <c r="L4312" s="2">
        <v>176</v>
      </c>
      <c r="M4312" s="2">
        <v>107.1562</v>
      </c>
      <c r="N4312" s="2">
        <v>112</v>
      </c>
      <c r="O4312" s="2">
        <v>102.46250000000001</v>
      </c>
      <c r="P4312" s="2">
        <v>212</v>
      </c>
      <c r="Q4312" s="2">
        <v>108.90649999999999</v>
      </c>
      <c r="R4312" s="2">
        <v>273</v>
      </c>
      <c r="S4312" s="2">
        <v>110.4248</v>
      </c>
      <c r="T4312" s="2">
        <v>282</v>
      </c>
      <c r="U4312" s="2">
        <v>0.297205</v>
      </c>
      <c r="V4312" s="2">
        <v>262</v>
      </c>
      <c r="W4312" s="2">
        <v>2014</v>
      </c>
    </row>
    <row r="4313" spans="1:23" ht="12.3" hidden="1" x14ac:dyDescent="0.4">
      <c r="A4313" s="2" t="s">
        <v>363</v>
      </c>
      <c r="B4313" s="2"/>
      <c r="C4313" s="2"/>
      <c r="D4313" s="2"/>
      <c r="E4313" s="2"/>
      <c r="F4313" s="2"/>
      <c r="G4313" s="2"/>
      <c r="H4313" s="2"/>
      <c r="I4313" s="2">
        <v>68.648200000000003</v>
      </c>
      <c r="J4313" s="2">
        <v>76</v>
      </c>
      <c r="K4313" s="2">
        <v>68.671300000000002</v>
      </c>
      <c r="L4313" s="2">
        <v>67</v>
      </c>
      <c r="M4313" s="2">
        <v>102.4777</v>
      </c>
      <c r="N4313" s="2">
        <v>219</v>
      </c>
      <c r="O4313" s="2">
        <v>102.5689</v>
      </c>
      <c r="P4313" s="2">
        <v>210</v>
      </c>
      <c r="Q4313" s="2">
        <v>108.50060000000001</v>
      </c>
      <c r="R4313" s="2">
        <v>263</v>
      </c>
      <c r="S4313" s="2">
        <v>110.5596</v>
      </c>
      <c r="T4313" s="2">
        <v>283</v>
      </c>
      <c r="U4313" s="2">
        <v>0.29676799999999998</v>
      </c>
      <c r="V4313" s="2">
        <v>263</v>
      </c>
      <c r="W4313" s="2">
        <v>2014</v>
      </c>
    </row>
    <row r="4314" spans="1:23" ht="12.3" hidden="1" x14ac:dyDescent="0.4">
      <c r="A4314" s="2" t="s">
        <v>287</v>
      </c>
      <c r="B4314" s="2"/>
      <c r="C4314" s="2"/>
      <c r="D4314" s="2"/>
      <c r="E4314" s="2"/>
      <c r="F4314" s="2"/>
      <c r="G4314" s="2"/>
      <c r="H4314" s="2"/>
      <c r="I4314" s="2">
        <v>66.439599999999999</v>
      </c>
      <c r="J4314" s="2">
        <v>179</v>
      </c>
      <c r="K4314" s="2">
        <v>66.3095</v>
      </c>
      <c r="L4314" s="2">
        <v>180</v>
      </c>
      <c r="M4314" s="2">
        <v>99.540499999999994</v>
      </c>
      <c r="N4314" s="2">
        <v>273</v>
      </c>
      <c r="O4314" s="2">
        <v>99.867699999999999</v>
      </c>
      <c r="P4314" s="2">
        <v>260</v>
      </c>
      <c r="Q4314" s="2">
        <v>107.06180000000001</v>
      </c>
      <c r="R4314" s="2">
        <v>233</v>
      </c>
      <c r="S4314" s="2">
        <v>107.6936</v>
      </c>
      <c r="T4314" s="2">
        <v>230</v>
      </c>
      <c r="U4314" s="2">
        <v>0.29575400000000002</v>
      </c>
      <c r="V4314" s="2">
        <v>264</v>
      </c>
      <c r="W4314" s="2">
        <v>2014</v>
      </c>
    </row>
    <row r="4315" spans="1:23" ht="12.3" hidden="1" x14ac:dyDescent="0.4">
      <c r="A4315" s="2" t="s">
        <v>302</v>
      </c>
      <c r="B4315" s="2"/>
      <c r="C4315" s="2"/>
      <c r="D4315" s="2"/>
      <c r="E4315" s="2"/>
      <c r="F4315" s="2"/>
      <c r="G4315" s="2"/>
      <c r="H4315" s="2"/>
      <c r="I4315" s="2">
        <v>63.784500000000001</v>
      </c>
      <c r="J4315" s="2">
        <v>298</v>
      </c>
      <c r="K4315" s="2">
        <v>64.401499999999999</v>
      </c>
      <c r="L4315" s="2">
        <v>271</v>
      </c>
      <c r="M4315" s="2">
        <v>106.2685</v>
      </c>
      <c r="N4315" s="2">
        <v>141</v>
      </c>
      <c r="O4315" s="2">
        <v>103.6662</v>
      </c>
      <c r="P4315" s="2">
        <v>193</v>
      </c>
      <c r="Q4315" s="2">
        <v>110.0612</v>
      </c>
      <c r="R4315" s="2">
        <v>296</v>
      </c>
      <c r="S4315" s="2">
        <v>111.95869999999999</v>
      </c>
      <c r="T4315" s="2">
        <v>314</v>
      </c>
      <c r="U4315" s="2">
        <v>0.29214899999999999</v>
      </c>
      <c r="V4315" s="2">
        <v>265</v>
      </c>
      <c r="W4315" s="2">
        <v>2014</v>
      </c>
    </row>
    <row r="4316" spans="1:23" ht="12.3" hidden="1" x14ac:dyDescent="0.4">
      <c r="A4316" s="2" t="s">
        <v>144</v>
      </c>
      <c r="B4316" s="2"/>
      <c r="C4316" s="2"/>
      <c r="D4316" s="2"/>
      <c r="E4316" s="2"/>
      <c r="F4316" s="2"/>
      <c r="G4316" s="2"/>
      <c r="H4316" s="2"/>
      <c r="I4316" s="2">
        <v>66.323300000000003</v>
      </c>
      <c r="J4316" s="2">
        <v>183</v>
      </c>
      <c r="K4316" s="2">
        <v>66.355099999999993</v>
      </c>
      <c r="L4316" s="2">
        <v>178</v>
      </c>
      <c r="M4316" s="2">
        <v>98.402600000000007</v>
      </c>
      <c r="N4316" s="2">
        <v>285</v>
      </c>
      <c r="O4316" s="2">
        <v>100.3099</v>
      </c>
      <c r="P4316" s="2">
        <v>251</v>
      </c>
      <c r="Q4316" s="2">
        <v>110.1384</v>
      </c>
      <c r="R4316" s="2">
        <v>298</v>
      </c>
      <c r="S4316" s="2">
        <v>108.363</v>
      </c>
      <c r="T4316" s="2">
        <v>242</v>
      </c>
      <c r="U4316" s="2">
        <v>0.29150999999999999</v>
      </c>
      <c r="V4316" s="2">
        <v>266</v>
      </c>
      <c r="W4316" s="2">
        <v>2014</v>
      </c>
    </row>
    <row r="4317" spans="1:23" ht="12.3" hidden="1" x14ac:dyDescent="0.4">
      <c r="A4317" s="2" t="s">
        <v>200</v>
      </c>
      <c r="B4317" s="2"/>
      <c r="C4317" s="2"/>
      <c r="D4317" s="2"/>
      <c r="E4317" s="2"/>
      <c r="F4317" s="2"/>
      <c r="G4317" s="2"/>
      <c r="H4317" s="2"/>
      <c r="I4317" s="2">
        <v>64.759699999999995</v>
      </c>
      <c r="J4317" s="2">
        <v>262</v>
      </c>
      <c r="K4317" s="2">
        <v>65.387900000000002</v>
      </c>
      <c r="L4317" s="2">
        <v>227</v>
      </c>
      <c r="M4317" s="2">
        <v>97.261099999999999</v>
      </c>
      <c r="N4317" s="2">
        <v>300</v>
      </c>
      <c r="O4317" s="2">
        <v>98.097999999999999</v>
      </c>
      <c r="P4317" s="2">
        <v>284</v>
      </c>
      <c r="Q4317" s="2">
        <v>105.9191</v>
      </c>
      <c r="R4317" s="2">
        <v>203</v>
      </c>
      <c r="S4317" s="2">
        <v>106.0896</v>
      </c>
      <c r="T4317" s="2">
        <v>201</v>
      </c>
      <c r="U4317" s="2">
        <v>0.28891699999999998</v>
      </c>
      <c r="V4317" s="2">
        <v>267</v>
      </c>
      <c r="W4317" s="2">
        <v>2014</v>
      </c>
    </row>
    <row r="4318" spans="1:23" ht="12.3" hidden="1" x14ac:dyDescent="0.4">
      <c r="A4318" s="2" t="s">
        <v>114</v>
      </c>
      <c r="B4318" s="2"/>
      <c r="C4318" s="2"/>
      <c r="D4318" s="2"/>
      <c r="E4318" s="2"/>
      <c r="F4318" s="2"/>
      <c r="G4318" s="2"/>
      <c r="H4318" s="2"/>
      <c r="I4318" s="2">
        <v>68.394800000000004</v>
      </c>
      <c r="J4318" s="2">
        <v>93</v>
      </c>
      <c r="K4318" s="2">
        <v>68.163700000000006</v>
      </c>
      <c r="L4318" s="2">
        <v>84</v>
      </c>
      <c r="M4318" s="2">
        <v>102.5074</v>
      </c>
      <c r="N4318" s="2">
        <v>217</v>
      </c>
      <c r="O4318" s="2">
        <v>100.0065</v>
      </c>
      <c r="P4318" s="2">
        <v>258</v>
      </c>
      <c r="Q4318" s="2">
        <v>107.6751</v>
      </c>
      <c r="R4318" s="2">
        <v>247</v>
      </c>
      <c r="S4318" s="2">
        <v>108.2186</v>
      </c>
      <c r="T4318" s="2">
        <v>238</v>
      </c>
      <c r="U4318" s="2">
        <v>0.28749999999999998</v>
      </c>
      <c r="V4318" s="2">
        <v>268</v>
      </c>
      <c r="W4318" s="2">
        <v>2014</v>
      </c>
    </row>
    <row r="4319" spans="1:23" ht="12.3" hidden="1" x14ac:dyDescent="0.4">
      <c r="A4319" s="2" t="s">
        <v>77</v>
      </c>
      <c r="B4319" s="2"/>
      <c r="C4319" s="2"/>
      <c r="D4319" s="2"/>
      <c r="E4319" s="2"/>
      <c r="F4319" s="2"/>
      <c r="G4319" s="2"/>
      <c r="H4319" s="2"/>
      <c r="I4319" s="2">
        <v>70.040999999999997</v>
      </c>
      <c r="J4319" s="2">
        <v>41</v>
      </c>
      <c r="K4319" s="2">
        <v>69.606999999999999</v>
      </c>
      <c r="L4319" s="2">
        <v>42</v>
      </c>
      <c r="M4319" s="2">
        <v>97.086699999999993</v>
      </c>
      <c r="N4319" s="2">
        <v>304</v>
      </c>
      <c r="O4319" s="2">
        <v>98.3506</v>
      </c>
      <c r="P4319" s="2">
        <v>278</v>
      </c>
      <c r="Q4319" s="2">
        <v>106.6044</v>
      </c>
      <c r="R4319" s="2">
        <v>222</v>
      </c>
      <c r="S4319" s="2">
        <v>106.4418</v>
      </c>
      <c r="T4319" s="2">
        <v>208</v>
      </c>
      <c r="U4319" s="2">
        <v>0.287165</v>
      </c>
      <c r="V4319" s="2">
        <v>269</v>
      </c>
      <c r="W4319" s="2">
        <v>2014</v>
      </c>
    </row>
    <row r="4320" spans="1:23" ht="12.3" hidden="1" x14ac:dyDescent="0.4">
      <c r="A4320" s="2" t="s">
        <v>243</v>
      </c>
      <c r="B4320" s="2"/>
      <c r="C4320" s="2"/>
      <c r="D4320" s="2"/>
      <c r="E4320" s="2"/>
      <c r="F4320" s="2"/>
      <c r="G4320" s="2"/>
      <c r="H4320" s="2"/>
      <c r="I4320" s="2">
        <v>65.350099999999998</v>
      </c>
      <c r="J4320" s="2">
        <v>233</v>
      </c>
      <c r="K4320" s="2">
        <v>65.653700000000001</v>
      </c>
      <c r="L4320" s="2">
        <v>211</v>
      </c>
      <c r="M4320" s="2">
        <v>104.3415</v>
      </c>
      <c r="N4320" s="2">
        <v>178</v>
      </c>
      <c r="O4320" s="2">
        <v>104.6315</v>
      </c>
      <c r="P4320" s="2">
        <v>174</v>
      </c>
      <c r="Q4320" s="2">
        <v>111.6285</v>
      </c>
      <c r="R4320" s="2">
        <v>322</v>
      </c>
      <c r="S4320" s="2">
        <v>113.25620000000001</v>
      </c>
      <c r="T4320" s="2">
        <v>326</v>
      </c>
      <c r="U4320" s="2">
        <v>0.28681600000000002</v>
      </c>
      <c r="V4320" s="2">
        <v>270</v>
      </c>
      <c r="W4320" s="2">
        <v>2014</v>
      </c>
    </row>
    <row r="4321" spans="1:23" ht="12.3" hidden="1" x14ac:dyDescent="0.4">
      <c r="A4321" s="2" t="s">
        <v>193</v>
      </c>
      <c r="B4321" s="2"/>
      <c r="C4321" s="2"/>
      <c r="D4321" s="2"/>
      <c r="E4321" s="2"/>
      <c r="F4321" s="2"/>
      <c r="G4321" s="2"/>
      <c r="H4321" s="2"/>
      <c r="I4321" s="2">
        <v>64.655100000000004</v>
      </c>
      <c r="J4321" s="2">
        <v>268</v>
      </c>
      <c r="K4321" s="2">
        <v>63.216500000000003</v>
      </c>
      <c r="L4321" s="2">
        <v>314</v>
      </c>
      <c r="M4321" s="2">
        <v>95.926900000000003</v>
      </c>
      <c r="N4321" s="2">
        <v>316</v>
      </c>
      <c r="O4321" s="2">
        <v>96.739800000000002</v>
      </c>
      <c r="P4321" s="2">
        <v>303</v>
      </c>
      <c r="Q4321" s="2">
        <v>104.6781</v>
      </c>
      <c r="R4321" s="2">
        <v>168</v>
      </c>
      <c r="S4321" s="2">
        <v>104.78489999999999</v>
      </c>
      <c r="T4321" s="2">
        <v>171</v>
      </c>
      <c r="U4321" s="2">
        <v>0.28522799999999998</v>
      </c>
      <c r="V4321" s="2">
        <v>271</v>
      </c>
      <c r="W4321" s="2">
        <v>2014</v>
      </c>
    </row>
    <row r="4322" spans="1:23" ht="12.3" hidden="1" x14ac:dyDescent="0.4">
      <c r="A4322" s="2" t="s">
        <v>166</v>
      </c>
      <c r="B4322" s="2"/>
      <c r="C4322" s="2"/>
      <c r="D4322" s="2"/>
      <c r="E4322" s="2"/>
      <c r="F4322" s="2"/>
      <c r="G4322" s="2"/>
      <c r="H4322" s="2"/>
      <c r="I4322" s="2">
        <v>69.349400000000003</v>
      </c>
      <c r="J4322" s="2">
        <v>55</v>
      </c>
      <c r="K4322" s="2">
        <v>68.438199999999995</v>
      </c>
      <c r="L4322" s="2">
        <v>75</v>
      </c>
      <c r="M4322" s="2">
        <v>104.05500000000001</v>
      </c>
      <c r="N4322" s="2">
        <v>188</v>
      </c>
      <c r="O4322" s="2">
        <v>101.0929</v>
      </c>
      <c r="P4322" s="2">
        <v>234</v>
      </c>
      <c r="Q4322" s="2">
        <v>107.35</v>
      </c>
      <c r="R4322" s="2">
        <v>240</v>
      </c>
      <c r="S4322" s="2">
        <v>109.6724</v>
      </c>
      <c r="T4322" s="2">
        <v>270</v>
      </c>
      <c r="U4322" s="2">
        <v>0.281553</v>
      </c>
      <c r="V4322" s="2">
        <v>272</v>
      </c>
      <c r="W4322" s="2">
        <v>2014</v>
      </c>
    </row>
    <row r="4323" spans="1:23" ht="12.3" hidden="1" x14ac:dyDescent="0.4">
      <c r="A4323" s="2" t="s">
        <v>191</v>
      </c>
      <c r="B4323" s="2"/>
      <c r="C4323" s="2"/>
      <c r="D4323" s="2"/>
      <c r="E4323" s="2"/>
      <c r="F4323" s="2"/>
      <c r="G4323" s="2"/>
      <c r="H4323" s="2"/>
      <c r="I4323" s="2">
        <v>71.147400000000005</v>
      </c>
      <c r="J4323" s="2">
        <v>18</v>
      </c>
      <c r="K4323" s="2">
        <v>69.870999999999995</v>
      </c>
      <c r="L4323" s="2">
        <v>37</v>
      </c>
      <c r="M4323" s="2">
        <v>97.513199999999998</v>
      </c>
      <c r="N4323" s="2">
        <v>294</v>
      </c>
      <c r="O4323" s="2">
        <v>99.033699999999996</v>
      </c>
      <c r="P4323" s="2">
        <v>270</v>
      </c>
      <c r="Q4323" s="2">
        <v>107.07080000000001</v>
      </c>
      <c r="R4323" s="2">
        <v>234</v>
      </c>
      <c r="S4323" s="2">
        <v>107.499</v>
      </c>
      <c r="T4323" s="2">
        <v>227</v>
      </c>
      <c r="U4323" s="2">
        <v>0.28024500000000002</v>
      </c>
      <c r="V4323" s="2">
        <v>273</v>
      </c>
      <c r="W4323" s="2">
        <v>2014</v>
      </c>
    </row>
    <row r="4324" spans="1:23" ht="12.3" hidden="1" x14ac:dyDescent="0.4">
      <c r="A4324" s="2" t="s">
        <v>221</v>
      </c>
      <c r="B4324" s="2"/>
      <c r="C4324" s="2"/>
      <c r="D4324" s="2"/>
      <c r="E4324" s="2"/>
      <c r="F4324" s="2"/>
      <c r="G4324" s="2"/>
      <c r="H4324" s="2"/>
      <c r="I4324" s="2">
        <v>66.972999999999999</v>
      </c>
      <c r="J4324" s="2">
        <v>149</v>
      </c>
      <c r="K4324" s="2">
        <v>66.464500000000001</v>
      </c>
      <c r="L4324" s="2">
        <v>169</v>
      </c>
      <c r="M4324" s="2">
        <v>94.333699999999993</v>
      </c>
      <c r="N4324" s="2">
        <v>331</v>
      </c>
      <c r="O4324" s="2">
        <v>96.147400000000005</v>
      </c>
      <c r="P4324" s="2">
        <v>311</v>
      </c>
      <c r="Q4324" s="2">
        <v>104.1267</v>
      </c>
      <c r="R4324" s="2">
        <v>156</v>
      </c>
      <c r="S4324" s="2">
        <v>104.4723</v>
      </c>
      <c r="T4324" s="2">
        <v>166</v>
      </c>
      <c r="U4324" s="2">
        <v>0.27789000000000003</v>
      </c>
      <c r="V4324" s="2">
        <v>274</v>
      </c>
      <c r="W4324" s="2">
        <v>2014</v>
      </c>
    </row>
    <row r="4325" spans="1:23" ht="12.3" hidden="1" x14ac:dyDescent="0.4">
      <c r="A4325" s="2" t="s">
        <v>194</v>
      </c>
      <c r="B4325" s="2"/>
      <c r="C4325" s="2"/>
      <c r="D4325" s="2"/>
      <c r="E4325" s="2"/>
      <c r="F4325" s="2"/>
      <c r="G4325" s="2"/>
      <c r="H4325" s="2"/>
      <c r="I4325" s="2">
        <v>73.805700000000002</v>
      </c>
      <c r="J4325" s="2">
        <v>4</v>
      </c>
      <c r="K4325" s="2">
        <v>72.015799999999999</v>
      </c>
      <c r="L4325" s="2">
        <v>11</v>
      </c>
      <c r="M4325" s="2">
        <v>101.9683</v>
      </c>
      <c r="N4325" s="2">
        <v>231</v>
      </c>
      <c r="O4325" s="2">
        <v>100.8302</v>
      </c>
      <c r="P4325" s="2">
        <v>240</v>
      </c>
      <c r="Q4325" s="2">
        <v>111.18519999999999</v>
      </c>
      <c r="R4325" s="2">
        <v>315</v>
      </c>
      <c r="S4325" s="2">
        <v>109.6335</v>
      </c>
      <c r="T4325" s="2">
        <v>269</v>
      </c>
      <c r="U4325" s="2">
        <v>0.27635500000000002</v>
      </c>
      <c r="V4325" s="2">
        <v>275</v>
      </c>
      <c r="W4325" s="2">
        <v>2014</v>
      </c>
    </row>
    <row r="4326" spans="1:23" ht="12.3" hidden="1" x14ac:dyDescent="0.4">
      <c r="A4326" s="2" t="s">
        <v>251</v>
      </c>
      <c r="B4326" s="2"/>
      <c r="C4326" s="2"/>
      <c r="D4326" s="2"/>
      <c r="E4326" s="2"/>
      <c r="F4326" s="2"/>
      <c r="G4326" s="2"/>
      <c r="H4326" s="2"/>
      <c r="I4326" s="2">
        <v>69.613900000000001</v>
      </c>
      <c r="J4326" s="2">
        <v>49</v>
      </c>
      <c r="K4326" s="2">
        <v>68.12</v>
      </c>
      <c r="L4326" s="2">
        <v>88</v>
      </c>
      <c r="M4326" s="2">
        <v>97.764099999999999</v>
      </c>
      <c r="N4326" s="2">
        <v>292</v>
      </c>
      <c r="O4326" s="2">
        <v>95.737799999999993</v>
      </c>
      <c r="P4326" s="2">
        <v>316</v>
      </c>
      <c r="Q4326" s="2">
        <v>103.9151</v>
      </c>
      <c r="R4326" s="2">
        <v>148</v>
      </c>
      <c r="S4326" s="2">
        <v>104.26220000000001</v>
      </c>
      <c r="T4326" s="2">
        <v>162</v>
      </c>
      <c r="U4326" s="2">
        <v>0.27271400000000001</v>
      </c>
      <c r="V4326" s="2">
        <v>276</v>
      </c>
      <c r="W4326" s="2">
        <v>2014</v>
      </c>
    </row>
    <row r="4327" spans="1:23" ht="12.3" hidden="1" x14ac:dyDescent="0.4">
      <c r="A4327" s="2" t="s">
        <v>284</v>
      </c>
      <c r="B4327" s="2"/>
      <c r="C4327" s="2"/>
      <c r="D4327" s="2"/>
      <c r="E4327" s="2"/>
      <c r="F4327" s="2"/>
      <c r="G4327" s="2"/>
      <c r="H4327" s="2"/>
      <c r="I4327" s="2">
        <v>67.093599999999995</v>
      </c>
      <c r="J4327" s="2">
        <v>145</v>
      </c>
      <c r="K4327" s="2">
        <v>67.607699999999994</v>
      </c>
      <c r="L4327" s="2">
        <v>109</v>
      </c>
      <c r="M4327" s="2">
        <v>97.952200000000005</v>
      </c>
      <c r="N4327" s="2">
        <v>288</v>
      </c>
      <c r="O4327" s="2">
        <v>98.641400000000004</v>
      </c>
      <c r="P4327" s="2">
        <v>275</v>
      </c>
      <c r="Q4327" s="2">
        <v>105.54170000000001</v>
      </c>
      <c r="R4327" s="2">
        <v>189</v>
      </c>
      <c r="S4327" s="2">
        <v>107.6767</v>
      </c>
      <c r="T4327" s="2">
        <v>229</v>
      </c>
      <c r="U4327" s="2">
        <v>0.26739400000000002</v>
      </c>
      <c r="V4327" s="2">
        <v>277</v>
      </c>
      <c r="W4327" s="2">
        <v>2014</v>
      </c>
    </row>
    <row r="4328" spans="1:23" ht="12.3" hidden="1" x14ac:dyDescent="0.4">
      <c r="A4328" s="2" t="s">
        <v>352</v>
      </c>
      <c r="B4328" s="2"/>
      <c r="C4328" s="2"/>
      <c r="D4328" s="2"/>
      <c r="E4328" s="2"/>
      <c r="F4328" s="2"/>
      <c r="G4328" s="2"/>
      <c r="H4328" s="2"/>
      <c r="I4328" s="2">
        <v>64.566299999999998</v>
      </c>
      <c r="J4328" s="2">
        <v>271</v>
      </c>
      <c r="K4328" s="2">
        <v>64.715599999999995</v>
      </c>
      <c r="L4328" s="2">
        <v>260</v>
      </c>
      <c r="M4328" s="2">
        <v>92.533299999999997</v>
      </c>
      <c r="N4328" s="2">
        <v>345</v>
      </c>
      <c r="O4328" s="2">
        <v>91.5227</v>
      </c>
      <c r="P4328" s="2">
        <v>347</v>
      </c>
      <c r="Q4328" s="2">
        <v>98.997699999999995</v>
      </c>
      <c r="R4328" s="2">
        <v>61</v>
      </c>
      <c r="S4328" s="2">
        <v>100.0823</v>
      </c>
      <c r="T4328" s="2">
        <v>75</v>
      </c>
      <c r="U4328" s="2">
        <v>0.26343899999999998</v>
      </c>
      <c r="V4328" s="2">
        <v>278</v>
      </c>
      <c r="W4328" s="2">
        <v>2014</v>
      </c>
    </row>
    <row r="4329" spans="1:23" ht="12.3" hidden="1" x14ac:dyDescent="0.4">
      <c r="A4329" s="2" t="s">
        <v>354</v>
      </c>
      <c r="B4329" s="2"/>
      <c r="C4329" s="2"/>
      <c r="D4329" s="2"/>
      <c r="E4329" s="2"/>
      <c r="F4329" s="2"/>
      <c r="G4329" s="2"/>
      <c r="H4329" s="2"/>
      <c r="I4329" s="2">
        <v>63.267099999999999</v>
      </c>
      <c r="J4329" s="2">
        <v>318</v>
      </c>
      <c r="K4329" s="2">
        <v>63.122300000000003</v>
      </c>
      <c r="L4329" s="2">
        <v>320</v>
      </c>
      <c r="M4329" s="2">
        <v>95.281999999999996</v>
      </c>
      <c r="N4329" s="2">
        <v>324</v>
      </c>
      <c r="O4329" s="2">
        <v>94.140500000000003</v>
      </c>
      <c r="P4329" s="2">
        <v>329</v>
      </c>
      <c r="Q4329" s="2">
        <v>104.8516</v>
      </c>
      <c r="R4329" s="2">
        <v>172</v>
      </c>
      <c r="S4329" s="2">
        <v>103.1208</v>
      </c>
      <c r="T4329" s="2">
        <v>139</v>
      </c>
      <c r="U4329" s="2">
        <v>0.25964799999999999</v>
      </c>
      <c r="V4329" s="2">
        <v>279</v>
      </c>
      <c r="W4329" s="2">
        <v>2014</v>
      </c>
    </row>
    <row r="4330" spans="1:23" ht="12.3" hidden="1" x14ac:dyDescent="0.4">
      <c r="A4330" s="2" t="s">
        <v>285</v>
      </c>
      <c r="B4330" s="2"/>
      <c r="C4330" s="2"/>
      <c r="D4330" s="2"/>
      <c r="E4330" s="2"/>
      <c r="F4330" s="2"/>
      <c r="G4330" s="2"/>
      <c r="H4330" s="2"/>
      <c r="I4330" s="2">
        <v>62.125700000000002</v>
      </c>
      <c r="J4330" s="2">
        <v>340</v>
      </c>
      <c r="K4330" s="2">
        <v>62.449599999999997</v>
      </c>
      <c r="L4330" s="2">
        <v>332</v>
      </c>
      <c r="M4330" s="2">
        <v>95.031599999999997</v>
      </c>
      <c r="N4330" s="2">
        <v>329</v>
      </c>
      <c r="O4330" s="2">
        <v>94.1935</v>
      </c>
      <c r="P4330" s="2">
        <v>328</v>
      </c>
      <c r="Q4330" s="2">
        <v>103.1469</v>
      </c>
      <c r="R4330" s="2">
        <v>125</v>
      </c>
      <c r="S4330" s="2">
        <v>103.2908</v>
      </c>
      <c r="T4330" s="2">
        <v>141</v>
      </c>
      <c r="U4330" s="2">
        <v>0.25725700000000001</v>
      </c>
      <c r="V4330" s="2">
        <v>280</v>
      </c>
      <c r="W4330" s="2">
        <v>2014</v>
      </c>
    </row>
    <row r="4331" spans="1:23" ht="12.3" hidden="1" x14ac:dyDescent="0.4">
      <c r="A4331" s="2" t="s">
        <v>83</v>
      </c>
      <c r="B4331" s="2"/>
      <c r="C4331" s="2"/>
      <c r="D4331" s="2"/>
      <c r="E4331" s="2"/>
      <c r="F4331" s="2"/>
      <c r="G4331" s="2"/>
      <c r="H4331" s="2"/>
      <c r="I4331" s="2">
        <v>64.270600000000002</v>
      </c>
      <c r="J4331" s="2">
        <v>281</v>
      </c>
      <c r="K4331" s="2">
        <v>64.044499999999999</v>
      </c>
      <c r="L4331" s="2">
        <v>287</v>
      </c>
      <c r="M4331" s="2">
        <v>95.445999999999998</v>
      </c>
      <c r="N4331" s="2">
        <v>320</v>
      </c>
      <c r="O4331" s="2">
        <v>95.212999999999994</v>
      </c>
      <c r="P4331" s="2">
        <v>319</v>
      </c>
      <c r="Q4331" s="2">
        <v>107.1919</v>
      </c>
      <c r="R4331" s="2">
        <v>236</v>
      </c>
      <c r="S4331" s="2">
        <v>104.41630000000001</v>
      </c>
      <c r="T4331" s="2">
        <v>165</v>
      </c>
      <c r="U4331" s="2">
        <v>0.257102</v>
      </c>
      <c r="V4331" s="2">
        <v>281</v>
      </c>
      <c r="W4331" s="2">
        <v>2014</v>
      </c>
    </row>
    <row r="4332" spans="1:23" ht="12.3" hidden="1" x14ac:dyDescent="0.4">
      <c r="A4332" s="2" t="s">
        <v>344</v>
      </c>
      <c r="B4332" s="2"/>
      <c r="C4332" s="2"/>
      <c r="D4332" s="2"/>
      <c r="E4332" s="2"/>
      <c r="F4332" s="2"/>
      <c r="G4332" s="2"/>
      <c r="H4332" s="2"/>
      <c r="I4332" s="2">
        <v>66.618200000000002</v>
      </c>
      <c r="J4332" s="2">
        <v>164</v>
      </c>
      <c r="K4332" s="2">
        <v>66.875299999999996</v>
      </c>
      <c r="L4332" s="2">
        <v>145</v>
      </c>
      <c r="M4332" s="2">
        <v>102.1524</v>
      </c>
      <c r="N4332" s="2">
        <v>229</v>
      </c>
      <c r="O4332" s="2">
        <v>101.91500000000001</v>
      </c>
      <c r="P4332" s="2">
        <v>223</v>
      </c>
      <c r="Q4332" s="2">
        <v>112.782</v>
      </c>
      <c r="R4332" s="2">
        <v>328</v>
      </c>
      <c r="S4332" s="2">
        <v>111.97</v>
      </c>
      <c r="T4332" s="2">
        <v>315</v>
      </c>
      <c r="U4332" s="2">
        <v>0.25311699999999998</v>
      </c>
      <c r="V4332" s="2">
        <v>282</v>
      </c>
      <c r="W4332" s="2">
        <v>2014</v>
      </c>
    </row>
    <row r="4333" spans="1:23" ht="12.3" hidden="1" x14ac:dyDescent="0.4">
      <c r="A4333" s="2" t="s">
        <v>161</v>
      </c>
      <c r="B4333" s="2"/>
      <c r="C4333" s="2"/>
      <c r="D4333" s="2"/>
      <c r="E4333" s="2"/>
      <c r="F4333" s="2"/>
      <c r="G4333" s="2"/>
      <c r="H4333" s="2"/>
      <c r="I4333" s="2">
        <v>63.621699999999997</v>
      </c>
      <c r="J4333" s="2">
        <v>307</v>
      </c>
      <c r="K4333" s="2">
        <v>63.136499999999998</v>
      </c>
      <c r="L4333" s="2">
        <v>319</v>
      </c>
      <c r="M4333" s="2">
        <v>99.443399999999997</v>
      </c>
      <c r="N4333" s="2">
        <v>275</v>
      </c>
      <c r="O4333" s="2">
        <v>99.761499999999998</v>
      </c>
      <c r="P4333" s="2">
        <v>262</v>
      </c>
      <c r="Q4333" s="2">
        <v>109.9196</v>
      </c>
      <c r="R4333" s="2">
        <v>292</v>
      </c>
      <c r="S4333" s="2">
        <v>110.07550000000001</v>
      </c>
      <c r="T4333" s="2">
        <v>277</v>
      </c>
      <c r="U4333" s="2">
        <v>0.243898</v>
      </c>
      <c r="V4333" s="2">
        <v>283</v>
      </c>
      <c r="W4333" s="2">
        <v>2014</v>
      </c>
    </row>
    <row r="4334" spans="1:23" ht="12.3" hidden="1" x14ac:dyDescent="0.4">
      <c r="A4334" s="2" t="s">
        <v>348</v>
      </c>
      <c r="B4334" s="2"/>
      <c r="C4334" s="2"/>
      <c r="D4334" s="2"/>
      <c r="E4334" s="2"/>
      <c r="F4334" s="2"/>
      <c r="G4334" s="2"/>
      <c r="H4334" s="2"/>
      <c r="I4334" s="2">
        <v>69.176699999999997</v>
      </c>
      <c r="J4334" s="2">
        <v>62</v>
      </c>
      <c r="K4334" s="2">
        <v>69.496700000000004</v>
      </c>
      <c r="L4334" s="2">
        <v>45</v>
      </c>
      <c r="M4334" s="2">
        <v>97.790400000000005</v>
      </c>
      <c r="N4334" s="2">
        <v>291</v>
      </c>
      <c r="O4334" s="2">
        <v>97.337999999999994</v>
      </c>
      <c r="P4334" s="2">
        <v>297</v>
      </c>
      <c r="Q4334" s="2">
        <v>109.4406</v>
      </c>
      <c r="R4334" s="2">
        <v>278</v>
      </c>
      <c r="S4334" s="2">
        <v>107.55710000000001</v>
      </c>
      <c r="T4334" s="2">
        <v>228</v>
      </c>
      <c r="U4334" s="2">
        <v>0.24084</v>
      </c>
      <c r="V4334" s="2">
        <v>284</v>
      </c>
      <c r="W4334" s="2">
        <v>2014</v>
      </c>
    </row>
    <row r="4335" spans="1:23" ht="12.3" hidden="1" x14ac:dyDescent="0.4">
      <c r="A4335" s="2" t="s">
        <v>235</v>
      </c>
      <c r="B4335" s="2"/>
      <c r="C4335" s="2"/>
      <c r="D4335" s="2"/>
      <c r="E4335" s="2"/>
      <c r="F4335" s="2"/>
      <c r="G4335" s="2"/>
      <c r="H4335" s="2"/>
      <c r="I4335" s="2">
        <v>65.132099999999994</v>
      </c>
      <c r="J4335" s="2">
        <v>243</v>
      </c>
      <c r="K4335" s="2">
        <v>65.336699999999993</v>
      </c>
      <c r="L4335" s="2">
        <v>231</v>
      </c>
      <c r="M4335" s="2">
        <v>105.1951</v>
      </c>
      <c r="N4335" s="2">
        <v>165</v>
      </c>
      <c r="O4335" s="2">
        <v>106.2287</v>
      </c>
      <c r="P4335" s="2">
        <v>133</v>
      </c>
      <c r="Q4335" s="2">
        <v>114.58710000000001</v>
      </c>
      <c r="R4335" s="2">
        <v>339</v>
      </c>
      <c r="S4335" s="2">
        <v>118.0123</v>
      </c>
      <c r="T4335" s="2">
        <v>345</v>
      </c>
      <c r="U4335" s="2">
        <v>0.22974700000000001</v>
      </c>
      <c r="V4335" s="2">
        <v>285</v>
      </c>
      <c r="W4335" s="2">
        <v>2014</v>
      </c>
    </row>
    <row r="4336" spans="1:23" ht="12.3" hidden="1" x14ac:dyDescent="0.4">
      <c r="A4336" s="2" t="s">
        <v>268</v>
      </c>
      <c r="B4336" s="2"/>
      <c r="C4336" s="2"/>
      <c r="D4336" s="2"/>
      <c r="E4336" s="2"/>
      <c r="F4336" s="2"/>
      <c r="G4336" s="2"/>
      <c r="H4336" s="2"/>
      <c r="I4336" s="2">
        <v>66.093900000000005</v>
      </c>
      <c r="J4336" s="2">
        <v>196</v>
      </c>
      <c r="K4336" s="2">
        <v>65.084400000000002</v>
      </c>
      <c r="L4336" s="2">
        <v>243</v>
      </c>
      <c r="M4336" s="2">
        <v>101.8272</v>
      </c>
      <c r="N4336" s="2">
        <v>233</v>
      </c>
      <c r="O4336" s="2">
        <v>101.83199999999999</v>
      </c>
      <c r="P4336" s="2">
        <v>226</v>
      </c>
      <c r="Q4336" s="2">
        <v>113.49079999999999</v>
      </c>
      <c r="R4336" s="2">
        <v>335</v>
      </c>
      <c r="S4336" s="2">
        <v>113.24550000000001</v>
      </c>
      <c r="T4336" s="2">
        <v>325</v>
      </c>
      <c r="U4336" s="2">
        <v>0.22763900000000001</v>
      </c>
      <c r="V4336" s="2">
        <v>286</v>
      </c>
      <c r="W4336" s="2">
        <v>2014</v>
      </c>
    </row>
    <row r="4337" spans="1:23" ht="12.3" hidden="1" x14ac:dyDescent="0.4">
      <c r="A4337" s="2" t="s">
        <v>373</v>
      </c>
      <c r="B4337" s="2"/>
      <c r="C4337" s="2"/>
      <c r="D4337" s="2"/>
      <c r="E4337" s="2"/>
      <c r="F4337" s="2"/>
      <c r="G4337" s="2"/>
      <c r="H4337" s="2"/>
      <c r="I4337" s="2">
        <v>68.822100000000006</v>
      </c>
      <c r="J4337" s="2">
        <v>71</v>
      </c>
      <c r="K4337" s="2">
        <v>67.369399999999999</v>
      </c>
      <c r="L4337" s="2">
        <v>117</v>
      </c>
      <c r="M4337" s="2">
        <v>104.0206</v>
      </c>
      <c r="N4337" s="2">
        <v>189</v>
      </c>
      <c r="O4337" s="2">
        <v>100.24979999999999</v>
      </c>
      <c r="P4337" s="2">
        <v>252</v>
      </c>
      <c r="Q4337" s="2">
        <v>111.48950000000001</v>
      </c>
      <c r="R4337" s="2">
        <v>321</v>
      </c>
      <c r="S4337" s="2">
        <v>111.5146</v>
      </c>
      <c r="T4337" s="2">
        <v>301</v>
      </c>
      <c r="U4337" s="2">
        <v>0.22712199999999999</v>
      </c>
      <c r="V4337" s="2">
        <v>287</v>
      </c>
      <c r="W4337" s="2">
        <v>2014</v>
      </c>
    </row>
    <row r="4338" spans="1:23" ht="12.3" hidden="1" x14ac:dyDescent="0.4">
      <c r="A4338" s="2" t="s">
        <v>297</v>
      </c>
      <c r="B4338" s="2"/>
      <c r="C4338" s="2"/>
      <c r="D4338" s="2"/>
      <c r="E4338" s="2"/>
      <c r="F4338" s="2"/>
      <c r="G4338" s="2"/>
      <c r="H4338" s="2"/>
      <c r="I4338" s="2">
        <v>67.476900000000001</v>
      </c>
      <c r="J4338" s="2">
        <v>127</v>
      </c>
      <c r="K4338" s="2">
        <v>67.62</v>
      </c>
      <c r="L4338" s="2">
        <v>108</v>
      </c>
      <c r="M4338" s="2">
        <v>101.6681</v>
      </c>
      <c r="N4338" s="2">
        <v>237</v>
      </c>
      <c r="O4338" s="2">
        <v>98.197500000000005</v>
      </c>
      <c r="P4338" s="2">
        <v>282</v>
      </c>
      <c r="Q4338" s="2">
        <v>102.8058</v>
      </c>
      <c r="R4338" s="2">
        <v>116</v>
      </c>
      <c r="S4338" s="2">
        <v>109.5254</v>
      </c>
      <c r="T4338" s="2">
        <v>267</v>
      </c>
      <c r="U4338" s="2">
        <v>0.221745</v>
      </c>
      <c r="V4338" s="2">
        <v>288</v>
      </c>
      <c r="W4338" s="2">
        <v>2014</v>
      </c>
    </row>
    <row r="4339" spans="1:23" ht="12.3" hidden="1" x14ac:dyDescent="0.4">
      <c r="A4339" s="2" t="s">
        <v>346</v>
      </c>
      <c r="B4339" s="2"/>
      <c r="C4339" s="2"/>
      <c r="D4339" s="2"/>
      <c r="E4339" s="2"/>
      <c r="F4339" s="2"/>
      <c r="G4339" s="2"/>
      <c r="H4339" s="2"/>
      <c r="I4339" s="2">
        <v>65.211600000000004</v>
      </c>
      <c r="J4339" s="2">
        <v>238</v>
      </c>
      <c r="K4339" s="2">
        <v>64.827799999999996</v>
      </c>
      <c r="L4339" s="2">
        <v>257</v>
      </c>
      <c r="M4339" s="2">
        <v>105.8404</v>
      </c>
      <c r="N4339" s="2">
        <v>148</v>
      </c>
      <c r="O4339" s="2">
        <v>100.71550000000001</v>
      </c>
      <c r="P4339" s="2">
        <v>242</v>
      </c>
      <c r="Q4339" s="2">
        <v>109.87130000000001</v>
      </c>
      <c r="R4339" s="2">
        <v>290</v>
      </c>
      <c r="S4339" s="2">
        <v>112.47110000000001</v>
      </c>
      <c r="T4339" s="2">
        <v>318</v>
      </c>
      <c r="U4339" s="2">
        <v>0.219331</v>
      </c>
      <c r="V4339" s="2">
        <v>289</v>
      </c>
      <c r="W4339" s="2">
        <v>2014</v>
      </c>
    </row>
    <row r="4340" spans="1:23" ht="12.3" hidden="1" x14ac:dyDescent="0.4">
      <c r="A4340" s="2" t="s">
        <v>227</v>
      </c>
      <c r="B4340" s="2"/>
      <c r="C4340" s="2"/>
      <c r="D4340" s="2"/>
      <c r="E4340" s="2"/>
      <c r="F4340" s="2"/>
      <c r="G4340" s="2"/>
      <c r="H4340" s="2"/>
      <c r="I4340" s="2">
        <v>71.831599999999995</v>
      </c>
      <c r="J4340" s="2">
        <v>13</v>
      </c>
      <c r="K4340" s="2">
        <v>70.5672</v>
      </c>
      <c r="L4340" s="2">
        <v>24</v>
      </c>
      <c r="M4340" s="2">
        <v>103.81480000000001</v>
      </c>
      <c r="N4340" s="2">
        <v>193</v>
      </c>
      <c r="O4340" s="2">
        <v>99.688500000000005</v>
      </c>
      <c r="P4340" s="2">
        <v>265</v>
      </c>
      <c r="Q4340" s="2">
        <v>110.06659999999999</v>
      </c>
      <c r="R4340" s="2">
        <v>297</v>
      </c>
      <c r="S4340" s="2">
        <v>111.37130000000001</v>
      </c>
      <c r="T4340" s="2">
        <v>300</v>
      </c>
      <c r="U4340" s="2">
        <v>0.218503</v>
      </c>
      <c r="V4340" s="2">
        <v>290</v>
      </c>
      <c r="W4340" s="2">
        <v>2014</v>
      </c>
    </row>
    <row r="4341" spans="1:23" ht="12.3" hidden="1" x14ac:dyDescent="0.4">
      <c r="A4341" s="2" t="s">
        <v>153</v>
      </c>
      <c r="B4341" s="2"/>
      <c r="C4341" s="2"/>
      <c r="D4341" s="2"/>
      <c r="E4341" s="2"/>
      <c r="F4341" s="2"/>
      <c r="G4341" s="2"/>
      <c r="H4341" s="2"/>
      <c r="I4341" s="2">
        <v>66.067899999999995</v>
      </c>
      <c r="J4341" s="2">
        <v>199</v>
      </c>
      <c r="K4341" s="2">
        <v>66.403899999999993</v>
      </c>
      <c r="L4341" s="2">
        <v>173</v>
      </c>
      <c r="M4341" s="2">
        <v>102.2989</v>
      </c>
      <c r="N4341" s="2">
        <v>225</v>
      </c>
      <c r="O4341" s="2">
        <v>97.720399999999998</v>
      </c>
      <c r="P4341" s="2">
        <v>291</v>
      </c>
      <c r="Q4341" s="2">
        <v>106.2734</v>
      </c>
      <c r="R4341" s="2">
        <v>214</v>
      </c>
      <c r="S4341" s="2">
        <v>109.2016</v>
      </c>
      <c r="T4341" s="2">
        <v>259</v>
      </c>
      <c r="U4341" s="2">
        <v>0.21797800000000001</v>
      </c>
      <c r="V4341" s="2">
        <v>291</v>
      </c>
      <c r="W4341" s="2">
        <v>2014</v>
      </c>
    </row>
    <row r="4342" spans="1:23" ht="12.3" hidden="1" x14ac:dyDescent="0.4">
      <c r="A4342" s="2" t="s">
        <v>341</v>
      </c>
      <c r="B4342" s="2"/>
      <c r="C4342" s="2"/>
      <c r="D4342" s="2"/>
      <c r="E4342" s="2"/>
      <c r="F4342" s="2"/>
      <c r="G4342" s="2"/>
      <c r="H4342" s="2"/>
      <c r="I4342" s="2">
        <v>68.032799999999995</v>
      </c>
      <c r="J4342" s="2">
        <v>106</v>
      </c>
      <c r="K4342" s="2">
        <v>68.180300000000003</v>
      </c>
      <c r="L4342" s="2">
        <v>82</v>
      </c>
      <c r="M4342" s="2">
        <v>100.6268</v>
      </c>
      <c r="N4342" s="2">
        <v>255</v>
      </c>
      <c r="O4342" s="2">
        <v>99.696600000000004</v>
      </c>
      <c r="P4342" s="2">
        <v>264</v>
      </c>
      <c r="Q4342" s="2">
        <v>109.851</v>
      </c>
      <c r="R4342" s="2">
        <v>287</v>
      </c>
      <c r="S4342" s="2">
        <v>111.58329999999999</v>
      </c>
      <c r="T4342" s="2">
        <v>303</v>
      </c>
      <c r="U4342" s="2">
        <v>0.214948</v>
      </c>
      <c r="V4342" s="2">
        <v>292</v>
      </c>
      <c r="W4342" s="2">
        <v>2014</v>
      </c>
    </row>
    <row r="4343" spans="1:23" ht="12.3" hidden="1" x14ac:dyDescent="0.4">
      <c r="A4343" s="2" t="s">
        <v>340</v>
      </c>
      <c r="B4343" s="2"/>
      <c r="C4343" s="2"/>
      <c r="D4343" s="2"/>
      <c r="E4343" s="2"/>
      <c r="F4343" s="2"/>
      <c r="G4343" s="2"/>
      <c r="H4343" s="2"/>
      <c r="I4343" s="2">
        <v>65.450900000000004</v>
      </c>
      <c r="J4343" s="2">
        <v>228</v>
      </c>
      <c r="K4343" s="2">
        <v>66.099599999999995</v>
      </c>
      <c r="L4343" s="2">
        <v>191</v>
      </c>
      <c r="M4343" s="2">
        <v>96.809100000000001</v>
      </c>
      <c r="N4343" s="2">
        <v>310</v>
      </c>
      <c r="O4343" s="2">
        <v>96.891599999999997</v>
      </c>
      <c r="P4343" s="2">
        <v>302</v>
      </c>
      <c r="Q4343" s="2">
        <v>108.2371</v>
      </c>
      <c r="R4343" s="2">
        <v>258</v>
      </c>
      <c r="S4343" s="2">
        <v>108.55419999999999</v>
      </c>
      <c r="T4343" s="2">
        <v>245</v>
      </c>
      <c r="U4343" s="2">
        <v>0.212981</v>
      </c>
      <c r="V4343" s="2">
        <v>293</v>
      </c>
      <c r="W4343" s="2">
        <v>2014</v>
      </c>
    </row>
    <row r="4344" spans="1:23" ht="12.3" hidden="1" x14ac:dyDescent="0.4">
      <c r="A4344" s="2" t="s">
        <v>347</v>
      </c>
      <c r="B4344" s="2"/>
      <c r="C4344" s="2"/>
      <c r="D4344" s="2"/>
      <c r="E4344" s="2"/>
      <c r="F4344" s="2"/>
      <c r="G4344" s="2"/>
      <c r="H4344" s="2"/>
      <c r="I4344" s="2">
        <v>66.807599999999994</v>
      </c>
      <c r="J4344" s="2">
        <v>157</v>
      </c>
      <c r="K4344" s="2">
        <v>65.255600000000001</v>
      </c>
      <c r="L4344" s="2">
        <v>234</v>
      </c>
      <c r="M4344" s="2">
        <v>100.8343</v>
      </c>
      <c r="N4344" s="2">
        <v>251</v>
      </c>
      <c r="O4344" s="2">
        <v>98.014300000000006</v>
      </c>
      <c r="P4344" s="2">
        <v>286</v>
      </c>
      <c r="Q4344" s="2">
        <v>108.8282</v>
      </c>
      <c r="R4344" s="2">
        <v>270</v>
      </c>
      <c r="S4344" s="2">
        <v>109.8832</v>
      </c>
      <c r="T4344" s="2">
        <v>273</v>
      </c>
      <c r="U4344" s="2">
        <v>0.211733</v>
      </c>
      <c r="V4344" s="2">
        <v>294</v>
      </c>
      <c r="W4344" s="2">
        <v>2014</v>
      </c>
    </row>
    <row r="4345" spans="1:23" ht="12.3" hidden="1" x14ac:dyDescent="0.4">
      <c r="A4345" s="2" t="s">
        <v>202</v>
      </c>
      <c r="B4345" s="2"/>
      <c r="C4345" s="2"/>
      <c r="D4345" s="2"/>
      <c r="E4345" s="2"/>
      <c r="F4345" s="2"/>
      <c r="G4345" s="2"/>
      <c r="H4345" s="2"/>
      <c r="I4345" s="2">
        <v>66.310500000000005</v>
      </c>
      <c r="J4345" s="2">
        <v>184</v>
      </c>
      <c r="K4345" s="2">
        <v>66.015299999999996</v>
      </c>
      <c r="L4345" s="2">
        <v>197</v>
      </c>
      <c r="M4345" s="2">
        <v>95.3279</v>
      </c>
      <c r="N4345" s="2">
        <v>322</v>
      </c>
      <c r="O4345" s="2">
        <v>93.692700000000002</v>
      </c>
      <c r="P4345" s="2">
        <v>334</v>
      </c>
      <c r="Q4345" s="2">
        <v>104.9406</v>
      </c>
      <c r="R4345" s="2">
        <v>176</v>
      </c>
      <c r="S4345" s="2">
        <v>105.1293</v>
      </c>
      <c r="T4345" s="2">
        <v>174</v>
      </c>
      <c r="U4345" s="2">
        <v>0.21007600000000001</v>
      </c>
      <c r="V4345" s="2">
        <v>295</v>
      </c>
      <c r="W4345" s="2">
        <v>2014</v>
      </c>
    </row>
    <row r="4346" spans="1:23" ht="12.3" hidden="1" x14ac:dyDescent="0.4">
      <c r="A4346" s="2" t="s">
        <v>264</v>
      </c>
      <c r="B4346" s="2"/>
      <c r="C4346" s="2"/>
      <c r="D4346" s="2"/>
      <c r="E4346" s="2"/>
      <c r="F4346" s="2"/>
      <c r="G4346" s="2"/>
      <c r="H4346" s="2"/>
      <c r="I4346" s="2">
        <v>66.782600000000002</v>
      </c>
      <c r="J4346" s="2">
        <v>158</v>
      </c>
      <c r="K4346" s="2">
        <v>65.927000000000007</v>
      </c>
      <c r="L4346" s="2">
        <v>200</v>
      </c>
      <c r="M4346" s="2">
        <v>99.985100000000003</v>
      </c>
      <c r="N4346" s="2">
        <v>263</v>
      </c>
      <c r="O4346" s="2">
        <v>98.995199999999997</v>
      </c>
      <c r="P4346" s="2">
        <v>272</v>
      </c>
      <c r="Q4346" s="2">
        <v>111.202</v>
      </c>
      <c r="R4346" s="2">
        <v>318</v>
      </c>
      <c r="S4346" s="2">
        <v>111.3004</v>
      </c>
      <c r="T4346" s="2">
        <v>299</v>
      </c>
      <c r="U4346" s="2">
        <v>0.20630200000000001</v>
      </c>
      <c r="V4346" s="2">
        <v>296</v>
      </c>
      <c r="W4346" s="2">
        <v>2014</v>
      </c>
    </row>
    <row r="4347" spans="1:23" ht="12.3" hidden="1" x14ac:dyDescent="0.4">
      <c r="A4347" s="2" t="s">
        <v>272</v>
      </c>
      <c r="B4347" s="2"/>
      <c r="C4347" s="2"/>
      <c r="D4347" s="2"/>
      <c r="E4347" s="2"/>
      <c r="F4347" s="2"/>
      <c r="G4347" s="2"/>
      <c r="H4347" s="2"/>
      <c r="I4347" s="2">
        <v>66.302700000000002</v>
      </c>
      <c r="J4347" s="2">
        <v>185</v>
      </c>
      <c r="K4347" s="2">
        <v>65.787800000000004</v>
      </c>
      <c r="L4347" s="2">
        <v>206</v>
      </c>
      <c r="M4347" s="2">
        <v>95.131500000000003</v>
      </c>
      <c r="N4347" s="2">
        <v>327</v>
      </c>
      <c r="O4347" s="2">
        <v>92.591099999999997</v>
      </c>
      <c r="P4347" s="2">
        <v>339</v>
      </c>
      <c r="Q4347" s="2">
        <v>99.986699999999999</v>
      </c>
      <c r="R4347" s="2">
        <v>75</v>
      </c>
      <c r="S4347" s="2">
        <v>104.1425</v>
      </c>
      <c r="T4347" s="2">
        <v>156</v>
      </c>
      <c r="U4347" s="2">
        <v>0.20554</v>
      </c>
      <c r="V4347" s="2">
        <v>297</v>
      </c>
      <c r="W4347" s="2">
        <v>2014</v>
      </c>
    </row>
    <row r="4348" spans="1:23" ht="12.3" hidden="1" x14ac:dyDescent="0.4">
      <c r="A4348" s="2" t="s">
        <v>300</v>
      </c>
      <c r="B4348" s="2"/>
      <c r="C4348" s="2"/>
      <c r="D4348" s="2"/>
      <c r="E4348" s="2"/>
      <c r="F4348" s="2"/>
      <c r="G4348" s="2"/>
      <c r="H4348" s="2"/>
      <c r="I4348" s="2">
        <v>62.578400000000002</v>
      </c>
      <c r="J4348" s="2">
        <v>336</v>
      </c>
      <c r="K4348" s="2">
        <v>63.416499999999999</v>
      </c>
      <c r="L4348" s="2">
        <v>309</v>
      </c>
      <c r="M4348" s="2">
        <v>93.329599999999999</v>
      </c>
      <c r="N4348" s="2">
        <v>340</v>
      </c>
      <c r="O4348" s="2">
        <v>94.091300000000004</v>
      </c>
      <c r="P4348" s="2">
        <v>330</v>
      </c>
      <c r="Q4348" s="2">
        <v>104.3421</v>
      </c>
      <c r="R4348" s="2">
        <v>159</v>
      </c>
      <c r="S4348" s="2">
        <v>106.03740000000001</v>
      </c>
      <c r="T4348" s="2">
        <v>200</v>
      </c>
      <c r="U4348" s="2">
        <v>0.20188500000000001</v>
      </c>
      <c r="V4348" s="2">
        <v>298</v>
      </c>
      <c r="W4348" s="2">
        <v>2014</v>
      </c>
    </row>
    <row r="4349" spans="1:23" ht="12.3" hidden="1" x14ac:dyDescent="0.4">
      <c r="A4349" s="2" t="s">
        <v>156</v>
      </c>
      <c r="B4349" s="2"/>
      <c r="C4349" s="2"/>
      <c r="D4349" s="2"/>
      <c r="E4349" s="2"/>
      <c r="F4349" s="2"/>
      <c r="G4349" s="2"/>
      <c r="H4349" s="2"/>
      <c r="I4349" s="2">
        <v>70.527600000000007</v>
      </c>
      <c r="J4349" s="2">
        <v>31</v>
      </c>
      <c r="K4349" s="2">
        <v>70.196899999999999</v>
      </c>
      <c r="L4349" s="2">
        <v>29</v>
      </c>
      <c r="M4349" s="2">
        <v>98.504300000000001</v>
      </c>
      <c r="N4349" s="2">
        <v>284</v>
      </c>
      <c r="O4349" s="2">
        <v>97.7333</v>
      </c>
      <c r="P4349" s="2">
        <v>290</v>
      </c>
      <c r="Q4349" s="2">
        <v>108.1204</v>
      </c>
      <c r="R4349" s="2">
        <v>254</v>
      </c>
      <c r="S4349" s="2">
        <v>110.1439</v>
      </c>
      <c r="T4349" s="2">
        <v>280</v>
      </c>
      <c r="U4349" s="2">
        <v>0.201849</v>
      </c>
      <c r="V4349" s="2">
        <v>299</v>
      </c>
      <c r="W4349" s="2">
        <v>2014</v>
      </c>
    </row>
    <row r="4350" spans="1:23" ht="12.3" hidden="1" x14ac:dyDescent="0.4">
      <c r="A4350" s="2" t="s">
        <v>316</v>
      </c>
      <c r="B4350" s="2"/>
      <c r="C4350" s="2"/>
      <c r="D4350" s="2"/>
      <c r="E4350" s="2"/>
      <c r="F4350" s="2"/>
      <c r="G4350" s="2"/>
      <c r="H4350" s="2"/>
      <c r="I4350" s="2">
        <v>68.429000000000002</v>
      </c>
      <c r="J4350" s="2">
        <v>87</v>
      </c>
      <c r="K4350" s="2">
        <v>67.873800000000003</v>
      </c>
      <c r="L4350" s="2">
        <v>101</v>
      </c>
      <c r="M4350" s="2">
        <v>100.8275</v>
      </c>
      <c r="N4350" s="2">
        <v>252</v>
      </c>
      <c r="O4350" s="2">
        <v>98.8887</v>
      </c>
      <c r="P4350" s="2">
        <v>273</v>
      </c>
      <c r="Q4350" s="2">
        <v>110.4806</v>
      </c>
      <c r="R4350" s="2">
        <v>303</v>
      </c>
      <c r="S4350" s="2">
        <v>111.5205</v>
      </c>
      <c r="T4350" s="2">
        <v>302</v>
      </c>
      <c r="U4350" s="2">
        <v>0.20061599999999999</v>
      </c>
      <c r="V4350" s="2">
        <v>300</v>
      </c>
      <c r="W4350" s="2">
        <v>2014</v>
      </c>
    </row>
    <row r="4351" spans="1:23" ht="12.3" hidden="1" x14ac:dyDescent="0.4">
      <c r="A4351" s="2" t="s">
        <v>214</v>
      </c>
      <c r="B4351" s="2"/>
      <c r="C4351" s="2"/>
      <c r="D4351" s="2"/>
      <c r="E4351" s="2"/>
      <c r="F4351" s="2"/>
      <c r="G4351" s="2"/>
      <c r="H4351" s="2"/>
      <c r="I4351" s="2">
        <v>70.007099999999994</v>
      </c>
      <c r="J4351" s="2">
        <v>42</v>
      </c>
      <c r="K4351" s="2">
        <v>69.457899999999995</v>
      </c>
      <c r="L4351" s="2">
        <v>47</v>
      </c>
      <c r="M4351" s="2">
        <v>104.16670000000001</v>
      </c>
      <c r="N4351" s="2">
        <v>181</v>
      </c>
      <c r="O4351" s="2">
        <v>103.01139999999999</v>
      </c>
      <c r="P4351" s="2">
        <v>204</v>
      </c>
      <c r="Q4351" s="2">
        <v>114.2345</v>
      </c>
      <c r="R4351" s="2">
        <v>338</v>
      </c>
      <c r="S4351" s="2">
        <v>116.19499999999999</v>
      </c>
      <c r="T4351" s="2">
        <v>339</v>
      </c>
      <c r="U4351" s="2">
        <v>0.200215</v>
      </c>
      <c r="V4351" s="2">
        <v>301</v>
      </c>
      <c r="W4351" s="2">
        <v>2014</v>
      </c>
    </row>
    <row r="4352" spans="1:23" ht="12.3" hidden="1" x14ac:dyDescent="0.4">
      <c r="A4352" s="2" t="s">
        <v>301</v>
      </c>
      <c r="B4352" s="2"/>
      <c r="C4352" s="2"/>
      <c r="D4352" s="2"/>
      <c r="E4352" s="2"/>
      <c r="F4352" s="2"/>
      <c r="G4352" s="2"/>
      <c r="H4352" s="2"/>
      <c r="I4352" s="2">
        <v>71.398799999999994</v>
      </c>
      <c r="J4352" s="2">
        <v>16</v>
      </c>
      <c r="K4352" s="2">
        <v>71.819100000000006</v>
      </c>
      <c r="L4352" s="2">
        <v>12</v>
      </c>
      <c r="M4352" s="2">
        <v>96.376999999999995</v>
      </c>
      <c r="N4352" s="2">
        <v>314</v>
      </c>
      <c r="O4352" s="2">
        <v>94.994600000000005</v>
      </c>
      <c r="P4352" s="2">
        <v>323</v>
      </c>
      <c r="Q4352" s="2">
        <v>102.8438</v>
      </c>
      <c r="R4352" s="2">
        <v>119</v>
      </c>
      <c r="S4352" s="2">
        <v>107.1759</v>
      </c>
      <c r="T4352" s="2">
        <v>221</v>
      </c>
      <c r="U4352" s="2">
        <v>0.19980800000000001</v>
      </c>
      <c r="V4352" s="2">
        <v>302</v>
      </c>
      <c r="W4352" s="2">
        <v>2014</v>
      </c>
    </row>
    <row r="4353" spans="1:23" ht="12.3" hidden="1" x14ac:dyDescent="0.4">
      <c r="A4353" s="2" t="s">
        <v>163</v>
      </c>
      <c r="B4353" s="2"/>
      <c r="C4353" s="2"/>
      <c r="D4353" s="2"/>
      <c r="E4353" s="2"/>
      <c r="F4353" s="2"/>
      <c r="G4353" s="2"/>
      <c r="H4353" s="2"/>
      <c r="I4353" s="2">
        <v>65.317700000000002</v>
      </c>
      <c r="J4353" s="2">
        <v>235</v>
      </c>
      <c r="K4353" s="2">
        <v>65.6417</v>
      </c>
      <c r="L4353" s="2">
        <v>212</v>
      </c>
      <c r="M4353" s="2">
        <v>99.395600000000002</v>
      </c>
      <c r="N4353" s="2">
        <v>276</v>
      </c>
      <c r="O4353" s="2">
        <v>95.429199999999994</v>
      </c>
      <c r="P4353" s="2">
        <v>318</v>
      </c>
      <c r="Q4353" s="2">
        <v>106.9859</v>
      </c>
      <c r="R4353" s="2">
        <v>228</v>
      </c>
      <c r="S4353" s="2">
        <v>107.70440000000001</v>
      </c>
      <c r="T4353" s="2">
        <v>231</v>
      </c>
      <c r="U4353" s="2">
        <v>0.199158</v>
      </c>
      <c r="V4353" s="2">
        <v>303</v>
      </c>
      <c r="W4353" s="2">
        <v>2014</v>
      </c>
    </row>
    <row r="4354" spans="1:23" ht="12.3" hidden="1" x14ac:dyDescent="0.4">
      <c r="A4354" s="2" t="s">
        <v>278</v>
      </c>
      <c r="B4354" s="2"/>
      <c r="C4354" s="2"/>
      <c r="D4354" s="2"/>
      <c r="E4354" s="2"/>
      <c r="F4354" s="2"/>
      <c r="G4354" s="2"/>
      <c r="H4354" s="2"/>
      <c r="I4354" s="2">
        <v>65.114900000000006</v>
      </c>
      <c r="J4354" s="2">
        <v>245</v>
      </c>
      <c r="K4354" s="2">
        <v>66.287700000000001</v>
      </c>
      <c r="L4354" s="2">
        <v>182</v>
      </c>
      <c r="M4354" s="2">
        <v>92.725300000000004</v>
      </c>
      <c r="N4354" s="2">
        <v>344</v>
      </c>
      <c r="O4354" s="2">
        <v>92.940600000000003</v>
      </c>
      <c r="P4354" s="2">
        <v>338</v>
      </c>
      <c r="Q4354" s="2">
        <v>109.7581</v>
      </c>
      <c r="R4354" s="2">
        <v>286</v>
      </c>
      <c r="S4354" s="2">
        <v>105.0547</v>
      </c>
      <c r="T4354" s="2">
        <v>173</v>
      </c>
      <c r="U4354" s="2">
        <v>0.19639400000000001</v>
      </c>
      <c r="V4354" s="2">
        <v>304</v>
      </c>
      <c r="W4354" s="2">
        <v>2014</v>
      </c>
    </row>
    <row r="4355" spans="1:23" ht="12.3" hidden="1" x14ac:dyDescent="0.4">
      <c r="A4355" s="2" t="s">
        <v>312</v>
      </c>
      <c r="B4355" s="2"/>
      <c r="C4355" s="2"/>
      <c r="D4355" s="2"/>
      <c r="E4355" s="2"/>
      <c r="F4355" s="2"/>
      <c r="G4355" s="2"/>
      <c r="H4355" s="2"/>
      <c r="I4355" s="2">
        <v>67.874799999999993</v>
      </c>
      <c r="J4355" s="2">
        <v>109</v>
      </c>
      <c r="K4355" s="2">
        <v>66.976200000000006</v>
      </c>
      <c r="L4355" s="2">
        <v>140</v>
      </c>
      <c r="M4355" s="2">
        <v>96.285899999999998</v>
      </c>
      <c r="N4355" s="2">
        <v>315</v>
      </c>
      <c r="O4355" s="2">
        <v>93.753</v>
      </c>
      <c r="P4355" s="2">
        <v>333</v>
      </c>
      <c r="Q4355" s="2">
        <v>100.38330000000001</v>
      </c>
      <c r="R4355" s="2">
        <v>82</v>
      </c>
      <c r="S4355" s="2">
        <v>106.0261</v>
      </c>
      <c r="T4355" s="2">
        <v>199</v>
      </c>
      <c r="U4355" s="2">
        <v>0.19548599999999999</v>
      </c>
      <c r="V4355" s="2">
        <v>305</v>
      </c>
      <c r="W4355" s="2">
        <v>2014</v>
      </c>
    </row>
    <row r="4356" spans="1:23" ht="12.3" hidden="1" x14ac:dyDescent="0.4">
      <c r="A4356" s="2" t="s">
        <v>101</v>
      </c>
      <c r="B4356" s="2"/>
      <c r="C4356" s="2"/>
      <c r="D4356" s="2"/>
      <c r="E4356" s="2"/>
      <c r="F4356" s="2"/>
      <c r="G4356" s="2"/>
      <c r="H4356" s="2"/>
      <c r="I4356" s="2">
        <v>66.924400000000006</v>
      </c>
      <c r="J4356" s="2">
        <v>151</v>
      </c>
      <c r="K4356" s="2">
        <v>67.653199999999998</v>
      </c>
      <c r="L4356" s="2">
        <v>107</v>
      </c>
      <c r="M4356" s="2">
        <v>93.714799999999997</v>
      </c>
      <c r="N4356" s="2">
        <v>336</v>
      </c>
      <c r="O4356" s="2">
        <v>96.343699999999998</v>
      </c>
      <c r="P4356" s="2">
        <v>309</v>
      </c>
      <c r="Q4356" s="2">
        <v>109.86539999999999</v>
      </c>
      <c r="R4356" s="2">
        <v>289</v>
      </c>
      <c r="S4356" s="2">
        <v>109.34059999999999</v>
      </c>
      <c r="T4356" s="2">
        <v>263</v>
      </c>
      <c r="U4356" s="2">
        <v>0.189191</v>
      </c>
      <c r="V4356" s="2">
        <v>306</v>
      </c>
      <c r="W4356" s="2">
        <v>2014</v>
      </c>
    </row>
    <row r="4357" spans="1:23" ht="12.3" hidden="1" x14ac:dyDescent="0.4">
      <c r="A4357" s="2" t="s">
        <v>328</v>
      </c>
      <c r="B4357" s="2"/>
      <c r="C4357" s="2"/>
      <c r="D4357" s="2"/>
      <c r="E4357" s="2"/>
      <c r="F4357" s="2"/>
      <c r="G4357" s="2"/>
      <c r="H4357" s="2"/>
      <c r="I4357" s="2">
        <v>66.358099999999993</v>
      </c>
      <c r="J4357" s="2">
        <v>182</v>
      </c>
      <c r="K4357" s="2">
        <v>64.901499999999999</v>
      </c>
      <c r="L4357" s="2">
        <v>252</v>
      </c>
      <c r="M4357" s="2">
        <v>101.61709999999999</v>
      </c>
      <c r="N4357" s="2">
        <v>238</v>
      </c>
      <c r="O4357" s="2">
        <v>98.606099999999998</v>
      </c>
      <c r="P4357" s="2">
        <v>276</v>
      </c>
      <c r="Q4357" s="2">
        <v>109.4468</v>
      </c>
      <c r="R4357" s="2">
        <v>279</v>
      </c>
      <c r="S4357" s="2">
        <v>111.9178</v>
      </c>
      <c r="T4357" s="2">
        <v>312</v>
      </c>
      <c r="U4357" s="2">
        <v>0.18903900000000001</v>
      </c>
      <c r="V4357" s="2">
        <v>307</v>
      </c>
      <c r="W4357" s="2">
        <v>2014</v>
      </c>
    </row>
    <row r="4358" spans="1:23" ht="12.3" hidden="1" x14ac:dyDescent="0.4">
      <c r="A4358" s="2" t="s">
        <v>185</v>
      </c>
      <c r="B4358" s="2"/>
      <c r="C4358" s="2"/>
      <c r="D4358" s="2"/>
      <c r="E4358" s="2"/>
      <c r="F4358" s="2"/>
      <c r="G4358" s="2"/>
      <c r="H4358" s="2"/>
      <c r="I4358" s="2">
        <v>68.110900000000001</v>
      </c>
      <c r="J4358" s="2">
        <v>104</v>
      </c>
      <c r="K4358" s="2">
        <v>68.421099999999996</v>
      </c>
      <c r="L4358" s="2">
        <v>76</v>
      </c>
      <c r="M4358" s="2">
        <v>99.611199999999997</v>
      </c>
      <c r="N4358" s="2">
        <v>269</v>
      </c>
      <c r="O4358" s="2">
        <v>100.6395</v>
      </c>
      <c r="P4358" s="2">
        <v>245</v>
      </c>
      <c r="Q4358" s="2">
        <v>114.69459999999999</v>
      </c>
      <c r="R4358" s="2">
        <v>340</v>
      </c>
      <c r="S4358" s="2">
        <v>114.41630000000001</v>
      </c>
      <c r="T4358" s="2">
        <v>331</v>
      </c>
      <c r="U4358" s="2">
        <v>0.18611900000000001</v>
      </c>
      <c r="V4358" s="2">
        <v>308</v>
      </c>
      <c r="W4358" s="2">
        <v>2014</v>
      </c>
    </row>
    <row r="4359" spans="1:23" ht="12.3" hidden="1" x14ac:dyDescent="0.4">
      <c r="A4359" s="2" t="s">
        <v>107</v>
      </c>
      <c r="B4359" s="2"/>
      <c r="C4359" s="2"/>
      <c r="D4359" s="2"/>
      <c r="E4359" s="2"/>
      <c r="F4359" s="2"/>
      <c r="G4359" s="2"/>
      <c r="H4359" s="2"/>
      <c r="I4359" s="2">
        <v>68.456400000000002</v>
      </c>
      <c r="J4359" s="2">
        <v>85</v>
      </c>
      <c r="K4359" s="2">
        <v>67.738500000000002</v>
      </c>
      <c r="L4359" s="2">
        <v>104</v>
      </c>
      <c r="M4359" s="2">
        <v>97.016099999999994</v>
      </c>
      <c r="N4359" s="2">
        <v>305</v>
      </c>
      <c r="O4359" s="2">
        <v>98.263099999999994</v>
      </c>
      <c r="P4359" s="2">
        <v>279</v>
      </c>
      <c r="Q4359" s="2">
        <v>110.1814</v>
      </c>
      <c r="R4359" s="2">
        <v>299</v>
      </c>
      <c r="S4359" s="2">
        <v>111.78660000000001</v>
      </c>
      <c r="T4359" s="2">
        <v>308</v>
      </c>
      <c r="U4359" s="2">
        <v>0.184998</v>
      </c>
      <c r="V4359" s="2">
        <v>309</v>
      </c>
      <c r="W4359" s="2">
        <v>2014</v>
      </c>
    </row>
    <row r="4360" spans="1:23" ht="12.3" hidden="1" x14ac:dyDescent="0.4">
      <c r="A4360" s="2" t="s">
        <v>332</v>
      </c>
      <c r="B4360" s="2"/>
      <c r="C4360" s="2"/>
      <c r="D4360" s="2"/>
      <c r="E4360" s="2"/>
      <c r="F4360" s="2"/>
      <c r="G4360" s="2"/>
      <c r="H4360" s="2"/>
      <c r="I4360" s="2">
        <v>63.174999999999997</v>
      </c>
      <c r="J4360" s="2">
        <v>320</v>
      </c>
      <c r="K4360" s="2">
        <v>62.854199999999999</v>
      </c>
      <c r="L4360" s="2">
        <v>326</v>
      </c>
      <c r="M4360" s="2">
        <v>97.499399999999994</v>
      </c>
      <c r="N4360" s="2">
        <v>295</v>
      </c>
      <c r="O4360" s="2">
        <v>96.602500000000006</v>
      </c>
      <c r="P4360" s="2">
        <v>306</v>
      </c>
      <c r="Q4360" s="2">
        <v>109.8981</v>
      </c>
      <c r="R4360" s="2">
        <v>291</v>
      </c>
      <c r="S4360" s="2">
        <v>109.9027</v>
      </c>
      <c r="T4360" s="2">
        <v>274</v>
      </c>
      <c r="U4360" s="2">
        <v>0.184916</v>
      </c>
      <c r="V4360" s="2">
        <v>310</v>
      </c>
      <c r="W4360" s="2">
        <v>2014</v>
      </c>
    </row>
    <row r="4361" spans="1:23" ht="12.3" hidden="1" x14ac:dyDescent="0.4">
      <c r="A4361" s="2" t="s">
        <v>366</v>
      </c>
      <c r="B4361" s="2"/>
      <c r="C4361" s="2"/>
      <c r="D4361" s="2"/>
      <c r="E4361" s="2"/>
      <c r="F4361" s="2"/>
      <c r="G4361" s="2"/>
      <c r="H4361" s="2"/>
      <c r="I4361" s="2">
        <v>68.466099999999997</v>
      </c>
      <c r="J4361" s="2">
        <v>84</v>
      </c>
      <c r="K4361" s="2">
        <v>69.341499999999996</v>
      </c>
      <c r="L4361" s="2">
        <v>52</v>
      </c>
      <c r="M4361" s="2">
        <v>99.176699999999997</v>
      </c>
      <c r="N4361" s="2">
        <v>279</v>
      </c>
      <c r="O4361" s="2">
        <v>96.008899999999997</v>
      </c>
      <c r="P4361" s="2">
        <v>313</v>
      </c>
      <c r="Q4361" s="2">
        <v>106.6005</v>
      </c>
      <c r="R4361" s="2">
        <v>221</v>
      </c>
      <c r="S4361" s="2">
        <v>109.41849999999999</v>
      </c>
      <c r="T4361" s="2">
        <v>265</v>
      </c>
      <c r="U4361" s="2">
        <v>0.18190400000000001</v>
      </c>
      <c r="V4361" s="2">
        <v>311</v>
      </c>
      <c r="W4361" s="2">
        <v>2014</v>
      </c>
    </row>
    <row r="4362" spans="1:23" ht="12.3" hidden="1" x14ac:dyDescent="0.4">
      <c r="A4362" s="2" t="s">
        <v>275</v>
      </c>
      <c r="B4362" s="2"/>
      <c r="C4362" s="2"/>
      <c r="D4362" s="2"/>
      <c r="E4362" s="2"/>
      <c r="F4362" s="2"/>
      <c r="G4362" s="2"/>
      <c r="H4362" s="2"/>
      <c r="I4362" s="2">
        <v>63.445700000000002</v>
      </c>
      <c r="J4362" s="2">
        <v>315</v>
      </c>
      <c r="K4362" s="2">
        <v>62.866399999999999</v>
      </c>
      <c r="L4362" s="2">
        <v>325</v>
      </c>
      <c r="M4362" s="2">
        <v>100.77930000000001</v>
      </c>
      <c r="N4362" s="2">
        <v>254</v>
      </c>
      <c r="O4362" s="2">
        <v>96.975999999999999</v>
      </c>
      <c r="P4362" s="2">
        <v>299</v>
      </c>
      <c r="Q4362" s="2">
        <v>111.31440000000001</v>
      </c>
      <c r="R4362" s="2">
        <v>319</v>
      </c>
      <c r="S4362" s="2">
        <v>110.5703</v>
      </c>
      <c r="T4362" s="2">
        <v>284</v>
      </c>
      <c r="U4362" s="2">
        <v>0.18113699999999999</v>
      </c>
      <c r="V4362" s="2">
        <v>312</v>
      </c>
      <c r="W4362" s="2">
        <v>2014</v>
      </c>
    </row>
    <row r="4363" spans="1:23" ht="12.3" hidden="1" x14ac:dyDescent="0.4">
      <c r="A4363" s="2" t="s">
        <v>183</v>
      </c>
      <c r="B4363" s="2"/>
      <c r="C4363" s="2"/>
      <c r="D4363" s="2"/>
      <c r="E4363" s="2"/>
      <c r="F4363" s="2"/>
      <c r="G4363" s="2"/>
      <c r="H4363" s="2"/>
      <c r="I4363" s="2">
        <v>72.226600000000005</v>
      </c>
      <c r="J4363" s="2">
        <v>10</v>
      </c>
      <c r="K4363" s="2">
        <v>71.462000000000003</v>
      </c>
      <c r="L4363" s="2">
        <v>15</v>
      </c>
      <c r="M4363" s="2">
        <v>97.239400000000003</v>
      </c>
      <c r="N4363" s="2">
        <v>302</v>
      </c>
      <c r="O4363" s="2">
        <v>96.910499999999999</v>
      </c>
      <c r="P4363" s="2">
        <v>300</v>
      </c>
      <c r="Q4363" s="2">
        <v>109.9766</v>
      </c>
      <c r="R4363" s="2">
        <v>293</v>
      </c>
      <c r="S4363" s="2">
        <v>110.6969</v>
      </c>
      <c r="T4363" s="2">
        <v>288</v>
      </c>
      <c r="U4363" s="2">
        <v>0.17805499999999999</v>
      </c>
      <c r="V4363" s="2">
        <v>313</v>
      </c>
      <c r="W4363" s="2">
        <v>2014</v>
      </c>
    </row>
    <row r="4364" spans="1:23" ht="12.3" hidden="1" x14ac:dyDescent="0.4">
      <c r="A4364" s="2" t="s">
        <v>231</v>
      </c>
      <c r="B4364" s="2"/>
      <c r="C4364" s="2"/>
      <c r="D4364" s="2"/>
      <c r="E4364" s="2"/>
      <c r="F4364" s="2"/>
      <c r="G4364" s="2"/>
      <c r="H4364" s="2"/>
      <c r="I4364" s="2">
        <v>64.206000000000003</v>
      </c>
      <c r="J4364" s="2">
        <v>283</v>
      </c>
      <c r="K4364" s="2">
        <v>63.983800000000002</v>
      </c>
      <c r="L4364" s="2">
        <v>288</v>
      </c>
      <c r="M4364" s="2">
        <v>92.7928</v>
      </c>
      <c r="N4364" s="2">
        <v>343</v>
      </c>
      <c r="O4364" s="2">
        <v>93.929500000000004</v>
      </c>
      <c r="P4364" s="2">
        <v>331</v>
      </c>
      <c r="Q4364" s="2">
        <v>106.9736</v>
      </c>
      <c r="R4364" s="2">
        <v>227</v>
      </c>
      <c r="S4364" s="2">
        <v>107.31059999999999</v>
      </c>
      <c r="T4364" s="2">
        <v>224</v>
      </c>
      <c r="U4364" s="2">
        <v>0.177759</v>
      </c>
      <c r="V4364" s="2">
        <v>314</v>
      </c>
      <c r="W4364" s="2">
        <v>2014</v>
      </c>
    </row>
    <row r="4365" spans="1:23" ht="12.3" hidden="1" x14ac:dyDescent="0.4">
      <c r="A4365" s="2" t="s">
        <v>380</v>
      </c>
      <c r="B4365" s="2"/>
      <c r="C4365" s="2"/>
      <c r="D4365" s="2"/>
      <c r="E4365" s="2"/>
      <c r="F4365" s="2"/>
      <c r="G4365" s="2"/>
      <c r="H4365" s="2"/>
      <c r="I4365" s="2">
        <v>64.355699999999999</v>
      </c>
      <c r="J4365" s="2">
        <v>278</v>
      </c>
      <c r="K4365" s="2">
        <v>63.361499999999999</v>
      </c>
      <c r="L4365" s="2">
        <v>310</v>
      </c>
      <c r="M4365" s="2">
        <v>104.6262</v>
      </c>
      <c r="N4365" s="2">
        <v>173</v>
      </c>
      <c r="O4365" s="2">
        <v>101.96380000000001</v>
      </c>
      <c r="P4365" s="2">
        <v>222</v>
      </c>
      <c r="Q4365" s="2">
        <v>113.4153</v>
      </c>
      <c r="R4365" s="2">
        <v>334</v>
      </c>
      <c r="S4365" s="2">
        <v>116.6148</v>
      </c>
      <c r="T4365" s="2">
        <v>341</v>
      </c>
      <c r="U4365" s="2">
        <v>0.175958</v>
      </c>
      <c r="V4365" s="2">
        <v>315</v>
      </c>
      <c r="W4365" s="2">
        <v>2014</v>
      </c>
    </row>
    <row r="4366" spans="1:23" ht="12.3" hidden="1" x14ac:dyDescent="0.4">
      <c r="A4366" s="2" t="s">
        <v>208</v>
      </c>
      <c r="B4366" s="2"/>
      <c r="C4366" s="2"/>
      <c r="D4366" s="2"/>
      <c r="E4366" s="2"/>
      <c r="F4366" s="2"/>
      <c r="G4366" s="2"/>
      <c r="H4366" s="2"/>
      <c r="I4366" s="2">
        <v>67.711200000000005</v>
      </c>
      <c r="J4366" s="2">
        <v>116</v>
      </c>
      <c r="K4366" s="2">
        <v>67.249799999999993</v>
      </c>
      <c r="L4366" s="2">
        <v>126</v>
      </c>
      <c r="M4366" s="2">
        <v>102.824</v>
      </c>
      <c r="N4366" s="2">
        <v>213</v>
      </c>
      <c r="O4366" s="2">
        <v>100.6631</v>
      </c>
      <c r="P4366" s="2">
        <v>243</v>
      </c>
      <c r="Q4366" s="2">
        <v>113.3535</v>
      </c>
      <c r="R4366" s="2">
        <v>332</v>
      </c>
      <c r="S4366" s="2">
        <v>115.2064</v>
      </c>
      <c r="T4366" s="2">
        <v>336</v>
      </c>
      <c r="U4366" s="2">
        <v>0.174815</v>
      </c>
      <c r="V4366" s="2">
        <v>316</v>
      </c>
      <c r="W4366" s="2">
        <v>2014</v>
      </c>
    </row>
    <row r="4367" spans="1:23" ht="12.3" hidden="1" x14ac:dyDescent="0.4">
      <c r="A4367" s="2" t="s">
        <v>127</v>
      </c>
      <c r="B4367" s="2"/>
      <c r="C4367" s="2"/>
      <c r="D4367" s="2"/>
      <c r="E4367" s="2"/>
      <c r="F4367" s="2"/>
      <c r="G4367" s="2"/>
      <c r="H4367" s="2"/>
      <c r="I4367" s="2">
        <v>70.450400000000002</v>
      </c>
      <c r="J4367" s="2">
        <v>33</v>
      </c>
      <c r="K4367" s="2">
        <v>70.639200000000002</v>
      </c>
      <c r="L4367" s="2">
        <v>22</v>
      </c>
      <c r="M4367" s="2">
        <v>97.379199999999997</v>
      </c>
      <c r="N4367" s="2">
        <v>296</v>
      </c>
      <c r="O4367" s="2">
        <v>95.088800000000006</v>
      </c>
      <c r="P4367" s="2">
        <v>321</v>
      </c>
      <c r="Q4367" s="2">
        <v>105.9101</v>
      </c>
      <c r="R4367" s="2">
        <v>202</v>
      </c>
      <c r="S4367" s="2">
        <v>108.851</v>
      </c>
      <c r="T4367" s="2">
        <v>252</v>
      </c>
      <c r="U4367" s="2">
        <v>0.17444599999999999</v>
      </c>
      <c r="V4367" s="2">
        <v>317</v>
      </c>
      <c r="W4367" s="2">
        <v>2014</v>
      </c>
    </row>
    <row r="4368" spans="1:23" ht="12.3" hidden="1" x14ac:dyDescent="0.4">
      <c r="A4368" s="2" t="s">
        <v>357</v>
      </c>
      <c r="B4368" s="2"/>
      <c r="C4368" s="2"/>
      <c r="D4368" s="2"/>
      <c r="E4368" s="2"/>
      <c r="F4368" s="2"/>
      <c r="G4368" s="2"/>
      <c r="H4368" s="2"/>
      <c r="I4368" s="2">
        <v>66.470600000000005</v>
      </c>
      <c r="J4368" s="2">
        <v>174</v>
      </c>
      <c r="K4368" s="2">
        <v>66.615899999999996</v>
      </c>
      <c r="L4368" s="2">
        <v>164</v>
      </c>
      <c r="M4368" s="2">
        <v>101.2285</v>
      </c>
      <c r="N4368" s="2">
        <v>244</v>
      </c>
      <c r="O4368" s="2">
        <v>101.46769999999999</v>
      </c>
      <c r="P4368" s="2">
        <v>232</v>
      </c>
      <c r="Q4368" s="2">
        <v>115.6182</v>
      </c>
      <c r="R4368" s="2">
        <v>343</v>
      </c>
      <c r="S4368" s="2">
        <v>116.1845</v>
      </c>
      <c r="T4368" s="2">
        <v>338</v>
      </c>
      <c r="U4368" s="2">
        <v>0.17399800000000001</v>
      </c>
      <c r="V4368" s="2">
        <v>318</v>
      </c>
      <c r="W4368" s="2">
        <v>2014</v>
      </c>
    </row>
    <row r="4369" spans="1:23" ht="12.3" hidden="1" x14ac:dyDescent="0.4">
      <c r="A4369" s="2" t="s">
        <v>342</v>
      </c>
      <c r="B4369" s="2"/>
      <c r="C4369" s="2"/>
      <c r="D4369" s="2"/>
      <c r="E4369" s="2"/>
      <c r="F4369" s="2"/>
      <c r="G4369" s="2"/>
      <c r="H4369" s="2"/>
      <c r="I4369" s="2">
        <v>68.256200000000007</v>
      </c>
      <c r="J4369" s="2">
        <v>95</v>
      </c>
      <c r="K4369" s="2">
        <v>67.272800000000004</v>
      </c>
      <c r="L4369" s="2">
        <v>124</v>
      </c>
      <c r="M4369" s="2">
        <v>97.282700000000006</v>
      </c>
      <c r="N4369" s="2">
        <v>298</v>
      </c>
      <c r="O4369" s="2">
        <v>96.361400000000003</v>
      </c>
      <c r="P4369" s="2">
        <v>308</v>
      </c>
      <c r="Q4369" s="2">
        <v>109.5204</v>
      </c>
      <c r="R4369" s="2">
        <v>280</v>
      </c>
      <c r="S4369" s="2">
        <v>110.4063</v>
      </c>
      <c r="T4369" s="2">
        <v>281</v>
      </c>
      <c r="U4369" s="2">
        <v>0.17297199999999999</v>
      </c>
      <c r="V4369" s="2">
        <v>319</v>
      </c>
      <c r="W4369" s="2">
        <v>2014</v>
      </c>
    </row>
    <row r="4370" spans="1:23" ht="12.3" hidden="1" x14ac:dyDescent="0.4">
      <c r="A4370" s="2" t="s">
        <v>280</v>
      </c>
      <c r="B4370" s="2"/>
      <c r="C4370" s="2"/>
      <c r="D4370" s="2"/>
      <c r="E4370" s="2"/>
      <c r="F4370" s="2"/>
      <c r="G4370" s="2"/>
      <c r="H4370" s="2"/>
      <c r="I4370" s="2">
        <v>70.538799999999995</v>
      </c>
      <c r="J4370" s="2">
        <v>30</v>
      </c>
      <c r="K4370" s="2">
        <v>69.481800000000007</v>
      </c>
      <c r="L4370" s="2">
        <v>46</v>
      </c>
      <c r="M4370" s="2">
        <v>104.5069</v>
      </c>
      <c r="N4370" s="2">
        <v>175</v>
      </c>
      <c r="O4370" s="2">
        <v>103.0882</v>
      </c>
      <c r="P4370" s="2">
        <v>200</v>
      </c>
      <c r="Q4370" s="2">
        <v>116.4256</v>
      </c>
      <c r="R4370" s="2">
        <v>346</v>
      </c>
      <c r="S4370" s="2">
        <v>118.50279999999999</v>
      </c>
      <c r="T4370" s="2">
        <v>346</v>
      </c>
      <c r="U4370" s="2">
        <v>0.167626</v>
      </c>
      <c r="V4370" s="2">
        <v>320</v>
      </c>
      <c r="W4370" s="2">
        <v>2014</v>
      </c>
    </row>
    <row r="4371" spans="1:23" ht="12.3" hidden="1" x14ac:dyDescent="0.4">
      <c r="A4371" s="2" t="s">
        <v>261</v>
      </c>
      <c r="B4371" s="2"/>
      <c r="C4371" s="2"/>
      <c r="D4371" s="2"/>
      <c r="E4371" s="2"/>
      <c r="F4371" s="2"/>
      <c r="G4371" s="2"/>
      <c r="H4371" s="2"/>
      <c r="I4371" s="2">
        <v>63.830599999999997</v>
      </c>
      <c r="J4371" s="2">
        <v>295</v>
      </c>
      <c r="K4371" s="2">
        <v>63.805599999999998</v>
      </c>
      <c r="L4371" s="2">
        <v>298</v>
      </c>
      <c r="M4371" s="2">
        <v>95.296700000000001</v>
      </c>
      <c r="N4371" s="2">
        <v>323</v>
      </c>
      <c r="O4371" s="2">
        <v>94.416600000000003</v>
      </c>
      <c r="P4371" s="2">
        <v>327</v>
      </c>
      <c r="Q4371" s="2">
        <v>104.86620000000001</v>
      </c>
      <c r="R4371" s="2">
        <v>173</v>
      </c>
      <c r="S4371" s="2">
        <v>108.5727</v>
      </c>
      <c r="T4371" s="2">
        <v>249</v>
      </c>
      <c r="U4371" s="2">
        <v>0.16706299999999999</v>
      </c>
      <c r="V4371" s="2">
        <v>321</v>
      </c>
      <c r="W4371" s="2">
        <v>2014</v>
      </c>
    </row>
    <row r="4372" spans="1:23" ht="12.3" hidden="1" x14ac:dyDescent="0.4">
      <c r="A4372" s="2" t="s">
        <v>343</v>
      </c>
      <c r="B4372" s="2"/>
      <c r="C4372" s="2"/>
      <c r="D4372" s="2"/>
      <c r="E4372" s="2"/>
      <c r="F4372" s="2"/>
      <c r="G4372" s="2"/>
      <c r="H4372" s="2"/>
      <c r="I4372" s="2">
        <v>68.5291</v>
      </c>
      <c r="J4372" s="2">
        <v>79</v>
      </c>
      <c r="K4372" s="2">
        <v>68.092600000000004</v>
      </c>
      <c r="L4372" s="2">
        <v>90</v>
      </c>
      <c r="M4372" s="2">
        <v>104.0746</v>
      </c>
      <c r="N4372" s="2">
        <v>186</v>
      </c>
      <c r="O4372" s="2">
        <v>102.17400000000001</v>
      </c>
      <c r="P4372" s="2">
        <v>216</v>
      </c>
      <c r="Q4372" s="2">
        <v>116.0782</v>
      </c>
      <c r="R4372" s="2">
        <v>344</v>
      </c>
      <c r="S4372" s="2">
        <v>117.78270000000001</v>
      </c>
      <c r="T4372" s="2">
        <v>344</v>
      </c>
      <c r="U4372" s="2">
        <v>0.163162</v>
      </c>
      <c r="V4372" s="2">
        <v>322</v>
      </c>
      <c r="W4372" s="2">
        <v>2014</v>
      </c>
    </row>
    <row r="4373" spans="1:23" ht="12.3" hidden="1" x14ac:dyDescent="0.4">
      <c r="A4373" s="2" t="s">
        <v>265</v>
      </c>
      <c r="B4373" s="2"/>
      <c r="C4373" s="2"/>
      <c r="D4373" s="2"/>
      <c r="E4373" s="2"/>
      <c r="F4373" s="2"/>
      <c r="G4373" s="2"/>
      <c r="H4373" s="2"/>
      <c r="I4373" s="2">
        <v>60.590200000000003</v>
      </c>
      <c r="J4373" s="2">
        <v>345</v>
      </c>
      <c r="K4373" s="2">
        <v>60.021099999999997</v>
      </c>
      <c r="L4373" s="2">
        <v>348</v>
      </c>
      <c r="M4373" s="2">
        <v>97.250100000000003</v>
      </c>
      <c r="N4373" s="2">
        <v>301</v>
      </c>
      <c r="O4373" s="2">
        <v>97.406199999999998</v>
      </c>
      <c r="P4373" s="2">
        <v>296</v>
      </c>
      <c r="Q4373" s="2">
        <v>107.9288</v>
      </c>
      <c r="R4373" s="2">
        <v>249</v>
      </c>
      <c r="S4373" s="2">
        <v>112.6247</v>
      </c>
      <c r="T4373" s="2">
        <v>321</v>
      </c>
      <c r="U4373" s="2">
        <v>0.158495</v>
      </c>
      <c r="V4373" s="2">
        <v>323</v>
      </c>
      <c r="W4373" s="2">
        <v>2014</v>
      </c>
    </row>
    <row r="4374" spans="1:23" ht="12.3" hidden="1" x14ac:dyDescent="0.4">
      <c r="A4374" s="2" t="s">
        <v>351</v>
      </c>
      <c r="B4374" s="2"/>
      <c r="C4374" s="2"/>
      <c r="D4374" s="2"/>
      <c r="E4374" s="2"/>
      <c r="F4374" s="2"/>
      <c r="G4374" s="2"/>
      <c r="H4374" s="2"/>
      <c r="I4374" s="2">
        <v>67.579700000000003</v>
      </c>
      <c r="J4374" s="2">
        <v>124</v>
      </c>
      <c r="K4374" s="2">
        <v>66.83</v>
      </c>
      <c r="L4374" s="2">
        <v>148</v>
      </c>
      <c r="M4374" s="2">
        <v>93.0364</v>
      </c>
      <c r="N4374" s="2">
        <v>342</v>
      </c>
      <c r="O4374" s="2">
        <v>92.198999999999998</v>
      </c>
      <c r="P4374" s="2">
        <v>342</v>
      </c>
      <c r="Q4374" s="2">
        <v>105.759</v>
      </c>
      <c r="R4374" s="2">
        <v>198</v>
      </c>
      <c r="S4374" s="2">
        <v>106.6597</v>
      </c>
      <c r="T4374" s="2">
        <v>213</v>
      </c>
      <c r="U4374" s="2">
        <v>0.157695</v>
      </c>
      <c r="V4374" s="2">
        <v>324</v>
      </c>
      <c r="W4374" s="2">
        <v>2014</v>
      </c>
    </row>
    <row r="4375" spans="1:23" ht="12.3" hidden="1" x14ac:dyDescent="0.4">
      <c r="A4375" s="2" t="s">
        <v>383</v>
      </c>
      <c r="B4375" s="2"/>
      <c r="C4375" s="2"/>
      <c r="D4375" s="2"/>
      <c r="E4375" s="2"/>
      <c r="F4375" s="2"/>
      <c r="G4375" s="2"/>
      <c r="H4375" s="2"/>
      <c r="I4375" s="2">
        <v>64.569000000000003</v>
      </c>
      <c r="J4375" s="2">
        <v>270</v>
      </c>
      <c r="K4375" s="2">
        <v>64.829300000000003</v>
      </c>
      <c r="L4375" s="2">
        <v>256</v>
      </c>
      <c r="M4375" s="2">
        <v>93.897900000000007</v>
      </c>
      <c r="N4375" s="2">
        <v>334</v>
      </c>
      <c r="O4375" s="2">
        <v>95.067700000000002</v>
      </c>
      <c r="P4375" s="2">
        <v>322</v>
      </c>
      <c r="Q4375" s="2">
        <v>108.1221</v>
      </c>
      <c r="R4375" s="2">
        <v>255</v>
      </c>
      <c r="S4375" s="2">
        <v>110.6164</v>
      </c>
      <c r="T4375" s="2">
        <v>285</v>
      </c>
      <c r="U4375" s="2">
        <v>0.149059</v>
      </c>
      <c r="V4375" s="2">
        <v>325</v>
      </c>
      <c r="W4375" s="2">
        <v>2014</v>
      </c>
    </row>
    <row r="4376" spans="1:23" ht="12.3" hidden="1" x14ac:dyDescent="0.4">
      <c r="A4376" s="2" t="s">
        <v>252</v>
      </c>
      <c r="B4376" s="2"/>
      <c r="C4376" s="2"/>
      <c r="D4376" s="2"/>
      <c r="E4376" s="2"/>
      <c r="F4376" s="2"/>
      <c r="G4376" s="2"/>
      <c r="H4376" s="2"/>
      <c r="I4376" s="2">
        <v>68.056899999999999</v>
      </c>
      <c r="J4376" s="2">
        <v>105</v>
      </c>
      <c r="K4376" s="2">
        <v>68.674999999999997</v>
      </c>
      <c r="L4376" s="2">
        <v>66</v>
      </c>
      <c r="M4376" s="2">
        <v>93.340299999999999</v>
      </c>
      <c r="N4376" s="2">
        <v>339</v>
      </c>
      <c r="O4376" s="2">
        <v>92.573400000000007</v>
      </c>
      <c r="P4376" s="2">
        <v>340</v>
      </c>
      <c r="Q4376" s="2">
        <v>104.35169999999999</v>
      </c>
      <c r="R4376" s="2">
        <v>160</v>
      </c>
      <c r="S4376" s="2">
        <v>108.1871</v>
      </c>
      <c r="T4376" s="2">
        <v>236</v>
      </c>
      <c r="U4376" s="2">
        <v>0.14277899999999999</v>
      </c>
      <c r="V4376" s="2">
        <v>326</v>
      </c>
      <c r="W4376" s="2">
        <v>2014</v>
      </c>
    </row>
    <row r="4377" spans="1:23" ht="12.3" hidden="1" x14ac:dyDescent="0.4">
      <c r="A4377" s="2" t="s">
        <v>364</v>
      </c>
      <c r="B4377" s="2"/>
      <c r="C4377" s="2"/>
      <c r="D4377" s="2"/>
      <c r="E4377" s="2"/>
      <c r="F4377" s="2"/>
      <c r="G4377" s="2"/>
      <c r="H4377" s="2"/>
      <c r="I4377" s="2">
        <v>73.156800000000004</v>
      </c>
      <c r="J4377" s="2">
        <v>8</v>
      </c>
      <c r="K4377" s="2">
        <v>72.314499999999995</v>
      </c>
      <c r="L4377" s="2">
        <v>7</v>
      </c>
      <c r="M4377" s="2">
        <v>96.934799999999996</v>
      </c>
      <c r="N4377" s="2">
        <v>307</v>
      </c>
      <c r="O4377" s="2">
        <v>95.839100000000002</v>
      </c>
      <c r="P4377" s="2">
        <v>314</v>
      </c>
      <c r="Q4377" s="2">
        <v>111.1866</v>
      </c>
      <c r="R4377" s="2">
        <v>316</v>
      </c>
      <c r="S4377" s="2">
        <v>112.4049</v>
      </c>
      <c r="T4377" s="2">
        <v>317</v>
      </c>
      <c r="U4377" s="2">
        <v>0.137818</v>
      </c>
      <c r="V4377" s="2">
        <v>327</v>
      </c>
      <c r="W4377" s="2">
        <v>2014</v>
      </c>
    </row>
    <row r="4378" spans="1:23" ht="12.3" hidden="1" x14ac:dyDescent="0.4">
      <c r="A4378" s="2" t="s">
        <v>199</v>
      </c>
      <c r="B4378" s="2"/>
      <c r="C4378" s="2"/>
      <c r="D4378" s="2"/>
      <c r="E4378" s="2"/>
      <c r="F4378" s="2"/>
      <c r="G4378" s="2"/>
      <c r="H4378" s="2"/>
      <c r="I4378" s="2">
        <v>65.921700000000001</v>
      </c>
      <c r="J4378" s="2">
        <v>208</v>
      </c>
      <c r="K4378" s="2">
        <v>65.952299999999994</v>
      </c>
      <c r="L4378" s="2">
        <v>199</v>
      </c>
      <c r="M4378" s="2">
        <v>95.435400000000001</v>
      </c>
      <c r="N4378" s="2">
        <v>321</v>
      </c>
      <c r="O4378" s="2">
        <v>96.705799999999996</v>
      </c>
      <c r="P4378" s="2">
        <v>305</v>
      </c>
      <c r="Q4378" s="2">
        <v>114.8764</v>
      </c>
      <c r="R4378" s="2">
        <v>341</v>
      </c>
      <c r="S4378" s="2">
        <v>113.9149</v>
      </c>
      <c r="T4378" s="2">
        <v>330</v>
      </c>
      <c r="U4378" s="2">
        <v>0.131993</v>
      </c>
      <c r="V4378" s="2">
        <v>328</v>
      </c>
      <c r="W4378" s="2">
        <v>2014</v>
      </c>
    </row>
    <row r="4379" spans="1:23" ht="12.3" hidden="1" x14ac:dyDescent="0.4">
      <c r="A4379" s="2" t="s">
        <v>310</v>
      </c>
      <c r="B4379" s="2"/>
      <c r="C4379" s="2"/>
      <c r="D4379" s="2"/>
      <c r="E4379" s="2"/>
      <c r="F4379" s="2"/>
      <c r="G4379" s="2"/>
      <c r="H4379" s="2"/>
      <c r="I4379" s="2">
        <v>62.873800000000003</v>
      </c>
      <c r="J4379" s="2">
        <v>332</v>
      </c>
      <c r="K4379" s="2">
        <v>62.710299999999997</v>
      </c>
      <c r="L4379" s="2">
        <v>328</v>
      </c>
      <c r="M4379" s="2">
        <v>89.515900000000002</v>
      </c>
      <c r="N4379" s="2">
        <v>349</v>
      </c>
      <c r="O4379" s="2">
        <v>89.308099999999996</v>
      </c>
      <c r="P4379" s="2">
        <v>349</v>
      </c>
      <c r="Q4379" s="2">
        <v>102.6986</v>
      </c>
      <c r="R4379" s="2">
        <v>114</v>
      </c>
      <c r="S4379" s="2">
        <v>105.2505</v>
      </c>
      <c r="T4379" s="2">
        <v>178</v>
      </c>
      <c r="U4379" s="2">
        <v>0.13137099999999999</v>
      </c>
      <c r="V4379" s="2">
        <v>329</v>
      </c>
      <c r="W4379" s="2">
        <v>2014</v>
      </c>
    </row>
    <row r="4380" spans="1:23" ht="12.3" hidden="1" x14ac:dyDescent="0.4">
      <c r="A4380" s="2" t="s">
        <v>319</v>
      </c>
      <c r="B4380" s="2"/>
      <c r="C4380" s="2"/>
      <c r="D4380" s="2"/>
      <c r="E4380" s="2"/>
      <c r="F4380" s="2"/>
      <c r="G4380" s="2"/>
      <c r="H4380" s="2"/>
      <c r="I4380" s="2">
        <v>63.820999999999998</v>
      </c>
      <c r="J4380" s="2">
        <v>296</v>
      </c>
      <c r="K4380" s="2">
        <v>63.822800000000001</v>
      </c>
      <c r="L4380" s="2">
        <v>297</v>
      </c>
      <c r="M4380" s="2">
        <v>102.7137</v>
      </c>
      <c r="N4380" s="2">
        <v>216</v>
      </c>
      <c r="O4380" s="2">
        <v>97.855999999999995</v>
      </c>
      <c r="P4380" s="2">
        <v>288</v>
      </c>
      <c r="Q4380" s="2">
        <v>113.218</v>
      </c>
      <c r="R4380" s="2">
        <v>331</v>
      </c>
      <c r="S4380" s="2">
        <v>116.02930000000001</v>
      </c>
      <c r="T4380" s="2">
        <v>337</v>
      </c>
      <c r="U4380" s="2">
        <v>0.12357799999999999</v>
      </c>
      <c r="V4380" s="2">
        <v>330</v>
      </c>
      <c r="W4380" s="2">
        <v>2014</v>
      </c>
    </row>
    <row r="4381" spans="1:23" ht="12.3" hidden="1" x14ac:dyDescent="0.4">
      <c r="A4381" s="2" t="s">
        <v>253</v>
      </c>
      <c r="B4381" s="2"/>
      <c r="C4381" s="2"/>
      <c r="D4381" s="2"/>
      <c r="E4381" s="2"/>
      <c r="F4381" s="2"/>
      <c r="G4381" s="2"/>
      <c r="H4381" s="2"/>
      <c r="I4381" s="2">
        <v>66.3613</v>
      </c>
      <c r="J4381" s="2">
        <v>181</v>
      </c>
      <c r="K4381" s="2">
        <v>66.173199999999994</v>
      </c>
      <c r="L4381" s="2">
        <v>186</v>
      </c>
      <c r="M4381" s="2">
        <v>95.902100000000004</v>
      </c>
      <c r="N4381" s="2">
        <v>318</v>
      </c>
      <c r="O4381" s="2">
        <v>91.487399999999994</v>
      </c>
      <c r="P4381" s="2">
        <v>348</v>
      </c>
      <c r="Q4381" s="2">
        <v>108.1298</v>
      </c>
      <c r="R4381" s="2">
        <v>256</v>
      </c>
      <c r="S4381" s="2">
        <v>108.9145</v>
      </c>
      <c r="T4381" s="2">
        <v>253</v>
      </c>
      <c r="U4381" s="2">
        <v>0.118662</v>
      </c>
      <c r="V4381" s="2">
        <v>331</v>
      </c>
      <c r="W4381" s="2">
        <v>2014</v>
      </c>
    </row>
    <row r="4382" spans="1:23" ht="12.3" hidden="1" x14ac:dyDescent="0.4">
      <c r="A4382" s="2" t="s">
        <v>242</v>
      </c>
      <c r="B4382" s="2"/>
      <c r="C4382" s="2"/>
      <c r="D4382" s="2"/>
      <c r="E4382" s="2"/>
      <c r="F4382" s="2"/>
      <c r="G4382" s="2"/>
      <c r="H4382" s="2"/>
      <c r="I4382" s="2">
        <v>67.213899999999995</v>
      </c>
      <c r="J4382" s="2">
        <v>138</v>
      </c>
      <c r="K4382" s="2">
        <v>67.775800000000004</v>
      </c>
      <c r="L4382" s="2">
        <v>103</v>
      </c>
      <c r="M4382" s="2">
        <v>88.649199999999993</v>
      </c>
      <c r="N4382" s="2">
        <v>351</v>
      </c>
      <c r="O4382" s="2">
        <v>87.772099999999995</v>
      </c>
      <c r="P4382" s="2">
        <v>351</v>
      </c>
      <c r="Q4382" s="2">
        <v>105.7744</v>
      </c>
      <c r="R4382" s="2">
        <v>199</v>
      </c>
      <c r="S4382" s="2">
        <v>104.6412</v>
      </c>
      <c r="T4382" s="2">
        <v>170</v>
      </c>
      <c r="U4382" s="2">
        <v>0.11695</v>
      </c>
      <c r="V4382" s="2">
        <v>332</v>
      </c>
      <c r="W4382" s="2">
        <v>2014</v>
      </c>
    </row>
    <row r="4383" spans="1:23" ht="12.3" hidden="1" x14ac:dyDescent="0.4">
      <c r="A4383" s="2" t="s">
        <v>315</v>
      </c>
      <c r="B4383" s="2"/>
      <c r="C4383" s="2"/>
      <c r="D4383" s="2"/>
      <c r="E4383" s="2"/>
      <c r="F4383" s="2"/>
      <c r="G4383" s="2"/>
      <c r="H4383" s="2"/>
      <c r="I4383" s="2">
        <v>65.629099999999994</v>
      </c>
      <c r="J4383" s="2">
        <v>220</v>
      </c>
      <c r="K4383" s="2">
        <v>65.853999999999999</v>
      </c>
      <c r="L4383" s="2">
        <v>203</v>
      </c>
      <c r="M4383" s="2">
        <v>92.228899999999996</v>
      </c>
      <c r="N4383" s="2">
        <v>346</v>
      </c>
      <c r="O4383" s="2">
        <v>92.1708</v>
      </c>
      <c r="P4383" s="2">
        <v>343</v>
      </c>
      <c r="Q4383" s="2">
        <v>107.538</v>
      </c>
      <c r="R4383" s="2">
        <v>245</v>
      </c>
      <c r="S4383" s="2">
        <v>110.10509999999999</v>
      </c>
      <c r="T4383" s="2">
        <v>278</v>
      </c>
      <c r="U4383" s="2">
        <v>0.11459800000000001</v>
      </c>
      <c r="V4383" s="2">
        <v>333</v>
      </c>
      <c r="W4383" s="2">
        <v>2014</v>
      </c>
    </row>
    <row r="4384" spans="1:23" ht="12.3" hidden="1" x14ac:dyDescent="0.4">
      <c r="A4384" s="2" t="s">
        <v>321</v>
      </c>
      <c r="B4384" s="2"/>
      <c r="C4384" s="2"/>
      <c r="D4384" s="2"/>
      <c r="E4384" s="2"/>
      <c r="F4384" s="2"/>
      <c r="G4384" s="2"/>
      <c r="H4384" s="2"/>
      <c r="I4384" s="2">
        <v>66.558000000000007</v>
      </c>
      <c r="J4384" s="2">
        <v>167</v>
      </c>
      <c r="K4384" s="2">
        <v>67.023799999999994</v>
      </c>
      <c r="L4384" s="2">
        <v>138</v>
      </c>
      <c r="M4384" s="2">
        <v>98.871200000000002</v>
      </c>
      <c r="N4384" s="2">
        <v>281</v>
      </c>
      <c r="O4384" s="2">
        <v>99.973299999999995</v>
      </c>
      <c r="P4384" s="2">
        <v>259</v>
      </c>
      <c r="Q4384" s="2">
        <v>114.2107</v>
      </c>
      <c r="R4384" s="2">
        <v>337</v>
      </c>
      <c r="S4384" s="2">
        <v>119.71810000000001</v>
      </c>
      <c r="T4384" s="2">
        <v>349</v>
      </c>
      <c r="U4384" s="2">
        <v>0.111776</v>
      </c>
      <c r="V4384" s="2">
        <v>334</v>
      </c>
      <c r="W4384" s="2">
        <v>2014</v>
      </c>
    </row>
    <row r="4385" spans="1:23" ht="12.3" hidden="1" x14ac:dyDescent="0.4">
      <c r="A4385" s="2" t="s">
        <v>298</v>
      </c>
      <c r="B4385" s="2"/>
      <c r="C4385" s="2"/>
      <c r="D4385" s="2"/>
      <c r="E4385" s="2"/>
      <c r="F4385" s="2"/>
      <c r="G4385" s="2"/>
      <c r="H4385" s="2"/>
      <c r="I4385" s="2">
        <v>64.016400000000004</v>
      </c>
      <c r="J4385" s="2">
        <v>290</v>
      </c>
      <c r="K4385" s="2">
        <v>63.636400000000002</v>
      </c>
      <c r="L4385" s="2">
        <v>302</v>
      </c>
      <c r="M4385" s="2">
        <v>95.858199999999997</v>
      </c>
      <c r="N4385" s="2">
        <v>319</v>
      </c>
      <c r="O4385" s="2">
        <v>94.417199999999994</v>
      </c>
      <c r="P4385" s="2">
        <v>326</v>
      </c>
      <c r="Q4385" s="2">
        <v>112.5141</v>
      </c>
      <c r="R4385" s="2">
        <v>326</v>
      </c>
      <c r="S4385" s="2">
        <v>113.5348</v>
      </c>
      <c r="T4385" s="2">
        <v>328</v>
      </c>
      <c r="U4385" s="2">
        <v>0.107126</v>
      </c>
      <c r="V4385" s="2">
        <v>335</v>
      </c>
      <c r="W4385" s="2">
        <v>2014</v>
      </c>
    </row>
    <row r="4386" spans="1:23" ht="12.3" hidden="1" x14ac:dyDescent="0.4">
      <c r="A4386" s="2" t="s">
        <v>313</v>
      </c>
      <c r="B4386" s="2"/>
      <c r="C4386" s="2"/>
      <c r="D4386" s="2"/>
      <c r="E4386" s="2"/>
      <c r="F4386" s="2"/>
      <c r="G4386" s="2"/>
      <c r="H4386" s="2"/>
      <c r="I4386" s="2">
        <v>62.5199</v>
      </c>
      <c r="J4386" s="2">
        <v>337</v>
      </c>
      <c r="K4386" s="2">
        <v>62.572099999999999</v>
      </c>
      <c r="L4386" s="2">
        <v>330</v>
      </c>
      <c r="M4386" s="2">
        <v>97.562700000000007</v>
      </c>
      <c r="N4386" s="2">
        <v>293</v>
      </c>
      <c r="O4386" s="2">
        <v>96.727000000000004</v>
      </c>
      <c r="P4386" s="2">
        <v>304</v>
      </c>
      <c r="Q4386" s="2">
        <v>112.6396</v>
      </c>
      <c r="R4386" s="2">
        <v>327</v>
      </c>
      <c r="S4386" s="2">
        <v>116.4152</v>
      </c>
      <c r="T4386" s="2">
        <v>340</v>
      </c>
      <c r="U4386" s="2">
        <v>0.106157</v>
      </c>
      <c r="V4386" s="2">
        <v>336</v>
      </c>
      <c r="W4386" s="2">
        <v>2014</v>
      </c>
    </row>
    <row r="4387" spans="1:23" ht="12.3" hidden="1" x14ac:dyDescent="0.4">
      <c r="A4387" s="2" t="s">
        <v>309</v>
      </c>
      <c r="B4387" s="2"/>
      <c r="C4387" s="2"/>
      <c r="D4387" s="2"/>
      <c r="E4387" s="2"/>
      <c r="F4387" s="2"/>
      <c r="G4387" s="2"/>
      <c r="H4387" s="2"/>
      <c r="I4387" s="2">
        <v>73.913300000000007</v>
      </c>
      <c r="J4387" s="2">
        <v>3</v>
      </c>
      <c r="K4387" s="2">
        <v>74.661000000000001</v>
      </c>
      <c r="L4387" s="2">
        <v>2</v>
      </c>
      <c r="M4387" s="2">
        <v>95.113799999999998</v>
      </c>
      <c r="N4387" s="2">
        <v>328</v>
      </c>
      <c r="O4387" s="2">
        <v>95.51</v>
      </c>
      <c r="P4387" s="2">
        <v>317</v>
      </c>
      <c r="Q4387" s="2">
        <v>112.84529999999999</v>
      </c>
      <c r="R4387" s="2">
        <v>330</v>
      </c>
      <c r="S4387" s="2">
        <v>115.0916</v>
      </c>
      <c r="T4387" s="2">
        <v>335</v>
      </c>
      <c r="U4387" s="2">
        <v>0.104825</v>
      </c>
      <c r="V4387" s="2">
        <v>337</v>
      </c>
      <c r="W4387" s="2">
        <v>2014</v>
      </c>
    </row>
    <row r="4388" spans="1:23" ht="12.3" hidden="1" x14ac:dyDescent="0.4">
      <c r="A4388" s="2" t="s">
        <v>361</v>
      </c>
      <c r="B4388" s="2"/>
      <c r="C4388" s="2"/>
      <c r="D4388" s="2"/>
      <c r="E4388" s="2"/>
      <c r="F4388" s="2"/>
      <c r="G4388" s="2"/>
      <c r="H4388" s="2"/>
      <c r="I4388" s="2">
        <v>68.512500000000003</v>
      </c>
      <c r="J4388" s="2">
        <v>81</v>
      </c>
      <c r="K4388" s="2">
        <v>67.982299999999995</v>
      </c>
      <c r="L4388" s="2">
        <v>98</v>
      </c>
      <c r="M4388" s="2">
        <v>93.251599999999996</v>
      </c>
      <c r="N4388" s="2">
        <v>341</v>
      </c>
      <c r="O4388" s="2">
        <v>92.493899999999996</v>
      </c>
      <c r="P4388" s="2">
        <v>341</v>
      </c>
      <c r="Q4388" s="2">
        <v>110.9502</v>
      </c>
      <c r="R4388" s="2">
        <v>310</v>
      </c>
      <c r="S4388" s="2">
        <v>111.6311</v>
      </c>
      <c r="T4388" s="2">
        <v>306</v>
      </c>
      <c r="U4388" s="2">
        <v>0.103155</v>
      </c>
      <c r="V4388" s="2">
        <v>338</v>
      </c>
      <c r="W4388" s="2">
        <v>2014</v>
      </c>
    </row>
    <row r="4389" spans="1:23" ht="12.3" hidden="1" x14ac:dyDescent="0.4">
      <c r="A4389" s="2" t="s">
        <v>266</v>
      </c>
      <c r="B4389" s="2"/>
      <c r="C4389" s="2"/>
      <c r="D4389" s="2"/>
      <c r="E4389" s="2"/>
      <c r="F4389" s="2"/>
      <c r="G4389" s="2"/>
      <c r="H4389" s="2"/>
      <c r="I4389" s="2">
        <v>69.369200000000006</v>
      </c>
      <c r="J4389" s="2">
        <v>54</v>
      </c>
      <c r="K4389" s="2">
        <v>68.338999999999999</v>
      </c>
      <c r="L4389" s="2">
        <v>78</v>
      </c>
      <c r="M4389" s="2">
        <v>95.915099999999995</v>
      </c>
      <c r="N4389" s="2">
        <v>317</v>
      </c>
      <c r="O4389" s="2">
        <v>93.147199999999998</v>
      </c>
      <c r="P4389" s="2">
        <v>337</v>
      </c>
      <c r="Q4389" s="2">
        <v>111.4311</v>
      </c>
      <c r="R4389" s="2">
        <v>320</v>
      </c>
      <c r="S4389" s="2">
        <v>112.47880000000001</v>
      </c>
      <c r="T4389" s="2">
        <v>319</v>
      </c>
      <c r="U4389" s="2">
        <v>0.10259600000000001</v>
      </c>
      <c r="V4389" s="2">
        <v>339</v>
      </c>
      <c r="W4389" s="2">
        <v>2014</v>
      </c>
    </row>
    <row r="4390" spans="1:23" ht="12.3" hidden="1" x14ac:dyDescent="0.4">
      <c r="A4390" s="2" t="s">
        <v>195</v>
      </c>
      <c r="B4390" s="2"/>
      <c r="C4390" s="2"/>
      <c r="D4390" s="2"/>
      <c r="E4390" s="2"/>
      <c r="F4390" s="2"/>
      <c r="G4390" s="2"/>
      <c r="H4390" s="2"/>
      <c r="I4390" s="2">
        <v>64.867199999999997</v>
      </c>
      <c r="J4390" s="2">
        <v>254</v>
      </c>
      <c r="K4390" s="2">
        <v>65.621300000000005</v>
      </c>
      <c r="L4390" s="2">
        <v>213</v>
      </c>
      <c r="M4390" s="2">
        <v>96.905799999999999</v>
      </c>
      <c r="N4390" s="2">
        <v>308</v>
      </c>
      <c r="O4390" s="2">
        <v>94.866699999999994</v>
      </c>
      <c r="P4390" s="2">
        <v>324</v>
      </c>
      <c r="Q4390" s="2">
        <v>112.3206</v>
      </c>
      <c r="R4390" s="2">
        <v>325</v>
      </c>
      <c r="S4390" s="2">
        <v>114.581</v>
      </c>
      <c r="T4390" s="2">
        <v>333</v>
      </c>
      <c r="U4390" s="2">
        <v>0.102357</v>
      </c>
      <c r="V4390" s="2">
        <v>340</v>
      </c>
      <c r="W4390" s="2">
        <v>2014</v>
      </c>
    </row>
    <row r="4391" spans="1:23" ht="12.3" hidden="1" x14ac:dyDescent="0.4">
      <c r="A4391" s="2" t="s">
        <v>296</v>
      </c>
      <c r="B4391" s="2"/>
      <c r="C4391" s="2"/>
      <c r="D4391" s="2"/>
      <c r="E4391" s="2"/>
      <c r="F4391" s="2"/>
      <c r="G4391" s="2"/>
      <c r="H4391" s="2"/>
      <c r="I4391" s="2">
        <v>67.328800000000001</v>
      </c>
      <c r="J4391" s="2">
        <v>134</v>
      </c>
      <c r="K4391" s="2">
        <v>67.004499999999993</v>
      </c>
      <c r="L4391" s="2">
        <v>139</v>
      </c>
      <c r="M4391" s="2">
        <v>94.646900000000002</v>
      </c>
      <c r="N4391" s="2">
        <v>330</v>
      </c>
      <c r="O4391" s="2">
        <v>93.357799999999997</v>
      </c>
      <c r="P4391" s="2">
        <v>335</v>
      </c>
      <c r="Q4391" s="2">
        <v>107.8573</v>
      </c>
      <c r="R4391" s="2">
        <v>248</v>
      </c>
      <c r="S4391" s="2">
        <v>112.8049</v>
      </c>
      <c r="T4391" s="2">
        <v>322</v>
      </c>
      <c r="U4391" s="2">
        <v>0.101923</v>
      </c>
      <c r="V4391" s="2">
        <v>341</v>
      </c>
      <c r="W4391" s="2">
        <v>2014</v>
      </c>
    </row>
    <row r="4392" spans="1:23" ht="12.3" hidden="1" x14ac:dyDescent="0.4">
      <c r="A4392" s="2" t="s">
        <v>333</v>
      </c>
      <c r="B4392" s="2"/>
      <c r="C4392" s="2"/>
      <c r="D4392" s="2"/>
      <c r="E4392" s="2"/>
      <c r="F4392" s="2"/>
      <c r="G4392" s="2"/>
      <c r="H4392" s="2"/>
      <c r="I4392" s="2">
        <v>65.170699999999997</v>
      </c>
      <c r="J4392" s="2">
        <v>241</v>
      </c>
      <c r="K4392" s="2">
        <v>65.505700000000004</v>
      </c>
      <c r="L4392" s="2">
        <v>220</v>
      </c>
      <c r="M4392" s="2">
        <v>96.566800000000001</v>
      </c>
      <c r="N4392" s="2">
        <v>312</v>
      </c>
      <c r="O4392" s="2">
        <v>100.2458</v>
      </c>
      <c r="P4392" s="2">
        <v>253</v>
      </c>
      <c r="Q4392" s="2">
        <v>120.4422</v>
      </c>
      <c r="R4392" s="2">
        <v>351</v>
      </c>
      <c r="S4392" s="2">
        <v>121.328</v>
      </c>
      <c r="T4392" s="2">
        <v>350</v>
      </c>
      <c r="U4392" s="2">
        <v>0.10019699999999999</v>
      </c>
      <c r="V4392" s="2">
        <v>342</v>
      </c>
      <c r="W4392" s="2">
        <v>2014</v>
      </c>
    </row>
    <row r="4393" spans="1:23" ht="12.3" hidden="1" x14ac:dyDescent="0.4">
      <c r="A4393" s="2" t="s">
        <v>374</v>
      </c>
      <c r="B4393" s="2"/>
      <c r="C4393" s="2"/>
      <c r="D4393" s="2"/>
      <c r="E4393" s="2"/>
      <c r="F4393" s="2"/>
      <c r="G4393" s="2"/>
      <c r="H4393" s="2"/>
      <c r="I4393" s="2">
        <v>69.724900000000005</v>
      </c>
      <c r="J4393" s="2">
        <v>45</v>
      </c>
      <c r="K4393" s="2">
        <v>69.899000000000001</v>
      </c>
      <c r="L4393" s="2">
        <v>35</v>
      </c>
      <c r="M4393" s="2">
        <v>93.436000000000007</v>
      </c>
      <c r="N4393" s="2">
        <v>337</v>
      </c>
      <c r="O4393" s="2">
        <v>92.0137</v>
      </c>
      <c r="P4393" s="2">
        <v>344</v>
      </c>
      <c r="Q4393" s="2">
        <v>110.9743</v>
      </c>
      <c r="R4393" s="2">
        <v>311</v>
      </c>
      <c r="S4393" s="2">
        <v>111.9585</v>
      </c>
      <c r="T4393" s="2">
        <v>313</v>
      </c>
      <c r="U4393" s="2">
        <v>9.4815999999999998E-2</v>
      </c>
      <c r="V4393" s="2">
        <v>343</v>
      </c>
      <c r="W4393" s="2">
        <v>2014</v>
      </c>
    </row>
    <row r="4394" spans="1:23" ht="12.3" hidden="1" x14ac:dyDescent="0.4">
      <c r="A4394" s="2" t="s">
        <v>288</v>
      </c>
      <c r="B4394" s="2"/>
      <c r="C4394" s="2"/>
      <c r="D4394" s="2"/>
      <c r="E4394" s="2"/>
      <c r="F4394" s="2"/>
      <c r="G4394" s="2"/>
      <c r="H4394" s="2"/>
      <c r="I4394" s="2">
        <v>66.765500000000003</v>
      </c>
      <c r="J4394" s="2">
        <v>159</v>
      </c>
      <c r="K4394" s="2">
        <v>66.394400000000005</v>
      </c>
      <c r="L4394" s="2">
        <v>175</v>
      </c>
      <c r="M4394" s="2">
        <v>91.672700000000006</v>
      </c>
      <c r="N4394" s="2">
        <v>347</v>
      </c>
      <c r="O4394" s="2">
        <v>91.755799999999994</v>
      </c>
      <c r="P4394" s="2">
        <v>346</v>
      </c>
      <c r="Q4394" s="2">
        <v>108.5093</v>
      </c>
      <c r="R4394" s="2">
        <v>264</v>
      </c>
      <c r="S4394" s="2">
        <v>111.8639</v>
      </c>
      <c r="T4394" s="2">
        <v>309</v>
      </c>
      <c r="U4394" s="2">
        <v>9.2897999999999994E-2</v>
      </c>
      <c r="V4394" s="2">
        <v>344</v>
      </c>
      <c r="W4394" s="2">
        <v>2014</v>
      </c>
    </row>
    <row r="4395" spans="1:23" ht="12.3" hidden="1" x14ac:dyDescent="0.4">
      <c r="A4395" s="2" t="s">
        <v>299</v>
      </c>
      <c r="B4395" s="2"/>
      <c r="C4395" s="2"/>
      <c r="D4395" s="2"/>
      <c r="E4395" s="2"/>
      <c r="F4395" s="2"/>
      <c r="G4395" s="2"/>
      <c r="H4395" s="2"/>
      <c r="I4395" s="2">
        <v>73.223299999999995</v>
      </c>
      <c r="J4395" s="2">
        <v>7</v>
      </c>
      <c r="K4395" s="2">
        <v>72.733099999999993</v>
      </c>
      <c r="L4395" s="2">
        <v>5</v>
      </c>
      <c r="M4395" s="2">
        <v>94.189300000000003</v>
      </c>
      <c r="N4395" s="2">
        <v>332</v>
      </c>
      <c r="O4395" s="2">
        <v>93.923000000000002</v>
      </c>
      <c r="P4395" s="2">
        <v>332</v>
      </c>
      <c r="Q4395" s="2">
        <v>111.17230000000001</v>
      </c>
      <c r="R4395" s="2">
        <v>314</v>
      </c>
      <c r="S4395" s="2">
        <v>114.514</v>
      </c>
      <c r="T4395" s="2">
        <v>332</v>
      </c>
      <c r="U4395" s="2">
        <v>9.2829999999999996E-2</v>
      </c>
      <c r="V4395" s="2">
        <v>345</v>
      </c>
      <c r="W4395" s="2">
        <v>2014</v>
      </c>
    </row>
    <row r="4396" spans="1:23" ht="12.3" hidden="1" x14ac:dyDescent="0.4">
      <c r="A4396" s="2" t="s">
        <v>179</v>
      </c>
      <c r="B4396" s="2"/>
      <c r="C4396" s="2"/>
      <c r="D4396" s="2"/>
      <c r="E4396" s="2"/>
      <c r="F4396" s="2"/>
      <c r="G4396" s="2"/>
      <c r="H4396" s="2"/>
      <c r="I4396" s="2">
        <v>65.535799999999995</v>
      </c>
      <c r="J4396" s="2">
        <v>224</v>
      </c>
      <c r="K4396" s="2">
        <v>64.962500000000006</v>
      </c>
      <c r="L4396" s="2">
        <v>249</v>
      </c>
      <c r="M4396" s="2">
        <v>97.309299999999993</v>
      </c>
      <c r="N4396" s="2">
        <v>297</v>
      </c>
      <c r="O4396" s="2">
        <v>97.44</v>
      </c>
      <c r="P4396" s="2">
        <v>295</v>
      </c>
      <c r="Q4396" s="2">
        <v>114.0962</v>
      </c>
      <c r="R4396" s="2">
        <v>336</v>
      </c>
      <c r="S4396" s="2">
        <v>118.8532</v>
      </c>
      <c r="T4396" s="2">
        <v>347</v>
      </c>
      <c r="U4396" s="2">
        <v>9.2414999999999997E-2</v>
      </c>
      <c r="V4396" s="2">
        <v>346</v>
      </c>
      <c r="W4396" s="2">
        <v>2014</v>
      </c>
    </row>
    <row r="4397" spans="1:23" ht="12.3" hidden="1" x14ac:dyDescent="0.4">
      <c r="A4397" s="2" t="s">
        <v>359</v>
      </c>
      <c r="B4397" s="2"/>
      <c r="C4397" s="2"/>
      <c r="D4397" s="2"/>
      <c r="E4397" s="2"/>
      <c r="F4397" s="2"/>
      <c r="G4397" s="2"/>
      <c r="H4397" s="2"/>
      <c r="I4397" s="2">
        <v>69.261200000000002</v>
      </c>
      <c r="J4397" s="2">
        <v>57</v>
      </c>
      <c r="K4397" s="2">
        <v>68.255499999999998</v>
      </c>
      <c r="L4397" s="2">
        <v>80</v>
      </c>
      <c r="M4397" s="2">
        <v>96.905000000000001</v>
      </c>
      <c r="N4397" s="2">
        <v>309</v>
      </c>
      <c r="O4397" s="2">
        <v>96.332599999999999</v>
      </c>
      <c r="P4397" s="2">
        <v>310</v>
      </c>
      <c r="Q4397" s="2">
        <v>117.956</v>
      </c>
      <c r="R4397" s="2">
        <v>350</v>
      </c>
      <c r="S4397" s="2">
        <v>117.7423</v>
      </c>
      <c r="T4397" s="2">
        <v>343</v>
      </c>
      <c r="U4397" s="2">
        <v>9.0467000000000006E-2</v>
      </c>
      <c r="V4397" s="2">
        <v>347</v>
      </c>
      <c r="W4397" s="2">
        <v>2014</v>
      </c>
    </row>
    <row r="4398" spans="1:23" ht="12.3" hidden="1" x14ac:dyDescent="0.4">
      <c r="A4398" s="2" t="s">
        <v>384</v>
      </c>
      <c r="B4398" s="2" t="e">
        <v>#N/A</v>
      </c>
      <c r="C4398" s="2"/>
      <c r="D4398" s="2"/>
      <c r="E4398" s="2"/>
      <c r="F4398" s="2"/>
      <c r="G4398" s="2"/>
      <c r="H4398" s="2"/>
      <c r="I4398" s="2">
        <v>66.135400000000004</v>
      </c>
      <c r="J4398" s="2">
        <v>193</v>
      </c>
      <c r="K4398" s="2">
        <v>64.863600000000005</v>
      </c>
      <c r="L4398" s="2">
        <v>254</v>
      </c>
      <c r="M4398" s="2">
        <v>93.354100000000003</v>
      </c>
      <c r="N4398" s="2">
        <v>338</v>
      </c>
      <c r="O4398" s="2">
        <v>94.740700000000004</v>
      </c>
      <c r="P4398" s="2">
        <v>325</v>
      </c>
      <c r="Q4398" s="2">
        <v>116.94</v>
      </c>
      <c r="R4398" s="2">
        <v>349</v>
      </c>
      <c r="S4398" s="2">
        <v>116.97580000000001</v>
      </c>
      <c r="T4398" s="2">
        <v>342</v>
      </c>
      <c r="U4398" s="2">
        <v>8.1325999999999996E-2</v>
      </c>
      <c r="V4398" s="2">
        <v>348</v>
      </c>
      <c r="W4398" s="2">
        <v>2014</v>
      </c>
    </row>
    <row r="4399" spans="1:23" ht="12.3" hidden="1" x14ac:dyDescent="0.4">
      <c r="A4399" s="2" t="s">
        <v>329</v>
      </c>
      <c r="B4399" s="2" t="e">
        <v>#N/A</v>
      </c>
      <c r="C4399" s="2"/>
      <c r="D4399" s="2"/>
      <c r="E4399" s="2"/>
      <c r="F4399" s="2"/>
      <c r="G4399" s="2"/>
      <c r="H4399" s="2"/>
      <c r="I4399" s="2">
        <v>69.138900000000007</v>
      </c>
      <c r="J4399" s="2">
        <v>64</v>
      </c>
      <c r="K4399" s="2">
        <v>68.054900000000004</v>
      </c>
      <c r="L4399" s="2">
        <v>95</v>
      </c>
      <c r="M4399" s="2">
        <v>95.178600000000003</v>
      </c>
      <c r="N4399" s="2">
        <v>326</v>
      </c>
      <c r="O4399" s="2">
        <v>97.563199999999995</v>
      </c>
      <c r="P4399" s="2">
        <v>292</v>
      </c>
      <c r="Q4399" s="2">
        <v>116.8903</v>
      </c>
      <c r="R4399" s="2">
        <v>348</v>
      </c>
      <c r="S4399" s="2">
        <v>121.4862</v>
      </c>
      <c r="T4399" s="2">
        <v>351</v>
      </c>
      <c r="U4399" s="2">
        <v>7.4333999999999997E-2</v>
      </c>
      <c r="V4399" s="2">
        <v>349</v>
      </c>
      <c r="W4399" s="2">
        <v>2014</v>
      </c>
    </row>
    <row r="4400" spans="1:23" ht="12.3" hidden="1" x14ac:dyDescent="0.4">
      <c r="A4400" s="2" t="s">
        <v>368</v>
      </c>
      <c r="B4400" s="2" t="e">
        <v>#N/A</v>
      </c>
      <c r="C4400" s="2"/>
      <c r="D4400" s="2"/>
      <c r="E4400" s="2"/>
      <c r="F4400" s="2"/>
      <c r="G4400" s="2"/>
      <c r="H4400" s="2"/>
      <c r="I4400" s="2">
        <v>66.218299999999999</v>
      </c>
      <c r="J4400" s="2">
        <v>192</v>
      </c>
      <c r="K4400" s="2">
        <v>65.593900000000005</v>
      </c>
      <c r="L4400" s="2">
        <v>217</v>
      </c>
      <c r="M4400" s="2">
        <v>96.484999999999999</v>
      </c>
      <c r="N4400" s="2">
        <v>313</v>
      </c>
      <c r="O4400" s="2">
        <v>95.138000000000005</v>
      </c>
      <c r="P4400" s="2">
        <v>320</v>
      </c>
      <c r="Q4400" s="2">
        <v>116.6399</v>
      </c>
      <c r="R4400" s="2">
        <v>347</v>
      </c>
      <c r="S4400" s="2">
        <v>119.17570000000001</v>
      </c>
      <c r="T4400" s="2">
        <v>348</v>
      </c>
      <c r="U4400" s="2">
        <v>6.9746000000000002E-2</v>
      </c>
      <c r="V4400" s="2">
        <v>350</v>
      </c>
      <c r="W4400" s="2">
        <v>2014</v>
      </c>
    </row>
    <row r="4401" spans="1:23" ht="12.3" hidden="1" x14ac:dyDescent="0.4">
      <c r="A4401" s="2" t="s">
        <v>237</v>
      </c>
      <c r="B4401" s="2" t="e">
        <v>#N/A</v>
      </c>
      <c r="C4401" s="2"/>
      <c r="D4401" s="2"/>
      <c r="E4401" s="2"/>
      <c r="F4401" s="2"/>
      <c r="G4401" s="2"/>
      <c r="H4401" s="2"/>
      <c r="I4401" s="2">
        <v>64.611599999999996</v>
      </c>
      <c r="J4401" s="2">
        <v>269</v>
      </c>
      <c r="K4401" s="2">
        <v>65.721000000000004</v>
      </c>
      <c r="L4401" s="2">
        <v>208</v>
      </c>
      <c r="M4401" s="2">
        <v>88.978899999999996</v>
      </c>
      <c r="N4401" s="2">
        <v>350</v>
      </c>
      <c r="O4401" s="2">
        <v>88.975800000000007</v>
      </c>
      <c r="P4401" s="2">
        <v>350</v>
      </c>
      <c r="Q4401" s="2">
        <v>115.33199999999999</v>
      </c>
      <c r="R4401" s="2">
        <v>342</v>
      </c>
      <c r="S4401" s="2">
        <v>113.0346</v>
      </c>
      <c r="T4401" s="2">
        <v>323</v>
      </c>
      <c r="U4401" s="2">
        <v>5.9957999999999997E-2</v>
      </c>
      <c r="V4401" s="2">
        <v>351</v>
      </c>
      <c r="W4401" s="2">
        <v>2014</v>
      </c>
    </row>
  </sheetData>
  <autoFilter ref="A1:W4401" xr:uid="{00000000-0009-0000-0000-000001000000}">
    <filterColumn colId="1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  <sortState xmlns:xlrd2="http://schemas.microsoft.com/office/spreadsheetml/2017/richdata2" ref="A2:W4287">
      <sortCondition descending="1" ref="W1:W44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328"/>
  <sheetViews>
    <sheetView workbookViewId="0"/>
  </sheetViews>
  <sheetFormatPr defaultColWidth="14.44140625" defaultRowHeight="15.75" customHeight="1" x14ac:dyDescent="0.4"/>
  <cols>
    <col min="2" max="2" width="4.27734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32</v>
      </c>
      <c r="B2" s="2">
        <v>1</v>
      </c>
      <c r="C2" s="2" t="s">
        <v>33</v>
      </c>
      <c r="D2" s="2" t="s">
        <v>33</v>
      </c>
      <c r="E2" s="2"/>
      <c r="F2" s="2"/>
      <c r="G2" s="2"/>
      <c r="H2" s="2"/>
      <c r="I2" s="2">
        <v>77.073400000000007</v>
      </c>
      <c r="J2" s="2">
        <v>8</v>
      </c>
      <c r="K2" s="2">
        <v>75.168499999999995</v>
      </c>
      <c r="L2" s="2">
        <v>15</v>
      </c>
      <c r="M2" s="2">
        <v>116.37260000000001</v>
      </c>
      <c r="N2" s="2">
        <v>1</v>
      </c>
      <c r="O2" s="2">
        <v>118.59990000000001</v>
      </c>
      <c r="P2" s="2">
        <v>1</v>
      </c>
      <c r="Q2" s="2">
        <v>90.254400000000004</v>
      </c>
      <c r="R2" s="2">
        <v>4</v>
      </c>
      <c r="S2" s="2">
        <v>87.750399999999999</v>
      </c>
      <c r="T2" s="2">
        <v>2</v>
      </c>
      <c r="U2" s="2">
        <v>0.96965999999999997</v>
      </c>
      <c r="V2" s="2">
        <v>1</v>
      </c>
      <c r="W2" s="2">
        <v>2002</v>
      </c>
    </row>
    <row r="3" spans="1:23" ht="15.75" customHeight="1" x14ac:dyDescent="0.4">
      <c r="A3" s="2" t="s">
        <v>34</v>
      </c>
      <c r="B3" s="2">
        <v>1</v>
      </c>
      <c r="C3" s="2" t="s">
        <v>33</v>
      </c>
      <c r="D3" s="2"/>
      <c r="E3" s="2"/>
      <c r="F3" s="2"/>
      <c r="G3" s="2"/>
      <c r="H3" s="2"/>
      <c r="I3" s="2">
        <v>68.436800000000005</v>
      </c>
      <c r="J3" s="2">
        <v>212</v>
      </c>
      <c r="K3" s="2">
        <v>68.715199999999996</v>
      </c>
      <c r="L3" s="2">
        <v>204</v>
      </c>
      <c r="M3" s="2">
        <v>112.2741</v>
      </c>
      <c r="N3" s="2">
        <v>10</v>
      </c>
      <c r="O3" s="2">
        <v>115.7842</v>
      </c>
      <c r="P3" s="2">
        <v>5</v>
      </c>
      <c r="Q3" s="2">
        <v>86.392399999999995</v>
      </c>
      <c r="R3" s="2">
        <v>1</v>
      </c>
      <c r="S3" s="2">
        <v>88.035700000000006</v>
      </c>
      <c r="T3" s="2">
        <v>3</v>
      </c>
      <c r="U3" s="2">
        <v>0.95894199999999996</v>
      </c>
      <c r="V3" s="2">
        <v>2</v>
      </c>
      <c r="W3" s="2">
        <v>2002</v>
      </c>
    </row>
    <row r="4" spans="1:23" ht="15.75" customHeight="1" x14ac:dyDescent="0.4">
      <c r="A4" s="2" t="s">
        <v>35</v>
      </c>
      <c r="B4" s="2">
        <v>1</v>
      </c>
      <c r="C4" s="2" t="s">
        <v>33</v>
      </c>
      <c r="D4" s="2" t="s">
        <v>33</v>
      </c>
      <c r="E4" s="2" t="s">
        <v>33</v>
      </c>
      <c r="F4" s="2" t="s">
        <v>33</v>
      </c>
      <c r="G4" s="2"/>
      <c r="H4" s="2"/>
      <c r="I4" s="2">
        <v>79.037099999999995</v>
      </c>
      <c r="J4" s="2">
        <v>5</v>
      </c>
      <c r="K4" s="2">
        <v>79.121700000000004</v>
      </c>
      <c r="L4" s="2">
        <v>3</v>
      </c>
      <c r="M4" s="2">
        <v>114.5438</v>
      </c>
      <c r="N4" s="2">
        <v>4</v>
      </c>
      <c r="O4" s="2">
        <v>115.0406</v>
      </c>
      <c r="P4" s="2">
        <v>9</v>
      </c>
      <c r="Q4" s="2">
        <v>94.426100000000005</v>
      </c>
      <c r="R4" s="2">
        <v>39</v>
      </c>
      <c r="S4" s="2">
        <v>90.539900000000003</v>
      </c>
      <c r="T4" s="2">
        <v>10</v>
      </c>
      <c r="U4" s="2">
        <v>0.94014900000000001</v>
      </c>
      <c r="V4" s="2">
        <v>3</v>
      </c>
      <c r="W4" s="2">
        <v>2002</v>
      </c>
    </row>
    <row r="5" spans="1:23" ht="15.75" customHeight="1" x14ac:dyDescent="0.4">
      <c r="A5" s="2" t="s">
        <v>36</v>
      </c>
      <c r="B5" s="2">
        <v>1</v>
      </c>
      <c r="C5" s="2" t="s">
        <v>33</v>
      </c>
      <c r="D5" s="2" t="s">
        <v>33</v>
      </c>
      <c r="E5" s="2" t="s">
        <v>33</v>
      </c>
      <c r="F5" s="2" t="s">
        <v>33</v>
      </c>
      <c r="G5" s="2" t="s">
        <v>33</v>
      </c>
      <c r="H5" s="2" t="s">
        <v>33</v>
      </c>
      <c r="I5" s="2">
        <v>75.275800000000004</v>
      </c>
      <c r="J5" s="2">
        <v>20</v>
      </c>
      <c r="K5" s="2">
        <v>75.418000000000006</v>
      </c>
      <c r="L5" s="2">
        <v>12</v>
      </c>
      <c r="M5" s="2">
        <v>113.1674</v>
      </c>
      <c r="N5" s="2">
        <v>5</v>
      </c>
      <c r="O5" s="2">
        <v>116.2551</v>
      </c>
      <c r="P5" s="2">
        <v>4</v>
      </c>
      <c r="Q5" s="2">
        <v>94.370599999999996</v>
      </c>
      <c r="R5" s="2">
        <v>36</v>
      </c>
      <c r="S5" s="2">
        <v>91.542400000000001</v>
      </c>
      <c r="T5" s="2">
        <v>14</v>
      </c>
      <c r="U5" s="2">
        <v>0.93981800000000004</v>
      </c>
      <c r="V5" s="2">
        <v>4</v>
      </c>
      <c r="W5" s="2">
        <v>2002</v>
      </c>
    </row>
    <row r="6" spans="1:23" ht="15.75" customHeight="1" x14ac:dyDescent="0.4">
      <c r="A6" s="2" t="s">
        <v>37</v>
      </c>
      <c r="B6" s="2">
        <v>5</v>
      </c>
      <c r="C6" s="2"/>
      <c r="D6" s="2"/>
      <c r="E6" s="2"/>
      <c r="F6" s="2"/>
      <c r="G6" s="2"/>
      <c r="H6" s="2"/>
      <c r="I6" s="2">
        <v>71.897099999999995</v>
      </c>
      <c r="J6" s="2">
        <v>84</v>
      </c>
      <c r="K6" s="2">
        <v>71.4041</v>
      </c>
      <c r="L6" s="2">
        <v>95</v>
      </c>
      <c r="M6" s="2">
        <v>110.4177</v>
      </c>
      <c r="N6" s="2">
        <v>22</v>
      </c>
      <c r="O6" s="2">
        <v>112.90689999999999</v>
      </c>
      <c r="P6" s="2">
        <v>17</v>
      </c>
      <c r="Q6" s="2">
        <v>91.125</v>
      </c>
      <c r="R6" s="2">
        <v>7</v>
      </c>
      <c r="S6" s="2">
        <v>90.428799999999995</v>
      </c>
      <c r="T6" s="2">
        <v>8</v>
      </c>
      <c r="U6" s="2">
        <v>0.92777600000000005</v>
      </c>
      <c r="V6" s="2">
        <v>5</v>
      </c>
      <c r="W6" s="2">
        <v>2002</v>
      </c>
    </row>
    <row r="7" spans="1:23" ht="15.75" customHeight="1" x14ac:dyDescent="0.4">
      <c r="A7" s="2" t="s">
        <v>38</v>
      </c>
      <c r="B7" s="2">
        <v>2</v>
      </c>
      <c r="C7" s="2" t="s">
        <v>33</v>
      </c>
      <c r="D7" s="2" t="s">
        <v>33</v>
      </c>
      <c r="E7" s="2" t="s">
        <v>33</v>
      </c>
      <c r="F7" s="2" t="s">
        <v>33</v>
      </c>
      <c r="G7" s="2"/>
      <c r="H7" s="2"/>
      <c r="I7" s="2">
        <v>69.360399999999998</v>
      </c>
      <c r="J7" s="2">
        <v>180</v>
      </c>
      <c r="K7" s="2">
        <v>68.484399999999994</v>
      </c>
      <c r="L7" s="2">
        <v>212</v>
      </c>
      <c r="M7" s="2">
        <v>111.04349999999999</v>
      </c>
      <c r="N7" s="2">
        <v>16</v>
      </c>
      <c r="O7" s="2">
        <v>110.4555</v>
      </c>
      <c r="P7" s="2">
        <v>31</v>
      </c>
      <c r="Q7" s="2">
        <v>91.441299999999998</v>
      </c>
      <c r="R7" s="2">
        <v>8</v>
      </c>
      <c r="S7" s="2">
        <v>88.594099999999997</v>
      </c>
      <c r="T7" s="2">
        <v>4</v>
      </c>
      <c r="U7" s="2">
        <v>0.926647</v>
      </c>
      <c r="V7" s="2">
        <v>6</v>
      </c>
      <c r="W7" s="2">
        <v>2002</v>
      </c>
    </row>
    <row r="8" spans="1:23" ht="15.75" customHeight="1" x14ac:dyDescent="0.4">
      <c r="A8" s="2" t="s">
        <v>39</v>
      </c>
      <c r="B8" s="2">
        <v>5</v>
      </c>
      <c r="C8" s="2"/>
      <c r="D8" s="2"/>
      <c r="E8" s="2"/>
      <c r="F8" s="2"/>
      <c r="G8" s="2"/>
      <c r="H8" s="2"/>
      <c r="I8" s="2">
        <v>67.380899999999997</v>
      </c>
      <c r="J8" s="2">
        <v>244</v>
      </c>
      <c r="K8" s="2">
        <v>66.346400000000003</v>
      </c>
      <c r="L8" s="2">
        <v>275</v>
      </c>
      <c r="M8" s="2">
        <v>108.5643</v>
      </c>
      <c r="N8" s="2">
        <v>36</v>
      </c>
      <c r="O8" s="2">
        <v>110.5513</v>
      </c>
      <c r="P8" s="2">
        <v>29</v>
      </c>
      <c r="Q8" s="2">
        <v>90.015100000000004</v>
      </c>
      <c r="R8" s="2">
        <v>2</v>
      </c>
      <c r="S8" s="2">
        <v>90.524699999999996</v>
      </c>
      <c r="T8" s="2">
        <v>9</v>
      </c>
      <c r="U8" s="2">
        <v>0.90874100000000002</v>
      </c>
      <c r="V8" s="2">
        <v>7</v>
      </c>
      <c r="W8" s="2">
        <v>2002</v>
      </c>
    </row>
    <row r="9" spans="1:23" ht="15.75" customHeight="1" x14ac:dyDescent="0.4">
      <c r="A9" s="2" t="s">
        <v>40</v>
      </c>
      <c r="B9" s="2">
        <v>5</v>
      </c>
      <c r="C9" s="2" t="s">
        <v>33</v>
      </c>
      <c r="D9" s="2" t="s">
        <v>33</v>
      </c>
      <c r="E9" s="2" t="s">
        <v>33</v>
      </c>
      <c r="F9" s="2" t="s">
        <v>33</v>
      </c>
      <c r="G9" s="2" t="s">
        <v>33</v>
      </c>
      <c r="H9" s="2"/>
      <c r="I9" s="2">
        <v>65.744200000000006</v>
      </c>
      <c r="J9" s="2">
        <v>285</v>
      </c>
      <c r="K9" s="2">
        <v>66.573899999999995</v>
      </c>
      <c r="L9" s="2">
        <v>269</v>
      </c>
      <c r="M9" s="2">
        <v>105.3974</v>
      </c>
      <c r="N9" s="2">
        <v>80</v>
      </c>
      <c r="O9" s="2">
        <v>109.61360000000001</v>
      </c>
      <c r="P9" s="2">
        <v>38</v>
      </c>
      <c r="Q9" s="2">
        <v>94.498699999999999</v>
      </c>
      <c r="R9" s="2">
        <v>42</v>
      </c>
      <c r="S9" s="2">
        <v>89.922399999999996</v>
      </c>
      <c r="T9" s="2">
        <v>6</v>
      </c>
      <c r="U9" s="2">
        <v>0.90696900000000003</v>
      </c>
      <c r="V9" s="2">
        <v>8</v>
      </c>
      <c r="W9" s="2">
        <v>2002</v>
      </c>
    </row>
    <row r="10" spans="1:23" ht="15.75" customHeight="1" x14ac:dyDescent="0.4">
      <c r="A10" s="2" t="s">
        <v>41</v>
      </c>
      <c r="B10" s="2">
        <v>2</v>
      </c>
      <c r="C10" s="2" t="s">
        <v>33</v>
      </c>
      <c r="D10" s="2" t="s">
        <v>33</v>
      </c>
      <c r="E10" s="2" t="s">
        <v>33</v>
      </c>
      <c r="F10" s="2"/>
      <c r="G10" s="2"/>
      <c r="H10" s="2"/>
      <c r="I10" s="2">
        <v>73.305300000000003</v>
      </c>
      <c r="J10" s="2">
        <v>52</v>
      </c>
      <c r="K10" s="2">
        <v>72.386799999999994</v>
      </c>
      <c r="L10" s="2">
        <v>65</v>
      </c>
      <c r="M10" s="2">
        <v>116.3415</v>
      </c>
      <c r="N10" s="2">
        <v>2</v>
      </c>
      <c r="O10" s="2">
        <v>116.6486</v>
      </c>
      <c r="P10" s="2">
        <v>3</v>
      </c>
      <c r="Q10" s="2">
        <v>96.866500000000002</v>
      </c>
      <c r="R10" s="2">
        <v>75</v>
      </c>
      <c r="S10" s="2">
        <v>95.864699999999999</v>
      </c>
      <c r="T10" s="2">
        <v>56</v>
      </c>
      <c r="U10" s="2">
        <v>0.90522000000000002</v>
      </c>
      <c r="V10" s="2">
        <v>9</v>
      </c>
      <c r="W10" s="2">
        <v>2002</v>
      </c>
    </row>
    <row r="11" spans="1:23" ht="15.75" customHeight="1" x14ac:dyDescent="0.4">
      <c r="A11" s="2" t="s">
        <v>42</v>
      </c>
      <c r="B11" s="2">
        <v>4</v>
      </c>
      <c r="C11" s="2"/>
      <c r="D11" s="2"/>
      <c r="E11" s="2"/>
      <c r="F11" s="2"/>
      <c r="G11" s="2"/>
      <c r="H11" s="2"/>
      <c r="I11" s="2">
        <v>71.632800000000003</v>
      </c>
      <c r="J11" s="2">
        <v>94</v>
      </c>
      <c r="K11" s="2">
        <v>71.328000000000003</v>
      </c>
      <c r="L11" s="2">
        <v>99</v>
      </c>
      <c r="M11" s="2">
        <v>107.3489</v>
      </c>
      <c r="N11" s="2">
        <v>51</v>
      </c>
      <c r="O11" s="2">
        <v>110.6461</v>
      </c>
      <c r="P11" s="2">
        <v>28</v>
      </c>
      <c r="Q11" s="2">
        <v>95.462400000000002</v>
      </c>
      <c r="R11" s="2">
        <v>57</v>
      </c>
      <c r="S11" s="2">
        <v>91.103399999999993</v>
      </c>
      <c r="T11" s="2">
        <v>12</v>
      </c>
      <c r="U11" s="2">
        <v>0.90334300000000001</v>
      </c>
      <c r="V11" s="2">
        <v>10</v>
      </c>
      <c r="W11" s="2">
        <v>2002</v>
      </c>
    </row>
    <row r="12" spans="1:23" ht="15.75" customHeight="1" x14ac:dyDescent="0.4">
      <c r="A12" s="2" t="s">
        <v>43</v>
      </c>
      <c r="B12" s="2">
        <v>3</v>
      </c>
      <c r="C12" s="2" t="s">
        <v>33</v>
      </c>
      <c r="D12" s="2" t="s">
        <v>33</v>
      </c>
      <c r="E12" s="2"/>
      <c r="F12" s="2"/>
      <c r="G12" s="2"/>
      <c r="H12" s="2"/>
      <c r="I12" s="2">
        <v>74.146199999999993</v>
      </c>
      <c r="J12" s="2">
        <v>32</v>
      </c>
      <c r="K12" s="2">
        <v>72.820700000000002</v>
      </c>
      <c r="L12" s="2">
        <v>57</v>
      </c>
      <c r="M12" s="2">
        <v>111.0077</v>
      </c>
      <c r="N12" s="2">
        <v>17</v>
      </c>
      <c r="O12" s="2">
        <v>117.3877</v>
      </c>
      <c r="P12" s="2">
        <v>2</v>
      </c>
      <c r="Q12" s="2">
        <v>104.0411</v>
      </c>
      <c r="R12" s="2">
        <v>235</v>
      </c>
      <c r="S12" s="2">
        <v>96.926199999999994</v>
      </c>
      <c r="T12" s="2">
        <v>77</v>
      </c>
      <c r="U12" s="2">
        <v>0.90048399999999995</v>
      </c>
      <c r="V12" s="2">
        <v>11</v>
      </c>
      <c r="W12" s="2">
        <v>2002</v>
      </c>
    </row>
    <row r="13" spans="1:23" ht="15.75" customHeight="1" x14ac:dyDescent="0.4">
      <c r="A13" s="2" t="s">
        <v>44</v>
      </c>
      <c r="B13" s="2">
        <v>4</v>
      </c>
      <c r="C13" s="2" t="s">
        <v>33</v>
      </c>
      <c r="D13" s="2" t="s">
        <v>33</v>
      </c>
      <c r="E13" s="2"/>
      <c r="F13" s="2"/>
      <c r="G13" s="2"/>
      <c r="H13" s="2"/>
      <c r="I13" s="2">
        <v>70.396500000000003</v>
      </c>
      <c r="J13" s="2">
        <v>139</v>
      </c>
      <c r="K13" s="2">
        <v>70.700999999999993</v>
      </c>
      <c r="L13" s="2">
        <v>122</v>
      </c>
      <c r="M13" s="2">
        <v>109.6636</v>
      </c>
      <c r="N13" s="2">
        <v>24</v>
      </c>
      <c r="O13" s="2">
        <v>111.9148</v>
      </c>
      <c r="P13" s="2">
        <v>21</v>
      </c>
      <c r="Q13" s="2">
        <v>96.4559</v>
      </c>
      <c r="R13" s="2">
        <v>69</v>
      </c>
      <c r="S13" s="2">
        <v>92.797700000000006</v>
      </c>
      <c r="T13" s="2">
        <v>25</v>
      </c>
      <c r="U13" s="2">
        <v>0.89605400000000002</v>
      </c>
      <c r="V13" s="2">
        <v>12</v>
      </c>
      <c r="W13" s="2">
        <v>2002</v>
      </c>
    </row>
    <row r="14" spans="1:23" ht="15.75" customHeight="1" x14ac:dyDescent="0.4">
      <c r="A14" s="2" t="s">
        <v>45</v>
      </c>
      <c r="B14" s="2">
        <v>4</v>
      </c>
      <c r="C14" s="2" t="s">
        <v>33</v>
      </c>
      <c r="D14" s="2" t="s">
        <v>33</v>
      </c>
      <c r="E14" s="2"/>
      <c r="F14" s="2"/>
      <c r="G14" s="2"/>
      <c r="H14" s="2"/>
      <c r="I14" s="2">
        <v>70.265900000000002</v>
      </c>
      <c r="J14" s="2">
        <v>145</v>
      </c>
      <c r="K14" s="2">
        <v>69.344499999999996</v>
      </c>
      <c r="L14" s="2">
        <v>176</v>
      </c>
      <c r="M14" s="2">
        <v>105.2773</v>
      </c>
      <c r="N14" s="2">
        <v>85</v>
      </c>
      <c r="O14" s="2">
        <v>109.82559999999999</v>
      </c>
      <c r="P14" s="2">
        <v>35</v>
      </c>
      <c r="Q14" s="2">
        <v>94.988100000000003</v>
      </c>
      <c r="R14" s="2">
        <v>49</v>
      </c>
      <c r="S14" s="2">
        <v>91.1143</v>
      </c>
      <c r="T14" s="2">
        <v>13</v>
      </c>
      <c r="U14" s="2">
        <v>0.895478</v>
      </c>
      <c r="V14" s="2">
        <v>13</v>
      </c>
      <c r="W14" s="2">
        <v>2002</v>
      </c>
    </row>
    <row r="15" spans="1:23" ht="15.75" customHeight="1" x14ac:dyDescent="0.4">
      <c r="A15" s="2" t="s">
        <v>46</v>
      </c>
      <c r="B15" s="2">
        <v>3</v>
      </c>
      <c r="C15" s="2" t="s">
        <v>33</v>
      </c>
      <c r="D15" s="2" t="s">
        <v>33</v>
      </c>
      <c r="E15" s="2"/>
      <c r="F15" s="2"/>
      <c r="G15" s="2"/>
      <c r="H15" s="2"/>
      <c r="I15" s="2">
        <v>66.500699999999995</v>
      </c>
      <c r="J15" s="2">
        <v>268</v>
      </c>
      <c r="K15" s="2">
        <v>65.677499999999995</v>
      </c>
      <c r="L15" s="2">
        <v>288</v>
      </c>
      <c r="M15" s="2">
        <v>107.3403</v>
      </c>
      <c r="N15" s="2">
        <v>52</v>
      </c>
      <c r="O15" s="2">
        <v>110.25700000000001</v>
      </c>
      <c r="P15" s="2">
        <v>32</v>
      </c>
      <c r="Q15" s="2">
        <v>90.144199999999998</v>
      </c>
      <c r="R15" s="2">
        <v>3</v>
      </c>
      <c r="S15" s="2">
        <v>91.654700000000005</v>
      </c>
      <c r="T15" s="2">
        <v>17</v>
      </c>
      <c r="U15" s="2">
        <v>0.89331300000000002</v>
      </c>
      <c r="V15" s="2">
        <v>14</v>
      </c>
      <c r="W15" s="2">
        <v>2002</v>
      </c>
    </row>
    <row r="16" spans="1:23" ht="15.75" customHeight="1" x14ac:dyDescent="0.4">
      <c r="A16" s="2" t="s">
        <v>47</v>
      </c>
      <c r="B16" s="2">
        <v>6</v>
      </c>
      <c r="C16" s="2"/>
      <c r="D16" s="2"/>
      <c r="E16" s="2"/>
      <c r="F16" s="2"/>
      <c r="G16" s="2"/>
      <c r="H16" s="2"/>
      <c r="I16" s="2">
        <v>70.977999999999994</v>
      </c>
      <c r="J16" s="2">
        <v>114</v>
      </c>
      <c r="K16" s="2">
        <v>70.175799999999995</v>
      </c>
      <c r="L16" s="2">
        <v>149</v>
      </c>
      <c r="M16" s="2">
        <v>112.7484</v>
      </c>
      <c r="N16" s="2">
        <v>7</v>
      </c>
      <c r="O16" s="2">
        <v>115.1777</v>
      </c>
      <c r="P16" s="2">
        <v>8</v>
      </c>
      <c r="Q16" s="2">
        <v>93.661600000000007</v>
      </c>
      <c r="R16" s="2">
        <v>28</v>
      </c>
      <c r="S16" s="2">
        <v>96.341499999999996</v>
      </c>
      <c r="T16" s="2">
        <v>63</v>
      </c>
      <c r="U16" s="2">
        <v>0.88631400000000005</v>
      </c>
      <c r="V16" s="2">
        <v>15</v>
      </c>
      <c r="W16" s="2">
        <v>2002</v>
      </c>
    </row>
    <row r="17" spans="1:23" ht="15.75" customHeight="1" x14ac:dyDescent="0.4">
      <c r="A17" s="2" t="s">
        <v>21</v>
      </c>
      <c r="B17" s="2">
        <v>4</v>
      </c>
      <c r="C17" s="2" t="s">
        <v>33</v>
      </c>
      <c r="D17" s="2"/>
      <c r="E17" s="2"/>
      <c r="F17" s="2"/>
      <c r="G17" s="2"/>
      <c r="H17" s="2"/>
      <c r="I17" s="2">
        <v>66.378200000000007</v>
      </c>
      <c r="J17" s="2">
        <v>274</v>
      </c>
      <c r="K17" s="2">
        <v>68.186199999999999</v>
      </c>
      <c r="L17" s="2">
        <v>218</v>
      </c>
      <c r="M17" s="2">
        <v>111.3386</v>
      </c>
      <c r="N17" s="2">
        <v>15</v>
      </c>
      <c r="O17" s="2">
        <v>115.5508</v>
      </c>
      <c r="P17" s="2">
        <v>7</v>
      </c>
      <c r="Q17" s="2">
        <v>96.574799999999996</v>
      </c>
      <c r="R17" s="2">
        <v>71</v>
      </c>
      <c r="S17" s="2">
        <v>96.731800000000007</v>
      </c>
      <c r="T17" s="2">
        <v>71</v>
      </c>
      <c r="U17" s="2">
        <v>0.88537399999999999</v>
      </c>
      <c r="V17" s="2">
        <v>16</v>
      </c>
      <c r="W17" s="2">
        <v>2002</v>
      </c>
    </row>
    <row r="18" spans="1:23" ht="15.75" customHeight="1" x14ac:dyDescent="0.4">
      <c r="A18" s="2" t="s">
        <v>48</v>
      </c>
      <c r="B18" s="2">
        <v>3</v>
      </c>
      <c r="C18" s="2" t="s">
        <v>33</v>
      </c>
      <c r="D18" s="2"/>
      <c r="E18" s="2"/>
      <c r="F18" s="2"/>
      <c r="G18" s="2"/>
      <c r="H18" s="2"/>
      <c r="I18" s="2">
        <v>70.012299999999996</v>
      </c>
      <c r="J18" s="2">
        <v>159</v>
      </c>
      <c r="K18" s="2">
        <v>69.238699999999994</v>
      </c>
      <c r="L18" s="2">
        <v>182</v>
      </c>
      <c r="M18" s="2">
        <v>104.5274</v>
      </c>
      <c r="N18" s="2">
        <v>99</v>
      </c>
      <c r="O18" s="2">
        <v>109.3856</v>
      </c>
      <c r="P18" s="2">
        <v>39</v>
      </c>
      <c r="Q18" s="2">
        <v>94.726699999999994</v>
      </c>
      <c r="R18" s="2">
        <v>46</v>
      </c>
      <c r="S18" s="2">
        <v>91.629400000000004</v>
      </c>
      <c r="T18" s="2">
        <v>16</v>
      </c>
      <c r="U18" s="2">
        <v>0.88462399999999997</v>
      </c>
      <c r="V18" s="2">
        <v>17</v>
      </c>
      <c r="W18" s="2">
        <v>2002</v>
      </c>
    </row>
    <row r="19" spans="1:23" ht="15.75" customHeight="1" x14ac:dyDescent="0.4">
      <c r="A19" s="2" t="s">
        <v>49</v>
      </c>
      <c r="B19" s="2">
        <v>2</v>
      </c>
      <c r="C19" s="2" t="s">
        <v>33</v>
      </c>
      <c r="D19" s="2"/>
      <c r="E19" s="2"/>
      <c r="F19" s="2"/>
      <c r="G19" s="2"/>
      <c r="H19" s="2"/>
      <c r="I19" s="2">
        <v>69.863600000000005</v>
      </c>
      <c r="J19" s="2">
        <v>167</v>
      </c>
      <c r="K19" s="2">
        <v>69.900099999999995</v>
      </c>
      <c r="L19" s="2">
        <v>159</v>
      </c>
      <c r="M19" s="2">
        <v>108.4361</v>
      </c>
      <c r="N19" s="2">
        <v>40</v>
      </c>
      <c r="O19" s="2">
        <v>111.4954</v>
      </c>
      <c r="P19" s="2">
        <v>24</v>
      </c>
      <c r="Q19" s="2">
        <v>95.231300000000005</v>
      </c>
      <c r="R19" s="2">
        <v>55</v>
      </c>
      <c r="S19" s="2">
        <v>93.876999999999995</v>
      </c>
      <c r="T19" s="2">
        <v>31</v>
      </c>
      <c r="U19" s="2">
        <v>0.87846400000000002</v>
      </c>
      <c r="V19" s="2">
        <v>18</v>
      </c>
      <c r="W19" s="2">
        <v>2002</v>
      </c>
    </row>
    <row r="20" spans="1:23" ht="15.75" customHeight="1" x14ac:dyDescent="0.4">
      <c r="A20" s="2" t="s">
        <v>50</v>
      </c>
      <c r="B20" s="2">
        <v>7</v>
      </c>
      <c r="C20" s="2" t="s">
        <v>33</v>
      </c>
      <c r="D20" s="2"/>
      <c r="E20" s="2"/>
      <c r="F20" s="2"/>
      <c r="G20" s="2"/>
      <c r="H20" s="2"/>
      <c r="I20" s="2">
        <v>66.829800000000006</v>
      </c>
      <c r="J20" s="2">
        <v>259</v>
      </c>
      <c r="K20" s="2">
        <v>68.028199999999998</v>
      </c>
      <c r="L20" s="2">
        <v>223</v>
      </c>
      <c r="M20" s="2">
        <v>108.3514</v>
      </c>
      <c r="N20" s="2">
        <v>42</v>
      </c>
      <c r="O20" s="2">
        <v>109.11790000000001</v>
      </c>
      <c r="P20" s="2">
        <v>41</v>
      </c>
      <c r="Q20" s="2">
        <v>93.248199999999997</v>
      </c>
      <c r="R20" s="2">
        <v>22</v>
      </c>
      <c r="S20" s="2">
        <v>92.009</v>
      </c>
      <c r="T20" s="2">
        <v>20</v>
      </c>
      <c r="U20" s="2">
        <v>0.87666599999999995</v>
      </c>
      <c r="V20" s="2">
        <v>19</v>
      </c>
      <c r="W20" s="2">
        <v>2002</v>
      </c>
    </row>
    <row r="21" spans="1:23" ht="15.75" customHeight="1" x14ac:dyDescent="0.4">
      <c r="A21" s="2" t="s">
        <v>51</v>
      </c>
      <c r="B21" s="2">
        <v>9</v>
      </c>
      <c r="C21" s="2"/>
      <c r="D21" s="2"/>
      <c r="E21" s="2"/>
      <c r="F21" s="2"/>
      <c r="G21" s="2"/>
      <c r="H21" s="2"/>
      <c r="I21" s="2">
        <v>66.966999999999999</v>
      </c>
      <c r="J21" s="2">
        <v>253</v>
      </c>
      <c r="K21" s="2">
        <v>66.487799999999993</v>
      </c>
      <c r="L21" s="2">
        <v>271</v>
      </c>
      <c r="M21" s="2">
        <v>107.7291</v>
      </c>
      <c r="N21" s="2">
        <v>45</v>
      </c>
      <c r="O21" s="2">
        <v>112.3212</v>
      </c>
      <c r="P21" s="2">
        <v>20</v>
      </c>
      <c r="Q21" s="2">
        <v>95.626499999999993</v>
      </c>
      <c r="R21" s="2">
        <v>59</v>
      </c>
      <c r="S21" s="2">
        <v>94.857699999999994</v>
      </c>
      <c r="T21" s="2">
        <v>42</v>
      </c>
      <c r="U21" s="2">
        <v>0.87471600000000005</v>
      </c>
      <c r="V21" s="2">
        <v>20</v>
      </c>
      <c r="W21" s="2">
        <v>2002</v>
      </c>
    </row>
    <row r="22" spans="1:23" ht="15.75" customHeight="1" x14ac:dyDescent="0.4">
      <c r="A22" s="2" t="s">
        <v>52</v>
      </c>
      <c r="B22" s="2">
        <v>8</v>
      </c>
      <c r="C22" s="2" t="s">
        <v>33</v>
      </c>
      <c r="D22" s="2"/>
      <c r="E22" s="2"/>
      <c r="F22" s="2"/>
      <c r="G22" s="2"/>
      <c r="H22" s="2"/>
      <c r="I22" s="2">
        <v>71.435500000000005</v>
      </c>
      <c r="J22" s="2">
        <v>101</v>
      </c>
      <c r="K22" s="2">
        <v>71.239800000000002</v>
      </c>
      <c r="L22" s="2">
        <v>105</v>
      </c>
      <c r="M22" s="2">
        <v>112.5213</v>
      </c>
      <c r="N22" s="2">
        <v>9</v>
      </c>
      <c r="O22" s="2">
        <v>113.95780000000001</v>
      </c>
      <c r="P22" s="2">
        <v>11</v>
      </c>
      <c r="Q22" s="2">
        <v>99.801000000000002</v>
      </c>
      <c r="R22" s="2">
        <v>142</v>
      </c>
      <c r="S22" s="2">
        <v>96.312200000000004</v>
      </c>
      <c r="T22" s="2">
        <v>62</v>
      </c>
      <c r="U22" s="2">
        <v>0.87376799999999999</v>
      </c>
      <c r="V22" s="2">
        <v>21</v>
      </c>
      <c r="W22" s="2">
        <v>2002</v>
      </c>
    </row>
    <row r="23" spans="1:23" ht="15.75" customHeight="1" x14ac:dyDescent="0.4">
      <c r="A23" s="2" t="s">
        <v>17</v>
      </c>
      <c r="B23" s="2"/>
      <c r="C23" s="2"/>
      <c r="D23" s="2"/>
      <c r="E23" s="2"/>
      <c r="F23" s="2"/>
      <c r="G23" s="2"/>
      <c r="H23" s="2"/>
      <c r="I23" s="2">
        <v>66.864500000000007</v>
      </c>
      <c r="J23" s="2">
        <v>257</v>
      </c>
      <c r="K23" s="2">
        <v>66.260599999999997</v>
      </c>
      <c r="L23" s="2">
        <v>276</v>
      </c>
      <c r="M23" s="2">
        <v>100.5385</v>
      </c>
      <c r="N23" s="2">
        <v>165</v>
      </c>
      <c r="O23" s="2">
        <v>103.5962</v>
      </c>
      <c r="P23" s="2">
        <v>111</v>
      </c>
      <c r="Q23" s="2">
        <v>91.556399999999996</v>
      </c>
      <c r="R23" s="2">
        <v>10</v>
      </c>
      <c r="S23" s="2">
        <v>87.636099999999999</v>
      </c>
      <c r="T23" s="2">
        <v>1</v>
      </c>
      <c r="U23" s="2">
        <v>0.87258800000000003</v>
      </c>
      <c r="V23" s="2">
        <v>22</v>
      </c>
      <c r="W23" s="2">
        <v>2002</v>
      </c>
    </row>
    <row r="24" spans="1:23" ht="15.75" customHeight="1" x14ac:dyDescent="0.4">
      <c r="A24" s="2" t="s">
        <v>19</v>
      </c>
      <c r="B24" s="2">
        <v>3</v>
      </c>
      <c r="C24" s="2" t="s">
        <v>33</v>
      </c>
      <c r="D24" s="2"/>
      <c r="E24" s="2"/>
      <c r="F24" s="2"/>
      <c r="G24" s="2"/>
      <c r="H24" s="2"/>
      <c r="I24" s="2">
        <v>70.678600000000003</v>
      </c>
      <c r="J24" s="2">
        <v>129</v>
      </c>
      <c r="K24" s="2">
        <v>70.960400000000007</v>
      </c>
      <c r="L24" s="2">
        <v>114</v>
      </c>
      <c r="M24" s="2">
        <v>108.4477</v>
      </c>
      <c r="N24" s="2">
        <v>38</v>
      </c>
      <c r="O24" s="2">
        <v>114.569</v>
      </c>
      <c r="P24" s="2">
        <v>10</v>
      </c>
      <c r="Q24" s="2">
        <v>100.5115</v>
      </c>
      <c r="R24" s="2">
        <v>160</v>
      </c>
      <c r="S24" s="2">
        <v>96.926299999999998</v>
      </c>
      <c r="T24" s="2">
        <v>78</v>
      </c>
      <c r="U24" s="2">
        <v>0.87248400000000004</v>
      </c>
      <c r="V24" s="2">
        <v>23</v>
      </c>
      <c r="W24" s="2">
        <v>2002</v>
      </c>
    </row>
    <row r="25" spans="1:23" ht="15.75" customHeight="1" x14ac:dyDescent="0.4">
      <c r="A25" s="2" t="s">
        <v>53</v>
      </c>
      <c r="B25" s="2">
        <v>10</v>
      </c>
      <c r="C25" s="2" t="s">
        <v>33</v>
      </c>
      <c r="D25" s="2" t="s">
        <v>33</v>
      </c>
      <c r="E25" s="2" t="s">
        <v>33</v>
      </c>
      <c r="F25" s="2"/>
      <c r="G25" s="2"/>
      <c r="H25" s="2"/>
      <c r="I25" s="2">
        <v>65.414500000000004</v>
      </c>
      <c r="J25" s="2">
        <v>288</v>
      </c>
      <c r="K25" s="2">
        <v>66.165800000000004</v>
      </c>
      <c r="L25" s="2">
        <v>279</v>
      </c>
      <c r="M25" s="2">
        <v>115.7547</v>
      </c>
      <c r="N25" s="2">
        <v>3</v>
      </c>
      <c r="O25" s="2">
        <v>113.6686</v>
      </c>
      <c r="P25" s="2">
        <v>14</v>
      </c>
      <c r="Q25" s="2">
        <v>96.708399999999997</v>
      </c>
      <c r="R25" s="2">
        <v>73</v>
      </c>
      <c r="S25" s="2">
        <v>96.200999999999993</v>
      </c>
      <c r="T25" s="2">
        <v>60</v>
      </c>
      <c r="U25" s="2">
        <v>0.87199800000000005</v>
      </c>
      <c r="V25" s="2">
        <v>24</v>
      </c>
      <c r="W25" s="2">
        <v>2002</v>
      </c>
    </row>
    <row r="26" spans="1:23" ht="15.75" customHeight="1" x14ac:dyDescent="0.4">
      <c r="A26" s="2" t="s">
        <v>54</v>
      </c>
      <c r="B26" s="2">
        <v>2</v>
      </c>
      <c r="C26" s="2"/>
      <c r="D26" s="2"/>
      <c r="E26" s="2"/>
      <c r="F26" s="2"/>
      <c r="G26" s="2"/>
      <c r="H26" s="2"/>
      <c r="I26" s="2">
        <v>71.860500000000002</v>
      </c>
      <c r="J26" s="2">
        <v>87</v>
      </c>
      <c r="K26" s="2">
        <v>70.345600000000005</v>
      </c>
      <c r="L26" s="2">
        <v>138</v>
      </c>
      <c r="M26" s="2">
        <v>106.1949</v>
      </c>
      <c r="N26" s="2">
        <v>64</v>
      </c>
      <c r="O26" s="2">
        <v>108.1906</v>
      </c>
      <c r="P26" s="2">
        <v>53</v>
      </c>
      <c r="Q26" s="2">
        <v>93.642899999999997</v>
      </c>
      <c r="R26" s="2">
        <v>27</v>
      </c>
      <c r="S26" s="2">
        <v>91.594800000000006</v>
      </c>
      <c r="T26" s="2">
        <v>15</v>
      </c>
      <c r="U26" s="2">
        <v>0.87157700000000005</v>
      </c>
      <c r="V26" s="2">
        <v>25</v>
      </c>
      <c r="W26" s="2">
        <v>2002</v>
      </c>
    </row>
    <row r="27" spans="1:23" ht="15.75" customHeight="1" x14ac:dyDescent="0.4">
      <c r="A27" s="2" t="s">
        <v>55</v>
      </c>
      <c r="B27" s="2">
        <v>7</v>
      </c>
      <c r="C27" s="2" t="s">
        <v>33</v>
      </c>
      <c r="D27" s="2"/>
      <c r="E27" s="2"/>
      <c r="F27" s="2"/>
      <c r="G27" s="2"/>
      <c r="H27" s="2"/>
      <c r="I27" s="2">
        <v>69.905900000000003</v>
      </c>
      <c r="J27" s="2">
        <v>166</v>
      </c>
      <c r="K27" s="2">
        <v>68.809399999999997</v>
      </c>
      <c r="L27" s="2">
        <v>201</v>
      </c>
      <c r="M27" s="2">
        <v>108.3939</v>
      </c>
      <c r="N27" s="2">
        <v>41</v>
      </c>
      <c r="O27" s="2">
        <v>109.9085</v>
      </c>
      <c r="P27" s="2">
        <v>34</v>
      </c>
      <c r="Q27" s="2">
        <v>96.700299999999999</v>
      </c>
      <c r="R27" s="2">
        <v>72</v>
      </c>
      <c r="S27" s="2">
        <v>93.574600000000004</v>
      </c>
      <c r="T27" s="2">
        <v>29</v>
      </c>
      <c r="U27" s="2">
        <v>0.86415399999999998</v>
      </c>
      <c r="V27" s="2">
        <v>26</v>
      </c>
      <c r="W27" s="2">
        <v>2002</v>
      </c>
    </row>
    <row r="28" spans="1:23" ht="15.75" customHeight="1" x14ac:dyDescent="0.4">
      <c r="A28" s="2" t="s">
        <v>56</v>
      </c>
      <c r="B28" s="2">
        <v>8</v>
      </c>
      <c r="C28" s="2" t="s">
        <v>33</v>
      </c>
      <c r="D28" s="2"/>
      <c r="E28" s="2"/>
      <c r="F28" s="2"/>
      <c r="G28" s="2"/>
      <c r="H28" s="2"/>
      <c r="I28" s="2">
        <v>70.369299999999996</v>
      </c>
      <c r="J28" s="2">
        <v>140</v>
      </c>
      <c r="K28" s="2">
        <v>70.129900000000006</v>
      </c>
      <c r="L28" s="2">
        <v>150</v>
      </c>
      <c r="M28" s="2">
        <v>109</v>
      </c>
      <c r="N28" s="2">
        <v>31</v>
      </c>
      <c r="O28" s="2">
        <v>113.8693</v>
      </c>
      <c r="P28" s="2">
        <v>12</v>
      </c>
      <c r="Q28" s="2">
        <v>95.823499999999996</v>
      </c>
      <c r="R28" s="2">
        <v>60</v>
      </c>
      <c r="S28" s="2">
        <v>97.334199999999996</v>
      </c>
      <c r="T28" s="2">
        <v>83</v>
      </c>
      <c r="U28" s="2">
        <v>0.85867899999999997</v>
      </c>
      <c r="V28" s="2">
        <v>27</v>
      </c>
      <c r="W28" s="2">
        <v>2002</v>
      </c>
    </row>
    <row r="29" spans="1:23" ht="12.3" x14ac:dyDescent="0.4">
      <c r="A29" s="2" t="s">
        <v>57</v>
      </c>
      <c r="B29" s="2">
        <v>6</v>
      </c>
      <c r="C29" s="2" t="s">
        <v>33</v>
      </c>
      <c r="D29" s="2"/>
      <c r="E29" s="2"/>
      <c r="F29" s="2"/>
      <c r="G29" s="2"/>
      <c r="H29" s="2"/>
      <c r="I29" s="2">
        <v>68.944500000000005</v>
      </c>
      <c r="J29" s="2">
        <v>191</v>
      </c>
      <c r="K29" s="2">
        <v>68.008399999999995</v>
      </c>
      <c r="L29" s="2">
        <v>224</v>
      </c>
      <c r="M29" s="2">
        <v>104.0471</v>
      </c>
      <c r="N29" s="2">
        <v>107</v>
      </c>
      <c r="O29" s="2">
        <v>108.42140000000001</v>
      </c>
      <c r="P29" s="2">
        <v>49</v>
      </c>
      <c r="Q29" s="2">
        <v>94.989699999999999</v>
      </c>
      <c r="R29" s="2">
        <v>50</v>
      </c>
      <c r="S29" s="2">
        <v>93.091300000000004</v>
      </c>
      <c r="T29" s="2">
        <v>26</v>
      </c>
      <c r="U29" s="2">
        <v>0.85234500000000002</v>
      </c>
      <c r="V29" s="2">
        <v>28</v>
      </c>
      <c r="W29" s="2">
        <v>2002</v>
      </c>
    </row>
    <row r="30" spans="1:23" ht="12.3" x14ac:dyDescent="0.4">
      <c r="A30" s="2" t="s">
        <v>18</v>
      </c>
      <c r="B30" s="2"/>
      <c r="C30" s="2"/>
      <c r="D30" s="2"/>
      <c r="E30" s="2"/>
      <c r="F30" s="2"/>
      <c r="G30" s="2"/>
      <c r="H30" s="2"/>
      <c r="I30" s="2">
        <v>62.528199999999998</v>
      </c>
      <c r="J30" s="2">
        <v>318</v>
      </c>
      <c r="K30" s="2">
        <v>63.6569</v>
      </c>
      <c r="L30" s="2">
        <v>315</v>
      </c>
      <c r="M30" s="2">
        <v>110.9894</v>
      </c>
      <c r="N30" s="2">
        <v>18</v>
      </c>
      <c r="O30" s="2">
        <v>108.17919999999999</v>
      </c>
      <c r="P30" s="2">
        <v>54</v>
      </c>
      <c r="Q30" s="2">
        <v>90.414299999999997</v>
      </c>
      <c r="R30" s="2">
        <v>5</v>
      </c>
      <c r="S30" s="2">
        <v>93.208799999999997</v>
      </c>
      <c r="T30" s="2">
        <v>27</v>
      </c>
      <c r="U30" s="2">
        <v>0.84721000000000002</v>
      </c>
      <c r="V30" s="2">
        <v>29</v>
      </c>
      <c r="W30" s="2">
        <v>2002</v>
      </c>
    </row>
    <row r="31" spans="1:23" ht="12.3" x14ac:dyDescent="0.4">
      <c r="A31" s="2" t="s">
        <v>58</v>
      </c>
      <c r="B31" s="2">
        <v>10</v>
      </c>
      <c r="C31" s="2"/>
      <c r="D31" s="2"/>
      <c r="E31" s="2"/>
      <c r="F31" s="2"/>
      <c r="G31" s="2"/>
      <c r="H31" s="2"/>
      <c r="I31" s="2">
        <v>64.841300000000004</v>
      </c>
      <c r="J31" s="2">
        <v>297</v>
      </c>
      <c r="K31" s="2">
        <v>64.561800000000005</v>
      </c>
      <c r="L31" s="2">
        <v>302</v>
      </c>
      <c r="M31" s="2">
        <v>107.5694</v>
      </c>
      <c r="N31" s="2">
        <v>47</v>
      </c>
      <c r="O31" s="2">
        <v>111.2209</v>
      </c>
      <c r="P31" s="2">
        <v>25</v>
      </c>
      <c r="Q31" s="2">
        <v>98.523300000000006</v>
      </c>
      <c r="R31" s="2">
        <v>102</v>
      </c>
      <c r="S31" s="2">
        <v>95.861500000000007</v>
      </c>
      <c r="T31" s="2">
        <v>55</v>
      </c>
      <c r="U31" s="2">
        <v>0.84671399999999997</v>
      </c>
      <c r="V31" s="2">
        <v>30</v>
      </c>
      <c r="W31" s="2">
        <v>2002</v>
      </c>
    </row>
    <row r="32" spans="1:23" ht="12.3" x14ac:dyDescent="0.4">
      <c r="A32" s="2" t="s">
        <v>59</v>
      </c>
      <c r="B32" s="2">
        <v>6</v>
      </c>
      <c r="C32" s="2"/>
      <c r="D32" s="2"/>
      <c r="E32" s="2"/>
      <c r="F32" s="2"/>
      <c r="G32" s="2"/>
      <c r="H32" s="2"/>
      <c r="I32" s="2">
        <v>72.547700000000006</v>
      </c>
      <c r="J32" s="2">
        <v>68</v>
      </c>
      <c r="K32" s="2">
        <v>71.367900000000006</v>
      </c>
      <c r="L32" s="2">
        <v>97</v>
      </c>
      <c r="M32" s="2">
        <v>109.0757</v>
      </c>
      <c r="N32" s="2">
        <v>30</v>
      </c>
      <c r="O32" s="2">
        <v>112.4064</v>
      </c>
      <c r="P32" s="2">
        <v>18</v>
      </c>
      <c r="Q32" s="2">
        <v>97.725200000000001</v>
      </c>
      <c r="R32" s="2">
        <v>89</v>
      </c>
      <c r="S32" s="2">
        <v>96.971100000000007</v>
      </c>
      <c r="T32" s="2">
        <v>79</v>
      </c>
      <c r="U32" s="2">
        <v>0.845356</v>
      </c>
      <c r="V32" s="2">
        <v>31</v>
      </c>
      <c r="W32" s="2">
        <v>2002</v>
      </c>
    </row>
    <row r="33" spans="1:23" ht="12.3" x14ac:dyDescent="0.4">
      <c r="A33" s="2" t="s">
        <v>60</v>
      </c>
      <c r="B33" s="2">
        <v>5</v>
      </c>
      <c r="C33" s="2"/>
      <c r="D33" s="2"/>
      <c r="E33" s="2"/>
      <c r="F33" s="2"/>
      <c r="G33" s="2"/>
      <c r="H33" s="2"/>
      <c r="I33" s="2">
        <v>70.537499999999994</v>
      </c>
      <c r="J33" s="2">
        <v>134</v>
      </c>
      <c r="K33" s="2">
        <v>70.287599999999998</v>
      </c>
      <c r="L33" s="2">
        <v>143</v>
      </c>
      <c r="M33" s="2">
        <v>104.5566</v>
      </c>
      <c r="N33" s="2">
        <v>97</v>
      </c>
      <c r="O33" s="2">
        <v>108.28619999999999</v>
      </c>
      <c r="P33" s="2">
        <v>51</v>
      </c>
      <c r="Q33" s="2">
        <v>93.076999999999998</v>
      </c>
      <c r="R33" s="2">
        <v>20</v>
      </c>
      <c r="S33" s="2">
        <v>93.516900000000007</v>
      </c>
      <c r="T33" s="2">
        <v>28</v>
      </c>
      <c r="U33" s="2">
        <v>0.84373900000000002</v>
      </c>
      <c r="V33" s="2">
        <v>32</v>
      </c>
      <c r="W33" s="2">
        <v>2002</v>
      </c>
    </row>
    <row r="34" spans="1:23" ht="12.3" x14ac:dyDescent="0.4">
      <c r="A34" s="2" t="s">
        <v>61</v>
      </c>
      <c r="B34" s="2">
        <v>7</v>
      </c>
      <c r="C34" s="2" t="s">
        <v>33</v>
      </c>
      <c r="D34" s="2"/>
      <c r="E34" s="2"/>
      <c r="F34" s="2"/>
      <c r="G34" s="2"/>
      <c r="H34" s="2"/>
      <c r="I34" s="2">
        <v>73.207499999999996</v>
      </c>
      <c r="J34" s="2">
        <v>53</v>
      </c>
      <c r="K34" s="2">
        <v>71.524100000000004</v>
      </c>
      <c r="L34" s="2">
        <v>90</v>
      </c>
      <c r="M34" s="2">
        <v>110.63120000000001</v>
      </c>
      <c r="N34" s="2">
        <v>20</v>
      </c>
      <c r="O34" s="2">
        <v>115.7479</v>
      </c>
      <c r="P34" s="2">
        <v>6</v>
      </c>
      <c r="Q34" s="2">
        <v>103.9414</v>
      </c>
      <c r="R34" s="2">
        <v>234</v>
      </c>
      <c r="S34" s="2">
        <v>100.3366</v>
      </c>
      <c r="T34" s="2">
        <v>151</v>
      </c>
      <c r="U34" s="2">
        <v>0.83796599999999999</v>
      </c>
      <c r="V34" s="2">
        <v>33</v>
      </c>
      <c r="W34" s="2">
        <v>2002</v>
      </c>
    </row>
    <row r="35" spans="1:23" ht="12.3" x14ac:dyDescent="0.4">
      <c r="A35" s="2" t="s">
        <v>62</v>
      </c>
      <c r="B35" s="2"/>
      <c r="C35" s="2"/>
      <c r="D35" s="2"/>
      <c r="E35" s="2"/>
      <c r="F35" s="2"/>
      <c r="G35" s="2"/>
      <c r="H35" s="2"/>
      <c r="I35" s="2">
        <v>73.781499999999994</v>
      </c>
      <c r="J35" s="2">
        <v>43</v>
      </c>
      <c r="K35" s="2">
        <v>72.427999999999997</v>
      </c>
      <c r="L35" s="2">
        <v>61</v>
      </c>
      <c r="M35" s="2">
        <v>105.7543</v>
      </c>
      <c r="N35" s="2">
        <v>73</v>
      </c>
      <c r="O35" s="2">
        <v>108.34</v>
      </c>
      <c r="P35" s="2">
        <v>50</v>
      </c>
      <c r="Q35" s="2">
        <v>93.508300000000006</v>
      </c>
      <c r="R35" s="2">
        <v>25</v>
      </c>
      <c r="S35" s="2">
        <v>93.931799999999996</v>
      </c>
      <c r="T35" s="2">
        <v>32</v>
      </c>
      <c r="U35" s="2">
        <v>0.83768699999999996</v>
      </c>
      <c r="V35" s="2">
        <v>34</v>
      </c>
      <c r="W35" s="2">
        <v>2002</v>
      </c>
    </row>
    <row r="36" spans="1:23" ht="12.3" x14ac:dyDescent="0.4">
      <c r="A36" s="2" t="s">
        <v>63</v>
      </c>
      <c r="B36" s="2">
        <v>9</v>
      </c>
      <c r="C36" s="2"/>
      <c r="D36" s="2"/>
      <c r="E36" s="2"/>
      <c r="F36" s="2"/>
      <c r="G36" s="2"/>
      <c r="H36" s="2"/>
      <c r="I36" s="2">
        <v>68.468199999999996</v>
      </c>
      <c r="J36" s="2">
        <v>211</v>
      </c>
      <c r="K36" s="2">
        <v>68.493600000000001</v>
      </c>
      <c r="L36" s="2">
        <v>211</v>
      </c>
      <c r="M36" s="2">
        <v>107.2881</v>
      </c>
      <c r="N36" s="2">
        <v>53</v>
      </c>
      <c r="O36" s="2">
        <v>111.8788</v>
      </c>
      <c r="P36" s="2">
        <v>22</v>
      </c>
      <c r="Q36" s="2">
        <v>99.058000000000007</v>
      </c>
      <c r="R36" s="2">
        <v>117</v>
      </c>
      <c r="S36" s="2">
        <v>97.390100000000004</v>
      </c>
      <c r="T36" s="2">
        <v>84</v>
      </c>
      <c r="U36" s="2">
        <v>0.83131200000000005</v>
      </c>
      <c r="V36" s="2">
        <v>35</v>
      </c>
      <c r="W36" s="2">
        <v>2002</v>
      </c>
    </row>
    <row r="37" spans="1:23" ht="12.3" x14ac:dyDescent="0.4">
      <c r="A37" s="2" t="s">
        <v>64</v>
      </c>
      <c r="B37" s="2"/>
      <c r="C37" s="2"/>
      <c r="D37" s="2"/>
      <c r="E37" s="2"/>
      <c r="F37" s="2"/>
      <c r="G37" s="2"/>
      <c r="H37" s="2"/>
      <c r="I37" s="2">
        <v>66.873800000000003</v>
      </c>
      <c r="J37" s="2">
        <v>256</v>
      </c>
      <c r="K37" s="2">
        <v>68.506600000000006</v>
      </c>
      <c r="L37" s="2">
        <v>210</v>
      </c>
      <c r="M37" s="2">
        <v>108.9666</v>
      </c>
      <c r="N37" s="2">
        <v>32</v>
      </c>
      <c r="O37" s="2">
        <v>110.1182</v>
      </c>
      <c r="P37" s="2">
        <v>33</v>
      </c>
      <c r="Q37" s="2">
        <v>94.496899999999997</v>
      </c>
      <c r="R37" s="2">
        <v>41</v>
      </c>
      <c r="S37" s="2">
        <v>96.039400000000001</v>
      </c>
      <c r="T37" s="2">
        <v>59</v>
      </c>
      <c r="U37" s="2">
        <v>0.82823199999999997</v>
      </c>
      <c r="V37" s="2">
        <v>36</v>
      </c>
      <c r="W37" s="2">
        <v>2002</v>
      </c>
    </row>
    <row r="38" spans="1:23" ht="12.3" x14ac:dyDescent="0.4">
      <c r="A38" s="2" t="s">
        <v>65</v>
      </c>
      <c r="B38" s="2">
        <v>8</v>
      </c>
      <c r="C38" s="2" t="s">
        <v>33</v>
      </c>
      <c r="D38" s="2" t="s">
        <v>33</v>
      </c>
      <c r="E38" s="2"/>
      <c r="F38" s="2"/>
      <c r="G38" s="2"/>
      <c r="H38" s="2"/>
      <c r="I38" s="2">
        <v>69.504999999999995</v>
      </c>
      <c r="J38" s="2">
        <v>177</v>
      </c>
      <c r="K38" s="2">
        <v>68.532700000000006</v>
      </c>
      <c r="L38" s="2">
        <v>209</v>
      </c>
      <c r="M38" s="2">
        <v>106.244</v>
      </c>
      <c r="N38" s="2">
        <v>63</v>
      </c>
      <c r="O38" s="2">
        <v>110.6811</v>
      </c>
      <c r="P38" s="2">
        <v>27</v>
      </c>
      <c r="Q38" s="2">
        <v>102.9371</v>
      </c>
      <c r="R38" s="2">
        <v>211</v>
      </c>
      <c r="S38" s="2">
        <v>96.745099999999994</v>
      </c>
      <c r="T38" s="2">
        <v>72</v>
      </c>
      <c r="U38" s="2">
        <v>0.82456600000000002</v>
      </c>
      <c r="V38" s="2">
        <v>37</v>
      </c>
      <c r="W38" s="2">
        <v>2002</v>
      </c>
    </row>
    <row r="39" spans="1:23" ht="12.3" x14ac:dyDescent="0.4">
      <c r="A39" s="2" t="s">
        <v>66</v>
      </c>
      <c r="B39" s="2">
        <v>10</v>
      </c>
      <c r="C39" s="2"/>
      <c r="D39" s="2"/>
      <c r="E39" s="2"/>
      <c r="F39" s="2"/>
      <c r="G39" s="2"/>
      <c r="H39" s="2"/>
      <c r="I39" s="2">
        <v>67.032300000000006</v>
      </c>
      <c r="J39" s="2">
        <v>251</v>
      </c>
      <c r="K39" s="2">
        <v>66.894300000000001</v>
      </c>
      <c r="L39" s="2">
        <v>256</v>
      </c>
      <c r="M39" s="2">
        <v>108.4417</v>
      </c>
      <c r="N39" s="2">
        <v>39</v>
      </c>
      <c r="O39" s="2">
        <v>110.4563</v>
      </c>
      <c r="P39" s="2">
        <v>30</v>
      </c>
      <c r="Q39" s="2">
        <v>94.634500000000003</v>
      </c>
      <c r="R39" s="2">
        <v>44</v>
      </c>
      <c r="S39" s="2">
        <v>96.625900000000001</v>
      </c>
      <c r="T39" s="2">
        <v>65</v>
      </c>
      <c r="U39" s="2">
        <v>0.82323000000000002</v>
      </c>
      <c r="V39" s="2">
        <v>38</v>
      </c>
      <c r="W39" s="2">
        <v>2002</v>
      </c>
    </row>
    <row r="40" spans="1:23" ht="12.3" x14ac:dyDescent="0.4">
      <c r="A40" s="2" t="s">
        <v>67</v>
      </c>
      <c r="B40" s="2">
        <v>6</v>
      </c>
      <c r="C40" s="2" t="s">
        <v>33</v>
      </c>
      <c r="D40" s="2" t="s">
        <v>33</v>
      </c>
      <c r="E40" s="2"/>
      <c r="F40" s="2"/>
      <c r="G40" s="2"/>
      <c r="H40" s="2"/>
      <c r="I40" s="2">
        <v>70.785499999999999</v>
      </c>
      <c r="J40" s="2">
        <v>125</v>
      </c>
      <c r="K40" s="2">
        <v>70.620699999999999</v>
      </c>
      <c r="L40" s="2">
        <v>126</v>
      </c>
      <c r="M40" s="2">
        <v>109.8999</v>
      </c>
      <c r="N40" s="2">
        <v>23</v>
      </c>
      <c r="O40" s="2">
        <v>113.6185</v>
      </c>
      <c r="P40" s="2">
        <v>15</v>
      </c>
      <c r="Q40" s="2">
        <v>102.73439999999999</v>
      </c>
      <c r="R40" s="2">
        <v>204</v>
      </c>
      <c r="S40" s="2">
        <v>99.437299999999993</v>
      </c>
      <c r="T40" s="2">
        <v>129</v>
      </c>
      <c r="U40" s="2">
        <v>0.82246900000000001</v>
      </c>
      <c r="V40" s="2">
        <v>39</v>
      </c>
      <c r="W40" s="2">
        <v>2002</v>
      </c>
    </row>
    <row r="41" spans="1:23" ht="12.3" x14ac:dyDescent="0.4">
      <c r="A41" s="2" t="s">
        <v>68</v>
      </c>
      <c r="B41" s="2">
        <v>9</v>
      </c>
      <c r="C41" s="2"/>
      <c r="D41" s="2"/>
      <c r="E41" s="2"/>
      <c r="F41" s="2"/>
      <c r="G41" s="2"/>
      <c r="H41" s="2"/>
      <c r="I41" s="2">
        <v>69.028099999999995</v>
      </c>
      <c r="J41" s="2">
        <v>188</v>
      </c>
      <c r="K41" s="2">
        <v>69.006699999999995</v>
      </c>
      <c r="L41" s="2">
        <v>190</v>
      </c>
      <c r="M41" s="2">
        <v>109.1221</v>
      </c>
      <c r="N41" s="2">
        <v>29</v>
      </c>
      <c r="O41" s="2">
        <v>107.45610000000001</v>
      </c>
      <c r="P41" s="2">
        <v>64</v>
      </c>
      <c r="Q41" s="2">
        <v>92.5488</v>
      </c>
      <c r="R41" s="2">
        <v>16</v>
      </c>
      <c r="S41" s="2">
        <v>94.334999999999994</v>
      </c>
      <c r="T41" s="2">
        <v>35</v>
      </c>
      <c r="U41" s="2">
        <v>0.81722300000000003</v>
      </c>
      <c r="V41" s="2">
        <v>40</v>
      </c>
      <c r="W41" s="2">
        <v>2002</v>
      </c>
    </row>
    <row r="42" spans="1:23" ht="12.3" x14ac:dyDescent="0.4">
      <c r="A42" s="2" t="s">
        <v>69</v>
      </c>
      <c r="B42" s="2">
        <v>12</v>
      </c>
      <c r="C42" s="2" t="s">
        <v>33</v>
      </c>
      <c r="D42" s="2"/>
      <c r="E42" s="2"/>
      <c r="F42" s="2"/>
      <c r="G42" s="2"/>
      <c r="H42" s="2"/>
      <c r="I42" s="2">
        <v>71.355500000000006</v>
      </c>
      <c r="J42" s="2">
        <v>104</v>
      </c>
      <c r="K42" s="2">
        <v>71.284999999999997</v>
      </c>
      <c r="L42" s="2">
        <v>102</v>
      </c>
      <c r="M42" s="2">
        <v>112.0819</v>
      </c>
      <c r="N42" s="2">
        <v>12</v>
      </c>
      <c r="O42" s="2">
        <v>111.68</v>
      </c>
      <c r="P42" s="2">
        <v>23</v>
      </c>
      <c r="Q42" s="2">
        <v>96.535399999999996</v>
      </c>
      <c r="R42" s="2">
        <v>70</v>
      </c>
      <c r="S42" s="2">
        <v>98.070700000000002</v>
      </c>
      <c r="T42" s="2">
        <v>94</v>
      </c>
      <c r="U42" s="2">
        <v>0.81674000000000002</v>
      </c>
      <c r="V42" s="2">
        <v>41</v>
      </c>
      <c r="W42" s="2">
        <v>2002</v>
      </c>
    </row>
    <row r="43" spans="1:23" ht="12.3" x14ac:dyDescent="0.4">
      <c r="A43" s="2" t="s">
        <v>70</v>
      </c>
      <c r="B43" s="2">
        <v>12</v>
      </c>
      <c r="C43" s="2"/>
      <c r="D43" s="2"/>
      <c r="E43" s="2"/>
      <c r="F43" s="2"/>
      <c r="G43" s="2"/>
      <c r="H43" s="2"/>
      <c r="I43" s="2">
        <v>62.618099999999998</v>
      </c>
      <c r="J43" s="2">
        <v>316</v>
      </c>
      <c r="K43" s="2">
        <v>63.354700000000001</v>
      </c>
      <c r="L43" s="2">
        <v>317</v>
      </c>
      <c r="M43" s="2">
        <v>107.7123</v>
      </c>
      <c r="N43" s="2">
        <v>46</v>
      </c>
      <c r="O43" s="2">
        <v>108.62309999999999</v>
      </c>
      <c r="P43" s="2">
        <v>44</v>
      </c>
      <c r="Q43" s="2">
        <v>97.431799999999996</v>
      </c>
      <c r="R43" s="2">
        <v>81</v>
      </c>
      <c r="S43" s="2">
        <v>95.645899999999997</v>
      </c>
      <c r="T43" s="2">
        <v>49</v>
      </c>
      <c r="U43" s="2">
        <v>0.81201500000000004</v>
      </c>
      <c r="V43" s="2">
        <v>42</v>
      </c>
      <c r="W43" s="2">
        <v>2002</v>
      </c>
    </row>
    <row r="44" spans="1:23" ht="12.3" x14ac:dyDescent="0.4">
      <c r="A44" s="2" t="s">
        <v>71</v>
      </c>
      <c r="B44" s="2"/>
      <c r="C44" s="2"/>
      <c r="D44" s="2"/>
      <c r="E44" s="2"/>
      <c r="F44" s="2"/>
      <c r="G44" s="2"/>
      <c r="H44" s="2"/>
      <c r="I44" s="2">
        <v>73.141800000000003</v>
      </c>
      <c r="J44" s="2">
        <v>56</v>
      </c>
      <c r="K44" s="2">
        <v>71.996600000000001</v>
      </c>
      <c r="L44" s="2">
        <v>75</v>
      </c>
      <c r="M44" s="2">
        <v>108.5468</v>
      </c>
      <c r="N44" s="2">
        <v>37</v>
      </c>
      <c r="O44" s="2">
        <v>108.6044</v>
      </c>
      <c r="P44" s="2">
        <v>45</v>
      </c>
      <c r="Q44" s="2">
        <v>94.926500000000004</v>
      </c>
      <c r="R44" s="2">
        <v>48</v>
      </c>
      <c r="S44" s="2">
        <v>95.654799999999994</v>
      </c>
      <c r="T44" s="2">
        <v>50</v>
      </c>
      <c r="U44" s="2">
        <v>0.81154999999999999</v>
      </c>
      <c r="V44" s="2">
        <v>43</v>
      </c>
      <c r="W44" s="2">
        <v>2002</v>
      </c>
    </row>
    <row r="45" spans="1:23" ht="12.3" x14ac:dyDescent="0.4">
      <c r="A45" s="2" t="s">
        <v>72</v>
      </c>
      <c r="B45" s="2">
        <v>7</v>
      </c>
      <c r="C45" s="2"/>
      <c r="D45" s="2"/>
      <c r="E45" s="2"/>
      <c r="F45" s="2"/>
      <c r="G45" s="2"/>
      <c r="H45" s="2"/>
      <c r="I45" s="2">
        <v>68.880099999999999</v>
      </c>
      <c r="J45" s="2">
        <v>194</v>
      </c>
      <c r="K45" s="2">
        <v>67.384900000000002</v>
      </c>
      <c r="L45" s="2">
        <v>241</v>
      </c>
      <c r="M45" s="2">
        <v>103.93470000000001</v>
      </c>
      <c r="N45" s="2">
        <v>111</v>
      </c>
      <c r="O45" s="2">
        <v>104.227</v>
      </c>
      <c r="P45" s="2">
        <v>102</v>
      </c>
      <c r="Q45" s="2">
        <v>92.809700000000007</v>
      </c>
      <c r="R45" s="2">
        <v>18</v>
      </c>
      <c r="S45" s="2">
        <v>91.898799999999994</v>
      </c>
      <c r="T45" s="2">
        <v>19</v>
      </c>
      <c r="U45" s="2">
        <v>0.80963700000000005</v>
      </c>
      <c r="V45" s="2">
        <v>44</v>
      </c>
      <c r="W45" s="2">
        <v>2002</v>
      </c>
    </row>
    <row r="46" spans="1:23" ht="12.3" x14ac:dyDescent="0.4">
      <c r="A46" s="2" t="s">
        <v>73</v>
      </c>
      <c r="B46" s="2">
        <v>12</v>
      </c>
      <c r="C46" s="2" t="s">
        <v>33</v>
      </c>
      <c r="D46" s="2" t="s">
        <v>33</v>
      </c>
      <c r="E46" s="2" t="s">
        <v>33</v>
      </c>
      <c r="F46" s="2"/>
      <c r="G46" s="2"/>
      <c r="H46" s="2"/>
      <c r="I46" s="2">
        <v>70.757800000000003</v>
      </c>
      <c r="J46" s="2">
        <v>127</v>
      </c>
      <c r="K46" s="2">
        <v>70.588899999999995</v>
      </c>
      <c r="L46" s="2">
        <v>127</v>
      </c>
      <c r="M46" s="2">
        <v>112.71599999999999</v>
      </c>
      <c r="N46" s="2">
        <v>8</v>
      </c>
      <c r="O46" s="2">
        <v>112.3241</v>
      </c>
      <c r="P46" s="2">
        <v>19</v>
      </c>
      <c r="Q46" s="2">
        <v>101.992</v>
      </c>
      <c r="R46" s="2">
        <v>185</v>
      </c>
      <c r="S46" s="2">
        <v>99.091899999999995</v>
      </c>
      <c r="T46" s="2">
        <v>115</v>
      </c>
      <c r="U46" s="2">
        <v>0.808674</v>
      </c>
      <c r="V46" s="2">
        <v>45</v>
      </c>
      <c r="W46" s="2">
        <v>2002</v>
      </c>
    </row>
    <row r="47" spans="1:23" ht="12.3" x14ac:dyDescent="0.4">
      <c r="A47" s="2" t="s">
        <v>74</v>
      </c>
      <c r="B47" s="2">
        <v>13</v>
      </c>
      <c r="C47" s="2"/>
      <c r="D47" s="2"/>
      <c r="E47" s="2"/>
      <c r="F47" s="2"/>
      <c r="G47" s="2"/>
      <c r="H47" s="2"/>
      <c r="I47" s="2">
        <v>69.909199999999998</v>
      </c>
      <c r="J47" s="2">
        <v>165</v>
      </c>
      <c r="K47" s="2">
        <v>70.216800000000006</v>
      </c>
      <c r="L47" s="2">
        <v>147</v>
      </c>
      <c r="M47" s="2">
        <v>110.5689</v>
      </c>
      <c r="N47" s="2">
        <v>21</v>
      </c>
      <c r="O47" s="2">
        <v>109.2741</v>
      </c>
      <c r="P47" s="2">
        <v>40</v>
      </c>
      <c r="Q47" s="2">
        <v>94.066800000000001</v>
      </c>
      <c r="R47" s="2">
        <v>30</v>
      </c>
      <c r="S47" s="2">
        <v>96.788399999999996</v>
      </c>
      <c r="T47" s="2">
        <v>76</v>
      </c>
      <c r="U47" s="2">
        <v>0.80144099999999996</v>
      </c>
      <c r="V47" s="2">
        <v>46</v>
      </c>
      <c r="W47" s="2">
        <v>2002</v>
      </c>
    </row>
    <row r="48" spans="1:23" ht="12.3" x14ac:dyDescent="0.4">
      <c r="A48" s="2" t="s">
        <v>75</v>
      </c>
      <c r="B48" s="2"/>
      <c r="C48" s="2"/>
      <c r="D48" s="2"/>
      <c r="E48" s="2"/>
      <c r="F48" s="2"/>
      <c r="G48" s="2"/>
      <c r="H48" s="2"/>
      <c r="I48" s="2">
        <v>68.952600000000004</v>
      </c>
      <c r="J48" s="2">
        <v>190</v>
      </c>
      <c r="K48" s="2">
        <v>70.068899999999999</v>
      </c>
      <c r="L48" s="2">
        <v>152</v>
      </c>
      <c r="M48" s="2">
        <v>108.1297</v>
      </c>
      <c r="N48" s="2">
        <v>43</v>
      </c>
      <c r="O48" s="2">
        <v>110.6973</v>
      </c>
      <c r="P48" s="2">
        <v>26</v>
      </c>
      <c r="Q48" s="2">
        <v>101.24550000000001</v>
      </c>
      <c r="R48" s="2">
        <v>173</v>
      </c>
      <c r="S48" s="2">
        <v>98.179500000000004</v>
      </c>
      <c r="T48" s="2">
        <v>97</v>
      </c>
      <c r="U48" s="2">
        <v>0.79899299999999995</v>
      </c>
      <c r="V48" s="2">
        <v>47</v>
      </c>
      <c r="W48" s="2">
        <v>2002</v>
      </c>
    </row>
    <row r="49" spans="1:23" ht="12.3" x14ac:dyDescent="0.4">
      <c r="A49" s="2" t="s">
        <v>76</v>
      </c>
      <c r="B49" s="2">
        <v>8</v>
      </c>
      <c r="C49" s="2" t="s">
        <v>33</v>
      </c>
      <c r="D49" s="2"/>
      <c r="E49" s="2"/>
      <c r="F49" s="2"/>
      <c r="G49" s="2"/>
      <c r="H49" s="2"/>
      <c r="I49" s="2">
        <v>63.801600000000001</v>
      </c>
      <c r="J49" s="2">
        <v>310</v>
      </c>
      <c r="K49" s="2">
        <v>64.6828</v>
      </c>
      <c r="L49" s="2">
        <v>300</v>
      </c>
      <c r="M49" s="2">
        <v>103.0291</v>
      </c>
      <c r="N49" s="2">
        <v>124</v>
      </c>
      <c r="O49" s="2">
        <v>107.4935</v>
      </c>
      <c r="P49" s="2">
        <v>63</v>
      </c>
      <c r="Q49" s="2">
        <v>100.3758</v>
      </c>
      <c r="R49" s="2">
        <v>153</v>
      </c>
      <c r="S49" s="2">
        <v>95.442499999999995</v>
      </c>
      <c r="T49" s="2">
        <v>48</v>
      </c>
      <c r="U49" s="2">
        <v>0.79696299999999998</v>
      </c>
      <c r="V49" s="2">
        <v>48</v>
      </c>
      <c r="W49" s="2">
        <v>2002</v>
      </c>
    </row>
    <row r="50" spans="1:23" ht="12.3" x14ac:dyDescent="0.4">
      <c r="A50" s="2" t="s">
        <v>77</v>
      </c>
      <c r="B50" s="2">
        <v>11</v>
      </c>
      <c r="C50" s="2"/>
      <c r="D50" s="2"/>
      <c r="E50" s="2"/>
      <c r="F50" s="2"/>
      <c r="G50" s="2"/>
      <c r="H50" s="2"/>
      <c r="I50" s="2">
        <v>65.672799999999995</v>
      </c>
      <c r="J50" s="2">
        <v>286</v>
      </c>
      <c r="K50" s="2">
        <v>66.893000000000001</v>
      </c>
      <c r="L50" s="2">
        <v>257</v>
      </c>
      <c r="M50" s="2">
        <v>109.5414</v>
      </c>
      <c r="N50" s="2">
        <v>27</v>
      </c>
      <c r="O50" s="2">
        <v>106.9622</v>
      </c>
      <c r="P50" s="2">
        <v>71</v>
      </c>
      <c r="Q50" s="2">
        <v>94.223399999999998</v>
      </c>
      <c r="R50" s="2">
        <v>32</v>
      </c>
      <c r="S50" s="2">
        <v>95.191500000000005</v>
      </c>
      <c r="T50" s="2">
        <v>44</v>
      </c>
      <c r="U50" s="2">
        <v>0.79260900000000001</v>
      </c>
      <c r="V50" s="2">
        <v>49</v>
      </c>
      <c r="W50" s="2">
        <v>2002</v>
      </c>
    </row>
    <row r="51" spans="1:23" ht="12.3" x14ac:dyDescent="0.4">
      <c r="A51" s="2" t="s">
        <v>78</v>
      </c>
      <c r="B51" s="2"/>
      <c r="C51" s="2"/>
      <c r="D51" s="2"/>
      <c r="E51" s="2"/>
      <c r="F51" s="2"/>
      <c r="G51" s="2"/>
      <c r="H51" s="2"/>
      <c r="I51" s="2">
        <v>68.674800000000005</v>
      </c>
      <c r="J51" s="2">
        <v>202</v>
      </c>
      <c r="K51" s="2">
        <v>68.765699999999995</v>
      </c>
      <c r="L51" s="2">
        <v>203</v>
      </c>
      <c r="M51" s="2">
        <v>101.602</v>
      </c>
      <c r="N51" s="2">
        <v>148</v>
      </c>
      <c r="O51" s="2">
        <v>103.4068</v>
      </c>
      <c r="P51" s="2">
        <v>115</v>
      </c>
      <c r="Q51" s="2">
        <v>95.0364</v>
      </c>
      <c r="R51" s="2">
        <v>52</v>
      </c>
      <c r="S51" s="2">
        <v>92.071600000000004</v>
      </c>
      <c r="T51" s="2">
        <v>21</v>
      </c>
      <c r="U51" s="2">
        <v>0.79170099999999999</v>
      </c>
      <c r="V51" s="2">
        <v>50</v>
      </c>
      <c r="W51" s="2">
        <v>2002</v>
      </c>
    </row>
    <row r="52" spans="1:23" ht="12.3" x14ac:dyDescent="0.4">
      <c r="A52" s="2" t="s">
        <v>79</v>
      </c>
      <c r="B52" s="2">
        <v>10</v>
      </c>
      <c r="C52" s="2"/>
      <c r="D52" s="2"/>
      <c r="E52" s="2"/>
      <c r="F52" s="2"/>
      <c r="G52" s="2"/>
      <c r="H52" s="2"/>
      <c r="I52" s="2">
        <v>74.144499999999994</v>
      </c>
      <c r="J52" s="2">
        <v>33</v>
      </c>
      <c r="K52" s="2">
        <v>74.116299999999995</v>
      </c>
      <c r="L52" s="2">
        <v>30</v>
      </c>
      <c r="M52" s="2">
        <v>107.0549</v>
      </c>
      <c r="N52" s="2">
        <v>59</v>
      </c>
      <c r="O52" s="2">
        <v>108.5752</v>
      </c>
      <c r="P52" s="2">
        <v>47</v>
      </c>
      <c r="Q52" s="2">
        <v>99.043300000000002</v>
      </c>
      <c r="R52" s="2">
        <v>116</v>
      </c>
      <c r="S52" s="2">
        <v>96.780699999999996</v>
      </c>
      <c r="T52" s="2">
        <v>75</v>
      </c>
      <c r="U52" s="2">
        <v>0.78958700000000004</v>
      </c>
      <c r="V52" s="2">
        <v>51</v>
      </c>
      <c r="W52" s="2">
        <v>2002</v>
      </c>
    </row>
    <row r="53" spans="1:23" ht="12.3" x14ac:dyDescent="0.4">
      <c r="A53" s="2" t="s">
        <v>80</v>
      </c>
      <c r="B53" s="2"/>
      <c r="C53" s="2"/>
      <c r="D53" s="2"/>
      <c r="E53" s="2"/>
      <c r="F53" s="2"/>
      <c r="G53" s="2"/>
      <c r="H53" s="2"/>
      <c r="I53" s="2">
        <v>73.541399999999996</v>
      </c>
      <c r="J53" s="2">
        <v>47</v>
      </c>
      <c r="K53" s="2">
        <v>72.985799999999998</v>
      </c>
      <c r="L53" s="2">
        <v>51</v>
      </c>
      <c r="M53" s="2">
        <v>100.703</v>
      </c>
      <c r="N53" s="2">
        <v>161</v>
      </c>
      <c r="O53" s="2">
        <v>106.62990000000001</v>
      </c>
      <c r="P53" s="2">
        <v>76</v>
      </c>
      <c r="Q53" s="2">
        <v>98.621899999999997</v>
      </c>
      <c r="R53" s="2">
        <v>105</v>
      </c>
      <c r="S53" s="2">
        <v>95.385599999999997</v>
      </c>
      <c r="T53" s="2">
        <v>47</v>
      </c>
      <c r="U53" s="2">
        <v>0.78270700000000004</v>
      </c>
      <c r="V53" s="2">
        <v>52</v>
      </c>
      <c r="W53" s="2">
        <v>2002</v>
      </c>
    </row>
    <row r="54" spans="1:23" ht="12.3" x14ac:dyDescent="0.4">
      <c r="A54" s="2" t="s">
        <v>81</v>
      </c>
      <c r="B54" s="2"/>
      <c r="C54" s="2"/>
      <c r="D54" s="2"/>
      <c r="E54" s="2"/>
      <c r="F54" s="2"/>
      <c r="G54" s="2"/>
      <c r="H54" s="2"/>
      <c r="I54" s="2">
        <v>68.662700000000001</v>
      </c>
      <c r="J54" s="2">
        <v>204</v>
      </c>
      <c r="K54" s="2">
        <v>67.9148</v>
      </c>
      <c r="L54" s="2">
        <v>226</v>
      </c>
      <c r="M54" s="2">
        <v>102.536</v>
      </c>
      <c r="N54" s="2">
        <v>131</v>
      </c>
      <c r="O54" s="2">
        <v>107.8862</v>
      </c>
      <c r="P54" s="2">
        <v>58</v>
      </c>
      <c r="Q54" s="2">
        <v>102.0346</v>
      </c>
      <c r="R54" s="2">
        <v>187</v>
      </c>
      <c r="S54" s="2">
        <v>96.766900000000007</v>
      </c>
      <c r="T54" s="2">
        <v>74</v>
      </c>
      <c r="U54" s="2">
        <v>0.777451</v>
      </c>
      <c r="V54" s="2">
        <v>53</v>
      </c>
      <c r="W54" s="2">
        <v>2002</v>
      </c>
    </row>
    <row r="55" spans="1:23" ht="12.3" x14ac:dyDescent="0.4">
      <c r="A55" s="2" t="s">
        <v>82</v>
      </c>
      <c r="B55" s="2">
        <v>11</v>
      </c>
      <c r="C55" s="2" t="s">
        <v>33</v>
      </c>
      <c r="D55" s="2" t="s">
        <v>33</v>
      </c>
      <c r="E55" s="2"/>
      <c r="F55" s="2"/>
      <c r="G55" s="2"/>
      <c r="H55" s="2"/>
      <c r="I55" s="2">
        <v>70.926900000000003</v>
      </c>
      <c r="J55" s="2">
        <v>118</v>
      </c>
      <c r="K55" s="2">
        <v>73.073499999999996</v>
      </c>
      <c r="L55" s="2">
        <v>50</v>
      </c>
      <c r="M55" s="2">
        <v>107.0924</v>
      </c>
      <c r="N55" s="2">
        <v>58</v>
      </c>
      <c r="O55" s="2">
        <v>105.45699999999999</v>
      </c>
      <c r="P55" s="2">
        <v>86</v>
      </c>
      <c r="Q55" s="2">
        <v>94.309899999999999</v>
      </c>
      <c r="R55" s="2">
        <v>34</v>
      </c>
      <c r="S55" s="2">
        <v>94.661600000000007</v>
      </c>
      <c r="T55" s="2">
        <v>38</v>
      </c>
      <c r="U55" s="2">
        <v>0.77590000000000003</v>
      </c>
      <c r="V55" s="2">
        <v>54</v>
      </c>
      <c r="W55" s="2">
        <v>2002</v>
      </c>
    </row>
    <row r="56" spans="1:23" ht="12.3" x14ac:dyDescent="0.4">
      <c r="A56" s="2" t="s">
        <v>83</v>
      </c>
      <c r="B56" s="2">
        <v>13</v>
      </c>
      <c r="C56" s="2" t="s">
        <v>33</v>
      </c>
      <c r="D56" s="2"/>
      <c r="E56" s="2"/>
      <c r="F56" s="2"/>
      <c r="G56" s="2"/>
      <c r="H56" s="2"/>
      <c r="I56" s="2">
        <v>64.204899999999995</v>
      </c>
      <c r="J56" s="2">
        <v>308</v>
      </c>
      <c r="K56" s="2">
        <v>64.534000000000006</v>
      </c>
      <c r="L56" s="2">
        <v>303</v>
      </c>
      <c r="M56" s="2">
        <v>104.15989999999999</v>
      </c>
      <c r="N56" s="2">
        <v>106</v>
      </c>
      <c r="O56" s="2">
        <v>104.5005</v>
      </c>
      <c r="P56" s="2">
        <v>97</v>
      </c>
      <c r="Q56" s="2">
        <v>93.391599999999997</v>
      </c>
      <c r="R56" s="2">
        <v>23</v>
      </c>
      <c r="S56" s="2">
        <v>93.828999999999994</v>
      </c>
      <c r="T56" s="2">
        <v>30</v>
      </c>
      <c r="U56" s="2">
        <v>0.77534700000000001</v>
      </c>
      <c r="V56" s="2">
        <v>55</v>
      </c>
      <c r="W56" s="2">
        <v>2002</v>
      </c>
    </row>
    <row r="57" spans="1:23" ht="12.3" x14ac:dyDescent="0.4">
      <c r="A57" s="2" t="s">
        <v>84</v>
      </c>
      <c r="B57" s="2"/>
      <c r="C57" s="2"/>
      <c r="D57" s="2"/>
      <c r="E57" s="2"/>
      <c r="F57" s="2"/>
      <c r="G57" s="2"/>
      <c r="H57" s="2"/>
      <c r="I57" s="2">
        <v>69.035700000000006</v>
      </c>
      <c r="J57" s="2">
        <v>187</v>
      </c>
      <c r="K57" s="2">
        <v>70.511899999999997</v>
      </c>
      <c r="L57" s="2">
        <v>130</v>
      </c>
      <c r="M57" s="2">
        <v>105.5797</v>
      </c>
      <c r="N57" s="2">
        <v>77</v>
      </c>
      <c r="O57" s="2">
        <v>107.1986</v>
      </c>
      <c r="P57" s="2">
        <v>67</v>
      </c>
      <c r="Q57" s="2">
        <v>99.121099999999998</v>
      </c>
      <c r="R57" s="2">
        <v>120</v>
      </c>
      <c r="S57" s="2">
        <v>96.274000000000001</v>
      </c>
      <c r="T57" s="2">
        <v>61</v>
      </c>
      <c r="U57" s="2">
        <v>0.77488000000000001</v>
      </c>
      <c r="V57" s="2">
        <v>56</v>
      </c>
      <c r="W57" s="2">
        <v>2002</v>
      </c>
    </row>
    <row r="58" spans="1:23" ht="12.3" x14ac:dyDescent="0.4">
      <c r="A58" s="2" t="s">
        <v>85</v>
      </c>
      <c r="B58" s="2"/>
      <c r="C58" s="2"/>
      <c r="D58" s="2"/>
      <c r="E58" s="2"/>
      <c r="F58" s="2"/>
      <c r="G58" s="2"/>
      <c r="H58" s="2"/>
      <c r="I58" s="2">
        <v>67.535700000000006</v>
      </c>
      <c r="J58" s="2">
        <v>238</v>
      </c>
      <c r="K58" s="2">
        <v>66.496499999999997</v>
      </c>
      <c r="L58" s="2">
        <v>270</v>
      </c>
      <c r="M58" s="2">
        <v>100.8064</v>
      </c>
      <c r="N58" s="2">
        <v>159</v>
      </c>
      <c r="O58" s="2">
        <v>102.7591</v>
      </c>
      <c r="P58" s="2">
        <v>128</v>
      </c>
      <c r="Q58" s="2">
        <v>94.3566</v>
      </c>
      <c r="R58" s="2">
        <v>35</v>
      </c>
      <c r="S58" s="2">
        <v>92.353099999999998</v>
      </c>
      <c r="T58" s="2">
        <v>22</v>
      </c>
      <c r="U58" s="2">
        <v>0.77343899999999999</v>
      </c>
      <c r="V58" s="2">
        <v>57</v>
      </c>
      <c r="W58" s="2">
        <v>2002</v>
      </c>
    </row>
    <row r="59" spans="1:23" ht="12.3" x14ac:dyDescent="0.4">
      <c r="A59" s="2" t="s">
        <v>86</v>
      </c>
      <c r="B59" s="2"/>
      <c r="C59" s="2"/>
      <c r="D59" s="2"/>
      <c r="E59" s="2"/>
      <c r="F59" s="2"/>
      <c r="G59" s="2"/>
      <c r="H59" s="2"/>
      <c r="I59" s="2">
        <v>75.083399999999997</v>
      </c>
      <c r="J59" s="2">
        <v>22</v>
      </c>
      <c r="K59" s="2">
        <v>74.512600000000006</v>
      </c>
      <c r="L59" s="2">
        <v>22</v>
      </c>
      <c r="M59" s="2">
        <v>101.4853</v>
      </c>
      <c r="N59" s="2">
        <v>150</v>
      </c>
      <c r="O59" s="2">
        <v>106.39709999999999</v>
      </c>
      <c r="P59" s="2">
        <v>78</v>
      </c>
      <c r="Q59" s="2">
        <v>95.904399999999995</v>
      </c>
      <c r="R59" s="2">
        <v>61</v>
      </c>
      <c r="S59" s="2">
        <v>95.691500000000005</v>
      </c>
      <c r="T59" s="2">
        <v>51</v>
      </c>
      <c r="U59" s="2">
        <v>0.77198599999999995</v>
      </c>
      <c r="V59" s="2">
        <v>58</v>
      </c>
      <c r="W59" s="2">
        <v>2002</v>
      </c>
    </row>
    <row r="60" spans="1:23" ht="12.3" x14ac:dyDescent="0.4">
      <c r="A60" s="2" t="s">
        <v>87</v>
      </c>
      <c r="B60" s="2"/>
      <c r="C60" s="2"/>
      <c r="D60" s="2"/>
      <c r="E60" s="2"/>
      <c r="F60" s="2"/>
      <c r="G60" s="2"/>
      <c r="H60" s="2"/>
      <c r="I60" s="2">
        <v>74.305400000000006</v>
      </c>
      <c r="J60" s="2">
        <v>30</v>
      </c>
      <c r="K60" s="2">
        <v>71.434200000000004</v>
      </c>
      <c r="L60" s="2">
        <v>93</v>
      </c>
      <c r="M60" s="2">
        <v>107.19289999999999</v>
      </c>
      <c r="N60" s="2">
        <v>54</v>
      </c>
      <c r="O60" s="2">
        <v>108.9896</v>
      </c>
      <c r="P60" s="2">
        <v>42</v>
      </c>
      <c r="Q60" s="2">
        <v>100.50920000000001</v>
      </c>
      <c r="R60" s="2">
        <v>159</v>
      </c>
      <c r="S60" s="2">
        <v>98.310400000000001</v>
      </c>
      <c r="T60" s="2">
        <v>101</v>
      </c>
      <c r="U60" s="2">
        <v>0.76600999999999997</v>
      </c>
      <c r="V60" s="2">
        <v>59</v>
      </c>
      <c r="W60" s="2">
        <v>2002</v>
      </c>
    </row>
    <row r="61" spans="1:23" ht="12.3" x14ac:dyDescent="0.4">
      <c r="A61" s="2" t="s">
        <v>88</v>
      </c>
      <c r="B61" s="2"/>
      <c r="C61" s="2"/>
      <c r="D61" s="2"/>
      <c r="E61" s="2"/>
      <c r="F61" s="2"/>
      <c r="G61" s="2"/>
      <c r="H61" s="2"/>
      <c r="I61" s="2">
        <v>64.1173</v>
      </c>
      <c r="J61" s="2">
        <v>309</v>
      </c>
      <c r="K61" s="2">
        <v>64.023600000000002</v>
      </c>
      <c r="L61" s="2">
        <v>311</v>
      </c>
      <c r="M61" s="2">
        <v>107.4365</v>
      </c>
      <c r="N61" s="2">
        <v>49</v>
      </c>
      <c r="O61" s="2">
        <v>109.69799999999999</v>
      </c>
      <c r="P61" s="2">
        <v>37</v>
      </c>
      <c r="Q61" s="2">
        <v>102.75320000000001</v>
      </c>
      <c r="R61" s="2">
        <v>206</v>
      </c>
      <c r="S61" s="2">
        <v>99.092699999999994</v>
      </c>
      <c r="T61" s="2">
        <v>116</v>
      </c>
      <c r="U61" s="2">
        <v>0.76301300000000005</v>
      </c>
      <c r="V61" s="2">
        <v>60</v>
      </c>
      <c r="W61" s="2">
        <v>2002</v>
      </c>
    </row>
    <row r="62" spans="1:23" ht="12.3" x14ac:dyDescent="0.4">
      <c r="A62" s="2" t="s">
        <v>89</v>
      </c>
      <c r="B62" s="2"/>
      <c r="C62" s="2"/>
      <c r="D62" s="2"/>
      <c r="E62" s="2"/>
      <c r="F62" s="2"/>
      <c r="G62" s="2"/>
      <c r="H62" s="2"/>
      <c r="I62" s="2">
        <v>66.473299999999995</v>
      </c>
      <c r="J62" s="2">
        <v>270</v>
      </c>
      <c r="K62" s="2">
        <v>67.629900000000006</v>
      </c>
      <c r="L62" s="2">
        <v>232</v>
      </c>
      <c r="M62" s="2">
        <v>109.34820000000001</v>
      </c>
      <c r="N62" s="2">
        <v>28</v>
      </c>
      <c r="O62" s="2">
        <v>107.8142</v>
      </c>
      <c r="P62" s="2">
        <v>59</v>
      </c>
      <c r="Q62" s="2">
        <v>99.1858</v>
      </c>
      <c r="R62" s="2">
        <v>126</v>
      </c>
      <c r="S62" s="2">
        <v>97.421199999999999</v>
      </c>
      <c r="T62" s="2">
        <v>86</v>
      </c>
      <c r="U62" s="2">
        <v>0.76236800000000005</v>
      </c>
      <c r="V62" s="2">
        <v>61</v>
      </c>
      <c r="W62" s="2">
        <v>2002</v>
      </c>
    </row>
    <row r="63" spans="1:23" ht="12.3" x14ac:dyDescent="0.4">
      <c r="A63" s="2" t="s">
        <v>90</v>
      </c>
      <c r="B63" s="2">
        <v>12</v>
      </c>
      <c r="C63" s="2" t="s">
        <v>33</v>
      </c>
      <c r="D63" s="2"/>
      <c r="E63" s="2"/>
      <c r="F63" s="2"/>
      <c r="G63" s="2"/>
      <c r="H63" s="2"/>
      <c r="I63" s="2">
        <v>68.176500000000004</v>
      </c>
      <c r="J63" s="2">
        <v>226</v>
      </c>
      <c r="K63" s="2">
        <v>68.609300000000005</v>
      </c>
      <c r="L63" s="2">
        <v>206</v>
      </c>
      <c r="M63" s="2">
        <v>109.6425</v>
      </c>
      <c r="N63" s="2">
        <v>25</v>
      </c>
      <c r="O63" s="2">
        <v>109.7891</v>
      </c>
      <c r="P63" s="2">
        <v>36</v>
      </c>
      <c r="Q63" s="2">
        <v>98.299300000000002</v>
      </c>
      <c r="R63" s="2">
        <v>96</v>
      </c>
      <c r="S63" s="2">
        <v>99.233500000000006</v>
      </c>
      <c r="T63" s="2">
        <v>121</v>
      </c>
      <c r="U63" s="2">
        <v>0.76178400000000002</v>
      </c>
      <c r="V63" s="2">
        <v>62</v>
      </c>
      <c r="W63" s="2">
        <v>2002</v>
      </c>
    </row>
    <row r="64" spans="1:23" ht="12.3" x14ac:dyDescent="0.4">
      <c r="A64" s="2" t="s">
        <v>91</v>
      </c>
      <c r="B64" s="2"/>
      <c r="C64" s="2"/>
      <c r="D64" s="2"/>
      <c r="E64" s="2"/>
      <c r="F64" s="2"/>
      <c r="G64" s="2"/>
      <c r="H64" s="2"/>
      <c r="I64" s="2">
        <v>68.418899999999994</v>
      </c>
      <c r="J64" s="2">
        <v>213</v>
      </c>
      <c r="K64" s="2">
        <v>68.991</v>
      </c>
      <c r="L64" s="2">
        <v>193</v>
      </c>
      <c r="M64" s="2">
        <v>112.03189999999999</v>
      </c>
      <c r="N64" s="2">
        <v>13</v>
      </c>
      <c r="O64" s="2">
        <v>113.49379999999999</v>
      </c>
      <c r="P64" s="2">
        <v>16</v>
      </c>
      <c r="Q64" s="2">
        <v>105.2551</v>
      </c>
      <c r="R64" s="2">
        <v>256</v>
      </c>
      <c r="S64" s="2">
        <v>102.73779999999999</v>
      </c>
      <c r="T64" s="2">
        <v>201</v>
      </c>
      <c r="U64" s="2">
        <v>0.758602</v>
      </c>
      <c r="V64" s="2">
        <v>63</v>
      </c>
      <c r="W64" s="2">
        <v>2002</v>
      </c>
    </row>
    <row r="65" spans="1:23" ht="12.3" x14ac:dyDescent="0.4">
      <c r="A65" s="2" t="s">
        <v>23</v>
      </c>
      <c r="B65" s="2"/>
      <c r="C65" s="2"/>
      <c r="D65" s="2"/>
      <c r="E65" s="2"/>
      <c r="F65" s="2"/>
      <c r="G65" s="2"/>
      <c r="H65" s="2"/>
      <c r="I65" s="2">
        <v>71.843500000000006</v>
      </c>
      <c r="J65" s="2">
        <v>88</v>
      </c>
      <c r="K65" s="2">
        <v>71.353300000000004</v>
      </c>
      <c r="L65" s="2">
        <v>98</v>
      </c>
      <c r="M65" s="2">
        <v>102.47880000000001</v>
      </c>
      <c r="N65" s="2">
        <v>135</v>
      </c>
      <c r="O65" s="2">
        <v>103.5697</v>
      </c>
      <c r="P65" s="2">
        <v>112</v>
      </c>
      <c r="Q65" s="2">
        <v>94.302700000000002</v>
      </c>
      <c r="R65" s="2">
        <v>33</v>
      </c>
      <c r="S65" s="2">
        <v>94.138400000000004</v>
      </c>
      <c r="T65" s="2">
        <v>34</v>
      </c>
      <c r="U65" s="2">
        <v>0.74988699999999997</v>
      </c>
      <c r="V65" s="2">
        <v>64</v>
      </c>
      <c r="W65" s="2">
        <v>2002</v>
      </c>
    </row>
    <row r="66" spans="1:23" ht="12.3" x14ac:dyDescent="0.4">
      <c r="A66" s="2" t="s">
        <v>92</v>
      </c>
      <c r="B66" s="2"/>
      <c r="C66" s="2"/>
      <c r="D66" s="2"/>
      <c r="E66" s="2"/>
      <c r="F66" s="2"/>
      <c r="G66" s="2"/>
      <c r="H66" s="2"/>
      <c r="I66" s="2">
        <v>73.453199999999995</v>
      </c>
      <c r="J66" s="2">
        <v>49</v>
      </c>
      <c r="K66" s="2">
        <v>71.765500000000003</v>
      </c>
      <c r="L66" s="2">
        <v>84</v>
      </c>
      <c r="M66" s="2">
        <v>104.19450000000001</v>
      </c>
      <c r="N66" s="2">
        <v>105</v>
      </c>
      <c r="O66" s="2">
        <v>108.6005</v>
      </c>
      <c r="P66" s="2">
        <v>46</v>
      </c>
      <c r="Q66" s="2">
        <v>103.82599999999999</v>
      </c>
      <c r="R66" s="2">
        <v>230</v>
      </c>
      <c r="S66" s="2">
        <v>98.884900000000002</v>
      </c>
      <c r="T66" s="2">
        <v>112</v>
      </c>
      <c r="U66" s="2">
        <v>0.74607199999999996</v>
      </c>
      <c r="V66" s="2">
        <v>65</v>
      </c>
      <c r="W66" s="2">
        <v>2002</v>
      </c>
    </row>
    <row r="67" spans="1:23" ht="12.3" x14ac:dyDescent="0.4">
      <c r="A67" s="2" t="s">
        <v>93</v>
      </c>
      <c r="B67" s="2">
        <v>11</v>
      </c>
      <c r="C67" s="2" t="s">
        <v>33</v>
      </c>
      <c r="D67" s="2"/>
      <c r="E67" s="2"/>
      <c r="F67" s="2"/>
      <c r="G67" s="2"/>
      <c r="H67" s="2"/>
      <c r="I67" s="2">
        <v>69.617199999999997</v>
      </c>
      <c r="J67" s="2">
        <v>175</v>
      </c>
      <c r="K67" s="2">
        <v>70.412400000000005</v>
      </c>
      <c r="L67" s="2">
        <v>134</v>
      </c>
      <c r="M67" s="2">
        <v>105.36539999999999</v>
      </c>
      <c r="N67" s="2">
        <v>81</v>
      </c>
      <c r="O67" s="2">
        <v>106.03700000000001</v>
      </c>
      <c r="P67" s="2">
        <v>80</v>
      </c>
      <c r="Q67" s="2">
        <v>97.056799999999996</v>
      </c>
      <c r="R67" s="2">
        <v>78</v>
      </c>
      <c r="S67" s="2">
        <v>96.6601</v>
      </c>
      <c r="T67" s="2">
        <v>67</v>
      </c>
      <c r="U67" s="2">
        <v>0.74359799999999998</v>
      </c>
      <c r="V67" s="2">
        <v>66</v>
      </c>
      <c r="W67" s="2">
        <v>2002</v>
      </c>
    </row>
    <row r="68" spans="1:23" ht="12.3" x14ac:dyDescent="0.4">
      <c r="A68" s="2" t="s">
        <v>94</v>
      </c>
      <c r="B68" s="2"/>
      <c r="C68" s="2"/>
      <c r="D68" s="2"/>
      <c r="E68" s="2"/>
      <c r="F68" s="2"/>
      <c r="G68" s="2"/>
      <c r="H68" s="2"/>
      <c r="I68" s="2">
        <v>67.4131</v>
      </c>
      <c r="J68" s="2">
        <v>243</v>
      </c>
      <c r="K68" s="2">
        <v>67.235100000000003</v>
      </c>
      <c r="L68" s="2">
        <v>246</v>
      </c>
      <c r="M68" s="2">
        <v>104.54430000000001</v>
      </c>
      <c r="N68" s="2">
        <v>98</v>
      </c>
      <c r="O68" s="2">
        <v>107.70529999999999</v>
      </c>
      <c r="P68" s="2">
        <v>60</v>
      </c>
      <c r="Q68" s="2">
        <v>97.661600000000007</v>
      </c>
      <c r="R68" s="2">
        <v>86</v>
      </c>
      <c r="S68" s="2">
        <v>98.220600000000005</v>
      </c>
      <c r="T68" s="2">
        <v>98</v>
      </c>
      <c r="U68" s="2">
        <v>0.74270899999999995</v>
      </c>
      <c r="V68" s="2">
        <v>67</v>
      </c>
      <c r="W68" s="2">
        <v>2002</v>
      </c>
    </row>
    <row r="69" spans="1:23" ht="12.3" x14ac:dyDescent="0.4">
      <c r="A69" s="2" t="s">
        <v>95</v>
      </c>
      <c r="B69" s="2">
        <v>11</v>
      </c>
      <c r="C69" s="2"/>
      <c r="D69" s="2"/>
      <c r="E69" s="2"/>
      <c r="F69" s="2"/>
      <c r="G69" s="2"/>
      <c r="H69" s="2"/>
      <c r="I69" s="2">
        <v>70.698499999999996</v>
      </c>
      <c r="J69" s="2">
        <v>128</v>
      </c>
      <c r="K69" s="2">
        <v>70.707999999999998</v>
      </c>
      <c r="L69" s="2">
        <v>121</v>
      </c>
      <c r="M69" s="2">
        <v>103.70659999999999</v>
      </c>
      <c r="N69" s="2">
        <v>116</v>
      </c>
      <c r="O69" s="2">
        <v>107.0112</v>
      </c>
      <c r="P69" s="2">
        <v>70</v>
      </c>
      <c r="Q69" s="2">
        <v>99.252700000000004</v>
      </c>
      <c r="R69" s="2">
        <v>128</v>
      </c>
      <c r="S69" s="2">
        <v>97.686700000000002</v>
      </c>
      <c r="T69" s="2">
        <v>89</v>
      </c>
      <c r="U69" s="2">
        <v>0.74047300000000005</v>
      </c>
      <c r="V69" s="2">
        <v>68</v>
      </c>
      <c r="W69" s="2">
        <v>2002</v>
      </c>
    </row>
    <row r="70" spans="1:23" ht="12.3" x14ac:dyDescent="0.4">
      <c r="A70" s="2" t="s">
        <v>96</v>
      </c>
      <c r="B70" s="2"/>
      <c r="C70" s="2"/>
      <c r="D70" s="2"/>
      <c r="E70" s="2"/>
      <c r="F70" s="2"/>
      <c r="G70" s="2"/>
      <c r="H70" s="2"/>
      <c r="I70" s="2">
        <v>64.945800000000006</v>
      </c>
      <c r="J70" s="2">
        <v>294</v>
      </c>
      <c r="K70" s="2">
        <v>66.406700000000001</v>
      </c>
      <c r="L70" s="2">
        <v>273</v>
      </c>
      <c r="M70" s="2">
        <v>105.30800000000001</v>
      </c>
      <c r="N70" s="2">
        <v>83</v>
      </c>
      <c r="O70" s="2">
        <v>106.5866</v>
      </c>
      <c r="P70" s="2">
        <v>77</v>
      </c>
      <c r="Q70" s="2">
        <v>99.335999999999999</v>
      </c>
      <c r="R70" s="2">
        <v>129</v>
      </c>
      <c r="S70" s="2">
        <v>97.398200000000003</v>
      </c>
      <c r="T70" s="2">
        <v>85</v>
      </c>
      <c r="U70" s="2">
        <v>0.73821800000000004</v>
      </c>
      <c r="V70" s="2">
        <v>69</v>
      </c>
      <c r="W70" s="2">
        <v>2002</v>
      </c>
    </row>
    <row r="71" spans="1:23" ht="12.3" x14ac:dyDescent="0.4">
      <c r="A71" s="2" t="s">
        <v>97</v>
      </c>
      <c r="B71" s="2">
        <v>13</v>
      </c>
      <c r="C71" s="2"/>
      <c r="D71" s="2"/>
      <c r="E71" s="2"/>
      <c r="F71" s="2"/>
      <c r="G71" s="2"/>
      <c r="H71" s="2"/>
      <c r="I71" s="2">
        <v>70.886099999999999</v>
      </c>
      <c r="J71" s="2">
        <v>121</v>
      </c>
      <c r="K71" s="2">
        <v>71.200299999999999</v>
      </c>
      <c r="L71" s="2">
        <v>107</v>
      </c>
      <c r="M71" s="2">
        <v>103.1405</v>
      </c>
      <c r="N71" s="2">
        <v>123</v>
      </c>
      <c r="O71" s="2">
        <v>104.1575</v>
      </c>
      <c r="P71" s="2">
        <v>104</v>
      </c>
      <c r="Q71" s="2">
        <v>98.706800000000001</v>
      </c>
      <c r="R71" s="2">
        <v>108</v>
      </c>
      <c r="S71" s="2">
        <v>95.206199999999995</v>
      </c>
      <c r="T71" s="2">
        <v>45</v>
      </c>
      <c r="U71" s="2">
        <v>0.73756999999999995</v>
      </c>
      <c r="V71" s="2">
        <v>70</v>
      </c>
      <c r="W71" s="2">
        <v>2002</v>
      </c>
    </row>
    <row r="72" spans="1:23" ht="12.3" x14ac:dyDescent="0.4">
      <c r="A72" s="2" t="s">
        <v>98</v>
      </c>
      <c r="B72" s="2"/>
      <c r="C72" s="2"/>
      <c r="D72" s="2"/>
      <c r="E72" s="2"/>
      <c r="F72" s="2"/>
      <c r="G72" s="2"/>
      <c r="H72" s="2"/>
      <c r="I72" s="2">
        <v>62.3489</v>
      </c>
      <c r="J72" s="2">
        <v>319</v>
      </c>
      <c r="K72" s="2">
        <v>64.363500000000002</v>
      </c>
      <c r="L72" s="2">
        <v>305</v>
      </c>
      <c r="M72" s="2">
        <v>105.3035</v>
      </c>
      <c r="N72" s="2">
        <v>84</v>
      </c>
      <c r="O72" s="2">
        <v>103.4264</v>
      </c>
      <c r="P72" s="2">
        <v>114</v>
      </c>
      <c r="Q72" s="2">
        <v>92.95</v>
      </c>
      <c r="R72" s="2">
        <v>19</v>
      </c>
      <c r="S72" s="2">
        <v>94.663700000000006</v>
      </c>
      <c r="T72" s="2">
        <v>39</v>
      </c>
      <c r="U72" s="2">
        <v>0.73460199999999998</v>
      </c>
      <c r="V72" s="2">
        <v>71</v>
      </c>
      <c r="W72" s="2">
        <v>2002</v>
      </c>
    </row>
    <row r="73" spans="1:23" ht="12.3" x14ac:dyDescent="0.4">
      <c r="A73" s="2" t="s">
        <v>99</v>
      </c>
      <c r="B73" s="2"/>
      <c r="C73" s="2"/>
      <c r="D73" s="2"/>
      <c r="E73" s="2"/>
      <c r="F73" s="2"/>
      <c r="G73" s="2"/>
      <c r="H73" s="2"/>
      <c r="I73" s="2">
        <v>73.306100000000001</v>
      </c>
      <c r="J73" s="2">
        <v>51</v>
      </c>
      <c r="K73" s="2">
        <v>73.286799999999999</v>
      </c>
      <c r="L73" s="2">
        <v>46</v>
      </c>
      <c r="M73" s="2">
        <v>103.7834</v>
      </c>
      <c r="N73" s="2">
        <v>114</v>
      </c>
      <c r="O73" s="2">
        <v>104.60129999999999</v>
      </c>
      <c r="P73" s="2">
        <v>95</v>
      </c>
      <c r="Q73" s="2">
        <v>99.158100000000005</v>
      </c>
      <c r="R73" s="2">
        <v>122</v>
      </c>
      <c r="S73" s="2">
        <v>95.798299999999998</v>
      </c>
      <c r="T73" s="2">
        <v>54</v>
      </c>
      <c r="U73" s="2">
        <v>0.73321199999999997</v>
      </c>
      <c r="V73" s="2">
        <v>72</v>
      </c>
      <c r="W73" s="2">
        <v>2002</v>
      </c>
    </row>
    <row r="74" spans="1:23" ht="12.3" x14ac:dyDescent="0.4">
      <c r="A74" s="2" t="s">
        <v>100</v>
      </c>
      <c r="B74" s="2"/>
      <c r="C74" s="2"/>
      <c r="D74" s="2"/>
      <c r="E74" s="2"/>
      <c r="F74" s="2"/>
      <c r="G74" s="2"/>
      <c r="H74" s="2"/>
      <c r="I74" s="2">
        <v>62.751300000000001</v>
      </c>
      <c r="J74" s="2">
        <v>315</v>
      </c>
      <c r="K74" s="2">
        <v>62.500999999999998</v>
      </c>
      <c r="L74" s="2">
        <v>319</v>
      </c>
      <c r="M74" s="2">
        <v>99.436499999999995</v>
      </c>
      <c r="N74" s="2">
        <v>192</v>
      </c>
      <c r="O74" s="2">
        <v>102.5872</v>
      </c>
      <c r="P74" s="2">
        <v>130</v>
      </c>
      <c r="Q74" s="2">
        <v>97.505899999999997</v>
      </c>
      <c r="R74" s="2">
        <v>84</v>
      </c>
      <c r="S74" s="2">
        <v>94.102999999999994</v>
      </c>
      <c r="T74" s="2">
        <v>33</v>
      </c>
      <c r="U74" s="2">
        <v>0.72962499999999997</v>
      </c>
      <c r="V74" s="2">
        <v>73</v>
      </c>
      <c r="W74" s="2">
        <v>2002</v>
      </c>
    </row>
    <row r="75" spans="1:23" ht="12.3" x14ac:dyDescent="0.4">
      <c r="A75" s="2" t="s">
        <v>101</v>
      </c>
      <c r="B75" s="2"/>
      <c r="C75" s="2"/>
      <c r="D75" s="2"/>
      <c r="E75" s="2"/>
      <c r="F75" s="2"/>
      <c r="G75" s="2"/>
      <c r="H75" s="2"/>
      <c r="I75" s="2">
        <v>70.148099999999999</v>
      </c>
      <c r="J75" s="2">
        <v>152</v>
      </c>
      <c r="K75" s="2">
        <v>70.377799999999993</v>
      </c>
      <c r="L75" s="2">
        <v>135</v>
      </c>
      <c r="M75" s="2">
        <v>110.8193</v>
      </c>
      <c r="N75" s="2">
        <v>19</v>
      </c>
      <c r="O75" s="2">
        <v>108.97239999999999</v>
      </c>
      <c r="P75" s="2">
        <v>43</v>
      </c>
      <c r="Q75" s="2">
        <v>101.25539999999999</v>
      </c>
      <c r="R75" s="2">
        <v>174</v>
      </c>
      <c r="S75" s="2">
        <v>100.0074</v>
      </c>
      <c r="T75" s="2">
        <v>140</v>
      </c>
      <c r="U75" s="2">
        <v>0.72855099999999995</v>
      </c>
      <c r="V75" s="2">
        <v>74</v>
      </c>
      <c r="W75" s="2">
        <v>2002</v>
      </c>
    </row>
    <row r="76" spans="1:23" ht="12.3" x14ac:dyDescent="0.4">
      <c r="A76" s="2" t="s">
        <v>102</v>
      </c>
      <c r="B76" s="2">
        <v>9</v>
      </c>
      <c r="C76" s="2"/>
      <c r="D76" s="2"/>
      <c r="E76" s="2"/>
      <c r="F76" s="2"/>
      <c r="G76" s="2"/>
      <c r="H76" s="2"/>
      <c r="I76" s="2">
        <v>71.818799999999996</v>
      </c>
      <c r="J76" s="2">
        <v>90</v>
      </c>
      <c r="K76" s="2">
        <v>70.724999999999994</v>
      </c>
      <c r="L76" s="2">
        <v>120</v>
      </c>
      <c r="M76" s="2">
        <v>97.013900000000007</v>
      </c>
      <c r="N76" s="2">
        <v>236</v>
      </c>
      <c r="O76" s="2">
        <v>99.351799999999997</v>
      </c>
      <c r="P76" s="2">
        <v>193</v>
      </c>
      <c r="Q76" s="2">
        <v>94.376499999999993</v>
      </c>
      <c r="R76" s="2">
        <v>37</v>
      </c>
      <c r="S76" s="2">
        <v>91.720299999999995</v>
      </c>
      <c r="T76" s="2">
        <v>18</v>
      </c>
      <c r="U76" s="2">
        <v>0.71486300000000003</v>
      </c>
      <c r="V76" s="2">
        <v>75</v>
      </c>
      <c r="W76" s="2">
        <v>2002</v>
      </c>
    </row>
    <row r="77" spans="1:23" ht="12.3" x14ac:dyDescent="0.4">
      <c r="A77" s="2" t="s">
        <v>103</v>
      </c>
      <c r="B77" s="2"/>
      <c r="C77" s="2"/>
      <c r="D77" s="2"/>
      <c r="E77" s="2"/>
      <c r="F77" s="2"/>
      <c r="G77" s="2"/>
      <c r="H77" s="2"/>
      <c r="I77" s="2">
        <v>74.1601</v>
      </c>
      <c r="J77" s="2">
        <v>31</v>
      </c>
      <c r="K77" s="2">
        <v>73.216300000000004</v>
      </c>
      <c r="L77" s="2">
        <v>47</v>
      </c>
      <c r="M77" s="2">
        <v>102.2865</v>
      </c>
      <c r="N77" s="2">
        <v>139</v>
      </c>
      <c r="O77" s="2">
        <v>103.6747</v>
      </c>
      <c r="P77" s="2">
        <v>110</v>
      </c>
      <c r="Q77" s="2">
        <v>98.018299999999996</v>
      </c>
      <c r="R77" s="2">
        <v>91</v>
      </c>
      <c r="S77" s="2">
        <v>95.985900000000001</v>
      </c>
      <c r="T77" s="2">
        <v>57</v>
      </c>
      <c r="U77" s="2">
        <v>0.70809599999999995</v>
      </c>
      <c r="V77" s="2">
        <v>76</v>
      </c>
      <c r="W77" s="2">
        <v>2002</v>
      </c>
    </row>
    <row r="78" spans="1:23" ht="12.3" x14ac:dyDescent="0.4">
      <c r="A78" s="2" t="s">
        <v>104</v>
      </c>
      <c r="B78" s="2">
        <v>14</v>
      </c>
      <c r="C78" s="2"/>
      <c r="D78" s="2"/>
      <c r="E78" s="2"/>
      <c r="F78" s="2"/>
      <c r="G78" s="2"/>
      <c r="H78" s="2"/>
      <c r="I78" s="2">
        <v>63.234499999999997</v>
      </c>
      <c r="J78" s="2">
        <v>312</v>
      </c>
      <c r="K78" s="2">
        <v>64.794799999999995</v>
      </c>
      <c r="L78" s="2">
        <v>296</v>
      </c>
      <c r="M78" s="2">
        <v>105.2163</v>
      </c>
      <c r="N78" s="2">
        <v>86</v>
      </c>
      <c r="O78" s="2">
        <v>105.4534</v>
      </c>
      <c r="P78" s="2">
        <v>87</v>
      </c>
      <c r="Q78" s="2">
        <v>96.096500000000006</v>
      </c>
      <c r="R78" s="2">
        <v>65</v>
      </c>
      <c r="S78" s="2">
        <v>97.670400000000001</v>
      </c>
      <c r="T78" s="2">
        <v>88</v>
      </c>
      <c r="U78" s="2">
        <v>0.70717600000000003</v>
      </c>
      <c r="V78" s="2">
        <v>77</v>
      </c>
      <c r="W78" s="2">
        <v>2002</v>
      </c>
    </row>
    <row r="79" spans="1:23" ht="12.3" x14ac:dyDescent="0.4">
      <c r="A79" s="2" t="s">
        <v>105</v>
      </c>
      <c r="B79" s="2"/>
      <c r="C79" s="2"/>
      <c r="D79" s="2"/>
      <c r="E79" s="2"/>
      <c r="F79" s="2"/>
      <c r="G79" s="2"/>
      <c r="H79" s="2"/>
      <c r="I79" s="2">
        <v>65.134399999999999</v>
      </c>
      <c r="J79" s="2">
        <v>291</v>
      </c>
      <c r="K79" s="2">
        <v>63.680399999999999</v>
      </c>
      <c r="L79" s="2">
        <v>314</v>
      </c>
      <c r="M79" s="2">
        <v>104.3125</v>
      </c>
      <c r="N79" s="2">
        <v>101</v>
      </c>
      <c r="O79" s="2">
        <v>102.3335</v>
      </c>
      <c r="P79" s="2">
        <v>135</v>
      </c>
      <c r="Q79" s="2">
        <v>92.361199999999997</v>
      </c>
      <c r="R79" s="2">
        <v>13</v>
      </c>
      <c r="S79" s="2">
        <v>95.073999999999998</v>
      </c>
      <c r="T79" s="2">
        <v>43</v>
      </c>
      <c r="U79" s="2">
        <v>0.69976700000000003</v>
      </c>
      <c r="V79" s="2">
        <v>78</v>
      </c>
      <c r="W79" s="2">
        <v>2002</v>
      </c>
    </row>
    <row r="80" spans="1:23" ht="12.3" x14ac:dyDescent="0.4">
      <c r="A80" s="2" t="s">
        <v>106</v>
      </c>
      <c r="B80" s="2"/>
      <c r="C80" s="2"/>
      <c r="D80" s="2"/>
      <c r="E80" s="2"/>
      <c r="F80" s="2"/>
      <c r="G80" s="2"/>
      <c r="H80" s="2"/>
      <c r="I80" s="2">
        <v>71.2072</v>
      </c>
      <c r="J80" s="2">
        <v>108</v>
      </c>
      <c r="K80" s="2">
        <v>72.909000000000006</v>
      </c>
      <c r="L80" s="2">
        <v>54</v>
      </c>
      <c r="M80" s="2">
        <v>112.8903</v>
      </c>
      <c r="N80" s="2">
        <v>6</v>
      </c>
      <c r="O80" s="2">
        <v>113.834</v>
      </c>
      <c r="P80" s="2">
        <v>13</v>
      </c>
      <c r="Q80" s="2">
        <v>108.779</v>
      </c>
      <c r="R80" s="2">
        <v>307</v>
      </c>
      <c r="S80" s="2">
        <v>106.0181</v>
      </c>
      <c r="T80" s="2">
        <v>258</v>
      </c>
      <c r="U80" s="2">
        <v>0.69381400000000004</v>
      </c>
      <c r="V80" s="2">
        <v>79</v>
      </c>
      <c r="W80" s="2">
        <v>2002</v>
      </c>
    </row>
    <row r="81" spans="1:23" ht="12.3" x14ac:dyDescent="0.4">
      <c r="A81" s="2" t="s">
        <v>107</v>
      </c>
      <c r="B81" s="2">
        <v>14</v>
      </c>
      <c r="C81" s="2"/>
      <c r="D81" s="2"/>
      <c r="E81" s="2"/>
      <c r="F81" s="2"/>
      <c r="G81" s="2"/>
      <c r="H81" s="2"/>
      <c r="I81" s="2">
        <v>68.608400000000003</v>
      </c>
      <c r="J81" s="2">
        <v>206</v>
      </c>
      <c r="K81" s="2">
        <v>66.805000000000007</v>
      </c>
      <c r="L81" s="2">
        <v>260</v>
      </c>
      <c r="M81" s="2">
        <v>102.226</v>
      </c>
      <c r="N81" s="2">
        <v>142</v>
      </c>
      <c r="O81" s="2">
        <v>102.3383</v>
      </c>
      <c r="P81" s="2">
        <v>134</v>
      </c>
      <c r="Q81" s="2">
        <v>92.412000000000006</v>
      </c>
      <c r="R81" s="2">
        <v>14</v>
      </c>
      <c r="S81" s="2">
        <v>95.354900000000001</v>
      </c>
      <c r="T81" s="2">
        <v>46</v>
      </c>
      <c r="U81" s="2">
        <v>0.69270500000000002</v>
      </c>
      <c r="V81" s="2">
        <v>80</v>
      </c>
      <c r="W81" s="2">
        <v>2002</v>
      </c>
    </row>
    <row r="82" spans="1:23" ht="12.3" x14ac:dyDescent="0.4">
      <c r="A82" s="2" t="s">
        <v>108</v>
      </c>
      <c r="B82" s="2"/>
      <c r="C82" s="2"/>
      <c r="D82" s="2"/>
      <c r="E82" s="2"/>
      <c r="F82" s="2"/>
      <c r="G82" s="2"/>
      <c r="H82" s="2"/>
      <c r="I82" s="2">
        <v>76.288300000000007</v>
      </c>
      <c r="J82" s="2">
        <v>14</v>
      </c>
      <c r="K82" s="2">
        <v>75.299000000000007</v>
      </c>
      <c r="L82" s="2">
        <v>14</v>
      </c>
      <c r="M82" s="2">
        <v>102.84480000000001</v>
      </c>
      <c r="N82" s="2">
        <v>125</v>
      </c>
      <c r="O82" s="2">
        <v>104.2533</v>
      </c>
      <c r="P82" s="2">
        <v>101</v>
      </c>
      <c r="Q82" s="2">
        <v>96.969899999999996</v>
      </c>
      <c r="R82" s="2">
        <v>77</v>
      </c>
      <c r="S82" s="2">
        <v>97.484999999999999</v>
      </c>
      <c r="T82" s="2">
        <v>87</v>
      </c>
      <c r="U82" s="2">
        <v>0.68393899999999996</v>
      </c>
      <c r="V82" s="2">
        <v>81</v>
      </c>
      <c r="W82" s="2">
        <v>2002</v>
      </c>
    </row>
    <row r="83" spans="1:23" ht="12.3" x14ac:dyDescent="0.4">
      <c r="A83" s="2" t="s">
        <v>109</v>
      </c>
      <c r="B83" s="2"/>
      <c r="C83" s="2"/>
      <c r="D83" s="2"/>
      <c r="E83" s="2"/>
      <c r="F83" s="2"/>
      <c r="G83" s="2"/>
      <c r="H83" s="2"/>
      <c r="I83" s="2">
        <v>71.981399999999994</v>
      </c>
      <c r="J83" s="2">
        <v>83</v>
      </c>
      <c r="K83" s="2">
        <v>73.788600000000002</v>
      </c>
      <c r="L83" s="2">
        <v>39</v>
      </c>
      <c r="M83" s="2">
        <v>105.7942</v>
      </c>
      <c r="N83" s="2">
        <v>71</v>
      </c>
      <c r="O83" s="2">
        <v>107.4528</v>
      </c>
      <c r="P83" s="2">
        <v>65</v>
      </c>
      <c r="Q83" s="2">
        <v>101.5736</v>
      </c>
      <c r="R83" s="2">
        <v>180</v>
      </c>
      <c r="S83" s="2">
        <v>100.58459999999999</v>
      </c>
      <c r="T83" s="2">
        <v>156</v>
      </c>
      <c r="U83" s="2">
        <v>0.68126699999999996</v>
      </c>
      <c r="V83" s="2">
        <v>82</v>
      </c>
      <c r="W83" s="2">
        <v>2002</v>
      </c>
    </row>
    <row r="84" spans="1:23" ht="12.3" x14ac:dyDescent="0.4">
      <c r="A84" s="2" t="s">
        <v>110</v>
      </c>
      <c r="B84" s="2"/>
      <c r="C84" s="2"/>
      <c r="D84" s="2"/>
      <c r="E84" s="2"/>
      <c r="F84" s="2"/>
      <c r="G84" s="2"/>
      <c r="H84" s="2"/>
      <c r="I84" s="2">
        <v>64.8001</v>
      </c>
      <c r="J84" s="2">
        <v>300</v>
      </c>
      <c r="K84" s="2">
        <v>66.230699999999999</v>
      </c>
      <c r="L84" s="2">
        <v>277</v>
      </c>
      <c r="M84" s="2">
        <v>106.38979999999999</v>
      </c>
      <c r="N84" s="2">
        <v>62</v>
      </c>
      <c r="O84" s="2">
        <v>106.73309999999999</v>
      </c>
      <c r="P84" s="2">
        <v>74</v>
      </c>
      <c r="Q84" s="2">
        <v>98.537000000000006</v>
      </c>
      <c r="R84" s="2">
        <v>103</v>
      </c>
      <c r="S84" s="2">
        <v>99.997799999999998</v>
      </c>
      <c r="T84" s="2">
        <v>139</v>
      </c>
      <c r="U84" s="2">
        <v>0.67909200000000003</v>
      </c>
      <c r="V84" s="2">
        <v>83</v>
      </c>
      <c r="W84" s="2">
        <v>2002</v>
      </c>
    </row>
    <row r="85" spans="1:23" ht="12.3" x14ac:dyDescent="0.4">
      <c r="A85" s="2" t="s">
        <v>111</v>
      </c>
      <c r="B85" s="2"/>
      <c r="C85" s="2"/>
      <c r="D85" s="2"/>
      <c r="E85" s="2"/>
      <c r="F85" s="2"/>
      <c r="G85" s="2"/>
      <c r="H85" s="2"/>
      <c r="I85" s="2">
        <v>71.017099999999999</v>
      </c>
      <c r="J85" s="2">
        <v>112</v>
      </c>
      <c r="K85" s="2">
        <v>71.0334</v>
      </c>
      <c r="L85" s="2">
        <v>113</v>
      </c>
      <c r="M85" s="2">
        <v>101.3777</v>
      </c>
      <c r="N85" s="2">
        <v>151</v>
      </c>
      <c r="O85" s="2">
        <v>105.0753</v>
      </c>
      <c r="P85" s="2">
        <v>91</v>
      </c>
      <c r="Q85" s="2">
        <v>102.6463</v>
      </c>
      <c r="R85" s="2">
        <v>201</v>
      </c>
      <c r="S85" s="2">
        <v>98.482200000000006</v>
      </c>
      <c r="T85" s="2">
        <v>103</v>
      </c>
      <c r="U85" s="2">
        <v>0.67813699999999999</v>
      </c>
      <c r="V85" s="2">
        <v>84</v>
      </c>
      <c r="W85" s="2">
        <v>2002</v>
      </c>
    </row>
    <row r="86" spans="1:23" ht="12.3" x14ac:dyDescent="0.4">
      <c r="A86" s="2" t="s">
        <v>112</v>
      </c>
      <c r="B86" s="2"/>
      <c r="C86" s="2"/>
      <c r="D86" s="2"/>
      <c r="E86" s="2"/>
      <c r="F86" s="2"/>
      <c r="G86" s="2"/>
      <c r="H86" s="2"/>
      <c r="I86" s="2">
        <v>73.045500000000004</v>
      </c>
      <c r="J86" s="2">
        <v>62</v>
      </c>
      <c r="K86" s="2">
        <v>73.999700000000004</v>
      </c>
      <c r="L86" s="2">
        <v>31</v>
      </c>
      <c r="M86" s="2">
        <v>100.08759999999999</v>
      </c>
      <c r="N86" s="2">
        <v>180</v>
      </c>
      <c r="O86" s="2">
        <v>100.7336</v>
      </c>
      <c r="P86" s="2">
        <v>161</v>
      </c>
      <c r="Q86" s="2">
        <v>95.962999999999994</v>
      </c>
      <c r="R86" s="2">
        <v>63</v>
      </c>
      <c r="S86" s="2">
        <v>94.625600000000006</v>
      </c>
      <c r="T86" s="2">
        <v>36</v>
      </c>
      <c r="U86" s="2">
        <v>0.67246099999999998</v>
      </c>
      <c r="V86" s="2">
        <v>85</v>
      </c>
      <c r="W86" s="2">
        <v>2002</v>
      </c>
    </row>
    <row r="87" spans="1:23" ht="12.3" x14ac:dyDescent="0.4">
      <c r="A87" s="2" t="s">
        <v>113</v>
      </c>
      <c r="B87" s="2"/>
      <c r="C87" s="2"/>
      <c r="D87" s="2"/>
      <c r="E87" s="2"/>
      <c r="F87" s="2"/>
      <c r="G87" s="2"/>
      <c r="H87" s="2"/>
      <c r="I87" s="2">
        <v>71.269599999999997</v>
      </c>
      <c r="J87" s="2">
        <v>106</v>
      </c>
      <c r="K87" s="2">
        <v>71.708399999999997</v>
      </c>
      <c r="L87" s="2">
        <v>85</v>
      </c>
      <c r="M87" s="2">
        <v>92.166399999999996</v>
      </c>
      <c r="N87" s="2">
        <v>298</v>
      </c>
      <c r="O87" s="2">
        <v>95.558400000000006</v>
      </c>
      <c r="P87" s="2">
        <v>253</v>
      </c>
      <c r="Q87" s="2">
        <v>93.410799999999995</v>
      </c>
      <c r="R87" s="2">
        <v>24</v>
      </c>
      <c r="S87" s="2">
        <v>90.233599999999996</v>
      </c>
      <c r="T87" s="2">
        <v>7</v>
      </c>
      <c r="U87" s="2">
        <v>0.65911500000000001</v>
      </c>
      <c r="V87" s="2">
        <v>86</v>
      </c>
      <c r="W87" s="2">
        <v>2002</v>
      </c>
    </row>
    <row r="88" spans="1:23" ht="12.3" x14ac:dyDescent="0.4">
      <c r="A88" s="2" t="s">
        <v>114</v>
      </c>
      <c r="B88" s="2"/>
      <c r="C88" s="2"/>
      <c r="D88" s="2"/>
      <c r="E88" s="2"/>
      <c r="F88" s="2"/>
      <c r="G88" s="2"/>
      <c r="H88" s="2"/>
      <c r="I88" s="2">
        <v>69.226200000000006</v>
      </c>
      <c r="J88" s="2">
        <v>184</v>
      </c>
      <c r="K88" s="2">
        <v>68.167299999999997</v>
      </c>
      <c r="L88" s="2">
        <v>219</v>
      </c>
      <c r="M88" s="2">
        <v>111.8253</v>
      </c>
      <c r="N88" s="2">
        <v>14</v>
      </c>
      <c r="O88" s="2">
        <v>108.1228</v>
      </c>
      <c r="P88" s="2">
        <v>55</v>
      </c>
      <c r="Q88" s="2">
        <v>100.32810000000001</v>
      </c>
      <c r="R88" s="2">
        <v>152</v>
      </c>
      <c r="S88" s="2">
        <v>102.131</v>
      </c>
      <c r="T88" s="2">
        <v>188</v>
      </c>
      <c r="U88" s="2">
        <v>0.65827999999999998</v>
      </c>
      <c r="V88" s="2">
        <v>87</v>
      </c>
      <c r="W88" s="2">
        <v>2002</v>
      </c>
    </row>
    <row r="89" spans="1:23" ht="12.3" x14ac:dyDescent="0.4">
      <c r="A89" s="2" t="s">
        <v>115</v>
      </c>
      <c r="B89" s="2"/>
      <c r="C89" s="2"/>
      <c r="D89" s="2"/>
      <c r="E89" s="2"/>
      <c r="F89" s="2"/>
      <c r="G89" s="2"/>
      <c r="H89" s="2"/>
      <c r="I89" s="2">
        <v>66.924599999999998</v>
      </c>
      <c r="J89" s="2">
        <v>254</v>
      </c>
      <c r="K89" s="2">
        <v>67.9084</v>
      </c>
      <c r="L89" s="2">
        <v>227</v>
      </c>
      <c r="M89" s="2">
        <v>107.8925</v>
      </c>
      <c r="N89" s="2">
        <v>44</v>
      </c>
      <c r="O89" s="2">
        <v>107.9879</v>
      </c>
      <c r="P89" s="2">
        <v>56</v>
      </c>
      <c r="Q89" s="2">
        <v>102.8417</v>
      </c>
      <c r="R89" s="2">
        <v>208</v>
      </c>
      <c r="S89" s="2">
        <v>102.0279</v>
      </c>
      <c r="T89" s="2">
        <v>187</v>
      </c>
      <c r="U89" s="2">
        <v>0.657663</v>
      </c>
      <c r="V89" s="2">
        <v>88</v>
      </c>
      <c r="W89" s="2">
        <v>2002</v>
      </c>
    </row>
    <row r="90" spans="1:23" ht="12.3" x14ac:dyDescent="0.4">
      <c r="A90" s="2" t="s">
        <v>116</v>
      </c>
      <c r="B90" s="2"/>
      <c r="C90" s="2"/>
      <c r="D90" s="2"/>
      <c r="E90" s="2"/>
      <c r="F90" s="2"/>
      <c r="G90" s="2"/>
      <c r="H90" s="2"/>
      <c r="I90" s="2">
        <v>67.153199999999998</v>
      </c>
      <c r="J90" s="2">
        <v>249</v>
      </c>
      <c r="K90" s="2">
        <v>67.025000000000006</v>
      </c>
      <c r="L90" s="2">
        <v>252</v>
      </c>
      <c r="M90" s="2">
        <v>93.446200000000005</v>
      </c>
      <c r="N90" s="2">
        <v>286</v>
      </c>
      <c r="O90" s="2">
        <v>94.1203</v>
      </c>
      <c r="P90" s="2">
        <v>277</v>
      </c>
      <c r="Q90" s="2">
        <v>93.088800000000006</v>
      </c>
      <c r="R90" s="2">
        <v>21</v>
      </c>
      <c r="S90" s="2">
        <v>89.116600000000005</v>
      </c>
      <c r="T90" s="2">
        <v>5</v>
      </c>
      <c r="U90" s="2">
        <v>0.65208500000000003</v>
      </c>
      <c r="V90" s="2">
        <v>89</v>
      </c>
      <c r="W90" s="2">
        <v>2002</v>
      </c>
    </row>
    <row r="91" spans="1:23" ht="12.3" x14ac:dyDescent="0.4">
      <c r="A91" s="2" t="s">
        <v>117</v>
      </c>
      <c r="B91" s="2"/>
      <c r="C91" s="2"/>
      <c r="D91" s="2"/>
      <c r="E91" s="2"/>
      <c r="F91" s="2"/>
      <c r="G91" s="2"/>
      <c r="H91" s="2"/>
      <c r="I91" s="2">
        <v>70.792199999999994</v>
      </c>
      <c r="J91" s="2">
        <v>124</v>
      </c>
      <c r="K91" s="2">
        <v>71.552400000000006</v>
      </c>
      <c r="L91" s="2">
        <v>89</v>
      </c>
      <c r="M91" s="2">
        <v>97.170299999999997</v>
      </c>
      <c r="N91" s="2">
        <v>234</v>
      </c>
      <c r="O91" s="2">
        <v>97.629000000000005</v>
      </c>
      <c r="P91" s="2">
        <v>220</v>
      </c>
      <c r="Q91" s="2">
        <v>92.717200000000005</v>
      </c>
      <c r="R91" s="2">
        <v>17</v>
      </c>
      <c r="S91" s="2">
        <v>92.498000000000005</v>
      </c>
      <c r="T91" s="2">
        <v>24</v>
      </c>
      <c r="U91" s="2">
        <v>0.65041499999999997</v>
      </c>
      <c r="V91" s="2">
        <v>90</v>
      </c>
      <c r="W91" s="2">
        <v>2002</v>
      </c>
    </row>
    <row r="92" spans="1:23" ht="12.3" x14ac:dyDescent="0.4">
      <c r="A92" s="2" t="s">
        <v>118</v>
      </c>
      <c r="B92" s="2"/>
      <c r="C92" s="2"/>
      <c r="D92" s="2"/>
      <c r="E92" s="2"/>
      <c r="F92" s="2"/>
      <c r="G92" s="2"/>
      <c r="H92" s="2"/>
      <c r="I92" s="2">
        <v>70.350999999999999</v>
      </c>
      <c r="J92" s="2">
        <v>141</v>
      </c>
      <c r="K92" s="2">
        <v>69.477699999999999</v>
      </c>
      <c r="L92" s="2">
        <v>171</v>
      </c>
      <c r="M92" s="2">
        <v>106.4849</v>
      </c>
      <c r="N92" s="2">
        <v>61</v>
      </c>
      <c r="O92" s="2">
        <v>107.4439</v>
      </c>
      <c r="P92" s="2">
        <v>66</v>
      </c>
      <c r="Q92" s="2">
        <v>100.8369</v>
      </c>
      <c r="R92" s="2">
        <v>167</v>
      </c>
      <c r="S92" s="2">
        <v>101.8771</v>
      </c>
      <c r="T92" s="2">
        <v>184</v>
      </c>
      <c r="U92" s="2">
        <v>0.64835600000000004</v>
      </c>
      <c r="V92" s="2">
        <v>91</v>
      </c>
      <c r="W92" s="2">
        <v>2002</v>
      </c>
    </row>
    <row r="93" spans="1:23" ht="12.3" x14ac:dyDescent="0.4">
      <c r="A93" s="2" t="s">
        <v>119</v>
      </c>
      <c r="B93" s="2"/>
      <c r="C93" s="2"/>
      <c r="D93" s="2"/>
      <c r="E93" s="2"/>
      <c r="F93" s="2"/>
      <c r="G93" s="2"/>
      <c r="H93" s="2"/>
      <c r="I93" s="2">
        <v>71.493899999999996</v>
      </c>
      <c r="J93" s="2">
        <v>99</v>
      </c>
      <c r="K93" s="2">
        <v>69.835700000000003</v>
      </c>
      <c r="L93" s="2">
        <v>161</v>
      </c>
      <c r="M93" s="2">
        <v>97.924000000000007</v>
      </c>
      <c r="N93" s="2">
        <v>218</v>
      </c>
      <c r="O93" s="2">
        <v>101.9892</v>
      </c>
      <c r="P93" s="2">
        <v>140</v>
      </c>
      <c r="Q93" s="2">
        <v>98.787700000000001</v>
      </c>
      <c r="R93" s="2">
        <v>109</v>
      </c>
      <c r="S93" s="2">
        <v>96.712900000000005</v>
      </c>
      <c r="T93" s="2">
        <v>69</v>
      </c>
      <c r="U93" s="2">
        <v>0.648142</v>
      </c>
      <c r="V93" s="2">
        <v>92</v>
      </c>
      <c r="W93" s="2">
        <v>2002</v>
      </c>
    </row>
    <row r="94" spans="1:23" ht="12.3" x14ac:dyDescent="0.4">
      <c r="A94" s="2" t="s">
        <v>120</v>
      </c>
      <c r="B94" s="2"/>
      <c r="C94" s="2"/>
      <c r="D94" s="2"/>
      <c r="E94" s="2"/>
      <c r="F94" s="2"/>
      <c r="G94" s="2"/>
      <c r="H94" s="2"/>
      <c r="I94" s="2">
        <v>73.046800000000005</v>
      </c>
      <c r="J94" s="2">
        <v>61</v>
      </c>
      <c r="K94" s="2">
        <v>72.702600000000004</v>
      </c>
      <c r="L94" s="2">
        <v>59</v>
      </c>
      <c r="M94" s="2">
        <v>96.804500000000004</v>
      </c>
      <c r="N94" s="2">
        <v>240</v>
      </c>
      <c r="O94" s="2">
        <v>99.898200000000003</v>
      </c>
      <c r="P94" s="2">
        <v>183</v>
      </c>
      <c r="Q94" s="2">
        <v>95.032200000000003</v>
      </c>
      <c r="R94" s="2">
        <v>51</v>
      </c>
      <c r="S94" s="2">
        <v>94.783500000000004</v>
      </c>
      <c r="T94" s="2">
        <v>41</v>
      </c>
      <c r="U94" s="2">
        <v>0.64666000000000001</v>
      </c>
      <c r="V94" s="2">
        <v>93</v>
      </c>
      <c r="W94" s="2">
        <v>2002</v>
      </c>
    </row>
    <row r="95" spans="1:23" ht="12.3" x14ac:dyDescent="0.4">
      <c r="A95" s="2" t="s">
        <v>121</v>
      </c>
      <c r="B95" s="2"/>
      <c r="C95" s="2"/>
      <c r="D95" s="2"/>
      <c r="E95" s="2"/>
      <c r="F95" s="2"/>
      <c r="G95" s="2"/>
      <c r="H95" s="2"/>
      <c r="I95" s="2">
        <v>68.581999999999994</v>
      </c>
      <c r="J95" s="2">
        <v>207</v>
      </c>
      <c r="K95" s="2">
        <v>69.554500000000004</v>
      </c>
      <c r="L95" s="2">
        <v>168</v>
      </c>
      <c r="M95" s="2">
        <v>103.17059999999999</v>
      </c>
      <c r="N95" s="2">
        <v>120</v>
      </c>
      <c r="O95" s="2">
        <v>106.38630000000001</v>
      </c>
      <c r="P95" s="2">
        <v>79</v>
      </c>
      <c r="Q95" s="2">
        <v>104.30880000000001</v>
      </c>
      <c r="R95" s="2">
        <v>241</v>
      </c>
      <c r="S95" s="2">
        <v>101.00700000000001</v>
      </c>
      <c r="T95" s="2">
        <v>163</v>
      </c>
      <c r="U95" s="2">
        <v>0.64490099999999995</v>
      </c>
      <c r="V95" s="2">
        <v>94</v>
      </c>
      <c r="W95" s="2">
        <v>2002</v>
      </c>
    </row>
    <row r="96" spans="1:23" ht="12.3" x14ac:dyDescent="0.4">
      <c r="A96" s="2" t="s">
        <v>122</v>
      </c>
      <c r="B96" s="2"/>
      <c r="C96" s="2"/>
      <c r="D96" s="2"/>
      <c r="E96" s="2"/>
      <c r="F96" s="2"/>
      <c r="G96" s="2"/>
      <c r="H96" s="2"/>
      <c r="I96" s="2">
        <v>71.863399999999999</v>
      </c>
      <c r="J96" s="2">
        <v>86</v>
      </c>
      <c r="K96" s="2">
        <v>73.458200000000005</v>
      </c>
      <c r="L96" s="2">
        <v>45</v>
      </c>
      <c r="M96" s="2">
        <v>102.67149999999999</v>
      </c>
      <c r="N96" s="2">
        <v>126</v>
      </c>
      <c r="O96" s="2">
        <v>102.2196</v>
      </c>
      <c r="P96" s="2">
        <v>139</v>
      </c>
      <c r="Q96" s="2">
        <v>98.0398</v>
      </c>
      <c r="R96" s="2">
        <v>93</v>
      </c>
      <c r="S96" s="2">
        <v>97.246600000000001</v>
      </c>
      <c r="T96" s="2">
        <v>80</v>
      </c>
      <c r="U96" s="2">
        <v>0.63958000000000004</v>
      </c>
      <c r="V96" s="2">
        <v>95</v>
      </c>
      <c r="W96" s="2">
        <v>2002</v>
      </c>
    </row>
    <row r="97" spans="1:23" ht="12.3" x14ac:dyDescent="0.4">
      <c r="A97" s="2" t="s">
        <v>123</v>
      </c>
      <c r="B97" s="2"/>
      <c r="C97" s="2"/>
      <c r="D97" s="2"/>
      <c r="E97" s="2"/>
      <c r="F97" s="2"/>
      <c r="G97" s="2"/>
      <c r="H97" s="2"/>
      <c r="I97" s="2">
        <v>71.866600000000005</v>
      </c>
      <c r="J97" s="2">
        <v>85</v>
      </c>
      <c r="K97" s="2">
        <v>71.1648</v>
      </c>
      <c r="L97" s="2">
        <v>108</v>
      </c>
      <c r="M97" s="2">
        <v>93.771600000000007</v>
      </c>
      <c r="N97" s="2">
        <v>283</v>
      </c>
      <c r="O97" s="2">
        <v>95.283699999999996</v>
      </c>
      <c r="P97" s="2">
        <v>261</v>
      </c>
      <c r="Q97" s="2">
        <v>91.463300000000004</v>
      </c>
      <c r="R97" s="2">
        <v>9</v>
      </c>
      <c r="S97" s="2">
        <v>90.672399999999996</v>
      </c>
      <c r="T97" s="2">
        <v>11</v>
      </c>
      <c r="U97" s="2">
        <v>0.63887000000000005</v>
      </c>
      <c r="V97" s="2">
        <v>96</v>
      </c>
      <c r="W97" s="2">
        <v>2002</v>
      </c>
    </row>
    <row r="98" spans="1:23" ht="12.3" x14ac:dyDescent="0.4">
      <c r="A98" s="2" t="s">
        <v>124</v>
      </c>
      <c r="B98" s="2"/>
      <c r="C98" s="2"/>
      <c r="D98" s="2"/>
      <c r="E98" s="2"/>
      <c r="F98" s="2"/>
      <c r="G98" s="2"/>
      <c r="H98" s="2"/>
      <c r="I98" s="2">
        <v>62.9664</v>
      </c>
      <c r="J98" s="2">
        <v>313</v>
      </c>
      <c r="K98" s="2">
        <v>63.220500000000001</v>
      </c>
      <c r="L98" s="2">
        <v>318</v>
      </c>
      <c r="M98" s="2">
        <v>95.022499999999994</v>
      </c>
      <c r="N98" s="2">
        <v>263</v>
      </c>
      <c r="O98" s="2">
        <v>97.096100000000007</v>
      </c>
      <c r="P98" s="2">
        <v>226</v>
      </c>
      <c r="Q98" s="2">
        <v>94.151799999999994</v>
      </c>
      <c r="R98" s="2">
        <v>31</v>
      </c>
      <c r="S98" s="2">
        <v>92.481700000000004</v>
      </c>
      <c r="T98" s="2">
        <v>23</v>
      </c>
      <c r="U98" s="2">
        <v>0.63643799999999995</v>
      </c>
      <c r="V98" s="2">
        <v>97</v>
      </c>
      <c r="W98" s="2">
        <v>2002</v>
      </c>
    </row>
    <row r="99" spans="1:23" ht="12.3" x14ac:dyDescent="0.4">
      <c r="A99" s="2" t="s">
        <v>125</v>
      </c>
      <c r="B99" s="2"/>
      <c r="C99" s="2"/>
      <c r="D99" s="2"/>
      <c r="E99" s="2"/>
      <c r="F99" s="2"/>
      <c r="G99" s="2"/>
      <c r="H99" s="2"/>
      <c r="I99" s="2">
        <v>70.096299999999999</v>
      </c>
      <c r="J99" s="2">
        <v>156</v>
      </c>
      <c r="K99" s="2">
        <v>70.469499999999996</v>
      </c>
      <c r="L99" s="2">
        <v>132</v>
      </c>
      <c r="M99" s="2">
        <v>103.7826</v>
      </c>
      <c r="N99" s="2">
        <v>115</v>
      </c>
      <c r="O99" s="2">
        <v>103.8484</v>
      </c>
      <c r="P99" s="2">
        <v>109</v>
      </c>
      <c r="Q99" s="2">
        <v>96.388000000000005</v>
      </c>
      <c r="R99" s="2">
        <v>68</v>
      </c>
      <c r="S99" s="2">
        <v>98.942400000000006</v>
      </c>
      <c r="T99" s="2">
        <v>113</v>
      </c>
      <c r="U99" s="2">
        <v>0.63565099999999997</v>
      </c>
      <c r="V99" s="2">
        <v>98</v>
      </c>
      <c r="W99" s="2">
        <v>2002</v>
      </c>
    </row>
    <row r="100" spans="1:23" ht="12.3" x14ac:dyDescent="0.4">
      <c r="A100" s="2" t="s">
        <v>126</v>
      </c>
      <c r="B100" s="2"/>
      <c r="C100" s="2"/>
      <c r="D100" s="2"/>
      <c r="E100" s="2"/>
      <c r="F100" s="2"/>
      <c r="G100" s="2"/>
      <c r="H100" s="2"/>
      <c r="I100" s="2">
        <v>64.701800000000006</v>
      </c>
      <c r="J100" s="2">
        <v>301</v>
      </c>
      <c r="K100" s="2">
        <v>66.390500000000003</v>
      </c>
      <c r="L100" s="2">
        <v>274</v>
      </c>
      <c r="M100" s="2">
        <v>107.4374</v>
      </c>
      <c r="N100" s="2">
        <v>48</v>
      </c>
      <c r="O100" s="2">
        <v>107.1815</v>
      </c>
      <c r="P100" s="2">
        <v>68</v>
      </c>
      <c r="Q100" s="2">
        <v>100.44199999999999</v>
      </c>
      <c r="R100" s="2">
        <v>157</v>
      </c>
      <c r="S100" s="2">
        <v>102.1336</v>
      </c>
      <c r="T100" s="2">
        <v>189</v>
      </c>
      <c r="U100" s="2">
        <v>0.63524499999999995</v>
      </c>
      <c r="V100" s="2">
        <v>99</v>
      </c>
      <c r="W100" s="2">
        <v>2002</v>
      </c>
    </row>
    <row r="101" spans="1:23" ht="12.3" x14ac:dyDescent="0.4">
      <c r="A101" s="2" t="s">
        <v>127</v>
      </c>
      <c r="B101" s="2"/>
      <c r="C101" s="2"/>
      <c r="D101" s="2"/>
      <c r="E101" s="2"/>
      <c r="F101" s="2"/>
      <c r="G101" s="2"/>
      <c r="H101" s="2"/>
      <c r="I101" s="2">
        <v>71.495000000000005</v>
      </c>
      <c r="J101" s="2">
        <v>98</v>
      </c>
      <c r="K101" s="2">
        <v>70.006799999999998</v>
      </c>
      <c r="L101" s="2">
        <v>153</v>
      </c>
      <c r="M101" s="2">
        <v>101.0313</v>
      </c>
      <c r="N101" s="2">
        <v>154</v>
      </c>
      <c r="O101" s="2">
        <v>101.41</v>
      </c>
      <c r="P101" s="2">
        <v>149</v>
      </c>
      <c r="Q101" s="2">
        <v>95.171099999999996</v>
      </c>
      <c r="R101" s="2">
        <v>54</v>
      </c>
      <c r="S101" s="2">
        <v>96.7179</v>
      </c>
      <c r="T101" s="2">
        <v>70</v>
      </c>
      <c r="U101" s="2">
        <v>0.63292499999999996</v>
      </c>
      <c r="V101" s="2">
        <v>100</v>
      </c>
      <c r="W101" s="2">
        <v>2002</v>
      </c>
    </row>
    <row r="102" spans="1:23" ht="12.3" x14ac:dyDescent="0.4">
      <c r="A102" s="2" t="s">
        <v>128</v>
      </c>
      <c r="B102" s="2"/>
      <c r="C102" s="2"/>
      <c r="D102" s="2"/>
      <c r="E102" s="2"/>
      <c r="F102" s="2"/>
      <c r="G102" s="2"/>
      <c r="H102" s="2"/>
      <c r="I102" s="2">
        <v>70.220799999999997</v>
      </c>
      <c r="J102" s="2">
        <v>146</v>
      </c>
      <c r="K102" s="2">
        <v>69.101500000000001</v>
      </c>
      <c r="L102" s="2">
        <v>186</v>
      </c>
      <c r="M102" s="2">
        <v>99.367500000000007</v>
      </c>
      <c r="N102" s="2">
        <v>194</v>
      </c>
      <c r="O102" s="2">
        <v>99.242199999999997</v>
      </c>
      <c r="P102" s="2">
        <v>196</v>
      </c>
      <c r="Q102" s="2">
        <v>95.424499999999995</v>
      </c>
      <c r="R102" s="2">
        <v>56</v>
      </c>
      <c r="S102" s="2">
        <v>94.739099999999993</v>
      </c>
      <c r="T102" s="2">
        <v>40</v>
      </c>
      <c r="U102" s="2">
        <v>0.63041999999999998</v>
      </c>
      <c r="V102" s="2">
        <v>101</v>
      </c>
      <c r="W102" s="2">
        <v>2002</v>
      </c>
    </row>
    <row r="103" spans="1:23" ht="12.3" x14ac:dyDescent="0.4">
      <c r="A103" s="2" t="s">
        <v>129</v>
      </c>
      <c r="B103" s="2"/>
      <c r="C103" s="2"/>
      <c r="D103" s="2"/>
      <c r="E103" s="2"/>
      <c r="F103" s="2"/>
      <c r="G103" s="2"/>
      <c r="H103" s="2"/>
      <c r="I103" s="2">
        <v>74.428600000000003</v>
      </c>
      <c r="J103" s="2">
        <v>28</v>
      </c>
      <c r="K103" s="2">
        <v>73.209800000000001</v>
      </c>
      <c r="L103" s="2">
        <v>48</v>
      </c>
      <c r="M103" s="2">
        <v>107.16419999999999</v>
      </c>
      <c r="N103" s="2">
        <v>55</v>
      </c>
      <c r="O103" s="2">
        <v>107.9609</v>
      </c>
      <c r="P103" s="2">
        <v>57</v>
      </c>
      <c r="Q103" s="2">
        <v>105.5228</v>
      </c>
      <c r="R103" s="2">
        <v>262</v>
      </c>
      <c r="S103" s="2">
        <v>103.15170000000001</v>
      </c>
      <c r="T103" s="2">
        <v>208</v>
      </c>
      <c r="U103" s="2">
        <v>0.62809000000000004</v>
      </c>
      <c r="V103" s="2">
        <v>102</v>
      </c>
      <c r="W103" s="2">
        <v>2002</v>
      </c>
    </row>
    <row r="104" spans="1:23" ht="12.3" x14ac:dyDescent="0.4">
      <c r="A104" s="2" t="s">
        <v>130</v>
      </c>
      <c r="B104" s="2"/>
      <c r="C104" s="2"/>
      <c r="D104" s="2"/>
      <c r="E104" s="2"/>
      <c r="F104" s="2"/>
      <c r="G104" s="2"/>
      <c r="H104" s="2"/>
      <c r="I104" s="2">
        <v>69.009900000000002</v>
      </c>
      <c r="J104" s="2">
        <v>189</v>
      </c>
      <c r="K104" s="2">
        <v>67.545000000000002</v>
      </c>
      <c r="L104" s="2">
        <v>236</v>
      </c>
      <c r="M104" s="2">
        <v>104.2581</v>
      </c>
      <c r="N104" s="2">
        <v>104</v>
      </c>
      <c r="O104" s="2">
        <v>108.43</v>
      </c>
      <c r="P104" s="2">
        <v>48</v>
      </c>
      <c r="Q104" s="2">
        <v>105.4422</v>
      </c>
      <c r="R104" s="2">
        <v>260</v>
      </c>
      <c r="S104" s="2">
        <v>103.7527</v>
      </c>
      <c r="T104" s="2">
        <v>223</v>
      </c>
      <c r="U104" s="2">
        <v>0.62412500000000004</v>
      </c>
      <c r="V104" s="2">
        <v>103</v>
      </c>
      <c r="W104" s="2">
        <v>2002</v>
      </c>
    </row>
    <row r="105" spans="1:23" ht="12.3" x14ac:dyDescent="0.4">
      <c r="A105" s="2" t="s">
        <v>131</v>
      </c>
      <c r="B105" s="2"/>
      <c r="C105" s="2"/>
      <c r="D105" s="2"/>
      <c r="E105" s="2"/>
      <c r="F105" s="2"/>
      <c r="G105" s="2"/>
      <c r="H105" s="2"/>
      <c r="I105" s="2">
        <v>73.124600000000001</v>
      </c>
      <c r="J105" s="2">
        <v>57</v>
      </c>
      <c r="K105" s="2">
        <v>72.903700000000001</v>
      </c>
      <c r="L105" s="2">
        <v>55</v>
      </c>
      <c r="M105" s="2">
        <v>97.796800000000005</v>
      </c>
      <c r="N105" s="2">
        <v>223</v>
      </c>
      <c r="O105" s="2">
        <v>102.62609999999999</v>
      </c>
      <c r="P105" s="2">
        <v>129</v>
      </c>
      <c r="Q105" s="2">
        <v>105.61669999999999</v>
      </c>
      <c r="R105" s="2">
        <v>265</v>
      </c>
      <c r="S105" s="2">
        <v>98.252499999999998</v>
      </c>
      <c r="T105" s="2">
        <v>99</v>
      </c>
      <c r="U105" s="2">
        <v>0.62265800000000004</v>
      </c>
      <c r="V105" s="2">
        <v>104</v>
      </c>
      <c r="W105" s="2">
        <v>2002</v>
      </c>
    </row>
    <row r="106" spans="1:23" ht="12.3" x14ac:dyDescent="0.4">
      <c r="A106" s="2" t="s">
        <v>132</v>
      </c>
      <c r="B106" s="2"/>
      <c r="C106" s="2"/>
      <c r="D106" s="2"/>
      <c r="E106" s="2"/>
      <c r="F106" s="2"/>
      <c r="G106" s="2"/>
      <c r="H106" s="2"/>
      <c r="I106" s="2">
        <v>64.988</v>
      </c>
      <c r="J106" s="2">
        <v>293</v>
      </c>
      <c r="K106" s="2">
        <v>64.745599999999996</v>
      </c>
      <c r="L106" s="2">
        <v>299</v>
      </c>
      <c r="M106" s="2">
        <v>100.26430000000001</v>
      </c>
      <c r="N106" s="2">
        <v>172</v>
      </c>
      <c r="O106" s="2">
        <v>101.018</v>
      </c>
      <c r="P106" s="2">
        <v>155</v>
      </c>
      <c r="Q106" s="2">
        <v>97.942899999999995</v>
      </c>
      <c r="R106" s="2">
        <v>90</v>
      </c>
      <c r="S106" s="2">
        <v>96.757400000000004</v>
      </c>
      <c r="T106" s="2">
        <v>73</v>
      </c>
      <c r="U106" s="2">
        <v>0.62141400000000002</v>
      </c>
      <c r="V106" s="2">
        <v>105</v>
      </c>
      <c r="W106" s="2">
        <v>2002</v>
      </c>
    </row>
    <row r="107" spans="1:23" ht="12.3" x14ac:dyDescent="0.4">
      <c r="A107" s="2" t="s">
        <v>133</v>
      </c>
      <c r="B107" s="2"/>
      <c r="C107" s="2"/>
      <c r="D107" s="2"/>
      <c r="E107" s="2"/>
      <c r="F107" s="2"/>
      <c r="G107" s="2"/>
      <c r="H107" s="2"/>
      <c r="I107" s="2">
        <v>70.471100000000007</v>
      </c>
      <c r="J107" s="2">
        <v>136</v>
      </c>
      <c r="K107" s="2">
        <v>70.3386</v>
      </c>
      <c r="L107" s="2">
        <v>139</v>
      </c>
      <c r="M107" s="2">
        <v>104.6824</v>
      </c>
      <c r="N107" s="2">
        <v>95</v>
      </c>
      <c r="O107" s="2">
        <v>105.87</v>
      </c>
      <c r="P107" s="2">
        <v>81</v>
      </c>
      <c r="Q107" s="2">
        <v>100.5753</v>
      </c>
      <c r="R107" s="2">
        <v>162</v>
      </c>
      <c r="S107" s="2">
        <v>101.5994</v>
      </c>
      <c r="T107" s="2">
        <v>178</v>
      </c>
      <c r="U107" s="2">
        <v>0.61621300000000001</v>
      </c>
      <c r="V107" s="2">
        <v>106</v>
      </c>
      <c r="W107" s="2">
        <v>2002</v>
      </c>
    </row>
    <row r="108" spans="1:23" ht="12.3" x14ac:dyDescent="0.4">
      <c r="A108" s="2" t="s">
        <v>134</v>
      </c>
      <c r="B108" s="2">
        <v>13</v>
      </c>
      <c r="C108" s="2"/>
      <c r="D108" s="2"/>
      <c r="E108" s="2"/>
      <c r="F108" s="2"/>
      <c r="G108" s="2"/>
      <c r="H108" s="2"/>
      <c r="I108" s="2">
        <v>68.883600000000001</v>
      </c>
      <c r="J108" s="2">
        <v>192</v>
      </c>
      <c r="K108" s="2">
        <v>66.721100000000007</v>
      </c>
      <c r="L108" s="2">
        <v>265</v>
      </c>
      <c r="M108" s="2">
        <v>98.002600000000001</v>
      </c>
      <c r="N108" s="2">
        <v>215</v>
      </c>
      <c r="O108" s="2">
        <v>99.806700000000006</v>
      </c>
      <c r="P108" s="2">
        <v>186</v>
      </c>
      <c r="Q108" s="2">
        <v>97.679000000000002</v>
      </c>
      <c r="R108" s="2">
        <v>88</v>
      </c>
      <c r="S108" s="2">
        <v>95.789699999999996</v>
      </c>
      <c r="T108" s="2">
        <v>53</v>
      </c>
      <c r="U108" s="2">
        <v>0.61595500000000003</v>
      </c>
      <c r="V108" s="2">
        <v>107</v>
      </c>
      <c r="W108" s="2">
        <v>2002</v>
      </c>
    </row>
    <row r="109" spans="1:23" ht="12.3" x14ac:dyDescent="0.4">
      <c r="A109" s="2" t="s">
        <v>135</v>
      </c>
      <c r="B109" s="2">
        <v>15</v>
      </c>
      <c r="C109" s="2"/>
      <c r="D109" s="2"/>
      <c r="E109" s="2"/>
      <c r="F109" s="2"/>
      <c r="G109" s="2"/>
      <c r="H109" s="2"/>
      <c r="I109" s="2">
        <v>70.183499999999995</v>
      </c>
      <c r="J109" s="2">
        <v>148</v>
      </c>
      <c r="K109" s="2">
        <v>70.284199999999998</v>
      </c>
      <c r="L109" s="2">
        <v>144</v>
      </c>
      <c r="M109" s="2">
        <v>112.2398</v>
      </c>
      <c r="N109" s="2">
        <v>11</v>
      </c>
      <c r="O109" s="2">
        <v>107.6656</v>
      </c>
      <c r="P109" s="2">
        <v>62</v>
      </c>
      <c r="Q109" s="2">
        <v>98.991600000000005</v>
      </c>
      <c r="R109" s="2">
        <v>114</v>
      </c>
      <c r="S109" s="2">
        <v>103.74169999999999</v>
      </c>
      <c r="T109" s="2">
        <v>220</v>
      </c>
      <c r="U109" s="2">
        <v>0.60514400000000002</v>
      </c>
      <c r="V109" s="2">
        <v>108</v>
      </c>
      <c r="W109" s="2">
        <v>2002</v>
      </c>
    </row>
    <row r="110" spans="1:23" ht="12.3" x14ac:dyDescent="0.4">
      <c r="A110" s="2" t="s">
        <v>136</v>
      </c>
      <c r="B110" s="2"/>
      <c r="C110" s="2"/>
      <c r="D110" s="2"/>
      <c r="E110" s="2"/>
      <c r="F110" s="2"/>
      <c r="G110" s="2"/>
      <c r="H110" s="2"/>
      <c r="I110" s="2">
        <v>68.672799999999995</v>
      </c>
      <c r="J110" s="2">
        <v>203</v>
      </c>
      <c r="K110" s="2">
        <v>68.314800000000005</v>
      </c>
      <c r="L110" s="2">
        <v>215</v>
      </c>
      <c r="M110" s="2">
        <v>101.3575</v>
      </c>
      <c r="N110" s="2">
        <v>152</v>
      </c>
      <c r="O110" s="2">
        <v>102.994</v>
      </c>
      <c r="P110" s="2">
        <v>124</v>
      </c>
      <c r="Q110" s="2">
        <v>102.312</v>
      </c>
      <c r="R110" s="2">
        <v>195</v>
      </c>
      <c r="S110" s="2">
        <v>99.401600000000002</v>
      </c>
      <c r="T110" s="2">
        <v>123</v>
      </c>
      <c r="U110" s="2">
        <v>0.60067499999999996</v>
      </c>
      <c r="V110" s="2">
        <v>109</v>
      </c>
      <c r="W110" s="2">
        <v>2002</v>
      </c>
    </row>
    <row r="111" spans="1:23" ht="12.3" x14ac:dyDescent="0.4">
      <c r="A111" s="2" t="s">
        <v>137</v>
      </c>
      <c r="B111" s="2"/>
      <c r="C111" s="2"/>
      <c r="D111" s="2"/>
      <c r="E111" s="2"/>
      <c r="F111" s="2"/>
      <c r="G111" s="2"/>
      <c r="H111" s="2"/>
      <c r="I111" s="2">
        <v>72.252200000000002</v>
      </c>
      <c r="J111" s="2">
        <v>78</v>
      </c>
      <c r="K111" s="2">
        <v>71.890299999999996</v>
      </c>
      <c r="L111" s="2">
        <v>81</v>
      </c>
      <c r="M111" s="2">
        <v>99.678700000000006</v>
      </c>
      <c r="N111" s="2">
        <v>187</v>
      </c>
      <c r="O111" s="2">
        <v>100.64579999999999</v>
      </c>
      <c r="P111" s="2">
        <v>163</v>
      </c>
      <c r="Q111" s="2">
        <v>94.521199999999993</v>
      </c>
      <c r="R111" s="2">
        <v>43</v>
      </c>
      <c r="S111" s="2">
        <v>97.2714</v>
      </c>
      <c r="T111" s="2">
        <v>82</v>
      </c>
      <c r="U111" s="2">
        <v>0.59680500000000003</v>
      </c>
      <c r="V111" s="2">
        <v>110</v>
      </c>
      <c r="W111" s="2">
        <v>2002</v>
      </c>
    </row>
    <row r="112" spans="1:23" ht="12.3" x14ac:dyDescent="0.4">
      <c r="A112" s="2" t="s">
        <v>138</v>
      </c>
      <c r="B112" s="2"/>
      <c r="C112" s="2"/>
      <c r="D112" s="2"/>
      <c r="E112" s="2"/>
      <c r="F112" s="2"/>
      <c r="G112" s="2"/>
      <c r="H112" s="2"/>
      <c r="I112" s="2">
        <v>71.123900000000006</v>
      </c>
      <c r="J112" s="2">
        <v>111</v>
      </c>
      <c r="K112" s="2">
        <v>71.811499999999995</v>
      </c>
      <c r="L112" s="2">
        <v>83</v>
      </c>
      <c r="M112" s="2">
        <v>105.65519999999999</v>
      </c>
      <c r="N112" s="2">
        <v>75</v>
      </c>
      <c r="O112" s="2">
        <v>102.5831</v>
      </c>
      <c r="P112" s="2">
        <v>131</v>
      </c>
      <c r="Q112" s="2">
        <v>97.495500000000007</v>
      </c>
      <c r="R112" s="2">
        <v>82</v>
      </c>
      <c r="S112" s="2">
        <v>99.210700000000003</v>
      </c>
      <c r="T112" s="2">
        <v>119</v>
      </c>
      <c r="U112" s="2">
        <v>0.59493700000000005</v>
      </c>
      <c r="V112" s="2">
        <v>111</v>
      </c>
      <c r="W112" s="2">
        <v>2002</v>
      </c>
    </row>
    <row r="113" spans="1:23" ht="12.3" x14ac:dyDescent="0.4">
      <c r="A113" s="2" t="s">
        <v>139</v>
      </c>
      <c r="B113" s="2"/>
      <c r="C113" s="2"/>
      <c r="D113" s="2"/>
      <c r="E113" s="2"/>
      <c r="F113" s="2"/>
      <c r="G113" s="2"/>
      <c r="H113" s="2"/>
      <c r="I113" s="2">
        <v>71.34</v>
      </c>
      <c r="J113" s="2">
        <v>105</v>
      </c>
      <c r="K113" s="2">
        <v>70.199100000000001</v>
      </c>
      <c r="L113" s="2">
        <v>148</v>
      </c>
      <c r="M113" s="2">
        <v>104.7724</v>
      </c>
      <c r="N113" s="2">
        <v>93</v>
      </c>
      <c r="O113" s="2">
        <v>101.5813</v>
      </c>
      <c r="P113" s="2">
        <v>147</v>
      </c>
      <c r="Q113" s="2">
        <v>92.486900000000006</v>
      </c>
      <c r="R113" s="2">
        <v>15</v>
      </c>
      <c r="S113" s="2">
        <v>98.380499999999998</v>
      </c>
      <c r="T113" s="2">
        <v>102</v>
      </c>
      <c r="U113" s="2">
        <v>0.59101999999999999</v>
      </c>
      <c r="V113" s="2">
        <v>112</v>
      </c>
      <c r="W113" s="2">
        <v>2002</v>
      </c>
    </row>
    <row r="114" spans="1:23" ht="12.3" x14ac:dyDescent="0.4">
      <c r="A114" s="2" t="s">
        <v>140</v>
      </c>
      <c r="B114" s="2"/>
      <c r="C114" s="2"/>
      <c r="D114" s="2"/>
      <c r="E114" s="2"/>
      <c r="F114" s="2"/>
      <c r="G114" s="2"/>
      <c r="H114" s="2"/>
      <c r="I114" s="2">
        <v>69.523300000000006</v>
      </c>
      <c r="J114" s="2">
        <v>176</v>
      </c>
      <c r="K114" s="2">
        <v>69.288700000000006</v>
      </c>
      <c r="L114" s="2">
        <v>179</v>
      </c>
      <c r="M114" s="2">
        <v>104.2966</v>
      </c>
      <c r="N114" s="2">
        <v>102</v>
      </c>
      <c r="O114" s="2">
        <v>104.3416</v>
      </c>
      <c r="P114" s="2">
        <v>99</v>
      </c>
      <c r="Q114" s="2">
        <v>102.24630000000001</v>
      </c>
      <c r="R114" s="2">
        <v>191</v>
      </c>
      <c r="S114" s="2">
        <v>101.20310000000001</v>
      </c>
      <c r="T114" s="2">
        <v>169</v>
      </c>
      <c r="U114" s="2">
        <v>0.58691499999999996</v>
      </c>
      <c r="V114" s="2">
        <v>113</v>
      </c>
      <c r="W114" s="2">
        <v>2002</v>
      </c>
    </row>
    <row r="115" spans="1:23" ht="12.3" x14ac:dyDescent="0.4">
      <c r="A115" s="2" t="s">
        <v>141</v>
      </c>
      <c r="B115" s="2"/>
      <c r="C115" s="2"/>
      <c r="D115" s="2"/>
      <c r="E115" s="2"/>
      <c r="F115" s="2"/>
      <c r="G115" s="2"/>
      <c r="H115" s="2"/>
      <c r="I115" s="2">
        <v>65.807599999999994</v>
      </c>
      <c r="J115" s="2">
        <v>281</v>
      </c>
      <c r="K115" s="2">
        <v>66.218000000000004</v>
      </c>
      <c r="L115" s="2">
        <v>278</v>
      </c>
      <c r="M115" s="2">
        <v>105.91589999999999</v>
      </c>
      <c r="N115" s="2">
        <v>68</v>
      </c>
      <c r="O115" s="2">
        <v>104.1999</v>
      </c>
      <c r="P115" s="2">
        <v>103</v>
      </c>
      <c r="Q115" s="2">
        <v>101.92529999999999</v>
      </c>
      <c r="R115" s="2">
        <v>184</v>
      </c>
      <c r="S115" s="2">
        <v>101.0746</v>
      </c>
      <c r="T115" s="2">
        <v>165</v>
      </c>
      <c r="U115" s="2">
        <v>0.58666600000000002</v>
      </c>
      <c r="V115" s="2">
        <v>114</v>
      </c>
      <c r="W115" s="2">
        <v>2002</v>
      </c>
    </row>
    <row r="116" spans="1:23" ht="12.3" x14ac:dyDescent="0.4">
      <c r="A116" s="2" t="s">
        <v>142</v>
      </c>
      <c r="B116" s="2"/>
      <c r="C116" s="2"/>
      <c r="D116" s="2"/>
      <c r="E116" s="2"/>
      <c r="F116" s="2"/>
      <c r="G116" s="2"/>
      <c r="H116" s="2"/>
      <c r="I116" s="2">
        <v>79.129199999999997</v>
      </c>
      <c r="J116" s="2">
        <v>4</v>
      </c>
      <c r="K116" s="2">
        <v>78.133099999999999</v>
      </c>
      <c r="L116" s="2">
        <v>4</v>
      </c>
      <c r="M116" s="2">
        <v>106.08710000000001</v>
      </c>
      <c r="N116" s="2">
        <v>65</v>
      </c>
      <c r="O116" s="2">
        <v>107.16419999999999</v>
      </c>
      <c r="P116" s="2">
        <v>69</v>
      </c>
      <c r="Q116" s="2">
        <v>105.5564</v>
      </c>
      <c r="R116" s="2">
        <v>264</v>
      </c>
      <c r="S116" s="2">
        <v>103.9679</v>
      </c>
      <c r="T116" s="2">
        <v>228</v>
      </c>
      <c r="U116" s="2">
        <v>0.58618499999999996</v>
      </c>
      <c r="V116" s="2">
        <v>115</v>
      </c>
      <c r="W116" s="2">
        <v>2002</v>
      </c>
    </row>
    <row r="117" spans="1:23" ht="12.3" x14ac:dyDescent="0.4">
      <c r="A117" s="2" t="s">
        <v>143</v>
      </c>
      <c r="B117" s="2"/>
      <c r="C117" s="2"/>
      <c r="D117" s="2"/>
      <c r="E117" s="2"/>
      <c r="F117" s="2"/>
      <c r="G117" s="2"/>
      <c r="H117" s="2"/>
      <c r="I117" s="2">
        <v>70.1036</v>
      </c>
      <c r="J117" s="2">
        <v>154</v>
      </c>
      <c r="K117" s="2">
        <v>70.331000000000003</v>
      </c>
      <c r="L117" s="2">
        <v>140</v>
      </c>
      <c r="M117" s="2">
        <v>105.8486</v>
      </c>
      <c r="N117" s="2">
        <v>69</v>
      </c>
      <c r="O117" s="2">
        <v>104.13379999999999</v>
      </c>
      <c r="P117" s="2">
        <v>106</v>
      </c>
      <c r="Q117" s="2">
        <v>96.282499999999999</v>
      </c>
      <c r="R117" s="2">
        <v>66</v>
      </c>
      <c r="S117" s="2">
        <v>101.0732</v>
      </c>
      <c r="T117" s="2">
        <v>164</v>
      </c>
      <c r="U117" s="2">
        <v>0.58493200000000001</v>
      </c>
      <c r="V117" s="2">
        <v>116</v>
      </c>
      <c r="W117" s="2">
        <v>2002</v>
      </c>
    </row>
    <row r="118" spans="1:23" ht="12.3" x14ac:dyDescent="0.4">
      <c r="A118" s="2" t="s">
        <v>144</v>
      </c>
      <c r="B118" s="2">
        <v>15</v>
      </c>
      <c r="C118" s="2"/>
      <c r="D118" s="2"/>
      <c r="E118" s="2"/>
      <c r="F118" s="2"/>
      <c r="G118" s="2"/>
      <c r="H118" s="2"/>
      <c r="I118" s="2">
        <v>68.559799999999996</v>
      </c>
      <c r="J118" s="2">
        <v>208</v>
      </c>
      <c r="K118" s="2">
        <v>68.922799999999995</v>
      </c>
      <c r="L118" s="2">
        <v>197</v>
      </c>
      <c r="M118" s="2">
        <v>105.7122</v>
      </c>
      <c r="N118" s="2">
        <v>74</v>
      </c>
      <c r="O118" s="2">
        <v>106.9515</v>
      </c>
      <c r="P118" s="2">
        <v>72</v>
      </c>
      <c r="Q118" s="2">
        <v>104.3741</v>
      </c>
      <c r="R118" s="2">
        <v>243</v>
      </c>
      <c r="S118" s="2">
        <v>103.9632</v>
      </c>
      <c r="T118" s="2">
        <v>227</v>
      </c>
      <c r="U118" s="2">
        <v>0.58076000000000005</v>
      </c>
      <c r="V118" s="2">
        <v>117</v>
      </c>
      <c r="W118" s="2">
        <v>2002</v>
      </c>
    </row>
    <row r="119" spans="1:23" ht="12.3" x14ac:dyDescent="0.4">
      <c r="A119" s="2" t="s">
        <v>145</v>
      </c>
      <c r="B119" s="2"/>
      <c r="C119" s="2"/>
      <c r="D119" s="2"/>
      <c r="E119" s="2"/>
      <c r="F119" s="2"/>
      <c r="G119" s="2"/>
      <c r="H119" s="2"/>
      <c r="I119" s="2">
        <v>72.495900000000006</v>
      </c>
      <c r="J119" s="2">
        <v>71</v>
      </c>
      <c r="K119" s="2">
        <v>72.979299999999995</v>
      </c>
      <c r="L119" s="2">
        <v>53</v>
      </c>
      <c r="M119" s="2">
        <v>100.0946</v>
      </c>
      <c r="N119" s="2">
        <v>178</v>
      </c>
      <c r="O119" s="2">
        <v>101.777</v>
      </c>
      <c r="P119" s="2">
        <v>144</v>
      </c>
      <c r="Q119" s="2">
        <v>99.160899999999998</v>
      </c>
      <c r="R119" s="2">
        <v>123</v>
      </c>
      <c r="S119" s="2">
        <v>99.072999999999993</v>
      </c>
      <c r="T119" s="2">
        <v>114</v>
      </c>
      <c r="U119" s="2">
        <v>0.57680299999999995</v>
      </c>
      <c r="V119" s="2">
        <v>118</v>
      </c>
      <c r="W119" s="2">
        <v>2002</v>
      </c>
    </row>
    <row r="120" spans="1:23" ht="12.3" x14ac:dyDescent="0.4">
      <c r="A120" s="2" t="s">
        <v>146</v>
      </c>
      <c r="B120" s="2"/>
      <c r="C120" s="2"/>
      <c r="D120" s="2"/>
      <c r="E120" s="2"/>
      <c r="F120" s="2"/>
      <c r="G120" s="2"/>
      <c r="H120" s="2"/>
      <c r="I120" s="2">
        <v>67.429900000000004</v>
      </c>
      <c r="J120" s="2">
        <v>242</v>
      </c>
      <c r="K120" s="2">
        <v>67.169899999999998</v>
      </c>
      <c r="L120" s="2">
        <v>248</v>
      </c>
      <c r="M120" s="2">
        <v>103.2315</v>
      </c>
      <c r="N120" s="2">
        <v>119</v>
      </c>
      <c r="O120" s="2">
        <v>105.443</v>
      </c>
      <c r="P120" s="2">
        <v>88</v>
      </c>
      <c r="Q120" s="2">
        <v>103.10169999999999</v>
      </c>
      <c r="R120" s="2">
        <v>215</v>
      </c>
      <c r="S120" s="2">
        <v>102.65260000000001</v>
      </c>
      <c r="T120" s="2">
        <v>197</v>
      </c>
      <c r="U120" s="2">
        <v>0.57650199999999996</v>
      </c>
      <c r="V120" s="2">
        <v>119</v>
      </c>
      <c r="W120" s="2">
        <v>2002</v>
      </c>
    </row>
    <row r="121" spans="1:23" ht="12.3" x14ac:dyDescent="0.4">
      <c r="A121" s="2" t="s">
        <v>147</v>
      </c>
      <c r="B121" s="2"/>
      <c r="C121" s="2"/>
      <c r="D121" s="2"/>
      <c r="E121" s="2"/>
      <c r="F121" s="2"/>
      <c r="G121" s="2"/>
      <c r="H121" s="2"/>
      <c r="I121" s="2">
        <v>68.3339</v>
      </c>
      <c r="J121" s="2">
        <v>216</v>
      </c>
      <c r="K121" s="2">
        <v>69.401300000000006</v>
      </c>
      <c r="L121" s="2">
        <v>173</v>
      </c>
      <c r="M121" s="2">
        <v>102.4607</v>
      </c>
      <c r="N121" s="2">
        <v>137</v>
      </c>
      <c r="O121" s="2">
        <v>102.9699</v>
      </c>
      <c r="P121" s="2">
        <v>125</v>
      </c>
      <c r="Q121" s="2">
        <v>97.356200000000001</v>
      </c>
      <c r="R121" s="2">
        <v>80</v>
      </c>
      <c r="S121" s="2">
        <v>100.4798</v>
      </c>
      <c r="T121" s="2">
        <v>153</v>
      </c>
      <c r="U121" s="2">
        <v>0.56991700000000001</v>
      </c>
      <c r="V121" s="2">
        <v>120</v>
      </c>
      <c r="W121" s="2">
        <v>2002</v>
      </c>
    </row>
    <row r="122" spans="1:23" ht="12.3" x14ac:dyDescent="0.4">
      <c r="A122" s="2" t="s">
        <v>148</v>
      </c>
      <c r="B122" s="2"/>
      <c r="C122" s="2"/>
      <c r="D122" s="2"/>
      <c r="E122" s="2"/>
      <c r="F122" s="2"/>
      <c r="G122" s="2"/>
      <c r="H122" s="2"/>
      <c r="I122" s="2">
        <v>68.359700000000004</v>
      </c>
      <c r="J122" s="2">
        <v>215</v>
      </c>
      <c r="K122" s="2">
        <v>67.338800000000006</v>
      </c>
      <c r="L122" s="2">
        <v>243</v>
      </c>
      <c r="M122" s="2">
        <v>100.08799999999999</v>
      </c>
      <c r="N122" s="2">
        <v>179</v>
      </c>
      <c r="O122" s="2">
        <v>101.3098</v>
      </c>
      <c r="P122" s="2">
        <v>151</v>
      </c>
      <c r="Q122" s="2">
        <v>102.9473</v>
      </c>
      <c r="R122" s="2">
        <v>212</v>
      </c>
      <c r="S122" s="2">
        <v>98.865099999999998</v>
      </c>
      <c r="T122" s="2">
        <v>110</v>
      </c>
      <c r="U122" s="2">
        <v>0.56977</v>
      </c>
      <c r="V122" s="2">
        <v>121</v>
      </c>
      <c r="W122" s="2">
        <v>2002</v>
      </c>
    </row>
    <row r="123" spans="1:23" ht="12.3" x14ac:dyDescent="0.4">
      <c r="A123" s="2" t="s">
        <v>149</v>
      </c>
      <c r="B123" s="2"/>
      <c r="C123" s="2"/>
      <c r="D123" s="2"/>
      <c r="E123" s="2"/>
      <c r="F123" s="2"/>
      <c r="G123" s="2"/>
      <c r="H123" s="2"/>
      <c r="I123" s="2">
        <v>64.8292</v>
      </c>
      <c r="J123" s="2">
        <v>298</v>
      </c>
      <c r="K123" s="2">
        <v>63.505699999999997</v>
      </c>
      <c r="L123" s="2">
        <v>316</v>
      </c>
      <c r="M123" s="2">
        <v>98.679100000000005</v>
      </c>
      <c r="N123" s="2">
        <v>202</v>
      </c>
      <c r="O123" s="2">
        <v>100.21639999999999</v>
      </c>
      <c r="P123" s="2">
        <v>172</v>
      </c>
      <c r="Q123" s="2">
        <v>103.542</v>
      </c>
      <c r="R123" s="2">
        <v>225</v>
      </c>
      <c r="S123" s="2">
        <v>97.853999999999999</v>
      </c>
      <c r="T123" s="2">
        <v>92</v>
      </c>
      <c r="U123" s="2">
        <v>0.56815800000000005</v>
      </c>
      <c r="V123" s="2">
        <v>122</v>
      </c>
      <c r="W123" s="2">
        <v>2002</v>
      </c>
    </row>
    <row r="124" spans="1:23" ht="12.3" x14ac:dyDescent="0.4">
      <c r="A124" s="2" t="s">
        <v>150</v>
      </c>
      <c r="B124" s="2"/>
      <c r="C124" s="2"/>
      <c r="D124" s="2"/>
      <c r="E124" s="2"/>
      <c r="F124" s="2"/>
      <c r="G124" s="2"/>
      <c r="H124" s="2"/>
      <c r="I124" s="2">
        <v>70.166899999999998</v>
      </c>
      <c r="J124" s="2">
        <v>149</v>
      </c>
      <c r="K124" s="2">
        <v>70.637900000000002</v>
      </c>
      <c r="L124" s="2">
        <v>125</v>
      </c>
      <c r="M124" s="2">
        <v>102.5204</v>
      </c>
      <c r="N124" s="2">
        <v>132</v>
      </c>
      <c r="O124" s="2">
        <v>100.92270000000001</v>
      </c>
      <c r="P124" s="2">
        <v>158</v>
      </c>
      <c r="Q124" s="2">
        <v>99.685599999999994</v>
      </c>
      <c r="R124" s="2">
        <v>140</v>
      </c>
      <c r="S124" s="2">
        <v>98.604399999999998</v>
      </c>
      <c r="T124" s="2">
        <v>108</v>
      </c>
      <c r="U124" s="2">
        <v>0.56641900000000001</v>
      </c>
      <c r="V124" s="2">
        <v>123</v>
      </c>
      <c r="W124" s="2">
        <v>2002</v>
      </c>
    </row>
    <row r="125" spans="1:23" ht="12.3" x14ac:dyDescent="0.4">
      <c r="A125" s="2" t="s">
        <v>151</v>
      </c>
      <c r="B125" s="2"/>
      <c r="C125" s="2"/>
      <c r="D125" s="2"/>
      <c r="E125" s="2"/>
      <c r="F125" s="2"/>
      <c r="G125" s="2"/>
      <c r="H125" s="2"/>
      <c r="I125" s="2">
        <v>68.881200000000007</v>
      </c>
      <c r="J125" s="2">
        <v>193</v>
      </c>
      <c r="K125" s="2">
        <v>69.049199999999999</v>
      </c>
      <c r="L125" s="2">
        <v>188</v>
      </c>
      <c r="M125" s="2">
        <v>108.85899999999999</v>
      </c>
      <c r="N125" s="2">
        <v>34</v>
      </c>
      <c r="O125" s="2">
        <v>105.6516</v>
      </c>
      <c r="P125" s="2">
        <v>84</v>
      </c>
      <c r="Q125" s="2">
        <v>104.54940000000001</v>
      </c>
      <c r="R125" s="2">
        <v>246</v>
      </c>
      <c r="S125" s="2">
        <v>103.2577</v>
      </c>
      <c r="T125" s="2">
        <v>211</v>
      </c>
      <c r="U125" s="2">
        <v>0.56551200000000001</v>
      </c>
      <c r="V125" s="2">
        <v>124</v>
      </c>
      <c r="W125" s="2">
        <v>2002</v>
      </c>
    </row>
    <row r="126" spans="1:23" ht="12.3" x14ac:dyDescent="0.4">
      <c r="A126" s="2" t="s">
        <v>152</v>
      </c>
      <c r="B126" s="2"/>
      <c r="C126" s="2"/>
      <c r="D126" s="2"/>
      <c r="E126" s="2"/>
      <c r="F126" s="2"/>
      <c r="G126" s="2"/>
      <c r="H126" s="2"/>
      <c r="I126" s="2">
        <v>70.3994</v>
      </c>
      <c r="J126" s="2">
        <v>138</v>
      </c>
      <c r="K126" s="2">
        <v>71.2102</v>
      </c>
      <c r="L126" s="2">
        <v>106</v>
      </c>
      <c r="M126" s="2">
        <v>108.9057</v>
      </c>
      <c r="N126" s="2">
        <v>33</v>
      </c>
      <c r="O126" s="2">
        <v>106.6613</v>
      </c>
      <c r="P126" s="2">
        <v>75</v>
      </c>
      <c r="Q126" s="2">
        <v>103.6048</v>
      </c>
      <c r="R126" s="2">
        <v>226</v>
      </c>
      <c r="S126" s="2">
        <v>104.3643</v>
      </c>
      <c r="T126" s="2">
        <v>239</v>
      </c>
      <c r="U126" s="2">
        <v>0.56226600000000004</v>
      </c>
      <c r="V126" s="2">
        <v>125</v>
      </c>
      <c r="W126" s="2">
        <v>2002</v>
      </c>
    </row>
    <row r="127" spans="1:23" ht="12.3" x14ac:dyDescent="0.4">
      <c r="A127" s="2" t="s">
        <v>153</v>
      </c>
      <c r="B127" s="2"/>
      <c r="C127" s="2"/>
      <c r="D127" s="2"/>
      <c r="E127" s="2"/>
      <c r="F127" s="2"/>
      <c r="G127" s="2"/>
      <c r="H127" s="2"/>
      <c r="I127" s="2">
        <v>76.412499999999994</v>
      </c>
      <c r="J127" s="2">
        <v>13</v>
      </c>
      <c r="K127" s="2">
        <v>75.648799999999994</v>
      </c>
      <c r="L127" s="2">
        <v>11</v>
      </c>
      <c r="M127" s="2">
        <v>104.72499999999999</v>
      </c>
      <c r="N127" s="2">
        <v>94</v>
      </c>
      <c r="O127" s="2">
        <v>104.9442</v>
      </c>
      <c r="P127" s="2">
        <v>92</v>
      </c>
      <c r="Q127" s="2">
        <v>99.359800000000007</v>
      </c>
      <c r="R127" s="2">
        <v>130</v>
      </c>
      <c r="S127" s="2">
        <v>102.70740000000001</v>
      </c>
      <c r="T127" s="2">
        <v>199</v>
      </c>
      <c r="U127" s="2">
        <v>0.56162599999999996</v>
      </c>
      <c r="V127" s="2">
        <v>126</v>
      </c>
      <c r="W127" s="2">
        <v>2002</v>
      </c>
    </row>
    <row r="128" spans="1:23" ht="12.3" x14ac:dyDescent="0.4">
      <c r="A128" s="2" t="s">
        <v>154</v>
      </c>
      <c r="B128" s="2"/>
      <c r="C128" s="2"/>
      <c r="D128" s="2"/>
      <c r="E128" s="2"/>
      <c r="F128" s="2"/>
      <c r="G128" s="2"/>
      <c r="H128" s="2"/>
      <c r="I128" s="2">
        <v>66.482500000000002</v>
      </c>
      <c r="J128" s="2">
        <v>269</v>
      </c>
      <c r="K128" s="2">
        <v>66.869399999999999</v>
      </c>
      <c r="L128" s="2">
        <v>258</v>
      </c>
      <c r="M128" s="2">
        <v>100.42959999999999</v>
      </c>
      <c r="N128" s="2">
        <v>168</v>
      </c>
      <c r="O128" s="2">
        <v>102.3257</v>
      </c>
      <c r="P128" s="2">
        <v>136</v>
      </c>
      <c r="Q128" s="2">
        <v>105.8597</v>
      </c>
      <c r="R128" s="2">
        <v>271</v>
      </c>
      <c r="S128" s="2">
        <v>100.1465</v>
      </c>
      <c r="T128" s="2">
        <v>144</v>
      </c>
      <c r="U128" s="2">
        <v>0.56157599999999996</v>
      </c>
      <c r="V128" s="2">
        <v>127</v>
      </c>
      <c r="W128" s="2">
        <v>2002</v>
      </c>
    </row>
    <row r="129" spans="1:23" ht="12.3" x14ac:dyDescent="0.4">
      <c r="A129" s="2" t="s">
        <v>155</v>
      </c>
      <c r="B129" s="2"/>
      <c r="C129" s="2"/>
      <c r="D129" s="2"/>
      <c r="E129" s="2"/>
      <c r="F129" s="2"/>
      <c r="G129" s="2"/>
      <c r="H129" s="2"/>
      <c r="I129" s="2">
        <v>65.274299999999997</v>
      </c>
      <c r="J129" s="2">
        <v>289</v>
      </c>
      <c r="K129" s="2">
        <v>65.262100000000004</v>
      </c>
      <c r="L129" s="2">
        <v>292</v>
      </c>
      <c r="M129" s="2">
        <v>98.305300000000003</v>
      </c>
      <c r="N129" s="2">
        <v>206</v>
      </c>
      <c r="O129" s="2">
        <v>99.959199999999996</v>
      </c>
      <c r="P129" s="2">
        <v>181</v>
      </c>
      <c r="Q129" s="2">
        <v>100.8193</v>
      </c>
      <c r="R129" s="2">
        <v>166</v>
      </c>
      <c r="S129" s="2">
        <v>97.861599999999996</v>
      </c>
      <c r="T129" s="2">
        <v>93</v>
      </c>
      <c r="U129" s="2">
        <v>0.56067299999999998</v>
      </c>
      <c r="V129" s="2">
        <v>128</v>
      </c>
      <c r="W129" s="2">
        <v>2002</v>
      </c>
    </row>
    <row r="130" spans="1:23" ht="12.3" x14ac:dyDescent="0.4">
      <c r="A130" s="2" t="s">
        <v>156</v>
      </c>
      <c r="B130" s="2">
        <v>14</v>
      </c>
      <c r="C130" s="2"/>
      <c r="D130" s="2"/>
      <c r="E130" s="2"/>
      <c r="F130" s="2"/>
      <c r="G130" s="2"/>
      <c r="H130" s="2"/>
      <c r="I130" s="2">
        <v>67.375500000000002</v>
      </c>
      <c r="J130" s="2">
        <v>245</v>
      </c>
      <c r="K130" s="2">
        <v>65.6751</v>
      </c>
      <c r="L130" s="2">
        <v>289</v>
      </c>
      <c r="M130" s="2">
        <v>105.11499999999999</v>
      </c>
      <c r="N130" s="2">
        <v>88</v>
      </c>
      <c r="O130" s="2">
        <v>98.433899999999994</v>
      </c>
      <c r="P130" s="2">
        <v>211</v>
      </c>
      <c r="Q130" s="2">
        <v>92.176500000000004</v>
      </c>
      <c r="R130" s="2">
        <v>11</v>
      </c>
      <c r="S130" s="2">
        <v>96.393100000000004</v>
      </c>
      <c r="T130" s="2">
        <v>64</v>
      </c>
      <c r="U130" s="2">
        <v>0.55994200000000005</v>
      </c>
      <c r="V130" s="2">
        <v>129</v>
      </c>
      <c r="W130" s="2">
        <v>2002</v>
      </c>
    </row>
    <row r="131" spans="1:23" ht="12.3" x14ac:dyDescent="0.4">
      <c r="A131" s="2" t="s">
        <v>157</v>
      </c>
      <c r="B131" s="2"/>
      <c r="C131" s="2"/>
      <c r="D131" s="2"/>
      <c r="E131" s="2"/>
      <c r="F131" s="2"/>
      <c r="G131" s="2"/>
      <c r="H131" s="2"/>
      <c r="I131" s="2">
        <v>67.173500000000004</v>
      </c>
      <c r="J131" s="2">
        <v>247</v>
      </c>
      <c r="K131" s="2">
        <v>68.149100000000004</v>
      </c>
      <c r="L131" s="2">
        <v>220</v>
      </c>
      <c r="M131" s="2">
        <v>100.3857</v>
      </c>
      <c r="N131" s="2">
        <v>169</v>
      </c>
      <c r="O131" s="2">
        <v>101.5162</v>
      </c>
      <c r="P131" s="2">
        <v>148</v>
      </c>
      <c r="Q131" s="2">
        <v>100.8783</v>
      </c>
      <c r="R131" s="2">
        <v>168</v>
      </c>
      <c r="S131" s="2">
        <v>99.435199999999995</v>
      </c>
      <c r="T131" s="2">
        <v>128</v>
      </c>
      <c r="U131" s="2">
        <v>0.55926699999999996</v>
      </c>
      <c r="V131" s="2">
        <v>130</v>
      </c>
      <c r="W131" s="2">
        <v>2002</v>
      </c>
    </row>
    <row r="132" spans="1:23" ht="12.3" x14ac:dyDescent="0.4">
      <c r="A132" s="2" t="s">
        <v>158</v>
      </c>
      <c r="B132" s="2"/>
      <c r="C132" s="2"/>
      <c r="D132" s="2"/>
      <c r="E132" s="2"/>
      <c r="F132" s="2"/>
      <c r="G132" s="2"/>
      <c r="H132" s="2"/>
      <c r="I132" s="2">
        <v>70.775599999999997</v>
      </c>
      <c r="J132" s="2">
        <v>126</v>
      </c>
      <c r="K132" s="2">
        <v>69.823999999999998</v>
      </c>
      <c r="L132" s="2">
        <v>162</v>
      </c>
      <c r="M132" s="2">
        <v>104.8828</v>
      </c>
      <c r="N132" s="2">
        <v>91</v>
      </c>
      <c r="O132" s="2">
        <v>104.6392</v>
      </c>
      <c r="P132" s="2">
        <v>94</v>
      </c>
      <c r="Q132" s="2">
        <v>103.6377</v>
      </c>
      <c r="R132" s="2">
        <v>227</v>
      </c>
      <c r="S132" s="2">
        <v>102.5304</v>
      </c>
      <c r="T132" s="2">
        <v>196</v>
      </c>
      <c r="U132" s="2">
        <v>0.55826600000000004</v>
      </c>
      <c r="V132" s="2">
        <v>131</v>
      </c>
      <c r="W132" s="2">
        <v>2002</v>
      </c>
    </row>
    <row r="133" spans="1:23" ht="12.3" x14ac:dyDescent="0.4">
      <c r="A133" s="2" t="s">
        <v>159</v>
      </c>
      <c r="B133" s="2"/>
      <c r="C133" s="2"/>
      <c r="D133" s="2"/>
      <c r="E133" s="2"/>
      <c r="F133" s="2"/>
      <c r="G133" s="2"/>
      <c r="H133" s="2"/>
      <c r="I133" s="2">
        <v>70.159300000000002</v>
      </c>
      <c r="J133" s="2">
        <v>151</v>
      </c>
      <c r="K133" s="2">
        <v>68.865700000000004</v>
      </c>
      <c r="L133" s="2">
        <v>200</v>
      </c>
      <c r="M133" s="2">
        <v>98.475200000000001</v>
      </c>
      <c r="N133" s="2">
        <v>204</v>
      </c>
      <c r="O133" s="2">
        <v>102.47880000000001</v>
      </c>
      <c r="P133" s="2">
        <v>133</v>
      </c>
      <c r="Q133" s="2">
        <v>100.816</v>
      </c>
      <c r="R133" s="2">
        <v>165</v>
      </c>
      <c r="S133" s="2">
        <v>100.4455</v>
      </c>
      <c r="T133" s="2">
        <v>152</v>
      </c>
      <c r="U133" s="2">
        <v>0.55736200000000002</v>
      </c>
      <c r="V133" s="2">
        <v>132</v>
      </c>
      <c r="W133" s="2">
        <v>2002</v>
      </c>
    </row>
    <row r="134" spans="1:23" ht="12.3" x14ac:dyDescent="0.4">
      <c r="A134" s="2" t="s">
        <v>160</v>
      </c>
      <c r="B134" s="2"/>
      <c r="C134" s="2"/>
      <c r="D134" s="2"/>
      <c r="E134" s="2"/>
      <c r="F134" s="2"/>
      <c r="G134" s="2"/>
      <c r="H134" s="2"/>
      <c r="I134" s="2">
        <v>72.412499999999994</v>
      </c>
      <c r="J134" s="2">
        <v>72</v>
      </c>
      <c r="K134" s="2">
        <v>74.337900000000005</v>
      </c>
      <c r="L134" s="2">
        <v>23</v>
      </c>
      <c r="M134" s="2">
        <v>104.0458</v>
      </c>
      <c r="N134" s="2">
        <v>108</v>
      </c>
      <c r="O134" s="2">
        <v>101.8171</v>
      </c>
      <c r="P134" s="2">
        <v>142</v>
      </c>
      <c r="Q134" s="2">
        <v>95.937100000000001</v>
      </c>
      <c r="R134" s="2">
        <v>62</v>
      </c>
      <c r="S134" s="2">
        <v>99.828299999999999</v>
      </c>
      <c r="T134" s="2">
        <v>134</v>
      </c>
      <c r="U134" s="2">
        <v>0.55647100000000005</v>
      </c>
      <c r="V134" s="2">
        <v>133</v>
      </c>
      <c r="W134" s="2">
        <v>2002</v>
      </c>
    </row>
    <row r="135" spans="1:23" ht="12.3" x14ac:dyDescent="0.4">
      <c r="A135" s="2" t="s">
        <v>161</v>
      </c>
      <c r="B135" s="2"/>
      <c r="C135" s="2"/>
      <c r="D135" s="2"/>
      <c r="E135" s="2"/>
      <c r="F135" s="2"/>
      <c r="G135" s="2"/>
      <c r="H135" s="2"/>
      <c r="I135" s="2">
        <v>71.608800000000002</v>
      </c>
      <c r="J135" s="2">
        <v>95</v>
      </c>
      <c r="K135" s="2">
        <v>70.498400000000004</v>
      </c>
      <c r="L135" s="2">
        <v>131</v>
      </c>
      <c r="M135" s="2">
        <v>98.832599999999999</v>
      </c>
      <c r="N135" s="2">
        <v>199</v>
      </c>
      <c r="O135" s="2">
        <v>102.25020000000001</v>
      </c>
      <c r="P135" s="2">
        <v>137</v>
      </c>
      <c r="Q135" s="2">
        <v>102.8394</v>
      </c>
      <c r="R135" s="2">
        <v>207</v>
      </c>
      <c r="S135" s="2">
        <v>100.29389999999999</v>
      </c>
      <c r="T135" s="2">
        <v>148</v>
      </c>
      <c r="U135" s="2">
        <v>0.55530999999999997</v>
      </c>
      <c r="V135" s="2">
        <v>134</v>
      </c>
      <c r="W135" s="2">
        <v>2002</v>
      </c>
    </row>
    <row r="136" spans="1:23" ht="12.3" x14ac:dyDescent="0.4">
      <c r="A136" s="2" t="s">
        <v>162</v>
      </c>
      <c r="B136" s="2"/>
      <c r="C136" s="2"/>
      <c r="D136" s="2"/>
      <c r="E136" s="2"/>
      <c r="F136" s="2"/>
      <c r="G136" s="2"/>
      <c r="H136" s="2"/>
      <c r="I136" s="2">
        <v>68.180199999999999</v>
      </c>
      <c r="J136" s="2">
        <v>225</v>
      </c>
      <c r="K136" s="2">
        <v>68.474400000000003</v>
      </c>
      <c r="L136" s="2">
        <v>213</v>
      </c>
      <c r="M136" s="2">
        <v>105.5262</v>
      </c>
      <c r="N136" s="2">
        <v>78</v>
      </c>
      <c r="O136" s="2">
        <v>105.3182</v>
      </c>
      <c r="P136" s="2">
        <v>89</v>
      </c>
      <c r="Q136" s="2">
        <v>103.68429999999999</v>
      </c>
      <c r="R136" s="2">
        <v>229</v>
      </c>
      <c r="S136" s="2">
        <v>103.45829999999999</v>
      </c>
      <c r="T136" s="2">
        <v>213</v>
      </c>
      <c r="U136" s="2">
        <v>0.55104600000000004</v>
      </c>
      <c r="V136" s="2">
        <v>135</v>
      </c>
      <c r="W136" s="2">
        <v>2002</v>
      </c>
    </row>
    <row r="137" spans="1:23" ht="12.3" x14ac:dyDescent="0.4">
      <c r="A137" s="2" t="s">
        <v>163</v>
      </c>
      <c r="B137" s="2"/>
      <c r="C137" s="2"/>
      <c r="D137" s="2"/>
      <c r="E137" s="2"/>
      <c r="F137" s="2"/>
      <c r="G137" s="2"/>
      <c r="H137" s="2"/>
      <c r="I137" s="2">
        <v>65.801900000000003</v>
      </c>
      <c r="J137" s="2">
        <v>282</v>
      </c>
      <c r="K137" s="2">
        <v>65.088099999999997</v>
      </c>
      <c r="L137" s="2">
        <v>294</v>
      </c>
      <c r="M137" s="2">
        <v>105.7852</v>
      </c>
      <c r="N137" s="2">
        <v>72</v>
      </c>
      <c r="O137" s="2">
        <v>103.3976</v>
      </c>
      <c r="P137" s="2">
        <v>116</v>
      </c>
      <c r="Q137" s="2">
        <v>100.4328</v>
      </c>
      <c r="R137" s="2">
        <v>156</v>
      </c>
      <c r="S137" s="2">
        <v>101.6592</v>
      </c>
      <c r="T137" s="2">
        <v>179</v>
      </c>
      <c r="U137" s="2">
        <v>0.54859400000000003</v>
      </c>
      <c r="V137" s="2">
        <v>136</v>
      </c>
      <c r="W137" s="2">
        <v>2002</v>
      </c>
    </row>
    <row r="138" spans="1:23" ht="12.3" x14ac:dyDescent="0.4">
      <c r="A138" s="2" t="s">
        <v>164</v>
      </c>
      <c r="B138" s="2"/>
      <c r="C138" s="2"/>
      <c r="D138" s="2"/>
      <c r="E138" s="2"/>
      <c r="F138" s="2"/>
      <c r="G138" s="2"/>
      <c r="H138" s="2"/>
      <c r="I138" s="2">
        <v>66.387100000000004</v>
      </c>
      <c r="J138" s="2">
        <v>273</v>
      </c>
      <c r="K138" s="2">
        <v>67.264200000000002</v>
      </c>
      <c r="L138" s="2">
        <v>245</v>
      </c>
      <c r="M138" s="2">
        <v>100.2548</v>
      </c>
      <c r="N138" s="2">
        <v>173</v>
      </c>
      <c r="O138" s="2">
        <v>100.77249999999999</v>
      </c>
      <c r="P138" s="2">
        <v>160</v>
      </c>
      <c r="Q138" s="2">
        <v>101.3339</v>
      </c>
      <c r="R138" s="2">
        <v>176</v>
      </c>
      <c r="S138" s="2">
        <v>99.19</v>
      </c>
      <c r="T138" s="2">
        <v>118</v>
      </c>
      <c r="U138" s="2">
        <v>0.545381</v>
      </c>
      <c r="V138" s="2">
        <v>137</v>
      </c>
      <c r="W138" s="2">
        <v>2002</v>
      </c>
    </row>
    <row r="139" spans="1:23" ht="12.3" x14ac:dyDescent="0.4">
      <c r="A139" s="2" t="s">
        <v>165</v>
      </c>
      <c r="B139" s="2"/>
      <c r="C139" s="2"/>
      <c r="D139" s="2"/>
      <c r="E139" s="2"/>
      <c r="F139" s="2"/>
      <c r="G139" s="2"/>
      <c r="H139" s="2"/>
      <c r="I139" s="2">
        <v>70.300299999999993</v>
      </c>
      <c r="J139" s="2">
        <v>144</v>
      </c>
      <c r="K139" s="2">
        <v>72.212699999999998</v>
      </c>
      <c r="L139" s="2">
        <v>69</v>
      </c>
      <c r="M139" s="2">
        <v>105.35639999999999</v>
      </c>
      <c r="N139" s="2">
        <v>82</v>
      </c>
      <c r="O139" s="2">
        <v>105.7513</v>
      </c>
      <c r="P139" s="2">
        <v>82</v>
      </c>
      <c r="Q139" s="2">
        <v>104.34610000000001</v>
      </c>
      <c r="R139" s="2">
        <v>242</v>
      </c>
      <c r="S139" s="2">
        <v>104.22</v>
      </c>
      <c r="T139" s="2">
        <v>235</v>
      </c>
      <c r="U139" s="2">
        <v>0.54183700000000001</v>
      </c>
      <c r="V139" s="2">
        <v>138</v>
      </c>
      <c r="W139" s="2">
        <v>2002</v>
      </c>
    </row>
    <row r="140" spans="1:23" ht="12.3" x14ac:dyDescent="0.4">
      <c r="A140" s="2" t="s">
        <v>166</v>
      </c>
      <c r="B140" s="2"/>
      <c r="C140" s="2"/>
      <c r="D140" s="2"/>
      <c r="E140" s="2"/>
      <c r="F140" s="2"/>
      <c r="G140" s="2"/>
      <c r="H140" s="2"/>
      <c r="I140" s="2">
        <v>71.688800000000001</v>
      </c>
      <c r="J140" s="2">
        <v>92</v>
      </c>
      <c r="K140" s="2">
        <v>71.085899999999995</v>
      </c>
      <c r="L140" s="2">
        <v>111</v>
      </c>
      <c r="M140" s="2">
        <v>100.52549999999999</v>
      </c>
      <c r="N140" s="2">
        <v>166</v>
      </c>
      <c r="O140" s="2">
        <v>100.8449</v>
      </c>
      <c r="P140" s="2">
        <v>159</v>
      </c>
      <c r="Q140" s="2">
        <v>99.938999999999993</v>
      </c>
      <c r="R140" s="2">
        <v>145</v>
      </c>
      <c r="S140" s="2">
        <v>99.424700000000001</v>
      </c>
      <c r="T140" s="2">
        <v>126</v>
      </c>
      <c r="U140" s="2">
        <v>0.54068499999999997</v>
      </c>
      <c r="V140" s="2">
        <v>139</v>
      </c>
      <c r="W140" s="2">
        <v>2002</v>
      </c>
    </row>
    <row r="141" spans="1:23" ht="12.3" x14ac:dyDescent="0.4">
      <c r="A141" s="2" t="s">
        <v>20</v>
      </c>
      <c r="B141" s="2"/>
      <c r="C141" s="2"/>
      <c r="D141" s="2"/>
      <c r="E141" s="2"/>
      <c r="F141" s="2"/>
      <c r="G141" s="2"/>
      <c r="H141" s="2"/>
      <c r="I141" s="2">
        <v>71.368499999999997</v>
      </c>
      <c r="J141" s="2">
        <v>102</v>
      </c>
      <c r="K141" s="2">
        <v>69.727800000000002</v>
      </c>
      <c r="L141" s="2">
        <v>165</v>
      </c>
      <c r="M141" s="2">
        <v>100.6062</v>
      </c>
      <c r="N141" s="2">
        <v>164</v>
      </c>
      <c r="O141" s="2">
        <v>103.28060000000001</v>
      </c>
      <c r="P141" s="2">
        <v>118</v>
      </c>
      <c r="Q141" s="2">
        <v>103.0921</v>
      </c>
      <c r="R141" s="2">
        <v>214</v>
      </c>
      <c r="S141" s="2">
        <v>101.9273</v>
      </c>
      <c r="T141" s="2">
        <v>185</v>
      </c>
      <c r="U141" s="2">
        <v>0.53784900000000002</v>
      </c>
      <c r="V141" s="2">
        <v>140</v>
      </c>
      <c r="W141" s="2">
        <v>2002</v>
      </c>
    </row>
    <row r="142" spans="1:23" ht="12.3" x14ac:dyDescent="0.4">
      <c r="A142" s="2" t="s">
        <v>167</v>
      </c>
      <c r="B142" s="2"/>
      <c r="C142" s="2"/>
      <c r="D142" s="2"/>
      <c r="E142" s="2"/>
      <c r="F142" s="2"/>
      <c r="G142" s="2"/>
      <c r="H142" s="2"/>
      <c r="I142" s="2">
        <v>61.601999999999997</v>
      </c>
      <c r="J142" s="2">
        <v>322</v>
      </c>
      <c r="K142" s="2">
        <v>61.884799999999998</v>
      </c>
      <c r="L142" s="2">
        <v>322</v>
      </c>
      <c r="M142" s="2">
        <v>101.6305</v>
      </c>
      <c r="N142" s="2">
        <v>147</v>
      </c>
      <c r="O142" s="2">
        <v>103.3368</v>
      </c>
      <c r="P142" s="2">
        <v>117</v>
      </c>
      <c r="Q142" s="2">
        <v>105.9169</v>
      </c>
      <c r="R142" s="2">
        <v>273</v>
      </c>
      <c r="S142" s="2">
        <v>101.98309999999999</v>
      </c>
      <c r="T142" s="2">
        <v>186</v>
      </c>
      <c r="U142" s="2">
        <v>0.53783700000000001</v>
      </c>
      <c r="V142" s="2">
        <v>141</v>
      </c>
      <c r="W142" s="2">
        <v>2002</v>
      </c>
    </row>
    <row r="143" spans="1:23" ht="12.3" x14ac:dyDescent="0.4">
      <c r="A143" s="2" t="s">
        <v>168</v>
      </c>
      <c r="B143" s="2"/>
      <c r="C143" s="2"/>
      <c r="D143" s="2"/>
      <c r="E143" s="2"/>
      <c r="F143" s="2"/>
      <c r="G143" s="2"/>
      <c r="H143" s="2"/>
      <c r="I143" s="2">
        <v>72.696399999999997</v>
      </c>
      <c r="J143" s="2">
        <v>66</v>
      </c>
      <c r="K143" s="2">
        <v>71.157799999999995</v>
      </c>
      <c r="L143" s="2">
        <v>109</v>
      </c>
      <c r="M143" s="2">
        <v>99.028899999999993</v>
      </c>
      <c r="N143" s="2">
        <v>197</v>
      </c>
      <c r="O143" s="2">
        <v>103.10599999999999</v>
      </c>
      <c r="P143" s="2">
        <v>122</v>
      </c>
      <c r="Q143" s="2">
        <v>108.5209</v>
      </c>
      <c r="R143" s="2">
        <v>305</v>
      </c>
      <c r="S143" s="2">
        <v>101.76349999999999</v>
      </c>
      <c r="T143" s="2">
        <v>181</v>
      </c>
      <c r="U143" s="2">
        <v>0.537609</v>
      </c>
      <c r="V143" s="2">
        <v>142</v>
      </c>
      <c r="W143" s="2">
        <v>2002</v>
      </c>
    </row>
    <row r="144" spans="1:23" ht="12.3" x14ac:dyDescent="0.4">
      <c r="A144" s="2" t="s">
        <v>24</v>
      </c>
      <c r="B144" s="2"/>
      <c r="C144" s="2"/>
      <c r="D144" s="2"/>
      <c r="E144" s="2"/>
      <c r="F144" s="2"/>
      <c r="G144" s="2"/>
      <c r="H144" s="2"/>
      <c r="I144" s="2">
        <v>72.5471</v>
      </c>
      <c r="J144" s="2">
        <v>69</v>
      </c>
      <c r="K144" s="2">
        <v>71.103999999999999</v>
      </c>
      <c r="L144" s="2">
        <v>110</v>
      </c>
      <c r="M144" s="2">
        <v>102.2403</v>
      </c>
      <c r="N144" s="2">
        <v>140</v>
      </c>
      <c r="O144" s="2">
        <v>104.2538</v>
      </c>
      <c r="P144" s="2">
        <v>100</v>
      </c>
      <c r="Q144" s="2">
        <v>104.0517</v>
      </c>
      <c r="R144" s="2">
        <v>237</v>
      </c>
      <c r="S144" s="2">
        <v>103.07899999999999</v>
      </c>
      <c r="T144" s="2">
        <v>207</v>
      </c>
      <c r="U144" s="2">
        <v>0.53253600000000001</v>
      </c>
      <c r="V144" s="2">
        <v>143</v>
      </c>
      <c r="W144" s="2">
        <v>2002</v>
      </c>
    </row>
    <row r="145" spans="1:23" ht="12.3" x14ac:dyDescent="0.4">
      <c r="A145" s="2" t="s">
        <v>169</v>
      </c>
      <c r="B145" s="2"/>
      <c r="C145" s="2"/>
      <c r="D145" s="2"/>
      <c r="E145" s="2"/>
      <c r="F145" s="2"/>
      <c r="G145" s="2"/>
      <c r="H145" s="2"/>
      <c r="I145" s="2">
        <v>66.444100000000006</v>
      </c>
      <c r="J145" s="2">
        <v>272</v>
      </c>
      <c r="K145" s="2">
        <v>67.8292</v>
      </c>
      <c r="L145" s="2">
        <v>229</v>
      </c>
      <c r="M145" s="2">
        <v>99.245199999999997</v>
      </c>
      <c r="N145" s="2">
        <v>195</v>
      </c>
      <c r="O145" s="2">
        <v>101.7683</v>
      </c>
      <c r="P145" s="2">
        <v>145</v>
      </c>
      <c r="Q145" s="2">
        <v>102.0889</v>
      </c>
      <c r="R145" s="2">
        <v>188</v>
      </c>
      <c r="S145" s="2">
        <v>100.72669999999999</v>
      </c>
      <c r="T145" s="2">
        <v>158</v>
      </c>
      <c r="U145" s="2">
        <v>0.52954199999999996</v>
      </c>
      <c r="V145" s="2">
        <v>144</v>
      </c>
      <c r="W145" s="2">
        <v>2002</v>
      </c>
    </row>
    <row r="146" spans="1:23" ht="12.3" x14ac:dyDescent="0.4">
      <c r="A146" s="2" t="s">
        <v>170</v>
      </c>
      <c r="B146" s="2"/>
      <c r="C146" s="2"/>
      <c r="D146" s="2"/>
      <c r="E146" s="2"/>
      <c r="F146" s="2"/>
      <c r="G146" s="2"/>
      <c r="H146" s="2"/>
      <c r="I146" s="2">
        <v>68.732299999999995</v>
      </c>
      <c r="J146" s="2">
        <v>200</v>
      </c>
      <c r="K146" s="2">
        <v>69.709000000000003</v>
      </c>
      <c r="L146" s="2">
        <v>166</v>
      </c>
      <c r="M146" s="2">
        <v>104.97969999999999</v>
      </c>
      <c r="N146" s="2">
        <v>89</v>
      </c>
      <c r="O146" s="2">
        <v>103.2383</v>
      </c>
      <c r="P146" s="2">
        <v>119</v>
      </c>
      <c r="Q146" s="2">
        <v>100.4212</v>
      </c>
      <c r="R146" s="2">
        <v>155</v>
      </c>
      <c r="S146" s="2">
        <v>102.3635</v>
      </c>
      <c r="T146" s="2">
        <v>194</v>
      </c>
      <c r="U146" s="2">
        <v>0.52444800000000003</v>
      </c>
      <c r="V146" s="2">
        <v>145</v>
      </c>
      <c r="W146" s="2">
        <v>2002</v>
      </c>
    </row>
    <row r="147" spans="1:23" ht="12.3" x14ac:dyDescent="0.4">
      <c r="A147" s="2" t="s">
        <v>171</v>
      </c>
      <c r="B147" s="2"/>
      <c r="C147" s="2"/>
      <c r="D147" s="2"/>
      <c r="E147" s="2"/>
      <c r="F147" s="2"/>
      <c r="G147" s="2"/>
      <c r="H147" s="2"/>
      <c r="I147" s="2">
        <v>66.156199999999998</v>
      </c>
      <c r="J147" s="2">
        <v>276</v>
      </c>
      <c r="K147" s="2">
        <v>66.778899999999993</v>
      </c>
      <c r="L147" s="2">
        <v>262</v>
      </c>
      <c r="M147" s="2">
        <v>109.5903</v>
      </c>
      <c r="N147" s="2">
        <v>26</v>
      </c>
      <c r="O147" s="2">
        <v>108.2388</v>
      </c>
      <c r="P147" s="2">
        <v>52</v>
      </c>
      <c r="Q147" s="2">
        <v>105.40260000000001</v>
      </c>
      <c r="R147" s="2">
        <v>259</v>
      </c>
      <c r="S147" s="2">
        <v>107.3518</v>
      </c>
      <c r="T147" s="2">
        <v>277</v>
      </c>
      <c r="U147" s="2">
        <v>0.52364100000000002</v>
      </c>
      <c r="V147" s="2">
        <v>146</v>
      </c>
      <c r="W147" s="2">
        <v>2002</v>
      </c>
    </row>
    <row r="148" spans="1:23" ht="12.3" x14ac:dyDescent="0.4">
      <c r="A148" s="2" t="s">
        <v>172</v>
      </c>
      <c r="B148" s="2"/>
      <c r="C148" s="2"/>
      <c r="D148" s="2"/>
      <c r="E148" s="2"/>
      <c r="F148" s="2"/>
      <c r="G148" s="2"/>
      <c r="H148" s="2"/>
      <c r="I148" s="2">
        <v>66.697999999999993</v>
      </c>
      <c r="J148" s="2">
        <v>262</v>
      </c>
      <c r="K148" s="2">
        <v>65.637799999999999</v>
      </c>
      <c r="L148" s="2">
        <v>291</v>
      </c>
      <c r="M148" s="2">
        <v>103.9623</v>
      </c>
      <c r="N148" s="2">
        <v>110</v>
      </c>
      <c r="O148" s="2">
        <v>101.8952</v>
      </c>
      <c r="P148" s="2">
        <v>141</v>
      </c>
      <c r="Q148" s="2">
        <v>99.067300000000003</v>
      </c>
      <c r="R148" s="2">
        <v>118</v>
      </c>
      <c r="S148" s="2">
        <v>101.31270000000001</v>
      </c>
      <c r="T148" s="2">
        <v>174</v>
      </c>
      <c r="U148" s="2">
        <v>0.51647600000000005</v>
      </c>
      <c r="V148" s="2">
        <v>147</v>
      </c>
      <c r="W148" s="2">
        <v>2002</v>
      </c>
    </row>
    <row r="149" spans="1:23" ht="12.3" x14ac:dyDescent="0.4">
      <c r="A149" s="2" t="s">
        <v>173</v>
      </c>
      <c r="B149" s="2"/>
      <c r="C149" s="2"/>
      <c r="D149" s="2"/>
      <c r="E149" s="2"/>
      <c r="F149" s="2"/>
      <c r="G149" s="2"/>
      <c r="H149" s="2"/>
      <c r="I149" s="2">
        <v>70.162000000000006</v>
      </c>
      <c r="J149" s="2">
        <v>150</v>
      </c>
      <c r="K149" s="2">
        <v>69.4114</v>
      </c>
      <c r="L149" s="2">
        <v>172</v>
      </c>
      <c r="M149" s="2">
        <v>100.0076</v>
      </c>
      <c r="N149" s="2">
        <v>183</v>
      </c>
      <c r="O149" s="2">
        <v>100.61239999999999</v>
      </c>
      <c r="P149" s="2">
        <v>164</v>
      </c>
      <c r="Q149" s="2">
        <v>101.6403</v>
      </c>
      <c r="R149" s="2">
        <v>181</v>
      </c>
      <c r="S149" s="2">
        <v>100.0934</v>
      </c>
      <c r="T149" s="2">
        <v>143</v>
      </c>
      <c r="U149" s="2">
        <v>0.51486500000000002</v>
      </c>
      <c r="V149" s="2">
        <v>148</v>
      </c>
      <c r="W149" s="2">
        <v>2002</v>
      </c>
    </row>
    <row r="150" spans="1:23" ht="12.3" x14ac:dyDescent="0.4">
      <c r="A150" s="2" t="s">
        <v>174</v>
      </c>
      <c r="B150" s="2"/>
      <c r="C150" s="2"/>
      <c r="D150" s="2"/>
      <c r="E150" s="2"/>
      <c r="F150" s="2"/>
      <c r="G150" s="2"/>
      <c r="H150" s="2"/>
      <c r="I150" s="2">
        <v>66.97</v>
      </c>
      <c r="J150" s="2">
        <v>252</v>
      </c>
      <c r="K150" s="2">
        <v>67.822800000000001</v>
      </c>
      <c r="L150" s="2">
        <v>230</v>
      </c>
      <c r="M150" s="2">
        <v>99.447800000000001</v>
      </c>
      <c r="N150" s="2">
        <v>191</v>
      </c>
      <c r="O150" s="2">
        <v>101.1232</v>
      </c>
      <c r="P150" s="2">
        <v>154</v>
      </c>
      <c r="Q150" s="2">
        <v>99.772199999999998</v>
      </c>
      <c r="R150" s="2">
        <v>141</v>
      </c>
      <c r="S150" s="2">
        <v>100.7474</v>
      </c>
      <c r="T150" s="2">
        <v>159</v>
      </c>
      <c r="U150" s="2">
        <v>0.51070300000000002</v>
      </c>
      <c r="V150" s="2">
        <v>149</v>
      </c>
      <c r="W150" s="2">
        <v>2002</v>
      </c>
    </row>
    <row r="151" spans="1:23" ht="12.3" x14ac:dyDescent="0.4">
      <c r="A151" s="2" t="s">
        <v>175</v>
      </c>
      <c r="B151" s="2"/>
      <c r="C151" s="2"/>
      <c r="D151" s="2"/>
      <c r="E151" s="2"/>
      <c r="F151" s="2"/>
      <c r="G151" s="2"/>
      <c r="H151" s="2"/>
      <c r="I151" s="2">
        <v>66.857699999999994</v>
      </c>
      <c r="J151" s="2">
        <v>258</v>
      </c>
      <c r="K151" s="2">
        <v>66.0274</v>
      </c>
      <c r="L151" s="2">
        <v>285</v>
      </c>
      <c r="M151" s="2">
        <v>92.104399999999998</v>
      </c>
      <c r="N151" s="2">
        <v>300</v>
      </c>
      <c r="O151" s="2">
        <v>96.261600000000001</v>
      </c>
      <c r="P151" s="2">
        <v>245</v>
      </c>
      <c r="Q151" s="2">
        <v>98.994799999999998</v>
      </c>
      <c r="R151" s="2">
        <v>115</v>
      </c>
      <c r="S151" s="2">
        <v>96.038200000000003</v>
      </c>
      <c r="T151" s="2">
        <v>58</v>
      </c>
      <c r="U151" s="2">
        <v>0.50667799999999996</v>
      </c>
      <c r="V151" s="2">
        <v>150</v>
      </c>
      <c r="W151" s="2">
        <v>2002</v>
      </c>
    </row>
    <row r="152" spans="1:23" ht="12.3" x14ac:dyDescent="0.4">
      <c r="A152" s="2" t="s">
        <v>176</v>
      </c>
      <c r="B152" s="2"/>
      <c r="C152" s="2"/>
      <c r="D152" s="2"/>
      <c r="E152" s="2"/>
      <c r="F152" s="2"/>
      <c r="G152" s="2"/>
      <c r="H152" s="2"/>
      <c r="I152" s="2">
        <v>58.9375</v>
      </c>
      <c r="J152" s="2">
        <v>325</v>
      </c>
      <c r="K152" s="2">
        <v>59.336399999999998</v>
      </c>
      <c r="L152" s="2">
        <v>325</v>
      </c>
      <c r="M152" s="2">
        <v>100.3544</v>
      </c>
      <c r="N152" s="2">
        <v>170</v>
      </c>
      <c r="O152" s="2">
        <v>100.2666</v>
      </c>
      <c r="P152" s="2">
        <v>171</v>
      </c>
      <c r="Q152" s="2">
        <v>98.516999999999996</v>
      </c>
      <c r="R152" s="2">
        <v>101</v>
      </c>
      <c r="S152" s="2">
        <v>100.0342</v>
      </c>
      <c r="T152" s="2">
        <v>141</v>
      </c>
      <c r="U152" s="2">
        <v>0.50667200000000001</v>
      </c>
      <c r="V152" s="2">
        <v>151</v>
      </c>
      <c r="W152" s="2">
        <v>2002</v>
      </c>
    </row>
    <row r="153" spans="1:23" ht="12.3" x14ac:dyDescent="0.4">
      <c r="A153" s="2" t="s">
        <v>177</v>
      </c>
      <c r="B153" s="2"/>
      <c r="C153" s="2"/>
      <c r="D153" s="2"/>
      <c r="E153" s="2"/>
      <c r="F153" s="2"/>
      <c r="G153" s="2"/>
      <c r="H153" s="2"/>
      <c r="I153" s="2">
        <v>70.630099999999999</v>
      </c>
      <c r="J153" s="2">
        <v>131</v>
      </c>
      <c r="K153" s="2">
        <v>71.316299999999998</v>
      </c>
      <c r="L153" s="2">
        <v>100</v>
      </c>
      <c r="M153" s="2">
        <v>107.125</v>
      </c>
      <c r="N153" s="2">
        <v>56</v>
      </c>
      <c r="O153" s="2">
        <v>101.69540000000001</v>
      </c>
      <c r="P153" s="2">
        <v>146</v>
      </c>
      <c r="Q153" s="2">
        <v>99.918199999999999</v>
      </c>
      <c r="R153" s="2">
        <v>143</v>
      </c>
      <c r="S153" s="2">
        <v>101.5192</v>
      </c>
      <c r="T153" s="2">
        <v>175</v>
      </c>
      <c r="U153" s="2">
        <v>0.50498500000000002</v>
      </c>
      <c r="V153" s="2">
        <v>152</v>
      </c>
      <c r="W153" s="2">
        <v>2002</v>
      </c>
    </row>
    <row r="154" spans="1:23" ht="12.3" x14ac:dyDescent="0.4">
      <c r="A154" s="2" t="s">
        <v>178</v>
      </c>
      <c r="B154" s="2">
        <v>16</v>
      </c>
      <c r="C154" s="2"/>
      <c r="D154" s="2"/>
      <c r="E154" s="2"/>
      <c r="F154" s="2"/>
      <c r="G154" s="2"/>
      <c r="H154" s="2"/>
      <c r="I154" s="2">
        <v>64.213800000000006</v>
      </c>
      <c r="J154" s="2">
        <v>307</v>
      </c>
      <c r="K154" s="2">
        <v>63.758800000000001</v>
      </c>
      <c r="L154" s="2">
        <v>313</v>
      </c>
      <c r="M154" s="2">
        <v>98.075400000000002</v>
      </c>
      <c r="N154" s="2">
        <v>214</v>
      </c>
      <c r="O154" s="2">
        <v>96.6995</v>
      </c>
      <c r="P154" s="2">
        <v>237</v>
      </c>
      <c r="Q154" s="2">
        <v>92.289699999999996</v>
      </c>
      <c r="R154" s="2">
        <v>12</v>
      </c>
      <c r="S154" s="2">
        <v>96.649900000000002</v>
      </c>
      <c r="T154" s="2">
        <v>66</v>
      </c>
      <c r="U154" s="2">
        <v>0.50147399999999998</v>
      </c>
      <c r="V154" s="2">
        <v>153</v>
      </c>
      <c r="W154" s="2">
        <v>2002</v>
      </c>
    </row>
    <row r="155" spans="1:23" ht="12.3" x14ac:dyDescent="0.4">
      <c r="A155" s="2" t="s">
        <v>179</v>
      </c>
      <c r="B155" s="2"/>
      <c r="C155" s="2"/>
      <c r="D155" s="2"/>
      <c r="E155" s="2"/>
      <c r="F155" s="2"/>
      <c r="G155" s="2"/>
      <c r="H155" s="2"/>
      <c r="I155" s="2">
        <v>69.481300000000005</v>
      </c>
      <c r="J155" s="2">
        <v>178</v>
      </c>
      <c r="K155" s="2">
        <v>68.562200000000004</v>
      </c>
      <c r="L155" s="2">
        <v>208</v>
      </c>
      <c r="M155" s="2">
        <v>102.1681</v>
      </c>
      <c r="N155" s="2">
        <v>143</v>
      </c>
      <c r="O155" s="2">
        <v>103.2197</v>
      </c>
      <c r="P155" s="2">
        <v>120</v>
      </c>
      <c r="Q155" s="2">
        <v>100.0549</v>
      </c>
      <c r="R155" s="2">
        <v>147</v>
      </c>
      <c r="S155" s="2">
        <v>103.18429999999999</v>
      </c>
      <c r="T155" s="2">
        <v>209</v>
      </c>
      <c r="U155" s="2">
        <v>0.50098600000000004</v>
      </c>
      <c r="V155" s="2">
        <v>154</v>
      </c>
      <c r="W155" s="2">
        <v>2002</v>
      </c>
    </row>
    <row r="156" spans="1:23" ht="12.3" x14ac:dyDescent="0.4">
      <c r="A156" s="2" t="s">
        <v>180</v>
      </c>
      <c r="B156" s="2"/>
      <c r="C156" s="2"/>
      <c r="D156" s="2"/>
      <c r="E156" s="2"/>
      <c r="F156" s="2"/>
      <c r="G156" s="2"/>
      <c r="H156" s="2"/>
      <c r="I156" s="2">
        <v>69.947400000000002</v>
      </c>
      <c r="J156" s="2">
        <v>163</v>
      </c>
      <c r="K156" s="2">
        <v>70.367999999999995</v>
      </c>
      <c r="L156" s="2">
        <v>136</v>
      </c>
      <c r="M156" s="2">
        <v>105.8074</v>
      </c>
      <c r="N156" s="2">
        <v>70</v>
      </c>
      <c r="O156" s="2">
        <v>102.2488</v>
      </c>
      <c r="P156" s="2">
        <v>138</v>
      </c>
      <c r="Q156" s="2">
        <v>101.68210000000001</v>
      </c>
      <c r="R156" s="2">
        <v>182</v>
      </c>
      <c r="S156" s="2">
        <v>102.2671</v>
      </c>
      <c r="T156" s="2">
        <v>192</v>
      </c>
      <c r="U156" s="2">
        <v>0.49948399999999998</v>
      </c>
      <c r="V156" s="2">
        <v>155</v>
      </c>
      <c r="W156" s="2">
        <v>2002</v>
      </c>
    </row>
    <row r="157" spans="1:23" ht="12.3" x14ac:dyDescent="0.4">
      <c r="A157" s="2" t="s">
        <v>181</v>
      </c>
      <c r="B157" s="2">
        <v>14</v>
      </c>
      <c r="C157" s="2"/>
      <c r="D157" s="2"/>
      <c r="E157" s="2"/>
      <c r="F157" s="2"/>
      <c r="G157" s="2"/>
      <c r="H157" s="2"/>
      <c r="I157" s="2">
        <v>72.066000000000003</v>
      </c>
      <c r="J157" s="2">
        <v>82</v>
      </c>
      <c r="K157" s="2">
        <v>70.7761</v>
      </c>
      <c r="L157" s="2">
        <v>119</v>
      </c>
      <c r="M157" s="2">
        <v>106.5064</v>
      </c>
      <c r="N157" s="2">
        <v>60</v>
      </c>
      <c r="O157" s="2">
        <v>104.1288</v>
      </c>
      <c r="P157" s="2">
        <v>107</v>
      </c>
      <c r="Q157" s="2">
        <v>103.1195</v>
      </c>
      <c r="R157" s="2">
        <v>216</v>
      </c>
      <c r="S157" s="2">
        <v>104.2136</v>
      </c>
      <c r="T157" s="2">
        <v>234</v>
      </c>
      <c r="U157" s="2">
        <v>0.49765900000000002</v>
      </c>
      <c r="V157" s="2">
        <v>156</v>
      </c>
      <c r="W157" s="2">
        <v>2002</v>
      </c>
    </row>
    <row r="158" spans="1:23" ht="12.3" x14ac:dyDescent="0.4">
      <c r="A158" s="2" t="s">
        <v>182</v>
      </c>
      <c r="B158" s="2"/>
      <c r="C158" s="2"/>
      <c r="D158" s="2"/>
      <c r="E158" s="2"/>
      <c r="F158" s="2"/>
      <c r="G158" s="2"/>
      <c r="H158" s="2"/>
      <c r="I158" s="2">
        <v>69.971000000000004</v>
      </c>
      <c r="J158" s="2">
        <v>161</v>
      </c>
      <c r="K158" s="2">
        <v>69.960800000000006</v>
      </c>
      <c r="L158" s="2">
        <v>156</v>
      </c>
      <c r="M158" s="2">
        <v>100.0361</v>
      </c>
      <c r="N158" s="2">
        <v>181</v>
      </c>
      <c r="O158" s="2">
        <v>97.929599999999994</v>
      </c>
      <c r="P158" s="2">
        <v>215</v>
      </c>
      <c r="Q158" s="2">
        <v>93.627799999999993</v>
      </c>
      <c r="R158" s="2">
        <v>26</v>
      </c>
      <c r="S158" s="2">
        <v>98.088899999999995</v>
      </c>
      <c r="T158" s="2">
        <v>95</v>
      </c>
      <c r="U158" s="2">
        <v>0.49532700000000002</v>
      </c>
      <c r="V158" s="2">
        <v>157</v>
      </c>
      <c r="W158" s="2">
        <v>2002</v>
      </c>
    </row>
    <row r="159" spans="1:23" ht="12.3" x14ac:dyDescent="0.4">
      <c r="A159" s="2" t="s">
        <v>183</v>
      </c>
      <c r="B159" s="2"/>
      <c r="C159" s="2"/>
      <c r="D159" s="2"/>
      <c r="E159" s="2"/>
      <c r="F159" s="2"/>
      <c r="G159" s="2"/>
      <c r="H159" s="2"/>
      <c r="I159" s="2">
        <v>69.205600000000004</v>
      </c>
      <c r="J159" s="2">
        <v>185</v>
      </c>
      <c r="K159" s="2">
        <v>69.808099999999996</v>
      </c>
      <c r="L159" s="2">
        <v>163</v>
      </c>
      <c r="M159" s="2">
        <v>95.046000000000006</v>
      </c>
      <c r="N159" s="2">
        <v>262</v>
      </c>
      <c r="O159" s="2">
        <v>96.500600000000006</v>
      </c>
      <c r="P159" s="2">
        <v>240</v>
      </c>
      <c r="Q159" s="2">
        <v>97.340699999999998</v>
      </c>
      <c r="R159" s="2">
        <v>79</v>
      </c>
      <c r="S159" s="2">
        <v>96.690700000000007</v>
      </c>
      <c r="T159" s="2">
        <v>68</v>
      </c>
      <c r="U159" s="2">
        <v>0.49434299999999998</v>
      </c>
      <c r="V159" s="2">
        <v>158</v>
      </c>
      <c r="W159" s="2">
        <v>2002</v>
      </c>
    </row>
    <row r="160" spans="1:23" ht="12.3" x14ac:dyDescent="0.4">
      <c r="A160" s="2" t="s">
        <v>184</v>
      </c>
      <c r="B160" s="2"/>
      <c r="C160" s="2"/>
      <c r="D160" s="2"/>
      <c r="E160" s="2"/>
      <c r="F160" s="2"/>
      <c r="G160" s="2"/>
      <c r="H160" s="2"/>
      <c r="I160" s="2">
        <v>73.096199999999996</v>
      </c>
      <c r="J160" s="2">
        <v>60</v>
      </c>
      <c r="K160" s="2">
        <v>73.895600000000002</v>
      </c>
      <c r="L160" s="2">
        <v>34</v>
      </c>
      <c r="M160" s="2">
        <v>104.92059999999999</v>
      </c>
      <c r="N160" s="2">
        <v>90</v>
      </c>
      <c r="O160" s="2">
        <v>105.7423</v>
      </c>
      <c r="P160" s="2">
        <v>83</v>
      </c>
      <c r="Q160" s="2">
        <v>106.4216</v>
      </c>
      <c r="R160" s="2">
        <v>280</v>
      </c>
      <c r="S160" s="2">
        <v>105.95229999999999</v>
      </c>
      <c r="T160" s="2">
        <v>257</v>
      </c>
      <c r="U160" s="2">
        <v>0.49429699999999999</v>
      </c>
      <c r="V160" s="2">
        <v>159</v>
      </c>
      <c r="W160" s="2">
        <v>2002</v>
      </c>
    </row>
    <row r="161" spans="1:23" ht="12.3" x14ac:dyDescent="0.4">
      <c r="A161" s="2" t="s">
        <v>185</v>
      </c>
      <c r="B161" s="2"/>
      <c r="C161" s="2"/>
      <c r="D161" s="2"/>
      <c r="E161" s="2"/>
      <c r="F161" s="2"/>
      <c r="G161" s="2"/>
      <c r="H161" s="2"/>
      <c r="I161" s="2">
        <v>73.9114</v>
      </c>
      <c r="J161" s="2">
        <v>39</v>
      </c>
      <c r="K161" s="2">
        <v>73.822900000000004</v>
      </c>
      <c r="L161" s="2">
        <v>37</v>
      </c>
      <c r="M161" s="2">
        <v>103.1575</v>
      </c>
      <c r="N161" s="2">
        <v>121</v>
      </c>
      <c r="O161" s="2">
        <v>100.7118</v>
      </c>
      <c r="P161" s="2">
        <v>162</v>
      </c>
      <c r="Q161" s="2">
        <v>96.877099999999999</v>
      </c>
      <c r="R161" s="2">
        <v>76</v>
      </c>
      <c r="S161" s="2">
        <v>100.9816</v>
      </c>
      <c r="T161" s="2">
        <v>162</v>
      </c>
      <c r="U161" s="2">
        <v>0.49230699999999999</v>
      </c>
      <c r="V161" s="2">
        <v>160</v>
      </c>
      <c r="W161" s="2">
        <v>2002</v>
      </c>
    </row>
    <row r="162" spans="1:23" ht="12.3" x14ac:dyDescent="0.4">
      <c r="A162" s="2" t="s">
        <v>186</v>
      </c>
      <c r="B162" s="2"/>
      <c r="C162" s="2"/>
      <c r="D162" s="2"/>
      <c r="E162" s="2"/>
      <c r="F162" s="2"/>
      <c r="G162" s="2"/>
      <c r="H162" s="2"/>
      <c r="I162" s="2">
        <v>67.453500000000005</v>
      </c>
      <c r="J162" s="2">
        <v>241</v>
      </c>
      <c r="K162" s="2">
        <v>67.478999999999999</v>
      </c>
      <c r="L162" s="2">
        <v>238</v>
      </c>
      <c r="M162" s="2">
        <v>98.171199999999999</v>
      </c>
      <c r="N162" s="2">
        <v>211</v>
      </c>
      <c r="O162" s="2">
        <v>96.944900000000004</v>
      </c>
      <c r="P162" s="2">
        <v>228</v>
      </c>
      <c r="Q162" s="2">
        <v>100.2021</v>
      </c>
      <c r="R162" s="2">
        <v>149</v>
      </c>
      <c r="S162" s="2">
        <v>97.250600000000006</v>
      </c>
      <c r="T162" s="2">
        <v>81</v>
      </c>
      <c r="U162" s="2">
        <v>0.49095</v>
      </c>
      <c r="V162" s="2">
        <v>161</v>
      </c>
      <c r="W162" s="2">
        <v>2002</v>
      </c>
    </row>
    <row r="163" spans="1:23" ht="12.3" x14ac:dyDescent="0.4">
      <c r="A163" s="2" t="s">
        <v>187</v>
      </c>
      <c r="B163" s="2"/>
      <c r="C163" s="2"/>
      <c r="D163" s="2"/>
      <c r="E163" s="2"/>
      <c r="F163" s="2"/>
      <c r="G163" s="2"/>
      <c r="H163" s="2"/>
      <c r="I163" s="2">
        <v>69.7774</v>
      </c>
      <c r="J163" s="2">
        <v>170</v>
      </c>
      <c r="K163" s="2">
        <v>70.295199999999994</v>
      </c>
      <c r="L163" s="2">
        <v>142</v>
      </c>
      <c r="M163" s="2">
        <v>97.503500000000003</v>
      </c>
      <c r="N163" s="2">
        <v>229</v>
      </c>
      <c r="O163" s="2">
        <v>98.825400000000002</v>
      </c>
      <c r="P163" s="2">
        <v>202</v>
      </c>
      <c r="Q163" s="2">
        <v>98.396199999999993</v>
      </c>
      <c r="R163" s="2">
        <v>99</v>
      </c>
      <c r="S163" s="2">
        <v>99.168800000000005</v>
      </c>
      <c r="T163" s="2">
        <v>117</v>
      </c>
      <c r="U163" s="2">
        <v>0.49002899999999999</v>
      </c>
      <c r="V163" s="2">
        <v>162</v>
      </c>
      <c r="W163" s="2">
        <v>2002</v>
      </c>
    </row>
    <row r="164" spans="1:23" ht="12.3" x14ac:dyDescent="0.4">
      <c r="A164" s="2" t="s">
        <v>188</v>
      </c>
      <c r="B164" s="2"/>
      <c r="C164" s="2"/>
      <c r="D164" s="2"/>
      <c r="E164" s="2"/>
      <c r="F164" s="2"/>
      <c r="G164" s="2"/>
      <c r="H164" s="2"/>
      <c r="I164" s="2">
        <v>70.436499999999995</v>
      </c>
      <c r="J164" s="2">
        <v>137</v>
      </c>
      <c r="K164" s="2">
        <v>71.847700000000003</v>
      </c>
      <c r="L164" s="2">
        <v>82</v>
      </c>
      <c r="M164" s="2">
        <v>100.1335</v>
      </c>
      <c r="N164" s="2">
        <v>176</v>
      </c>
      <c r="O164" s="2">
        <v>101.1611</v>
      </c>
      <c r="P164" s="2">
        <v>153</v>
      </c>
      <c r="Q164" s="2">
        <v>103.4554</v>
      </c>
      <c r="R164" s="2">
        <v>222</v>
      </c>
      <c r="S164" s="2">
        <v>101.8326</v>
      </c>
      <c r="T164" s="2">
        <v>182</v>
      </c>
      <c r="U164" s="2">
        <v>0.480987</v>
      </c>
      <c r="V164" s="2">
        <v>163</v>
      </c>
      <c r="W164" s="2">
        <v>2002</v>
      </c>
    </row>
    <row r="165" spans="1:23" ht="12.3" x14ac:dyDescent="0.4">
      <c r="A165" s="2" t="s">
        <v>189</v>
      </c>
      <c r="B165" s="2"/>
      <c r="C165" s="2"/>
      <c r="D165" s="2"/>
      <c r="E165" s="2"/>
      <c r="F165" s="2"/>
      <c r="G165" s="2"/>
      <c r="H165" s="2"/>
      <c r="I165" s="2">
        <v>67.621700000000004</v>
      </c>
      <c r="J165" s="2">
        <v>236</v>
      </c>
      <c r="K165" s="2">
        <v>69.962500000000006</v>
      </c>
      <c r="L165" s="2">
        <v>155</v>
      </c>
      <c r="M165" s="2">
        <v>100.7475</v>
      </c>
      <c r="N165" s="2">
        <v>160</v>
      </c>
      <c r="O165" s="2">
        <v>100.21259999999999</v>
      </c>
      <c r="P165" s="2">
        <v>173</v>
      </c>
      <c r="Q165" s="2">
        <v>99.118499999999997</v>
      </c>
      <c r="R165" s="2">
        <v>119</v>
      </c>
      <c r="S165" s="2">
        <v>100.8907</v>
      </c>
      <c r="T165" s="2">
        <v>161</v>
      </c>
      <c r="U165" s="2">
        <v>0.48062100000000002</v>
      </c>
      <c r="V165" s="2">
        <v>164</v>
      </c>
      <c r="W165" s="2">
        <v>2002</v>
      </c>
    </row>
    <row r="166" spans="1:23" ht="12.3" x14ac:dyDescent="0.4">
      <c r="A166" s="2" t="s">
        <v>190</v>
      </c>
      <c r="B166" s="2"/>
      <c r="C166" s="2"/>
      <c r="D166" s="2"/>
      <c r="E166" s="2"/>
      <c r="F166" s="2"/>
      <c r="G166" s="2"/>
      <c r="H166" s="2"/>
      <c r="I166" s="2">
        <v>66.554599999999994</v>
      </c>
      <c r="J166" s="2">
        <v>267</v>
      </c>
      <c r="K166" s="2">
        <v>66.432900000000004</v>
      </c>
      <c r="L166" s="2">
        <v>272</v>
      </c>
      <c r="M166" s="2">
        <v>100.5184</v>
      </c>
      <c r="N166" s="2">
        <v>167</v>
      </c>
      <c r="O166" s="2">
        <v>100.36750000000001</v>
      </c>
      <c r="P166" s="2">
        <v>168</v>
      </c>
      <c r="Q166" s="2">
        <v>99.63</v>
      </c>
      <c r="R166" s="2">
        <v>137</v>
      </c>
      <c r="S166" s="2">
        <v>101.10760000000001</v>
      </c>
      <c r="T166" s="2">
        <v>167</v>
      </c>
      <c r="U166" s="2">
        <v>0.47888900000000001</v>
      </c>
      <c r="V166" s="2">
        <v>165</v>
      </c>
      <c r="W166" s="2">
        <v>2002</v>
      </c>
    </row>
    <row r="167" spans="1:23" ht="12.3" x14ac:dyDescent="0.4">
      <c r="A167" s="2" t="s">
        <v>191</v>
      </c>
      <c r="B167" s="2"/>
      <c r="C167" s="2"/>
      <c r="D167" s="2"/>
      <c r="E167" s="2"/>
      <c r="F167" s="2"/>
      <c r="G167" s="2"/>
      <c r="H167" s="2"/>
      <c r="I167" s="2">
        <v>61.858800000000002</v>
      </c>
      <c r="J167" s="2">
        <v>321</v>
      </c>
      <c r="K167" s="2">
        <v>61.930799999999998</v>
      </c>
      <c r="L167" s="2">
        <v>321</v>
      </c>
      <c r="M167" s="2">
        <v>102.477</v>
      </c>
      <c r="N167" s="2">
        <v>136</v>
      </c>
      <c r="O167" s="2">
        <v>98.854600000000005</v>
      </c>
      <c r="P167" s="2">
        <v>201</v>
      </c>
      <c r="Q167" s="2">
        <v>99.4953</v>
      </c>
      <c r="R167" s="2">
        <v>134</v>
      </c>
      <c r="S167" s="2">
        <v>99.656599999999997</v>
      </c>
      <c r="T167" s="2">
        <v>132</v>
      </c>
      <c r="U167" s="2">
        <v>0.47678399999999999</v>
      </c>
      <c r="V167" s="2">
        <v>166</v>
      </c>
      <c r="W167" s="2">
        <v>2002</v>
      </c>
    </row>
    <row r="168" spans="1:23" ht="12.3" x14ac:dyDescent="0.4">
      <c r="A168" s="2" t="s">
        <v>192</v>
      </c>
      <c r="B168" s="2"/>
      <c r="C168" s="2"/>
      <c r="D168" s="2"/>
      <c r="E168" s="2"/>
      <c r="F168" s="2"/>
      <c r="G168" s="2"/>
      <c r="H168" s="2"/>
      <c r="I168" s="2">
        <v>67.643199999999993</v>
      </c>
      <c r="J168" s="2">
        <v>235</v>
      </c>
      <c r="K168" s="2">
        <v>68.445700000000002</v>
      </c>
      <c r="L168" s="2">
        <v>214</v>
      </c>
      <c r="M168" s="2">
        <v>105.95399999999999</v>
      </c>
      <c r="N168" s="2">
        <v>66</v>
      </c>
      <c r="O168" s="2">
        <v>104.4307</v>
      </c>
      <c r="P168" s="2">
        <v>98</v>
      </c>
      <c r="Q168" s="2">
        <v>105.6302</v>
      </c>
      <c r="R168" s="2">
        <v>266</v>
      </c>
      <c r="S168" s="2">
        <v>105.29219999999999</v>
      </c>
      <c r="T168" s="2">
        <v>247</v>
      </c>
      <c r="U168" s="2">
        <v>0.47639700000000001</v>
      </c>
      <c r="V168" s="2">
        <v>167</v>
      </c>
      <c r="W168" s="2">
        <v>2002</v>
      </c>
    </row>
    <row r="169" spans="1:23" ht="12.3" x14ac:dyDescent="0.4">
      <c r="A169" s="2" t="s">
        <v>193</v>
      </c>
      <c r="B169" s="2"/>
      <c r="C169" s="2"/>
      <c r="D169" s="2"/>
      <c r="E169" s="2"/>
      <c r="F169" s="2"/>
      <c r="G169" s="2"/>
      <c r="H169" s="2"/>
      <c r="I169" s="2">
        <v>71.560900000000004</v>
      </c>
      <c r="J169" s="2">
        <v>96</v>
      </c>
      <c r="K169" s="2">
        <v>71.699600000000004</v>
      </c>
      <c r="L169" s="2">
        <v>86</v>
      </c>
      <c r="M169" s="2">
        <v>97.719399999999993</v>
      </c>
      <c r="N169" s="2">
        <v>225</v>
      </c>
      <c r="O169" s="2">
        <v>97.699200000000005</v>
      </c>
      <c r="P169" s="2">
        <v>219</v>
      </c>
      <c r="Q169" s="2">
        <v>99.180899999999994</v>
      </c>
      <c r="R169" s="2">
        <v>125</v>
      </c>
      <c r="S169" s="2">
        <v>98.5548</v>
      </c>
      <c r="T169" s="2">
        <v>105</v>
      </c>
      <c r="U169" s="2">
        <v>0.47494999999999998</v>
      </c>
      <c r="V169" s="2">
        <v>168</v>
      </c>
      <c r="W169" s="2">
        <v>2002</v>
      </c>
    </row>
    <row r="170" spans="1:23" ht="12.3" x14ac:dyDescent="0.4">
      <c r="A170" s="2" t="s">
        <v>194</v>
      </c>
      <c r="B170" s="2"/>
      <c r="C170" s="2"/>
      <c r="D170" s="2"/>
      <c r="E170" s="2"/>
      <c r="F170" s="2"/>
      <c r="G170" s="2"/>
      <c r="H170" s="2"/>
      <c r="I170" s="2">
        <v>71.131299999999996</v>
      </c>
      <c r="J170" s="2">
        <v>110</v>
      </c>
      <c r="K170" s="2">
        <v>70.948300000000003</v>
      </c>
      <c r="L170" s="2">
        <v>115</v>
      </c>
      <c r="M170" s="2">
        <v>104.27</v>
      </c>
      <c r="N170" s="2">
        <v>103</v>
      </c>
      <c r="O170" s="2">
        <v>105.5885</v>
      </c>
      <c r="P170" s="2">
        <v>85</v>
      </c>
      <c r="Q170" s="2">
        <v>102.30070000000001</v>
      </c>
      <c r="R170" s="2">
        <v>194</v>
      </c>
      <c r="S170" s="2">
        <v>106.71210000000001</v>
      </c>
      <c r="T170" s="2">
        <v>271</v>
      </c>
      <c r="U170" s="2">
        <v>0.46960499999999999</v>
      </c>
      <c r="V170" s="2">
        <v>169</v>
      </c>
      <c r="W170" s="2">
        <v>2002</v>
      </c>
    </row>
    <row r="171" spans="1:23" ht="12.3" x14ac:dyDescent="0.4">
      <c r="A171" s="2" t="s">
        <v>195</v>
      </c>
      <c r="B171" s="2"/>
      <c r="C171" s="2"/>
      <c r="D171" s="2"/>
      <c r="E171" s="2"/>
      <c r="F171" s="2"/>
      <c r="G171" s="2"/>
      <c r="H171" s="2"/>
      <c r="I171" s="2">
        <v>68.107399999999998</v>
      </c>
      <c r="J171" s="2">
        <v>227</v>
      </c>
      <c r="K171" s="2">
        <v>66.772400000000005</v>
      </c>
      <c r="L171" s="2">
        <v>263</v>
      </c>
      <c r="M171" s="2">
        <v>97.954700000000003</v>
      </c>
      <c r="N171" s="2">
        <v>217</v>
      </c>
      <c r="O171" s="2">
        <v>98.229600000000005</v>
      </c>
      <c r="P171" s="2">
        <v>212</v>
      </c>
      <c r="Q171" s="2">
        <v>99.481800000000007</v>
      </c>
      <c r="R171" s="2">
        <v>132</v>
      </c>
      <c r="S171" s="2">
        <v>99.292400000000001</v>
      </c>
      <c r="T171" s="2">
        <v>122</v>
      </c>
      <c r="U171" s="2">
        <v>0.46910000000000002</v>
      </c>
      <c r="V171" s="2">
        <v>170</v>
      </c>
      <c r="W171" s="2">
        <v>2002</v>
      </c>
    </row>
    <row r="172" spans="1:23" ht="12.3" x14ac:dyDescent="0.4">
      <c r="A172" s="2" t="s">
        <v>196</v>
      </c>
      <c r="B172" s="2">
        <v>16</v>
      </c>
      <c r="C172" s="2"/>
      <c r="D172" s="2"/>
      <c r="E172" s="2"/>
      <c r="F172" s="2"/>
      <c r="G172" s="2"/>
      <c r="H172" s="2"/>
      <c r="I172" s="2">
        <v>68.842500000000001</v>
      </c>
      <c r="J172" s="2">
        <v>196</v>
      </c>
      <c r="K172" s="2">
        <v>67.735900000000001</v>
      </c>
      <c r="L172" s="2">
        <v>231</v>
      </c>
      <c r="M172" s="2">
        <v>98.692999999999998</v>
      </c>
      <c r="N172" s="2">
        <v>201</v>
      </c>
      <c r="O172" s="2">
        <v>98.610200000000006</v>
      </c>
      <c r="P172" s="2">
        <v>207</v>
      </c>
      <c r="Q172" s="2">
        <v>96.368799999999993</v>
      </c>
      <c r="R172" s="2">
        <v>67</v>
      </c>
      <c r="S172" s="2">
        <v>99.688500000000005</v>
      </c>
      <c r="T172" s="2">
        <v>133</v>
      </c>
      <c r="U172" s="2">
        <v>0.468773</v>
      </c>
      <c r="V172" s="2">
        <v>171</v>
      </c>
      <c r="W172" s="2">
        <v>2002</v>
      </c>
    </row>
    <row r="173" spans="1:23" ht="12.3" x14ac:dyDescent="0.4">
      <c r="A173" s="2" t="s">
        <v>197</v>
      </c>
      <c r="B173" s="2"/>
      <c r="C173" s="2"/>
      <c r="D173" s="2"/>
      <c r="E173" s="2"/>
      <c r="F173" s="2"/>
      <c r="G173" s="2"/>
      <c r="H173" s="2"/>
      <c r="I173" s="2">
        <v>70.340999999999994</v>
      </c>
      <c r="J173" s="2">
        <v>142</v>
      </c>
      <c r="K173" s="2">
        <v>71.314400000000006</v>
      </c>
      <c r="L173" s="2">
        <v>101</v>
      </c>
      <c r="M173" s="2">
        <v>107.4036</v>
      </c>
      <c r="N173" s="2">
        <v>50</v>
      </c>
      <c r="O173" s="2">
        <v>107.6807</v>
      </c>
      <c r="P173" s="2">
        <v>61</v>
      </c>
      <c r="Q173" s="2">
        <v>111.288</v>
      </c>
      <c r="R173" s="2">
        <v>317</v>
      </c>
      <c r="S173" s="2">
        <v>108.8828</v>
      </c>
      <c r="T173" s="2">
        <v>294</v>
      </c>
      <c r="U173" s="2">
        <v>0.46812599999999999</v>
      </c>
      <c r="V173" s="2">
        <v>172</v>
      </c>
      <c r="W173" s="2">
        <v>2002</v>
      </c>
    </row>
    <row r="174" spans="1:23" ht="12.3" x14ac:dyDescent="0.4">
      <c r="A174" s="2" t="s">
        <v>198</v>
      </c>
      <c r="B174" s="2"/>
      <c r="C174" s="2"/>
      <c r="D174" s="2"/>
      <c r="E174" s="2"/>
      <c r="F174" s="2"/>
      <c r="G174" s="2"/>
      <c r="H174" s="2"/>
      <c r="I174" s="2">
        <v>70.193899999999999</v>
      </c>
      <c r="J174" s="2">
        <v>147</v>
      </c>
      <c r="K174" s="2">
        <v>71.245199999999997</v>
      </c>
      <c r="L174" s="2">
        <v>103</v>
      </c>
      <c r="M174" s="2">
        <v>95.582899999999995</v>
      </c>
      <c r="N174" s="2">
        <v>252</v>
      </c>
      <c r="O174" s="2">
        <v>96.926599999999993</v>
      </c>
      <c r="P174" s="2">
        <v>229</v>
      </c>
      <c r="Q174" s="2">
        <v>99.566199999999995</v>
      </c>
      <c r="R174" s="2">
        <v>135</v>
      </c>
      <c r="S174" s="2">
        <v>98.099100000000007</v>
      </c>
      <c r="T174" s="2">
        <v>96</v>
      </c>
      <c r="U174" s="2">
        <v>0.46548600000000001</v>
      </c>
      <c r="V174" s="2">
        <v>173</v>
      </c>
      <c r="W174" s="2">
        <v>2002</v>
      </c>
    </row>
    <row r="175" spans="1:23" ht="12.3" x14ac:dyDescent="0.4">
      <c r="A175" s="2" t="s">
        <v>199</v>
      </c>
      <c r="B175" s="2"/>
      <c r="C175" s="2"/>
      <c r="D175" s="2"/>
      <c r="E175" s="2"/>
      <c r="F175" s="2"/>
      <c r="G175" s="2"/>
      <c r="H175" s="2"/>
      <c r="I175" s="2">
        <v>70.514099999999999</v>
      </c>
      <c r="J175" s="2">
        <v>135</v>
      </c>
      <c r="K175" s="2">
        <v>70.671000000000006</v>
      </c>
      <c r="L175" s="2">
        <v>124</v>
      </c>
      <c r="M175" s="2">
        <v>101.9838</v>
      </c>
      <c r="N175" s="2">
        <v>144</v>
      </c>
      <c r="O175" s="2">
        <v>99.446200000000005</v>
      </c>
      <c r="P175" s="2">
        <v>191</v>
      </c>
      <c r="Q175" s="2">
        <v>103.0384</v>
      </c>
      <c r="R175" s="2">
        <v>213</v>
      </c>
      <c r="S175" s="2">
        <v>100.7542</v>
      </c>
      <c r="T175" s="2">
        <v>160</v>
      </c>
      <c r="U175" s="2">
        <v>0.462501</v>
      </c>
      <c r="V175" s="2">
        <v>174</v>
      </c>
      <c r="W175" s="2">
        <v>2002</v>
      </c>
    </row>
    <row r="176" spans="1:23" ht="12.3" x14ac:dyDescent="0.4">
      <c r="A176" s="2" t="s">
        <v>200</v>
      </c>
      <c r="B176" s="2"/>
      <c r="C176" s="2"/>
      <c r="D176" s="2"/>
      <c r="E176" s="2"/>
      <c r="F176" s="2"/>
      <c r="G176" s="2"/>
      <c r="H176" s="2"/>
      <c r="I176" s="2">
        <v>67.327600000000004</v>
      </c>
      <c r="J176" s="2">
        <v>246</v>
      </c>
      <c r="K176" s="2">
        <v>67.5655</v>
      </c>
      <c r="L176" s="2">
        <v>235</v>
      </c>
      <c r="M176" s="2">
        <v>103.78740000000001</v>
      </c>
      <c r="N176" s="2">
        <v>113</v>
      </c>
      <c r="O176" s="2">
        <v>104.529</v>
      </c>
      <c r="P176" s="2">
        <v>96</v>
      </c>
      <c r="Q176" s="2">
        <v>102.89239999999999</v>
      </c>
      <c r="R176" s="2">
        <v>210</v>
      </c>
      <c r="S176" s="2">
        <v>105.9389</v>
      </c>
      <c r="T176" s="2">
        <v>256</v>
      </c>
      <c r="U176" s="2">
        <v>0.461557</v>
      </c>
      <c r="V176" s="2">
        <v>175</v>
      </c>
      <c r="W176" s="2">
        <v>2002</v>
      </c>
    </row>
    <row r="177" spans="1:23" ht="12.3" x14ac:dyDescent="0.4">
      <c r="A177" s="2" t="s">
        <v>201</v>
      </c>
      <c r="B177" s="2"/>
      <c r="C177" s="2"/>
      <c r="D177" s="2"/>
      <c r="E177" s="2"/>
      <c r="F177" s="2"/>
      <c r="G177" s="2"/>
      <c r="H177" s="2"/>
      <c r="I177" s="2">
        <v>70.905900000000003</v>
      </c>
      <c r="J177" s="2">
        <v>120</v>
      </c>
      <c r="K177" s="2">
        <v>69.345299999999995</v>
      </c>
      <c r="L177" s="2">
        <v>175</v>
      </c>
      <c r="M177" s="2">
        <v>105.5881</v>
      </c>
      <c r="N177" s="2">
        <v>76</v>
      </c>
      <c r="O177" s="2">
        <v>103.1897</v>
      </c>
      <c r="P177" s="2">
        <v>121</v>
      </c>
      <c r="Q177" s="2">
        <v>105.3103</v>
      </c>
      <c r="R177" s="2">
        <v>257</v>
      </c>
      <c r="S177" s="2">
        <v>104.7604</v>
      </c>
      <c r="T177" s="2">
        <v>243</v>
      </c>
      <c r="U177" s="2">
        <v>0.45667600000000003</v>
      </c>
      <c r="V177" s="2">
        <v>176</v>
      </c>
      <c r="W177" s="2">
        <v>2002</v>
      </c>
    </row>
    <row r="178" spans="1:23" ht="12.3" x14ac:dyDescent="0.4">
      <c r="A178" s="2" t="s">
        <v>202</v>
      </c>
      <c r="B178" s="2"/>
      <c r="C178" s="2"/>
      <c r="D178" s="2"/>
      <c r="E178" s="2"/>
      <c r="F178" s="2"/>
      <c r="G178" s="2"/>
      <c r="H178" s="2"/>
      <c r="I178" s="2">
        <v>73.938999999999993</v>
      </c>
      <c r="J178" s="2">
        <v>38</v>
      </c>
      <c r="K178" s="2">
        <v>73.563199999999995</v>
      </c>
      <c r="L178" s="2">
        <v>43</v>
      </c>
      <c r="M178" s="2">
        <v>101.57599999999999</v>
      </c>
      <c r="N178" s="2">
        <v>149</v>
      </c>
      <c r="O178" s="2">
        <v>98.718400000000003</v>
      </c>
      <c r="P178" s="2">
        <v>205</v>
      </c>
      <c r="Q178" s="2">
        <v>98.603999999999999</v>
      </c>
      <c r="R178" s="2">
        <v>104</v>
      </c>
      <c r="S178" s="2">
        <v>100.23690000000001</v>
      </c>
      <c r="T178" s="2">
        <v>145</v>
      </c>
      <c r="U178" s="2">
        <v>0.45622600000000002</v>
      </c>
      <c r="V178" s="2">
        <v>177</v>
      </c>
      <c r="W178" s="2">
        <v>2002</v>
      </c>
    </row>
    <row r="179" spans="1:23" ht="12.3" x14ac:dyDescent="0.4">
      <c r="A179" s="2" t="s">
        <v>203</v>
      </c>
      <c r="B179" s="2">
        <v>16</v>
      </c>
      <c r="C179" s="2"/>
      <c r="D179" s="2"/>
      <c r="E179" s="2"/>
      <c r="F179" s="2"/>
      <c r="G179" s="2"/>
      <c r="H179" s="2"/>
      <c r="I179" s="2">
        <v>65.002499999999998</v>
      </c>
      <c r="J179" s="2">
        <v>292</v>
      </c>
      <c r="K179" s="2">
        <v>65.861199999999997</v>
      </c>
      <c r="L179" s="2">
        <v>286</v>
      </c>
      <c r="M179" s="2">
        <v>102.6611</v>
      </c>
      <c r="N179" s="2">
        <v>127</v>
      </c>
      <c r="O179" s="2">
        <v>99.563400000000001</v>
      </c>
      <c r="P179" s="2">
        <v>189</v>
      </c>
      <c r="Q179" s="2">
        <v>95.619799999999998</v>
      </c>
      <c r="R179" s="2">
        <v>58</v>
      </c>
      <c r="S179" s="2">
        <v>101.1011</v>
      </c>
      <c r="T179" s="2">
        <v>166</v>
      </c>
      <c r="U179" s="2">
        <v>0.45605099999999998</v>
      </c>
      <c r="V179" s="2">
        <v>178</v>
      </c>
      <c r="W179" s="2">
        <v>2002</v>
      </c>
    </row>
    <row r="180" spans="1:23" ht="12.3" x14ac:dyDescent="0.4">
      <c r="A180" s="2" t="s">
        <v>204</v>
      </c>
      <c r="B180" s="2"/>
      <c r="C180" s="2"/>
      <c r="D180" s="2"/>
      <c r="E180" s="2"/>
      <c r="F180" s="2"/>
      <c r="G180" s="2"/>
      <c r="H180" s="2"/>
      <c r="I180" s="2">
        <v>55.783299999999997</v>
      </c>
      <c r="J180" s="2">
        <v>327</v>
      </c>
      <c r="K180" s="2">
        <v>55.700099999999999</v>
      </c>
      <c r="L180" s="2">
        <v>327</v>
      </c>
      <c r="M180" s="2">
        <v>99.450599999999994</v>
      </c>
      <c r="N180" s="2">
        <v>190</v>
      </c>
      <c r="O180" s="2">
        <v>101.2251</v>
      </c>
      <c r="P180" s="2">
        <v>152</v>
      </c>
      <c r="Q180" s="2">
        <v>106.81</v>
      </c>
      <c r="R180" s="2">
        <v>283</v>
      </c>
      <c r="S180" s="2">
        <v>102.83799999999999</v>
      </c>
      <c r="T180" s="2">
        <v>202</v>
      </c>
      <c r="U180" s="2">
        <v>0.454677</v>
      </c>
      <c r="V180" s="2">
        <v>179</v>
      </c>
      <c r="W180" s="2">
        <v>2002</v>
      </c>
    </row>
    <row r="181" spans="1:23" ht="12.3" x14ac:dyDescent="0.4">
      <c r="A181" s="2" t="s">
        <v>205</v>
      </c>
      <c r="B181" s="2"/>
      <c r="C181" s="2"/>
      <c r="D181" s="2"/>
      <c r="E181" s="2"/>
      <c r="F181" s="2"/>
      <c r="G181" s="2"/>
      <c r="H181" s="2"/>
      <c r="I181" s="2">
        <v>65.795000000000002</v>
      </c>
      <c r="J181" s="2">
        <v>283</v>
      </c>
      <c r="K181" s="2">
        <v>65.813100000000006</v>
      </c>
      <c r="L181" s="2">
        <v>287</v>
      </c>
      <c r="M181" s="2">
        <v>104.77630000000001</v>
      </c>
      <c r="N181" s="2">
        <v>92</v>
      </c>
      <c r="O181" s="2">
        <v>104.66070000000001</v>
      </c>
      <c r="P181" s="2">
        <v>93</v>
      </c>
      <c r="Q181" s="2">
        <v>107.2616</v>
      </c>
      <c r="R181" s="2">
        <v>290</v>
      </c>
      <c r="S181" s="2">
        <v>106.52549999999999</v>
      </c>
      <c r="T181" s="2">
        <v>267</v>
      </c>
      <c r="U181" s="2">
        <v>0.44939899999999999</v>
      </c>
      <c r="V181" s="2">
        <v>180</v>
      </c>
      <c r="W181" s="2">
        <v>2002</v>
      </c>
    </row>
    <row r="182" spans="1:23" ht="12.3" x14ac:dyDescent="0.4">
      <c r="A182" s="2" t="s">
        <v>206</v>
      </c>
      <c r="B182" s="2"/>
      <c r="C182" s="2"/>
      <c r="D182" s="2"/>
      <c r="E182" s="2"/>
      <c r="F182" s="2"/>
      <c r="G182" s="2"/>
      <c r="H182" s="2"/>
      <c r="I182" s="2">
        <v>66.458600000000004</v>
      </c>
      <c r="J182" s="2">
        <v>271</v>
      </c>
      <c r="K182" s="2">
        <v>66.125799999999998</v>
      </c>
      <c r="L182" s="2">
        <v>281</v>
      </c>
      <c r="M182" s="2">
        <v>94.884500000000003</v>
      </c>
      <c r="N182" s="2">
        <v>266</v>
      </c>
      <c r="O182" s="2">
        <v>99.3279</v>
      </c>
      <c r="P182" s="2">
        <v>195</v>
      </c>
      <c r="Q182" s="2">
        <v>104.61360000000001</v>
      </c>
      <c r="R182" s="2">
        <v>247</v>
      </c>
      <c r="S182" s="2">
        <v>101.2158</v>
      </c>
      <c r="T182" s="2">
        <v>170</v>
      </c>
      <c r="U182" s="2">
        <v>0.446079</v>
      </c>
      <c r="V182" s="2">
        <v>181</v>
      </c>
      <c r="W182" s="2">
        <v>2002</v>
      </c>
    </row>
    <row r="183" spans="1:23" ht="12.3" x14ac:dyDescent="0.4">
      <c r="A183" s="2" t="s">
        <v>207</v>
      </c>
      <c r="B183" s="2"/>
      <c r="C183" s="2"/>
      <c r="D183" s="2"/>
      <c r="E183" s="2"/>
      <c r="F183" s="2"/>
      <c r="G183" s="2"/>
      <c r="H183" s="2"/>
      <c r="I183" s="2">
        <v>73.951300000000003</v>
      </c>
      <c r="J183" s="2">
        <v>36</v>
      </c>
      <c r="K183" s="2">
        <v>72.808599999999998</v>
      </c>
      <c r="L183" s="2">
        <v>58</v>
      </c>
      <c r="M183" s="2">
        <v>95.673500000000004</v>
      </c>
      <c r="N183" s="2">
        <v>250</v>
      </c>
      <c r="O183" s="2">
        <v>98.091700000000003</v>
      </c>
      <c r="P183" s="2">
        <v>214</v>
      </c>
      <c r="Q183" s="2">
        <v>103.47799999999999</v>
      </c>
      <c r="R183" s="2">
        <v>223</v>
      </c>
      <c r="S183" s="2">
        <v>100.0433</v>
      </c>
      <c r="T183" s="2">
        <v>142</v>
      </c>
      <c r="U183" s="2">
        <v>0.44360100000000002</v>
      </c>
      <c r="V183" s="2">
        <v>182</v>
      </c>
      <c r="W183" s="2">
        <v>2002</v>
      </c>
    </row>
    <row r="184" spans="1:23" ht="12.3" x14ac:dyDescent="0.4">
      <c r="A184" s="2" t="s">
        <v>208</v>
      </c>
      <c r="B184" s="2"/>
      <c r="C184" s="2"/>
      <c r="D184" s="2"/>
      <c r="E184" s="2"/>
      <c r="F184" s="2"/>
      <c r="G184" s="2"/>
      <c r="H184" s="2"/>
      <c r="I184" s="2">
        <v>58.826300000000003</v>
      </c>
      <c r="J184" s="2">
        <v>326</v>
      </c>
      <c r="K184" s="2">
        <v>58.481299999999997</v>
      </c>
      <c r="L184" s="2">
        <v>326</v>
      </c>
      <c r="M184" s="2">
        <v>102.49850000000001</v>
      </c>
      <c r="N184" s="2">
        <v>134</v>
      </c>
      <c r="O184" s="2">
        <v>100.0415</v>
      </c>
      <c r="P184" s="2">
        <v>179</v>
      </c>
      <c r="Q184" s="2">
        <v>102.1825</v>
      </c>
      <c r="R184" s="2">
        <v>189</v>
      </c>
      <c r="S184" s="2">
        <v>102.1468</v>
      </c>
      <c r="T184" s="2">
        <v>190</v>
      </c>
      <c r="U184" s="2">
        <v>0.44040899999999999</v>
      </c>
      <c r="V184" s="2">
        <v>183</v>
      </c>
      <c r="W184" s="2">
        <v>2002</v>
      </c>
    </row>
    <row r="185" spans="1:23" ht="12.3" x14ac:dyDescent="0.4">
      <c r="A185" s="2" t="s">
        <v>209</v>
      </c>
      <c r="B185" s="2"/>
      <c r="C185" s="2"/>
      <c r="D185" s="2"/>
      <c r="E185" s="2"/>
      <c r="F185" s="2"/>
      <c r="G185" s="2"/>
      <c r="H185" s="2"/>
      <c r="I185" s="2">
        <v>73.191800000000001</v>
      </c>
      <c r="J185" s="2">
        <v>55</v>
      </c>
      <c r="K185" s="2">
        <v>73.813400000000001</v>
      </c>
      <c r="L185" s="2">
        <v>38</v>
      </c>
      <c r="M185" s="2">
        <v>104.5749</v>
      </c>
      <c r="N185" s="2">
        <v>96</v>
      </c>
      <c r="O185" s="2">
        <v>104.0928</v>
      </c>
      <c r="P185" s="2">
        <v>108</v>
      </c>
      <c r="Q185" s="2">
        <v>107.2807</v>
      </c>
      <c r="R185" s="2">
        <v>292</v>
      </c>
      <c r="S185" s="2">
        <v>106.3661</v>
      </c>
      <c r="T185" s="2">
        <v>262</v>
      </c>
      <c r="U185" s="2">
        <v>0.43820599999999998</v>
      </c>
      <c r="V185" s="2">
        <v>184</v>
      </c>
      <c r="W185" s="2">
        <v>2002</v>
      </c>
    </row>
    <row r="186" spans="1:23" ht="12.3" x14ac:dyDescent="0.4">
      <c r="A186" s="2" t="s">
        <v>210</v>
      </c>
      <c r="B186" s="2"/>
      <c r="C186" s="2"/>
      <c r="D186" s="2"/>
      <c r="E186" s="2"/>
      <c r="F186" s="2"/>
      <c r="G186" s="2"/>
      <c r="H186" s="2"/>
      <c r="I186" s="2">
        <v>71.356700000000004</v>
      </c>
      <c r="J186" s="2">
        <v>103</v>
      </c>
      <c r="K186" s="2">
        <v>72.1922</v>
      </c>
      <c r="L186" s="2">
        <v>71</v>
      </c>
      <c r="M186" s="2">
        <v>101.895</v>
      </c>
      <c r="N186" s="2">
        <v>146</v>
      </c>
      <c r="O186" s="2">
        <v>101.7839</v>
      </c>
      <c r="P186" s="2">
        <v>143</v>
      </c>
      <c r="Q186" s="2">
        <v>102.63890000000001</v>
      </c>
      <c r="R186" s="2">
        <v>200</v>
      </c>
      <c r="S186" s="2">
        <v>104.1871</v>
      </c>
      <c r="T186" s="2">
        <v>232</v>
      </c>
      <c r="U186" s="2">
        <v>0.433309</v>
      </c>
      <c r="V186" s="2">
        <v>185</v>
      </c>
      <c r="W186" s="2">
        <v>2002</v>
      </c>
    </row>
    <row r="187" spans="1:23" ht="12.3" x14ac:dyDescent="0.4">
      <c r="A187" s="2" t="s">
        <v>211</v>
      </c>
      <c r="B187" s="2"/>
      <c r="C187" s="2"/>
      <c r="D187" s="2"/>
      <c r="E187" s="2"/>
      <c r="F187" s="2"/>
      <c r="G187" s="2"/>
      <c r="H187" s="2"/>
      <c r="I187" s="2">
        <v>76.566400000000002</v>
      </c>
      <c r="J187" s="2">
        <v>12</v>
      </c>
      <c r="K187" s="2">
        <v>75.062799999999996</v>
      </c>
      <c r="L187" s="2">
        <v>17</v>
      </c>
      <c r="M187" s="2">
        <v>100.6497</v>
      </c>
      <c r="N187" s="2">
        <v>163</v>
      </c>
      <c r="O187" s="2">
        <v>99.444800000000001</v>
      </c>
      <c r="P187" s="2">
        <v>192</v>
      </c>
      <c r="Q187" s="2">
        <v>98.914599999999993</v>
      </c>
      <c r="R187" s="2">
        <v>113</v>
      </c>
      <c r="S187" s="2">
        <v>101.8537</v>
      </c>
      <c r="T187" s="2">
        <v>183</v>
      </c>
      <c r="U187" s="2">
        <v>0.43162</v>
      </c>
      <c r="V187" s="2">
        <v>186</v>
      </c>
      <c r="W187" s="2">
        <v>2002</v>
      </c>
    </row>
    <row r="188" spans="1:23" ht="12.3" x14ac:dyDescent="0.4">
      <c r="A188" s="2" t="s">
        <v>212</v>
      </c>
      <c r="B188" s="2"/>
      <c r="C188" s="2"/>
      <c r="D188" s="2"/>
      <c r="E188" s="2"/>
      <c r="F188" s="2"/>
      <c r="G188" s="2"/>
      <c r="H188" s="2"/>
      <c r="I188" s="2">
        <v>65.754599999999996</v>
      </c>
      <c r="J188" s="2">
        <v>284</v>
      </c>
      <c r="K188" s="2">
        <v>66.722099999999998</v>
      </c>
      <c r="L188" s="2">
        <v>264</v>
      </c>
      <c r="M188" s="2">
        <v>93.9495</v>
      </c>
      <c r="N188" s="2">
        <v>282</v>
      </c>
      <c r="O188" s="2">
        <v>96.477800000000002</v>
      </c>
      <c r="P188" s="2">
        <v>241</v>
      </c>
      <c r="Q188" s="2">
        <v>99.485500000000002</v>
      </c>
      <c r="R188" s="2">
        <v>133</v>
      </c>
      <c r="S188" s="2">
        <v>98.867099999999994</v>
      </c>
      <c r="T188" s="2">
        <v>111</v>
      </c>
      <c r="U188" s="2">
        <v>0.43012499999999998</v>
      </c>
      <c r="V188" s="2">
        <v>187</v>
      </c>
      <c r="W188" s="2">
        <v>2002</v>
      </c>
    </row>
    <row r="189" spans="1:23" ht="12.3" x14ac:dyDescent="0.4">
      <c r="A189" s="2" t="s">
        <v>213</v>
      </c>
      <c r="B189" s="2"/>
      <c r="C189" s="2"/>
      <c r="D189" s="2"/>
      <c r="E189" s="2"/>
      <c r="F189" s="2"/>
      <c r="G189" s="2"/>
      <c r="H189" s="2"/>
      <c r="I189" s="2">
        <v>68.305800000000005</v>
      </c>
      <c r="J189" s="2">
        <v>219</v>
      </c>
      <c r="K189" s="2">
        <v>69.292500000000004</v>
      </c>
      <c r="L189" s="2">
        <v>178</v>
      </c>
      <c r="M189" s="2">
        <v>98.273700000000005</v>
      </c>
      <c r="N189" s="2">
        <v>207</v>
      </c>
      <c r="O189" s="2">
        <v>96.787199999999999</v>
      </c>
      <c r="P189" s="2">
        <v>232</v>
      </c>
      <c r="Q189" s="2">
        <v>101.5391</v>
      </c>
      <c r="R189" s="2">
        <v>179</v>
      </c>
      <c r="S189" s="2">
        <v>99.429199999999994</v>
      </c>
      <c r="T189" s="2">
        <v>127</v>
      </c>
      <c r="U189" s="2">
        <v>0.42318600000000001</v>
      </c>
      <c r="V189" s="2">
        <v>188</v>
      </c>
      <c r="W189" s="2">
        <v>2002</v>
      </c>
    </row>
    <row r="190" spans="1:23" ht="12.3" x14ac:dyDescent="0.4">
      <c r="A190" s="2" t="s">
        <v>214</v>
      </c>
      <c r="B190" s="2"/>
      <c r="C190" s="2"/>
      <c r="D190" s="2"/>
      <c r="E190" s="2"/>
      <c r="F190" s="2"/>
      <c r="G190" s="2"/>
      <c r="H190" s="2"/>
      <c r="I190" s="2">
        <v>68.269400000000005</v>
      </c>
      <c r="J190" s="2">
        <v>221</v>
      </c>
      <c r="K190" s="2">
        <v>67.985500000000002</v>
      </c>
      <c r="L190" s="2">
        <v>225</v>
      </c>
      <c r="M190" s="2">
        <v>100.86579999999999</v>
      </c>
      <c r="N190" s="2">
        <v>157</v>
      </c>
      <c r="O190" s="2">
        <v>96.7393</v>
      </c>
      <c r="P190" s="2">
        <v>235</v>
      </c>
      <c r="Q190" s="2">
        <v>96.094700000000003</v>
      </c>
      <c r="R190" s="2">
        <v>64</v>
      </c>
      <c r="S190" s="2">
        <v>99.409400000000005</v>
      </c>
      <c r="T190" s="2">
        <v>125</v>
      </c>
      <c r="U190" s="2">
        <v>0.42235600000000001</v>
      </c>
      <c r="V190" s="2">
        <v>189</v>
      </c>
      <c r="W190" s="2">
        <v>2002</v>
      </c>
    </row>
    <row r="191" spans="1:23" ht="12.3" x14ac:dyDescent="0.4">
      <c r="A191" s="2" t="s">
        <v>215</v>
      </c>
      <c r="B191" s="2"/>
      <c r="C191" s="2"/>
      <c r="D191" s="2"/>
      <c r="E191" s="2"/>
      <c r="F191" s="2"/>
      <c r="G191" s="2"/>
      <c r="H191" s="2"/>
      <c r="I191" s="2">
        <v>76.919899999999998</v>
      </c>
      <c r="J191" s="2">
        <v>10</v>
      </c>
      <c r="K191" s="2">
        <v>74.837299999999999</v>
      </c>
      <c r="L191" s="2">
        <v>20</v>
      </c>
      <c r="M191" s="2">
        <v>105.92319999999999</v>
      </c>
      <c r="N191" s="2">
        <v>67</v>
      </c>
      <c r="O191" s="2">
        <v>101.3586</v>
      </c>
      <c r="P191" s="2">
        <v>150</v>
      </c>
      <c r="Q191" s="2">
        <v>98.896900000000002</v>
      </c>
      <c r="R191" s="2">
        <v>112</v>
      </c>
      <c r="S191" s="2">
        <v>104.1585</v>
      </c>
      <c r="T191" s="2">
        <v>229</v>
      </c>
      <c r="U191" s="2">
        <v>0.42229499999999998</v>
      </c>
      <c r="V191" s="2">
        <v>190</v>
      </c>
      <c r="W191" s="2">
        <v>2002</v>
      </c>
    </row>
    <row r="192" spans="1:23" ht="12.3" x14ac:dyDescent="0.4">
      <c r="A192" s="2" t="s">
        <v>216</v>
      </c>
      <c r="B192" s="2"/>
      <c r="C192" s="2"/>
      <c r="D192" s="2"/>
      <c r="E192" s="2"/>
      <c r="F192" s="2"/>
      <c r="G192" s="2"/>
      <c r="H192" s="2"/>
      <c r="I192" s="2">
        <v>66.647999999999996</v>
      </c>
      <c r="J192" s="2">
        <v>266</v>
      </c>
      <c r="K192" s="2">
        <v>68.079899999999995</v>
      </c>
      <c r="L192" s="2">
        <v>221</v>
      </c>
      <c r="M192" s="2">
        <v>105.4328</v>
      </c>
      <c r="N192" s="2">
        <v>79</v>
      </c>
      <c r="O192" s="2">
        <v>105.15560000000001</v>
      </c>
      <c r="P192" s="2">
        <v>90</v>
      </c>
      <c r="Q192" s="2">
        <v>108.9027</v>
      </c>
      <c r="R192" s="2">
        <v>308</v>
      </c>
      <c r="S192" s="2">
        <v>108.19119999999999</v>
      </c>
      <c r="T192" s="2">
        <v>290</v>
      </c>
      <c r="U192" s="2">
        <v>0.41890100000000002</v>
      </c>
      <c r="V192" s="2">
        <v>191</v>
      </c>
      <c r="W192" s="2">
        <v>2002</v>
      </c>
    </row>
    <row r="193" spans="1:23" ht="12.3" x14ac:dyDescent="0.4">
      <c r="A193" s="2" t="s">
        <v>217</v>
      </c>
      <c r="B193" s="2"/>
      <c r="C193" s="2"/>
      <c r="D193" s="2"/>
      <c r="E193" s="2"/>
      <c r="F193" s="2"/>
      <c r="G193" s="2"/>
      <c r="H193" s="2"/>
      <c r="I193" s="2">
        <v>67.922200000000004</v>
      </c>
      <c r="J193" s="2">
        <v>229</v>
      </c>
      <c r="K193" s="2">
        <v>67.608099999999993</v>
      </c>
      <c r="L193" s="2">
        <v>233</v>
      </c>
      <c r="M193" s="2">
        <v>97.265199999999993</v>
      </c>
      <c r="N193" s="2">
        <v>233</v>
      </c>
      <c r="O193" s="2">
        <v>99.859800000000007</v>
      </c>
      <c r="P193" s="2">
        <v>185</v>
      </c>
      <c r="Q193" s="2">
        <v>104.43940000000001</v>
      </c>
      <c r="R193" s="2">
        <v>244</v>
      </c>
      <c r="S193" s="2">
        <v>102.97539999999999</v>
      </c>
      <c r="T193" s="2">
        <v>206</v>
      </c>
      <c r="U193" s="2">
        <v>0.41258099999999998</v>
      </c>
      <c r="V193" s="2">
        <v>192</v>
      </c>
      <c r="W193" s="2">
        <v>2002</v>
      </c>
    </row>
    <row r="194" spans="1:23" ht="12.3" x14ac:dyDescent="0.4">
      <c r="A194" s="2" t="s">
        <v>218</v>
      </c>
      <c r="B194" s="2">
        <v>15</v>
      </c>
      <c r="C194" s="2"/>
      <c r="D194" s="2"/>
      <c r="E194" s="2"/>
      <c r="F194" s="2"/>
      <c r="G194" s="2"/>
      <c r="H194" s="2"/>
      <c r="I194" s="2">
        <v>71.235699999999994</v>
      </c>
      <c r="J194" s="2">
        <v>107</v>
      </c>
      <c r="K194" s="2">
        <v>71.244600000000005</v>
      </c>
      <c r="L194" s="2">
        <v>104</v>
      </c>
      <c r="M194" s="2">
        <v>100.2897</v>
      </c>
      <c r="N194" s="2">
        <v>171</v>
      </c>
      <c r="O194" s="2">
        <v>96.866900000000001</v>
      </c>
      <c r="P194" s="2">
        <v>230</v>
      </c>
      <c r="Q194" s="2">
        <v>98.418300000000002</v>
      </c>
      <c r="R194" s="2">
        <v>100</v>
      </c>
      <c r="S194" s="2">
        <v>99.926299999999998</v>
      </c>
      <c r="T194" s="2">
        <v>137</v>
      </c>
      <c r="U194" s="2">
        <v>0.41154200000000002</v>
      </c>
      <c r="V194" s="2">
        <v>193</v>
      </c>
      <c r="W194" s="2">
        <v>2002</v>
      </c>
    </row>
    <row r="195" spans="1:23" ht="12.3" x14ac:dyDescent="0.4">
      <c r="A195" s="2" t="s">
        <v>219</v>
      </c>
      <c r="B195" s="2"/>
      <c r="C195" s="2"/>
      <c r="D195" s="2"/>
      <c r="E195" s="2"/>
      <c r="F195" s="2"/>
      <c r="G195" s="2"/>
      <c r="H195" s="2"/>
      <c r="I195" s="2">
        <v>69.686000000000007</v>
      </c>
      <c r="J195" s="2">
        <v>173</v>
      </c>
      <c r="K195" s="2">
        <v>69.273200000000003</v>
      </c>
      <c r="L195" s="2">
        <v>181</v>
      </c>
      <c r="M195" s="2">
        <v>97.687299999999993</v>
      </c>
      <c r="N195" s="2">
        <v>227</v>
      </c>
      <c r="O195" s="2">
        <v>99.228300000000004</v>
      </c>
      <c r="P195" s="2">
        <v>197</v>
      </c>
      <c r="Q195" s="2">
        <v>103.6451</v>
      </c>
      <c r="R195" s="2">
        <v>228</v>
      </c>
      <c r="S195" s="2">
        <v>102.4008</v>
      </c>
      <c r="T195" s="2">
        <v>195</v>
      </c>
      <c r="U195" s="2">
        <v>0.41049600000000003</v>
      </c>
      <c r="V195" s="2">
        <v>194</v>
      </c>
      <c r="W195" s="2">
        <v>2002</v>
      </c>
    </row>
    <row r="196" spans="1:23" ht="12.3" x14ac:dyDescent="0.4">
      <c r="A196" s="2" t="s">
        <v>220</v>
      </c>
      <c r="B196" s="2"/>
      <c r="C196" s="2"/>
      <c r="D196" s="2"/>
      <c r="E196" s="2"/>
      <c r="F196" s="2"/>
      <c r="G196" s="2"/>
      <c r="H196" s="2"/>
      <c r="I196" s="2">
        <v>68.311700000000002</v>
      </c>
      <c r="J196" s="2">
        <v>218</v>
      </c>
      <c r="K196" s="2">
        <v>69.517200000000003</v>
      </c>
      <c r="L196" s="2">
        <v>169</v>
      </c>
      <c r="M196" s="2">
        <v>108.8301</v>
      </c>
      <c r="N196" s="2">
        <v>35</v>
      </c>
      <c r="O196" s="2">
        <v>102.5728</v>
      </c>
      <c r="P196" s="2">
        <v>132</v>
      </c>
      <c r="Q196" s="2">
        <v>98.671099999999996</v>
      </c>
      <c r="R196" s="2">
        <v>107</v>
      </c>
      <c r="S196" s="2">
        <v>105.87090000000001</v>
      </c>
      <c r="T196" s="2">
        <v>254</v>
      </c>
      <c r="U196" s="2">
        <v>0.41000500000000001</v>
      </c>
      <c r="V196" s="2">
        <v>195</v>
      </c>
      <c r="W196" s="2">
        <v>2002</v>
      </c>
    </row>
    <row r="197" spans="1:23" ht="12.3" x14ac:dyDescent="0.4">
      <c r="A197" s="2" t="s">
        <v>221</v>
      </c>
      <c r="B197" s="2"/>
      <c r="C197" s="2"/>
      <c r="D197" s="2"/>
      <c r="E197" s="2"/>
      <c r="F197" s="2"/>
      <c r="G197" s="2"/>
      <c r="H197" s="2"/>
      <c r="I197" s="2">
        <v>73.105000000000004</v>
      </c>
      <c r="J197" s="2">
        <v>59</v>
      </c>
      <c r="K197" s="2">
        <v>73.468100000000007</v>
      </c>
      <c r="L197" s="2">
        <v>44</v>
      </c>
      <c r="M197" s="2">
        <v>97.486400000000003</v>
      </c>
      <c r="N197" s="2">
        <v>230</v>
      </c>
      <c r="O197" s="2">
        <v>97.058899999999994</v>
      </c>
      <c r="P197" s="2">
        <v>227</v>
      </c>
      <c r="Q197" s="2">
        <v>99.212699999999998</v>
      </c>
      <c r="R197" s="2">
        <v>127</v>
      </c>
      <c r="S197" s="2">
        <v>100.2433</v>
      </c>
      <c r="T197" s="2">
        <v>146</v>
      </c>
      <c r="U197" s="2">
        <v>0.40824100000000002</v>
      </c>
      <c r="V197" s="2">
        <v>196</v>
      </c>
      <c r="W197" s="2">
        <v>2002</v>
      </c>
    </row>
    <row r="198" spans="1:23" ht="12.3" x14ac:dyDescent="0.4">
      <c r="A198" s="2" t="s">
        <v>222</v>
      </c>
      <c r="B198" s="2"/>
      <c r="C198" s="2"/>
      <c r="D198" s="2"/>
      <c r="E198" s="2"/>
      <c r="F198" s="2"/>
      <c r="G198" s="2"/>
      <c r="H198" s="2"/>
      <c r="I198" s="2">
        <v>69.247799999999998</v>
      </c>
      <c r="J198" s="2">
        <v>182</v>
      </c>
      <c r="K198" s="2">
        <v>70.275800000000004</v>
      </c>
      <c r="L198" s="2">
        <v>145</v>
      </c>
      <c r="M198" s="2">
        <v>96.754099999999994</v>
      </c>
      <c r="N198" s="2">
        <v>241</v>
      </c>
      <c r="O198" s="2">
        <v>95.347200000000001</v>
      </c>
      <c r="P198" s="2">
        <v>259</v>
      </c>
      <c r="Q198" s="2">
        <v>98.651600000000002</v>
      </c>
      <c r="R198" s="2">
        <v>106</v>
      </c>
      <c r="S198" s="2">
        <v>98.547700000000006</v>
      </c>
      <c r="T198" s="2">
        <v>104</v>
      </c>
      <c r="U198" s="2">
        <v>0.40620200000000001</v>
      </c>
      <c r="V198" s="2">
        <v>197</v>
      </c>
      <c r="W198" s="2">
        <v>2002</v>
      </c>
    </row>
    <row r="199" spans="1:23" ht="12.3" x14ac:dyDescent="0.4">
      <c r="A199" s="2" t="s">
        <v>223</v>
      </c>
      <c r="B199" s="2"/>
      <c r="C199" s="2"/>
      <c r="D199" s="2"/>
      <c r="E199" s="2"/>
      <c r="F199" s="2"/>
      <c r="G199" s="2"/>
      <c r="H199" s="2"/>
      <c r="I199" s="2">
        <v>71.191599999999994</v>
      </c>
      <c r="J199" s="2">
        <v>109</v>
      </c>
      <c r="K199" s="2">
        <v>71.493899999999996</v>
      </c>
      <c r="L199" s="2">
        <v>91</v>
      </c>
      <c r="M199" s="2">
        <v>97.721299999999999</v>
      </c>
      <c r="N199" s="2">
        <v>224</v>
      </c>
      <c r="O199" s="2">
        <v>95.374700000000004</v>
      </c>
      <c r="P199" s="2">
        <v>256</v>
      </c>
      <c r="Q199" s="2">
        <v>94.445700000000002</v>
      </c>
      <c r="R199" s="2">
        <v>40</v>
      </c>
      <c r="S199" s="2">
        <v>98.594099999999997</v>
      </c>
      <c r="T199" s="2">
        <v>107</v>
      </c>
      <c r="U199" s="2">
        <v>0.405698</v>
      </c>
      <c r="V199" s="2">
        <v>198</v>
      </c>
      <c r="W199" s="2">
        <v>2002</v>
      </c>
    </row>
    <row r="200" spans="1:23" ht="12.3" x14ac:dyDescent="0.4">
      <c r="A200" s="2" t="s">
        <v>224</v>
      </c>
      <c r="B200" s="2"/>
      <c r="C200" s="2"/>
      <c r="D200" s="2"/>
      <c r="E200" s="2"/>
      <c r="F200" s="2"/>
      <c r="G200" s="2"/>
      <c r="H200" s="2"/>
      <c r="I200" s="2">
        <v>68.846199999999996</v>
      </c>
      <c r="J200" s="2">
        <v>195</v>
      </c>
      <c r="K200" s="2">
        <v>67.516000000000005</v>
      </c>
      <c r="L200" s="2">
        <v>237</v>
      </c>
      <c r="M200" s="2">
        <v>100.124</v>
      </c>
      <c r="N200" s="2">
        <v>177</v>
      </c>
      <c r="O200" s="2">
        <v>100.2734</v>
      </c>
      <c r="P200" s="2">
        <v>169</v>
      </c>
      <c r="Q200" s="2">
        <v>102.02809999999999</v>
      </c>
      <c r="R200" s="2">
        <v>186</v>
      </c>
      <c r="S200" s="2">
        <v>103.7458</v>
      </c>
      <c r="T200" s="2">
        <v>221</v>
      </c>
      <c r="U200" s="2">
        <v>0.40335500000000002</v>
      </c>
      <c r="V200" s="2">
        <v>199</v>
      </c>
      <c r="W200" s="2">
        <v>2002</v>
      </c>
    </row>
    <row r="201" spans="1:23" ht="12.3" x14ac:dyDescent="0.4">
      <c r="A201" s="2" t="s">
        <v>225</v>
      </c>
      <c r="B201" s="2"/>
      <c r="C201" s="2"/>
      <c r="D201" s="2"/>
      <c r="E201" s="2"/>
      <c r="F201" s="2"/>
      <c r="G201" s="2"/>
      <c r="H201" s="2"/>
      <c r="I201" s="2">
        <v>74.3613</v>
      </c>
      <c r="J201" s="2">
        <v>29</v>
      </c>
      <c r="K201" s="2">
        <v>74.2988</v>
      </c>
      <c r="L201" s="2">
        <v>25</v>
      </c>
      <c r="M201" s="2">
        <v>99.368700000000004</v>
      </c>
      <c r="N201" s="2">
        <v>193</v>
      </c>
      <c r="O201" s="2">
        <v>98.093500000000006</v>
      </c>
      <c r="P201" s="2">
        <v>213</v>
      </c>
      <c r="Q201" s="2">
        <v>97.501300000000001</v>
      </c>
      <c r="R201" s="2">
        <v>83</v>
      </c>
      <c r="S201" s="2">
        <v>101.5284</v>
      </c>
      <c r="T201" s="2">
        <v>176</v>
      </c>
      <c r="U201" s="2">
        <v>0.40232200000000001</v>
      </c>
      <c r="V201" s="2">
        <v>200</v>
      </c>
      <c r="W201" s="2">
        <v>2002</v>
      </c>
    </row>
    <row r="202" spans="1:23" ht="12.3" x14ac:dyDescent="0.4">
      <c r="A202" s="2" t="s">
        <v>226</v>
      </c>
      <c r="B202" s="2"/>
      <c r="C202" s="2"/>
      <c r="D202" s="2"/>
      <c r="E202" s="2"/>
      <c r="F202" s="2"/>
      <c r="G202" s="2"/>
      <c r="H202" s="2"/>
      <c r="I202" s="2">
        <v>65.267799999999994</v>
      </c>
      <c r="J202" s="2">
        <v>290</v>
      </c>
      <c r="K202" s="2">
        <v>64.046800000000005</v>
      </c>
      <c r="L202" s="2">
        <v>310</v>
      </c>
      <c r="M202" s="2">
        <v>100.2462</v>
      </c>
      <c r="N202" s="2">
        <v>174</v>
      </c>
      <c r="O202" s="2">
        <v>100.1101</v>
      </c>
      <c r="P202" s="2">
        <v>176</v>
      </c>
      <c r="Q202" s="2">
        <v>98.036799999999999</v>
      </c>
      <c r="R202" s="2">
        <v>92</v>
      </c>
      <c r="S202" s="2">
        <v>103.6837</v>
      </c>
      <c r="T202" s="2">
        <v>218</v>
      </c>
      <c r="U202" s="2">
        <v>0.40050599999999997</v>
      </c>
      <c r="V202" s="2">
        <v>201</v>
      </c>
      <c r="W202" s="2">
        <v>2002</v>
      </c>
    </row>
    <row r="203" spans="1:23" ht="12.3" x14ac:dyDescent="0.4">
      <c r="A203" s="2" t="s">
        <v>227</v>
      </c>
      <c r="B203" s="2"/>
      <c r="C203" s="2"/>
      <c r="D203" s="2"/>
      <c r="E203" s="2"/>
      <c r="F203" s="2"/>
      <c r="G203" s="2"/>
      <c r="H203" s="2"/>
      <c r="I203" s="2">
        <v>69.937600000000003</v>
      </c>
      <c r="J203" s="2">
        <v>164</v>
      </c>
      <c r="K203" s="2">
        <v>68.914100000000005</v>
      </c>
      <c r="L203" s="2">
        <v>198</v>
      </c>
      <c r="M203" s="2">
        <v>98.095399999999998</v>
      </c>
      <c r="N203" s="2">
        <v>213</v>
      </c>
      <c r="O203" s="2">
        <v>96.390799999999999</v>
      </c>
      <c r="P203" s="2">
        <v>243</v>
      </c>
      <c r="Q203" s="2">
        <v>102.4894</v>
      </c>
      <c r="R203" s="2">
        <v>198</v>
      </c>
      <c r="S203" s="2">
        <v>99.836500000000001</v>
      </c>
      <c r="T203" s="2">
        <v>135</v>
      </c>
      <c r="U203" s="2">
        <v>0.40037</v>
      </c>
      <c r="V203" s="2">
        <v>202</v>
      </c>
      <c r="W203" s="2">
        <v>2002</v>
      </c>
    </row>
    <row r="204" spans="1:23" ht="12.3" x14ac:dyDescent="0.4">
      <c r="A204" s="2" t="s">
        <v>228</v>
      </c>
      <c r="B204" s="2"/>
      <c r="C204" s="2"/>
      <c r="D204" s="2"/>
      <c r="E204" s="2"/>
      <c r="F204" s="2"/>
      <c r="G204" s="2"/>
      <c r="H204" s="2"/>
      <c r="I204" s="2">
        <v>67.858000000000004</v>
      </c>
      <c r="J204" s="2">
        <v>232</v>
      </c>
      <c r="K204" s="2">
        <v>67.217600000000004</v>
      </c>
      <c r="L204" s="2">
        <v>247</v>
      </c>
      <c r="M204" s="2">
        <v>94.473299999999995</v>
      </c>
      <c r="N204" s="2">
        <v>273</v>
      </c>
      <c r="O204" s="2">
        <v>94.316000000000003</v>
      </c>
      <c r="P204" s="2">
        <v>276</v>
      </c>
      <c r="Q204" s="2">
        <v>98.295900000000003</v>
      </c>
      <c r="R204" s="2">
        <v>95</v>
      </c>
      <c r="S204" s="2">
        <v>97.729799999999997</v>
      </c>
      <c r="T204" s="2">
        <v>90</v>
      </c>
      <c r="U204" s="2">
        <v>0.39917799999999998</v>
      </c>
      <c r="V204" s="2">
        <v>203</v>
      </c>
      <c r="W204" s="2">
        <v>2002</v>
      </c>
    </row>
    <row r="205" spans="1:23" ht="12.3" x14ac:dyDescent="0.4">
      <c r="A205" s="2" t="s">
        <v>229</v>
      </c>
      <c r="B205" s="2"/>
      <c r="C205" s="2"/>
      <c r="D205" s="2"/>
      <c r="E205" s="2"/>
      <c r="F205" s="2"/>
      <c r="G205" s="2"/>
      <c r="H205" s="2"/>
      <c r="I205" s="2">
        <v>73.620099999999994</v>
      </c>
      <c r="J205" s="2">
        <v>45</v>
      </c>
      <c r="K205" s="2">
        <v>73.993700000000004</v>
      </c>
      <c r="L205" s="2">
        <v>32</v>
      </c>
      <c r="M205" s="2">
        <v>97.141599999999997</v>
      </c>
      <c r="N205" s="2">
        <v>235</v>
      </c>
      <c r="O205" s="2">
        <v>100.49979999999999</v>
      </c>
      <c r="P205" s="2">
        <v>165</v>
      </c>
      <c r="Q205" s="2">
        <v>107.22709999999999</v>
      </c>
      <c r="R205" s="2">
        <v>289</v>
      </c>
      <c r="S205" s="2">
        <v>104.1768</v>
      </c>
      <c r="T205" s="2">
        <v>231</v>
      </c>
      <c r="U205" s="2">
        <v>0.39813799999999999</v>
      </c>
      <c r="V205" s="2">
        <v>204</v>
      </c>
      <c r="W205" s="2">
        <v>2002</v>
      </c>
    </row>
    <row r="206" spans="1:23" ht="12.3" x14ac:dyDescent="0.4">
      <c r="A206" s="2" t="s">
        <v>230</v>
      </c>
      <c r="B206" s="2"/>
      <c r="C206" s="2"/>
      <c r="D206" s="2"/>
      <c r="E206" s="2"/>
      <c r="F206" s="2"/>
      <c r="G206" s="2"/>
      <c r="H206" s="2"/>
      <c r="I206" s="2">
        <v>68.391099999999994</v>
      </c>
      <c r="J206" s="2">
        <v>214</v>
      </c>
      <c r="K206" s="2">
        <v>69.928100000000001</v>
      </c>
      <c r="L206" s="2">
        <v>158</v>
      </c>
      <c r="M206" s="2">
        <v>93.085099999999997</v>
      </c>
      <c r="N206" s="2">
        <v>289</v>
      </c>
      <c r="O206" s="2">
        <v>96.217100000000002</v>
      </c>
      <c r="P206" s="2">
        <v>246</v>
      </c>
      <c r="Q206" s="2">
        <v>105.64239999999999</v>
      </c>
      <c r="R206" s="2">
        <v>267</v>
      </c>
      <c r="S206" s="2">
        <v>99.873800000000003</v>
      </c>
      <c r="T206" s="2">
        <v>136</v>
      </c>
      <c r="U206" s="2">
        <v>0.39437800000000001</v>
      </c>
      <c r="V206" s="2">
        <v>205</v>
      </c>
      <c r="W206" s="2">
        <v>2002</v>
      </c>
    </row>
    <row r="207" spans="1:23" ht="12.3" x14ac:dyDescent="0.4">
      <c r="A207" s="2" t="s">
        <v>231</v>
      </c>
      <c r="B207" s="2"/>
      <c r="C207" s="2"/>
      <c r="D207" s="2"/>
      <c r="E207" s="2"/>
      <c r="F207" s="2"/>
      <c r="G207" s="2"/>
      <c r="H207" s="2"/>
      <c r="I207" s="2">
        <v>69.230099999999993</v>
      </c>
      <c r="J207" s="2">
        <v>183</v>
      </c>
      <c r="K207" s="2">
        <v>69.195400000000006</v>
      </c>
      <c r="L207" s="2">
        <v>184</v>
      </c>
      <c r="M207" s="2">
        <v>94.706199999999995</v>
      </c>
      <c r="N207" s="2">
        <v>270</v>
      </c>
      <c r="O207" s="2">
        <v>95.552400000000006</v>
      </c>
      <c r="P207" s="2">
        <v>254</v>
      </c>
      <c r="Q207" s="2">
        <v>100.3848</v>
      </c>
      <c r="R207" s="2">
        <v>154</v>
      </c>
      <c r="S207" s="2">
        <v>99.2239</v>
      </c>
      <c r="T207" s="2">
        <v>120</v>
      </c>
      <c r="U207" s="2">
        <v>0.393266</v>
      </c>
      <c r="V207" s="2">
        <v>206</v>
      </c>
      <c r="W207" s="2">
        <v>2002</v>
      </c>
    </row>
    <row r="208" spans="1:23" ht="12.3" x14ac:dyDescent="0.4">
      <c r="A208" s="2" t="s">
        <v>232</v>
      </c>
      <c r="B208" s="2"/>
      <c r="C208" s="2"/>
      <c r="D208" s="2"/>
      <c r="E208" s="2"/>
      <c r="F208" s="2"/>
      <c r="G208" s="2"/>
      <c r="H208" s="2"/>
      <c r="I208" s="2">
        <v>70.943299999999994</v>
      </c>
      <c r="J208" s="2">
        <v>116</v>
      </c>
      <c r="K208" s="2">
        <v>72.102599999999995</v>
      </c>
      <c r="L208" s="2">
        <v>74</v>
      </c>
      <c r="M208" s="2">
        <v>97.8566</v>
      </c>
      <c r="N208" s="2">
        <v>220</v>
      </c>
      <c r="O208" s="2">
        <v>99.751099999999994</v>
      </c>
      <c r="P208" s="2">
        <v>187</v>
      </c>
      <c r="Q208" s="2">
        <v>105.7754</v>
      </c>
      <c r="R208" s="2">
        <v>269</v>
      </c>
      <c r="S208" s="2">
        <v>103.748</v>
      </c>
      <c r="T208" s="2">
        <v>222</v>
      </c>
      <c r="U208" s="2">
        <v>0.38893299999999997</v>
      </c>
      <c r="V208" s="2">
        <v>207</v>
      </c>
      <c r="W208" s="2">
        <v>2002</v>
      </c>
    </row>
    <row r="209" spans="1:23" ht="12.3" x14ac:dyDescent="0.4">
      <c r="A209" s="2" t="s">
        <v>233</v>
      </c>
      <c r="B209" s="2"/>
      <c r="C209" s="2"/>
      <c r="D209" s="2"/>
      <c r="E209" s="2"/>
      <c r="F209" s="2"/>
      <c r="G209" s="2"/>
      <c r="H209" s="2"/>
      <c r="I209" s="2">
        <v>72.179400000000001</v>
      </c>
      <c r="J209" s="2">
        <v>80</v>
      </c>
      <c r="K209" s="2">
        <v>74.248099999999994</v>
      </c>
      <c r="L209" s="2">
        <v>26</v>
      </c>
      <c r="M209" s="2">
        <v>105.1677</v>
      </c>
      <c r="N209" s="2">
        <v>87</v>
      </c>
      <c r="O209" s="2">
        <v>103.5655</v>
      </c>
      <c r="P209" s="2">
        <v>113</v>
      </c>
      <c r="Q209" s="2">
        <v>102.4212</v>
      </c>
      <c r="R209" s="2">
        <v>196</v>
      </c>
      <c r="S209" s="2">
        <v>107.8917</v>
      </c>
      <c r="T209" s="2">
        <v>287</v>
      </c>
      <c r="U209" s="2">
        <v>0.38446900000000001</v>
      </c>
      <c r="V209" s="2">
        <v>208</v>
      </c>
      <c r="W209" s="2">
        <v>2002</v>
      </c>
    </row>
    <row r="210" spans="1:23" ht="12.3" x14ac:dyDescent="0.4">
      <c r="A210" s="2" t="s">
        <v>234</v>
      </c>
      <c r="B210" s="2">
        <v>15</v>
      </c>
      <c r="C210" s="2"/>
      <c r="D210" s="2"/>
      <c r="E210" s="2"/>
      <c r="F210" s="2"/>
      <c r="G210" s="2"/>
      <c r="H210" s="2"/>
      <c r="I210" s="2">
        <v>70.030799999999999</v>
      </c>
      <c r="J210" s="2">
        <v>158</v>
      </c>
      <c r="K210" s="2">
        <v>70.075100000000006</v>
      </c>
      <c r="L210" s="2">
        <v>151</v>
      </c>
      <c r="M210" s="2">
        <v>101.9545</v>
      </c>
      <c r="N210" s="2">
        <v>145</v>
      </c>
      <c r="O210" s="2">
        <v>100.48480000000001</v>
      </c>
      <c r="P210" s="2">
        <v>167</v>
      </c>
      <c r="Q210" s="2">
        <v>105.02760000000001</v>
      </c>
      <c r="R210" s="2">
        <v>252</v>
      </c>
      <c r="S210" s="2">
        <v>104.8021</v>
      </c>
      <c r="T210" s="2">
        <v>245</v>
      </c>
      <c r="U210" s="2">
        <v>0.38135999999999998</v>
      </c>
      <c r="V210" s="2">
        <v>209</v>
      </c>
      <c r="W210" s="2">
        <v>2002</v>
      </c>
    </row>
    <row r="211" spans="1:23" ht="12.3" x14ac:dyDescent="0.4">
      <c r="A211" s="2" t="s">
        <v>235</v>
      </c>
      <c r="B211" s="2"/>
      <c r="C211" s="2"/>
      <c r="D211" s="2"/>
      <c r="E211" s="2"/>
      <c r="F211" s="2"/>
      <c r="G211" s="2"/>
      <c r="H211" s="2"/>
      <c r="I211" s="2">
        <v>68.748999999999995</v>
      </c>
      <c r="J211" s="2">
        <v>199</v>
      </c>
      <c r="K211" s="2">
        <v>69.162599999999998</v>
      </c>
      <c r="L211" s="2">
        <v>185</v>
      </c>
      <c r="M211" s="2">
        <v>99.822000000000003</v>
      </c>
      <c r="N211" s="2">
        <v>184</v>
      </c>
      <c r="O211" s="2">
        <v>98.555599999999998</v>
      </c>
      <c r="P211" s="2">
        <v>209</v>
      </c>
      <c r="Q211" s="2">
        <v>106.83629999999999</v>
      </c>
      <c r="R211" s="2">
        <v>284</v>
      </c>
      <c r="S211" s="2">
        <v>102.9629</v>
      </c>
      <c r="T211" s="2">
        <v>205</v>
      </c>
      <c r="U211" s="2">
        <v>0.37681300000000001</v>
      </c>
      <c r="V211" s="2">
        <v>210</v>
      </c>
      <c r="W211" s="2">
        <v>2002</v>
      </c>
    </row>
    <row r="212" spans="1:23" ht="12.3" x14ac:dyDescent="0.4">
      <c r="A212" s="2" t="s">
        <v>236</v>
      </c>
      <c r="B212" s="2"/>
      <c r="C212" s="2"/>
      <c r="D212" s="2"/>
      <c r="E212" s="2"/>
      <c r="F212" s="2"/>
      <c r="G212" s="2"/>
      <c r="H212" s="2"/>
      <c r="I212" s="2">
        <v>62.569699999999997</v>
      </c>
      <c r="J212" s="2">
        <v>317</v>
      </c>
      <c r="K212" s="2">
        <v>63.825899999999997</v>
      </c>
      <c r="L212" s="2">
        <v>312</v>
      </c>
      <c r="M212" s="2">
        <v>103.81789999999999</v>
      </c>
      <c r="N212" s="2">
        <v>112</v>
      </c>
      <c r="O212" s="2">
        <v>102.91370000000001</v>
      </c>
      <c r="P212" s="2">
        <v>126</v>
      </c>
      <c r="Q212" s="2">
        <v>108.1041</v>
      </c>
      <c r="R212" s="2">
        <v>300</v>
      </c>
      <c r="S212" s="2">
        <v>107.5468</v>
      </c>
      <c r="T212" s="2">
        <v>280</v>
      </c>
      <c r="U212" s="2">
        <v>0.37603599999999998</v>
      </c>
      <c r="V212" s="2">
        <v>211</v>
      </c>
      <c r="W212" s="2">
        <v>2002</v>
      </c>
    </row>
    <row r="213" spans="1:23" ht="12.3" x14ac:dyDescent="0.4">
      <c r="A213" s="2" t="s">
        <v>237</v>
      </c>
      <c r="B213" s="2"/>
      <c r="C213" s="2"/>
      <c r="D213" s="2"/>
      <c r="E213" s="2"/>
      <c r="F213" s="2"/>
      <c r="G213" s="2"/>
      <c r="H213" s="2"/>
      <c r="I213" s="2">
        <v>64.455399999999997</v>
      </c>
      <c r="J213" s="2">
        <v>304</v>
      </c>
      <c r="K213" s="2">
        <v>65.130600000000001</v>
      </c>
      <c r="L213" s="2">
        <v>293</v>
      </c>
      <c r="M213" s="2">
        <v>98.135499999999993</v>
      </c>
      <c r="N213" s="2">
        <v>212</v>
      </c>
      <c r="O213" s="2">
        <v>98.501099999999994</v>
      </c>
      <c r="P213" s="2">
        <v>210</v>
      </c>
      <c r="Q213" s="2">
        <v>103.4987</v>
      </c>
      <c r="R213" s="2">
        <v>224</v>
      </c>
      <c r="S213" s="2">
        <v>102.93689999999999</v>
      </c>
      <c r="T213" s="2">
        <v>204</v>
      </c>
      <c r="U213" s="2">
        <v>0.37600099999999997</v>
      </c>
      <c r="V213" s="2">
        <v>212</v>
      </c>
      <c r="W213" s="2">
        <v>2002</v>
      </c>
    </row>
    <row r="214" spans="1:23" ht="12.3" x14ac:dyDescent="0.4">
      <c r="A214" s="2" t="s">
        <v>238</v>
      </c>
      <c r="B214" s="2"/>
      <c r="C214" s="2"/>
      <c r="D214" s="2"/>
      <c r="E214" s="2"/>
      <c r="F214" s="2"/>
      <c r="G214" s="2"/>
      <c r="H214" s="2"/>
      <c r="I214" s="2">
        <v>73.481499999999997</v>
      </c>
      <c r="J214" s="2">
        <v>48</v>
      </c>
      <c r="K214" s="2">
        <v>71.908900000000003</v>
      </c>
      <c r="L214" s="2">
        <v>79</v>
      </c>
      <c r="M214" s="2">
        <v>99.461100000000002</v>
      </c>
      <c r="N214" s="2">
        <v>189</v>
      </c>
      <c r="O214" s="2">
        <v>98.561999999999998</v>
      </c>
      <c r="P214" s="2">
        <v>208</v>
      </c>
      <c r="Q214" s="2">
        <v>101.89149999999999</v>
      </c>
      <c r="R214" s="2">
        <v>183</v>
      </c>
      <c r="S214" s="2">
        <v>103.2393</v>
      </c>
      <c r="T214" s="2">
        <v>210</v>
      </c>
      <c r="U214" s="2">
        <v>0.36977500000000002</v>
      </c>
      <c r="V214" s="2">
        <v>213</v>
      </c>
      <c r="W214" s="2">
        <v>2002</v>
      </c>
    </row>
    <row r="215" spans="1:23" ht="12.3" x14ac:dyDescent="0.4">
      <c r="A215" s="2" t="s">
        <v>239</v>
      </c>
      <c r="B215" s="2"/>
      <c r="C215" s="2"/>
      <c r="D215" s="2"/>
      <c r="E215" s="2"/>
      <c r="F215" s="2"/>
      <c r="G215" s="2"/>
      <c r="H215" s="2"/>
      <c r="I215" s="2">
        <v>72.100899999999996</v>
      </c>
      <c r="J215" s="2">
        <v>81</v>
      </c>
      <c r="K215" s="2">
        <v>71.410700000000006</v>
      </c>
      <c r="L215" s="2">
        <v>94</v>
      </c>
      <c r="M215" s="2">
        <v>97.316699999999997</v>
      </c>
      <c r="N215" s="2">
        <v>232</v>
      </c>
      <c r="O215" s="2">
        <v>102.82299999999999</v>
      </c>
      <c r="P215" s="2">
        <v>127</v>
      </c>
      <c r="Q215" s="2">
        <v>111.76479999999999</v>
      </c>
      <c r="R215" s="2">
        <v>320</v>
      </c>
      <c r="S215" s="2">
        <v>107.7259</v>
      </c>
      <c r="T215" s="2">
        <v>283</v>
      </c>
      <c r="U215" s="2">
        <v>0.36919299999999999</v>
      </c>
      <c r="V215" s="2">
        <v>214</v>
      </c>
      <c r="W215" s="2">
        <v>2002</v>
      </c>
    </row>
    <row r="216" spans="1:23" ht="12.3" x14ac:dyDescent="0.4">
      <c r="A216" s="2" t="s">
        <v>240</v>
      </c>
      <c r="B216" s="2">
        <v>16</v>
      </c>
      <c r="C216" s="2"/>
      <c r="D216" s="2"/>
      <c r="E216" s="2"/>
      <c r="F216" s="2"/>
      <c r="G216" s="2"/>
      <c r="H216" s="2"/>
      <c r="I216" s="2">
        <v>68.212800000000001</v>
      </c>
      <c r="J216" s="2">
        <v>222</v>
      </c>
      <c r="K216" s="2">
        <v>67.463899999999995</v>
      </c>
      <c r="L216" s="2">
        <v>239</v>
      </c>
      <c r="M216" s="2">
        <v>100.2384</v>
      </c>
      <c r="N216" s="2">
        <v>175</v>
      </c>
      <c r="O216" s="2">
        <v>95.363200000000006</v>
      </c>
      <c r="P216" s="2">
        <v>257</v>
      </c>
      <c r="Q216" s="2">
        <v>94.658699999999996</v>
      </c>
      <c r="R216" s="2">
        <v>45</v>
      </c>
      <c r="S216" s="2">
        <v>99.975399999999993</v>
      </c>
      <c r="T216" s="2">
        <v>138</v>
      </c>
      <c r="U216" s="2">
        <v>0.36745299999999997</v>
      </c>
      <c r="V216" s="2">
        <v>215</v>
      </c>
      <c r="W216" s="2">
        <v>2002</v>
      </c>
    </row>
    <row r="217" spans="1:23" ht="12.3" x14ac:dyDescent="0.4">
      <c r="A217" s="2" t="s">
        <v>241</v>
      </c>
      <c r="B217" s="2"/>
      <c r="C217" s="2"/>
      <c r="D217" s="2"/>
      <c r="E217" s="2"/>
      <c r="F217" s="2"/>
      <c r="G217" s="2"/>
      <c r="H217" s="2"/>
      <c r="I217" s="2">
        <v>72.853399999999993</v>
      </c>
      <c r="J217" s="2">
        <v>63</v>
      </c>
      <c r="K217" s="2">
        <v>72.383200000000002</v>
      </c>
      <c r="L217" s="2">
        <v>66</v>
      </c>
      <c r="M217" s="2">
        <v>96.644000000000005</v>
      </c>
      <c r="N217" s="2">
        <v>243</v>
      </c>
      <c r="O217" s="2">
        <v>96.719399999999993</v>
      </c>
      <c r="P217" s="2">
        <v>236</v>
      </c>
      <c r="Q217" s="2">
        <v>98.333399999999997</v>
      </c>
      <c r="R217" s="2">
        <v>98</v>
      </c>
      <c r="S217" s="2">
        <v>101.5932</v>
      </c>
      <c r="T217" s="2">
        <v>177</v>
      </c>
      <c r="U217" s="2">
        <v>0.36230400000000001</v>
      </c>
      <c r="V217" s="2">
        <v>216</v>
      </c>
      <c r="W217" s="2">
        <v>2002</v>
      </c>
    </row>
    <row r="218" spans="1:23" ht="12.3" x14ac:dyDescent="0.4">
      <c r="A218" s="2" t="s">
        <v>242</v>
      </c>
      <c r="B218" s="2"/>
      <c r="C218" s="2"/>
      <c r="D218" s="2"/>
      <c r="E218" s="2"/>
      <c r="F218" s="2"/>
      <c r="G218" s="2"/>
      <c r="H218" s="2"/>
      <c r="I218" s="2">
        <v>72.395099999999999</v>
      </c>
      <c r="J218" s="2">
        <v>73</v>
      </c>
      <c r="K218" s="2">
        <v>71.389099999999999</v>
      </c>
      <c r="L218" s="2">
        <v>96</v>
      </c>
      <c r="M218" s="2">
        <v>103.1546</v>
      </c>
      <c r="N218" s="2">
        <v>122</v>
      </c>
      <c r="O218" s="2">
        <v>100.19119999999999</v>
      </c>
      <c r="P218" s="2">
        <v>174</v>
      </c>
      <c r="Q218" s="2">
        <v>100.49509999999999</v>
      </c>
      <c r="R218" s="2">
        <v>158</v>
      </c>
      <c r="S218" s="2">
        <v>105.44</v>
      </c>
      <c r="T218" s="2">
        <v>250</v>
      </c>
      <c r="U218" s="2">
        <v>0.35727500000000001</v>
      </c>
      <c r="V218" s="2">
        <v>217</v>
      </c>
      <c r="W218" s="2">
        <v>2002</v>
      </c>
    </row>
    <row r="219" spans="1:23" ht="12.3" x14ac:dyDescent="0.4">
      <c r="A219" s="2" t="s">
        <v>243</v>
      </c>
      <c r="B219" s="2"/>
      <c r="C219" s="2"/>
      <c r="D219" s="2"/>
      <c r="E219" s="2"/>
      <c r="F219" s="2"/>
      <c r="G219" s="2"/>
      <c r="H219" s="2"/>
      <c r="I219" s="2">
        <v>71.803100000000001</v>
      </c>
      <c r="J219" s="2">
        <v>91</v>
      </c>
      <c r="K219" s="2">
        <v>72.2667</v>
      </c>
      <c r="L219" s="2">
        <v>67</v>
      </c>
      <c r="M219" s="2">
        <v>91.416300000000007</v>
      </c>
      <c r="N219" s="2">
        <v>303</v>
      </c>
      <c r="O219" s="2">
        <v>92.875299999999996</v>
      </c>
      <c r="P219" s="2">
        <v>289</v>
      </c>
      <c r="Q219" s="2">
        <v>97.676900000000003</v>
      </c>
      <c r="R219" s="2">
        <v>87</v>
      </c>
      <c r="S219" s="2">
        <v>97.805099999999996</v>
      </c>
      <c r="T219" s="2">
        <v>91</v>
      </c>
      <c r="U219" s="2">
        <v>0.35554200000000002</v>
      </c>
      <c r="V219" s="2">
        <v>218</v>
      </c>
      <c r="W219" s="2">
        <v>2002</v>
      </c>
    </row>
    <row r="220" spans="1:23" ht="12.3" x14ac:dyDescent="0.4">
      <c r="A220" s="2" t="s">
        <v>244</v>
      </c>
      <c r="B220" s="2"/>
      <c r="C220" s="2"/>
      <c r="D220" s="2"/>
      <c r="E220" s="2"/>
      <c r="F220" s="2"/>
      <c r="G220" s="2"/>
      <c r="H220" s="2"/>
      <c r="I220" s="2">
        <v>67.083600000000004</v>
      </c>
      <c r="J220" s="2">
        <v>250</v>
      </c>
      <c r="K220" s="2">
        <v>66.783299999999997</v>
      </c>
      <c r="L220" s="2">
        <v>261</v>
      </c>
      <c r="M220" s="2">
        <v>107.0926</v>
      </c>
      <c r="N220" s="2">
        <v>57</v>
      </c>
      <c r="O220" s="2">
        <v>106.8215</v>
      </c>
      <c r="P220" s="2">
        <v>73</v>
      </c>
      <c r="Q220" s="2">
        <v>111.8236</v>
      </c>
      <c r="R220" s="2">
        <v>321</v>
      </c>
      <c r="S220" s="2">
        <v>112.6285</v>
      </c>
      <c r="T220" s="2">
        <v>319</v>
      </c>
      <c r="U220" s="2">
        <v>0.35234300000000002</v>
      </c>
      <c r="V220" s="2">
        <v>219</v>
      </c>
      <c r="W220" s="2">
        <v>2002</v>
      </c>
    </row>
    <row r="221" spans="1:23" ht="12.3" x14ac:dyDescent="0.4">
      <c r="A221" s="2" t="s">
        <v>245</v>
      </c>
      <c r="B221" s="2"/>
      <c r="C221" s="2"/>
      <c r="D221" s="2"/>
      <c r="E221" s="2"/>
      <c r="F221" s="2"/>
      <c r="G221" s="2"/>
      <c r="H221" s="2"/>
      <c r="I221" s="2">
        <v>64.533600000000007</v>
      </c>
      <c r="J221" s="2">
        <v>302</v>
      </c>
      <c r="K221" s="2">
        <v>64.762299999999996</v>
      </c>
      <c r="L221" s="2">
        <v>298</v>
      </c>
      <c r="M221" s="2">
        <v>92.969800000000006</v>
      </c>
      <c r="N221" s="2">
        <v>290</v>
      </c>
      <c r="O221" s="2">
        <v>93.129300000000001</v>
      </c>
      <c r="P221" s="2">
        <v>287</v>
      </c>
      <c r="Q221" s="2">
        <v>99.651799999999994</v>
      </c>
      <c r="R221" s="2">
        <v>139</v>
      </c>
      <c r="S221" s="2">
        <v>98.2898</v>
      </c>
      <c r="T221" s="2">
        <v>100</v>
      </c>
      <c r="U221" s="2">
        <v>0.34973300000000002</v>
      </c>
      <c r="V221" s="2">
        <v>220</v>
      </c>
      <c r="W221" s="2">
        <v>2002</v>
      </c>
    </row>
    <row r="222" spans="1:23" ht="12.3" x14ac:dyDescent="0.4">
      <c r="A222" s="2" t="s">
        <v>246</v>
      </c>
      <c r="B222" s="2"/>
      <c r="C222" s="2"/>
      <c r="D222" s="2"/>
      <c r="E222" s="2"/>
      <c r="F222" s="2"/>
      <c r="G222" s="2"/>
      <c r="H222" s="2"/>
      <c r="I222" s="2">
        <v>74.716899999999995</v>
      </c>
      <c r="J222" s="2">
        <v>25</v>
      </c>
      <c r="K222" s="2">
        <v>73.196600000000004</v>
      </c>
      <c r="L222" s="2">
        <v>49</v>
      </c>
      <c r="M222" s="2">
        <v>97.957499999999996</v>
      </c>
      <c r="N222" s="2">
        <v>216</v>
      </c>
      <c r="O222" s="2">
        <v>98.7316</v>
      </c>
      <c r="P222" s="2">
        <v>204</v>
      </c>
      <c r="Q222" s="2">
        <v>104.1502</v>
      </c>
      <c r="R222" s="2">
        <v>238</v>
      </c>
      <c r="S222" s="2">
        <v>104.239</v>
      </c>
      <c r="T222" s="2">
        <v>237</v>
      </c>
      <c r="U222" s="2">
        <v>0.34881899999999999</v>
      </c>
      <c r="V222" s="2">
        <v>221</v>
      </c>
      <c r="W222" s="2">
        <v>2002</v>
      </c>
    </row>
    <row r="223" spans="1:23" ht="12.3" x14ac:dyDescent="0.4">
      <c r="A223" s="2" t="s">
        <v>247</v>
      </c>
      <c r="B223" s="2"/>
      <c r="C223" s="2"/>
      <c r="D223" s="2"/>
      <c r="E223" s="2"/>
      <c r="F223" s="2"/>
      <c r="G223" s="2"/>
      <c r="H223" s="2"/>
      <c r="I223" s="2">
        <v>68.212699999999998</v>
      </c>
      <c r="J223" s="2">
        <v>223</v>
      </c>
      <c r="K223" s="2">
        <v>68.5779</v>
      </c>
      <c r="L223" s="2">
        <v>207</v>
      </c>
      <c r="M223" s="2">
        <v>102.60720000000001</v>
      </c>
      <c r="N223" s="2">
        <v>129</v>
      </c>
      <c r="O223" s="2">
        <v>99.208299999999994</v>
      </c>
      <c r="P223" s="2">
        <v>199</v>
      </c>
      <c r="Q223" s="2">
        <v>100.9663</v>
      </c>
      <c r="R223" s="2">
        <v>169</v>
      </c>
      <c r="S223" s="2">
        <v>104.78489999999999</v>
      </c>
      <c r="T223" s="2">
        <v>244</v>
      </c>
      <c r="U223" s="2">
        <v>0.34775600000000001</v>
      </c>
      <c r="V223" s="2">
        <v>222</v>
      </c>
      <c r="W223" s="2">
        <v>2002</v>
      </c>
    </row>
    <row r="224" spans="1:23" ht="12.3" x14ac:dyDescent="0.4">
      <c r="A224" s="2" t="s">
        <v>248</v>
      </c>
      <c r="B224" s="2"/>
      <c r="C224" s="2"/>
      <c r="D224" s="2"/>
      <c r="E224" s="2"/>
      <c r="F224" s="2"/>
      <c r="G224" s="2"/>
      <c r="H224" s="2"/>
      <c r="I224" s="2">
        <v>70.126199999999997</v>
      </c>
      <c r="J224" s="2">
        <v>153</v>
      </c>
      <c r="K224" s="2">
        <v>69.281899999999993</v>
      </c>
      <c r="L224" s="2">
        <v>180</v>
      </c>
      <c r="M224" s="2">
        <v>91.370699999999999</v>
      </c>
      <c r="N224" s="2">
        <v>304</v>
      </c>
      <c r="O224" s="2">
        <v>95.275599999999997</v>
      </c>
      <c r="P224" s="2">
        <v>262</v>
      </c>
      <c r="Q224" s="2">
        <v>105.68989999999999</v>
      </c>
      <c r="R224" s="2">
        <v>268</v>
      </c>
      <c r="S224" s="2">
        <v>100.6969</v>
      </c>
      <c r="T224" s="2">
        <v>157</v>
      </c>
      <c r="U224" s="2">
        <v>0.34605599999999997</v>
      </c>
      <c r="V224" s="2">
        <v>223</v>
      </c>
      <c r="W224" s="2">
        <v>2002</v>
      </c>
    </row>
    <row r="225" spans="1:23" ht="12.3" x14ac:dyDescent="0.4">
      <c r="A225" s="2" t="s">
        <v>249</v>
      </c>
      <c r="B225" s="2"/>
      <c r="C225" s="2"/>
      <c r="D225" s="2"/>
      <c r="E225" s="2"/>
      <c r="F225" s="2"/>
      <c r="G225" s="2"/>
      <c r="H225" s="2"/>
      <c r="I225" s="2">
        <v>74.720500000000001</v>
      </c>
      <c r="J225" s="2">
        <v>24</v>
      </c>
      <c r="K225" s="2">
        <v>75.943200000000004</v>
      </c>
      <c r="L225" s="2">
        <v>9</v>
      </c>
      <c r="M225" s="2">
        <v>94.808599999999998</v>
      </c>
      <c r="N225" s="2">
        <v>268</v>
      </c>
      <c r="O225" s="2">
        <v>96.698400000000007</v>
      </c>
      <c r="P225" s="2">
        <v>238</v>
      </c>
      <c r="Q225" s="2">
        <v>105.4872</v>
      </c>
      <c r="R225" s="2">
        <v>261</v>
      </c>
      <c r="S225" s="2">
        <v>102.2041</v>
      </c>
      <c r="T225" s="2">
        <v>191</v>
      </c>
      <c r="U225" s="2">
        <v>0.34596700000000002</v>
      </c>
      <c r="V225" s="2">
        <v>224</v>
      </c>
      <c r="W225" s="2">
        <v>2002</v>
      </c>
    </row>
    <row r="226" spans="1:23" ht="12.3" x14ac:dyDescent="0.4">
      <c r="A226" s="2" t="s">
        <v>250</v>
      </c>
      <c r="B226" s="2"/>
      <c r="C226" s="2"/>
      <c r="D226" s="2"/>
      <c r="E226" s="2"/>
      <c r="F226" s="2"/>
      <c r="G226" s="2"/>
      <c r="H226" s="2"/>
      <c r="I226" s="2">
        <v>67.167299999999997</v>
      </c>
      <c r="J226" s="2">
        <v>248</v>
      </c>
      <c r="K226" s="2">
        <v>68.030100000000004</v>
      </c>
      <c r="L226" s="2">
        <v>222</v>
      </c>
      <c r="M226" s="2">
        <v>94.077600000000004</v>
      </c>
      <c r="N226" s="2">
        <v>279</v>
      </c>
      <c r="O226" s="2">
        <v>97.785700000000006</v>
      </c>
      <c r="P226" s="2">
        <v>218</v>
      </c>
      <c r="Q226" s="2">
        <v>106.8557</v>
      </c>
      <c r="R226" s="2">
        <v>285</v>
      </c>
      <c r="S226" s="2">
        <v>103.4584</v>
      </c>
      <c r="T226" s="2">
        <v>214</v>
      </c>
      <c r="U226" s="2">
        <v>0.34332699999999999</v>
      </c>
      <c r="V226" s="2">
        <v>225</v>
      </c>
      <c r="W226" s="2">
        <v>2002</v>
      </c>
    </row>
    <row r="227" spans="1:23" ht="12.3" x14ac:dyDescent="0.4">
      <c r="A227" s="2" t="s">
        <v>251</v>
      </c>
      <c r="B227" s="2"/>
      <c r="C227" s="2"/>
      <c r="D227" s="2"/>
      <c r="E227" s="2"/>
      <c r="F227" s="2"/>
      <c r="G227" s="2"/>
      <c r="H227" s="2"/>
      <c r="I227" s="2">
        <v>68.715199999999996</v>
      </c>
      <c r="J227" s="2">
        <v>201</v>
      </c>
      <c r="K227" s="2">
        <v>67.147900000000007</v>
      </c>
      <c r="L227" s="2">
        <v>249</v>
      </c>
      <c r="M227" s="2">
        <v>98.371399999999994</v>
      </c>
      <c r="N227" s="2">
        <v>205</v>
      </c>
      <c r="O227" s="2">
        <v>95.012</v>
      </c>
      <c r="P227" s="2">
        <v>267</v>
      </c>
      <c r="Q227" s="2">
        <v>98.176400000000001</v>
      </c>
      <c r="R227" s="2">
        <v>94</v>
      </c>
      <c r="S227" s="2">
        <v>100.5673</v>
      </c>
      <c r="T227" s="2">
        <v>155</v>
      </c>
      <c r="U227" s="2">
        <v>0.34220600000000001</v>
      </c>
      <c r="V227" s="2">
        <v>226</v>
      </c>
      <c r="W227" s="2">
        <v>2002</v>
      </c>
    </row>
    <row r="228" spans="1:23" ht="12.3" x14ac:dyDescent="0.4">
      <c r="A228" s="2" t="s">
        <v>252</v>
      </c>
      <c r="B228" s="2"/>
      <c r="C228" s="2"/>
      <c r="D228" s="2"/>
      <c r="E228" s="2"/>
      <c r="F228" s="2"/>
      <c r="G228" s="2"/>
      <c r="H228" s="2"/>
      <c r="I228" s="2">
        <v>72.385800000000003</v>
      </c>
      <c r="J228" s="2">
        <v>75</v>
      </c>
      <c r="K228" s="2">
        <v>72.135999999999996</v>
      </c>
      <c r="L228" s="2">
        <v>73</v>
      </c>
      <c r="M228" s="2">
        <v>99.644199999999998</v>
      </c>
      <c r="N228" s="2">
        <v>188</v>
      </c>
      <c r="O228" s="2">
        <v>94.713499999999996</v>
      </c>
      <c r="P228" s="2">
        <v>274</v>
      </c>
      <c r="Q228" s="2">
        <v>94.895399999999995</v>
      </c>
      <c r="R228" s="2">
        <v>47</v>
      </c>
      <c r="S228" s="2">
        <v>100.29810000000001</v>
      </c>
      <c r="T228" s="2">
        <v>149</v>
      </c>
      <c r="U228" s="2">
        <v>0.340999</v>
      </c>
      <c r="V228" s="2">
        <v>227</v>
      </c>
      <c r="W228" s="2">
        <v>2002</v>
      </c>
    </row>
    <row r="229" spans="1:23" ht="12.3" x14ac:dyDescent="0.4">
      <c r="A229" s="2" t="s">
        <v>253</v>
      </c>
      <c r="B229" s="2"/>
      <c r="C229" s="2"/>
      <c r="D229" s="2"/>
      <c r="E229" s="2"/>
      <c r="F229" s="2"/>
      <c r="G229" s="2"/>
      <c r="H229" s="2"/>
      <c r="I229" s="2">
        <v>75.6738</v>
      </c>
      <c r="J229" s="2">
        <v>17</v>
      </c>
      <c r="K229" s="2">
        <v>73.8245</v>
      </c>
      <c r="L229" s="2">
        <v>36</v>
      </c>
      <c r="M229" s="2">
        <v>98.173000000000002</v>
      </c>
      <c r="N229" s="2">
        <v>210</v>
      </c>
      <c r="O229" s="2">
        <v>100.2728</v>
      </c>
      <c r="P229" s="2">
        <v>170</v>
      </c>
      <c r="Q229" s="2">
        <v>106.8912</v>
      </c>
      <c r="R229" s="2">
        <v>286</v>
      </c>
      <c r="S229" s="2">
        <v>106.23569999999999</v>
      </c>
      <c r="T229" s="2">
        <v>261</v>
      </c>
      <c r="U229" s="2">
        <v>0.33977400000000002</v>
      </c>
      <c r="V229" s="2">
        <v>228</v>
      </c>
      <c r="W229" s="2">
        <v>2002</v>
      </c>
    </row>
    <row r="230" spans="1:23" ht="12.3" x14ac:dyDescent="0.4">
      <c r="A230" s="2" t="s">
        <v>254</v>
      </c>
      <c r="B230" s="2"/>
      <c r="C230" s="2"/>
      <c r="D230" s="2"/>
      <c r="E230" s="2"/>
      <c r="F230" s="2"/>
      <c r="G230" s="2"/>
      <c r="H230" s="2"/>
      <c r="I230" s="2">
        <v>68.287599999999998</v>
      </c>
      <c r="J230" s="2">
        <v>220</v>
      </c>
      <c r="K230" s="2">
        <v>69.032700000000006</v>
      </c>
      <c r="L230" s="2">
        <v>189</v>
      </c>
      <c r="M230" s="2">
        <v>96.040899999999993</v>
      </c>
      <c r="N230" s="2">
        <v>249</v>
      </c>
      <c r="O230" s="2">
        <v>94.783799999999999</v>
      </c>
      <c r="P230" s="2">
        <v>272</v>
      </c>
      <c r="Q230" s="2">
        <v>99.151700000000005</v>
      </c>
      <c r="R230" s="2">
        <v>121</v>
      </c>
      <c r="S230" s="2">
        <v>100.4833</v>
      </c>
      <c r="T230" s="2">
        <v>154</v>
      </c>
      <c r="U230" s="2">
        <v>0.33815600000000001</v>
      </c>
      <c r="V230" s="2">
        <v>229</v>
      </c>
      <c r="W230" s="2">
        <v>2002</v>
      </c>
    </row>
    <row r="231" spans="1:23" ht="12.3" x14ac:dyDescent="0.4">
      <c r="A231" s="2" t="s">
        <v>255</v>
      </c>
      <c r="B231" s="2"/>
      <c r="C231" s="2"/>
      <c r="D231" s="2"/>
      <c r="E231" s="2"/>
      <c r="F231" s="2"/>
      <c r="G231" s="2"/>
      <c r="H231" s="2"/>
      <c r="I231" s="2">
        <v>67.469800000000006</v>
      </c>
      <c r="J231" s="2">
        <v>240</v>
      </c>
      <c r="K231" s="2">
        <v>69.397800000000004</v>
      </c>
      <c r="L231" s="2">
        <v>174</v>
      </c>
      <c r="M231" s="2">
        <v>94.244200000000006</v>
      </c>
      <c r="N231" s="2">
        <v>275</v>
      </c>
      <c r="O231" s="2">
        <v>92.912800000000004</v>
      </c>
      <c r="P231" s="2">
        <v>288</v>
      </c>
      <c r="Q231" s="2">
        <v>95.079599999999999</v>
      </c>
      <c r="R231" s="2">
        <v>53</v>
      </c>
      <c r="S231" s="2">
        <v>98.586200000000005</v>
      </c>
      <c r="T231" s="2">
        <v>106</v>
      </c>
      <c r="U231" s="2">
        <v>0.33590399999999998</v>
      </c>
      <c r="V231" s="2">
        <v>230</v>
      </c>
      <c r="W231" s="2">
        <v>2002</v>
      </c>
    </row>
    <row r="232" spans="1:23" ht="12.3" x14ac:dyDescent="0.4">
      <c r="A232" s="2" t="s">
        <v>256</v>
      </c>
      <c r="B232" s="2"/>
      <c r="C232" s="2"/>
      <c r="D232" s="2"/>
      <c r="E232" s="2"/>
      <c r="F232" s="2"/>
      <c r="G232" s="2"/>
      <c r="H232" s="2"/>
      <c r="I232" s="2">
        <v>66.700900000000004</v>
      </c>
      <c r="J232" s="2">
        <v>261</v>
      </c>
      <c r="K232" s="2">
        <v>66.997299999999996</v>
      </c>
      <c r="L232" s="2">
        <v>253</v>
      </c>
      <c r="M232" s="2">
        <v>102.6504</v>
      </c>
      <c r="N232" s="2">
        <v>128</v>
      </c>
      <c r="O232" s="2">
        <v>104.1515</v>
      </c>
      <c r="P232" s="2">
        <v>105</v>
      </c>
      <c r="Q232" s="2">
        <v>110.8368</v>
      </c>
      <c r="R232" s="2">
        <v>313</v>
      </c>
      <c r="S232" s="2">
        <v>110.51739999999999</v>
      </c>
      <c r="T232" s="2">
        <v>306</v>
      </c>
      <c r="U232" s="2">
        <v>0.33575899999999997</v>
      </c>
      <c r="V232" s="2">
        <v>231</v>
      </c>
      <c r="W232" s="2">
        <v>2002</v>
      </c>
    </row>
    <row r="233" spans="1:23" ht="12.3" x14ac:dyDescent="0.4">
      <c r="A233" s="2" t="s">
        <v>257</v>
      </c>
      <c r="B233" s="2"/>
      <c r="C233" s="2"/>
      <c r="D233" s="2"/>
      <c r="E233" s="2"/>
      <c r="F233" s="2"/>
      <c r="G233" s="2"/>
      <c r="H233" s="2"/>
      <c r="I233" s="2">
        <v>66.693299999999994</v>
      </c>
      <c r="J233" s="2">
        <v>263</v>
      </c>
      <c r="K233" s="2">
        <v>66.938400000000001</v>
      </c>
      <c r="L233" s="2">
        <v>255</v>
      </c>
      <c r="M233" s="2">
        <v>94.0762</v>
      </c>
      <c r="N233" s="2">
        <v>280</v>
      </c>
      <c r="O233" s="2">
        <v>94.474500000000006</v>
      </c>
      <c r="P233" s="2">
        <v>275</v>
      </c>
      <c r="Q233" s="2">
        <v>101.121</v>
      </c>
      <c r="R233" s="2">
        <v>171</v>
      </c>
      <c r="S233" s="2">
        <v>100.2509</v>
      </c>
      <c r="T233" s="2">
        <v>147</v>
      </c>
      <c r="U233" s="2">
        <v>0.33571000000000001</v>
      </c>
      <c r="V233" s="2">
        <v>232</v>
      </c>
      <c r="W233" s="2">
        <v>2002</v>
      </c>
    </row>
    <row r="234" spans="1:23" ht="12.3" x14ac:dyDescent="0.4">
      <c r="A234" s="2" t="s">
        <v>258</v>
      </c>
      <c r="B234" s="2"/>
      <c r="C234" s="2"/>
      <c r="D234" s="2"/>
      <c r="E234" s="2"/>
      <c r="F234" s="2"/>
      <c r="G234" s="2"/>
      <c r="H234" s="2"/>
      <c r="I234" s="2">
        <v>66.6614</v>
      </c>
      <c r="J234" s="2">
        <v>265</v>
      </c>
      <c r="K234" s="2">
        <v>66.054299999999998</v>
      </c>
      <c r="L234" s="2">
        <v>284</v>
      </c>
      <c r="M234" s="2">
        <v>92.653000000000006</v>
      </c>
      <c r="N234" s="2">
        <v>294</v>
      </c>
      <c r="O234" s="2">
        <v>96.377200000000002</v>
      </c>
      <c r="P234" s="2">
        <v>244</v>
      </c>
      <c r="Q234" s="2">
        <v>106.36579999999999</v>
      </c>
      <c r="R234" s="2">
        <v>278</v>
      </c>
      <c r="S234" s="2">
        <v>102.2837</v>
      </c>
      <c r="T234" s="2">
        <v>193</v>
      </c>
      <c r="U234" s="2">
        <v>0.335364</v>
      </c>
      <c r="V234" s="2">
        <v>233</v>
      </c>
      <c r="W234" s="2">
        <v>2002</v>
      </c>
    </row>
    <row r="235" spans="1:23" ht="12.3" x14ac:dyDescent="0.4">
      <c r="A235" s="2" t="s">
        <v>259</v>
      </c>
      <c r="B235" s="2"/>
      <c r="C235" s="2"/>
      <c r="D235" s="2"/>
      <c r="E235" s="2"/>
      <c r="F235" s="2"/>
      <c r="G235" s="2"/>
      <c r="H235" s="2"/>
      <c r="I235" s="2">
        <v>72.748199999999997</v>
      </c>
      <c r="J235" s="2">
        <v>65</v>
      </c>
      <c r="K235" s="2">
        <v>71.900599999999997</v>
      </c>
      <c r="L235" s="2">
        <v>80</v>
      </c>
      <c r="M235" s="2">
        <v>98.214799999999997</v>
      </c>
      <c r="N235" s="2">
        <v>209</v>
      </c>
      <c r="O235" s="2">
        <v>99.227400000000003</v>
      </c>
      <c r="P235" s="2">
        <v>198</v>
      </c>
      <c r="Q235" s="2">
        <v>103.2518</v>
      </c>
      <c r="R235" s="2">
        <v>219</v>
      </c>
      <c r="S235" s="2">
        <v>105.3224</v>
      </c>
      <c r="T235" s="2">
        <v>248</v>
      </c>
      <c r="U235" s="2">
        <v>0.33502799999999999</v>
      </c>
      <c r="V235" s="2">
        <v>234</v>
      </c>
      <c r="W235" s="2">
        <v>2002</v>
      </c>
    </row>
    <row r="236" spans="1:23" ht="12.3" x14ac:dyDescent="0.4">
      <c r="A236" s="2" t="s">
        <v>260</v>
      </c>
      <c r="B236" s="2"/>
      <c r="C236" s="2"/>
      <c r="D236" s="2"/>
      <c r="E236" s="2"/>
      <c r="F236" s="2"/>
      <c r="G236" s="2"/>
      <c r="H236" s="2"/>
      <c r="I236" s="2">
        <v>66.670299999999997</v>
      </c>
      <c r="J236" s="2">
        <v>264</v>
      </c>
      <c r="K236" s="2">
        <v>66.163899999999998</v>
      </c>
      <c r="L236" s="2">
        <v>280</v>
      </c>
      <c r="M236" s="2">
        <v>93.726900000000001</v>
      </c>
      <c r="N236" s="2">
        <v>284</v>
      </c>
      <c r="O236" s="2">
        <v>95.167100000000005</v>
      </c>
      <c r="P236" s="2">
        <v>265</v>
      </c>
      <c r="Q236" s="2">
        <v>100.58029999999999</v>
      </c>
      <c r="R236" s="2">
        <v>164</v>
      </c>
      <c r="S236" s="2">
        <v>101.1439</v>
      </c>
      <c r="T236" s="2">
        <v>168</v>
      </c>
      <c r="U236" s="2">
        <v>0.33171</v>
      </c>
      <c r="V236" s="2">
        <v>235</v>
      </c>
      <c r="W236" s="2">
        <v>2002</v>
      </c>
    </row>
    <row r="237" spans="1:23" ht="12.3" x14ac:dyDescent="0.4">
      <c r="A237" s="2" t="s">
        <v>261</v>
      </c>
      <c r="B237" s="2">
        <v>16</v>
      </c>
      <c r="C237" s="2"/>
      <c r="D237" s="2"/>
      <c r="E237" s="2"/>
      <c r="F237" s="2"/>
      <c r="G237" s="2"/>
      <c r="H237" s="2"/>
      <c r="I237" s="2">
        <v>76.066400000000002</v>
      </c>
      <c r="J237" s="2">
        <v>16</v>
      </c>
      <c r="K237" s="2">
        <v>73.850399999999993</v>
      </c>
      <c r="L237" s="2">
        <v>35</v>
      </c>
      <c r="M237" s="2">
        <v>103.4213</v>
      </c>
      <c r="N237" s="2">
        <v>118</v>
      </c>
      <c r="O237" s="2">
        <v>99.866500000000002</v>
      </c>
      <c r="P237" s="2">
        <v>184</v>
      </c>
      <c r="Q237" s="2">
        <v>99.637</v>
      </c>
      <c r="R237" s="2">
        <v>138</v>
      </c>
      <c r="S237" s="2">
        <v>106.45</v>
      </c>
      <c r="T237" s="2">
        <v>263</v>
      </c>
      <c r="U237" s="2">
        <v>0.32427899999999998</v>
      </c>
      <c r="V237" s="2">
        <v>236</v>
      </c>
      <c r="W237" s="2">
        <v>2002</v>
      </c>
    </row>
    <row r="238" spans="1:23" ht="12.3" x14ac:dyDescent="0.4">
      <c r="A238" s="2" t="s">
        <v>262</v>
      </c>
      <c r="B238" s="2"/>
      <c r="C238" s="2"/>
      <c r="D238" s="2"/>
      <c r="E238" s="2"/>
      <c r="F238" s="2"/>
      <c r="G238" s="2"/>
      <c r="H238" s="2"/>
      <c r="I238" s="2">
        <v>66.917400000000001</v>
      </c>
      <c r="J238" s="2">
        <v>255</v>
      </c>
      <c r="K238" s="2">
        <v>66.666200000000003</v>
      </c>
      <c r="L238" s="2">
        <v>267</v>
      </c>
      <c r="M238" s="2">
        <v>89.046899999999994</v>
      </c>
      <c r="N238" s="2">
        <v>314</v>
      </c>
      <c r="O238" s="2">
        <v>88.799300000000002</v>
      </c>
      <c r="P238" s="2">
        <v>314</v>
      </c>
      <c r="Q238" s="2">
        <v>96.834800000000001</v>
      </c>
      <c r="R238" s="2">
        <v>74</v>
      </c>
      <c r="S238" s="2">
        <v>94.656899999999993</v>
      </c>
      <c r="T238" s="2">
        <v>37</v>
      </c>
      <c r="U238" s="2">
        <v>0.32418200000000003</v>
      </c>
      <c r="V238" s="2">
        <v>237</v>
      </c>
      <c r="W238" s="2">
        <v>2002</v>
      </c>
    </row>
    <row r="239" spans="1:23" ht="12.3" x14ac:dyDescent="0.4">
      <c r="A239" s="2" t="s">
        <v>263</v>
      </c>
      <c r="B239" s="2"/>
      <c r="C239" s="2"/>
      <c r="D239" s="2"/>
      <c r="E239" s="2"/>
      <c r="F239" s="2"/>
      <c r="G239" s="2"/>
      <c r="H239" s="2"/>
      <c r="I239" s="2">
        <v>79.717100000000002</v>
      </c>
      <c r="J239" s="2">
        <v>3</v>
      </c>
      <c r="K239" s="2">
        <v>79.206199999999995</v>
      </c>
      <c r="L239" s="2">
        <v>2</v>
      </c>
      <c r="M239" s="2">
        <v>94.598299999999995</v>
      </c>
      <c r="N239" s="2">
        <v>272</v>
      </c>
      <c r="O239" s="2">
        <v>97.292299999999997</v>
      </c>
      <c r="P239" s="2">
        <v>224</v>
      </c>
      <c r="Q239" s="2">
        <v>106.06950000000001</v>
      </c>
      <c r="R239" s="2">
        <v>274</v>
      </c>
      <c r="S239" s="2">
        <v>103.8554</v>
      </c>
      <c r="T239" s="2">
        <v>226</v>
      </c>
      <c r="U239" s="2">
        <v>0.32066499999999998</v>
      </c>
      <c r="V239" s="2">
        <v>238</v>
      </c>
      <c r="W239" s="2">
        <v>2002</v>
      </c>
    </row>
    <row r="240" spans="1:23" ht="12.3" x14ac:dyDescent="0.4">
      <c r="A240" s="2" t="s">
        <v>264</v>
      </c>
      <c r="B240" s="2"/>
      <c r="C240" s="2"/>
      <c r="D240" s="2"/>
      <c r="E240" s="2"/>
      <c r="F240" s="2"/>
      <c r="G240" s="2"/>
      <c r="H240" s="2"/>
      <c r="I240" s="2">
        <v>73.118700000000004</v>
      </c>
      <c r="J240" s="2">
        <v>58</v>
      </c>
      <c r="K240" s="2">
        <v>72.583299999999994</v>
      </c>
      <c r="L240" s="2">
        <v>60</v>
      </c>
      <c r="M240" s="2">
        <v>99.718400000000003</v>
      </c>
      <c r="N240" s="2">
        <v>186</v>
      </c>
      <c r="O240" s="2">
        <v>100.14060000000001</v>
      </c>
      <c r="P240" s="2">
        <v>175</v>
      </c>
      <c r="Q240" s="2">
        <v>107.85980000000001</v>
      </c>
      <c r="R240" s="2">
        <v>297</v>
      </c>
      <c r="S240" s="2">
        <v>106.96810000000001</v>
      </c>
      <c r="T240" s="2">
        <v>272</v>
      </c>
      <c r="U240" s="2">
        <v>0.31897399999999998</v>
      </c>
      <c r="V240" s="2">
        <v>239</v>
      </c>
      <c r="W240" s="2">
        <v>2002</v>
      </c>
    </row>
    <row r="241" spans="1:23" ht="12.3" x14ac:dyDescent="0.4">
      <c r="A241" s="2" t="s">
        <v>265</v>
      </c>
      <c r="B241" s="2"/>
      <c r="C241" s="2"/>
      <c r="D241" s="2"/>
      <c r="E241" s="2"/>
      <c r="F241" s="2"/>
      <c r="G241" s="2"/>
      <c r="H241" s="2"/>
      <c r="I241" s="2">
        <v>64.921000000000006</v>
      </c>
      <c r="J241" s="2">
        <v>295</v>
      </c>
      <c r="K241" s="2">
        <v>64.148600000000002</v>
      </c>
      <c r="L241" s="2">
        <v>309</v>
      </c>
      <c r="M241" s="2">
        <v>100.6525</v>
      </c>
      <c r="N241" s="2">
        <v>162</v>
      </c>
      <c r="O241" s="2">
        <v>97.79</v>
      </c>
      <c r="P241" s="2">
        <v>217</v>
      </c>
      <c r="Q241" s="2">
        <v>99.432500000000005</v>
      </c>
      <c r="R241" s="2">
        <v>131</v>
      </c>
      <c r="S241" s="2">
        <v>104.5201</v>
      </c>
      <c r="T241" s="2">
        <v>241</v>
      </c>
      <c r="U241" s="2">
        <v>0.31747399999999998</v>
      </c>
      <c r="V241" s="2">
        <v>240</v>
      </c>
      <c r="W241" s="2">
        <v>2002</v>
      </c>
    </row>
    <row r="242" spans="1:23" ht="12.3" x14ac:dyDescent="0.4">
      <c r="A242" s="2" t="s">
        <v>266</v>
      </c>
      <c r="B242" s="2"/>
      <c r="C242" s="2"/>
      <c r="D242" s="2"/>
      <c r="E242" s="2"/>
      <c r="F242" s="2"/>
      <c r="G242" s="2"/>
      <c r="H242" s="2"/>
      <c r="I242" s="2">
        <v>71.469800000000006</v>
      </c>
      <c r="J242" s="2">
        <v>100</v>
      </c>
      <c r="K242" s="2">
        <v>70.935699999999997</v>
      </c>
      <c r="L242" s="2">
        <v>116</v>
      </c>
      <c r="M242" s="2">
        <v>97.806700000000006</v>
      </c>
      <c r="N242" s="2">
        <v>222</v>
      </c>
      <c r="O242" s="2">
        <v>96.739900000000006</v>
      </c>
      <c r="P242" s="2">
        <v>234</v>
      </c>
      <c r="Q242" s="2">
        <v>100.0194</v>
      </c>
      <c r="R242" s="2">
        <v>146</v>
      </c>
      <c r="S242" s="2">
        <v>103.55370000000001</v>
      </c>
      <c r="T242" s="2">
        <v>215</v>
      </c>
      <c r="U242" s="2">
        <v>0.31372800000000001</v>
      </c>
      <c r="V242" s="2">
        <v>241</v>
      </c>
      <c r="W242" s="2">
        <v>2002</v>
      </c>
    </row>
    <row r="243" spans="1:23" ht="12.3" x14ac:dyDescent="0.4">
      <c r="A243" s="2" t="s">
        <v>267</v>
      </c>
      <c r="B243" s="2"/>
      <c r="C243" s="2"/>
      <c r="D243" s="2"/>
      <c r="E243" s="2"/>
      <c r="F243" s="2"/>
      <c r="G243" s="2"/>
      <c r="H243" s="2"/>
      <c r="I243" s="2">
        <v>64.473699999999994</v>
      </c>
      <c r="J243" s="2">
        <v>303</v>
      </c>
      <c r="K243" s="2">
        <v>65.6661</v>
      </c>
      <c r="L243" s="2">
        <v>290</v>
      </c>
      <c r="M243" s="2">
        <v>95.290199999999999</v>
      </c>
      <c r="N243" s="2">
        <v>260</v>
      </c>
      <c r="O243" s="2">
        <v>96.864699999999999</v>
      </c>
      <c r="P243" s="2">
        <v>231</v>
      </c>
      <c r="Q243" s="2">
        <v>104.83629999999999</v>
      </c>
      <c r="R243" s="2">
        <v>249</v>
      </c>
      <c r="S243" s="2">
        <v>103.6931</v>
      </c>
      <c r="T243" s="2">
        <v>219</v>
      </c>
      <c r="U243" s="2">
        <v>0.31359100000000001</v>
      </c>
      <c r="V243" s="2">
        <v>242</v>
      </c>
      <c r="W243" s="2">
        <v>2002</v>
      </c>
    </row>
    <row r="244" spans="1:23" ht="12.3" x14ac:dyDescent="0.4">
      <c r="A244" s="2" t="s">
        <v>268</v>
      </c>
      <c r="B244" s="2"/>
      <c r="C244" s="2"/>
      <c r="D244" s="2"/>
      <c r="E244" s="2"/>
      <c r="F244" s="2"/>
      <c r="G244" s="2"/>
      <c r="H244" s="2"/>
      <c r="I244" s="2">
        <v>75.270700000000005</v>
      </c>
      <c r="J244" s="2">
        <v>21</v>
      </c>
      <c r="K244" s="2">
        <v>74.200299999999999</v>
      </c>
      <c r="L244" s="2">
        <v>28</v>
      </c>
      <c r="M244" s="2">
        <v>102.5115</v>
      </c>
      <c r="N244" s="2">
        <v>133</v>
      </c>
      <c r="O244" s="2">
        <v>100.98309999999999</v>
      </c>
      <c r="P244" s="2">
        <v>157</v>
      </c>
      <c r="Q244" s="2">
        <v>108.3302</v>
      </c>
      <c r="R244" s="2">
        <v>303</v>
      </c>
      <c r="S244" s="2">
        <v>108.342</v>
      </c>
      <c r="T244" s="2">
        <v>291</v>
      </c>
      <c r="U244" s="2">
        <v>0.30812200000000001</v>
      </c>
      <c r="V244" s="2">
        <v>243</v>
      </c>
      <c r="W244" s="2">
        <v>2002</v>
      </c>
    </row>
    <row r="245" spans="1:23" ht="12.3" x14ac:dyDescent="0.4">
      <c r="A245" s="2" t="s">
        <v>269</v>
      </c>
      <c r="B245" s="2"/>
      <c r="C245" s="2"/>
      <c r="D245" s="2"/>
      <c r="E245" s="2"/>
      <c r="F245" s="2"/>
      <c r="G245" s="2"/>
      <c r="H245" s="2"/>
      <c r="I245" s="2">
        <v>70.906000000000006</v>
      </c>
      <c r="J245" s="2">
        <v>119</v>
      </c>
      <c r="K245" s="2">
        <v>70.700800000000001</v>
      </c>
      <c r="L245" s="2">
        <v>123</v>
      </c>
      <c r="M245" s="2">
        <v>101.32810000000001</v>
      </c>
      <c r="N245" s="2">
        <v>153</v>
      </c>
      <c r="O245" s="2">
        <v>103.0449</v>
      </c>
      <c r="P245" s="2">
        <v>123</v>
      </c>
      <c r="Q245" s="2">
        <v>111.10290000000001</v>
      </c>
      <c r="R245" s="2">
        <v>315</v>
      </c>
      <c r="S245" s="2">
        <v>110.6259</v>
      </c>
      <c r="T245" s="2">
        <v>307</v>
      </c>
      <c r="U245" s="2">
        <v>0.306533</v>
      </c>
      <c r="V245" s="2">
        <v>244</v>
      </c>
      <c r="W245" s="2">
        <v>2002</v>
      </c>
    </row>
    <row r="246" spans="1:23" ht="12.3" x14ac:dyDescent="0.4">
      <c r="A246" s="2" t="s">
        <v>270</v>
      </c>
      <c r="B246" s="2"/>
      <c r="C246" s="2"/>
      <c r="D246" s="2"/>
      <c r="E246" s="2"/>
      <c r="F246" s="2"/>
      <c r="G246" s="2"/>
      <c r="H246" s="2"/>
      <c r="I246" s="2">
        <v>73.899799999999999</v>
      </c>
      <c r="J246" s="2">
        <v>40</v>
      </c>
      <c r="K246" s="2">
        <v>73.656800000000004</v>
      </c>
      <c r="L246" s="2">
        <v>42</v>
      </c>
      <c r="M246" s="2">
        <v>100.9336</v>
      </c>
      <c r="N246" s="2">
        <v>156</v>
      </c>
      <c r="O246" s="2">
        <v>100.9918</v>
      </c>
      <c r="P246" s="2">
        <v>156</v>
      </c>
      <c r="Q246" s="2">
        <v>105.3241</v>
      </c>
      <c r="R246" s="2">
        <v>258</v>
      </c>
      <c r="S246" s="2">
        <v>108.5415</v>
      </c>
      <c r="T246" s="2">
        <v>292</v>
      </c>
      <c r="U246" s="2">
        <v>0.30384</v>
      </c>
      <c r="V246" s="2">
        <v>245</v>
      </c>
      <c r="W246" s="2">
        <v>2002</v>
      </c>
    </row>
    <row r="247" spans="1:23" ht="12.3" x14ac:dyDescent="0.4">
      <c r="A247" s="2" t="s">
        <v>271</v>
      </c>
      <c r="B247" s="2"/>
      <c r="C247" s="2"/>
      <c r="D247" s="2"/>
      <c r="E247" s="2"/>
      <c r="F247" s="2"/>
      <c r="G247" s="2"/>
      <c r="H247" s="2"/>
      <c r="I247" s="2">
        <v>60.160400000000003</v>
      </c>
      <c r="J247" s="2">
        <v>323</v>
      </c>
      <c r="K247" s="2">
        <v>60.723700000000001</v>
      </c>
      <c r="L247" s="2">
        <v>323</v>
      </c>
      <c r="M247" s="2">
        <v>90.906199999999998</v>
      </c>
      <c r="N247" s="2">
        <v>307</v>
      </c>
      <c r="O247" s="2">
        <v>89.033500000000004</v>
      </c>
      <c r="P247" s="2">
        <v>313</v>
      </c>
      <c r="Q247" s="2">
        <v>94.387900000000002</v>
      </c>
      <c r="R247" s="2">
        <v>38</v>
      </c>
      <c r="S247" s="2">
        <v>95.748500000000007</v>
      </c>
      <c r="T247" s="2">
        <v>52</v>
      </c>
      <c r="U247" s="2">
        <v>0.302338</v>
      </c>
      <c r="V247" s="2">
        <v>246</v>
      </c>
      <c r="W247" s="2">
        <v>2002</v>
      </c>
    </row>
    <row r="248" spans="1:23" ht="12.3" x14ac:dyDescent="0.4">
      <c r="A248" s="2" t="s">
        <v>272</v>
      </c>
      <c r="B248" s="2"/>
      <c r="C248" s="2"/>
      <c r="D248" s="2"/>
      <c r="E248" s="2"/>
      <c r="F248" s="2"/>
      <c r="G248" s="2"/>
      <c r="H248" s="2"/>
      <c r="I248" s="2">
        <v>81.640699999999995</v>
      </c>
      <c r="J248" s="2">
        <v>1</v>
      </c>
      <c r="K248" s="2">
        <v>79.651899999999998</v>
      </c>
      <c r="L248" s="2">
        <v>1</v>
      </c>
      <c r="M248" s="2">
        <v>97.820800000000006</v>
      </c>
      <c r="N248" s="2">
        <v>221</v>
      </c>
      <c r="O248" s="2">
        <v>91.833200000000005</v>
      </c>
      <c r="P248" s="2">
        <v>299</v>
      </c>
      <c r="Q248" s="2">
        <v>90.664900000000003</v>
      </c>
      <c r="R248" s="2">
        <v>6</v>
      </c>
      <c r="S248" s="2">
        <v>98.759900000000002</v>
      </c>
      <c r="T248" s="2">
        <v>109</v>
      </c>
      <c r="U248" s="2">
        <v>0.30232700000000001</v>
      </c>
      <c r="V248" s="2">
        <v>247</v>
      </c>
      <c r="W248" s="2">
        <v>2002</v>
      </c>
    </row>
    <row r="249" spans="1:23" ht="12.3" x14ac:dyDescent="0.4">
      <c r="A249" s="2" t="s">
        <v>273</v>
      </c>
      <c r="B249" s="2"/>
      <c r="C249" s="2"/>
      <c r="D249" s="2"/>
      <c r="E249" s="2"/>
      <c r="F249" s="2"/>
      <c r="G249" s="2"/>
      <c r="H249" s="2"/>
      <c r="I249" s="2">
        <v>69.966200000000001</v>
      </c>
      <c r="J249" s="2">
        <v>162</v>
      </c>
      <c r="K249" s="2">
        <v>71.951899999999995</v>
      </c>
      <c r="L249" s="2">
        <v>76</v>
      </c>
      <c r="M249" s="2">
        <v>102.4237</v>
      </c>
      <c r="N249" s="2">
        <v>138</v>
      </c>
      <c r="O249" s="2">
        <v>100.0941</v>
      </c>
      <c r="P249" s="2">
        <v>177</v>
      </c>
      <c r="Q249" s="2">
        <v>102.7444</v>
      </c>
      <c r="R249" s="2">
        <v>205</v>
      </c>
      <c r="S249" s="2">
        <v>107.72709999999999</v>
      </c>
      <c r="T249" s="2">
        <v>284</v>
      </c>
      <c r="U249" s="2">
        <v>0.300452</v>
      </c>
      <c r="V249" s="2">
        <v>248</v>
      </c>
      <c r="W249" s="2">
        <v>2002</v>
      </c>
    </row>
    <row r="250" spans="1:23" ht="12.3" x14ac:dyDescent="0.4">
      <c r="A250" s="2" t="s">
        <v>274</v>
      </c>
      <c r="B250" s="2"/>
      <c r="C250" s="2"/>
      <c r="D250" s="2"/>
      <c r="E250" s="2"/>
      <c r="F250" s="2"/>
      <c r="G250" s="2"/>
      <c r="H250" s="2"/>
      <c r="I250" s="2">
        <v>75.669399999999996</v>
      </c>
      <c r="J250" s="2">
        <v>18</v>
      </c>
      <c r="K250" s="2">
        <v>76.128500000000003</v>
      </c>
      <c r="L250" s="2">
        <v>7</v>
      </c>
      <c r="M250" s="2">
        <v>103.43640000000001</v>
      </c>
      <c r="N250" s="2">
        <v>117</v>
      </c>
      <c r="O250" s="2">
        <v>99.503100000000003</v>
      </c>
      <c r="P250" s="2">
        <v>190</v>
      </c>
      <c r="Q250" s="2">
        <v>102.8535</v>
      </c>
      <c r="R250" s="2">
        <v>209</v>
      </c>
      <c r="S250" s="2">
        <v>107.15089999999999</v>
      </c>
      <c r="T250" s="2">
        <v>275</v>
      </c>
      <c r="U250" s="2">
        <v>0.29910300000000001</v>
      </c>
      <c r="V250" s="2">
        <v>249</v>
      </c>
      <c r="W250" s="2">
        <v>2002</v>
      </c>
    </row>
    <row r="251" spans="1:23" ht="12.3" x14ac:dyDescent="0.4">
      <c r="A251" s="2" t="s">
        <v>275</v>
      </c>
      <c r="B251" s="2"/>
      <c r="C251" s="2"/>
      <c r="D251" s="2"/>
      <c r="E251" s="2"/>
      <c r="F251" s="2"/>
      <c r="G251" s="2"/>
      <c r="H251" s="2"/>
      <c r="I251" s="2">
        <v>67.599699999999999</v>
      </c>
      <c r="J251" s="2">
        <v>237</v>
      </c>
      <c r="K251" s="2">
        <v>67.578400000000002</v>
      </c>
      <c r="L251" s="2">
        <v>234</v>
      </c>
      <c r="M251" s="2">
        <v>102.55159999999999</v>
      </c>
      <c r="N251" s="2">
        <v>130</v>
      </c>
      <c r="O251" s="2">
        <v>100.00069999999999</v>
      </c>
      <c r="P251" s="2">
        <v>180</v>
      </c>
      <c r="Q251" s="2">
        <v>103.9395</v>
      </c>
      <c r="R251" s="2">
        <v>233</v>
      </c>
      <c r="S251" s="2">
        <v>107.7773</v>
      </c>
      <c r="T251" s="2">
        <v>285</v>
      </c>
      <c r="U251" s="2">
        <v>0.29708299999999999</v>
      </c>
      <c r="V251" s="2">
        <v>250</v>
      </c>
      <c r="W251" s="2">
        <v>2002</v>
      </c>
    </row>
    <row r="252" spans="1:23" ht="12.3" x14ac:dyDescent="0.4">
      <c r="A252" s="2" t="s">
        <v>276</v>
      </c>
      <c r="B252" s="2"/>
      <c r="C252" s="2"/>
      <c r="D252" s="2"/>
      <c r="E252" s="2"/>
      <c r="F252" s="2"/>
      <c r="G252" s="2"/>
      <c r="H252" s="2"/>
      <c r="I252" s="2">
        <v>75.507300000000001</v>
      </c>
      <c r="J252" s="2">
        <v>19</v>
      </c>
      <c r="K252" s="2">
        <v>74.868399999999994</v>
      </c>
      <c r="L252" s="2">
        <v>19</v>
      </c>
      <c r="M252" s="2">
        <v>99.812200000000004</v>
      </c>
      <c r="N252" s="2">
        <v>185</v>
      </c>
      <c r="O252" s="2">
        <v>99.899900000000002</v>
      </c>
      <c r="P252" s="2">
        <v>182</v>
      </c>
      <c r="Q252" s="2">
        <v>103.84139999999999</v>
      </c>
      <c r="R252" s="2">
        <v>231</v>
      </c>
      <c r="S252" s="2">
        <v>107.7196</v>
      </c>
      <c r="T252" s="2">
        <v>282</v>
      </c>
      <c r="U252" s="2">
        <v>0.29594799999999999</v>
      </c>
      <c r="V252" s="2">
        <v>251</v>
      </c>
      <c r="W252" s="2">
        <v>2002</v>
      </c>
    </row>
    <row r="253" spans="1:23" ht="12.3" x14ac:dyDescent="0.4">
      <c r="A253" s="2" t="s">
        <v>277</v>
      </c>
      <c r="B253" s="2"/>
      <c r="C253" s="2"/>
      <c r="D253" s="2"/>
      <c r="E253" s="2"/>
      <c r="F253" s="2"/>
      <c r="G253" s="2"/>
      <c r="H253" s="2"/>
      <c r="I253" s="2">
        <v>76.102900000000005</v>
      </c>
      <c r="J253" s="2">
        <v>15</v>
      </c>
      <c r="K253" s="2">
        <v>74.817800000000005</v>
      </c>
      <c r="L253" s="2">
        <v>21</v>
      </c>
      <c r="M253" s="2">
        <v>104.41589999999999</v>
      </c>
      <c r="N253" s="2">
        <v>100</v>
      </c>
      <c r="O253" s="2">
        <v>98.651899999999998</v>
      </c>
      <c r="P253" s="2">
        <v>206</v>
      </c>
      <c r="Q253" s="2">
        <v>101.2604</v>
      </c>
      <c r="R253" s="2">
        <v>175</v>
      </c>
      <c r="S253" s="2">
        <v>106.4628</v>
      </c>
      <c r="T253" s="2">
        <v>264</v>
      </c>
      <c r="U253" s="2">
        <v>0.29394799999999999</v>
      </c>
      <c r="V253" s="2">
        <v>252</v>
      </c>
      <c r="W253" s="2">
        <v>2002</v>
      </c>
    </row>
    <row r="254" spans="1:23" ht="12.3" x14ac:dyDescent="0.4">
      <c r="A254" s="2" t="s">
        <v>278</v>
      </c>
      <c r="B254" s="2"/>
      <c r="C254" s="2"/>
      <c r="D254" s="2"/>
      <c r="E254" s="2"/>
      <c r="F254" s="2"/>
      <c r="G254" s="2"/>
      <c r="H254" s="2"/>
      <c r="I254" s="2">
        <v>64.394900000000007</v>
      </c>
      <c r="J254" s="2">
        <v>306</v>
      </c>
      <c r="K254" s="2">
        <v>64.985299999999995</v>
      </c>
      <c r="L254" s="2">
        <v>295</v>
      </c>
      <c r="M254" s="2">
        <v>94.636700000000005</v>
      </c>
      <c r="N254" s="2">
        <v>271</v>
      </c>
      <c r="O254" s="2">
        <v>96.109499999999997</v>
      </c>
      <c r="P254" s="2">
        <v>247</v>
      </c>
      <c r="Q254" s="2">
        <v>106.3965</v>
      </c>
      <c r="R254" s="2">
        <v>279</v>
      </c>
      <c r="S254" s="2">
        <v>104.19459999999999</v>
      </c>
      <c r="T254" s="2">
        <v>233</v>
      </c>
      <c r="U254" s="2">
        <v>0.28315099999999999</v>
      </c>
      <c r="V254" s="2">
        <v>253</v>
      </c>
      <c r="W254" s="2">
        <v>2002</v>
      </c>
    </row>
    <row r="255" spans="1:23" ht="12.3" x14ac:dyDescent="0.4">
      <c r="A255" s="2" t="s">
        <v>279</v>
      </c>
      <c r="B255" s="2"/>
      <c r="C255" s="2"/>
      <c r="D255" s="2"/>
      <c r="E255" s="2"/>
      <c r="F255" s="2"/>
      <c r="G255" s="2"/>
      <c r="H255" s="2"/>
      <c r="I255" s="2">
        <v>69.686700000000002</v>
      </c>
      <c r="J255" s="2">
        <v>172</v>
      </c>
      <c r="K255" s="2">
        <v>68.898700000000005</v>
      </c>
      <c r="L255" s="2">
        <v>199</v>
      </c>
      <c r="M255" s="2">
        <v>89.489699999999999</v>
      </c>
      <c r="N255" s="2">
        <v>313</v>
      </c>
      <c r="O255" s="2">
        <v>91.583200000000005</v>
      </c>
      <c r="P255" s="2">
        <v>301</v>
      </c>
      <c r="Q255" s="2">
        <v>101.5197</v>
      </c>
      <c r="R255" s="2">
        <v>178</v>
      </c>
      <c r="S255" s="2">
        <v>99.409300000000002</v>
      </c>
      <c r="T255" s="2">
        <v>124</v>
      </c>
      <c r="U255" s="2">
        <v>0.28029999999999999</v>
      </c>
      <c r="V255" s="2">
        <v>254</v>
      </c>
      <c r="W255" s="2">
        <v>2002</v>
      </c>
    </row>
    <row r="256" spans="1:23" ht="12.3" x14ac:dyDescent="0.4">
      <c r="A256" s="2" t="s">
        <v>280</v>
      </c>
      <c r="B256" s="2"/>
      <c r="C256" s="2"/>
      <c r="D256" s="2"/>
      <c r="E256" s="2"/>
      <c r="F256" s="2"/>
      <c r="G256" s="2"/>
      <c r="H256" s="2"/>
      <c r="I256" s="2">
        <v>73.667500000000004</v>
      </c>
      <c r="J256" s="2">
        <v>44</v>
      </c>
      <c r="K256" s="2">
        <v>72.4208</v>
      </c>
      <c r="L256" s="2">
        <v>62</v>
      </c>
      <c r="M256" s="2">
        <v>99</v>
      </c>
      <c r="N256" s="2">
        <v>198</v>
      </c>
      <c r="O256" s="2">
        <v>97.194599999999994</v>
      </c>
      <c r="P256" s="2">
        <v>225</v>
      </c>
      <c r="Q256" s="2">
        <v>105.2129</v>
      </c>
      <c r="R256" s="2">
        <v>255</v>
      </c>
      <c r="S256" s="2">
        <v>105.53530000000001</v>
      </c>
      <c r="T256" s="2">
        <v>251</v>
      </c>
      <c r="U256" s="2">
        <v>0.27952900000000003</v>
      </c>
      <c r="V256" s="2">
        <v>255</v>
      </c>
      <c r="W256" s="2">
        <v>2002</v>
      </c>
    </row>
    <row r="257" spans="1:23" ht="12.3" x14ac:dyDescent="0.4">
      <c r="A257" s="2" t="s">
        <v>281</v>
      </c>
      <c r="B257" s="2"/>
      <c r="C257" s="2"/>
      <c r="D257" s="2"/>
      <c r="E257" s="2"/>
      <c r="F257" s="2"/>
      <c r="G257" s="2"/>
      <c r="H257" s="2"/>
      <c r="I257" s="2">
        <v>71.505799999999994</v>
      </c>
      <c r="J257" s="2">
        <v>97</v>
      </c>
      <c r="K257" s="2">
        <v>69.998900000000006</v>
      </c>
      <c r="L257" s="2">
        <v>154</v>
      </c>
      <c r="M257" s="2">
        <v>96.853300000000004</v>
      </c>
      <c r="N257" s="2">
        <v>239</v>
      </c>
      <c r="O257" s="2">
        <v>97.609700000000004</v>
      </c>
      <c r="P257" s="2">
        <v>221</v>
      </c>
      <c r="Q257" s="2">
        <v>102.5992</v>
      </c>
      <c r="R257" s="2">
        <v>199</v>
      </c>
      <c r="S257" s="2">
        <v>106.1101</v>
      </c>
      <c r="T257" s="2">
        <v>259</v>
      </c>
      <c r="U257" s="2">
        <v>0.27682600000000002</v>
      </c>
      <c r="V257" s="2">
        <v>256</v>
      </c>
      <c r="W257" s="2">
        <v>2002</v>
      </c>
    </row>
    <row r="258" spans="1:23" ht="12.3" x14ac:dyDescent="0.4">
      <c r="A258" s="2" t="s">
        <v>282</v>
      </c>
      <c r="B258" s="2"/>
      <c r="C258" s="2"/>
      <c r="D258" s="2"/>
      <c r="E258" s="2"/>
      <c r="F258" s="2"/>
      <c r="G258" s="2"/>
      <c r="H258" s="2"/>
      <c r="I258" s="2">
        <v>66.031400000000005</v>
      </c>
      <c r="J258" s="2">
        <v>278</v>
      </c>
      <c r="K258" s="2">
        <v>64.577799999999996</v>
      </c>
      <c r="L258" s="2">
        <v>301</v>
      </c>
      <c r="M258" s="2">
        <v>94.040700000000001</v>
      </c>
      <c r="N258" s="2">
        <v>281</v>
      </c>
      <c r="O258" s="2">
        <v>92.271900000000002</v>
      </c>
      <c r="P258" s="2">
        <v>295</v>
      </c>
      <c r="Q258" s="2">
        <v>97.652299999999997</v>
      </c>
      <c r="R258" s="2">
        <v>85</v>
      </c>
      <c r="S258" s="2">
        <v>100.3263</v>
      </c>
      <c r="T258" s="2">
        <v>150</v>
      </c>
      <c r="U258" s="2">
        <v>0.27639399999999997</v>
      </c>
      <c r="V258" s="2">
        <v>257</v>
      </c>
      <c r="W258" s="2">
        <v>2002</v>
      </c>
    </row>
    <row r="259" spans="1:23" ht="12.3" x14ac:dyDescent="0.4">
      <c r="A259" s="2" t="s">
        <v>283</v>
      </c>
      <c r="B259" s="2"/>
      <c r="C259" s="2"/>
      <c r="D259" s="2"/>
      <c r="E259" s="2"/>
      <c r="F259" s="2"/>
      <c r="G259" s="2"/>
      <c r="H259" s="2"/>
      <c r="I259" s="2">
        <v>68.315299999999993</v>
      </c>
      <c r="J259" s="2">
        <v>217</v>
      </c>
      <c r="K259" s="2">
        <v>67.8322</v>
      </c>
      <c r="L259" s="2">
        <v>228</v>
      </c>
      <c r="M259" s="2">
        <v>95.474500000000006</v>
      </c>
      <c r="N259" s="2">
        <v>256</v>
      </c>
      <c r="O259" s="2">
        <v>94.784899999999993</v>
      </c>
      <c r="P259" s="2">
        <v>271</v>
      </c>
      <c r="Q259" s="2">
        <v>100.1784</v>
      </c>
      <c r="R259" s="2">
        <v>148</v>
      </c>
      <c r="S259" s="2">
        <v>103.6382</v>
      </c>
      <c r="T259" s="2">
        <v>217</v>
      </c>
      <c r="U259" s="2">
        <v>0.26368599999999998</v>
      </c>
      <c r="V259" s="2">
        <v>258</v>
      </c>
      <c r="W259" s="2">
        <v>2002</v>
      </c>
    </row>
    <row r="260" spans="1:23" ht="12.3" x14ac:dyDescent="0.4">
      <c r="A260" s="2" t="s">
        <v>284</v>
      </c>
      <c r="B260" s="2"/>
      <c r="C260" s="2"/>
      <c r="D260" s="2"/>
      <c r="E260" s="2"/>
      <c r="F260" s="2"/>
      <c r="G260" s="2"/>
      <c r="H260" s="2"/>
      <c r="I260" s="2">
        <v>67.48</v>
      </c>
      <c r="J260" s="2">
        <v>239</v>
      </c>
      <c r="K260" s="2">
        <v>69.0852</v>
      </c>
      <c r="L260" s="2">
        <v>187</v>
      </c>
      <c r="M260" s="2">
        <v>95.400599999999997</v>
      </c>
      <c r="N260" s="2">
        <v>259</v>
      </c>
      <c r="O260" s="2">
        <v>97.391199999999998</v>
      </c>
      <c r="P260" s="2">
        <v>222</v>
      </c>
      <c r="Q260" s="2">
        <v>105.52809999999999</v>
      </c>
      <c r="R260" s="2">
        <v>263</v>
      </c>
      <c r="S260" s="2">
        <v>106.49850000000001</v>
      </c>
      <c r="T260" s="2">
        <v>266</v>
      </c>
      <c r="U260" s="2">
        <v>0.263463</v>
      </c>
      <c r="V260" s="2">
        <v>259</v>
      </c>
      <c r="W260" s="2">
        <v>2002</v>
      </c>
    </row>
    <row r="261" spans="1:23" ht="12.3" x14ac:dyDescent="0.4">
      <c r="A261" s="2" t="s">
        <v>285</v>
      </c>
      <c r="B261" s="2"/>
      <c r="C261" s="2"/>
      <c r="D261" s="2"/>
      <c r="E261" s="2"/>
      <c r="F261" s="2"/>
      <c r="G261" s="2"/>
      <c r="H261" s="2"/>
      <c r="I261" s="2">
        <v>69.851900000000001</v>
      </c>
      <c r="J261" s="2">
        <v>168</v>
      </c>
      <c r="K261" s="2">
        <v>69.930300000000003</v>
      </c>
      <c r="L261" s="2">
        <v>157</v>
      </c>
      <c r="M261" s="2">
        <v>102.23520000000001</v>
      </c>
      <c r="N261" s="2">
        <v>141</v>
      </c>
      <c r="O261" s="2">
        <v>100.4875</v>
      </c>
      <c r="P261" s="2">
        <v>166</v>
      </c>
      <c r="Q261" s="2">
        <v>108.7054</v>
      </c>
      <c r="R261" s="2">
        <v>306</v>
      </c>
      <c r="S261" s="2">
        <v>110.2196</v>
      </c>
      <c r="T261" s="2">
        <v>304</v>
      </c>
      <c r="U261" s="2">
        <v>0.25672200000000001</v>
      </c>
      <c r="V261" s="2">
        <v>260</v>
      </c>
      <c r="W261" s="2">
        <v>2002</v>
      </c>
    </row>
    <row r="262" spans="1:23" ht="12.3" x14ac:dyDescent="0.4">
      <c r="A262" s="2" t="s">
        <v>286</v>
      </c>
      <c r="B262" s="2"/>
      <c r="C262" s="2"/>
      <c r="D262" s="2"/>
      <c r="E262" s="2"/>
      <c r="F262" s="2"/>
      <c r="G262" s="2"/>
      <c r="H262" s="2"/>
      <c r="I262" s="2">
        <v>66.768100000000004</v>
      </c>
      <c r="J262" s="2">
        <v>260</v>
      </c>
      <c r="K262" s="2">
        <v>67.347999999999999</v>
      </c>
      <c r="L262" s="2">
        <v>242</v>
      </c>
      <c r="M262" s="2">
        <v>96.517300000000006</v>
      </c>
      <c r="N262" s="2">
        <v>246</v>
      </c>
      <c r="O262" s="2">
        <v>96.760099999999994</v>
      </c>
      <c r="P262" s="2">
        <v>233</v>
      </c>
      <c r="Q262" s="2">
        <v>104.84050000000001</v>
      </c>
      <c r="R262" s="2">
        <v>250</v>
      </c>
      <c r="S262" s="2">
        <v>106.1349</v>
      </c>
      <c r="T262" s="2">
        <v>260</v>
      </c>
      <c r="U262" s="2">
        <v>0.25664500000000001</v>
      </c>
      <c r="V262" s="2">
        <v>261</v>
      </c>
      <c r="W262" s="2">
        <v>2002</v>
      </c>
    </row>
    <row r="263" spans="1:23" ht="12.3" x14ac:dyDescent="0.4">
      <c r="A263" s="2" t="s">
        <v>287</v>
      </c>
      <c r="B263" s="2"/>
      <c r="C263" s="2"/>
      <c r="D263" s="2"/>
      <c r="E263" s="2"/>
      <c r="F263" s="2"/>
      <c r="G263" s="2"/>
      <c r="H263" s="2"/>
      <c r="I263" s="2">
        <v>68.486699999999999</v>
      </c>
      <c r="J263" s="2">
        <v>210</v>
      </c>
      <c r="K263" s="2">
        <v>68.222200000000001</v>
      </c>
      <c r="L263" s="2">
        <v>217</v>
      </c>
      <c r="M263" s="2">
        <v>92.061499999999995</v>
      </c>
      <c r="N263" s="2">
        <v>301</v>
      </c>
      <c r="O263" s="2">
        <v>93.774500000000003</v>
      </c>
      <c r="P263" s="2">
        <v>281</v>
      </c>
      <c r="Q263" s="2">
        <v>102.264</v>
      </c>
      <c r="R263" s="2">
        <v>193</v>
      </c>
      <c r="S263" s="2">
        <v>102.88979999999999</v>
      </c>
      <c r="T263" s="2">
        <v>203</v>
      </c>
      <c r="U263" s="2">
        <v>0.25601099999999999</v>
      </c>
      <c r="V263" s="2">
        <v>262</v>
      </c>
      <c r="W263" s="2">
        <v>2002</v>
      </c>
    </row>
    <row r="264" spans="1:23" ht="12.3" x14ac:dyDescent="0.4">
      <c r="A264" s="2" t="s">
        <v>288</v>
      </c>
      <c r="B264" s="2"/>
      <c r="C264" s="2"/>
      <c r="D264" s="2"/>
      <c r="E264" s="2"/>
      <c r="F264" s="2"/>
      <c r="G264" s="2"/>
      <c r="H264" s="2"/>
      <c r="I264" s="2">
        <v>70.595600000000005</v>
      </c>
      <c r="J264" s="2">
        <v>133</v>
      </c>
      <c r="K264" s="2">
        <v>69.742800000000003</v>
      </c>
      <c r="L264" s="2">
        <v>164</v>
      </c>
      <c r="M264" s="2">
        <v>96.650099999999995</v>
      </c>
      <c r="N264" s="2">
        <v>242</v>
      </c>
      <c r="O264" s="2">
        <v>94.82</v>
      </c>
      <c r="P264" s="2">
        <v>270</v>
      </c>
      <c r="Q264" s="2">
        <v>102.2268</v>
      </c>
      <c r="R264" s="2">
        <v>190</v>
      </c>
      <c r="S264" s="2">
        <v>104.2234</v>
      </c>
      <c r="T264" s="2">
        <v>236</v>
      </c>
      <c r="U264" s="2">
        <v>0.25210900000000003</v>
      </c>
      <c r="V264" s="2">
        <v>263</v>
      </c>
      <c r="W264" s="2">
        <v>2002</v>
      </c>
    </row>
    <row r="265" spans="1:23" ht="12.3" x14ac:dyDescent="0.4">
      <c r="A265" s="2" t="s">
        <v>289</v>
      </c>
      <c r="B265" s="2"/>
      <c r="C265" s="2"/>
      <c r="D265" s="2"/>
      <c r="E265" s="2"/>
      <c r="F265" s="2"/>
      <c r="G265" s="2"/>
      <c r="H265" s="2"/>
      <c r="I265" s="2">
        <v>66.068799999999996</v>
      </c>
      <c r="J265" s="2">
        <v>277</v>
      </c>
      <c r="K265" s="2">
        <v>66.958799999999997</v>
      </c>
      <c r="L265" s="2">
        <v>254</v>
      </c>
      <c r="M265" s="2">
        <v>93.139899999999997</v>
      </c>
      <c r="N265" s="2">
        <v>288</v>
      </c>
      <c r="O265" s="2">
        <v>94.0916</v>
      </c>
      <c r="P265" s="2">
        <v>279</v>
      </c>
      <c r="Q265" s="2">
        <v>98.303600000000003</v>
      </c>
      <c r="R265" s="2">
        <v>97</v>
      </c>
      <c r="S265" s="2">
        <v>103.63249999999999</v>
      </c>
      <c r="T265" s="2">
        <v>216</v>
      </c>
      <c r="U265" s="2">
        <v>0.24774099999999999</v>
      </c>
      <c r="V265" s="2">
        <v>264</v>
      </c>
      <c r="W265" s="2">
        <v>2002</v>
      </c>
    </row>
    <row r="266" spans="1:23" ht="12.3" x14ac:dyDescent="0.4">
      <c r="A266" s="2" t="s">
        <v>290</v>
      </c>
      <c r="B266" s="2"/>
      <c r="C266" s="2"/>
      <c r="D266" s="2"/>
      <c r="E266" s="2"/>
      <c r="F266" s="2"/>
      <c r="G266" s="2"/>
      <c r="H266" s="2"/>
      <c r="I266" s="2">
        <v>74.712599999999995</v>
      </c>
      <c r="J266" s="2">
        <v>26</v>
      </c>
      <c r="K266" s="2">
        <v>75.132599999999996</v>
      </c>
      <c r="L266" s="2">
        <v>16</v>
      </c>
      <c r="M266" s="2">
        <v>94.221800000000002</v>
      </c>
      <c r="N266" s="2">
        <v>276</v>
      </c>
      <c r="O266" s="2">
        <v>94.740499999999997</v>
      </c>
      <c r="P266" s="2">
        <v>273</v>
      </c>
      <c r="Q266" s="2">
        <v>105.0963</v>
      </c>
      <c r="R266" s="2">
        <v>254</v>
      </c>
      <c r="S266" s="2">
        <v>104.4653</v>
      </c>
      <c r="T266" s="2">
        <v>240</v>
      </c>
      <c r="U266" s="2">
        <v>0.24532399999999999</v>
      </c>
      <c r="V266" s="2">
        <v>265</v>
      </c>
      <c r="W266" s="2">
        <v>2002</v>
      </c>
    </row>
    <row r="267" spans="1:23" ht="12.3" x14ac:dyDescent="0.4">
      <c r="A267" s="2" t="s">
        <v>291</v>
      </c>
      <c r="B267" s="2"/>
      <c r="C267" s="2"/>
      <c r="D267" s="2"/>
      <c r="E267" s="2"/>
      <c r="F267" s="2"/>
      <c r="G267" s="2"/>
      <c r="H267" s="2"/>
      <c r="I267" s="2">
        <v>70.650000000000006</v>
      </c>
      <c r="J267" s="2">
        <v>130</v>
      </c>
      <c r="K267" s="2">
        <v>70.459699999999998</v>
      </c>
      <c r="L267" s="2">
        <v>133</v>
      </c>
      <c r="M267" s="2">
        <v>96.634500000000003</v>
      </c>
      <c r="N267" s="2">
        <v>245</v>
      </c>
      <c r="O267" s="2">
        <v>96.451800000000006</v>
      </c>
      <c r="P267" s="2">
        <v>242</v>
      </c>
      <c r="Q267" s="2">
        <v>107.1482</v>
      </c>
      <c r="R267" s="2">
        <v>288</v>
      </c>
      <c r="S267" s="2">
        <v>106.4716</v>
      </c>
      <c r="T267" s="2">
        <v>265</v>
      </c>
      <c r="U267" s="2">
        <v>0.24294499999999999</v>
      </c>
      <c r="V267" s="2">
        <v>266</v>
      </c>
      <c r="W267" s="2">
        <v>2002</v>
      </c>
    </row>
    <row r="268" spans="1:23" ht="12.3" x14ac:dyDescent="0.4">
      <c r="A268" s="2" t="s">
        <v>292</v>
      </c>
      <c r="B268" s="2"/>
      <c r="C268" s="2"/>
      <c r="D268" s="2"/>
      <c r="E268" s="2"/>
      <c r="F268" s="2"/>
      <c r="G268" s="2"/>
      <c r="H268" s="2"/>
      <c r="I268" s="2">
        <v>69.1751</v>
      </c>
      <c r="J268" s="2">
        <v>186</v>
      </c>
      <c r="K268" s="2">
        <v>70.8035</v>
      </c>
      <c r="L268" s="2">
        <v>118</v>
      </c>
      <c r="M268" s="2">
        <v>96.495599999999996</v>
      </c>
      <c r="N268" s="2">
        <v>247</v>
      </c>
      <c r="O268" s="2">
        <v>95.572500000000005</v>
      </c>
      <c r="P268" s="2">
        <v>252</v>
      </c>
      <c r="Q268" s="2">
        <v>109.06440000000001</v>
      </c>
      <c r="R268" s="2">
        <v>310</v>
      </c>
      <c r="S268" s="2">
        <v>105.9375</v>
      </c>
      <c r="T268" s="2">
        <v>255</v>
      </c>
      <c r="U268" s="2">
        <v>0.234318</v>
      </c>
      <c r="V268" s="2">
        <v>267</v>
      </c>
      <c r="W268" s="2">
        <v>2002</v>
      </c>
    </row>
    <row r="269" spans="1:23" ht="12.3" x14ac:dyDescent="0.4">
      <c r="A269" s="2" t="s">
        <v>293</v>
      </c>
      <c r="B269" s="2"/>
      <c r="C269" s="2"/>
      <c r="D269" s="2"/>
      <c r="E269" s="2"/>
      <c r="F269" s="2"/>
      <c r="G269" s="2"/>
      <c r="H269" s="2"/>
      <c r="I269" s="2">
        <v>67.948700000000002</v>
      </c>
      <c r="J269" s="2">
        <v>228</v>
      </c>
      <c r="K269" s="2">
        <v>68.297200000000004</v>
      </c>
      <c r="L269" s="2">
        <v>216</v>
      </c>
      <c r="M269" s="2">
        <v>86.226299999999995</v>
      </c>
      <c r="N269" s="2">
        <v>320</v>
      </c>
      <c r="O269" s="2">
        <v>89.710099999999997</v>
      </c>
      <c r="P269" s="2">
        <v>308</v>
      </c>
      <c r="Q269" s="2">
        <v>100.5745</v>
      </c>
      <c r="R269" s="2">
        <v>161</v>
      </c>
      <c r="S269" s="2">
        <v>99.501999999999995</v>
      </c>
      <c r="T269" s="2">
        <v>130</v>
      </c>
      <c r="U269" s="2">
        <v>0.233019</v>
      </c>
      <c r="V269" s="2">
        <v>268</v>
      </c>
      <c r="W269" s="2">
        <v>2002</v>
      </c>
    </row>
    <row r="270" spans="1:23" ht="12.3" x14ac:dyDescent="0.4">
      <c r="A270" s="2" t="s">
        <v>294</v>
      </c>
      <c r="B270" s="2"/>
      <c r="C270" s="2"/>
      <c r="D270" s="2"/>
      <c r="E270" s="2"/>
      <c r="F270" s="2"/>
      <c r="G270" s="2"/>
      <c r="H270" s="2"/>
      <c r="I270" s="2">
        <v>70.338499999999996</v>
      </c>
      <c r="J270" s="2">
        <v>143</v>
      </c>
      <c r="K270" s="2">
        <v>70.366699999999994</v>
      </c>
      <c r="L270" s="2">
        <v>137</v>
      </c>
      <c r="M270" s="2">
        <v>95.641099999999994</v>
      </c>
      <c r="N270" s="2">
        <v>251</v>
      </c>
      <c r="O270" s="2">
        <v>94.973699999999994</v>
      </c>
      <c r="P270" s="2">
        <v>268</v>
      </c>
      <c r="Q270" s="2">
        <v>103.8462</v>
      </c>
      <c r="R270" s="2">
        <v>232</v>
      </c>
      <c r="S270" s="2">
        <v>105.3507</v>
      </c>
      <c r="T270" s="2">
        <v>249</v>
      </c>
      <c r="U270" s="2">
        <v>0.23281399999999999</v>
      </c>
      <c r="V270" s="2">
        <v>269</v>
      </c>
      <c r="W270" s="2">
        <v>2002</v>
      </c>
    </row>
    <row r="271" spans="1:23" ht="12.3" x14ac:dyDescent="0.4">
      <c r="A271" s="2" t="s">
        <v>295</v>
      </c>
      <c r="B271" s="2"/>
      <c r="C271" s="2"/>
      <c r="D271" s="2"/>
      <c r="E271" s="2"/>
      <c r="F271" s="2"/>
      <c r="G271" s="2"/>
      <c r="H271" s="2"/>
      <c r="I271" s="2">
        <v>65.604799999999997</v>
      </c>
      <c r="J271" s="2">
        <v>287</v>
      </c>
      <c r="K271" s="2">
        <v>66.859300000000005</v>
      </c>
      <c r="L271" s="2">
        <v>259</v>
      </c>
      <c r="M271" s="2">
        <v>92.134900000000002</v>
      </c>
      <c r="N271" s="2">
        <v>299</v>
      </c>
      <c r="O271" s="2">
        <v>91.145300000000006</v>
      </c>
      <c r="P271" s="2">
        <v>304</v>
      </c>
      <c r="Q271" s="2">
        <v>98.829899999999995</v>
      </c>
      <c r="R271" s="2">
        <v>110</v>
      </c>
      <c r="S271" s="2">
        <v>101.2632</v>
      </c>
      <c r="T271" s="2">
        <v>172</v>
      </c>
      <c r="U271" s="2">
        <v>0.229598</v>
      </c>
      <c r="V271" s="2">
        <v>270</v>
      </c>
      <c r="W271" s="2">
        <v>2002</v>
      </c>
    </row>
    <row r="272" spans="1:23" ht="12.3" x14ac:dyDescent="0.4">
      <c r="A272" s="2" t="s">
        <v>296</v>
      </c>
      <c r="B272" s="2"/>
      <c r="C272" s="2"/>
      <c r="D272" s="2"/>
      <c r="E272" s="2"/>
      <c r="F272" s="2"/>
      <c r="G272" s="2"/>
      <c r="H272" s="2"/>
      <c r="I272" s="2">
        <v>72.391999999999996</v>
      </c>
      <c r="J272" s="2">
        <v>74</v>
      </c>
      <c r="K272" s="2">
        <v>72.405199999999994</v>
      </c>
      <c r="L272" s="2">
        <v>64</v>
      </c>
      <c r="M272" s="2">
        <v>92.398099999999999</v>
      </c>
      <c r="N272" s="2">
        <v>296</v>
      </c>
      <c r="O272" s="2">
        <v>91.530900000000003</v>
      </c>
      <c r="P272" s="2">
        <v>302</v>
      </c>
      <c r="Q272" s="2">
        <v>99.607200000000006</v>
      </c>
      <c r="R272" s="2">
        <v>136</v>
      </c>
      <c r="S272" s="2">
        <v>101.7469</v>
      </c>
      <c r="T272" s="2">
        <v>180</v>
      </c>
      <c r="U272" s="2">
        <v>0.228495</v>
      </c>
      <c r="V272" s="2">
        <v>271</v>
      </c>
      <c r="W272" s="2">
        <v>2002</v>
      </c>
    </row>
    <row r="273" spans="1:23" ht="12.3" x14ac:dyDescent="0.4">
      <c r="A273" s="2" t="s">
        <v>297</v>
      </c>
      <c r="B273" s="2"/>
      <c r="C273" s="2"/>
      <c r="D273" s="2"/>
      <c r="E273" s="2"/>
      <c r="F273" s="2"/>
      <c r="G273" s="2"/>
      <c r="H273" s="2"/>
      <c r="I273" s="2">
        <v>68.196899999999999</v>
      </c>
      <c r="J273" s="2">
        <v>224</v>
      </c>
      <c r="K273" s="2">
        <v>64.769599999999997</v>
      </c>
      <c r="L273" s="2">
        <v>297</v>
      </c>
      <c r="M273" s="2">
        <v>94.900300000000001</v>
      </c>
      <c r="N273" s="2">
        <v>264</v>
      </c>
      <c r="O273" s="2">
        <v>89.323599999999999</v>
      </c>
      <c r="P273" s="2">
        <v>309</v>
      </c>
      <c r="Q273" s="2">
        <v>93.983999999999995</v>
      </c>
      <c r="R273" s="2">
        <v>29</v>
      </c>
      <c r="S273" s="2">
        <v>99.519800000000004</v>
      </c>
      <c r="T273" s="2">
        <v>131</v>
      </c>
      <c r="U273" s="2">
        <v>0.22390699999999999</v>
      </c>
      <c r="V273" s="2">
        <v>272</v>
      </c>
      <c r="W273" s="2">
        <v>2002</v>
      </c>
    </row>
    <row r="274" spans="1:23" ht="12.3" x14ac:dyDescent="0.4">
      <c r="A274" s="2" t="s">
        <v>298</v>
      </c>
      <c r="B274" s="2"/>
      <c r="C274" s="2"/>
      <c r="D274" s="2"/>
      <c r="E274" s="2"/>
      <c r="F274" s="2"/>
      <c r="G274" s="2"/>
      <c r="H274" s="2"/>
      <c r="I274" s="2">
        <v>73.1952</v>
      </c>
      <c r="J274" s="2">
        <v>54</v>
      </c>
      <c r="K274" s="2">
        <v>73.9285</v>
      </c>
      <c r="L274" s="2">
        <v>33</v>
      </c>
      <c r="M274" s="2">
        <v>97.516599999999997</v>
      </c>
      <c r="N274" s="2">
        <v>228</v>
      </c>
      <c r="O274" s="2">
        <v>95.684100000000001</v>
      </c>
      <c r="P274" s="2">
        <v>251</v>
      </c>
      <c r="Q274" s="2">
        <v>107.56010000000001</v>
      </c>
      <c r="R274" s="2">
        <v>293</v>
      </c>
      <c r="S274" s="2">
        <v>106.6386</v>
      </c>
      <c r="T274" s="2">
        <v>269</v>
      </c>
      <c r="U274" s="2">
        <v>0.223301</v>
      </c>
      <c r="V274" s="2">
        <v>273</v>
      </c>
      <c r="W274" s="2">
        <v>2002</v>
      </c>
    </row>
    <row r="275" spans="1:23" ht="12.3" x14ac:dyDescent="0.4">
      <c r="A275" s="2" t="s">
        <v>299</v>
      </c>
      <c r="B275" s="2"/>
      <c r="C275" s="2"/>
      <c r="D275" s="2"/>
      <c r="E275" s="2"/>
      <c r="F275" s="2"/>
      <c r="G275" s="2"/>
      <c r="H275" s="2"/>
      <c r="I275" s="2">
        <v>73.581199999999995</v>
      </c>
      <c r="J275" s="2">
        <v>46</v>
      </c>
      <c r="K275" s="2">
        <v>71.037499999999994</v>
      </c>
      <c r="L275" s="2">
        <v>112</v>
      </c>
      <c r="M275" s="2">
        <v>104.0412</v>
      </c>
      <c r="N275" s="2">
        <v>109</v>
      </c>
      <c r="O275" s="2">
        <v>100.0847</v>
      </c>
      <c r="P275" s="2">
        <v>178</v>
      </c>
      <c r="Q275" s="2">
        <v>107.077</v>
      </c>
      <c r="R275" s="2">
        <v>287</v>
      </c>
      <c r="S275" s="2">
        <v>112.1183</v>
      </c>
      <c r="T275" s="2">
        <v>314</v>
      </c>
      <c r="U275" s="2">
        <v>0.21320900000000001</v>
      </c>
      <c r="V275" s="2">
        <v>274</v>
      </c>
      <c r="W275" s="2">
        <v>2002</v>
      </c>
    </row>
    <row r="276" spans="1:23" ht="12.3" x14ac:dyDescent="0.4">
      <c r="A276" s="2" t="s">
        <v>300</v>
      </c>
      <c r="B276" s="2"/>
      <c r="C276" s="2"/>
      <c r="D276" s="2"/>
      <c r="E276" s="2"/>
      <c r="F276" s="2"/>
      <c r="G276" s="2"/>
      <c r="H276" s="2"/>
      <c r="I276" s="2">
        <v>70.996499999999997</v>
      </c>
      <c r="J276" s="2">
        <v>113</v>
      </c>
      <c r="K276" s="2">
        <v>72.414400000000001</v>
      </c>
      <c r="L276" s="2">
        <v>63</v>
      </c>
      <c r="M276" s="2">
        <v>94.892399999999995</v>
      </c>
      <c r="N276" s="2">
        <v>265</v>
      </c>
      <c r="O276" s="2">
        <v>91.372299999999996</v>
      </c>
      <c r="P276" s="2">
        <v>303</v>
      </c>
      <c r="Q276" s="2">
        <v>100.3013</v>
      </c>
      <c r="R276" s="2">
        <v>150</v>
      </c>
      <c r="S276" s="2">
        <v>102.71210000000001</v>
      </c>
      <c r="T276" s="2">
        <v>200</v>
      </c>
      <c r="U276" s="2">
        <v>0.20662900000000001</v>
      </c>
      <c r="V276" s="2">
        <v>275</v>
      </c>
      <c r="W276" s="2">
        <v>2002</v>
      </c>
    </row>
    <row r="277" spans="1:23" ht="12.3" x14ac:dyDescent="0.4">
      <c r="A277" s="2" t="s">
        <v>301</v>
      </c>
      <c r="B277" s="2"/>
      <c r="C277" s="2"/>
      <c r="D277" s="2"/>
      <c r="E277" s="2"/>
      <c r="F277" s="2"/>
      <c r="G277" s="2"/>
      <c r="H277" s="2"/>
      <c r="I277" s="2">
        <v>70.945599999999999</v>
      </c>
      <c r="J277" s="2">
        <v>115</v>
      </c>
      <c r="K277" s="2">
        <v>70.564400000000006</v>
      </c>
      <c r="L277" s="2">
        <v>129</v>
      </c>
      <c r="M277" s="2">
        <v>92.748900000000006</v>
      </c>
      <c r="N277" s="2">
        <v>292</v>
      </c>
      <c r="O277" s="2">
        <v>92.447800000000001</v>
      </c>
      <c r="P277" s="2">
        <v>294</v>
      </c>
      <c r="Q277" s="2">
        <v>102.25360000000001</v>
      </c>
      <c r="R277" s="2">
        <v>192</v>
      </c>
      <c r="S277" s="2">
        <v>104.16079999999999</v>
      </c>
      <c r="T277" s="2">
        <v>230</v>
      </c>
      <c r="U277" s="2">
        <v>0.20232</v>
      </c>
      <c r="V277" s="2">
        <v>276</v>
      </c>
      <c r="W277" s="2">
        <v>2002</v>
      </c>
    </row>
    <row r="278" spans="1:23" ht="12.3" x14ac:dyDescent="0.4">
      <c r="A278" s="2" t="s">
        <v>302</v>
      </c>
      <c r="B278" s="2"/>
      <c r="C278" s="2"/>
      <c r="D278" s="2"/>
      <c r="E278" s="2"/>
      <c r="F278" s="2"/>
      <c r="G278" s="2"/>
      <c r="H278" s="2"/>
      <c r="I278" s="2">
        <v>73.864400000000003</v>
      </c>
      <c r="J278" s="2">
        <v>42</v>
      </c>
      <c r="K278" s="2">
        <v>75.010000000000005</v>
      </c>
      <c r="L278" s="2">
        <v>18</v>
      </c>
      <c r="M278" s="2">
        <v>96.634900000000002</v>
      </c>
      <c r="N278" s="2">
        <v>244</v>
      </c>
      <c r="O278" s="2">
        <v>95.076700000000002</v>
      </c>
      <c r="P278" s="2">
        <v>266</v>
      </c>
      <c r="Q278" s="2">
        <v>104.2353</v>
      </c>
      <c r="R278" s="2">
        <v>240</v>
      </c>
      <c r="S278" s="2">
        <v>107.1292</v>
      </c>
      <c r="T278" s="2">
        <v>274</v>
      </c>
      <c r="U278" s="2">
        <v>0.202209</v>
      </c>
      <c r="V278" s="2">
        <v>277</v>
      </c>
      <c r="W278" s="2">
        <v>2002</v>
      </c>
    </row>
    <row r="279" spans="1:23" ht="12.3" x14ac:dyDescent="0.4">
      <c r="A279" s="2" t="s">
        <v>303</v>
      </c>
      <c r="B279" s="2"/>
      <c r="C279" s="2"/>
      <c r="D279" s="2"/>
      <c r="E279" s="2"/>
      <c r="F279" s="2"/>
      <c r="G279" s="2"/>
      <c r="H279" s="2"/>
      <c r="I279" s="2">
        <v>69.828800000000001</v>
      </c>
      <c r="J279" s="2">
        <v>169</v>
      </c>
      <c r="K279" s="2">
        <v>68.990799999999993</v>
      </c>
      <c r="L279" s="2">
        <v>194</v>
      </c>
      <c r="M279" s="2">
        <v>100.9558</v>
      </c>
      <c r="N279" s="2">
        <v>155</v>
      </c>
      <c r="O279" s="2">
        <v>99.3446</v>
      </c>
      <c r="P279" s="2">
        <v>194</v>
      </c>
      <c r="Q279" s="2">
        <v>112.20440000000001</v>
      </c>
      <c r="R279" s="2">
        <v>323</v>
      </c>
      <c r="S279" s="2">
        <v>112.1987</v>
      </c>
      <c r="T279" s="2">
        <v>315</v>
      </c>
      <c r="U279" s="2">
        <v>0.197931</v>
      </c>
      <c r="V279" s="2">
        <v>278</v>
      </c>
      <c r="W279" s="2">
        <v>2002</v>
      </c>
    </row>
    <row r="280" spans="1:23" ht="12.3" x14ac:dyDescent="0.4">
      <c r="A280" s="2" t="s">
        <v>304</v>
      </c>
      <c r="B280" s="2"/>
      <c r="C280" s="2"/>
      <c r="D280" s="2"/>
      <c r="E280" s="2"/>
      <c r="F280" s="2"/>
      <c r="G280" s="2"/>
      <c r="H280" s="2"/>
      <c r="I280" s="2">
        <v>59.9191</v>
      </c>
      <c r="J280" s="2">
        <v>324</v>
      </c>
      <c r="K280" s="2">
        <v>60.497599999999998</v>
      </c>
      <c r="L280" s="2">
        <v>324</v>
      </c>
      <c r="M280" s="2">
        <v>89.753399999999999</v>
      </c>
      <c r="N280" s="2">
        <v>310</v>
      </c>
      <c r="O280" s="2">
        <v>90.699700000000007</v>
      </c>
      <c r="P280" s="2">
        <v>306</v>
      </c>
      <c r="Q280" s="2">
        <v>104.1768</v>
      </c>
      <c r="R280" s="2">
        <v>239</v>
      </c>
      <c r="S280" s="2">
        <v>102.67870000000001</v>
      </c>
      <c r="T280" s="2">
        <v>198</v>
      </c>
      <c r="U280" s="2">
        <v>0.193632</v>
      </c>
      <c r="V280" s="2">
        <v>279</v>
      </c>
      <c r="W280" s="2">
        <v>2002</v>
      </c>
    </row>
    <row r="281" spans="1:23" ht="12.3" x14ac:dyDescent="0.4">
      <c r="A281" s="2" t="s">
        <v>305</v>
      </c>
      <c r="B281" s="2"/>
      <c r="C281" s="2"/>
      <c r="D281" s="2"/>
      <c r="E281" s="2"/>
      <c r="F281" s="2"/>
      <c r="G281" s="2"/>
      <c r="H281" s="2"/>
      <c r="I281" s="2">
        <v>69.463700000000003</v>
      </c>
      <c r="J281" s="2">
        <v>179</v>
      </c>
      <c r="K281" s="2">
        <v>68.677800000000005</v>
      </c>
      <c r="L281" s="2">
        <v>205</v>
      </c>
      <c r="M281" s="2">
        <v>89.616100000000003</v>
      </c>
      <c r="N281" s="2">
        <v>312</v>
      </c>
      <c r="O281" s="2">
        <v>89.319100000000006</v>
      </c>
      <c r="P281" s="2">
        <v>310</v>
      </c>
      <c r="Q281" s="2">
        <v>99.174000000000007</v>
      </c>
      <c r="R281" s="2">
        <v>124</v>
      </c>
      <c r="S281" s="2">
        <v>101.25839999999999</v>
      </c>
      <c r="T281" s="2">
        <v>171</v>
      </c>
      <c r="U281" s="2">
        <v>0.19111300000000001</v>
      </c>
      <c r="V281" s="2">
        <v>280</v>
      </c>
      <c r="W281" s="2">
        <v>2002</v>
      </c>
    </row>
    <row r="282" spans="1:23" ht="12.3" x14ac:dyDescent="0.4">
      <c r="A282" s="2" t="s">
        <v>306</v>
      </c>
      <c r="B282" s="2"/>
      <c r="C282" s="2"/>
      <c r="D282" s="2"/>
      <c r="E282" s="2"/>
      <c r="F282" s="2"/>
      <c r="G282" s="2"/>
      <c r="H282" s="2"/>
      <c r="I282" s="2">
        <v>73.867800000000003</v>
      </c>
      <c r="J282" s="2">
        <v>41</v>
      </c>
      <c r="K282" s="2">
        <v>73.7393</v>
      </c>
      <c r="L282" s="2">
        <v>40</v>
      </c>
      <c r="M282" s="2">
        <v>91.000799999999998</v>
      </c>
      <c r="N282" s="2">
        <v>306</v>
      </c>
      <c r="O282" s="2">
        <v>89.260099999999994</v>
      </c>
      <c r="P282" s="2">
        <v>311</v>
      </c>
      <c r="Q282" s="2">
        <v>98.8536</v>
      </c>
      <c r="R282" s="2">
        <v>111</v>
      </c>
      <c r="S282" s="2">
        <v>101.273</v>
      </c>
      <c r="T282" s="2">
        <v>173</v>
      </c>
      <c r="U282" s="2">
        <v>0.18968599999999999</v>
      </c>
      <c r="V282" s="2">
        <v>281</v>
      </c>
      <c r="W282" s="2">
        <v>2002</v>
      </c>
    </row>
    <row r="283" spans="1:23" ht="12.3" x14ac:dyDescent="0.4">
      <c r="A283" s="2" t="s">
        <v>307</v>
      </c>
      <c r="B283" s="2"/>
      <c r="C283" s="2"/>
      <c r="D283" s="2"/>
      <c r="E283" s="2"/>
      <c r="F283" s="2"/>
      <c r="G283" s="2"/>
      <c r="H283" s="2"/>
      <c r="I283" s="2">
        <v>68.78</v>
      </c>
      <c r="J283" s="2">
        <v>198</v>
      </c>
      <c r="K283" s="2">
        <v>67.099500000000006</v>
      </c>
      <c r="L283" s="2">
        <v>250</v>
      </c>
      <c r="M283" s="2">
        <v>100.85339999999999</v>
      </c>
      <c r="N283" s="2">
        <v>158</v>
      </c>
      <c r="O283" s="2">
        <v>98.960999999999999</v>
      </c>
      <c r="P283" s="2">
        <v>200</v>
      </c>
      <c r="Q283" s="2">
        <v>107.8456</v>
      </c>
      <c r="R283" s="2">
        <v>296</v>
      </c>
      <c r="S283" s="2">
        <v>112.2881</v>
      </c>
      <c r="T283" s="2">
        <v>316</v>
      </c>
      <c r="U283" s="2">
        <v>0.189551</v>
      </c>
      <c r="V283" s="2">
        <v>282</v>
      </c>
      <c r="W283" s="2">
        <v>2002</v>
      </c>
    </row>
    <row r="284" spans="1:23" ht="12.3" x14ac:dyDescent="0.4">
      <c r="A284" s="2" t="s">
        <v>308</v>
      </c>
      <c r="B284" s="2"/>
      <c r="C284" s="2"/>
      <c r="D284" s="2"/>
      <c r="E284" s="2"/>
      <c r="F284" s="2"/>
      <c r="G284" s="2"/>
      <c r="H284" s="2"/>
      <c r="I284" s="2">
        <v>72.382300000000001</v>
      </c>
      <c r="J284" s="2">
        <v>76</v>
      </c>
      <c r="K284" s="2">
        <v>74.2029</v>
      </c>
      <c r="L284" s="2">
        <v>27</v>
      </c>
      <c r="M284" s="2">
        <v>97.7012</v>
      </c>
      <c r="N284" s="2">
        <v>226</v>
      </c>
      <c r="O284" s="2">
        <v>96.058800000000005</v>
      </c>
      <c r="P284" s="2">
        <v>248</v>
      </c>
      <c r="Q284" s="2">
        <v>103.14019999999999</v>
      </c>
      <c r="R284" s="2">
        <v>218</v>
      </c>
      <c r="S284" s="2">
        <v>109.1658</v>
      </c>
      <c r="T284" s="2">
        <v>297</v>
      </c>
      <c r="U284" s="2">
        <v>0.18680099999999999</v>
      </c>
      <c r="V284" s="2">
        <v>283</v>
      </c>
      <c r="W284" s="2">
        <v>2002</v>
      </c>
    </row>
    <row r="285" spans="1:23" ht="12.3" x14ac:dyDescent="0.4">
      <c r="A285" s="2" t="s">
        <v>309</v>
      </c>
      <c r="B285" s="2"/>
      <c r="C285" s="2"/>
      <c r="D285" s="2"/>
      <c r="E285" s="2"/>
      <c r="F285" s="2"/>
      <c r="G285" s="2"/>
      <c r="H285" s="2"/>
      <c r="I285" s="2">
        <v>64.909300000000002</v>
      </c>
      <c r="J285" s="2">
        <v>296</v>
      </c>
      <c r="K285" s="2">
        <v>64.396699999999996</v>
      </c>
      <c r="L285" s="2">
        <v>304</v>
      </c>
      <c r="M285" s="2">
        <v>96.363500000000002</v>
      </c>
      <c r="N285" s="2">
        <v>248</v>
      </c>
      <c r="O285" s="2">
        <v>92.739800000000002</v>
      </c>
      <c r="P285" s="2">
        <v>291</v>
      </c>
      <c r="Q285" s="2">
        <v>101.04949999999999</v>
      </c>
      <c r="R285" s="2">
        <v>170</v>
      </c>
      <c r="S285" s="2">
        <v>105.6936</v>
      </c>
      <c r="T285" s="2">
        <v>253</v>
      </c>
      <c r="U285" s="2">
        <v>0.18189</v>
      </c>
      <c r="V285" s="2">
        <v>284</v>
      </c>
      <c r="W285" s="2">
        <v>2002</v>
      </c>
    </row>
    <row r="286" spans="1:23" ht="12.3" x14ac:dyDescent="0.4">
      <c r="A286" s="2" t="s">
        <v>310</v>
      </c>
      <c r="B286" s="2"/>
      <c r="C286" s="2"/>
      <c r="D286" s="2"/>
      <c r="E286" s="2"/>
      <c r="F286" s="2"/>
      <c r="G286" s="2"/>
      <c r="H286" s="2"/>
      <c r="I286" s="2">
        <v>70.938900000000004</v>
      </c>
      <c r="J286" s="2">
        <v>117</v>
      </c>
      <c r="K286" s="2">
        <v>72.185299999999998</v>
      </c>
      <c r="L286" s="2">
        <v>72</v>
      </c>
      <c r="M286" s="2">
        <v>96.887500000000003</v>
      </c>
      <c r="N286" s="2">
        <v>238</v>
      </c>
      <c r="O286" s="2">
        <v>95.993300000000005</v>
      </c>
      <c r="P286" s="2">
        <v>250</v>
      </c>
      <c r="Q286" s="2">
        <v>106.2414</v>
      </c>
      <c r="R286" s="2">
        <v>275</v>
      </c>
      <c r="S286" s="2">
        <v>109.51090000000001</v>
      </c>
      <c r="T286" s="2">
        <v>300</v>
      </c>
      <c r="U286" s="2">
        <v>0.18018799999999999</v>
      </c>
      <c r="V286" s="2">
        <v>285</v>
      </c>
      <c r="W286" s="2">
        <v>2002</v>
      </c>
    </row>
    <row r="287" spans="1:23" ht="12.3" x14ac:dyDescent="0.4">
      <c r="A287" s="2" t="s">
        <v>311</v>
      </c>
      <c r="B287" s="2"/>
      <c r="C287" s="2"/>
      <c r="D287" s="2"/>
      <c r="E287" s="2"/>
      <c r="F287" s="2"/>
      <c r="G287" s="2"/>
      <c r="H287" s="2"/>
      <c r="I287" s="2">
        <v>66.268100000000004</v>
      </c>
      <c r="J287" s="2">
        <v>275</v>
      </c>
      <c r="K287" s="2">
        <v>66.693700000000007</v>
      </c>
      <c r="L287" s="2">
        <v>266</v>
      </c>
      <c r="M287" s="2">
        <v>91.718000000000004</v>
      </c>
      <c r="N287" s="2">
        <v>302</v>
      </c>
      <c r="O287" s="2">
        <v>93.450100000000006</v>
      </c>
      <c r="P287" s="2">
        <v>284</v>
      </c>
      <c r="Q287" s="2">
        <v>107.6056</v>
      </c>
      <c r="R287" s="2">
        <v>294</v>
      </c>
      <c r="S287" s="2">
        <v>106.6481</v>
      </c>
      <c r="T287" s="2">
        <v>270</v>
      </c>
      <c r="U287" s="2">
        <v>0.17957600000000001</v>
      </c>
      <c r="V287" s="2">
        <v>286</v>
      </c>
      <c r="W287" s="2">
        <v>2002</v>
      </c>
    </row>
    <row r="288" spans="1:23" ht="12.3" x14ac:dyDescent="0.4">
      <c r="A288" s="2" t="s">
        <v>312</v>
      </c>
      <c r="B288" s="2"/>
      <c r="C288" s="2"/>
      <c r="D288" s="2"/>
      <c r="E288" s="2"/>
      <c r="F288" s="2"/>
      <c r="G288" s="2"/>
      <c r="H288" s="2"/>
      <c r="I288" s="2">
        <v>73.307400000000001</v>
      </c>
      <c r="J288" s="2">
        <v>50</v>
      </c>
      <c r="K288" s="2">
        <v>71.486500000000007</v>
      </c>
      <c r="L288" s="2">
        <v>92</v>
      </c>
      <c r="M288" s="2">
        <v>97.911699999999996</v>
      </c>
      <c r="N288" s="2">
        <v>219</v>
      </c>
      <c r="O288" s="2">
        <v>95.350499999999997</v>
      </c>
      <c r="P288" s="2">
        <v>258</v>
      </c>
      <c r="Q288" s="2">
        <v>105.07</v>
      </c>
      <c r="R288" s="2">
        <v>253</v>
      </c>
      <c r="S288" s="2">
        <v>108.8997</v>
      </c>
      <c r="T288" s="2">
        <v>295</v>
      </c>
      <c r="U288" s="2">
        <v>0.17829100000000001</v>
      </c>
      <c r="V288" s="2">
        <v>287</v>
      </c>
      <c r="W288" s="2">
        <v>2002</v>
      </c>
    </row>
    <row r="289" spans="1:23" ht="12.3" x14ac:dyDescent="0.4">
      <c r="A289" s="2" t="s">
        <v>313</v>
      </c>
      <c r="B289" s="2"/>
      <c r="C289" s="2"/>
      <c r="D289" s="2"/>
      <c r="E289" s="2"/>
      <c r="F289" s="2"/>
      <c r="G289" s="2"/>
      <c r="H289" s="2"/>
      <c r="I289" s="2">
        <v>70.883899999999997</v>
      </c>
      <c r="J289" s="2">
        <v>122</v>
      </c>
      <c r="K289" s="2">
        <v>70.309899999999999</v>
      </c>
      <c r="L289" s="2">
        <v>141</v>
      </c>
      <c r="M289" s="2">
        <v>95.553200000000004</v>
      </c>
      <c r="N289" s="2">
        <v>254</v>
      </c>
      <c r="O289" s="2">
        <v>93.7517</v>
      </c>
      <c r="P289" s="2">
        <v>282</v>
      </c>
      <c r="Q289" s="2">
        <v>102.6485</v>
      </c>
      <c r="R289" s="2">
        <v>202</v>
      </c>
      <c r="S289" s="2">
        <v>107.52290000000001</v>
      </c>
      <c r="T289" s="2">
        <v>279</v>
      </c>
      <c r="U289" s="2">
        <v>0.171346</v>
      </c>
      <c r="V289" s="2">
        <v>288</v>
      </c>
      <c r="W289" s="2">
        <v>2002</v>
      </c>
    </row>
    <row r="290" spans="1:23" ht="12.3" x14ac:dyDescent="0.4">
      <c r="A290" s="2" t="s">
        <v>314</v>
      </c>
      <c r="B290" s="2"/>
      <c r="C290" s="2"/>
      <c r="D290" s="2"/>
      <c r="E290" s="2"/>
      <c r="F290" s="2"/>
      <c r="G290" s="2"/>
      <c r="H290" s="2"/>
      <c r="I290" s="2">
        <v>68.796700000000001</v>
      </c>
      <c r="J290" s="2">
        <v>197</v>
      </c>
      <c r="K290" s="2">
        <v>69.657499999999999</v>
      </c>
      <c r="L290" s="2">
        <v>167</v>
      </c>
      <c r="M290" s="2">
        <v>95.403400000000005</v>
      </c>
      <c r="N290" s="2">
        <v>258</v>
      </c>
      <c r="O290" s="2">
        <v>93.807599999999994</v>
      </c>
      <c r="P290" s="2">
        <v>280</v>
      </c>
      <c r="Q290" s="2">
        <v>103.3389</v>
      </c>
      <c r="R290" s="2">
        <v>220</v>
      </c>
      <c r="S290" s="2">
        <v>107.8711</v>
      </c>
      <c r="T290" s="2">
        <v>286</v>
      </c>
      <c r="U290" s="2">
        <v>0.16708300000000001</v>
      </c>
      <c r="V290" s="2">
        <v>289</v>
      </c>
      <c r="W290" s="2">
        <v>2002</v>
      </c>
    </row>
    <row r="291" spans="1:23" ht="12.3" x14ac:dyDescent="0.4">
      <c r="A291" s="2" t="s">
        <v>315</v>
      </c>
      <c r="B291" s="2"/>
      <c r="C291" s="2"/>
      <c r="D291" s="2"/>
      <c r="E291" s="2"/>
      <c r="F291" s="2"/>
      <c r="G291" s="2"/>
      <c r="H291" s="2"/>
      <c r="I291" s="2">
        <v>68.614699999999999</v>
      </c>
      <c r="J291" s="2">
        <v>205</v>
      </c>
      <c r="K291" s="2">
        <v>68.998000000000005</v>
      </c>
      <c r="L291" s="2">
        <v>192</v>
      </c>
      <c r="M291" s="2">
        <v>94.204700000000003</v>
      </c>
      <c r="N291" s="2">
        <v>277</v>
      </c>
      <c r="O291" s="2">
        <v>92.557400000000001</v>
      </c>
      <c r="P291" s="2">
        <v>292</v>
      </c>
      <c r="Q291" s="2">
        <v>100.5801</v>
      </c>
      <c r="R291" s="2">
        <v>163</v>
      </c>
      <c r="S291" s="2">
        <v>106.5475</v>
      </c>
      <c r="T291" s="2">
        <v>268</v>
      </c>
      <c r="U291" s="2">
        <v>0.165376</v>
      </c>
      <c r="V291" s="2">
        <v>290</v>
      </c>
      <c r="W291" s="2">
        <v>2002</v>
      </c>
    </row>
    <row r="292" spans="1:23" ht="12.3" x14ac:dyDescent="0.4">
      <c r="A292" s="2" t="s">
        <v>316</v>
      </c>
      <c r="B292" s="2"/>
      <c r="C292" s="2"/>
      <c r="D292" s="2"/>
      <c r="E292" s="2"/>
      <c r="F292" s="2"/>
      <c r="G292" s="2"/>
      <c r="H292" s="2"/>
      <c r="I292" s="2">
        <v>74.467699999999994</v>
      </c>
      <c r="J292" s="2">
        <v>27</v>
      </c>
      <c r="K292" s="2">
        <v>72.9816</v>
      </c>
      <c r="L292" s="2">
        <v>52</v>
      </c>
      <c r="M292" s="2">
        <v>98.676500000000004</v>
      </c>
      <c r="N292" s="2">
        <v>203</v>
      </c>
      <c r="O292" s="2">
        <v>96.648700000000005</v>
      </c>
      <c r="P292" s="2">
        <v>239</v>
      </c>
      <c r="Q292" s="2">
        <v>105.0111</v>
      </c>
      <c r="R292" s="2">
        <v>251</v>
      </c>
      <c r="S292" s="2">
        <v>111.28959999999999</v>
      </c>
      <c r="T292" s="2">
        <v>310</v>
      </c>
      <c r="U292" s="2">
        <v>0.16491500000000001</v>
      </c>
      <c r="V292" s="2">
        <v>291</v>
      </c>
      <c r="W292" s="2">
        <v>2002</v>
      </c>
    </row>
    <row r="293" spans="1:23" ht="12.3" x14ac:dyDescent="0.4">
      <c r="A293" s="2" t="s">
        <v>317</v>
      </c>
      <c r="B293" s="2"/>
      <c r="C293" s="2"/>
      <c r="D293" s="2"/>
      <c r="E293" s="2"/>
      <c r="F293" s="2"/>
      <c r="G293" s="2"/>
      <c r="H293" s="2"/>
      <c r="I293" s="2">
        <v>67.864400000000003</v>
      </c>
      <c r="J293" s="2">
        <v>231</v>
      </c>
      <c r="K293" s="2">
        <v>68.969899999999996</v>
      </c>
      <c r="L293" s="2">
        <v>195</v>
      </c>
      <c r="M293" s="2">
        <v>93.3185</v>
      </c>
      <c r="N293" s="2">
        <v>287</v>
      </c>
      <c r="O293" s="2">
        <v>93.431200000000004</v>
      </c>
      <c r="P293" s="2">
        <v>285</v>
      </c>
      <c r="Q293" s="2">
        <v>110.6883</v>
      </c>
      <c r="R293" s="2">
        <v>312</v>
      </c>
      <c r="S293" s="2">
        <v>107.6114</v>
      </c>
      <c r="T293" s="2">
        <v>281</v>
      </c>
      <c r="U293" s="2">
        <v>0.164522</v>
      </c>
      <c r="V293" s="2">
        <v>292</v>
      </c>
      <c r="W293" s="2">
        <v>2002</v>
      </c>
    </row>
    <row r="294" spans="1:23" ht="12.3" x14ac:dyDescent="0.4">
      <c r="A294" s="2" t="s">
        <v>318</v>
      </c>
      <c r="B294" s="2"/>
      <c r="C294" s="2"/>
      <c r="D294" s="2"/>
      <c r="E294" s="2"/>
      <c r="F294" s="2"/>
      <c r="G294" s="2"/>
      <c r="H294" s="2"/>
      <c r="I294" s="2">
        <v>69.774500000000003</v>
      </c>
      <c r="J294" s="2">
        <v>171</v>
      </c>
      <c r="K294" s="2">
        <v>70.565600000000003</v>
      </c>
      <c r="L294" s="2">
        <v>128</v>
      </c>
      <c r="M294" s="2">
        <v>94.422600000000003</v>
      </c>
      <c r="N294" s="2">
        <v>274</v>
      </c>
      <c r="O294" s="2">
        <v>94.1023</v>
      </c>
      <c r="P294" s="2">
        <v>278</v>
      </c>
      <c r="Q294" s="2">
        <v>111.1203</v>
      </c>
      <c r="R294" s="2">
        <v>316</v>
      </c>
      <c r="S294" s="2">
        <v>108.7811</v>
      </c>
      <c r="T294" s="2">
        <v>293</v>
      </c>
      <c r="U294" s="2">
        <v>0.15882599999999999</v>
      </c>
      <c r="V294" s="2">
        <v>293</v>
      </c>
      <c r="W294" s="2">
        <v>2002</v>
      </c>
    </row>
    <row r="295" spans="1:23" ht="12.3" x14ac:dyDescent="0.4">
      <c r="A295" s="2" t="s">
        <v>319</v>
      </c>
      <c r="B295" s="2"/>
      <c r="C295" s="2"/>
      <c r="D295" s="2"/>
      <c r="E295" s="2"/>
      <c r="F295" s="2"/>
      <c r="G295" s="2"/>
      <c r="H295" s="2"/>
      <c r="I295" s="2">
        <v>69.298599999999993</v>
      </c>
      <c r="J295" s="2">
        <v>181</v>
      </c>
      <c r="K295" s="2">
        <v>69.861000000000004</v>
      </c>
      <c r="L295" s="2">
        <v>160</v>
      </c>
      <c r="M295" s="2">
        <v>100.011</v>
      </c>
      <c r="N295" s="2">
        <v>182</v>
      </c>
      <c r="O295" s="2">
        <v>99.6751</v>
      </c>
      <c r="P295" s="2">
        <v>188</v>
      </c>
      <c r="Q295" s="2">
        <v>115.0909</v>
      </c>
      <c r="R295" s="2">
        <v>325</v>
      </c>
      <c r="S295" s="2">
        <v>115.50279999999999</v>
      </c>
      <c r="T295" s="2">
        <v>325</v>
      </c>
      <c r="U295" s="2">
        <v>0.155138</v>
      </c>
      <c r="V295" s="2">
        <v>294</v>
      </c>
      <c r="W295" s="2">
        <v>2002</v>
      </c>
    </row>
    <row r="296" spans="1:23" ht="12.3" x14ac:dyDescent="0.4">
      <c r="A296" s="2" t="s">
        <v>320</v>
      </c>
      <c r="B296" s="2"/>
      <c r="C296" s="2"/>
      <c r="D296" s="2"/>
      <c r="E296" s="2"/>
      <c r="F296" s="2"/>
      <c r="G296" s="2"/>
      <c r="H296" s="2"/>
      <c r="I296" s="2">
        <v>72.238500000000002</v>
      </c>
      <c r="J296" s="2">
        <v>79</v>
      </c>
      <c r="K296" s="2">
        <v>71.941299999999998</v>
      </c>
      <c r="L296" s="2">
        <v>78</v>
      </c>
      <c r="M296" s="2">
        <v>92.9649</v>
      </c>
      <c r="N296" s="2">
        <v>291</v>
      </c>
      <c r="O296" s="2">
        <v>92.241500000000002</v>
      </c>
      <c r="P296" s="2">
        <v>296</v>
      </c>
      <c r="Q296" s="2">
        <v>102.6917</v>
      </c>
      <c r="R296" s="2">
        <v>203</v>
      </c>
      <c r="S296" s="2">
        <v>106.9695</v>
      </c>
      <c r="T296" s="2">
        <v>273</v>
      </c>
      <c r="U296" s="2">
        <v>0.154004</v>
      </c>
      <c r="V296" s="2">
        <v>295</v>
      </c>
      <c r="W296" s="2">
        <v>2002</v>
      </c>
    </row>
    <row r="297" spans="1:23" ht="12.3" x14ac:dyDescent="0.4">
      <c r="A297" s="2" t="s">
        <v>321</v>
      </c>
      <c r="B297" s="2"/>
      <c r="C297" s="2"/>
      <c r="D297" s="2"/>
      <c r="E297" s="2"/>
      <c r="F297" s="2"/>
      <c r="G297" s="2"/>
      <c r="H297" s="2"/>
      <c r="I297" s="2">
        <v>65.935500000000005</v>
      </c>
      <c r="J297" s="2">
        <v>279</v>
      </c>
      <c r="K297" s="2">
        <v>66.081000000000003</v>
      </c>
      <c r="L297" s="2">
        <v>283</v>
      </c>
      <c r="M297" s="2">
        <v>98.221999999999994</v>
      </c>
      <c r="N297" s="2">
        <v>208</v>
      </c>
      <c r="O297" s="2">
        <v>97.818200000000004</v>
      </c>
      <c r="P297" s="2">
        <v>216</v>
      </c>
      <c r="Q297" s="2">
        <v>107.9024</v>
      </c>
      <c r="R297" s="2">
        <v>299</v>
      </c>
      <c r="S297" s="2">
        <v>113.5223</v>
      </c>
      <c r="T297" s="2">
        <v>322</v>
      </c>
      <c r="U297" s="2">
        <v>0.15287600000000001</v>
      </c>
      <c r="V297" s="2">
        <v>296</v>
      </c>
      <c r="W297" s="2">
        <v>2002</v>
      </c>
    </row>
    <row r="298" spans="1:23" ht="12.3" x14ac:dyDescent="0.4">
      <c r="A298" s="2" t="s">
        <v>322</v>
      </c>
      <c r="B298" s="2"/>
      <c r="C298" s="2"/>
      <c r="D298" s="2"/>
      <c r="E298" s="2"/>
      <c r="F298" s="2"/>
      <c r="G298" s="2"/>
      <c r="H298" s="2"/>
      <c r="I298" s="2">
        <v>74.9893</v>
      </c>
      <c r="J298" s="2">
        <v>23</v>
      </c>
      <c r="K298" s="2">
        <v>76.087699999999998</v>
      </c>
      <c r="L298" s="2">
        <v>8</v>
      </c>
      <c r="M298" s="2">
        <v>94.718100000000007</v>
      </c>
      <c r="N298" s="2">
        <v>269</v>
      </c>
      <c r="O298" s="2">
        <v>94.842699999999994</v>
      </c>
      <c r="P298" s="2">
        <v>269</v>
      </c>
      <c r="Q298" s="2">
        <v>109.98</v>
      </c>
      <c r="R298" s="2">
        <v>311</v>
      </c>
      <c r="S298" s="2">
        <v>110.39230000000001</v>
      </c>
      <c r="T298" s="2">
        <v>305</v>
      </c>
      <c r="U298" s="2">
        <v>0.14856</v>
      </c>
      <c r="V298" s="2">
        <v>297</v>
      </c>
      <c r="W298" s="2">
        <v>2002</v>
      </c>
    </row>
    <row r="299" spans="1:23" ht="12.3" x14ac:dyDescent="0.4">
      <c r="A299" s="2" t="s">
        <v>323</v>
      </c>
      <c r="B299" s="2"/>
      <c r="C299" s="2"/>
      <c r="D299" s="2"/>
      <c r="E299" s="2"/>
      <c r="F299" s="2"/>
      <c r="G299" s="2"/>
      <c r="H299" s="2"/>
      <c r="I299" s="2">
        <v>64.441800000000001</v>
      </c>
      <c r="J299" s="2">
        <v>305</v>
      </c>
      <c r="K299" s="2">
        <v>64.352800000000002</v>
      </c>
      <c r="L299" s="2">
        <v>306</v>
      </c>
      <c r="M299" s="2">
        <v>95.096500000000006</v>
      </c>
      <c r="N299" s="2">
        <v>261</v>
      </c>
      <c r="O299" s="2">
        <v>92.841899999999995</v>
      </c>
      <c r="P299" s="2">
        <v>290</v>
      </c>
      <c r="Q299" s="2">
        <v>100.3158</v>
      </c>
      <c r="R299" s="2">
        <v>151</v>
      </c>
      <c r="S299" s="2">
        <v>108.1842</v>
      </c>
      <c r="T299" s="2">
        <v>289</v>
      </c>
      <c r="U299" s="2">
        <v>0.14694399999999999</v>
      </c>
      <c r="V299" s="2">
        <v>298</v>
      </c>
      <c r="W299" s="2">
        <v>2002</v>
      </c>
    </row>
    <row r="300" spans="1:23" ht="12.3" x14ac:dyDescent="0.4">
      <c r="A300" s="2" t="s">
        <v>324</v>
      </c>
      <c r="B300" s="2"/>
      <c r="C300" s="2"/>
      <c r="D300" s="2"/>
      <c r="E300" s="2"/>
      <c r="F300" s="2"/>
      <c r="G300" s="2"/>
      <c r="H300" s="2"/>
      <c r="I300" s="2">
        <v>73.951999999999998</v>
      </c>
      <c r="J300" s="2">
        <v>35</v>
      </c>
      <c r="K300" s="2">
        <v>71.950599999999994</v>
      </c>
      <c r="L300" s="2">
        <v>77</v>
      </c>
      <c r="M300" s="2">
        <v>93.546899999999994</v>
      </c>
      <c r="N300" s="2">
        <v>285</v>
      </c>
      <c r="O300" s="2">
        <v>92.190299999999993</v>
      </c>
      <c r="P300" s="2">
        <v>297</v>
      </c>
      <c r="Q300" s="2">
        <v>108.3959</v>
      </c>
      <c r="R300" s="2">
        <v>304</v>
      </c>
      <c r="S300" s="2">
        <v>107.4594</v>
      </c>
      <c r="T300" s="2">
        <v>278</v>
      </c>
      <c r="U300" s="2">
        <v>0.146482</v>
      </c>
      <c r="V300" s="2">
        <v>299</v>
      </c>
      <c r="W300" s="2">
        <v>2002</v>
      </c>
    </row>
    <row r="301" spans="1:23" ht="12.3" x14ac:dyDescent="0.4">
      <c r="A301" s="2" t="s">
        <v>325</v>
      </c>
      <c r="B301" s="2"/>
      <c r="C301" s="2"/>
      <c r="D301" s="2"/>
      <c r="E301" s="2"/>
      <c r="F301" s="2"/>
      <c r="G301" s="2"/>
      <c r="H301" s="2"/>
      <c r="I301" s="2">
        <v>72.344300000000004</v>
      </c>
      <c r="J301" s="2">
        <v>77</v>
      </c>
      <c r="K301" s="2">
        <v>69.219399999999993</v>
      </c>
      <c r="L301" s="2">
        <v>183</v>
      </c>
      <c r="M301" s="2">
        <v>95.513999999999996</v>
      </c>
      <c r="N301" s="2">
        <v>255</v>
      </c>
      <c r="O301" s="2">
        <v>95.233800000000002</v>
      </c>
      <c r="P301" s="2">
        <v>264</v>
      </c>
      <c r="Q301" s="2">
        <v>107.8335</v>
      </c>
      <c r="R301" s="2">
        <v>295</v>
      </c>
      <c r="S301" s="2">
        <v>111.1358</v>
      </c>
      <c r="T301" s="2">
        <v>309</v>
      </c>
      <c r="U301" s="2">
        <v>0.14482200000000001</v>
      </c>
      <c r="V301" s="2">
        <v>300</v>
      </c>
      <c r="W301" s="2">
        <v>2002</v>
      </c>
    </row>
    <row r="302" spans="1:23" ht="12.3" x14ac:dyDescent="0.4">
      <c r="A302" s="2" t="s">
        <v>326</v>
      </c>
      <c r="B302" s="2"/>
      <c r="C302" s="2"/>
      <c r="D302" s="2"/>
      <c r="E302" s="2"/>
      <c r="F302" s="2"/>
      <c r="G302" s="2"/>
      <c r="H302" s="2"/>
      <c r="I302" s="2">
        <v>70.606200000000001</v>
      </c>
      <c r="J302" s="2">
        <v>132</v>
      </c>
      <c r="K302" s="2">
        <v>72.246799999999993</v>
      </c>
      <c r="L302" s="2">
        <v>68</v>
      </c>
      <c r="M302" s="2">
        <v>92.327200000000005</v>
      </c>
      <c r="N302" s="2">
        <v>297</v>
      </c>
      <c r="O302" s="2">
        <v>91.793099999999995</v>
      </c>
      <c r="P302" s="2">
        <v>300</v>
      </c>
      <c r="Q302" s="2">
        <v>103.1198</v>
      </c>
      <c r="R302" s="2">
        <v>217</v>
      </c>
      <c r="S302" s="2">
        <v>107.1679</v>
      </c>
      <c r="T302" s="2">
        <v>276</v>
      </c>
      <c r="U302" s="2">
        <v>0.14419299999999999</v>
      </c>
      <c r="V302" s="2">
        <v>301</v>
      </c>
      <c r="W302" s="2">
        <v>2002</v>
      </c>
    </row>
    <row r="303" spans="1:23" ht="12.3" x14ac:dyDescent="0.4">
      <c r="A303" s="2" t="s">
        <v>327</v>
      </c>
      <c r="B303" s="2"/>
      <c r="C303" s="2"/>
      <c r="D303" s="2"/>
      <c r="E303" s="2"/>
      <c r="F303" s="2"/>
      <c r="G303" s="2"/>
      <c r="H303" s="2"/>
      <c r="I303" s="2">
        <v>62.2089</v>
      </c>
      <c r="J303" s="2">
        <v>320</v>
      </c>
      <c r="K303" s="2">
        <v>64.313900000000004</v>
      </c>
      <c r="L303" s="2">
        <v>307</v>
      </c>
      <c r="M303" s="2">
        <v>99.056700000000006</v>
      </c>
      <c r="N303" s="2">
        <v>196</v>
      </c>
      <c r="O303" s="2">
        <v>98.768199999999993</v>
      </c>
      <c r="P303" s="2">
        <v>203</v>
      </c>
      <c r="Q303" s="2">
        <v>112.0878</v>
      </c>
      <c r="R303" s="2">
        <v>322</v>
      </c>
      <c r="S303" s="2">
        <v>115.524</v>
      </c>
      <c r="T303" s="2">
        <v>326</v>
      </c>
      <c r="U303" s="2">
        <v>0.141598</v>
      </c>
      <c r="V303" s="2">
        <v>302</v>
      </c>
      <c r="W303" s="2">
        <v>2002</v>
      </c>
    </row>
    <row r="304" spans="1:23" ht="12.3" x14ac:dyDescent="0.4">
      <c r="A304" s="2" t="s">
        <v>328</v>
      </c>
      <c r="B304" s="2"/>
      <c r="C304" s="2"/>
      <c r="D304" s="2"/>
      <c r="E304" s="2"/>
      <c r="F304" s="2"/>
      <c r="G304" s="2"/>
      <c r="H304" s="2"/>
      <c r="I304" s="2">
        <v>62.961599999999997</v>
      </c>
      <c r="J304" s="2">
        <v>314</v>
      </c>
      <c r="K304" s="2">
        <v>62.156399999999998</v>
      </c>
      <c r="L304" s="2">
        <v>320</v>
      </c>
      <c r="M304" s="2">
        <v>88.481200000000001</v>
      </c>
      <c r="N304" s="2">
        <v>316</v>
      </c>
      <c r="O304" s="2">
        <v>88.547499999999999</v>
      </c>
      <c r="P304" s="2">
        <v>315</v>
      </c>
      <c r="Q304" s="2">
        <v>99.923000000000002</v>
      </c>
      <c r="R304" s="2">
        <v>144</v>
      </c>
      <c r="S304" s="2">
        <v>103.8167</v>
      </c>
      <c r="T304" s="2">
        <v>225</v>
      </c>
      <c r="U304" s="2">
        <v>0.138297</v>
      </c>
      <c r="V304" s="2">
        <v>303</v>
      </c>
      <c r="W304" s="2">
        <v>2002</v>
      </c>
    </row>
    <row r="305" spans="1:23" ht="12.3" x14ac:dyDescent="0.4">
      <c r="A305" s="2" t="s">
        <v>329</v>
      </c>
      <c r="B305" s="2"/>
      <c r="C305" s="2"/>
      <c r="D305" s="2"/>
      <c r="E305" s="2"/>
      <c r="F305" s="2"/>
      <c r="G305" s="2"/>
      <c r="H305" s="2"/>
      <c r="I305" s="2">
        <v>78.477099999999993</v>
      </c>
      <c r="J305" s="2">
        <v>6</v>
      </c>
      <c r="K305" s="2">
        <v>75.910700000000006</v>
      </c>
      <c r="L305" s="2">
        <v>10</v>
      </c>
      <c r="M305" s="2">
        <v>98.725499999999997</v>
      </c>
      <c r="N305" s="2">
        <v>200</v>
      </c>
      <c r="O305" s="2">
        <v>96.051900000000003</v>
      </c>
      <c r="P305" s="2">
        <v>249</v>
      </c>
      <c r="Q305" s="2">
        <v>110.9517</v>
      </c>
      <c r="R305" s="2">
        <v>314</v>
      </c>
      <c r="S305" s="2">
        <v>112.7165</v>
      </c>
      <c r="T305" s="2">
        <v>321</v>
      </c>
      <c r="U305" s="2">
        <v>0.137069</v>
      </c>
      <c r="V305" s="2">
        <v>304</v>
      </c>
      <c r="W305" s="2">
        <v>2002</v>
      </c>
    </row>
    <row r="306" spans="1:23" ht="12.3" x14ac:dyDescent="0.4">
      <c r="A306" s="2" t="s">
        <v>330</v>
      </c>
      <c r="B306" s="2"/>
      <c r="C306" s="2"/>
      <c r="D306" s="2"/>
      <c r="E306" s="2"/>
      <c r="F306" s="2"/>
      <c r="G306" s="2"/>
      <c r="H306" s="2"/>
      <c r="I306" s="2">
        <v>69.673599999999993</v>
      </c>
      <c r="J306" s="2">
        <v>174</v>
      </c>
      <c r="K306" s="2">
        <v>68.931200000000004</v>
      </c>
      <c r="L306" s="2">
        <v>196</v>
      </c>
      <c r="M306" s="2">
        <v>95.559700000000007</v>
      </c>
      <c r="N306" s="2">
        <v>253</v>
      </c>
      <c r="O306" s="2">
        <v>95.453199999999995</v>
      </c>
      <c r="P306" s="2">
        <v>255</v>
      </c>
      <c r="Q306" s="2">
        <v>106.33459999999999</v>
      </c>
      <c r="R306" s="2">
        <v>277</v>
      </c>
      <c r="S306" s="2">
        <v>112.657</v>
      </c>
      <c r="T306" s="2">
        <v>320</v>
      </c>
      <c r="U306" s="2">
        <v>0.129465</v>
      </c>
      <c r="V306" s="2">
        <v>305</v>
      </c>
      <c r="W306" s="2">
        <v>2002</v>
      </c>
    </row>
    <row r="307" spans="1:23" ht="12.3" x14ac:dyDescent="0.4">
      <c r="A307" s="2" t="s">
        <v>331</v>
      </c>
      <c r="B307" s="2"/>
      <c r="C307" s="2"/>
      <c r="D307" s="2"/>
      <c r="E307" s="2"/>
      <c r="F307" s="2"/>
      <c r="G307" s="2"/>
      <c r="H307" s="2"/>
      <c r="I307" s="2">
        <v>68.546099999999996</v>
      </c>
      <c r="J307" s="2">
        <v>209</v>
      </c>
      <c r="K307" s="2">
        <v>69.322599999999994</v>
      </c>
      <c r="L307" s="2">
        <v>177</v>
      </c>
      <c r="M307" s="2">
        <v>94.823999999999998</v>
      </c>
      <c r="N307" s="2">
        <v>267</v>
      </c>
      <c r="O307" s="2">
        <v>95.26</v>
      </c>
      <c r="P307" s="2">
        <v>263</v>
      </c>
      <c r="Q307" s="2">
        <v>115.2444</v>
      </c>
      <c r="R307" s="2">
        <v>326</v>
      </c>
      <c r="S307" s="2">
        <v>112.54900000000001</v>
      </c>
      <c r="T307" s="2">
        <v>317</v>
      </c>
      <c r="U307" s="2">
        <v>0.12808900000000001</v>
      </c>
      <c r="V307" s="2">
        <v>306</v>
      </c>
      <c r="W307" s="2">
        <v>2002</v>
      </c>
    </row>
    <row r="308" spans="1:23" ht="12.3" x14ac:dyDescent="0.4">
      <c r="A308" s="2" t="s">
        <v>332</v>
      </c>
      <c r="B308" s="2"/>
      <c r="C308" s="2"/>
      <c r="D308" s="2"/>
      <c r="E308" s="2"/>
      <c r="F308" s="2"/>
      <c r="G308" s="2"/>
      <c r="H308" s="2"/>
      <c r="I308" s="2">
        <v>67.883300000000006</v>
      </c>
      <c r="J308" s="2">
        <v>230</v>
      </c>
      <c r="K308" s="2">
        <v>67.034899999999993</v>
      </c>
      <c r="L308" s="2">
        <v>251</v>
      </c>
      <c r="M308" s="2">
        <v>92.55</v>
      </c>
      <c r="N308" s="2">
        <v>295</v>
      </c>
      <c r="O308" s="2">
        <v>87.659599999999998</v>
      </c>
      <c r="P308" s="2">
        <v>317</v>
      </c>
      <c r="Q308" s="2">
        <v>102.47539999999999</v>
      </c>
      <c r="R308" s="2">
        <v>197</v>
      </c>
      <c r="S308" s="2">
        <v>103.8107</v>
      </c>
      <c r="T308" s="2">
        <v>224</v>
      </c>
      <c r="U308" s="2">
        <v>0.12512799999999999</v>
      </c>
      <c r="V308" s="2">
        <v>307</v>
      </c>
      <c r="W308" s="2">
        <v>2002</v>
      </c>
    </row>
    <row r="309" spans="1:23" ht="12.3" x14ac:dyDescent="0.4">
      <c r="A309" s="2" t="s">
        <v>333</v>
      </c>
      <c r="B309" s="2"/>
      <c r="C309" s="2"/>
      <c r="D309" s="2"/>
      <c r="E309" s="2"/>
      <c r="F309" s="2"/>
      <c r="G309" s="2"/>
      <c r="H309" s="2"/>
      <c r="I309" s="2">
        <v>64.805999999999997</v>
      </c>
      <c r="J309" s="2">
        <v>299</v>
      </c>
      <c r="K309" s="2">
        <v>66.610799999999998</v>
      </c>
      <c r="L309" s="2">
        <v>268</v>
      </c>
      <c r="M309" s="2">
        <v>87.048000000000002</v>
      </c>
      <c r="N309" s="2">
        <v>319</v>
      </c>
      <c r="O309" s="2">
        <v>87.985799999999998</v>
      </c>
      <c r="P309" s="2">
        <v>316</v>
      </c>
      <c r="Q309" s="2">
        <v>103.4393</v>
      </c>
      <c r="R309" s="2">
        <v>221</v>
      </c>
      <c r="S309" s="2">
        <v>104.523</v>
      </c>
      <c r="T309" s="2">
        <v>242</v>
      </c>
      <c r="U309" s="2">
        <v>0.121249</v>
      </c>
      <c r="V309" s="2">
        <v>308</v>
      </c>
      <c r="W309" s="2">
        <v>2002</v>
      </c>
    </row>
    <row r="310" spans="1:23" ht="12.3" x14ac:dyDescent="0.4">
      <c r="A310" s="2" t="s">
        <v>334</v>
      </c>
      <c r="B310" s="2"/>
      <c r="C310" s="2"/>
      <c r="D310" s="2"/>
      <c r="E310" s="2"/>
      <c r="F310" s="2"/>
      <c r="G310" s="2"/>
      <c r="H310" s="2"/>
      <c r="I310" s="2">
        <v>73.942400000000006</v>
      </c>
      <c r="J310" s="2">
        <v>37</v>
      </c>
      <c r="K310" s="2">
        <v>73.726799999999997</v>
      </c>
      <c r="L310" s="2">
        <v>41</v>
      </c>
      <c r="M310" s="2">
        <v>94.119</v>
      </c>
      <c r="N310" s="2">
        <v>278</v>
      </c>
      <c r="O310" s="2">
        <v>95.285200000000003</v>
      </c>
      <c r="P310" s="2">
        <v>260</v>
      </c>
      <c r="Q310" s="2">
        <v>105.8978</v>
      </c>
      <c r="R310" s="2">
        <v>272</v>
      </c>
      <c r="S310" s="2">
        <v>113.7471</v>
      </c>
      <c r="T310" s="2">
        <v>323</v>
      </c>
      <c r="U310" s="2">
        <v>0.11540499999999999</v>
      </c>
      <c r="V310" s="2">
        <v>309</v>
      </c>
      <c r="W310" s="2">
        <v>2002</v>
      </c>
    </row>
    <row r="311" spans="1:23" ht="12.3" x14ac:dyDescent="0.4">
      <c r="A311" s="2" t="s">
        <v>335</v>
      </c>
      <c r="B311" s="2"/>
      <c r="C311" s="2"/>
      <c r="D311" s="2"/>
      <c r="E311" s="2"/>
      <c r="F311" s="2"/>
      <c r="G311" s="2"/>
      <c r="H311" s="2"/>
      <c r="I311" s="2">
        <v>72.748699999999999</v>
      </c>
      <c r="J311" s="2">
        <v>64</v>
      </c>
      <c r="K311" s="2">
        <v>72.876999999999995</v>
      </c>
      <c r="L311" s="2">
        <v>56</v>
      </c>
      <c r="M311" s="2">
        <v>89.643799999999999</v>
      </c>
      <c r="N311" s="2">
        <v>311</v>
      </c>
      <c r="O311" s="2">
        <v>91.902600000000007</v>
      </c>
      <c r="P311" s="2">
        <v>298</v>
      </c>
      <c r="Q311" s="2">
        <v>106.7514</v>
      </c>
      <c r="R311" s="2">
        <v>282</v>
      </c>
      <c r="S311" s="2">
        <v>110.0425</v>
      </c>
      <c r="T311" s="2">
        <v>303</v>
      </c>
      <c r="U311" s="2">
        <v>0.11189</v>
      </c>
      <c r="V311" s="2">
        <v>310</v>
      </c>
      <c r="W311" s="2">
        <v>2002</v>
      </c>
    </row>
    <row r="312" spans="1:23" ht="12.3" x14ac:dyDescent="0.4">
      <c r="A312" s="2" t="s">
        <v>336</v>
      </c>
      <c r="B312" s="2"/>
      <c r="C312" s="2"/>
      <c r="D312" s="2"/>
      <c r="E312" s="2"/>
      <c r="F312" s="2"/>
      <c r="G312" s="2"/>
      <c r="H312" s="2"/>
      <c r="I312" s="2">
        <v>67.682400000000001</v>
      </c>
      <c r="J312" s="2">
        <v>234</v>
      </c>
      <c r="K312" s="2">
        <v>67.458600000000004</v>
      </c>
      <c r="L312" s="2">
        <v>240</v>
      </c>
      <c r="M312" s="2">
        <v>90.098500000000001</v>
      </c>
      <c r="N312" s="2">
        <v>309</v>
      </c>
      <c r="O312" s="2">
        <v>90.915099999999995</v>
      </c>
      <c r="P312" s="2">
        <v>305</v>
      </c>
      <c r="Q312" s="2">
        <v>104.47450000000001</v>
      </c>
      <c r="R312" s="2">
        <v>245</v>
      </c>
      <c r="S312" s="2">
        <v>108.9207</v>
      </c>
      <c r="T312" s="2">
        <v>296</v>
      </c>
      <c r="U312" s="2">
        <v>0.11125500000000001</v>
      </c>
      <c r="V312" s="2">
        <v>311</v>
      </c>
      <c r="W312" s="2">
        <v>2002</v>
      </c>
    </row>
    <row r="313" spans="1:23" ht="12.3" x14ac:dyDescent="0.4">
      <c r="A313" s="2" t="s">
        <v>337</v>
      </c>
      <c r="B313" s="2"/>
      <c r="C313" s="2"/>
      <c r="D313" s="2"/>
      <c r="E313" s="2"/>
      <c r="F313" s="2"/>
      <c r="G313" s="2"/>
      <c r="H313" s="2"/>
      <c r="I313" s="2">
        <v>72.572500000000005</v>
      </c>
      <c r="J313" s="2">
        <v>67</v>
      </c>
      <c r="K313" s="2">
        <v>70.903099999999995</v>
      </c>
      <c r="L313" s="2">
        <v>117</v>
      </c>
      <c r="M313" s="2">
        <v>92.676500000000004</v>
      </c>
      <c r="N313" s="2">
        <v>293</v>
      </c>
      <c r="O313" s="2">
        <v>92.554599999999994</v>
      </c>
      <c r="P313" s="2">
        <v>293</v>
      </c>
      <c r="Q313" s="2">
        <v>108.18129999999999</v>
      </c>
      <c r="R313" s="2">
        <v>301</v>
      </c>
      <c r="S313" s="2">
        <v>111.1061</v>
      </c>
      <c r="T313" s="2">
        <v>308</v>
      </c>
      <c r="U313" s="2">
        <v>0.10901</v>
      </c>
      <c r="V313" s="2">
        <v>312</v>
      </c>
      <c r="W313" s="2">
        <v>2002</v>
      </c>
    </row>
    <row r="314" spans="1:23" ht="12.3" x14ac:dyDescent="0.4">
      <c r="A314" s="2" t="s">
        <v>338</v>
      </c>
      <c r="B314" s="2"/>
      <c r="C314" s="2"/>
      <c r="D314" s="2"/>
      <c r="E314" s="2"/>
      <c r="F314" s="2"/>
      <c r="G314" s="2"/>
      <c r="H314" s="2"/>
      <c r="I314" s="2">
        <v>77.053200000000004</v>
      </c>
      <c r="J314" s="2">
        <v>9</v>
      </c>
      <c r="K314" s="2">
        <v>74.121200000000002</v>
      </c>
      <c r="L314" s="2">
        <v>29</v>
      </c>
      <c r="M314" s="2">
        <v>96.973600000000005</v>
      </c>
      <c r="N314" s="2">
        <v>237</v>
      </c>
      <c r="O314" s="2">
        <v>93.706400000000002</v>
      </c>
      <c r="P314" s="2">
        <v>283</v>
      </c>
      <c r="Q314" s="2">
        <v>109.0093</v>
      </c>
      <c r="R314" s="2">
        <v>309</v>
      </c>
      <c r="S314" s="2">
        <v>112.55719999999999</v>
      </c>
      <c r="T314" s="2">
        <v>318</v>
      </c>
      <c r="U314" s="2">
        <v>0.108332</v>
      </c>
      <c r="V314" s="2">
        <v>313</v>
      </c>
      <c r="W314" s="2">
        <v>2002</v>
      </c>
    </row>
    <row r="315" spans="1:23" ht="12.3" x14ac:dyDescent="0.4">
      <c r="A315" s="2" t="s">
        <v>339</v>
      </c>
      <c r="B315" s="2"/>
      <c r="C315" s="2"/>
      <c r="D315" s="2"/>
      <c r="E315" s="2"/>
      <c r="F315" s="2"/>
      <c r="G315" s="2"/>
      <c r="H315" s="2"/>
      <c r="I315" s="2">
        <v>63.727699999999999</v>
      </c>
      <c r="J315" s="2">
        <v>311</v>
      </c>
      <c r="K315" s="2">
        <v>64.312700000000007</v>
      </c>
      <c r="L315" s="2">
        <v>308</v>
      </c>
      <c r="M315" s="2">
        <v>88.9679</v>
      </c>
      <c r="N315" s="2">
        <v>315</v>
      </c>
      <c r="O315" s="2">
        <v>85.784400000000005</v>
      </c>
      <c r="P315" s="2">
        <v>322</v>
      </c>
      <c r="Q315" s="2">
        <v>101.1339</v>
      </c>
      <c r="R315" s="2">
        <v>172</v>
      </c>
      <c r="S315" s="2">
        <v>103.26260000000001</v>
      </c>
      <c r="T315" s="2">
        <v>212</v>
      </c>
      <c r="U315" s="2">
        <v>0.105974</v>
      </c>
      <c r="V315" s="2">
        <v>314</v>
      </c>
      <c r="W315" s="2">
        <v>2002</v>
      </c>
    </row>
    <row r="316" spans="1:23" ht="12.3" x14ac:dyDescent="0.4">
      <c r="A316" s="2" t="s">
        <v>340</v>
      </c>
      <c r="B316" s="2"/>
      <c r="C316" s="2"/>
      <c r="D316" s="2"/>
      <c r="E316" s="2"/>
      <c r="F316" s="2"/>
      <c r="G316" s="2"/>
      <c r="H316" s="2"/>
      <c r="I316" s="2">
        <v>67.756900000000002</v>
      </c>
      <c r="J316" s="2">
        <v>233</v>
      </c>
      <c r="K316" s="2">
        <v>67.303200000000004</v>
      </c>
      <c r="L316" s="2">
        <v>244</v>
      </c>
      <c r="M316" s="2">
        <v>85.175399999999996</v>
      </c>
      <c r="N316" s="2">
        <v>323</v>
      </c>
      <c r="O316" s="2">
        <v>86.308300000000003</v>
      </c>
      <c r="P316" s="2">
        <v>321</v>
      </c>
      <c r="Q316" s="2">
        <v>101.4567</v>
      </c>
      <c r="R316" s="2">
        <v>177</v>
      </c>
      <c r="S316" s="2">
        <v>104.3236</v>
      </c>
      <c r="T316" s="2">
        <v>238</v>
      </c>
      <c r="U316" s="2">
        <v>0.10155400000000001</v>
      </c>
      <c r="V316" s="2">
        <v>315</v>
      </c>
      <c r="W316" s="2">
        <v>2002</v>
      </c>
    </row>
    <row r="317" spans="1:23" ht="12.3" x14ac:dyDescent="0.4">
      <c r="A317" s="2" t="s">
        <v>341</v>
      </c>
      <c r="B317" s="2"/>
      <c r="C317" s="2"/>
      <c r="D317" s="2"/>
      <c r="E317" s="2"/>
      <c r="F317" s="2"/>
      <c r="G317" s="2"/>
      <c r="H317" s="2"/>
      <c r="I317" s="2">
        <v>65.873500000000007</v>
      </c>
      <c r="J317" s="2">
        <v>280</v>
      </c>
      <c r="K317" s="2">
        <v>66.083500000000001</v>
      </c>
      <c r="L317" s="2">
        <v>282</v>
      </c>
      <c r="M317" s="2">
        <v>87.716399999999993</v>
      </c>
      <c r="N317" s="2">
        <v>317</v>
      </c>
      <c r="O317" s="2">
        <v>86.772000000000006</v>
      </c>
      <c r="P317" s="2">
        <v>319</v>
      </c>
      <c r="Q317" s="2">
        <v>104.0474</v>
      </c>
      <c r="R317" s="2">
        <v>236</v>
      </c>
      <c r="S317" s="2">
        <v>104.9783</v>
      </c>
      <c r="T317" s="2">
        <v>246</v>
      </c>
      <c r="U317" s="2">
        <v>0.100616</v>
      </c>
      <c r="V317" s="2">
        <v>316</v>
      </c>
      <c r="W317" s="2">
        <v>2002</v>
      </c>
    </row>
    <row r="318" spans="1:23" ht="12.3" x14ac:dyDescent="0.4">
      <c r="A318" s="2" t="s">
        <v>342</v>
      </c>
      <c r="B318" s="2"/>
      <c r="C318" s="2"/>
      <c r="D318" s="2"/>
      <c r="E318" s="2"/>
      <c r="F318" s="2"/>
      <c r="G318" s="2"/>
      <c r="H318" s="2"/>
      <c r="I318" s="2">
        <v>78.410200000000003</v>
      </c>
      <c r="J318" s="2">
        <v>7</v>
      </c>
      <c r="K318" s="2">
        <v>75.371700000000004</v>
      </c>
      <c r="L318" s="2">
        <v>13</v>
      </c>
      <c r="M318" s="2">
        <v>91.093999999999994</v>
      </c>
      <c r="N318" s="2">
        <v>305</v>
      </c>
      <c r="O318" s="2">
        <v>90.038600000000002</v>
      </c>
      <c r="P318" s="2">
        <v>307</v>
      </c>
      <c r="Q318" s="2">
        <v>107.2715</v>
      </c>
      <c r="R318" s="2">
        <v>291</v>
      </c>
      <c r="S318" s="2">
        <v>109.837</v>
      </c>
      <c r="T318" s="2">
        <v>302</v>
      </c>
      <c r="U318" s="2">
        <v>9.2311000000000004E-2</v>
      </c>
      <c r="V318" s="2">
        <v>317</v>
      </c>
      <c r="W318" s="2">
        <v>2002</v>
      </c>
    </row>
    <row r="319" spans="1:23" ht="12.3" x14ac:dyDescent="0.4">
      <c r="A319" s="2" t="s">
        <v>343</v>
      </c>
      <c r="B319" s="2"/>
      <c r="C319" s="2"/>
      <c r="D319" s="2"/>
      <c r="E319" s="2"/>
      <c r="F319" s="2"/>
      <c r="G319" s="2"/>
      <c r="H319" s="2"/>
      <c r="I319" s="2">
        <v>76.616299999999995</v>
      </c>
      <c r="J319" s="2">
        <v>11</v>
      </c>
      <c r="K319" s="2">
        <v>76.215100000000007</v>
      </c>
      <c r="L319" s="2">
        <v>6</v>
      </c>
      <c r="M319" s="2">
        <v>97.4024</v>
      </c>
      <c r="N319" s="2">
        <v>231</v>
      </c>
      <c r="O319" s="2">
        <v>97.322100000000006</v>
      </c>
      <c r="P319" s="2">
        <v>223</v>
      </c>
      <c r="Q319" s="2">
        <v>117.6724</v>
      </c>
      <c r="R319" s="2">
        <v>327</v>
      </c>
      <c r="S319" s="2">
        <v>119.28740000000001</v>
      </c>
      <c r="T319" s="2">
        <v>327</v>
      </c>
      <c r="U319" s="2">
        <v>8.7834999999999996E-2</v>
      </c>
      <c r="V319" s="2">
        <v>318</v>
      </c>
      <c r="W319" s="2">
        <v>2002</v>
      </c>
    </row>
    <row r="320" spans="1:23" ht="12.3" x14ac:dyDescent="0.4">
      <c r="A320" s="2" t="s">
        <v>344</v>
      </c>
      <c r="B320" s="2"/>
      <c r="C320" s="2"/>
      <c r="D320" s="2"/>
      <c r="E320" s="2"/>
      <c r="F320" s="2"/>
      <c r="G320" s="2"/>
      <c r="H320" s="2"/>
      <c r="I320" s="2">
        <v>72.514899999999997</v>
      </c>
      <c r="J320" s="2">
        <v>70</v>
      </c>
      <c r="K320" s="2">
        <v>72.197999999999993</v>
      </c>
      <c r="L320" s="2">
        <v>70</v>
      </c>
      <c r="M320" s="2">
        <v>95.419499999999999</v>
      </c>
      <c r="N320" s="2">
        <v>257</v>
      </c>
      <c r="O320" s="2">
        <v>93.163300000000007</v>
      </c>
      <c r="P320" s="2">
        <v>286</v>
      </c>
      <c r="Q320" s="2">
        <v>108.24120000000001</v>
      </c>
      <c r="R320" s="2">
        <v>302</v>
      </c>
      <c r="S320" s="2">
        <v>114.1986</v>
      </c>
      <c r="T320" s="2">
        <v>324</v>
      </c>
      <c r="U320" s="2">
        <v>8.7764999999999996E-2</v>
      </c>
      <c r="V320" s="2">
        <v>319</v>
      </c>
      <c r="W320" s="2">
        <v>2002</v>
      </c>
    </row>
    <row r="321" spans="1:23" ht="12.3" x14ac:dyDescent="0.4">
      <c r="A321" s="2" t="s">
        <v>345</v>
      </c>
      <c r="B321" s="2"/>
      <c r="C321" s="2"/>
      <c r="D321" s="2"/>
      <c r="E321" s="2"/>
      <c r="F321" s="2"/>
      <c r="G321" s="2"/>
      <c r="H321" s="2"/>
      <c r="I321" s="2">
        <v>71.678799999999995</v>
      </c>
      <c r="J321" s="2">
        <v>93</v>
      </c>
      <c r="K321" s="2">
        <v>71.560500000000005</v>
      </c>
      <c r="L321" s="2">
        <v>88</v>
      </c>
      <c r="M321" s="2">
        <v>90.306899999999999</v>
      </c>
      <c r="N321" s="2">
        <v>308</v>
      </c>
      <c r="O321" s="2">
        <v>89.061800000000005</v>
      </c>
      <c r="P321" s="2">
        <v>312</v>
      </c>
      <c r="Q321" s="2">
        <v>106.3235</v>
      </c>
      <c r="R321" s="2">
        <v>276</v>
      </c>
      <c r="S321" s="2">
        <v>109.5518</v>
      </c>
      <c r="T321" s="2">
        <v>301</v>
      </c>
      <c r="U321" s="2">
        <v>8.4612000000000007E-2</v>
      </c>
      <c r="V321" s="2">
        <v>320</v>
      </c>
      <c r="W321" s="2">
        <v>2002</v>
      </c>
    </row>
    <row r="322" spans="1:23" ht="12.3" x14ac:dyDescent="0.4">
      <c r="A322" s="2" t="s">
        <v>346</v>
      </c>
      <c r="B322" s="2"/>
      <c r="C322" s="2"/>
      <c r="D322" s="2"/>
      <c r="E322" s="2"/>
      <c r="F322" s="2"/>
      <c r="G322" s="2"/>
      <c r="H322" s="2"/>
      <c r="I322" s="2">
        <v>73.974199999999996</v>
      </c>
      <c r="J322" s="2">
        <v>34</v>
      </c>
      <c r="K322" s="2">
        <v>74.312899999999999</v>
      </c>
      <c r="L322" s="2">
        <v>24</v>
      </c>
      <c r="M322" s="2">
        <v>85.640699999999995</v>
      </c>
      <c r="N322" s="2">
        <v>322</v>
      </c>
      <c r="O322" s="2">
        <v>85.412000000000006</v>
      </c>
      <c r="P322" s="2">
        <v>323</v>
      </c>
      <c r="Q322" s="2">
        <v>104.6289</v>
      </c>
      <c r="R322" s="2">
        <v>248</v>
      </c>
      <c r="S322" s="2">
        <v>107.9559</v>
      </c>
      <c r="T322" s="2">
        <v>288</v>
      </c>
      <c r="U322" s="2">
        <v>6.3344999999999999E-2</v>
      </c>
      <c r="V322" s="2">
        <v>321</v>
      </c>
      <c r="W322" s="2">
        <v>2002</v>
      </c>
    </row>
    <row r="323" spans="1:23" ht="12.3" x14ac:dyDescent="0.4">
      <c r="A323" s="2" t="s">
        <v>347</v>
      </c>
      <c r="B323" s="2"/>
      <c r="C323" s="2"/>
      <c r="D323" s="2"/>
      <c r="E323" s="2"/>
      <c r="F323" s="2"/>
      <c r="G323" s="2"/>
      <c r="H323" s="2"/>
      <c r="I323" s="2">
        <v>70.804299999999998</v>
      </c>
      <c r="J323" s="2">
        <v>123</v>
      </c>
      <c r="K323" s="2">
        <v>70.252600000000001</v>
      </c>
      <c r="L323" s="2">
        <v>146</v>
      </c>
      <c r="M323" s="2">
        <v>83.334599999999995</v>
      </c>
      <c r="N323" s="2">
        <v>324</v>
      </c>
      <c r="O323" s="2">
        <v>86.375900000000001</v>
      </c>
      <c r="P323" s="2">
        <v>320</v>
      </c>
      <c r="Q323" s="2">
        <v>111.4449</v>
      </c>
      <c r="R323" s="2">
        <v>318</v>
      </c>
      <c r="S323" s="2">
        <v>109.19450000000001</v>
      </c>
      <c r="T323" s="2">
        <v>298</v>
      </c>
      <c r="U323" s="2">
        <v>6.3218999999999997E-2</v>
      </c>
      <c r="V323" s="2">
        <v>322</v>
      </c>
      <c r="W323" s="2">
        <v>2002</v>
      </c>
    </row>
    <row r="324" spans="1:23" ht="12.3" x14ac:dyDescent="0.4">
      <c r="A324" s="2" t="s">
        <v>348</v>
      </c>
      <c r="B324" s="2"/>
      <c r="C324" s="2"/>
      <c r="D324" s="2"/>
      <c r="E324" s="2"/>
      <c r="F324" s="2"/>
      <c r="G324" s="2"/>
      <c r="H324" s="2"/>
      <c r="I324" s="2">
        <v>71.820999999999998</v>
      </c>
      <c r="J324" s="2">
        <v>89</v>
      </c>
      <c r="K324" s="2">
        <v>71.592100000000002</v>
      </c>
      <c r="L324" s="2">
        <v>87</v>
      </c>
      <c r="M324" s="2">
        <v>86.044499999999999</v>
      </c>
      <c r="N324" s="2">
        <v>321</v>
      </c>
      <c r="O324" s="2">
        <v>87.517700000000005</v>
      </c>
      <c r="P324" s="2">
        <v>318</v>
      </c>
      <c r="Q324" s="2">
        <v>113.51139999999999</v>
      </c>
      <c r="R324" s="2">
        <v>324</v>
      </c>
      <c r="S324" s="2">
        <v>111.7949</v>
      </c>
      <c r="T324" s="2">
        <v>313</v>
      </c>
      <c r="U324" s="2">
        <v>5.6493000000000002E-2</v>
      </c>
      <c r="V324" s="2">
        <v>323</v>
      </c>
      <c r="W324" s="2">
        <v>2002</v>
      </c>
    </row>
    <row r="325" spans="1:23" ht="12.3" x14ac:dyDescent="0.4">
      <c r="A325" s="2" t="s">
        <v>349</v>
      </c>
      <c r="B325" s="2"/>
      <c r="C325" s="2"/>
      <c r="D325" s="2"/>
      <c r="E325" s="2"/>
      <c r="F325" s="2"/>
      <c r="G325" s="2"/>
      <c r="H325" s="2"/>
      <c r="I325" s="2">
        <v>70.103200000000001</v>
      </c>
      <c r="J325" s="2">
        <v>155</v>
      </c>
      <c r="K325" s="2">
        <v>69.005399999999995</v>
      </c>
      <c r="L325" s="2">
        <v>191</v>
      </c>
      <c r="M325" s="2">
        <v>87.051699999999997</v>
      </c>
      <c r="N325" s="2">
        <v>318</v>
      </c>
      <c r="O325" s="2">
        <v>85.237099999999998</v>
      </c>
      <c r="P325" s="2">
        <v>324</v>
      </c>
      <c r="Q325" s="2">
        <v>107.8777</v>
      </c>
      <c r="R325" s="2">
        <v>298</v>
      </c>
      <c r="S325" s="2">
        <v>111.68</v>
      </c>
      <c r="T325" s="2">
        <v>312</v>
      </c>
      <c r="U325" s="2">
        <v>4.2805999999999997E-2</v>
      </c>
      <c r="V325" s="2">
        <v>324</v>
      </c>
      <c r="W325" s="2">
        <v>2002</v>
      </c>
    </row>
    <row r="326" spans="1:23" ht="12.3" x14ac:dyDescent="0.4">
      <c r="A326" s="2" t="s">
        <v>350</v>
      </c>
      <c r="B326" s="2"/>
      <c r="C326" s="2"/>
      <c r="D326" s="2"/>
      <c r="E326" s="2"/>
      <c r="F326" s="2"/>
      <c r="G326" s="2"/>
      <c r="H326" s="2"/>
      <c r="I326" s="2">
        <v>70.008399999999995</v>
      </c>
      <c r="J326" s="2">
        <v>160</v>
      </c>
      <c r="K326" s="2">
        <v>69.486599999999996</v>
      </c>
      <c r="L326" s="2">
        <v>170</v>
      </c>
      <c r="M326" s="2">
        <v>80.653400000000005</v>
      </c>
      <c r="N326" s="2">
        <v>326</v>
      </c>
      <c r="O326" s="2">
        <v>84.965400000000002</v>
      </c>
      <c r="P326" s="2">
        <v>325</v>
      </c>
      <c r="Q326" s="2">
        <v>111.6584</v>
      </c>
      <c r="R326" s="2">
        <v>319</v>
      </c>
      <c r="S326" s="2">
        <v>111.61190000000001</v>
      </c>
      <c r="T326" s="2">
        <v>311</v>
      </c>
      <c r="U326" s="2">
        <v>4.1605999999999997E-2</v>
      </c>
      <c r="V326" s="2">
        <v>325</v>
      </c>
      <c r="W326" s="2">
        <v>2002</v>
      </c>
    </row>
    <row r="327" spans="1:23" ht="12.3" x14ac:dyDescent="0.4">
      <c r="A327" s="2" t="s">
        <v>351</v>
      </c>
      <c r="B327" s="2"/>
      <c r="C327" s="2"/>
      <c r="D327" s="2"/>
      <c r="E327" s="2"/>
      <c r="F327" s="2"/>
      <c r="G327" s="2"/>
      <c r="H327" s="2"/>
      <c r="I327" s="2">
        <v>80.206699999999998</v>
      </c>
      <c r="J327" s="2">
        <v>2</v>
      </c>
      <c r="K327" s="2">
        <v>77.748699999999999</v>
      </c>
      <c r="L327" s="2">
        <v>5</v>
      </c>
      <c r="M327" s="2">
        <v>82.684200000000004</v>
      </c>
      <c r="N327" s="2">
        <v>325</v>
      </c>
      <c r="O327" s="2">
        <v>83.088899999999995</v>
      </c>
      <c r="P327" s="2">
        <v>326</v>
      </c>
      <c r="Q327" s="2">
        <v>105.8052</v>
      </c>
      <c r="R327" s="2">
        <v>270</v>
      </c>
      <c r="S327" s="2">
        <v>109.3085</v>
      </c>
      <c r="T327" s="2">
        <v>299</v>
      </c>
      <c r="U327" s="2">
        <v>4.0932999999999997E-2</v>
      </c>
      <c r="V327" s="2">
        <v>326</v>
      </c>
      <c r="W327" s="2">
        <v>2002</v>
      </c>
    </row>
    <row r="328" spans="1:23" ht="12.3" x14ac:dyDescent="0.4">
      <c r="A328" s="2" t="s">
        <v>352</v>
      </c>
      <c r="B328" s="2"/>
      <c r="C328" s="2"/>
      <c r="D328" s="2"/>
      <c r="E328" s="2"/>
      <c r="F328" s="2"/>
      <c r="G328" s="2"/>
      <c r="H328" s="2"/>
      <c r="I328" s="2">
        <v>70.080299999999994</v>
      </c>
      <c r="J328" s="2">
        <v>157</v>
      </c>
      <c r="K328" s="2">
        <v>68.795400000000001</v>
      </c>
      <c r="L328" s="2">
        <v>202</v>
      </c>
      <c r="M328" s="2">
        <v>76.724500000000006</v>
      </c>
      <c r="N328" s="2">
        <v>327</v>
      </c>
      <c r="O328" s="2">
        <v>77.971299999999999</v>
      </c>
      <c r="P328" s="2">
        <v>327</v>
      </c>
      <c r="Q328" s="2">
        <v>106.4678</v>
      </c>
      <c r="R328" s="2">
        <v>281</v>
      </c>
      <c r="S328" s="2">
        <v>105.539</v>
      </c>
      <c r="T328" s="2">
        <v>252</v>
      </c>
      <c r="U328" s="2">
        <v>2.9843000000000001E-2</v>
      </c>
      <c r="V328" s="2">
        <v>327</v>
      </c>
      <c r="W328" s="2">
        <v>2002</v>
      </c>
    </row>
  </sheetData>
  <autoFilter ref="A1:V32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W328"/>
  <sheetViews>
    <sheetView workbookViewId="0"/>
  </sheetViews>
  <sheetFormatPr defaultColWidth="14.44140625" defaultRowHeight="15.75" customHeight="1" x14ac:dyDescent="0.4"/>
  <cols>
    <col min="1" max="1" width="14.71875" customWidth="1"/>
    <col min="2" max="2" width="3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4" t="s">
        <v>26</v>
      </c>
      <c r="D1" s="4" t="s">
        <v>27</v>
      </c>
      <c r="E1" s="4" t="s">
        <v>28</v>
      </c>
      <c r="F1" s="4" t="s">
        <v>29</v>
      </c>
      <c r="G1" s="4" t="s">
        <v>30</v>
      </c>
      <c r="H1" s="4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45</v>
      </c>
      <c r="B2" s="2">
        <v>1</v>
      </c>
      <c r="C2" s="3" t="s">
        <v>33</v>
      </c>
      <c r="D2" s="3" t="s">
        <v>33</v>
      </c>
      <c r="E2" s="3" t="s">
        <v>33</v>
      </c>
      <c r="F2" s="4"/>
      <c r="G2" s="4"/>
      <c r="H2" s="4"/>
      <c r="I2" s="2">
        <v>69.514499999999998</v>
      </c>
      <c r="J2" s="2">
        <v>128</v>
      </c>
      <c r="K2" s="2">
        <v>69.579700000000003</v>
      </c>
      <c r="L2" s="2">
        <v>115</v>
      </c>
      <c r="M2" s="2">
        <v>111.2842</v>
      </c>
      <c r="N2" s="2">
        <v>15</v>
      </c>
      <c r="O2" s="2">
        <v>114.3086</v>
      </c>
      <c r="P2" s="2">
        <v>11</v>
      </c>
      <c r="Q2" s="2">
        <v>92.321899999999999</v>
      </c>
      <c r="R2" s="2">
        <v>13</v>
      </c>
      <c r="S2" s="2">
        <v>86.814499999999995</v>
      </c>
      <c r="T2" s="2">
        <v>1</v>
      </c>
      <c r="U2" s="2">
        <v>0.95945499999999995</v>
      </c>
      <c r="V2" s="2">
        <v>1</v>
      </c>
      <c r="W2" s="2">
        <v>2003</v>
      </c>
    </row>
    <row r="3" spans="1:23" ht="15.75" customHeight="1" x14ac:dyDescent="0.4">
      <c r="A3" s="2" t="s">
        <v>46</v>
      </c>
      <c r="B3" s="2">
        <v>2</v>
      </c>
      <c r="C3" s="3" t="s">
        <v>33</v>
      </c>
      <c r="D3" s="3" t="s">
        <v>33</v>
      </c>
      <c r="E3" s="4"/>
      <c r="F3" s="4"/>
      <c r="G3" s="4"/>
      <c r="H3" s="4"/>
      <c r="I3" s="2">
        <v>68.3767</v>
      </c>
      <c r="J3" s="2">
        <v>175</v>
      </c>
      <c r="K3" s="2">
        <v>66.644499999999994</v>
      </c>
      <c r="L3" s="2">
        <v>251</v>
      </c>
      <c r="M3" s="2">
        <v>109.09099999999999</v>
      </c>
      <c r="N3" s="2">
        <v>31</v>
      </c>
      <c r="O3" s="2">
        <v>111.9746</v>
      </c>
      <c r="P3" s="2">
        <v>17</v>
      </c>
      <c r="Q3" s="2">
        <v>86.375100000000003</v>
      </c>
      <c r="R3" s="2">
        <v>1</v>
      </c>
      <c r="S3" s="2">
        <v>87.020499999999998</v>
      </c>
      <c r="T3" s="2">
        <v>2</v>
      </c>
      <c r="U3" s="2">
        <v>0.94782100000000002</v>
      </c>
      <c r="V3" s="2">
        <v>2</v>
      </c>
      <c r="W3" s="2">
        <v>2003</v>
      </c>
    </row>
    <row r="4" spans="1:23" ht="15.75" customHeight="1" x14ac:dyDescent="0.4">
      <c r="A4" s="2" t="s">
        <v>43</v>
      </c>
      <c r="B4" s="2">
        <v>1</v>
      </c>
      <c r="C4" s="3" t="s">
        <v>33</v>
      </c>
      <c r="D4" s="3" t="s">
        <v>33</v>
      </c>
      <c r="E4" s="3" t="s">
        <v>33</v>
      </c>
      <c r="F4" s="4"/>
      <c r="G4" s="4"/>
      <c r="H4" s="4"/>
      <c r="I4" s="2">
        <v>76.209100000000007</v>
      </c>
      <c r="J4" s="2">
        <v>4</v>
      </c>
      <c r="K4" s="2">
        <v>74.597700000000003</v>
      </c>
      <c r="L4" s="2">
        <v>8</v>
      </c>
      <c r="M4" s="2">
        <v>110.9747</v>
      </c>
      <c r="N4" s="2">
        <v>18</v>
      </c>
      <c r="O4" s="2">
        <v>114.4555</v>
      </c>
      <c r="P4" s="2">
        <v>10</v>
      </c>
      <c r="Q4" s="2">
        <v>91.655000000000001</v>
      </c>
      <c r="R4" s="2">
        <v>10</v>
      </c>
      <c r="S4" s="2">
        <v>90.200599999999994</v>
      </c>
      <c r="T4" s="2">
        <v>8</v>
      </c>
      <c r="U4" s="2">
        <v>0.93927400000000005</v>
      </c>
      <c r="V4" s="2">
        <v>3</v>
      </c>
      <c r="W4" s="2">
        <v>2003</v>
      </c>
    </row>
    <row r="5" spans="1:23" ht="15.75" customHeight="1" x14ac:dyDescent="0.4">
      <c r="A5" s="2" t="s">
        <v>35</v>
      </c>
      <c r="B5" s="2">
        <v>2</v>
      </c>
      <c r="C5" s="3" t="s">
        <v>33</v>
      </c>
      <c r="D5" s="3" t="s">
        <v>33</v>
      </c>
      <c r="E5" s="3" t="s">
        <v>33</v>
      </c>
      <c r="F5" s="3" t="s">
        <v>33</v>
      </c>
      <c r="G5" s="3" t="s">
        <v>33</v>
      </c>
      <c r="H5" s="4"/>
      <c r="I5" s="2">
        <v>74.107500000000002</v>
      </c>
      <c r="J5" s="2">
        <v>18</v>
      </c>
      <c r="K5" s="2">
        <v>73.725700000000003</v>
      </c>
      <c r="L5" s="2">
        <v>18</v>
      </c>
      <c r="M5" s="2">
        <v>109.8827</v>
      </c>
      <c r="N5" s="2">
        <v>25</v>
      </c>
      <c r="O5" s="2">
        <v>111.73390000000001</v>
      </c>
      <c r="P5" s="2">
        <v>19</v>
      </c>
      <c r="Q5" s="2">
        <v>89.549599999999998</v>
      </c>
      <c r="R5" s="2">
        <v>5</v>
      </c>
      <c r="S5" s="2">
        <v>88.240700000000004</v>
      </c>
      <c r="T5" s="2">
        <v>4</v>
      </c>
      <c r="U5" s="2">
        <v>0.93788300000000002</v>
      </c>
      <c r="V5" s="2">
        <v>4</v>
      </c>
      <c r="W5" s="2">
        <v>2003</v>
      </c>
    </row>
    <row r="6" spans="1:23" ht="15.75" customHeight="1" x14ac:dyDescent="0.4">
      <c r="A6" s="2" t="s">
        <v>44</v>
      </c>
      <c r="B6" s="2">
        <v>4</v>
      </c>
      <c r="C6" s="3" t="s">
        <v>33</v>
      </c>
      <c r="D6" s="4"/>
      <c r="E6" s="4"/>
      <c r="F6" s="4"/>
      <c r="G6" s="4"/>
      <c r="H6" s="4"/>
      <c r="I6" s="2">
        <v>68.054199999999994</v>
      </c>
      <c r="J6" s="2">
        <v>189</v>
      </c>
      <c r="K6" s="2">
        <v>69.394599999999997</v>
      </c>
      <c r="L6" s="2">
        <v>121</v>
      </c>
      <c r="M6" s="2">
        <v>110.9676</v>
      </c>
      <c r="N6" s="2">
        <v>19</v>
      </c>
      <c r="O6" s="2">
        <v>112.72629999999999</v>
      </c>
      <c r="P6" s="2">
        <v>14</v>
      </c>
      <c r="Q6" s="2">
        <v>90.301599999999993</v>
      </c>
      <c r="R6" s="2">
        <v>8</v>
      </c>
      <c r="S6" s="2">
        <v>90.325100000000006</v>
      </c>
      <c r="T6" s="2">
        <v>9</v>
      </c>
      <c r="U6" s="2">
        <v>0.92742500000000005</v>
      </c>
      <c r="V6" s="2">
        <v>5</v>
      </c>
      <c r="W6" s="2">
        <v>2003</v>
      </c>
    </row>
    <row r="7" spans="1:23" ht="15.75" customHeight="1" x14ac:dyDescent="0.4">
      <c r="A7" s="2" t="s">
        <v>37</v>
      </c>
      <c r="B7" s="2">
        <v>2</v>
      </c>
      <c r="C7" s="4"/>
      <c r="D7" s="4"/>
      <c r="E7" s="4"/>
      <c r="F7" s="4"/>
      <c r="G7" s="4"/>
      <c r="H7" s="4"/>
      <c r="I7" s="2">
        <v>67.366399999999999</v>
      </c>
      <c r="J7" s="2">
        <v>222</v>
      </c>
      <c r="K7" s="2">
        <v>66.9893</v>
      </c>
      <c r="L7" s="2">
        <v>234</v>
      </c>
      <c r="M7" s="2">
        <v>111.3767</v>
      </c>
      <c r="N7" s="2">
        <v>14</v>
      </c>
      <c r="O7" s="2">
        <v>115.8386</v>
      </c>
      <c r="P7" s="2">
        <v>7</v>
      </c>
      <c r="Q7" s="2">
        <v>95.266000000000005</v>
      </c>
      <c r="R7" s="2">
        <v>36</v>
      </c>
      <c r="S7" s="2">
        <v>94.011600000000001</v>
      </c>
      <c r="T7" s="2">
        <v>32</v>
      </c>
      <c r="U7" s="2">
        <v>0.91690199999999999</v>
      </c>
      <c r="V7" s="2">
        <v>6</v>
      </c>
      <c r="W7" s="2">
        <v>2003</v>
      </c>
    </row>
    <row r="8" spans="1:23" ht="15.75" customHeight="1" x14ac:dyDescent="0.4">
      <c r="A8" s="2" t="s">
        <v>38</v>
      </c>
      <c r="B8" s="2">
        <v>1</v>
      </c>
      <c r="C8" s="3" t="s">
        <v>33</v>
      </c>
      <c r="D8" s="3" t="s">
        <v>33</v>
      </c>
      <c r="E8" s="3" t="s">
        <v>33</v>
      </c>
      <c r="F8" s="4"/>
      <c r="G8" s="4"/>
      <c r="H8" s="4"/>
      <c r="I8" s="2">
        <v>64.471900000000005</v>
      </c>
      <c r="J8" s="2">
        <v>298</v>
      </c>
      <c r="K8" s="2">
        <v>64.235299999999995</v>
      </c>
      <c r="L8" s="2">
        <v>299</v>
      </c>
      <c r="M8" s="2">
        <v>108.6353</v>
      </c>
      <c r="N8" s="2">
        <v>35</v>
      </c>
      <c r="O8" s="2">
        <v>110.15900000000001</v>
      </c>
      <c r="P8" s="2">
        <v>31</v>
      </c>
      <c r="Q8" s="2">
        <v>92.305599999999998</v>
      </c>
      <c r="R8" s="2">
        <v>12</v>
      </c>
      <c r="S8" s="2">
        <v>89.448300000000003</v>
      </c>
      <c r="T8" s="2">
        <v>7</v>
      </c>
      <c r="U8" s="2">
        <v>0.91644800000000004</v>
      </c>
      <c r="V8" s="2">
        <v>7</v>
      </c>
      <c r="W8" s="2">
        <v>2003</v>
      </c>
    </row>
    <row r="9" spans="1:23" ht="15.75" customHeight="1" x14ac:dyDescent="0.4">
      <c r="A9" s="2" t="s">
        <v>67</v>
      </c>
      <c r="B9" s="2">
        <v>1</v>
      </c>
      <c r="C9" s="3" t="s">
        <v>33</v>
      </c>
      <c r="D9" s="3" t="s">
        <v>33</v>
      </c>
      <c r="E9" s="3" t="s">
        <v>33</v>
      </c>
      <c r="F9" s="3" t="s">
        <v>33</v>
      </c>
      <c r="G9" s="4"/>
      <c r="H9" s="4"/>
      <c r="I9" s="2">
        <v>70.590800000000002</v>
      </c>
      <c r="J9" s="2">
        <v>92</v>
      </c>
      <c r="K9" s="2">
        <v>70.774199999999993</v>
      </c>
      <c r="L9" s="2">
        <v>74</v>
      </c>
      <c r="M9" s="2">
        <v>111.2154</v>
      </c>
      <c r="N9" s="2">
        <v>16</v>
      </c>
      <c r="O9" s="2">
        <v>118.7559</v>
      </c>
      <c r="P9" s="2">
        <v>2</v>
      </c>
      <c r="Q9" s="2">
        <v>96.911900000000003</v>
      </c>
      <c r="R9" s="2">
        <v>66</v>
      </c>
      <c r="S9" s="2">
        <v>96.450500000000005</v>
      </c>
      <c r="T9" s="2">
        <v>67</v>
      </c>
      <c r="U9" s="2">
        <v>0.91625100000000004</v>
      </c>
      <c r="V9" s="2">
        <v>8</v>
      </c>
      <c r="W9" s="2">
        <v>2003</v>
      </c>
    </row>
    <row r="10" spans="1:23" ht="15.75" customHeight="1" x14ac:dyDescent="0.4">
      <c r="A10" s="2" t="s">
        <v>48</v>
      </c>
      <c r="B10" s="2">
        <v>5</v>
      </c>
      <c r="C10" s="4"/>
      <c r="D10" s="4"/>
      <c r="E10" s="4"/>
      <c r="F10" s="4"/>
      <c r="G10" s="4"/>
      <c r="H10" s="4"/>
      <c r="I10" s="2">
        <v>66.638099999999994</v>
      </c>
      <c r="J10" s="2">
        <v>248</v>
      </c>
      <c r="K10" s="2">
        <v>65.965400000000002</v>
      </c>
      <c r="L10" s="2">
        <v>269</v>
      </c>
      <c r="M10" s="2">
        <v>104.3843</v>
      </c>
      <c r="N10" s="2">
        <v>87</v>
      </c>
      <c r="O10" s="2">
        <v>106.83450000000001</v>
      </c>
      <c r="P10" s="2">
        <v>66</v>
      </c>
      <c r="Q10" s="2">
        <v>90.031499999999994</v>
      </c>
      <c r="R10" s="2">
        <v>7</v>
      </c>
      <c r="S10" s="2">
        <v>87.178200000000004</v>
      </c>
      <c r="T10" s="2">
        <v>3</v>
      </c>
      <c r="U10" s="2">
        <v>0.91199699999999995</v>
      </c>
      <c r="V10" s="2">
        <v>9</v>
      </c>
      <c r="W10" s="2">
        <v>2003</v>
      </c>
    </row>
    <row r="11" spans="1:23" ht="15.75" customHeight="1" x14ac:dyDescent="0.4">
      <c r="A11" s="2" t="s">
        <v>32</v>
      </c>
      <c r="B11" s="2">
        <v>3</v>
      </c>
      <c r="C11" s="3" t="s">
        <v>33</v>
      </c>
      <c r="D11" s="3" t="s">
        <v>33</v>
      </c>
      <c r="E11" s="4"/>
      <c r="F11" s="4"/>
      <c r="G11" s="4"/>
      <c r="H11" s="4"/>
      <c r="I11" s="2">
        <v>73.156300000000002</v>
      </c>
      <c r="J11" s="2">
        <v>29</v>
      </c>
      <c r="K11" s="2">
        <v>72.423000000000002</v>
      </c>
      <c r="L11" s="2">
        <v>35</v>
      </c>
      <c r="M11" s="2">
        <v>111.4246</v>
      </c>
      <c r="N11" s="2">
        <v>13</v>
      </c>
      <c r="O11" s="2">
        <v>115.3631</v>
      </c>
      <c r="P11" s="2">
        <v>8</v>
      </c>
      <c r="Q11" s="2">
        <v>95.8249</v>
      </c>
      <c r="R11" s="2">
        <v>44</v>
      </c>
      <c r="S11" s="2">
        <v>94.297600000000003</v>
      </c>
      <c r="T11" s="2">
        <v>40</v>
      </c>
      <c r="U11" s="2">
        <v>0.910416</v>
      </c>
      <c r="V11" s="2">
        <v>10</v>
      </c>
      <c r="W11" s="2">
        <v>2003</v>
      </c>
    </row>
    <row r="12" spans="1:23" ht="15.75" customHeight="1" x14ac:dyDescent="0.4">
      <c r="A12" s="2" t="s">
        <v>91</v>
      </c>
      <c r="B12" s="2">
        <v>7</v>
      </c>
      <c r="C12" s="4"/>
      <c r="D12" s="4"/>
      <c r="E12" s="4"/>
      <c r="F12" s="4"/>
      <c r="G12" s="4"/>
      <c r="H12" s="4"/>
      <c r="I12" s="2">
        <v>65.747600000000006</v>
      </c>
      <c r="J12" s="2">
        <v>269</v>
      </c>
      <c r="K12" s="2">
        <v>65.975800000000007</v>
      </c>
      <c r="L12" s="2">
        <v>268</v>
      </c>
      <c r="M12" s="2">
        <v>106.5061</v>
      </c>
      <c r="N12" s="2">
        <v>59</v>
      </c>
      <c r="O12" s="2">
        <v>107.5022</v>
      </c>
      <c r="P12" s="2">
        <v>61</v>
      </c>
      <c r="Q12" s="2">
        <v>89.137900000000002</v>
      </c>
      <c r="R12" s="2">
        <v>3</v>
      </c>
      <c r="S12" s="2">
        <v>88.384699999999995</v>
      </c>
      <c r="T12" s="2">
        <v>5</v>
      </c>
      <c r="U12" s="2">
        <v>0.90481</v>
      </c>
      <c r="V12" s="2">
        <v>11</v>
      </c>
      <c r="W12" s="2">
        <v>2003</v>
      </c>
    </row>
    <row r="13" spans="1:23" ht="15.75" customHeight="1" x14ac:dyDescent="0.4">
      <c r="A13" s="2" t="s">
        <v>86</v>
      </c>
      <c r="B13" s="2">
        <v>4</v>
      </c>
      <c r="C13" s="3" t="s">
        <v>33</v>
      </c>
      <c r="D13" s="4"/>
      <c r="E13" s="4"/>
      <c r="F13" s="4"/>
      <c r="G13" s="4"/>
      <c r="H13" s="4"/>
      <c r="I13" s="2">
        <v>72.501900000000006</v>
      </c>
      <c r="J13" s="2">
        <v>38</v>
      </c>
      <c r="K13" s="2">
        <v>73.881299999999996</v>
      </c>
      <c r="L13" s="2">
        <v>14</v>
      </c>
      <c r="M13" s="2">
        <v>112.1353</v>
      </c>
      <c r="N13" s="2">
        <v>8</v>
      </c>
      <c r="O13" s="2">
        <v>114.02370000000001</v>
      </c>
      <c r="P13" s="2">
        <v>12</v>
      </c>
      <c r="Q13" s="2">
        <v>93.547899999999998</v>
      </c>
      <c r="R13" s="2">
        <v>25</v>
      </c>
      <c r="S13" s="2">
        <v>93.829599999999999</v>
      </c>
      <c r="T13" s="2">
        <v>27</v>
      </c>
      <c r="U13" s="2">
        <v>0.90392700000000004</v>
      </c>
      <c r="V13" s="2">
        <v>12</v>
      </c>
      <c r="W13" s="2">
        <v>2003</v>
      </c>
    </row>
    <row r="14" spans="1:23" ht="15.75" customHeight="1" x14ac:dyDescent="0.4">
      <c r="A14" s="2" t="s">
        <v>76</v>
      </c>
      <c r="B14" s="2">
        <v>5</v>
      </c>
      <c r="C14" s="3" t="s">
        <v>33</v>
      </c>
      <c r="D14" s="3" t="s">
        <v>33</v>
      </c>
      <c r="E14" s="4"/>
      <c r="F14" s="4"/>
      <c r="G14" s="4"/>
      <c r="H14" s="4"/>
      <c r="I14" s="2">
        <v>63.297400000000003</v>
      </c>
      <c r="J14" s="2">
        <v>309</v>
      </c>
      <c r="K14" s="2">
        <v>63.109099999999998</v>
      </c>
      <c r="L14" s="2">
        <v>311</v>
      </c>
      <c r="M14" s="2">
        <v>111.7649</v>
      </c>
      <c r="N14" s="2">
        <v>11</v>
      </c>
      <c r="O14" s="2">
        <v>111.34869999999999</v>
      </c>
      <c r="P14" s="2">
        <v>21</v>
      </c>
      <c r="Q14" s="2">
        <v>92.648799999999994</v>
      </c>
      <c r="R14" s="2">
        <v>15</v>
      </c>
      <c r="S14" s="2">
        <v>92.183499999999995</v>
      </c>
      <c r="T14" s="2">
        <v>17</v>
      </c>
      <c r="U14" s="2">
        <v>0.89772399999999997</v>
      </c>
      <c r="V14" s="2">
        <v>13</v>
      </c>
      <c r="W14" s="2">
        <v>2003</v>
      </c>
    </row>
    <row r="15" spans="1:23" ht="15.75" customHeight="1" x14ac:dyDescent="0.4">
      <c r="A15" s="2" t="s">
        <v>19</v>
      </c>
      <c r="B15" s="2"/>
      <c r="C15" s="2"/>
      <c r="D15" s="2"/>
      <c r="E15" s="2"/>
      <c r="F15" s="2"/>
      <c r="G15" s="2"/>
      <c r="H15" s="2"/>
      <c r="I15" s="2">
        <v>69.395300000000006</v>
      </c>
      <c r="J15" s="2">
        <v>137</v>
      </c>
      <c r="K15" s="2">
        <v>69.114999999999995</v>
      </c>
      <c r="L15" s="2">
        <v>135</v>
      </c>
      <c r="M15" s="2">
        <v>112.61669999999999</v>
      </c>
      <c r="N15" s="2">
        <v>5</v>
      </c>
      <c r="O15" s="2">
        <v>118.9785</v>
      </c>
      <c r="P15" s="2">
        <v>1</v>
      </c>
      <c r="Q15" s="2">
        <v>104.46939999999999</v>
      </c>
      <c r="R15" s="2">
        <v>244</v>
      </c>
      <c r="S15" s="2">
        <v>98.842200000000005</v>
      </c>
      <c r="T15" s="2">
        <v>115</v>
      </c>
      <c r="U15" s="2">
        <v>0.89400400000000002</v>
      </c>
      <c r="V15" s="2">
        <v>14</v>
      </c>
      <c r="W15" s="2">
        <v>2003</v>
      </c>
    </row>
    <row r="16" spans="1:23" ht="15.75" customHeight="1" x14ac:dyDescent="0.4">
      <c r="A16" s="2" t="s">
        <v>39</v>
      </c>
      <c r="B16" s="2">
        <v>3</v>
      </c>
      <c r="C16" s="3" t="s">
        <v>33</v>
      </c>
      <c r="D16" s="3" t="s">
        <v>33</v>
      </c>
      <c r="E16" s="3" t="s">
        <v>33</v>
      </c>
      <c r="F16" s="3" t="s">
        <v>33</v>
      </c>
      <c r="G16" s="4"/>
      <c r="H16" s="4"/>
      <c r="I16" s="2">
        <v>67.631699999999995</v>
      </c>
      <c r="J16" s="2">
        <v>209</v>
      </c>
      <c r="K16" s="2">
        <v>67.360500000000002</v>
      </c>
      <c r="L16" s="2">
        <v>216</v>
      </c>
      <c r="M16" s="2">
        <v>115.1444</v>
      </c>
      <c r="N16" s="2">
        <v>1</v>
      </c>
      <c r="O16" s="2">
        <v>116.5789</v>
      </c>
      <c r="P16" s="2">
        <v>4</v>
      </c>
      <c r="Q16" s="2">
        <v>99.120699999999999</v>
      </c>
      <c r="R16" s="2">
        <v>123</v>
      </c>
      <c r="S16" s="2">
        <v>97.090199999999996</v>
      </c>
      <c r="T16" s="2">
        <v>79</v>
      </c>
      <c r="U16" s="2">
        <v>0.89126000000000005</v>
      </c>
      <c r="V16" s="2">
        <v>15</v>
      </c>
      <c r="W16" s="2">
        <v>2003</v>
      </c>
    </row>
    <row r="17" spans="1:23" ht="15.75" customHeight="1" x14ac:dyDescent="0.4">
      <c r="A17" s="2" t="s">
        <v>50</v>
      </c>
      <c r="B17" s="2">
        <v>3</v>
      </c>
      <c r="C17" s="3" t="s">
        <v>33</v>
      </c>
      <c r="D17" s="4"/>
      <c r="E17" s="4"/>
      <c r="F17" s="4"/>
      <c r="G17" s="4"/>
      <c r="H17" s="4"/>
      <c r="I17" s="2">
        <v>69.360200000000006</v>
      </c>
      <c r="J17" s="2">
        <v>138</v>
      </c>
      <c r="K17" s="2">
        <v>69.961500000000001</v>
      </c>
      <c r="L17" s="2">
        <v>101</v>
      </c>
      <c r="M17" s="2">
        <v>111.5928</v>
      </c>
      <c r="N17" s="2">
        <v>12</v>
      </c>
      <c r="O17" s="2">
        <v>112.706</v>
      </c>
      <c r="P17" s="2">
        <v>15</v>
      </c>
      <c r="Q17" s="2">
        <v>94.373699999999999</v>
      </c>
      <c r="R17" s="2">
        <v>31</v>
      </c>
      <c r="S17" s="2">
        <v>93.960800000000006</v>
      </c>
      <c r="T17" s="2">
        <v>30</v>
      </c>
      <c r="U17" s="2">
        <v>0.89011399999999996</v>
      </c>
      <c r="V17" s="2">
        <v>16</v>
      </c>
      <c r="W17" s="2">
        <v>2003</v>
      </c>
    </row>
    <row r="18" spans="1:23" ht="15.75" customHeight="1" x14ac:dyDescent="0.4">
      <c r="A18" s="2" t="s">
        <v>61</v>
      </c>
      <c r="B18" s="2">
        <v>2</v>
      </c>
      <c r="C18" s="4"/>
      <c r="D18" s="4"/>
      <c r="E18" s="4"/>
      <c r="F18" s="4"/>
      <c r="G18" s="4"/>
      <c r="H18" s="4"/>
      <c r="I18" s="2">
        <v>69.4923</v>
      </c>
      <c r="J18" s="2">
        <v>130</v>
      </c>
      <c r="K18" s="2">
        <v>69.061300000000003</v>
      </c>
      <c r="L18" s="2">
        <v>136</v>
      </c>
      <c r="M18" s="2">
        <v>112.00790000000001</v>
      </c>
      <c r="N18" s="2">
        <v>9</v>
      </c>
      <c r="O18" s="2">
        <v>114.48139999999999</v>
      </c>
      <c r="P18" s="2">
        <v>9</v>
      </c>
      <c r="Q18" s="2">
        <v>96.836799999999997</v>
      </c>
      <c r="R18" s="2">
        <v>63</v>
      </c>
      <c r="S18" s="2">
        <v>95.463899999999995</v>
      </c>
      <c r="T18" s="2">
        <v>55</v>
      </c>
      <c r="U18" s="2">
        <v>0.88984300000000005</v>
      </c>
      <c r="V18" s="2">
        <v>17</v>
      </c>
      <c r="W18" s="2">
        <v>2003</v>
      </c>
    </row>
    <row r="19" spans="1:23" ht="15.75" customHeight="1" x14ac:dyDescent="0.4">
      <c r="A19" s="2" t="s">
        <v>36</v>
      </c>
      <c r="B19" s="2">
        <v>6</v>
      </c>
      <c r="C19" s="3" t="s">
        <v>33</v>
      </c>
      <c r="D19" s="3" t="s">
        <v>33</v>
      </c>
      <c r="E19" s="4"/>
      <c r="F19" s="4"/>
      <c r="G19" s="4"/>
      <c r="H19" s="4"/>
      <c r="I19" s="2">
        <v>73.813100000000006</v>
      </c>
      <c r="J19" s="2">
        <v>21</v>
      </c>
      <c r="K19" s="2">
        <v>73.730500000000006</v>
      </c>
      <c r="L19" s="2">
        <v>17</v>
      </c>
      <c r="M19" s="2">
        <v>108.3978</v>
      </c>
      <c r="N19" s="2">
        <v>38</v>
      </c>
      <c r="O19" s="2">
        <v>108.5287</v>
      </c>
      <c r="P19" s="2">
        <v>50</v>
      </c>
      <c r="Q19" s="2">
        <v>89.881600000000006</v>
      </c>
      <c r="R19" s="2">
        <v>6</v>
      </c>
      <c r="S19" s="2">
        <v>90.893699999999995</v>
      </c>
      <c r="T19" s="2">
        <v>11</v>
      </c>
      <c r="U19" s="2">
        <v>0.88485400000000003</v>
      </c>
      <c r="V19" s="2">
        <v>18</v>
      </c>
      <c r="W19" s="2">
        <v>2003</v>
      </c>
    </row>
    <row r="20" spans="1:23" ht="15.75" customHeight="1" x14ac:dyDescent="0.4">
      <c r="A20" s="2" t="s">
        <v>85</v>
      </c>
      <c r="B20" s="2">
        <v>8</v>
      </c>
      <c r="C20" s="4"/>
      <c r="D20" s="4"/>
      <c r="E20" s="4"/>
      <c r="F20" s="4"/>
      <c r="G20" s="4"/>
      <c r="H20" s="4"/>
      <c r="I20" s="2">
        <v>68.055999999999997</v>
      </c>
      <c r="J20" s="2">
        <v>187</v>
      </c>
      <c r="K20" s="2">
        <v>69.197299999999998</v>
      </c>
      <c r="L20" s="2">
        <v>130</v>
      </c>
      <c r="M20" s="2">
        <v>107.75069999999999</v>
      </c>
      <c r="N20" s="2">
        <v>45</v>
      </c>
      <c r="O20" s="2">
        <v>110.0228</v>
      </c>
      <c r="P20" s="2">
        <v>34</v>
      </c>
      <c r="Q20" s="2">
        <v>92.688100000000006</v>
      </c>
      <c r="R20" s="2">
        <v>16</v>
      </c>
      <c r="S20" s="2">
        <v>92.182400000000001</v>
      </c>
      <c r="T20" s="2">
        <v>16</v>
      </c>
      <c r="U20" s="2">
        <v>0.884378</v>
      </c>
      <c r="V20" s="2">
        <v>19</v>
      </c>
      <c r="W20" s="2">
        <v>2003</v>
      </c>
    </row>
    <row r="21" spans="1:23" ht="15.75" customHeight="1" x14ac:dyDescent="0.4">
      <c r="A21" s="2" t="s">
        <v>23</v>
      </c>
      <c r="B21" s="2">
        <v>3</v>
      </c>
      <c r="C21" s="3" t="s">
        <v>33</v>
      </c>
      <c r="D21" s="3" t="s">
        <v>33</v>
      </c>
      <c r="E21" s="3" t="s">
        <v>33</v>
      </c>
      <c r="F21" s="3" t="s">
        <v>33</v>
      </c>
      <c r="G21" s="3" t="s">
        <v>33</v>
      </c>
      <c r="H21" s="3" t="s">
        <v>33</v>
      </c>
      <c r="I21" s="2">
        <v>72.123500000000007</v>
      </c>
      <c r="J21" s="2">
        <v>46</v>
      </c>
      <c r="K21" s="2">
        <v>71.695099999999996</v>
      </c>
      <c r="L21" s="2">
        <v>51</v>
      </c>
      <c r="M21" s="2">
        <v>110.28060000000001</v>
      </c>
      <c r="N21" s="2">
        <v>21</v>
      </c>
      <c r="O21" s="2">
        <v>112.28660000000001</v>
      </c>
      <c r="P21" s="2">
        <v>16</v>
      </c>
      <c r="Q21" s="2">
        <v>96.548900000000003</v>
      </c>
      <c r="R21" s="2">
        <v>56</v>
      </c>
      <c r="S21" s="2">
        <v>94.249899999999997</v>
      </c>
      <c r="T21" s="2">
        <v>38</v>
      </c>
      <c r="U21" s="2">
        <v>0.88222900000000004</v>
      </c>
      <c r="V21" s="2">
        <v>20</v>
      </c>
      <c r="W21" s="2">
        <v>2003</v>
      </c>
    </row>
    <row r="22" spans="1:23" ht="15.75" customHeight="1" x14ac:dyDescent="0.4">
      <c r="A22" s="2" t="s">
        <v>71</v>
      </c>
      <c r="B22" s="2">
        <v>7</v>
      </c>
      <c r="C22" s="4"/>
      <c r="D22" s="4"/>
      <c r="E22" s="4"/>
      <c r="F22" s="4"/>
      <c r="G22" s="4"/>
      <c r="H22" s="4"/>
      <c r="I22" s="2">
        <v>70.4773</v>
      </c>
      <c r="J22" s="2">
        <v>93</v>
      </c>
      <c r="K22" s="2">
        <v>69.850200000000001</v>
      </c>
      <c r="L22" s="2">
        <v>107</v>
      </c>
      <c r="M22" s="2">
        <v>105.2705</v>
      </c>
      <c r="N22" s="2">
        <v>76</v>
      </c>
      <c r="O22" s="2">
        <v>110.2239</v>
      </c>
      <c r="P22" s="2">
        <v>28</v>
      </c>
      <c r="Q22" s="2">
        <v>92.9011</v>
      </c>
      <c r="R22" s="2">
        <v>18</v>
      </c>
      <c r="S22" s="2">
        <v>93.083500000000001</v>
      </c>
      <c r="T22" s="2">
        <v>20</v>
      </c>
      <c r="U22" s="2">
        <v>0.87475800000000004</v>
      </c>
      <c r="V22" s="2">
        <v>21</v>
      </c>
      <c r="W22" s="2">
        <v>2003</v>
      </c>
    </row>
    <row r="23" spans="1:23" ht="15.75" customHeight="1" x14ac:dyDescent="0.4">
      <c r="A23" s="2" t="s">
        <v>54</v>
      </c>
      <c r="B23" s="2">
        <v>5</v>
      </c>
      <c r="C23" s="3" t="s">
        <v>33</v>
      </c>
      <c r="D23" s="3" t="s">
        <v>33</v>
      </c>
      <c r="E23" s="4"/>
      <c r="F23" s="4"/>
      <c r="G23" s="4"/>
      <c r="H23" s="4"/>
      <c r="I23" s="2">
        <v>73.265600000000006</v>
      </c>
      <c r="J23" s="2">
        <v>28</v>
      </c>
      <c r="K23" s="2">
        <v>72.533100000000005</v>
      </c>
      <c r="L23" s="2">
        <v>32</v>
      </c>
      <c r="M23" s="2">
        <v>108.4406</v>
      </c>
      <c r="N23" s="2">
        <v>37</v>
      </c>
      <c r="O23" s="2">
        <v>110.58799999999999</v>
      </c>
      <c r="P23" s="2">
        <v>23</v>
      </c>
      <c r="Q23" s="2">
        <v>97.175799999999995</v>
      </c>
      <c r="R23" s="2">
        <v>71</v>
      </c>
      <c r="S23" s="2">
        <v>93.6982</v>
      </c>
      <c r="T23" s="2">
        <v>25</v>
      </c>
      <c r="U23" s="2">
        <v>0.87056100000000003</v>
      </c>
      <c r="V23" s="2">
        <v>22</v>
      </c>
      <c r="W23" s="2">
        <v>2003</v>
      </c>
    </row>
    <row r="24" spans="1:23" ht="15.75" customHeight="1" x14ac:dyDescent="0.4">
      <c r="A24" s="2" t="s">
        <v>56</v>
      </c>
      <c r="B24" s="2">
        <v>5</v>
      </c>
      <c r="C24" s="3" t="s">
        <v>33</v>
      </c>
      <c r="D24" s="3" t="s">
        <v>33</v>
      </c>
      <c r="E24" s="4"/>
      <c r="F24" s="4"/>
      <c r="G24" s="4"/>
      <c r="H24" s="4"/>
      <c r="I24" s="2">
        <v>71.663899999999998</v>
      </c>
      <c r="J24" s="2">
        <v>57</v>
      </c>
      <c r="K24" s="2">
        <v>70.980099999999993</v>
      </c>
      <c r="L24" s="2">
        <v>67</v>
      </c>
      <c r="M24" s="2">
        <v>110.27509999999999</v>
      </c>
      <c r="N24" s="2">
        <v>22</v>
      </c>
      <c r="O24" s="2">
        <v>116.4151</v>
      </c>
      <c r="P24" s="2">
        <v>6</v>
      </c>
      <c r="Q24" s="2">
        <v>98.0471</v>
      </c>
      <c r="R24" s="2">
        <v>90</v>
      </c>
      <c r="S24" s="2">
        <v>99.286600000000007</v>
      </c>
      <c r="T24" s="2">
        <v>123</v>
      </c>
      <c r="U24" s="2">
        <v>0.861792</v>
      </c>
      <c r="V24" s="2">
        <v>23</v>
      </c>
      <c r="W24" s="2">
        <v>2003</v>
      </c>
    </row>
    <row r="25" spans="1:23" ht="15.75" customHeight="1" x14ac:dyDescent="0.4">
      <c r="A25" s="2" t="s">
        <v>58</v>
      </c>
      <c r="B25" s="2">
        <v>7</v>
      </c>
      <c r="C25" s="3" t="s">
        <v>33</v>
      </c>
      <c r="D25" s="3" t="s">
        <v>33</v>
      </c>
      <c r="E25" s="3" t="s">
        <v>33</v>
      </c>
      <c r="F25" s="4"/>
      <c r="G25" s="4"/>
      <c r="H25" s="4"/>
      <c r="I25" s="2">
        <v>65.142200000000003</v>
      </c>
      <c r="J25" s="2">
        <v>287</v>
      </c>
      <c r="K25" s="2">
        <v>64.924599999999998</v>
      </c>
      <c r="L25" s="2">
        <v>286</v>
      </c>
      <c r="M25" s="2">
        <v>102.8617</v>
      </c>
      <c r="N25" s="2">
        <v>126</v>
      </c>
      <c r="O25" s="2">
        <v>106.43559999999999</v>
      </c>
      <c r="P25" s="2">
        <v>72</v>
      </c>
      <c r="Q25" s="2">
        <v>93.251800000000003</v>
      </c>
      <c r="R25" s="2">
        <v>23</v>
      </c>
      <c r="S25" s="2">
        <v>90.8202</v>
      </c>
      <c r="T25" s="2">
        <v>10</v>
      </c>
      <c r="U25" s="2">
        <v>0.86111400000000005</v>
      </c>
      <c r="V25" s="2">
        <v>24</v>
      </c>
      <c r="W25" s="2">
        <v>2003</v>
      </c>
    </row>
    <row r="26" spans="1:23" ht="15.75" customHeight="1" x14ac:dyDescent="0.4">
      <c r="A26" s="2" t="s">
        <v>73</v>
      </c>
      <c r="B26" s="2">
        <v>6</v>
      </c>
      <c r="C26" s="3" t="s">
        <v>33</v>
      </c>
      <c r="D26" s="4"/>
      <c r="E26" s="4"/>
      <c r="F26" s="4"/>
      <c r="G26" s="4"/>
      <c r="H26" s="4"/>
      <c r="I26" s="2">
        <v>68.316100000000006</v>
      </c>
      <c r="J26" s="2">
        <v>178</v>
      </c>
      <c r="K26" s="2">
        <v>67.026600000000002</v>
      </c>
      <c r="L26" s="2">
        <v>231</v>
      </c>
      <c r="M26" s="2">
        <v>104.9753</v>
      </c>
      <c r="N26" s="2">
        <v>79</v>
      </c>
      <c r="O26" s="2">
        <v>110.0055</v>
      </c>
      <c r="P26" s="2">
        <v>35</v>
      </c>
      <c r="Q26" s="2">
        <v>97.423299999999998</v>
      </c>
      <c r="R26" s="2">
        <v>75</v>
      </c>
      <c r="S26" s="2">
        <v>94.193600000000004</v>
      </c>
      <c r="T26" s="2">
        <v>37</v>
      </c>
      <c r="U26" s="2">
        <v>0.85625700000000005</v>
      </c>
      <c r="V26" s="2">
        <v>25</v>
      </c>
      <c r="W26" s="2">
        <v>2003</v>
      </c>
    </row>
    <row r="27" spans="1:23" ht="15.75" customHeight="1" x14ac:dyDescent="0.4">
      <c r="A27" s="2" t="s">
        <v>96</v>
      </c>
      <c r="B27" s="2">
        <v>12</v>
      </c>
      <c r="C27" s="4"/>
      <c r="D27" s="4"/>
      <c r="E27" s="4"/>
      <c r="F27" s="4"/>
      <c r="G27" s="4"/>
      <c r="H27" s="4"/>
      <c r="I27" s="2">
        <v>65.910300000000007</v>
      </c>
      <c r="J27" s="2">
        <v>266</v>
      </c>
      <c r="K27" s="2">
        <v>66.790999999999997</v>
      </c>
      <c r="L27" s="2">
        <v>244</v>
      </c>
      <c r="M27" s="2">
        <v>109.592</v>
      </c>
      <c r="N27" s="2">
        <v>26</v>
      </c>
      <c r="O27" s="2">
        <v>108.6906</v>
      </c>
      <c r="P27" s="2">
        <v>49</v>
      </c>
      <c r="Q27" s="2">
        <v>95.889200000000002</v>
      </c>
      <c r="R27" s="2">
        <v>48</v>
      </c>
      <c r="S27" s="2">
        <v>93.390299999999996</v>
      </c>
      <c r="T27" s="2">
        <v>21</v>
      </c>
      <c r="U27" s="2">
        <v>0.85129100000000002</v>
      </c>
      <c r="V27" s="2">
        <v>26</v>
      </c>
      <c r="W27" s="2">
        <v>2003</v>
      </c>
    </row>
    <row r="28" spans="1:23" ht="15.75" customHeight="1" x14ac:dyDescent="0.4">
      <c r="A28" s="2" t="s">
        <v>72</v>
      </c>
      <c r="B28" s="2">
        <v>6</v>
      </c>
      <c r="C28" s="3" t="s">
        <v>33</v>
      </c>
      <c r="D28" s="4"/>
      <c r="E28" s="4"/>
      <c r="F28" s="4"/>
      <c r="G28" s="4"/>
      <c r="H28" s="4"/>
      <c r="I28" s="2">
        <v>68.029399999999995</v>
      </c>
      <c r="J28" s="2">
        <v>191</v>
      </c>
      <c r="K28" s="2">
        <v>68.106099999999998</v>
      </c>
      <c r="L28" s="2">
        <v>181</v>
      </c>
      <c r="M28" s="2">
        <v>100.47329999999999</v>
      </c>
      <c r="N28" s="2">
        <v>185</v>
      </c>
      <c r="O28" s="2">
        <v>103.41549999999999</v>
      </c>
      <c r="P28" s="2">
        <v>121</v>
      </c>
      <c r="Q28" s="2">
        <v>91.225099999999998</v>
      </c>
      <c r="R28" s="2">
        <v>9</v>
      </c>
      <c r="S28" s="2">
        <v>89.011600000000001</v>
      </c>
      <c r="T28" s="2">
        <v>6</v>
      </c>
      <c r="U28" s="2">
        <v>0.84875299999999998</v>
      </c>
      <c r="V28" s="2">
        <v>27</v>
      </c>
      <c r="W28" s="2">
        <v>2003</v>
      </c>
    </row>
    <row r="29" spans="1:23" ht="12.3" x14ac:dyDescent="0.4">
      <c r="A29" s="2" t="s">
        <v>90</v>
      </c>
      <c r="B29" s="2">
        <v>6</v>
      </c>
      <c r="C29" s="4"/>
      <c r="D29" s="4"/>
      <c r="E29" s="4"/>
      <c r="F29" s="4"/>
      <c r="G29" s="4"/>
      <c r="H29" s="4"/>
      <c r="I29" s="2">
        <v>69.154799999999994</v>
      </c>
      <c r="J29" s="2">
        <v>144</v>
      </c>
      <c r="K29" s="2">
        <v>70.139899999999997</v>
      </c>
      <c r="L29" s="2">
        <v>93</v>
      </c>
      <c r="M29" s="2">
        <v>113.98260000000001</v>
      </c>
      <c r="N29" s="2">
        <v>2</v>
      </c>
      <c r="O29" s="2">
        <v>110.1662</v>
      </c>
      <c r="P29" s="2">
        <v>30</v>
      </c>
      <c r="Q29" s="2">
        <v>92.916300000000007</v>
      </c>
      <c r="R29" s="2">
        <v>19</v>
      </c>
      <c r="S29" s="2">
        <v>95.1464</v>
      </c>
      <c r="T29" s="2">
        <v>49</v>
      </c>
      <c r="U29" s="2">
        <v>0.84364399999999995</v>
      </c>
      <c r="V29" s="2">
        <v>28</v>
      </c>
      <c r="W29" s="2">
        <v>2003</v>
      </c>
    </row>
    <row r="30" spans="1:23" ht="12.3" x14ac:dyDescent="0.4">
      <c r="A30" s="2" t="s">
        <v>99</v>
      </c>
      <c r="B30" s="2">
        <v>10</v>
      </c>
      <c r="C30" s="3" t="s">
        <v>33</v>
      </c>
      <c r="D30" s="4"/>
      <c r="E30" s="4"/>
      <c r="F30" s="4"/>
      <c r="G30" s="4"/>
      <c r="H30" s="4"/>
      <c r="I30" s="2">
        <v>69.594800000000006</v>
      </c>
      <c r="J30" s="2">
        <v>124</v>
      </c>
      <c r="K30" s="2">
        <v>68.538300000000007</v>
      </c>
      <c r="L30" s="2">
        <v>159</v>
      </c>
      <c r="M30" s="2">
        <v>108.2894</v>
      </c>
      <c r="N30" s="2">
        <v>39</v>
      </c>
      <c r="O30" s="2">
        <v>111.0911</v>
      </c>
      <c r="P30" s="2">
        <v>22</v>
      </c>
      <c r="Q30" s="2">
        <v>98.412599999999998</v>
      </c>
      <c r="R30" s="2">
        <v>105</v>
      </c>
      <c r="S30" s="2">
        <v>96.319000000000003</v>
      </c>
      <c r="T30" s="2">
        <v>63</v>
      </c>
      <c r="U30" s="2">
        <v>0.83765400000000001</v>
      </c>
      <c r="V30" s="2">
        <v>29</v>
      </c>
      <c r="W30" s="2">
        <v>2003</v>
      </c>
    </row>
    <row r="31" spans="1:23" ht="12.3" x14ac:dyDescent="0.4">
      <c r="A31" s="2" t="s">
        <v>64</v>
      </c>
      <c r="B31" s="2">
        <v>4</v>
      </c>
      <c r="C31" s="4"/>
      <c r="D31" s="4"/>
      <c r="E31" s="4"/>
      <c r="F31" s="4"/>
      <c r="G31" s="4"/>
      <c r="H31" s="4"/>
      <c r="I31" s="2">
        <v>64.586200000000005</v>
      </c>
      <c r="J31" s="2">
        <v>295</v>
      </c>
      <c r="K31" s="2">
        <v>65.641400000000004</v>
      </c>
      <c r="L31" s="2">
        <v>278</v>
      </c>
      <c r="M31" s="2">
        <v>112.31</v>
      </c>
      <c r="N31" s="2">
        <v>6</v>
      </c>
      <c r="O31" s="2">
        <v>116.4746</v>
      </c>
      <c r="P31" s="2">
        <v>5</v>
      </c>
      <c r="Q31" s="2">
        <v>102.0266</v>
      </c>
      <c r="R31" s="2">
        <v>196</v>
      </c>
      <c r="S31" s="2">
        <v>101.0134</v>
      </c>
      <c r="T31" s="2">
        <v>162</v>
      </c>
      <c r="U31" s="2">
        <v>0.83723899999999996</v>
      </c>
      <c r="V31" s="2">
        <v>30</v>
      </c>
      <c r="W31" s="2">
        <v>2003</v>
      </c>
    </row>
    <row r="32" spans="1:23" ht="12.3" x14ac:dyDescent="0.4">
      <c r="A32" s="2" t="s">
        <v>83</v>
      </c>
      <c r="B32" s="2">
        <v>11</v>
      </c>
      <c r="C32" s="4"/>
      <c r="D32" s="4"/>
      <c r="E32" s="4"/>
      <c r="F32" s="4"/>
      <c r="G32" s="4"/>
      <c r="H32" s="4"/>
      <c r="I32" s="2">
        <v>65.915099999999995</v>
      </c>
      <c r="J32" s="2">
        <v>265</v>
      </c>
      <c r="K32" s="2">
        <v>65.709900000000005</v>
      </c>
      <c r="L32" s="2">
        <v>276</v>
      </c>
      <c r="M32" s="2">
        <v>107.5334</v>
      </c>
      <c r="N32" s="2">
        <v>51</v>
      </c>
      <c r="O32" s="2">
        <v>107.86</v>
      </c>
      <c r="P32" s="2">
        <v>58</v>
      </c>
      <c r="Q32" s="2">
        <v>89.531899999999993</v>
      </c>
      <c r="R32" s="2">
        <v>4</v>
      </c>
      <c r="S32" s="2">
        <v>93.688100000000006</v>
      </c>
      <c r="T32" s="2">
        <v>24</v>
      </c>
      <c r="U32" s="2">
        <v>0.83478300000000005</v>
      </c>
      <c r="V32" s="2">
        <v>31</v>
      </c>
      <c r="W32" s="2">
        <v>2003</v>
      </c>
    </row>
    <row r="33" spans="1:23" ht="12.3" x14ac:dyDescent="0.4">
      <c r="A33" s="2" t="s">
        <v>129</v>
      </c>
      <c r="B33" s="2">
        <v>10</v>
      </c>
      <c r="C33" s="4"/>
      <c r="D33" s="4"/>
      <c r="E33" s="4"/>
      <c r="F33" s="4"/>
      <c r="G33" s="4"/>
      <c r="H33" s="4"/>
      <c r="I33" s="2">
        <v>71.590500000000006</v>
      </c>
      <c r="J33" s="2">
        <v>59</v>
      </c>
      <c r="K33" s="2">
        <v>71.321399999999997</v>
      </c>
      <c r="L33" s="2">
        <v>56</v>
      </c>
      <c r="M33" s="2">
        <v>104.8883</v>
      </c>
      <c r="N33" s="2">
        <v>83</v>
      </c>
      <c r="O33" s="2">
        <v>108.06959999999999</v>
      </c>
      <c r="P33" s="2">
        <v>55</v>
      </c>
      <c r="Q33" s="2">
        <v>97.5822</v>
      </c>
      <c r="R33" s="2">
        <v>83</v>
      </c>
      <c r="S33" s="2">
        <v>94.0989</v>
      </c>
      <c r="T33" s="2">
        <v>35</v>
      </c>
      <c r="U33" s="2">
        <v>0.83088700000000004</v>
      </c>
      <c r="V33" s="2">
        <v>32</v>
      </c>
      <c r="W33" s="2">
        <v>2003</v>
      </c>
    </row>
    <row r="34" spans="1:23" ht="12.3" x14ac:dyDescent="0.4">
      <c r="A34" s="2" t="s">
        <v>52</v>
      </c>
      <c r="B34" s="2">
        <v>4</v>
      </c>
      <c r="C34" s="3" t="s">
        <v>33</v>
      </c>
      <c r="D34" s="4"/>
      <c r="E34" s="4"/>
      <c r="F34" s="4"/>
      <c r="G34" s="4"/>
      <c r="H34" s="4"/>
      <c r="I34" s="2">
        <v>68.466499999999996</v>
      </c>
      <c r="J34" s="2">
        <v>167</v>
      </c>
      <c r="K34" s="2">
        <v>67.139099999999999</v>
      </c>
      <c r="L34" s="2">
        <v>227</v>
      </c>
      <c r="M34" s="2">
        <v>105.0137</v>
      </c>
      <c r="N34" s="2">
        <v>78</v>
      </c>
      <c r="O34" s="2">
        <v>108.5081</v>
      </c>
      <c r="P34" s="2">
        <v>52</v>
      </c>
      <c r="Q34" s="2">
        <v>97.570899999999995</v>
      </c>
      <c r="R34" s="2">
        <v>81</v>
      </c>
      <c r="S34" s="2">
        <v>94.815200000000004</v>
      </c>
      <c r="T34" s="2">
        <v>43</v>
      </c>
      <c r="U34" s="2">
        <v>0.82509999999999994</v>
      </c>
      <c r="V34" s="2">
        <v>33</v>
      </c>
      <c r="W34" s="2">
        <v>2003</v>
      </c>
    </row>
    <row r="35" spans="1:23" ht="12.3" x14ac:dyDescent="0.4">
      <c r="A35" s="2" t="s">
        <v>77</v>
      </c>
      <c r="B35" s="2">
        <v>11</v>
      </c>
      <c r="C35" s="4"/>
      <c r="D35" s="4"/>
      <c r="E35" s="4"/>
      <c r="F35" s="4"/>
      <c r="G35" s="4"/>
      <c r="H35" s="4"/>
      <c r="I35" s="2">
        <v>64.088800000000006</v>
      </c>
      <c r="J35" s="2">
        <v>301</v>
      </c>
      <c r="K35" s="2">
        <v>64.751400000000004</v>
      </c>
      <c r="L35" s="2">
        <v>292</v>
      </c>
      <c r="M35" s="2">
        <v>109.20489999999999</v>
      </c>
      <c r="N35" s="2">
        <v>29</v>
      </c>
      <c r="O35" s="2">
        <v>110.0622</v>
      </c>
      <c r="P35" s="2">
        <v>33</v>
      </c>
      <c r="Q35" s="2">
        <v>92.437200000000004</v>
      </c>
      <c r="R35" s="2">
        <v>14</v>
      </c>
      <c r="S35" s="2">
        <v>96.365399999999994</v>
      </c>
      <c r="T35" s="2">
        <v>65</v>
      </c>
      <c r="U35" s="2">
        <v>0.82176099999999996</v>
      </c>
      <c r="V35" s="2">
        <v>34</v>
      </c>
      <c r="W35" s="2">
        <v>2003</v>
      </c>
    </row>
    <row r="36" spans="1:23" ht="12.3" x14ac:dyDescent="0.4">
      <c r="A36" s="2" t="s">
        <v>59</v>
      </c>
      <c r="B36" s="2"/>
      <c r="C36" s="2"/>
      <c r="D36" s="2"/>
      <c r="E36" s="2"/>
      <c r="F36" s="2"/>
      <c r="G36" s="2"/>
      <c r="H36" s="2"/>
      <c r="I36" s="2">
        <v>68.0822</v>
      </c>
      <c r="J36" s="2">
        <v>184</v>
      </c>
      <c r="K36" s="2">
        <v>67.397999999999996</v>
      </c>
      <c r="L36" s="2">
        <v>212</v>
      </c>
      <c r="M36" s="2">
        <v>105.9413</v>
      </c>
      <c r="N36" s="2">
        <v>71</v>
      </c>
      <c r="O36" s="2">
        <v>109.59650000000001</v>
      </c>
      <c r="P36" s="2">
        <v>37</v>
      </c>
      <c r="Q36" s="2">
        <v>98.0655</v>
      </c>
      <c r="R36" s="2">
        <v>91</v>
      </c>
      <c r="S36" s="2">
        <v>95.999799999999993</v>
      </c>
      <c r="T36" s="2">
        <v>62</v>
      </c>
      <c r="U36" s="2">
        <v>0.82102200000000003</v>
      </c>
      <c r="V36" s="2">
        <v>35</v>
      </c>
      <c r="W36" s="2">
        <v>2003</v>
      </c>
    </row>
    <row r="37" spans="1:23" ht="12.3" x14ac:dyDescent="0.4">
      <c r="A37" s="2" t="s">
        <v>34</v>
      </c>
      <c r="B37" s="2">
        <v>8</v>
      </c>
      <c r="C37" s="4"/>
      <c r="D37" s="4"/>
      <c r="E37" s="4"/>
      <c r="F37" s="4"/>
      <c r="G37" s="4"/>
      <c r="H37" s="4"/>
      <c r="I37" s="2">
        <v>67.287899999999993</v>
      </c>
      <c r="J37" s="2">
        <v>229</v>
      </c>
      <c r="K37" s="2">
        <v>68.004900000000006</v>
      </c>
      <c r="L37" s="2">
        <v>184</v>
      </c>
      <c r="M37" s="2">
        <v>100.94670000000001</v>
      </c>
      <c r="N37" s="2">
        <v>171</v>
      </c>
      <c r="O37" s="2">
        <v>103.4997</v>
      </c>
      <c r="P37" s="2">
        <v>119</v>
      </c>
      <c r="Q37" s="2">
        <v>92.833399999999997</v>
      </c>
      <c r="R37" s="2">
        <v>17</v>
      </c>
      <c r="S37" s="2">
        <v>90.991900000000001</v>
      </c>
      <c r="T37" s="2">
        <v>12</v>
      </c>
      <c r="U37" s="2">
        <v>0.814751</v>
      </c>
      <c r="V37" s="2">
        <v>36</v>
      </c>
      <c r="W37" s="2">
        <v>2003</v>
      </c>
    </row>
    <row r="38" spans="1:23" ht="12.3" x14ac:dyDescent="0.4">
      <c r="A38" s="2" t="s">
        <v>47</v>
      </c>
      <c r="B38" s="2">
        <v>9</v>
      </c>
      <c r="C38" s="3" t="s">
        <v>33</v>
      </c>
      <c r="D38" s="4"/>
      <c r="E38" s="4"/>
      <c r="F38" s="4"/>
      <c r="G38" s="4"/>
      <c r="H38" s="4"/>
      <c r="I38" s="2">
        <v>69.401300000000006</v>
      </c>
      <c r="J38" s="2">
        <v>136</v>
      </c>
      <c r="K38" s="2">
        <v>68.961600000000004</v>
      </c>
      <c r="L38" s="2">
        <v>140</v>
      </c>
      <c r="M38" s="2">
        <v>109.46510000000001</v>
      </c>
      <c r="N38" s="2">
        <v>27</v>
      </c>
      <c r="O38" s="2">
        <v>110.2921</v>
      </c>
      <c r="P38" s="2">
        <v>27</v>
      </c>
      <c r="Q38" s="2">
        <v>97.0167</v>
      </c>
      <c r="R38" s="2">
        <v>67</v>
      </c>
      <c r="S38" s="2">
        <v>96.977999999999994</v>
      </c>
      <c r="T38" s="2">
        <v>78</v>
      </c>
      <c r="U38" s="2">
        <v>0.81449099999999997</v>
      </c>
      <c r="V38" s="2">
        <v>37</v>
      </c>
      <c r="W38" s="2">
        <v>2003</v>
      </c>
    </row>
    <row r="39" spans="1:23" ht="12.3" x14ac:dyDescent="0.4">
      <c r="A39" s="2" t="s">
        <v>49</v>
      </c>
      <c r="B39" s="2">
        <v>10</v>
      </c>
      <c r="C39" s="4"/>
      <c r="D39" s="4"/>
      <c r="E39" s="4"/>
      <c r="F39" s="4"/>
      <c r="G39" s="4"/>
      <c r="H39" s="4"/>
      <c r="I39" s="2">
        <v>66.320300000000003</v>
      </c>
      <c r="J39" s="2">
        <v>259</v>
      </c>
      <c r="K39" s="2">
        <v>66.941000000000003</v>
      </c>
      <c r="L39" s="2">
        <v>238</v>
      </c>
      <c r="M39" s="2">
        <v>103.8026</v>
      </c>
      <c r="N39" s="2">
        <v>98</v>
      </c>
      <c r="O39" s="2">
        <v>108.8779</v>
      </c>
      <c r="P39" s="2">
        <v>47</v>
      </c>
      <c r="Q39" s="2">
        <v>98.014099999999999</v>
      </c>
      <c r="R39" s="2">
        <v>88</v>
      </c>
      <c r="S39" s="2">
        <v>95.754499999999993</v>
      </c>
      <c r="T39" s="2">
        <v>60</v>
      </c>
      <c r="U39" s="2">
        <v>0.81412799999999996</v>
      </c>
      <c r="V39" s="2">
        <v>38</v>
      </c>
      <c r="W39" s="2">
        <v>2003</v>
      </c>
    </row>
    <row r="40" spans="1:23" ht="12.3" x14ac:dyDescent="0.4">
      <c r="A40" s="2" t="s">
        <v>70</v>
      </c>
      <c r="B40" s="2">
        <v>9</v>
      </c>
      <c r="C40" s="3" t="s">
        <v>33</v>
      </c>
      <c r="D40" s="4"/>
      <c r="E40" s="4"/>
      <c r="F40" s="4"/>
      <c r="G40" s="4"/>
      <c r="H40" s="4"/>
      <c r="I40" s="2">
        <v>61.730600000000003</v>
      </c>
      <c r="J40" s="2">
        <v>313</v>
      </c>
      <c r="K40" s="2">
        <v>62.944499999999998</v>
      </c>
      <c r="L40" s="2">
        <v>312</v>
      </c>
      <c r="M40" s="2">
        <v>106.8775</v>
      </c>
      <c r="N40" s="2">
        <v>55</v>
      </c>
      <c r="O40" s="2">
        <v>106.27030000000001</v>
      </c>
      <c r="P40" s="2">
        <v>77</v>
      </c>
      <c r="Q40" s="2">
        <v>96.182100000000005</v>
      </c>
      <c r="R40" s="2">
        <v>51</v>
      </c>
      <c r="S40" s="2">
        <v>93.678899999999999</v>
      </c>
      <c r="T40" s="2">
        <v>23</v>
      </c>
      <c r="U40" s="2">
        <v>0.81004399999999999</v>
      </c>
      <c r="V40" s="2">
        <v>39</v>
      </c>
      <c r="W40" s="2">
        <v>2003</v>
      </c>
    </row>
    <row r="41" spans="1:23" ht="12.3" x14ac:dyDescent="0.4">
      <c r="A41" s="2" t="s">
        <v>57</v>
      </c>
      <c r="B41" s="2">
        <v>8</v>
      </c>
      <c r="C41" s="3" t="s">
        <v>33</v>
      </c>
      <c r="D41" s="4"/>
      <c r="E41" s="4"/>
      <c r="F41" s="4"/>
      <c r="G41" s="4"/>
      <c r="H41" s="4"/>
      <c r="I41" s="2">
        <v>69.7273</v>
      </c>
      <c r="J41" s="2">
        <v>117</v>
      </c>
      <c r="K41" s="2">
        <v>67.474400000000003</v>
      </c>
      <c r="L41" s="2">
        <v>209</v>
      </c>
      <c r="M41" s="2">
        <v>105.2679</v>
      </c>
      <c r="N41" s="2">
        <v>77</v>
      </c>
      <c r="O41" s="2">
        <v>108.3908</v>
      </c>
      <c r="P41" s="2">
        <v>54</v>
      </c>
      <c r="Q41" s="2">
        <v>98.657700000000006</v>
      </c>
      <c r="R41" s="2">
        <v>110</v>
      </c>
      <c r="S41" s="2">
        <v>95.563599999999994</v>
      </c>
      <c r="T41" s="2">
        <v>58</v>
      </c>
      <c r="U41" s="2">
        <v>0.80975799999999998</v>
      </c>
      <c r="V41" s="2">
        <v>40</v>
      </c>
      <c r="W41" s="2">
        <v>2003</v>
      </c>
    </row>
    <row r="42" spans="1:23" ht="12.3" x14ac:dyDescent="0.4">
      <c r="A42" s="2" t="s">
        <v>121</v>
      </c>
      <c r="B42" s="2">
        <v>9</v>
      </c>
      <c r="C42" s="3" t="s">
        <v>33</v>
      </c>
      <c r="D42" s="4"/>
      <c r="E42" s="4"/>
      <c r="F42" s="4"/>
      <c r="G42" s="4"/>
      <c r="H42" s="4"/>
      <c r="I42" s="2">
        <v>69.542500000000004</v>
      </c>
      <c r="J42" s="2">
        <v>126</v>
      </c>
      <c r="K42" s="2">
        <v>70.768799999999999</v>
      </c>
      <c r="L42" s="2">
        <v>75</v>
      </c>
      <c r="M42" s="2">
        <v>102.3733</v>
      </c>
      <c r="N42" s="2">
        <v>143</v>
      </c>
      <c r="O42" s="2">
        <v>103.563</v>
      </c>
      <c r="P42" s="2">
        <v>116</v>
      </c>
      <c r="Q42" s="2">
        <v>93.654600000000002</v>
      </c>
      <c r="R42" s="2">
        <v>26</v>
      </c>
      <c r="S42" s="2">
        <v>91.315899999999999</v>
      </c>
      <c r="T42" s="2">
        <v>13</v>
      </c>
      <c r="U42" s="2">
        <v>0.80958799999999997</v>
      </c>
      <c r="V42" s="2">
        <v>41</v>
      </c>
      <c r="W42" s="2">
        <v>2003</v>
      </c>
    </row>
    <row r="43" spans="1:23" ht="12.3" x14ac:dyDescent="0.4">
      <c r="A43" s="2" t="s">
        <v>18</v>
      </c>
      <c r="B43" s="2">
        <v>12</v>
      </c>
      <c r="C43" s="3" t="s">
        <v>33</v>
      </c>
      <c r="D43" s="3" t="s">
        <v>33</v>
      </c>
      <c r="E43" s="4"/>
      <c r="F43" s="4"/>
      <c r="G43" s="4"/>
      <c r="H43" s="4"/>
      <c r="I43" s="2">
        <v>59.628799999999998</v>
      </c>
      <c r="J43" s="2">
        <v>325</v>
      </c>
      <c r="K43" s="2">
        <v>59.948099999999997</v>
      </c>
      <c r="L43" s="2">
        <v>325</v>
      </c>
      <c r="M43" s="2">
        <v>113.6498</v>
      </c>
      <c r="N43" s="2">
        <v>3</v>
      </c>
      <c r="O43" s="2">
        <v>113.1309</v>
      </c>
      <c r="P43" s="2">
        <v>13</v>
      </c>
      <c r="Q43" s="2">
        <v>100.0723</v>
      </c>
      <c r="R43" s="2">
        <v>147</v>
      </c>
      <c r="S43" s="2">
        <v>99.946899999999999</v>
      </c>
      <c r="T43" s="2">
        <v>135</v>
      </c>
      <c r="U43" s="2">
        <v>0.80610899999999996</v>
      </c>
      <c r="V43" s="2">
        <v>42</v>
      </c>
      <c r="W43" s="2">
        <v>2003</v>
      </c>
    </row>
    <row r="44" spans="1:23" ht="12.3" x14ac:dyDescent="0.4">
      <c r="A44" s="2" t="s">
        <v>95</v>
      </c>
      <c r="B44" s="2"/>
      <c r="C44" s="2"/>
      <c r="D44" s="2"/>
      <c r="E44" s="2"/>
      <c r="F44" s="2"/>
      <c r="G44" s="2"/>
      <c r="H44" s="2"/>
      <c r="I44" s="2">
        <v>69.966999999999999</v>
      </c>
      <c r="J44" s="2">
        <v>111</v>
      </c>
      <c r="K44" s="2">
        <v>69.197000000000003</v>
      </c>
      <c r="L44" s="2">
        <v>131</v>
      </c>
      <c r="M44" s="2">
        <v>111.94289999999999</v>
      </c>
      <c r="N44" s="2">
        <v>10</v>
      </c>
      <c r="O44" s="2">
        <v>116.80410000000001</v>
      </c>
      <c r="P44" s="2">
        <v>3</v>
      </c>
      <c r="Q44" s="2">
        <v>107.2642</v>
      </c>
      <c r="R44" s="2">
        <v>282</v>
      </c>
      <c r="S44" s="2">
        <v>103.2535</v>
      </c>
      <c r="T44" s="2">
        <v>205</v>
      </c>
      <c r="U44" s="2">
        <v>0.80503800000000003</v>
      </c>
      <c r="V44" s="2">
        <v>43</v>
      </c>
      <c r="W44" s="2">
        <v>2003</v>
      </c>
    </row>
    <row r="45" spans="1:23" ht="12.3" x14ac:dyDescent="0.4">
      <c r="A45" s="2" t="s">
        <v>41</v>
      </c>
      <c r="B45" s="2">
        <v>8</v>
      </c>
      <c r="C45" s="4"/>
      <c r="D45" s="4"/>
      <c r="E45" s="4"/>
      <c r="F45" s="4"/>
      <c r="G45" s="4"/>
      <c r="H45" s="4"/>
      <c r="I45" s="2">
        <v>75.108000000000004</v>
      </c>
      <c r="J45" s="2">
        <v>10</v>
      </c>
      <c r="K45" s="2">
        <v>72.465999999999994</v>
      </c>
      <c r="L45" s="2">
        <v>34</v>
      </c>
      <c r="M45" s="2">
        <v>108.9914</v>
      </c>
      <c r="N45" s="2">
        <v>33</v>
      </c>
      <c r="O45" s="2">
        <v>110.4645</v>
      </c>
      <c r="P45" s="2">
        <v>25</v>
      </c>
      <c r="Q45" s="2">
        <v>98.547200000000004</v>
      </c>
      <c r="R45" s="2">
        <v>107</v>
      </c>
      <c r="S45" s="2">
        <v>97.740700000000004</v>
      </c>
      <c r="T45" s="2">
        <v>88</v>
      </c>
      <c r="U45" s="2">
        <v>0.80334499999999998</v>
      </c>
      <c r="V45" s="2">
        <v>44</v>
      </c>
      <c r="W45" s="2">
        <v>2003</v>
      </c>
    </row>
    <row r="46" spans="1:23" ht="12.3" x14ac:dyDescent="0.4">
      <c r="A46" s="2" t="s">
        <v>40</v>
      </c>
      <c r="B46" s="2">
        <v>7</v>
      </c>
      <c r="C46" s="3" t="s">
        <v>33</v>
      </c>
      <c r="D46" s="4"/>
      <c r="E46" s="4"/>
      <c r="F46" s="4"/>
      <c r="G46" s="4"/>
      <c r="H46" s="4"/>
      <c r="I46" s="2">
        <v>65.566999999999993</v>
      </c>
      <c r="J46" s="2">
        <v>276</v>
      </c>
      <c r="K46" s="2">
        <v>64.948499999999996</v>
      </c>
      <c r="L46" s="2">
        <v>285</v>
      </c>
      <c r="M46" s="2">
        <v>106.4645</v>
      </c>
      <c r="N46" s="2">
        <v>60</v>
      </c>
      <c r="O46" s="2">
        <v>111.5878</v>
      </c>
      <c r="P46" s="2">
        <v>20</v>
      </c>
      <c r="Q46" s="2">
        <v>101.4773</v>
      </c>
      <c r="R46" s="2">
        <v>183</v>
      </c>
      <c r="S46" s="2">
        <v>98.9495</v>
      </c>
      <c r="T46" s="2">
        <v>118</v>
      </c>
      <c r="U46" s="2">
        <v>0.79936399999999996</v>
      </c>
      <c r="V46" s="2">
        <v>45</v>
      </c>
      <c r="W46" s="2">
        <v>2003</v>
      </c>
    </row>
    <row r="47" spans="1:23" ht="12.3" x14ac:dyDescent="0.4">
      <c r="A47" s="2" t="s">
        <v>120</v>
      </c>
      <c r="B47" s="2"/>
      <c r="C47" s="2"/>
      <c r="D47" s="2"/>
      <c r="E47" s="2"/>
      <c r="F47" s="2"/>
      <c r="G47" s="2"/>
      <c r="H47" s="2"/>
      <c r="I47" s="2">
        <v>68.858900000000006</v>
      </c>
      <c r="J47" s="2">
        <v>149</v>
      </c>
      <c r="K47" s="2">
        <v>68.233999999999995</v>
      </c>
      <c r="L47" s="2">
        <v>174</v>
      </c>
      <c r="M47" s="2">
        <v>103.9229</v>
      </c>
      <c r="N47" s="2">
        <v>96</v>
      </c>
      <c r="O47" s="2">
        <v>106.4743</v>
      </c>
      <c r="P47" s="2">
        <v>70</v>
      </c>
      <c r="Q47" s="2">
        <v>98.537300000000002</v>
      </c>
      <c r="R47" s="2">
        <v>106</v>
      </c>
      <c r="S47" s="2">
        <v>94.550799999999995</v>
      </c>
      <c r="T47" s="2">
        <v>42</v>
      </c>
      <c r="U47" s="2">
        <v>0.79670300000000005</v>
      </c>
      <c r="V47" s="2">
        <v>46</v>
      </c>
      <c r="W47" s="2">
        <v>2003</v>
      </c>
    </row>
    <row r="48" spans="1:23" ht="12.3" x14ac:dyDescent="0.4">
      <c r="A48" s="2" t="s">
        <v>92</v>
      </c>
      <c r="B48" s="2"/>
      <c r="C48" s="2"/>
      <c r="D48" s="2"/>
      <c r="E48" s="2"/>
      <c r="F48" s="2"/>
      <c r="G48" s="2"/>
      <c r="H48" s="2"/>
      <c r="I48" s="2">
        <v>71.506200000000007</v>
      </c>
      <c r="J48" s="2">
        <v>61</v>
      </c>
      <c r="K48" s="2">
        <v>70.400599999999997</v>
      </c>
      <c r="L48" s="2">
        <v>88</v>
      </c>
      <c r="M48" s="2">
        <v>103.4346</v>
      </c>
      <c r="N48" s="2">
        <v>110</v>
      </c>
      <c r="O48" s="2">
        <v>105.6023</v>
      </c>
      <c r="P48" s="2">
        <v>86</v>
      </c>
      <c r="Q48" s="2">
        <v>97.438000000000002</v>
      </c>
      <c r="R48" s="2">
        <v>76</v>
      </c>
      <c r="S48" s="2">
        <v>93.86</v>
      </c>
      <c r="T48" s="2">
        <v>28</v>
      </c>
      <c r="U48" s="2">
        <v>0.79503900000000005</v>
      </c>
      <c r="V48" s="2">
        <v>47</v>
      </c>
      <c r="W48" s="2">
        <v>2003</v>
      </c>
    </row>
    <row r="49" spans="1:23" ht="12.3" x14ac:dyDescent="0.4">
      <c r="A49" s="2" t="s">
        <v>122</v>
      </c>
      <c r="B49" s="2">
        <v>12</v>
      </c>
      <c r="C49" s="4"/>
      <c r="D49" s="4"/>
      <c r="E49" s="4"/>
      <c r="F49" s="4"/>
      <c r="G49" s="4"/>
      <c r="H49" s="4"/>
      <c r="I49" s="2">
        <v>71.342100000000002</v>
      </c>
      <c r="J49" s="2">
        <v>62</v>
      </c>
      <c r="K49" s="2">
        <v>73.054500000000004</v>
      </c>
      <c r="L49" s="2">
        <v>22</v>
      </c>
      <c r="M49" s="2">
        <v>108.09229999999999</v>
      </c>
      <c r="N49" s="2">
        <v>43</v>
      </c>
      <c r="O49" s="2">
        <v>107.3201</v>
      </c>
      <c r="P49" s="2">
        <v>63</v>
      </c>
      <c r="Q49" s="2">
        <v>97.882599999999996</v>
      </c>
      <c r="R49" s="2">
        <v>86</v>
      </c>
      <c r="S49" s="2">
        <v>95.573700000000002</v>
      </c>
      <c r="T49" s="2">
        <v>59</v>
      </c>
      <c r="U49" s="2">
        <v>0.79134599999999999</v>
      </c>
      <c r="V49" s="2">
        <v>48</v>
      </c>
      <c r="W49" s="2">
        <v>2003</v>
      </c>
    </row>
    <row r="50" spans="1:23" ht="12.3" x14ac:dyDescent="0.4">
      <c r="A50" s="2" t="s">
        <v>55</v>
      </c>
      <c r="B50" s="2">
        <v>9</v>
      </c>
      <c r="C50" s="4"/>
      <c r="D50" s="4"/>
      <c r="E50" s="4"/>
      <c r="F50" s="4"/>
      <c r="G50" s="4"/>
      <c r="H50" s="4"/>
      <c r="I50" s="2">
        <v>66.994</v>
      </c>
      <c r="J50" s="2">
        <v>237</v>
      </c>
      <c r="K50" s="2">
        <v>66.267600000000002</v>
      </c>
      <c r="L50" s="2">
        <v>265</v>
      </c>
      <c r="M50" s="2">
        <v>107.5849</v>
      </c>
      <c r="N50" s="2">
        <v>50</v>
      </c>
      <c r="O50" s="2">
        <v>110.1397</v>
      </c>
      <c r="P50" s="2">
        <v>32</v>
      </c>
      <c r="Q50" s="2">
        <v>101.09990000000001</v>
      </c>
      <c r="R50" s="2">
        <v>171</v>
      </c>
      <c r="S50" s="2">
        <v>98.209400000000002</v>
      </c>
      <c r="T50" s="2">
        <v>100</v>
      </c>
      <c r="U50" s="2">
        <v>0.78892399999999996</v>
      </c>
      <c r="V50" s="2">
        <v>49</v>
      </c>
      <c r="W50" s="2">
        <v>2003</v>
      </c>
    </row>
    <row r="51" spans="1:23" ht="12.3" x14ac:dyDescent="0.4">
      <c r="A51" s="2" t="s">
        <v>119</v>
      </c>
      <c r="B51" s="2"/>
      <c r="C51" s="2"/>
      <c r="D51" s="2"/>
      <c r="E51" s="2"/>
      <c r="F51" s="2"/>
      <c r="G51" s="2"/>
      <c r="H51" s="2"/>
      <c r="I51" s="2">
        <v>68.071799999999996</v>
      </c>
      <c r="J51" s="2">
        <v>186</v>
      </c>
      <c r="K51" s="2">
        <v>67.441000000000003</v>
      </c>
      <c r="L51" s="2">
        <v>211</v>
      </c>
      <c r="M51" s="2">
        <v>98.795000000000002</v>
      </c>
      <c r="N51" s="2">
        <v>214</v>
      </c>
      <c r="O51" s="2">
        <v>102.25620000000001</v>
      </c>
      <c r="P51" s="2">
        <v>141</v>
      </c>
      <c r="Q51" s="2">
        <v>96.289000000000001</v>
      </c>
      <c r="R51" s="2">
        <v>53</v>
      </c>
      <c r="S51" s="2">
        <v>91.483000000000004</v>
      </c>
      <c r="T51" s="2">
        <v>14</v>
      </c>
      <c r="U51" s="2">
        <v>0.782497</v>
      </c>
      <c r="V51" s="2">
        <v>50</v>
      </c>
      <c r="W51" s="2">
        <v>2003</v>
      </c>
    </row>
    <row r="52" spans="1:23" ht="12.3" x14ac:dyDescent="0.4">
      <c r="A52" s="2" t="s">
        <v>68</v>
      </c>
      <c r="B52" s="2">
        <v>13</v>
      </c>
      <c r="C52" s="4"/>
      <c r="D52" s="4"/>
      <c r="E52" s="4"/>
      <c r="F52" s="4"/>
      <c r="G52" s="4"/>
      <c r="H52" s="4"/>
      <c r="I52" s="2">
        <v>68.515500000000003</v>
      </c>
      <c r="J52" s="2">
        <v>165</v>
      </c>
      <c r="K52" s="2">
        <v>69.1952</v>
      </c>
      <c r="L52" s="2">
        <v>132</v>
      </c>
      <c r="M52" s="2">
        <v>106.211</v>
      </c>
      <c r="N52" s="2">
        <v>63</v>
      </c>
      <c r="O52" s="2">
        <v>106.6789</v>
      </c>
      <c r="P52" s="2">
        <v>67</v>
      </c>
      <c r="Q52" s="2">
        <v>95.870400000000004</v>
      </c>
      <c r="R52" s="2">
        <v>47</v>
      </c>
      <c r="S52" s="2">
        <v>95.462999999999994</v>
      </c>
      <c r="T52" s="2">
        <v>54</v>
      </c>
      <c r="U52" s="2">
        <v>0.78201900000000002</v>
      </c>
      <c r="V52" s="2">
        <v>51</v>
      </c>
      <c r="W52" s="2">
        <v>2003</v>
      </c>
    </row>
    <row r="53" spans="1:23" ht="12.3" x14ac:dyDescent="0.4">
      <c r="A53" s="2" t="s">
        <v>113</v>
      </c>
      <c r="B53" s="2">
        <v>10</v>
      </c>
      <c r="C53" s="3" t="s">
        <v>33</v>
      </c>
      <c r="D53" s="4"/>
      <c r="E53" s="4"/>
      <c r="F53" s="4"/>
      <c r="G53" s="4"/>
      <c r="H53" s="4"/>
      <c r="I53" s="2">
        <v>68.055000000000007</v>
      </c>
      <c r="J53" s="2">
        <v>188</v>
      </c>
      <c r="K53" s="2">
        <v>68.1404</v>
      </c>
      <c r="L53" s="2">
        <v>180</v>
      </c>
      <c r="M53" s="2">
        <v>102.5367</v>
      </c>
      <c r="N53" s="2">
        <v>136</v>
      </c>
      <c r="O53" s="2">
        <v>104.4508</v>
      </c>
      <c r="P53" s="2">
        <v>102</v>
      </c>
      <c r="Q53" s="2">
        <v>96.688500000000005</v>
      </c>
      <c r="R53" s="2">
        <v>59</v>
      </c>
      <c r="S53" s="2">
        <v>93.779799999999994</v>
      </c>
      <c r="T53" s="2">
        <v>26</v>
      </c>
      <c r="U53" s="2">
        <v>0.77544599999999997</v>
      </c>
      <c r="V53" s="2">
        <v>52</v>
      </c>
      <c r="W53" s="2">
        <v>2003</v>
      </c>
    </row>
    <row r="54" spans="1:23" ht="12.3" x14ac:dyDescent="0.4">
      <c r="A54" s="2" t="s">
        <v>81</v>
      </c>
      <c r="B54" s="2"/>
      <c r="C54" s="2"/>
      <c r="D54" s="2"/>
      <c r="E54" s="2"/>
      <c r="F54" s="2"/>
      <c r="G54" s="2"/>
      <c r="H54" s="2"/>
      <c r="I54" s="2">
        <v>66.070999999999998</v>
      </c>
      <c r="J54" s="2">
        <v>264</v>
      </c>
      <c r="K54" s="2">
        <v>65.453199999999995</v>
      </c>
      <c r="L54" s="2">
        <v>281</v>
      </c>
      <c r="M54" s="2">
        <v>103.577</v>
      </c>
      <c r="N54" s="2">
        <v>104</v>
      </c>
      <c r="O54" s="2">
        <v>108.7127</v>
      </c>
      <c r="P54" s="2">
        <v>48</v>
      </c>
      <c r="Q54" s="2">
        <v>100.0222</v>
      </c>
      <c r="R54" s="2">
        <v>146</v>
      </c>
      <c r="S54" s="2">
        <v>97.647300000000001</v>
      </c>
      <c r="T54" s="2">
        <v>86</v>
      </c>
      <c r="U54" s="2">
        <v>0.77460300000000004</v>
      </c>
      <c r="V54" s="2">
        <v>53</v>
      </c>
      <c r="W54" s="2">
        <v>2003</v>
      </c>
    </row>
    <row r="55" spans="1:23" ht="12.3" x14ac:dyDescent="0.4">
      <c r="A55" s="2" t="s">
        <v>82</v>
      </c>
      <c r="B55" s="2">
        <v>11</v>
      </c>
      <c r="C55" s="4"/>
      <c r="D55" s="4"/>
      <c r="E55" s="4"/>
      <c r="F55" s="4"/>
      <c r="G55" s="4"/>
      <c r="H55" s="4"/>
      <c r="I55" s="2">
        <v>67.913899999999998</v>
      </c>
      <c r="J55" s="2">
        <v>195</v>
      </c>
      <c r="K55" s="2">
        <v>68.507099999999994</v>
      </c>
      <c r="L55" s="2">
        <v>161</v>
      </c>
      <c r="M55" s="2">
        <v>109.01</v>
      </c>
      <c r="N55" s="2">
        <v>32</v>
      </c>
      <c r="O55" s="2">
        <v>109.44240000000001</v>
      </c>
      <c r="P55" s="2">
        <v>39</v>
      </c>
      <c r="Q55" s="2">
        <v>99.468000000000004</v>
      </c>
      <c r="R55" s="2">
        <v>134</v>
      </c>
      <c r="S55" s="2">
        <v>98.739400000000003</v>
      </c>
      <c r="T55" s="2">
        <v>112</v>
      </c>
      <c r="U55" s="2">
        <v>0.76557900000000001</v>
      </c>
      <c r="V55" s="2">
        <v>54</v>
      </c>
      <c r="W55" s="2">
        <v>2003</v>
      </c>
    </row>
    <row r="56" spans="1:23" ht="12.3" x14ac:dyDescent="0.4">
      <c r="A56" s="2" t="s">
        <v>178</v>
      </c>
      <c r="B56" s="2">
        <v>14</v>
      </c>
      <c r="C56" s="4"/>
      <c r="D56" s="4"/>
      <c r="E56" s="4"/>
      <c r="F56" s="4"/>
      <c r="G56" s="4"/>
      <c r="H56" s="4"/>
      <c r="I56" s="2">
        <v>65.596100000000007</v>
      </c>
      <c r="J56" s="2">
        <v>275</v>
      </c>
      <c r="K56" s="2">
        <v>66.593900000000005</v>
      </c>
      <c r="L56" s="2">
        <v>253</v>
      </c>
      <c r="M56" s="2">
        <v>105.81529999999999</v>
      </c>
      <c r="N56" s="2">
        <v>74</v>
      </c>
      <c r="O56" s="2">
        <v>104.47750000000001</v>
      </c>
      <c r="P56" s="2">
        <v>100</v>
      </c>
      <c r="Q56" s="2">
        <v>88.366500000000002</v>
      </c>
      <c r="R56" s="2">
        <v>2</v>
      </c>
      <c r="S56" s="2">
        <v>94.290999999999997</v>
      </c>
      <c r="T56" s="2">
        <v>39</v>
      </c>
      <c r="U56" s="2">
        <v>0.76490100000000005</v>
      </c>
      <c r="V56" s="2">
        <v>55</v>
      </c>
      <c r="W56" s="2">
        <v>2003</v>
      </c>
    </row>
    <row r="57" spans="1:23" ht="12.3" x14ac:dyDescent="0.4">
      <c r="A57" s="2" t="s">
        <v>78</v>
      </c>
      <c r="B57" s="2"/>
      <c r="C57" s="2"/>
      <c r="D57" s="2"/>
      <c r="E57" s="2"/>
      <c r="F57" s="2"/>
      <c r="G57" s="2"/>
      <c r="H57" s="2"/>
      <c r="I57" s="2">
        <v>70.621799999999993</v>
      </c>
      <c r="J57" s="2">
        <v>89</v>
      </c>
      <c r="K57" s="2">
        <v>70.717600000000004</v>
      </c>
      <c r="L57" s="2">
        <v>77</v>
      </c>
      <c r="M57" s="2">
        <v>100.8763</v>
      </c>
      <c r="N57" s="2">
        <v>173</v>
      </c>
      <c r="O57" s="2">
        <v>104.0245</v>
      </c>
      <c r="P57" s="2">
        <v>109</v>
      </c>
      <c r="Q57" s="2">
        <v>98.181600000000003</v>
      </c>
      <c r="R57" s="2">
        <v>94</v>
      </c>
      <c r="S57" s="2">
        <v>93.885400000000004</v>
      </c>
      <c r="T57" s="2">
        <v>29</v>
      </c>
      <c r="U57" s="2">
        <v>0.76483000000000001</v>
      </c>
      <c r="V57" s="2">
        <v>56</v>
      </c>
      <c r="W57" s="2">
        <v>2003</v>
      </c>
    </row>
    <row r="58" spans="1:23" ht="12.3" x14ac:dyDescent="0.4">
      <c r="A58" s="2" t="s">
        <v>139</v>
      </c>
      <c r="B58" s="2">
        <v>14</v>
      </c>
      <c r="C58" s="4"/>
      <c r="D58" s="4"/>
      <c r="E58" s="4"/>
      <c r="F58" s="4"/>
      <c r="G58" s="4"/>
      <c r="H58" s="4"/>
      <c r="I58" s="2">
        <v>70.603399999999993</v>
      </c>
      <c r="J58" s="2">
        <v>91</v>
      </c>
      <c r="K58" s="2">
        <v>69.676299999999998</v>
      </c>
      <c r="L58" s="2">
        <v>112</v>
      </c>
      <c r="M58" s="2">
        <v>106.18770000000001</v>
      </c>
      <c r="N58" s="2">
        <v>64</v>
      </c>
      <c r="O58" s="2">
        <v>104.31270000000001</v>
      </c>
      <c r="P58" s="2">
        <v>103</v>
      </c>
      <c r="Q58" s="2">
        <v>93.9559</v>
      </c>
      <c r="R58" s="2">
        <v>28</v>
      </c>
      <c r="S58" s="2">
        <v>94.180499999999995</v>
      </c>
      <c r="T58" s="2">
        <v>36</v>
      </c>
      <c r="U58" s="2">
        <v>0.76405999999999996</v>
      </c>
      <c r="V58" s="2">
        <v>57</v>
      </c>
      <c r="W58" s="2">
        <v>2003</v>
      </c>
    </row>
    <row r="59" spans="1:23" ht="12.3" x14ac:dyDescent="0.4">
      <c r="A59" s="2" t="s">
        <v>168</v>
      </c>
      <c r="B59" s="2"/>
      <c r="C59" s="2"/>
      <c r="D59" s="2"/>
      <c r="E59" s="2"/>
      <c r="F59" s="2"/>
      <c r="G59" s="2"/>
      <c r="H59" s="2"/>
      <c r="I59" s="2">
        <v>70.974999999999994</v>
      </c>
      <c r="J59" s="2">
        <v>75</v>
      </c>
      <c r="K59" s="2">
        <v>69.485699999999994</v>
      </c>
      <c r="L59" s="2">
        <v>118</v>
      </c>
      <c r="M59" s="2">
        <v>99.552300000000002</v>
      </c>
      <c r="N59" s="2">
        <v>203</v>
      </c>
      <c r="O59" s="2">
        <v>105.03530000000001</v>
      </c>
      <c r="P59" s="2">
        <v>92</v>
      </c>
      <c r="Q59" s="2">
        <v>99.352699999999999</v>
      </c>
      <c r="R59" s="2">
        <v>129</v>
      </c>
      <c r="S59" s="2">
        <v>94.885999999999996</v>
      </c>
      <c r="T59" s="2">
        <v>45</v>
      </c>
      <c r="U59" s="2">
        <v>0.76289799999999997</v>
      </c>
      <c r="V59" s="2">
        <v>58</v>
      </c>
      <c r="W59" s="2">
        <v>2003</v>
      </c>
    </row>
    <row r="60" spans="1:23" ht="12.3" x14ac:dyDescent="0.4">
      <c r="A60" s="2" t="s">
        <v>62</v>
      </c>
      <c r="B60" s="2"/>
      <c r="C60" s="2"/>
      <c r="D60" s="2"/>
      <c r="E60" s="2"/>
      <c r="F60" s="2"/>
      <c r="G60" s="2"/>
      <c r="H60" s="2"/>
      <c r="I60" s="2">
        <v>73.6708</v>
      </c>
      <c r="J60" s="2">
        <v>22</v>
      </c>
      <c r="K60" s="2">
        <v>72.134200000000007</v>
      </c>
      <c r="L60" s="2">
        <v>43</v>
      </c>
      <c r="M60" s="2">
        <v>101.124</v>
      </c>
      <c r="N60" s="2">
        <v>168</v>
      </c>
      <c r="O60" s="2">
        <v>104.14870000000001</v>
      </c>
      <c r="P60" s="2">
        <v>106</v>
      </c>
      <c r="Q60" s="2">
        <v>92.96</v>
      </c>
      <c r="R60" s="2">
        <v>20</v>
      </c>
      <c r="S60" s="2">
        <v>94.098100000000002</v>
      </c>
      <c r="T60" s="2">
        <v>34</v>
      </c>
      <c r="U60" s="2">
        <v>0.76260899999999998</v>
      </c>
      <c r="V60" s="2">
        <v>59</v>
      </c>
      <c r="W60" s="2">
        <v>2003</v>
      </c>
    </row>
    <row r="61" spans="1:23" ht="12.3" x14ac:dyDescent="0.4">
      <c r="A61" s="2" t="s">
        <v>51</v>
      </c>
      <c r="B61" s="2"/>
      <c r="C61" s="2"/>
      <c r="D61" s="2"/>
      <c r="E61" s="2"/>
      <c r="F61" s="2"/>
      <c r="G61" s="2"/>
      <c r="H61" s="2"/>
      <c r="I61" s="2">
        <v>63.602899999999998</v>
      </c>
      <c r="J61" s="2">
        <v>305</v>
      </c>
      <c r="K61" s="2">
        <v>64.390600000000006</v>
      </c>
      <c r="L61" s="2">
        <v>298</v>
      </c>
      <c r="M61" s="2">
        <v>104.4053</v>
      </c>
      <c r="N61" s="2">
        <v>85</v>
      </c>
      <c r="O61" s="2">
        <v>110.4903</v>
      </c>
      <c r="P61" s="2">
        <v>24</v>
      </c>
      <c r="Q61" s="2">
        <v>99.798599999999993</v>
      </c>
      <c r="R61" s="2">
        <v>139</v>
      </c>
      <c r="S61" s="2">
        <v>100.012</v>
      </c>
      <c r="T61" s="2">
        <v>137</v>
      </c>
      <c r="U61" s="2">
        <v>0.75874799999999998</v>
      </c>
      <c r="V61" s="2">
        <v>60</v>
      </c>
      <c r="W61" s="2">
        <v>2003</v>
      </c>
    </row>
    <row r="62" spans="1:23" ht="12.3" x14ac:dyDescent="0.4">
      <c r="A62" s="2" t="s">
        <v>235</v>
      </c>
      <c r="B62" s="2">
        <v>11</v>
      </c>
      <c r="C62" s="3" t="s">
        <v>33</v>
      </c>
      <c r="D62" s="4"/>
      <c r="E62" s="4"/>
      <c r="F62" s="4"/>
      <c r="G62" s="4"/>
      <c r="H62" s="4"/>
      <c r="I62" s="2">
        <v>72.531499999999994</v>
      </c>
      <c r="J62" s="2">
        <v>37</v>
      </c>
      <c r="K62" s="2">
        <v>72.930400000000006</v>
      </c>
      <c r="L62" s="2">
        <v>25</v>
      </c>
      <c r="M62" s="2">
        <v>109.179</v>
      </c>
      <c r="N62" s="2">
        <v>30</v>
      </c>
      <c r="O62" s="2">
        <v>109.02849999999999</v>
      </c>
      <c r="P62" s="2">
        <v>44</v>
      </c>
      <c r="Q62" s="2">
        <v>100.8597</v>
      </c>
      <c r="R62" s="2">
        <v>167</v>
      </c>
      <c r="S62" s="2">
        <v>98.700900000000004</v>
      </c>
      <c r="T62" s="2">
        <v>109</v>
      </c>
      <c r="U62" s="2">
        <v>0.75849</v>
      </c>
      <c r="V62" s="2">
        <v>61</v>
      </c>
      <c r="W62" s="2">
        <v>2003</v>
      </c>
    </row>
    <row r="63" spans="1:23" ht="12.3" x14ac:dyDescent="0.4">
      <c r="A63" s="2" t="s">
        <v>69</v>
      </c>
      <c r="B63" s="2">
        <v>13</v>
      </c>
      <c r="C63" s="3" t="s">
        <v>33</v>
      </c>
      <c r="D63" s="4"/>
      <c r="E63" s="4"/>
      <c r="F63" s="4"/>
      <c r="G63" s="4"/>
      <c r="H63" s="4"/>
      <c r="I63" s="2">
        <v>69.045400000000001</v>
      </c>
      <c r="J63" s="2">
        <v>146</v>
      </c>
      <c r="K63" s="2">
        <v>68.783199999999994</v>
      </c>
      <c r="L63" s="2">
        <v>149</v>
      </c>
      <c r="M63" s="2">
        <v>105.9083</v>
      </c>
      <c r="N63" s="2">
        <v>73</v>
      </c>
      <c r="O63" s="2">
        <v>105.1844</v>
      </c>
      <c r="P63" s="2">
        <v>89</v>
      </c>
      <c r="Q63" s="2">
        <v>93.8703</v>
      </c>
      <c r="R63" s="2">
        <v>27</v>
      </c>
      <c r="S63" s="2">
        <v>95.343000000000004</v>
      </c>
      <c r="T63" s="2">
        <v>52</v>
      </c>
      <c r="U63" s="2">
        <v>0.75578100000000004</v>
      </c>
      <c r="V63" s="2">
        <v>62</v>
      </c>
      <c r="W63" s="2">
        <v>2003</v>
      </c>
    </row>
    <row r="64" spans="1:23" ht="12.3" x14ac:dyDescent="0.4">
      <c r="A64" s="2" t="s">
        <v>132</v>
      </c>
      <c r="B64" s="2"/>
      <c r="C64" s="2"/>
      <c r="D64" s="2"/>
      <c r="E64" s="2"/>
      <c r="F64" s="2"/>
      <c r="G64" s="2"/>
      <c r="H64" s="2"/>
      <c r="I64" s="2">
        <v>65.271600000000007</v>
      </c>
      <c r="J64" s="2">
        <v>284</v>
      </c>
      <c r="K64" s="2">
        <v>65.900199999999998</v>
      </c>
      <c r="L64" s="2">
        <v>272</v>
      </c>
      <c r="M64" s="2">
        <v>108.83499999999999</v>
      </c>
      <c r="N64" s="2">
        <v>34</v>
      </c>
      <c r="O64" s="2">
        <v>108.5082</v>
      </c>
      <c r="P64" s="2">
        <v>51</v>
      </c>
      <c r="Q64" s="2">
        <v>99.749300000000005</v>
      </c>
      <c r="R64" s="2">
        <v>138</v>
      </c>
      <c r="S64" s="2">
        <v>98.551900000000003</v>
      </c>
      <c r="T64" s="2">
        <v>106</v>
      </c>
      <c r="U64" s="2">
        <v>0.751529</v>
      </c>
      <c r="V64" s="2">
        <v>63</v>
      </c>
      <c r="W64" s="2">
        <v>2003</v>
      </c>
    </row>
    <row r="65" spans="1:23" ht="12.3" x14ac:dyDescent="0.4">
      <c r="A65" s="2" t="s">
        <v>154</v>
      </c>
      <c r="B65" s="2"/>
      <c r="C65" s="2"/>
      <c r="D65" s="2"/>
      <c r="E65" s="2"/>
      <c r="F65" s="2"/>
      <c r="G65" s="2"/>
      <c r="H65" s="2"/>
      <c r="I65" s="2">
        <v>67.079599999999999</v>
      </c>
      <c r="J65" s="2">
        <v>236</v>
      </c>
      <c r="K65" s="2">
        <v>66.525400000000005</v>
      </c>
      <c r="L65" s="2">
        <v>255</v>
      </c>
      <c r="M65" s="2">
        <v>102.8985</v>
      </c>
      <c r="N65" s="2">
        <v>125</v>
      </c>
      <c r="O65" s="2">
        <v>107.68819999999999</v>
      </c>
      <c r="P65" s="2">
        <v>60</v>
      </c>
      <c r="Q65" s="2">
        <v>100.4898</v>
      </c>
      <c r="R65" s="2">
        <v>156</v>
      </c>
      <c r="S65" s="2">
        <v>97.870400000000004</v>
      </c>
      <c r="T65" s="2">
        <v>90</v>
      </c>
      <c r="U65" s="2">
        <v>0.750139</v>
      </c>
      <c r="V65" s="2">
        <v>64</v>
      </c>
      <c r="W65" s="2">
        <v>2003</v>
      </c>
    </row>
    <row r="66" spans="1:23" ht="12.3" x14ac:dyDescent="0.4">
      <c r="A66" s="2" t="s">
        <v>109</v>
      </c>
      <c r="B66" s="2"/>
      <c r="C66" s="2"/>
      <c r="D66" s="2"/>
      <c r="E66" s="2"/>
      <c r="F66" s="2"/>
      <c r="G66" s="2"/>
      <c r="H66" s="2"/>
      <c r="I66" s="2">
        <v>71.004400000000004</v>
      </c>
      <c r="J66" s="2">
        <v>73</v>
      </c>
      <c r="K66" s="2">
        <v>71.289299999999997</v>
      </c>
      <c r="L66" s="2">
        <v>57</v>
      </c>
      <c r="M66" s="2">
        <v>106.29689999999999</v>
      </c>
      <c r="N66" s="2">
        <v>62</v>
      </c>
      <c r="O66" s="2">
        <v>106.9718</v>
      </c>
      <c r="P66" s="2">
        <v>65</v>
      </c>
      <c r="Q66" s="2">
        <v>99.105699999999999</v>
      </c>
      <c r="R66" s="2">
        <v>122</v>
      </c>
      <c r="S66" s="2">
        <v>97.303899999999999</v>
      </c>
      <c r="T66" s="2">
        <v>83</v>
      </c>
      <c r="U66" s="2">
        <v>0.74825900000000001</v>
      </c>
      <c r="V66" s="2">
        <v>65</v>
      </c>
      <c r="W66" s="2">
        <v>2003</v>
      </c>
    </row>
    <row r="67" spans="1:23" ht="12.3" x14ac:dyDescent="0.4">
      <c r="A67" s="2" t="s">
        <v>117</v>
      </c>
      <c r="B67" s="2"/>
      <c r="C67" s="2"/>
      <c r="D67" s="2"/>
      <c r="E67" s="2"/>
      <c r="F67" s="2"/>
      <c r="G67" s="2"/>
      <c r="H67" s="2"/>
      <c r="I67" s="2">
        <v>71.257400000000004</v>
      </c>
      <c r="J67" s="2">
        <v>66</v>
      </c>
      <c r="K67" s="2">
        <v>71.472800000000007</v>
      </c>
      <c r="L67" s="2">
        <v>54</v>
      </c>
      <c r="M67" s="2">
        <v>105.6366</v>
      </c>
      <c r="N67" s="2">
        <v>75</v>
      </c>
      <c r="O67" s="2">
        <v>106.42570000000001</v>
      </c>
      <c r="P67" s="2">
        <v>74</v>
      </c>
      <c r="Q67" s="2">
        <v>97.067099999999996</v>
      </c>
      <c r="R67" s="2">
        <v>69</v>
      </c>
      <c r="S67" s="2">
        <v>96.856899999999996</v>
      </c>
      <c r="T67" s="2">
        <v>74</v>
      </c>
      <c r="U67" s="2">
        <v>0.74714700000000001</v>
      </c>
      <c r="V67" s="2">
        <v>66</v>
      </c>
      <c r="W67" s="2">
        <v>2003</v>
      </c>
    </row>
    <row r="68" spans="1:23" ht="12.3" x14ac:dyDescent="0.4">
      <c r="A68" s="2" t="s">
        <v>146</v>
      </c>
      <c r="B68" s="2"/>
      <c r="C68" s="2"/>
      <c r="D68" s="2"/>
      <c r="E68" s="2"/>
      <c r="F68" s="2"/>
      <c r="G68" s="2"/>
      <c r="H68" s="2"/>
      <c r="I68" s="2">
        <v>68.799599999999998</v>
      </c>
      <c r="J68" s="2">
        <v>152</v>
      </c>
      <c r="K68" s="2">
        <v>67.672600000000003</v>
      </c>
      <c r="L68" s="2">
        <v>200</v>
      </c>
      <c r="M68" s="2">
        <v>102.2774</v>
      </c>
      <c r="N68" s="2">
        <v>144</v>
      </c>
      <c r="O68" s="2">
        <v>106.4152</v>
      </c>
      <c r="P68" s="2">
        <v>75</v>
      </c>
      <c r="Q68" s="2">
        <v>97.222700000000003</v>
      </c>
      <c r="R68" s="2">
        <v>73</v>
      </c>
      <c r="S68" s="2">
        <v>96.960599999999999</v>
      </c>
      <c r="T68" s="2">
        <v>77</v>
      </c>
      <c r="U68" s="2">
        <v>0.74459900000000001</v>
      </c>
      <c r="V68" s="2">
        <v>67</v>
      </c>
      <c r="W68" s="2">
        <v>2003</v>
      </c>
    </row>
    <row r="69" spans="1:23" ht="12.3" x14ac:dyDescent="0.4">
      <c r="A69" s="2" t="s">
        <v>88</v>
      </c>
      <c r="B69" s="2"/>
      <c r="C69" s="2"/>
      <c r="D69" s="2"/>
      <c r="E69" s="2"/>
      <c r="F69" s="2"/>
      <c r="G69" s="2"/>
      <c r="H69" s="2"/>
      <c r="I69" s="2">
        <v>64.049199999999999</v>
      </c>
      <c r="J69" s="2">
        <v>302</v>
      </c>
      <c r="K69" s="2">
        <v>64.493899999999996</v>
      </c>
      <c r="L69" s="2">
        <v>297</v>
      </c>
      <c r="M69" s="2">
        <v>103.7655</v>
      </c>
      <c r="N69" s="2">
        <v>101</v>
      </c>
      <c r="O69" s="2">
        <v>108.4794</v>
      </c>
      <c r="P69" s="2">
        <v>53</v>
      </c>
      <c r="Q69" s="2">
        <v>104.8737</v>
      </c>
      <c r="R69" s="2">
        <v>252</v>
      </c>
      <c r="S69" s="2">
        <v>99.151600000000002</v>
      </c>
      <c r="T69" s="2">
        <v>120</v>
      </c>
      <c r="U69" s="2">
        <v>0.73768500000000004</v>
      </c>
      <c r="V69" s="2">
        <v>68</v>
      </c>
      <c r="W69" s="2">
        <v>2003</v>
      </c>
    </row>
    <row r="70" spans="1:23" ht="12.3" x14ac:dyDescent="0.4">
      <c r="A70" s="2" t="s">
        <v>148</v>
      </c>
      <c r="B70" s="2"/>
      <c r="C70" s="2"/>
      <c r="D70" s="2"/>
      <c r="E70" s="2"/>
      <c r="F70" s="2"/>
      <c r="G70" s="2"/>
      <c r="H70" s="2"/>
      <c r="I70" s="2">
        <v>67.295000000000002</v>
      </c>
      <c r="J70" s="2">
        <v>228</v>
      </c>
      <c r="K70" s="2">
        <v>67.517099999999999</v>
      </c>
      <c r="L70" s="2">
        <v>207</v>
      </c>
      <c r="M70" s="2">
        <v>103.13639999999999</v>
      </c>
      <c r="N70" s="2">
        <v>120</v>
      </c>
      <c r="O70" s="2">
        <v>105.36960000000001</v>
      </c>
      <c r="P70" s="2">
        <v>87</v>
      </c>
      <c r="Q70" s="2">
        <v>98.231099999999998</v>
      </c>
      <c r="R70" s="2">
        <v>97</v>
      </c>
      <c r="S70" s="2">
        <v>96.400099999999995</v>
      </c>
      <c r="T70" s="2">
        <v>66</v>
      </c>
      <c r="U70" s="2">
        <v>0.73557899999999998</v>
      </c>
      <c r="V70" s="2">
        <v>69</v>
      </c>
      <c r="W70" s="2">
        <v>2003</v>
      </c>
    </row>
    <row r="71" spans="1:23" ht="12.3" x14ac:dyDescent="0.4">
      <c r="A71" s="2" t="s">
        <v>144</v>
      </c>
      <c r="B71" s="2"/>
      <c r="C71" s="2"/>
      <c r="D71" s="2"/>
      <c r="E71" s="2"/>
      <c r="F71" s="2"/>
      <c r="G71" s="2"/>
      <c r="H71" s="2"/>
      <c r="I71" s="2">
        <v>68.541799999999995</v>
      </c>
      <c r="J71" s="2">
        <v>162</v>
      </c>
      <c r="K71" s="2">
        <v>69.473200000000006</v>
      </c>
      <c r="L71" s="2">
        <v>119</v>
      </c>
      <c r="M71" s="2">
        <v>110.1105</v>
      </c>
      <c r="N71" s="2">
        <v>24</v>
      </c>
      <c r="O71" s="2">
        <v>109.8871</v>
      </c>
      <c r="P71" s="2">
        <v>36</v>
      </c>
      <c r="Q71" s="2">
        <v>100.57429999999999</v>
      </c>
      <c r="R71" s="2">
        <v>157</v>
      </c>
      <c r="S71" s="2">
        <v>100.6054</v>
      </c>
      <c r="T71" s="2">
        <v>152</v>
      </c>
      <c r="U71" s="2">
        <v>0.73396700000000004</v>
      </c>
      <c r="V71" s="2">
        <v>70</v>
      </c>
      <c r="W71" s="2">
        <v>2003</v>
      </c>
    </row>
    <row r="72" spans="1:23" ht="12.3" x14ac:dyDescent="0.4">
      <c r="A72" s="2" t="s">
        <v>128</v>
      </c>
      <c r="B72" s="2"/>
      <c r="C72" s="2"/>
      <c r="D72" s="2"/>
      <c r="E72" s="2"/>
      <c r="F72" s="2"/>
      <c r="G72" s="2"/>
      <c r="H72" s="2"/>
      <c r="I72" s="2">
        <v>74.692899999999995</v>
      </c>
      <c r="J72" s="2">
        <v>12</v>
      </c>
      <c r="K72" s="2">
        <v>75.659700000000001</v>
      </c>
      <c r="L72" s="2">
        <v>4</v>
      </c>
      <c r="M72" s="2">
        <v>101.5613</v>
      </c>
      <c r="N72" s="2">
        <v>157</v>
      </c>
      <c r="O72" s="2">
        <v>104.03749999999999</v>
      </c>
      <c r="P72" s="2">
        <v>108</v>
      </c>
      <c r="Q72" s="2">
        <v>95.673500000000004</v>
      </c>
      <c r="R72" s="2">
        <v>41</v>
      </c>
      <c r="S72" s="2">
        <v>95.308800000000005</v>
      </c>
      <c r="T72" s="2">
        <v>51</v>
      </c>
      <c r="U72" s="2">
        <v>0.73257499999999998</v>
      </c>
      <c r="V72" s="2">
        <v>71</v>
      </c>
      <c r="W72" s="2">
        <v>2003</v>
      </c>
    </row>
    <row r="73" spans="1:23" ht="12.3" x14ac:dyDescent="0.4">
      <c r="A73" s="2" t="s">
        <v>116</v>
      </c>
      <c r="B73" s="2"/>
      <c r="C73" s="2"/>
      <c r="D73" s="2"/>
      <c r="E73" s="2"/>
      <c r="F73" s="2"/>
      <c r="G73" s="2"/>
      <c r="H73" s="2"/>
      <c r="I73" s="2">
        <v>60.538699999999999</v>
      </c>
      <c r="J73" s="2">
        <v>321</v>
      </c>
      <c r="K73" s="2">
        <v>60.359499999999997</v>
      </c>
      <c r="L73" s="2">
        <v>323</v>
      </c>
      <c r="M73" s="2">
        <v>99.893500000000003</v>
      </c>
      <c r="N73" s="2">
        <v>192</v>
      </c>
      <c r="O73" s="2">
        <v>104.1122</v>
      </c>
      <c r="P73" s="2">
        <v>107</v>
      </c>
      <c r="Q73" s="2">
        <v>98.856800000000007</v>
      </c>
      <c r="R73" s="2">
        <v>115</v>
      </c>
      <c r="S73" s="2">
        <v>95.5167</v>
      </c>
      <c r="T73" s="2">
        <v>57</v>
      </c>
      <c r="U73" s="2">
        <v>0.72927200000000003</v>
      </c>
      <c r="V73" s="2">
        <v>72</v>
      </c>
      <c r="W73" s="2">
        <v>2003</v>
      </c>
    </row>
    <row r="74" spans="1:23" ht="12.3" x14ac:dyDescent="0.4">
      <c r="A74" s="2" t="s">
        <v>207</v>
      </c>
      <c r="B74" s="2"/>
      <c r="C74" s="2"/>
      <c r="D74" s="2"/>
      <c r="E74" s="2"/>
      <c r="F74" s="2"/>
      <c r="G74" s="2"/>
      <c r="H74" s="2"/>
      <c r="I74" s="2">
        <v>66.738799999999998</v>
      </c>
      <c r="J74" s="2">
        <v>244</v>
      </c>
      <c r="K74" s="2">
        <v>66.875399999999999</v>
      </c>
      <c r="L74" s="2">
        <v>240</v>
      </c>
      <c r="M74" s="2">
        <v>100.50449999999999</v>
      </c>
      <c r="N74" s="2">
        <v>183</v>
      </c>
      <c r="O74" s="2">
        <v>103.5299</v>
      </c>
      <c r="P74" s="2">
        <v>117</v>
      </c>
      <c r="Q74" s="2">
        <v>96.7029</v>
      </c>
      <c r="R74" s="2">
        <v>60</v>
      </c>
      <c r="S74" s="2">
        <v>95.006600000000006</v>
      </c>
      <c r="T74" s="2">
        <v>47</v>
      </c>
      <c r="U74" s="2">
        <v>0.72869499999999998</v>
      </c>
      <c r="V74" s="2">
        <v>73</v>
      </c>
      <c r="W74" s="2">
        <v>2003</v>
      </c>
    </row>
    <row r="75" spans="1:23" ht="12.3" x14ac:dyDescent="0.4">
      <c r="A75" s="2" t="s">
        <v>133</v>
      </c>
      <c r="B75" s="2">
        <v>13</v>
      </c>
      <c r="C75" s="4"/>
      <c r="D75" s="4"/>
      <c r="E75" s="4"/>
      <c r="F75" s="4"/>
      <c r="G75" s="4"/>
      <c r="H75" s="4"/>
      <c r="I75" s="2">
        <v>72.302700000000002</v>
      </c>
      <c r="J75" s="2">
        <v>42</v>
      </c>
      <c r="K75" s="2">
        <v>72.1541</v>
      </c>
      <c r="L75" s="2">
        <v>42</v>
      </c>
      <c r="M75" s="2">
        <v>102.5277</v>
      </c>
      <c r="N75" s="2">
        <v>137</v>
      </c>
      <c r="O75" s="2">
        <v>103.9853</v>
      </c>
      <c r="P75" s="2">
        <v>111</v>
      </c>
      <c r="Q75" s="2">
        <v>98.216399999999993</v>
      </c>
      <c r="R75" s="2">
        <v>95</v>
      </c>
      <c r="S75" s="2">
        <v>95.801699999999997</v>
      </c>
      <c r="T75" s="2">
        <v>61</v>
      </c>
      <c r="U75" s="2">
        <v>0.71963600000000005</v>
      </c>
      <c r="V75" s="2">
        <v>74</v>
      </c>
      <c r="W75" s="2">
        <v>2003</v>
      </c>
    </row>
    <row r="76" spans="1:23" ht="12.3" x14ac:dyDescent="0.4">
      <c r="A76" s="2" t="s">
        <v>170</v>
      </c>
      <c r="B76" s="2">
        <v>12</v>
      </c>
      <c r="C76" s="4"/>
      <c r="D76" s="4"/>
      <c r="E76" s="4"/>
      <c r="F76" s="4"/>
      <c r="G76" s="4"/>
      <c r="H76" s="4"/>
      <c r="I76" s="2">
        <v>67.527199999999993</v>
      </c>
      <c r="J76" s="2">
        <v>215</v>
      </c>
      <c r="K76" s="2">
        <v>67.371200000000002</v>
      </c>
      <c r="L76" s="2">
        <v>214</v>
      </c>
      <c r="M76" s="2">
        <v>110.25620000000001</v>
      </c>
      <c r="N76" s="2">
        <v>23</v>
      </c>
      <c r="O76" s="2">
        <v>109.3373</v>
      </c>
      <c r="P76" s="2">
        <v>41</v>
      </c>
      <c r="Q76" s="2">
        <v>99.803899999999999</v>
      </c>
      <c r="R76" s="2">
        <v>140</v>
      </c>
      <c r="S76" s="2">
        <v>100.9898</v>
      </c>
      <c r="T76" s="2">
        <v>161</v>
      </c>
      <c r="U76" s="2">
        <v>0.71367700000000001</v>
      </c>
      <c r="V76" s="2">
        <v>75</v>
      </c>
      <c r="W76" s="2">
        <v>2003</v>
      </c>
    </row>
    <row r="77" spans="1:23" ht="12.3" x14ac:dyDescent="0.4">
      <c r="A77" s="2" t="s">
        <v>21</v>
      </c>
      <c r="B77" s="2"/>
      <c r="C77" s="2"/>
      <c r="D77" s="2"/>
      <c r="E77" s="2"/>
      <c r="F77" s="2"/>
      <c r="G77" s="2"/>
      <c r="H77" s="2"/>
      <c r="I77" s="2">
        <v>65.284999999999997</v>
      </c>
      <c r="J77" s="2">
        <v>282</v>
      </c>
      <c r="K77" s="2">
        <v>65.757800000000003</v>
      </c>
      <c r="L77" s="2">
        <v>274</v>
      </c>
      <c r="M77" s="2">
        <v>97.976600000000005</v>
      </c>
      <c r="N77" s="2">
        <v>228</v>
      </c>
      <c r="O77" s="2">
        <v>100.91670000000001</v>
      </c>
      <c r="P77" s="2">
        <v>174</v>
      </c>
      <c r="Q77" s="2">
        <v>98.272400000000005</v>
      </c>
      <c r="R77" s="2">
        <v>98</v>
      </c>
      <c r="S77" s="2">
        <v>93.451400000000007</v>
      </c>
      <c r="T77" s="2">
        <v>22</v>
      </c>
      <c r="U77" s="2">
        <v>0.70761200000000002</v>
      </c>
      <c r="V77" s="2">
        <v>76</v>
      </c>
      <c r="W77" s="2">
        <v>2003</v>
      </c>
    </row>
    <row r="78" spans="1:23" ht="12.3" x14ac:dyDescent="0.4">
      <c r="A78" s="2" t="s">
        <v>102</v>
      </c>
      <c r="B78" s="2"/>
      <c r="C78" s="2"/>
      <c r="D78" s="2"/>
      <c r="E78" s="2"/>
      <c r="F78" s="2"/>
      <c r="G78" s="2"/>
      <c r="H78" s="2"/>
      <c r="I78" s="2">
        <v>69.600499999999997</v>
      </c>
      <c r="J78" s="2">
        <v>122</v>
      </c>
      <c r="K78" s="2">
        <v>67.703500000000005</v>
      </c>
      <c r="L78" s="2">
        <v>199</v>
      </c>
      <c r="M78" s="2">
        <v>102.4234</v>
      </c>
      <c r="N78" s="2">
        <v>140</v>
      </c>
      <c r="O78" s="2">
        <v>104.4644</v>
      </c>
      <c r="P78" s="2">
        <v>101</v>
      </c>
      <c r="Q78" s="2">
        <v>99.975899999999996</v>
      </c>
      <c r="R78" s="2">
        <v>145</v>
      </c>
      <c r="S78" s="2">
        <v>96.923199999999994</v>
      </c>
      <c r="T78" s="2">
        <v>76</v>
      </c>
      <c r="U78" s="2">
        <v>0.70300700000000005</v>
      </c>
      <c r="V78" s="2">
        <v>77</v>
      </c>
      <c r="W78" s="2">
        <v>2003</v>
      </c>
    </row>
    <row r="79" spans="1:23" ht="12.3" x14ac:dyDescent="0.4">
      <c r="A79" s="2" t="s">
        <v>17</v>
      </c>
      <c r="B79" s="2"/>
      <c r="C79" s="2"/>
      <c r="D79" s="2"/>
      <c r="E79" s="2"/>
      <c r="F79" s="2"/>
      <c r="G79" s="2"/>
      <c r="H79" s="2"/>
      <c r="I79" s="2">
        <v>67.272999999999996</v>
      </c>
      <c r="J79" s="2">
        <v>230</v>
      </c>
      <c r="K79" s="2">
        <v>67.180999999999997</v>
      </c>
      <c r="L79" s="2">
        <v>226</v>
      </c>
      <c r="M79" s="2">
        <v>97.564400000000006</v>
      </c>
      <c r="N79" s="2">
        <v>237</v>
      </c>
      <c r="O79" s="2">
        <v>101.31010000000001</v>
      </c>
      <c r="P79" s="2">
        <v>162</v>
      </c>
      <c r="Q79" s="2">
        <v>99.850800000000007</v>
      </c>
      <c r="R79" s="2">
        <v>142</v>
      </c>
      <c r="S79" s="2">
        <v>94.053200000000004</v>
      </c>
      <c r="T79" s="2">
        <v>33</v>
      </c>
      <c r="U79" s="2">
        <v>0.70156300000000005</v>
      </c>
      <c r="V79" s="2">
        <v>78</v>
      </c>
      <c r="W79" s="2">
        <v>2003</v>
      </c>
    </row>
    <row r="80" spans="1:23" ht="12.3" x14ac:dyDescent="0.4">
      <c r="A80" s="2" t="s">
        <v>20</v>
      </c>
      <c r="B80" s="2"/>
      <c r="C80" s="2"/>
      <c r="D80" s="2"/>
      <c r="E80" s="2"/>
      <c r="F80" s="2"/>
      <c r="G80" s="2"/>
      <c r="H80" s="2"/>
      <c r="I80" s="2">
        <v>70.140900000000002</v>
      </c>
      <c r="J80" s="2">
        <v>105</v>
      </c>
      <c r="K80" s="2">
        <v>68.766000000000005</v>
      </c>
      <c r="L80" s="2">
        <v>150</v>
      </c>
      <c r="M80" s="2">
        <v>97.035799999999995</v>
      </c>
      <c r="N80" s="2">
        <v>244</v>
      </c>
      <c r="O80" s="2">
        <v>99.191800000000001</v>
      </c>
      <c r="P80" s="2">
        <v>200</v>
      </c>
      <c r="Q80" s="2">
        <v>95.207099999999997</v>
      </c>
      <c r="R80" s="2">
        <v>35</v>
      </c>
      <c r="S80" s="2">
        <v>92.465999999999994</v>
      </c>
      <c r="T80" s="2">
        <v>18</v>
      </c>
      <c r="U80" s="2">
        <v>0.69157100000000005</v>
      </c>
      <c r="V80" s="2">
        <v>79</v>
      </c>
      <c r="W80" s="2">
        <v>2003</v>
      </c>
    </row>
    <row r="81" spans="1:23" ht="12.3" x14ac:dyDescent="0.4">
      <c r="A81" s="2" t="s">
        <v>118</v>
      </c>
      <c r="B81" s="2"/>
      <c r="C81" s="2"/>
      <c r="D81" s="2"/>
      <c r="E81" s="2"/>
      <c r="F81" s="2"/>
      <c r="G81" s="2"/>
      <c r="H81" s="2"/>
      <c r="I81" s="2">
        <v>68.660700000000006</v>
      </c>
      <c r="J81" s="2">
        <v>157</v>
      </c>
      <c r="K81" s="2">
        <v>68.830600000000004</v>
      </c>
      <c r="L81" s="2">
        <v>148</v>
      </c>
      <c r="M81" s="2">
        <v>106.139</v>
      </c>
      <c r="N81" s="2">
        <v>65</v>
      </c>
      <c r="O81" s="2">
        <v>106.4448</v>
      </c>
      <c r="P81" s="2">
        <v>71</v>
      </c>
      <c r="Q81" s="2">
        <v>98.014799999999994</v>
      </c>
      <c r="R81" s="2">
        <v>89</v>
      </c>
      <c r="S81" s="2">
        <v>99.251000000000005</v>
      </c>
      <c r="T81" s="2">
        <v>122</v>
      </c>
      <c r="U81" s="2">
        <v>0.69098000000000004</v>
      </c>
      <c r="V81" s="2">
        <v>80</v>
      </c>
      <c r="W81" s="2">
        <v>2003</v>
      </c>
    </row>
    <row r="82" spans="1:23" ht="12.3" x14ac:dyDescent="0.4">
      <c r="A82" s="2" t="s">
        <v>141</v>
      </c>
      <c r="B82" s="2"/>
      <c r="C82" s="2"/>
      <c r="D82" s="2"/>
      <c r="E82" s="2"/>
      <c r="F82" s="2"/>
      <c r="G82" s="2"/>
      <c r="H82" s="2"/>
      <c r="I82" s="2">
        <v>64.204300000000003</v>
      </c>
      <c r="J82" s="2">
        <v>299</v>
      </c>
      <c r="K82" s="2">
        <v>64.787599999999998</v>
      </c>
      <c r="L82" s="2">
        <v>290</v>
      </c>
      <c r="M82" s="2">
        <v>101.2955</v>
      </c>
      <c r="N82" s="2">
        <v>164</v>
      </c>
      <c r="O82" s="2">
        <v>98.411299999999997</v>
      </c>
      <c r="P82" s="2">
        <v>215</v>
      </c>
      <c r="Q82" s="2">
        <v>93.032700000000006</v>
      </c>
      <c r="R82" s="2">
        <v>21</v>
      </c>
      <c r="S82" s="2">
        <v>91.879499999999993</v>
      </c>
      <c r="T82" s="2">
        <v>15</v>
      </c>
      <c r="U82" s="2">
        <v>0.68778799999999995</v>
      </c>
      <c r="V82" s="2">
        <v>81</v>
      </c>
      <c r="W82" s="2">
        <v>2003</v>
      </c>
    </row>
    <row r="83" spans="1:23" ht="12.3" x14ac:dyDescent="0.4">
      <c r="A83" s="2" t="s">
        <v>87</v>
      </c>
      <c r="B83" s="2"/>
      <c r="C83" s="2"/>
      <c r="D83" s="2"/>
      <c r="E83" s="2"/>
      <c r="F83" s="2"/>
      <c r="G83" s="2"/>
      <c r="H83" s="2"/>
      <c r="I83" s="2">
        <v>71.182400000000001</v>
      </c>
      <c r="J83" s="2">
        <v>69</v>
      </c>
      <c r="K83" s="2">
        <v>69.809799999999996</v>
      </c>
      <c r="L83" s="2">
        <v>109</v>
      </c>
      <c r="M83" s="2">
        <v>102.6461</v>
      </c>
      <c r="N83" s="2">
        <v>133</v>
      </c>
      <c r="O83" s="2">
        <v>107.44540000000001</v>
      </c>
      <c r="P83" s="2">
        <v>62</v>
      </c>
      <c r="Q83" s="2">
        <v>104.7167</v>
      </c>
      <c r="R83" s="2">
        <v>248</v>
      </c>
      <c r="S83" s="2">
        <v>100.41930000000001</v>
      </c>
      <c r="T83" s="2">
        <v>149</v>
      </c>
      <c r="U83" s="2">
        <v>0.68518999999999997</v>
      </c>
      <c r="V83" s="2">
        <v>82</v>
      </c>
      <c r="W83" s="2">
        <v>2003</v>
      </c>
    </row>
    <row r="84" spans="1:23" ht="12.3" x14ac:dyDescent="0.4">
      <c r="A84" s="2" t="s">
        <v>75</v>
      </c>
      <c r="B84" s="2"/>
      <c r="C84" s="2"/>
      <c r="D84" s="2"/>
      <c r="E84" s="2"/>
      <c r="F84" s="2"/>
      <c r="G84" s="2"/>
      <c r="H84" s="2"/>
      <c r="I84" s="2">
        <v>71.691500000000005</v>
      </c>
      <c r="J84" s="2">
        <v>56</v>
      </c>
      <c r="K84" s="2">
        <v>72.733099999999993</v>
      </c>
      <c r="L84" s="2">
        <v>28</v>
      </c>
      <c r="M84" s="2">
        <v>102.73779999999999</v>
      </c>
      <c r="N84" s="2">
        <v>129</v>
      </c>
      <c r="O84" s="2">
        <v>105.2101</v>
      </c>
      <c r="P84" s="2">
        <v>88</v>
      </c>
      <c r="Q84" s="2">
        <v>99.460499999999996</v>
      </c>
      <c r="R84" s="2">
        <v>133</v>
      </c>
      <c r="S84" s="2">
        <v>98.345399999999998</v>
      </c>
      <c r="T84" s="2">
        <v>104</v>
      </c>
      <c r="U84" s="2">
        <v>0.684805</v>
      </c>
      <c r="V84" s="2">
        <v>83</v>
      </c>
      <c r="W84" s="2">
        <v>2003</v>
      </c>
    </row>
    <row r="85" spans="1:23" ht="12.3" x14ac:dyDescent="0.4">
      <c r="A85" s="2" t="s">
        <v>42</v>
      </c>
      <c r="B85" s="2"/>
      <c r="C85" s="2"/>
      <c r="D85" s="2"/>
      <c r="E85" s="2"/>
      <c r="F85" s="2"/>
      <c r="G85" s="2"/>
      <c r="H85" s="2"/>
      <c r="I85" s="2">
        <v>75.639700000000005</v>
      </c>
      <c r="J85" s="2">
        <v>7</v>
      </c>
      <c r="K85" s="2">
        <v>74.822400000000002</v>
      </c>
      <c r="L85" s="2">
        <v>7</v>
      </c>
      <c r="M85" s="2">
        <v>100.661</v>
      </c>
      <c r="N85" s="2">
        <v>180</v>
      </c>
      <c r="O85" s="2">
        <v>104.71250000000001</v>
      </c>
      <c r="P85" s="2">
        <v>98</v>
      </c>
      <c r="Q85" s="2">
        <v>101.264</v>
      </c>
      <c r="R85" s="2">
        <v>177</v>
      </c>
      <c r="S85" s="2">
        <v>97.913300000000007</v>
      </c>
      <c r="T85" s="2">
        <v>93</v>
      </c>
      <c r="U85" s="2">
        <v>0.68396699999999999</v>
      </c>
      <c r="V85" s="2">
        <v>84</v>
      </c>
      <c r="W85" s="2">
        <v>2003</v>
      </c>
    </row>
    <row r="86" spans="1:23" ht="12.3" x14ac:dyDescent="0.4">
      <c r="A86" s="2" t="s">
        <v>106</v>
      </c>
      <c r="B86" s="2"/>
      <c r="C86" s="2"/>
      <c r="D86" s="2"/>
      <c r="E86" s="2"/>
      <c r="F86" s="2"/>
      <c r="G86" s="2"/>
      <c r="H86" s="2"/>
      <c r="I86" s="2">
        <v>72.625299999999996</v>
      </c>
      <c r="J86" s="2">
        <v>36</v>
      </c>
      <c r="K86" s="2">
        <v>72.808700000000002</v>
      </c>
      <c r="L86" s="2">
        <v>27</v>
      </c>
      <c r="M86" s="2">
        <v>108.265</v>
      </c>
      <c r="N86" s="2">
        <v>40</v>
      </c>
      <c r="O86" s="2">
        <v>111.8861</v>
      </c>
      <c r="P86" s="2">
        <v>18</v>
      </c>
      <c r="Q86" s="2">
        <v>106.14409999999999</v>
      </c>
      <c r="R86" s="2">
        <v>265</v>
      </c>
      <c r="S86" s="2">
        <v>104.67189999999999</v>
      </c>
      <c r="T86" s="2">
        <v>231</v>
      </c>
      <c r="U86" s="2">
        <v>0.68276099999999995</v>
      </c>
      <c r="V86" s="2">
        <v>85</v>
      </c>
      <c r="W86" s="2">
        <v>2003</v>
      </c>
    </row>
    <row r="87" spans="1:23" ht="12.3" x14ac:dyDescent="0.4">
      <c r="A87" s="2" t="s">
        <v>100</v>
      </c>
      <c r="B87" s="2"/>
      <c r="C87" s="2"/>
      <c r="D87" s="2"/>
      <c r="E87" s="2"/>
      <c r="F87" s="2"/>
      <c r="G87" s="2"/>
      <c r="H87" s="2"/>
      <c r="I87" s="2">
        <v>64.474199999999996</v>
      </c>
      <c r="J87" s="2">
        <v>297</v>
      </c>
      <c r="K87" s="2">
        <v>63.582500000000003</v>
      </c>
      <c r="L87" s="2">
        <v>307</v>
      </c>
      <c r="M87" s="2">
        <v>100.4798</v>
      </c>
      <c r="N87" s="2">
        <v>184</v>
      </c>
      <c r="O87" s="2">
        <v>100.3946</v>
      </c>
      <c r="P87" s="2">
        <v>182</v>
      </c>
      <c r="Q87" s="2">
        <v>95.698999999999998</v>
      </c>
      <c r="R87" s="2">
        <v>42</v>
      </c>
      <c r="S87" s="2">
        <v>93.987300000000005</v>
      </c>
      <c r="T87" s="2">
        <v>31</v>
      </c>
      <c r="U87" s="2">
        <v>0.68101</v>
      </c>
      <c r="V87" s="2">
        <v>86</v>
      </c>
      <c r="W87" s="2">
        <v>2003</v>
      </c>
    </row>
    <row r="88" spans="1:23" ht="12.3" x14ac:dyDescent="0.4">
      <c r="A88" s="2" t="s">
        <v>84</v>
      </c>
      <c r="B88" s="2"/>
      <c r="C88" s="2"/>
      <c r="D88" s="2"/>
      <c r="E88" s="2"/>
      <c r="F88" s="2"/>
      <c r="G88" s="2"/>
      <c r="H88" s="2"/>
      <c r="I88" s="2">
        <v>67.557000000000002</v>
      </c>
      <c r="J88" s="2">
        <v>213</v>
      </c>
      <c r="K88" s="2">
        <v>68.850499999999997</v>
      </c>
      <c r="L88" s="2">
        <v>147</v>
      </c>
      <c r="M88" s="2">
        <v>102.0016</v>
      </c>
      <c r="N88" s="2">
        <v>149</v>
      </c>
      <c r="O88" s="2">
        <v>105.8909</v>
      </c>
      <c r="P88" s="2">
        <v>82</v>
      </c>
      <c r="Q88" s="2">
        <v>98.301400000000001</v>
      </c>
      <c r="R88" s="2">
        <v>101</v>
      </c>
      <c r="S88" s="2">
        <v>99.218900000000005</v>
      </c>
      <c r="T88" s="2">
        <v>121</v>
      </c>
      <c r="U88" s="2">
        <v>0.67883400000000005</v>
      </c>
      <c r="V88" s="2">
        <v>87</v>
      </c>
      <c r="W88" s="2">
        <v>2003</v>
      </c>
    </row>
    <row r="89" spans="1:23" ht="12.3" x14ac:dyDescent="0.4">
      <c r="A89" s="2" t="s">
        <v>180</v>
      </c>
      <c r="B89" s="2">
        <v>14</v>
      </c>
      <c r="C89" s="4"/>
      <c r="D89" s="4"/>
      <c r="E89" s="4"/>
      <c r="F89" s="4"/>
      <c r="G89" s="4"/>
      <c r="H89" s="4"/>
      <c r="I89" s="2">
        <v>73.087900000000005</v>
      </c>
      <c r="J89" s="2">
        <v>30</v>
      </c>
      <c r="K89" s="2">
        <v>72.262100000000004</v>
      </c>
      <c r="L89" s="2">
        <v>39</v>
      </c>
      <c r="M89" s="2">
        <v>108.5205</v>
      </c>
      <c r="N89" s="2">
        <v>36</v>
      </c>
      <c r="O89" s="2">
        <v>106.42619999999999</v>
      </c>
      <c r="P89" s="2">
        <v>73</v>
      </c>
      <c r="Q89" s="2">
        <v>96.7911</v>
      </c>
      <c r="R89" s="2">
        <v>61</v>
      </c>
      <c r="S89" s="2">
        <v>99.775199999999998</v>
      </c>
      <c r="T89" s="2">
        <v>131</v>
      </c>
      <c r="U89" s="2">
        <v>0.677458</v>
      </c>
      <c r="V89" s="2">
        <v>88</v>
      </c>
      <c r="W89" s="2">
        <v>2003</v>
      </c>
    </row>
    <row r="90" spans="1:23" ht="12.3" x14ac:dyDescent="0.4">
      <c r="A90" s="2" t="s">
        <v>162</v>
      </c>
      <c r="B90" s="2"/>
      <c r="C90" s="2"/>
      <c r="D90" s="2"/>
      <c r="E90" s="2"/>
      <c r="F90" s="2"/>
      <c r="G90" s="2"/>
      <c r="H90" s="2"/>
      <c r="I90" s="2">
        <v>66.552999999999997</v>
      </c>
      <c r="J90" s="2">
        <v>249</v>
      </c>
      <c r="K90" s="2">
        <v>66.773399999999995</v>
      </c>
      <c r="L90" s="2">
        <v>246</v>
      </c>
      <c r="M90" s="2">
        <v>102.5531</v>
      </c>
      <c r="N90" s="2">
        <v>135</v>
      </c>
      <c r="O90" s="2">
        <v>101.15470000000001</v>
      </c>
      <c r="P90" s="2">
        <v>165</v>
      </c>
      <c r="Q90" s="2">
        <v>95.081500000000005</v>
      </c>
      <c r="R90" s="2">
        <v>34</v>
      </c>
      <c r="S90" s="2">
        <v>94.903300000000002</v>
      </c>
      <c r="T90" s="2">
        <v>46</v>
      </c>
      <c r="U90" s="2">
        <v>0.67559899999999995</v>
      </c>
      <c r="V90" s="2">
        <v>89</v>
      </c>
      <c r="W90" s="2">
        <v>2003</v>
      </c>
    </row>
    <row r="91" spans="1:23" ht="12.3" x14ac:dyDescent="0.4">
      <c r="A91" s="2" t="s">
        <v>145</v>
      </c>
      <c r="B91" s="2"/>
      <c r="C91" s="2"/>
      <c r="D91" s="2"/>
      <c r="E91" s="2"/>
      <c r="F91" s="2"/>
      <c r="G91" s="2"/>
      <c r="H91" s="2"/>
      <c r="I91" s="2">
        <v>70.331199999999995</v>
      </c>
      <c r="J91" s="2">
        <v>101</v>
      </c>
      <c r="K91" s="2">
        <v>70.176400000000001</v>
      </c>
      <c r="L91" s="2">
        <v>92</v>
      </c>
      <c r="M91" s="2">
        <v>106.6678</v>
      </c>
      <c r="N91" s="2">
        <v>57</v>
      </c>
      <c r="O91" s="2">
        <v>107.3074</v>
      </c>
      <c r="P91" s="2">
        <v>64</v>
      </c>
      <c r="Q91" s="2">
        <v>100.1073</v>
      </c>
      <c r="R91" s="2">
        <v>148</v>
      </c>
      <c r="S91" s="2">
        <v>100.7684</v>
      </c>
      <c r="T91" s="2">
        <v>158</v>
      </c>
      <c r="U91" s="2">
        <v>0.67327599999999999</v>
      </c>
      <c r="V91" s="2">
        <v>90</v>
      </c>
      <c r="W91" s="2">
        <v>2003</v>
      </c>
    </row>
    <row r="92" spans="1:23" ht="12.3" x14ac:dyDescent="0.4">
      <c r="A92" s="2" t="s">
        <v>97</v>
      </c>
      <c r="B92" s="2"/>
      <c r="C92" s="2"/>
      <c r="D92" s="2"/>
      <c r="E92" s="2"/>
      <c r="F92" s="2"/>
      <c r="G92" s="2"/>
      <c r="H92" s="2"/>
      <c r="I92" s="2">
        <v>67.672600000000003</v>
      </c>
      <c r="J92" s="2">
        <v>206</v>
      </c>
      <c r="K92" s="2">
        <v>68.156199999999998</v>
      </c>
      <c r="L92" s="2">
        <v>177</v>
      </c>
      <c r="M92" s="2">
        <v>107.0505</v>
      </c>
      <c r="N92" s="2">
        <v>54</v>
      </c>
      <c r="O92" s="2">
        <v>108.93340000000001</v>
      </c>
      <c r="P92" s="2">
        <v>46</v>
      </c>
      <c r="Q92" s="2">
        <v>104.23390000000001</v>
      </c>
      <c r="R92" s="2">
        <v>238</v>
      </c>
      <c r="S92" s="2">
        <v>102.6203</v>
      </c>
      <c r="T92" s="2">
        <v>194</v>
      </c>
      <c r="U92" s="2">
        <v>0.66520299999999999</v>
      </c>
      <c r="V92" s="2">
        <v>91</v>
      </c>
      <c r="W92" s="2">
        <v>2003</v>
      </c>
    </row>
    <row r="93" spans="1:23" ht="12.3" x14ac:dyDescent="0.4">
      <c r="A93" s="2" t="s">
        <v>111</v>
      </c>
      <c r="B93" s="2"/>
      <c r="C93" s="2"/>
      <c r="D93" s="2"/>
      <c r="E93" s="2"/>
      <c r="F93" s="2"/>
      <c r="G93" s="2"/>
      <c r="H93" s="2"/>
      <c r="I93" s="2">
        <v>71.251800000000003</v>
      </c>
      <c r="J93" s="2">
        <v>67</v>
      </c>
      <c r="K93" s="2">
        <v>71.286299999999997</v>
      </c>
      <c r="L93" s="2">
        <v>58</v>
      </c>
      <c r="M93" s="2">
        <v>96.508300000000006</v>
      </c>
      <c r="N93" s="2">
        <v>249</v>
      </c>
      <c r="O93" s="2">
        <v>102.8698</v>
      </c>
      <c r="P93" s="2">
        <v>129</v>
      </c>
      <c r="Q93" s="2">
        <v>100.98350000000001</v>
      </c>
      <c r="R93" s="2">
        <v>169</v>
      </c>
      <c r="S93" s="2">
        <v>97.278700000000001</v>
      </c>
      <c r="T93" s="2">
        <v>82</v>
      </c>
      <c r="U93" s="2">
        <v>0.655358</v>
      </c>
      <c r="V93" s="2">
        <v>92</v>
      </c>
      <c r="W93" s="2">
        <v>2003</v>
      </c>
    </row>
    <row r="94" spans="1:23" ht="12.3" x14ac:dyDescent="0.4">
      <c r="A94" s="2" t="s">
        <v>157</v>
      </c>
      <c r="B94" s="2">
        <v>14</v>
      </c>
      <c r="C94" s="4"/>
      <c r="D94" s="4"/>
      <c r="E94" s="4"/>
      <c r="F94" s="4"/>
      <c r="G94" s="4"/>
      <c r="H94" s="4"/>
      <c r="I94" s="2">
        <v>68.406499999999994</v>
      </c>
      <c r="J94" s="2">
        <v>172</v>
      </c>
      <c r="K94" s="2">
        <v>68.403700000000001</v>
      </c>
      <c r="L94" s="2">
        <v>168</v>
      </c>
      <c r="M94" s="2">
        <v>107.6463</v>
      </c>
      <c r="N94" s="2">
        <v>49</v>
      </c>
      <c r="O94" s="2">
        <v>110.18</v>
      </c>
      <c r="P94" s="2">
        <v>29</v>
      </c>
      <c r="Q94" s="2">
        <v>106.2933</v>
      </c>
      <c r="R94" s="2">
        <v>270</v>
      </c>
      <c r="S94" s="2">
        <v>104.26900000000001</v>
      </c>
      <c r="T94" s="2">
        <v>224</v>
      </c>
      <c r="U94" s="2">
        <v>0.653424</v>
      </c>
      <c r="V94" s="2">
        <v>93</v>
      </c>
      <c r="W94" s="2">
        <v>2003</v>
      </c>
    </row>
    <row r="95" spans="1:23" ht="12.3" x14ac:dyDescent="0.4">
      <c r="A95" s="2" t="s">
        <v>74</v>
      </c>
      <c r="B95" s="2"/>
      <c r="C95" s="2"/>
      <c r="D95" s="2"/>
      <c r="E95" s="2"/>
      <c r="F95" s="2"/>
      <c r="G95" s="2"/>
      <c r="H95" s="2"/>
      <c r="I95" s="2">
        <v>67.500500000000002</v>
      </c>
      <c r="J95" s="2">
        <v>217</v>
      </c>
      <c r="K95" s="2">
        <v>67.843699999999998</v>
      </c>
      <c r="L95" s="2">
        <v>192</v>
      </c>
      <c r="M95" s="2">
        <v>104.39239999999999</v>
      </c>
      <c r="N95" s="2">
        <v>86</v>
      </c>
      <c r="O95" s="2">
        <v>102.3664</v>
      </c>
      <c r="P95" s="2">
        <v>139</v>
      </c>
      <c r="Q95" s="2">
        <v>96.661799999999999</v>
      </c>
      <c r="R95" s="2">
        <v>58</v>
      </c>
      <c r="S95" s="2">
        <v>96.881200000000007</v>
      </c>
      <c r="T95" s="2">
        <v>75</v>
      </c>
      <c r="U95" s="2">
        <v>0.65324700000000002</v>
      </c>
      <c r="V95" s="2">
        <v>94</v>
      </c>
      <c r="W95" s="2">
        <v>2003</v>
      </c>
    </row>
    <row r="96" spans="1:23" ht="12.3" x14ac:dyDescent="0.4">
      <c r="A96" s="2" t="s">
        <v>248</v>
      </c>
      <c r="B96" s="2"/>
      <c r="C96" s="2"/>
      <c r="D96" s="2"/>
      <c r="E96" s="2"/>
      <c r="F96" s="2"/>
      <c r="G96" s="2"/>
      <c r="H96" s="2"/>
      <c r="I96" s="2">
        <v>72.306200000000004</v>
      </c>
      <c r="J96" s="2">
        <v>41</v>
      </c>
      <c r="K96" s="2">
        <v>72.282399999999996</v>
      </c>
      <c r="L96" s="2">
        <v>38</v>
      </c>
      <c r="M96" s="2">
        <v>98.901300000000006</v>
      </c>
      <c r="N96" s="2">
        <v>211</v>
      </c>
      <c r="O96" s="2">
        <v>102.7608</v>
      </c>
      <c r="P96" s="2">
        <v>131</v>
      </c>
      <c r="Q96" s="2">
        <v>100.17919999999999</v>
      </c>
      <c r="R96" s="2">
        <v>151</v>
      </c>
      <c r="S96" s="2">
        <v>97.260999999999996</v>
      </c>
      <c r="T96" s="2">
        <v>81</v>
      </c>
      <c r="U96" s="2">
        <v>0.65307099999999996</v>
      </c>
      <c r="V96" s="2">
        <v>95</v>
      </c>
      <c r="W96" s="2">
        <v>2003</v>
      </c>
    </row>
    <row r="97" spans="1:23" ht="12.3" x14ac:dyDescent="0.4">
      <c r="A97" s="2" t="s">
        <v>63</v>
      </c>
      <c r="B97" s="2"/>
      <c r="C97" s="2"/>
      <c r="D97" s="2"/>
      <c r="E97" s="2"/>
      <c r="F97" s="2"/>
      <c r="G97" s="2"/>
      <c r="H97" s="2"/>
      <c r="I97" s="2">
        <v>67.558300000000003</v>
      </c>
      <c r="J97" s="2">
        <v>212</v>
      </c>
      <c r="K97" s="2">
        <v>67.381200000000007</v>
      </c>
      <c r="L97" s="2">
        <v>213</v>
      </c>
      <c r="M97" s="2">
        <v>99.039199999999994</v>
      </c>
      <c r="N97" s="2">
        <v>207</v>
      </c>
      <c r="O97" s="2">
        <v>102.6669</v>
      </c>
      <c r="P97" s="2">
        <v>133</v>
      </c>
      <c r="Q97" s="2">
        <v>101.4079</v>
      </c>
      <c r="R97" s="2">
        <v>181</v>
      </c>
      <c r="S97" s="2">
        <v>97.324700000000007</v>
      </c>
      <c r="T97" s="2">
        <v>84</v>
      </c>
      <c r="U97" s="2">
        <v>0.64897400000000005</v>
      </c>
      <c r="V97" s="2">
        <v>96</v>
      </c>
      <c r="W97" s="2">
        <v>2003</v>
      </c>
    </row>
    <row r="98" spans="1:23" ht="12.3" x14ac:dyDescent="0.4">
      <c r="A98" s="2" t="s">
        <v>232</v>
      </c>
      <c r="B98" s="2"/>
      <c r="C98" s="2"/>
      <c r="D98" s="2"/>
      <c r="E98" s="2"/>
      <c r="F98" s="2"/>
      <c r="G98" s="2"/>
      <c r="H98" s="2"/>
      <c r="I98" s="2">
        <v>69.122699999999995</v>
      </c>
      <c r="J98" s="2">
        <v>145</v>
      </c>
      <c r="K98" s="2">
        <v>69.909000000000006</v>
      </c>
      <c r="L98" s="2">
        <v>102</v>
      </c>
      <c r="M98" s="2">
        <v>102.9383</v>
      </c>
      <c r="N98" s="2">
        <v>124</v>
      </c>
      <c r="O98" s="2">
        <v>106.4905</v>
      </c>
      <c r="P98" s="2">
        <v>69</v>
      </c>
      <c r="Q98" s="2">
        <v>103.2576</v>
      </c>
      <c r="R98" s="2">
        <v>222</v>
      </c>
      <c r="S98" s="2">
        <v>100.9675</v>
      </c>
      <c r="T98" s="2">
        <v>160</v>
      </c>
      <c r="U98" s="2">
        <v>0.64850099999999999</v>
      </c>
      <c r="V98" s="2">
        <v>97</v>
      </c>
      <c r="W98" s="2">
        <v>2003</v>
      </c>
    </row>
    <row r="99" spans="1:23" ht="12.3" x14ac:dyDescent="0.4">
      <c r="A99" s="2" t="s">
        <v>104</v>
      </c>
      <c r="B99" s="2"/>
      <c r="C99" s="2"/>
      <c r="D99" s="2"/>
      <c r="E99" s="2"/>
      <c r="F99" s="2"/>
      <c r="G99" s="2"/>
      <c r="H99" s="2"/>
      <c r="I99" s="2">
        <v>61.440100000000001</v>
      </c>
      <c r="J99" s="2">
        <v>315</v>
      </c>
      <c r="K99" s="2">
        <v>62.054900000000004</v>
      </c>
      <c r="L99" s="2">
        <v>318</v>
      </c>
      <c r="M99" s="2">
        <v>104.9435</v>
      </c>
      <c r="N99" s="2">
        <v>82</v>
      </c>
      <c r="O99" s="2">
        <v>103.4191</v>
      </c>
      <c r="P99" s="2">
        <v>120</v>
      </c>
      <c r="Q99" s="2">
        <v>97.336699999999993</v>
      </c>
      <c r="R99" s="2">
        <v>74</v>
      </c>
      <c r="S99" s="2">
        <v>98.102800000000002</v>
      </c>
      <c r="T99" s="2">
        <v>96</v>
      </c>
      <c r="U99" s="2">
        <v>0.64723299999999995</v>
      </c>
      <c r="V99" s="2">
        <v>98</v>
      </c>
      <c r="W99" s="2">
        <v>2003</v>
      </c>
    </row>
    <row r="100" spans="1:23" ht="12.3" x14ac:dyDescent="0.4">
      <c r="A100" s="2" t="s">
        <v>93</v>
      </c>
      <c r="B100" s="2"/>
      <c r="C100" s="2"/>
      <c r="D100" s="2"/>
      <c r="E100" s="2"/>
      <c r="F100" s="2"/>
      <c r="G100" s="2"/>
      <c r="H100" s="2"/>
      <c r="I100" s="2">
        <v>68.635000000000005</v>
      </c>
      <c r="J100" s="2">
        <v>159</v>
      </c>
      <c r="K100" s="2">
        <v>69.144099999999995</v>
      </c>
      <c r="L100" s="2">
        <v>134</v>
      </c>
      <c r="M100" s="2">
        <v>105.9526</v>
      </c>
      <c r="N100" s="2">
        <v>70</v>
      </c>
      <c r="O100" s="2">
        <v>106.60169999999999</v>
      </c>
      <c r="P100" s="2">
        <v>68</v>
      </c>
      <c r="Q100" s="2">
        <v>102.2728</v>
      </c>
      <c r="R100" s="2">
        <v>202</v>
      </c>
      <c r="S100" s="2">
        <v>101.1879</v>
      </c>
      <c r="T100" s="2">
        <v>166</v>
      </c>
      <c r="U100" s="2">
        <v>0.64551700000000001</v>
      </c>
      <c r="V100" s="2">
        <v>99</v>
      </c>
      <c r="W100" s="2">
        <v>2003</v>
      </c>
    </row>
    <row r="101" spans="1:23" ht="12.3" x14ac:dyDescent="0.4">
      <c r="A101" s="2" t="s">
        <v>210</v>
      </c>
      <c r="B101" s="2"/>
      <c r="C101" s="2"/>
      <c r="D101" s="2"/>
      <c r="E101" s="2"/>
      <c r="F101" s="2"/>
      <c r="G101" s="2"/>
      <c r="H101" s="2"/>
      <c r="I101" s="2">
        <v>68.397199999999998</v>
      </c>
      <c r="J101" s="2">
        <v>173</v>
      </c>
      <c r="K101" s="2">
        <v>68.897599999999997</v>
      </c>
      <c r="L101" s="2">
        <v>143</v>
      </c>
      <c r="M101" s="2">
        <v>99.778800000000004</v>
      </c>
      <c r="N101" s="2">
        <v>199</v>
      </c>
      <c r="O101" s="2">
        <v>100.12869999999999</v>
      </c>
      <c r="P101" s="2">
        <v>188</v>
      </c>
      <c r="Q101" s="2">
        <v>94.352099999999993</v>
      </c>
      <c r="R101" s="2">
        <v>30</v>
      </c>
      <c r="S101" s="2">
        <v>95.119500000000002</v>
      </c>
      <c r="T101" s="2">
        <v>48</v>
      </c>
      <c r="U101" s="2">
        <v>0.64341199999999998</v>
      </c>
      <c r="V101" s="2">
        <v>100</v>
      </c>
      <c r="W101" s="2">
        <v>2003</v>
      </c>
    </row>
    <row r="102" spans="1:23" ht="12.3" x14ac:dyDescent="0.4">
      <c r="A102" s="2" t="s">
        <v>98</v>
      </c>
      <c r="B102" s="2">
        <v>15</v>
      </c>
      <c r="C102" s="4"/>
      <c r="D102" s="4"/>
      <c r="E102" s="4"/>
      <c r="F102" s="4"/>
      <c r="G102" s="4"/>
      <c r="H102" s="4"/>
      <c r="I102" s="2">
        <v>60.845599999999997</v>
      </c>
      <c r="J102" s="2">
        <v>318</v>
      </c>
      <c r="K102" s="2">
        <v>62.792400000000001</v>
      </c>
      <c r="L102" s="2">
        <v>314</v>
      </c>
      <c r="M102" s="2">
        <v>107.502</v>
      </c>
      <c r="N102" s="2">
        <v>52</v>
      </c>
      <c r="O102" s="2">
        <v>105.03060000000001</v>
      </c>
      <c r="P102" s="2">
        <v>93</v>
      </c>
      <c r="Q102" s="2">
        <v>97.937200000000004</v>
      </c>
      <c r="R102" s="2">
        <v>87</v>
      </c>
      <c r="S102" s="2">
        <v>99.805099999999996</v>
      </c>
      <c r="T102" s="2">
        <v>133</v>
      </c>
      <c r="U102" s="2">
        <v>0.64264600000000005</v>
      </c>
      <c r="V102" s="2">
        <v>101</v>
      </c>
      <c r="W102" s="2">
        <v>2003</v>
      </c>
    </row>
    <row r="103" spans="1:23" ht="12.3" x14ac:dyDescent="0.4">
      <c r="A103" s="2" t="s">
        <v>158</v>
      </c>
      <c r="B103" s="2"/>
      <c r="C103" s="2"/>
      <c r="D103" s="2"/>
      <c r="E103" s="2"/>
      <c r="F103" s="2"/>
      <c r="G103" s="2"/>
      <c r="H103" s="2"/>
      <c r="I103" s="2">
        <v>67.670100000000005</v>
      </c>
      <c r="J103" s="2">
        <v>207</v>
      </c>
      <c r="K103" s="2">
        <v>67.117999999999995</v>
      </c>
      <c r="L103" s="2">
        <v>229</v>
      </c>
      <c r="M103" s="2">
        <v>101.5834</v>
      </c>
      <c r="N103" s="2">
        <v>156</v>
      </c>
      <c r="O103" s="2">
        <v>105.0077</v>
      </c>
      <c r="P103" s="2">
        <v>94</v>
      </c>
      <c r="Q103" s="2">
        <v>101.18859999999999</v>
      </c>
      <c r="R103" s="2">
        <v>174</v>
      </c>
      <c r="S103" s="2">
        <v>99.908600000000007</v>
      </c>
      <c r="T103" s="2">
        <v>134</v>
      </c>
      <c r="U103" s="2">
        <v>0.63932800000000001</v>
      </c>
      <c r="V103" s="2">
        <v>102</v>
      </c>
      <c r="W103" s="2">
        <v>2003</v>
      </c>
    </row>
    <row r="104" spans="1:23" ht="12.3" x14ac:dyDescent="0.4">
      <c r="A104" s="2" t="s">
        <v>161</v>
      </c>
      <c r="B104" s="2"/>
      <c r="C104" s="2"/>
      <c r="D104" s="2"/>
      <c r="E104" s="2"/>
      <c r="F104" s="2"/>
      <c r="G104" s="2"/>
      <c r="H104" s="2"/>
      <c r="I104" s="2">
        <v>67.759799999999998</v>
      </c>
      <c r="J104" s="2">
        <v>201</v>
      </c>
      <c r="K104" s="2">
        <v>66.656499999999994</v>
      </c>
      <c r="L104" s="2">
        <v>250</v>
      </c>
      <c r="M104" s="2">
        <v>104.2903</v>
      </c>
      <c r="N104" s="2">
        <v>91</v>
      </c>
      <c r="O104" s="2">
        <v>105.84</v>
      </c>
      <c r="P104" s="2">
        <v>83</v>
      </c>
      <c r="Q104" s="2">
        <v>99.635000000000005</v>
      </c>
      <c r="R104" s="2">
        <v>135</v>
      </c>
      <c r="S104" s="2">
        <v>100.7651</v>
      </c>
      <c r="T104" s="2">
        <v>157</v>
      </c>
      <c r="U104" s="2">
        <v>0.63762300000000005</v>
      </c>
      <c r="V104" s="2">
        <v>103</v>
      </c>
      <c r="W104" s="2">
        <v>2003</v>
      </c>
    </row>
    <row r="105" spans="1:23" ht="12.3" x14ac:dyDescent="0.4">
      <c r="A105" s="2" t="s">
        <v>53</v>
      </c>
      <c r="B105" s="2"/>
      <c r="C105" s="2"/>
      <c r="D105" s="2"/>
      <c r="E105" s="2"/>
      <c r="F105" s="2"/>
      <c r="G105" s="2"/>
      <c r="H105" s="2"/>
      <c r="I105" s="2">
        <v>67.341399999999993</v>
      </c>
      <c r="J105" s="2">
        <v>223</v>
      </c>
      <c r="K105" s="2">
        <v>67.551500000000004</v>
      </c>
      <c r="L105" s="2">
        <v>206</v>
      </c>
      <c r="M105" s="2">
        <v>112.9053</v>
      </c>
      <c r="N105" s="2">
        <v>4</v>
      </c>
      <c r="O105" s="2">
        <v>110.4143</v>
      </c>
      <c r="P105" s="2">
        <v>26</v>
      </c>
      <c r="Q105" s="2">
        <v>105.7038</v>
      </c>
      <c r="R105" s="2">
        <v>259</v>
      </c>
      <c r="S105" s="2">
        <v>105.1705</v>
      </c>
      <c r="T105" s="2">
        <v>241</v>
      </c>
      <c r="U105" s="2">
        <v>0.63634900000000005</v>
      </c>
      <c r="V105" s="2">
        <v>104</v>
      </c>
      <c r="W105" s="2">
        <v>2003</v>
      </c>
    </row>
    <row r="106" spans="1:23" ht="12.3" x14ac:dyDescent="0.4">
      <c r="A106" s="2" t="s">
        <v>65</v>
      </c>
      <c r="B106" s="2"/>
      <c r="C106" s="2"/>
      <c r="D106" s="2"/>
      <c r="E106" s="2"/>
      <c r="F106" s="2"/>
      <c r="G106" s="2"/>
      <c r="H106" s="2"/>
      <c r="I106" s="2">
        <v>72.999399999999994</v>
      </c>
      <c r="J106" s="2">
        <v>31</v>
      </c>
      <c r="K106" s="2">
        <v>70.724299999999999</v>
      </c>
      <c r="L106" s="2">
        <v>76</v>
      </c>
      <c r="M106" s="2">
        <v>101.30710000000001</v>
      </c>
      <c r="N106" s="2">
        <v>163</v>
      </c>
      <c r="O106" s="2">
        <v>106.2325</v>
      </c>
      <c r="P106" s="2">
        <v>78</v>
      </c>
      <c r="Q106" s="2">
        <v>106.0594</v>
      </c>
      <c r="R106" s="2">
        <v>264</v>
      </c>
      <c r="S106" s="2">
        <v>101.25360000000001</v>
      </c>
      <c r="T106" s="2">
        <v>167</v>
      </c>
      <c r="U106" s="2">
        <v>0.63460499999999997</v>
      </c>
      <c r="V106" s="2">
        <v>105</v>
      </c>
      <c r="W106" s="2">
        <v>2003</v>
      </c>
    </row>
    <row r="107" spans="1:23" ht="12.3" x14ac:dyDescent="0.4">
      <c r="A107" s="2" t="s">
        <v>112</v>
      </c>
      <c r="B107" s="2"/>
      <c r="C107" s="2"/>
      <c r="D107" s="2"/>
      <c r="E107" s="2"/>
      <c r="F107" s="2"/>
      <c r="G107" s="2"/>
      <c r="H107" s="2"/>
      <c r="I107" s="2">
        <v>67.732500000000002</v>
      </c>
      <c r="J107" s="2">
        <v>204</v>
      </c>
      <c r="K107" s="2">
        <v>67.320700000000002</v>
      </c>
      <c r="L107" s="2">
        <v>217</v>
      </c>
      <c r="M107" s="2">
        <v>103.84099999999999</v>
      </c>
      <c r="N107" s="2">
        <v>97</v>
      </c>
      <c r="O107" s="2">
        <v>103.5097</v>
      </c>
      <c r="P107" s="2">
        <v>118</v>
      </c>
      <c r="Q107" s="2">
        <v>96.861400000000003</v>
      </c>
      <c r="R107" s="2">
        <v>64</v>
      </c>
      <c r="S107" s="2">
        <v>98.729500000000002</v>
      </c>
      <c r="T107" s="2">
        <v>111</v>
      </c>
      <c r="U107" s="2">
        <v>0.63268199999999997</v>
      </c>
      <c r="V107" s="2">
        <v>106</v>
      </c>
      <c r="W107" s="2">
        <v>2003</v>
      </c>
    </row>
    <row r="108" spans="1:23" ht="12.3" x14ac:dyDescent="0.4">
      <c r="A108" s="2" t="s">
        <v>258</v>
      </c>
      <c r="B108" s="2"/>
      <c r="C108" s="2"/>
      <c r="D108" s="2"/>
      <c r="E108" s="2"/>
      <c r="F108" s="2"/>
      <c r="G108" s="2"/>
      <c r="H108" s="2"/>
      <c r="I108" s="2">
        <v>70.677700000000002</v>
      </c>
      <c r="J108" s="2">
        <v>88</v>
      </c>
      <c r="K108" s="2">
        <v>70.538600000000002</v>
      </c>
      <c r="L108" s="2">
        <v>82</v>
      </c>
      <c r="M108" s="2">
        <v>99.0916</v>
      </c>
      <c r="N108" s="2">
        <v>206</v>
      </c>
      <c r="O108" s="2">
        <v>101.0665</v>
      </c>
      <c r="P108" s="2">
        <v>169</v>
      </c>
      <c r="Q108" s="2">
        <v>98.663499999999999</v>
      </c>
      <c r="R108" s="2">
        <v>111</v>
      </c>
      <c r="S108" s="2">
        <v>96.520399999999995</v>
      </c>
      <c r="T108" s="2">
        <v>68</v>
      </c>
      <c r="U108" s="2">
        <v>0.62931400000000004</v>
      </c>
      <c r="V108" s="2">
        <v>107</v>
      </c>
      <c r="W108" s="2">
        <v>2003</v>
      </c>
    </row>
    <row r="109" spans="1:23" ht="12.3" x14ac:dyDescent="0.4">
      <c r="A109" s="2" t="s">
        <v>60</v>
      </c>
      <c r="B109" s="2"/>
      <c r="C109" s="2"/>
      <c r="D109" s="2"/>
      <c r="E109" s="2"/>
      <c r="F109" s="2"/>
      <c r="G109" s="2"/>
      <c r="H109" s="2"/>
      <c r="I109" s="2">
        <v>69.233199999999997</v>
      </c>
      <c r="J109" s="2">
        <v>141</v>
      </c>
      <c r="K109" s="2">
        <v>67.731700000000004</v>
      </c>
      <c r="L109" s="2">
        <v>196</v>
      </c>
      <c r="M109" s="2">
        <v>98.194699999999997</v>
      </c>
      <c r="N109" s="2">
        <v>225</v>
      </c>
      <c r="O109" s="2">
        <v>101.821</v>
      </c>
      <c r="P109" s="2">
        <v>152</v>
      </c>
      <c r="Q109" s="2">
        <v>97.540599999999998</v>
      </c>
      <c r="R109" s="2">
        <v>79</v>
      </c>
      <c r="S109" s="2">
        <v>97.360200000000006</v>
      </c>
      <c r="T109" s="2">
        <v>85</v>
      </c>
      <c r="U109" s="2">
        <v>0.62602199999999997</v>
      </c>
      <c r="V109" s="2">
        <v>108</v>
      </c>
      <c r="W109" s="2">
        <v>2003</v>
      </c>
    </row>
    <row r="110" spans="1:23" ht="12.3" x14ac:dyDescent="0.4">
      <c r="A110" s="2" t="s">
        <v>187</v>
      </c>
      <c r="B110" s="2"/>
      <c r="C110" s="2"/>
      <c r="D110" s="2"/>
      <c r="E110" s="2"/>
      <c r="F110" s="2"/>
      <c r="G110" s="2"/>
      <c r="H110" s="2"/>
      <c r="I110" s="2">
        <v>69.477800000000002</v>
      </c>
      <c r="J110" s="2">
        <v>131</v>
      </c>
      <c r="K110" s="2">
        <v>69.387200000000007</v>
      </c>
      <c r="L110" s="2">
        <v>123</v>
      </c>
      <c r="M110" s="2">
        <v>99.984399999999994</v>
      </c>
      <c r="N110" s="2">
        <v>190</v>
      </c>
      <c r="O110" s="2">
        <v>100.9264</v>
      </c>
      <c r="P110" s="2">
        <v>173</v>
      </c>
      <c r="Q110" s="2">
        <v>94.752899999999997</v>
      </c>
      <c r="R110" s="2">
        <v>32</v>
      </c>
      <c r="S110" s="2">
        <v>96.567499999999995</v>
      </c>
      <c r="T110" s="2">
        <v>69</v>
      </c>
      <c r="U110" s="2">
        <v>0.62427100000000002</v>
      </c>
      <c r="V110" s="2">
        <v>109</v>
      </c>
      <c r="W110" s="2">
        <v>2003</v>
      </c>
    </row>
    <row r="111" spans="1:23" ht="12.3" x14ac:dyDescent="0.4">
      <c r="A111" s="2" t="s">
        <v>181</v>
      </c>
      <c r="B111" s="2"/>
      <c r="C111" s="2"/>
      <c r="D111" s="2"/>
      <c r="E111" s="2"/>
      <c r="F111" s="2"/>
      <c r="G111" s="2"/>
      <c r="H111" s="2"/>
      <c r="I111" s="2">
        <v>68.159300000000002</v>
      </c>
      <c r="J111" s="2">
        <v>182</v>
      </c>
      <c r="K111" s="2">
        <v>67.034700000000001</v>
      </c>
      <c r="L111" s="2">
        <v>230</v>
      </c>
      <c r="M111" s="2">
        <v>109.2052</v>
      </c>
      <c r="N111" s="2">
        <v>28</v>
      </c>
      <c r="O111" s="2">
        <v>106.0331</v>
      </c>
      <c r="P111" s="2">
        <v>80</v>
      </c>
      <c r="Q111" s="2">
        <v>101.6537</v>
      </c>
      <c r="R111" s="2">
        <v>189</v>
      </c>
      <c r="S111" s="2">
        <v>101.47190000000001</v>
      </c>
      <c r="T111" s="2">
        <v>170</v>
      </c>
      <c r="U111" s="2">
        <v>0.62378299999999998</v>
      </c>
      <c r="V111" s="2">
        <v>110</v>
      </c>
      <c r="W111" s="2">
        <v>2003</v>
      </c>
    </row>
    <row r="112" spans="1:23" ht="12.3" x14ac:dyDescent="0.4">
      <c r="A112" s="2" t="s">
        <v>137</v>
      </c>
      <c r="B112" s="2"/>
      <c r="C112" s="2"/>
      <c r="D112" s="2"/>
      <c r="E112" s="2"/>
      <c r="F112" s="2"/>
      <c r="G112" s="2"/>
      <c r="H112" s="2"/>
      <c r="I112" s="2">
        <v>70.373699999999999</v>
      </c>
      <c r="J112" s="2">
        <v>98</v>
      </c>
      <c r="K112" s="2">
        <v>70.618600000000001</v>
      </c>
      <c r="L112" s="2">
        <v>81</v>
      </c>
      <c r="M112" s="2">
        <v>103.3561</v>
      </c>
      <c r="N112" s="2">
        <v>113</v>
      </c>
      <c r="O112" s="2">
        <v>102.1763</v>
      </c>
      <c r="P112" s="2">
        <v>142</v>
      </c>
      <c r="Q112" s="2">
        <v>95.007099999999994</v>
      </c>
      <c r="R112" s="2">
        <v>33</v>
      </c>
      <c r="S112" s="2">
        <v>97.831199999999995</v>
      </c>
      <c r="T112" s="2">
        <v>89</v>
      </c>
      <c r="U112" s="2">
        <v>0.62239800000000001</v>
      </c>
      <c r="V112" s="2">
        <v>111</v>
      </c>
      <c r="W112" s="2">
        <v>2003</v>
      </c>
    </row>
    <row r="113" spans="1:23" ht="12.3" x14ac:dyDescent="0.4">
      <c r="A113" s="2" t="s">
        <v>24</v>
      </c>
      <c r="B113" s="2"/>
      <c r="C113" s="2"/>
      <c r="D113" s="2"/>
      <c r="E113" s="2"/>
      <c r="F113" s="2"/>
      <c r="G113" s="2"/>
      <c r="H113" s="2"/>
      <c r="I113" s="2">
        <v>66.369600000000005</v>
      </c>
      <c r="J113" s="2">
        <v>254</v>
      </c>
      <c r="K113" s="2">
        <v>65.418400000000005</v>
      </c>
      <c r="L113" s="2">
        <v>282</v>
      </c>
      <c r="M113" s="2">
        <v>103.23050000000001</v>
      </c>
      <c r="N113" s="2">
        <v>117</v>
      </c>
      <c r="O113" s="2">
        <v>104.9616</v>
      </c>
      <c r="P113" s="2">
        <v>95</v>
      </c>
      <c r="Q113" s="2">
        <v>102.6275</v>
      </c>
      <c r="R113" s="2">
        <v>207</v>
      </c>
      <c r="S113" s="2">
        <v>100.7046</v>
      </c>
      <c r="T113" s="2">
        <v>155</v>
      </c>
      <c r="U113" s="2">
        <v>0.61683600000000005</v>
      </c>
      <c r="V113" s="2">
        <v>112</v>
      </c>
      <c r="W113" s="2">
        <v>2003</v>
      </c>
    </row>
    <row r="114" spans="1:23" ht="12.3" x14ac:dyDescent="0.4">
      <c r="A114" s="2" t="s">
        <v>123</v>
      </c>
      <c r="B114" s="2"/>
      <c r="C114" s="2"/>
      <c r="D114" s="2"/>
      <c r="E114" s="2"/>
      <c r="F114" s="2"/>
      <c r="G114" s="2"/>
      <c r="H114" s="2"/>
      <c r="I114" s="2">
        <v>69.908199999999994</v>
      </c>
      <c r="J114" s="2">
        <v>115</v>
      </c>
      <c r="K114" s="2">
        <v>69.962900000000005</v>
      </c>
      <c r="L114" s="2">
        <v>100</v>
      </c>
      <c r="M114" s="2">
        <v>96.146900000000002</v>
      </c>
      <c r="N114" s="2">
        <v>255</v>
      </c>
      <c r="O114" s="2">
        <v>99.411000000000001</v>
      </c>
      <c r="P114" s="2">
        <v>198</v>
      </c>
      <c r="Q114" s="2">
        <v>97.5809</v>
      </c>
      <c r="R114" s="2">
        <v>82</v>
      </c>
      <c r="S114" s="2">
        <v>95.466499999999996</v>
      </c>
      <c r="T114" s="2">
        <v>56</v>
      </c>
      <c r="U114" s="2">
        <v>0.61434200000000005</v>
      </c>
      <c r="V114" s="2">
        <v>113</v>
      </c>
      <c r="W114" s="2">
        <v>2003</v>
      </c>
    </row>
    <row r="115" spans="1:23" ht="12.3" x14ac:dyDescent="0.4">
      <c r="A115" s="2" t="s">
        <v>173</v>
      </c>
      <c r="B115" s="2"/>
      <c r="C115" s="2"/>
      <c r="D115" s="2"/>
      <c r="E115" s="2"/>
      <c r="F115" s="2"/>
      <c r="G115" s="2"/>
      <c r="H115" s="2"/>
      <c r="I115" s="2">
        <v>65.283100000000005</v>
      </c>
      <c r="J115" s="2">
        <v>283</v>
      </c>
      <c r="K115" s="2">
        <v>64.853099999999998</v>
      </c>
      <c r="L115" s="2">
        <v>287</v>
      </c>
      <c r="M115" s="2">
        <v>106.0531</v>
      </c>
      <c r="N115" s="2">
        <v>68</v>
      </c>
      <c r="O115" s="2">
        <v>107.92270000000001</v>
      </c>
      <c r="P115" s="2">
        <v>57</v>
      </c>
      <c r="Q115" s="2">
        <v>105.05</v>
      </c>
      <c r="R115" s="2">
        <v>254</v>
      </c>
      <c r="S115" s="2">
        <v>103.6647</v>
      </c>
      <c r="T115" s="2">
        <v>214</v>
      </c>
      <c r="U115" s="2">
        <v>0.61370499999999995</v>
      </c>
      <c r="V115" s="2">
        <v>114</v>
      </c>
      <c r="W115" s="2">
        <v>2003</v>
      </c>
    </row>
    <row r="116" spans="1:23" ht="12.3" x14ac:dyDescent="0.4">
      <c r="A116" s="2" t="s">
        <v>103</v>
      </c>
      <c r="B116" s="2"/>
      <c r="C116" s="2"/>
      <c r="D116" s="2"/>
      <c r="E116" s="2"/>
      <c r="F116" s="2"/>
      <c r="G116" s="2"/>
      <c r="H116" s="2"/>
      <c r="I116" s="2">
        <v>69.607100000000003</v>
      </c>
      <c r="J116" s="2">
        <v>121</v>
      </c>
      <c r="K116" s="2">
        <v>69.013499999999993</v>
      </c>
      <c r="L116" s="2">
        <v>138</v>
      </c>
      <c r="M116" s="2">
        <v>97.815399999999997</v>
      </c>
      <c r="N116" s="2">
        <v>231</v>
      </c>
      <c r="O116" s="2">
        <v>100.6829</v>
      </c>
      <c r="P116" s="2">
        <v>178</v>
      </c>
      <c r="Q116" s="2">
        <v>98.107500000000002</v>
      </c>
      <c r="R116" s="2">
        <v>92</v>
      </c>
      <c r="S116" s="2">
        <v>96.819699999999997</v>
      </c>
      <c r="T116" s="2">
        <v>72</v>
      </c>
      <c r="U116" s="2">
        <v>0.610626</v>
      </c>
      <c r="V116" s="2">
        <v>115</v>
      </c>
      <c r="W116" s="2">
        <v>2003</v>
      </c>
    </row>
    <row r="117" spans="1:23" ht="12.3" x14ac:dyDescent="0.4">
      <c r="A117" s="2" t="s">
        <v>229</v>
      </c>
      <c r="B117" s="2"/>
      <c r="C117" s="2"/>
      <c r="D117" s="2"/>
      <c r="E117" s="2"/>
      <c r="F117" s="2"/>
      <c r="G117" s="2"/>
      <c r="H117" s="2"/>
      <c r="I117" s="2">
        <v>66.879900000000006</v>
      </c>
      <c r="J117" s="2">
        <v>239</v>
      </c>
      <c r="K117" s="2">
        <v>66.502499999999998</v>
      </c>
      <c r="L117" s="2">
        <v>256</v>
      </c>
      <c r="M117" s="2">
        <v>99.096699999999998</v>
      </c>
      <c r="N117" s="2">
        <v>205</v>
      </c>
      <c r="O117" s="2">
        <v>102.6356</v>
      </c>
      <c r="P117" s="2">
        <v>134</v>
      </c>
      <c r="Q117" s="2">
        <v>103.3454</v>
      </c>
      <c r="R117" s="2">
        <v>225</v>
      </c>
      <c r="S117" s="2">
        <v>98.884600000000006</v>
      </c>
      <c r="T117" s="2">
        <v>116</v>
      </c>
      <c r="U117" s="2">
        <v>0.60543499999999995</v>
      </c>
      <c r="V117" s="2">
        <v>116</v>
      </c>
      <c r="W117" s="2">
        <v>2003</v>
      </c>
    </row>
    <row r="118" spans="1:23" ht="12.3" x14ac:dyDescent="0.4">
      <c r="A118" s="2" t="s">
        <v>150</v>
      </c>
      <c r="B118" s="2"/>
      <c r="C118" s="2"/>
      <c r="D118" s="2"/>
      <c r="E118" s="2"/>
      <c r="F118" s="2"/>
      <c r="G118" s="2"/>
      <c r="H118" s="2"/>
      <c r="I118" s="2">
        <v>71.299499999999995</v>
      </c>
      <c r="J118" s="2">
        <v>65</v>
      </c>
      <c r="K118" s="2">
        <v>71.706900000000005</v>
      </c>
      <c r="L118" s="2">
        <v>50</v>
      </c>
      <c r="M118" s="2">
        <v>103.4744</v>
      </c>
      <c r="N118" s="2">
        <v>105</v>
      </c>
      <c r="O118" s="2">
        <v>104.17319999999999</v>
      </c>
      <c r="P118" s="2">
        <v>104</v>
      </c>
      <c r="Q118" s="2">
        <v>103.521</v>
      </c>
      <c r="R118" s="2">
        <v>227</v>
      </c>
      <c r="S118" s="2">
        <v>100.4623</v>
      </c>
      <c r="T118" s="2">
        <v>150</v>
      </c>
      <c r="U118" s="2">
        <v>0.60279700000000003</v>
      </c>
      <c r="V118" s="2">
        <v>117</v>
      </c>
      <c r="W118" s="2">
        <v>2003</v>
      </c>
    </row>
    <row r="119" spans="1:23" ht="12.3" x14ac:dyDescent="0.4">
      <c r="A119" s="2" t="s">
        <v>147</v>
      </c>
      <c r="B119" s="2"/>
      <c r="C119" s="2"/>
      <c r="D119" s="2"/>
      <c r="E119" s="2"/>
      <c r="F119" s="2"/>
      <c r="G119" s="2"/>
      <c r="H119" s="2"/>
      <c r="I119" s="2">
        <v>65.771000000000001</v>
      </c>
      <c r="J119" s="2">
        <v>268</v>
      </c>
      <c r="K119" s="2">
        <v>66.373099999999994</v>
      </c>
      <c r="L119" s="2">
        <v>262</v>
      </c>
      <c r="M119" s="2">
        <v>97.254900000000006</v>
      </c>
      <c r="N119" s="2">
        <v>242</v>
      </c>
      <c r="O119" s="2">
        <v>96.216099999999997</v>
      </c>
      <c r="P119" s="2">
        <v>255</v>
      </c>
      <c r="Q119" s="2">
        <v>91.876300000000001</v>
      </c>
      <c r="R119" s="2">
        <v>11</v>
      </c>
      <c r="S119" s="2">
        <v>92.854299999999995</v>
      </c>
      <c r="T119" s="2">
        <v>19</v>
      </c>
      <c r="U119" s="2">
        <v>0.60084499999999996</v>
      </c>
      <c r="V119" s="2">
        <v>118</v>
      </c>
      <c r="W119" s="2">
        <v>2003</v>
      </c>
    </row>
    <row r="120" spans="1:23" ht="12.3" x14ac:dyDescent="0.4">
      <c r="A120" s="2" t="s">
        <v>114</v>
      </c>
      <c r="B120" s="2"/>
      <c r="C120" s="2"/>
      <c r="D120" s="2"/>
      <c r="E120" s="2"/>
      <c r="F120" s="2"/>
      <c r="G120" s="2"/>
      <c r="H120" s="2"/>
      <c r="I120" s="2">
        <v>70.880600000000001</v>
      </c>
      <c r="J120" s="2">
        <v>77</v>
      </c>
      <c r="K120" s="2">
        <v>70.095299999999995</v>
      </c>
      <c r="L120" s="2">
        <v>95</v>
      </c>
      <c r="M120" s="2">
        <v>103.96939999999999</v>
      </c>
      <c r="N120" s="2">
        <v>95</v>
      </c>
      <c r="O120" s="2">
        <v>102.04519999999999</v>
      </c>
      <c r="P120" s="2">
        <v>146</v>
      </c>
      <c r="Q120" s="2">
        <v>98.867699999999999</v>
      </c>
      <c r="R120" s="2">
        <v>116</v>
      </c>
      <c r="S120" s="2">
        <v>98.705500000000001</v>
      </c>
      <c r="T120" s="2">
        <v>110</v>
      </c>
      <c r="U120" s="2">
        <v>0.59451600000000004</v>
      </c>
      <c r="V120" s="2">
        <v>119</v>
      </c>
      <c r="W120" s="2">
        <v>2003</v>
      </c>
    </row>
    <row r="121" spans="1:23" ht="12.3" x14ac:dyDescent="0.4">
      <c r="A121" s="2" t="s">
        <v>231</v>
      </c>
      <c r="B121" s="2"/>
      <c r="C121" s="2"/>
      <c r="D121" s="2"/>
      <c r="E121" s="2"/>
      <c r="F121" s="2"/>
      <c r="G121" s="2"/>
      <c r="H121" s="2"/>
      <c r="I121" s="2">
        <v>70.211100000000002</v>
      </c>
      <c r="J121" s="2">
        <v>103</v>
      </c>
      <c r="K121" s="2">
        <v>70.500500000000002</v>
      </c>
      <c r="L121" s="2">
        <v>84</v>
      </c>
      <c r="M121" s="2">
        <v>103.11790000000001</v>
      </c>
      <c r="N121" s="2">
        <v>121</v>
      </c>
      <c r="O121" s="2">
        <v>104.0231</v>
      </c>
      <c r="P121" s="2">
        <v>110</v>
      </c>
      <c r="Q121" s="2">
        <v>99.295500000000004</v>
      </c>
      <c r="R121" s="2">
        <v>128</v>
      </c>
      <c r="S121" s="2">
        <v>100.6228</v>
      </c>
      <c r="T121" s="2">
        <v>153</v>
      </c>
      <c r="U121" s="2">
        <v>0.59440199999999999</v>
      </c>
      <c r="V121" s="2">
        <v>120</v>
      </c>
      <c r="W121" s="2">
        <v>2003</v>
      </c>
    </row>
    <row r="122" spans="1:23" ht="12.3" x14ac:dyDescent="0.4">
      <c r="A122" s="2" t="s">
        <v>227</v>
      </c>
      <c r="B122" s="2">
        <v>13</v>
      </c>
      <c r="C122" s="4"/>
      <c r="D122" s="4"/>
      <c r="E122" s="4"/>
      <c r="F122" s="4"/>
      <c r="G122" s="4"/>
      <c r="H122" s="4"/>
      <c r="I122" s="2">
        <v>66.8506</v>
      </c>
      <c r="J122" s="2">
        <v>240</v>
      </c>
      <c r="K122" s="2">
        <v>65.137100000000004</v>
      </c>
      <c r="L122" s="2">
        <v>284</v>
      </c>
      <c r="M122" s="2">
        <v>102.5179</v>
      </c>
      <c r="N122" s="2">
        <v>138</v>
      </c>
      <c r="O122" s="2">
        <v>100.3818</v>
      </c>
      <c r="P122" s="2">
        <v>183</v>
      </c>
      <c r="Q122" s="2">
        <v>99.249300000000005</v>
      </c>
      <c r="R122" s="2">
        <v>127</v>
      </c>
      <c r="S122" s="2">
        <v>97.145399999999995</v>
      </c>
      <c r="T122" s="2">
        <v>80</v>
      </c>
      <c r="U122" s="2">
        <v>0.59311999999999998</v>
      </c>
      <c r="V122" s="2">
        <v>121</v>
      </c>
      <c r="W122" s="2">
        <v>2003</v>
      </c>
    </row>
    <row r="123" spans="1:23" ht="12.3" x14ac:dyDescent="0.4">
      <c r="A123" s="2" t="s">
        <v>177</v>
      </c>
      <c r="B123" s="2"/>
      <c r="C123" s="2"/>
      <c r="D123" s="2"/>
      <c r="E123" s="2"/>
      <c r="F123" s="2"/>
      <c r="G123" s="2"/>
      <c r="H123" s="2"/>
      <c r="I123" s="2">
        <v>67.966399999999993</v>
      </c>
      <c r="J123" s="2">
        <v>193</v>
      </c>
      <c r="K123" s="2">
        <v>66.836600000000004</v>
      </c>
      <c r="L123" s="2">
        <v>242</v>
      </c>
      <c r="M123" s="2">
        <v>104.9528</v>
      </c>
      <c r="N123" s="2">
        <v>80</v>
      </c>
      <c r="O123" s="2">
        <v>101.9919</v>
      </c>
      <c r="P123" s="2">
        <v>148</v>
      </c>
      <c r="Q123" s="2">
        <v>96.307699999999997</v>
      </c>
      <c r="R123" s="2">
        <v>54</v>
      </c>
      <c r="S123" s="2">
        <v>98.786299999999997</v>
      </c>
      <c r="T123" s="2">
        <v>114</v>
      </c>
      <c r="U123" s="2">
        <v>0.59079199999999998</v>
      </c>
      <c r="V123" s="2">
        <v>122</v>
      </c>
      <c r="W123" s="2">
        <v>2003</v>
      </c>
    </row>
    <row r="124" spans="1:23" ht="12.3" x14ac:dyDescent="0.4">
      <c r="A124" s="2" t="s">
        <v>203</v>
      </c>
      <c r="B124" s="2"/>
      <c r="C124" s="2"/>
      <c r="D124" s="2"/>
      <c r="E124" s="2"/>
      <c r="F124" s="2"/>
      <c r="G124" s="2"/>
      <c r="H124" s="2"/>
      <c r="I124" s="2">
        <v>65.7804</v>
      </c>
      <c r="J124" s="2">
        <v>267</v>
      </c>
      <c r="K124" s="2">
        <v>65.563299999999998</v>
      </c>
      <c r="L124" s="2">
        <v>279</v>
      </c>
      <c r="M124" s="2">
        <v>102.73099999999999</v>
      </c>
      <c r="N124" s="2">
        <v>130</v>
      </c>
      <c r="O124" s="2">
        <v>101.8927</v>
      </c>
      <c r="P124" s="2">
        <v>151</v>
      </c>
      <c r="Q124" s="2">
        <v>95.403199999999998</v>
      </c>
      <c r="R124" s="2">
        <v>37</v>
      </c>
      <c r="S124" s="2">
        <v>98.700199999999995</v>
      </c>
      <c r="T124" s="2">
        <v>108</v>
      </c>
      <c r="U124" s="2">
        <v>0.59051299999999995</v>
      </c>
      <c r="V124" s="2">
        <v>123</v>
      </c>
      <c r="W124" s="2">
        <v>2003</v>
      </c>
    </row>
    <row r="125" spans="1:23" ht="12.3" x14ac:dyDescent="0.4">
      <c r="A125" s="2" t="s">
        <v>159</v>
      </c>
      <c r="B125" s="2"/>
      <c r="C125" s="2"/>
      <c r="D125" s="2"/>
      <c r="E125" s="2"/>
      <c r="F125" s="2"/>
      <c r="G125" s="2"/>
      <c r="H125" s="2"/>
      <c r="I125" s="2">
        <v>68.5274</v>
      </c>
      <c r="J125" s="2">
        <v>164</v>
      </c>
      <c r="K125" s="2">
        <v>68.681799999999996</v>
      </c>
      <c r="L125" s="2">
        <v>153</v>
      </c>
      <c r="M125" s="2">
        <v>101.8545</v>
      </c>
      <c r="N125" s="2">
        <v>152</v>
      </c>
      <c r="O125" s="2">
        <v>105.7979</v>
      </c>
      <c r="P125" s="2">
        <v>84</v>
      </c>
      <c r="Q125" s="2">
        <v>106.2666</v>
      </c>
      <c r="R125" s="2">
        <v>269</v>
      </c>
      <c r="S125" s="2">
        <v>102.5569</v>
      </c>
      <c r="T125" s="2">
        <v>192</v>
      </c>
      <c r="U125" s="2">
        <v>0.58850899999999995</v>
      </c>
      <c r="V125" s="2">
        <v>124</v>
      </c>
      <c r="W125" s="2">
        <v>2003</v>
      </c>
    </row>
    <row r="126" spans="1:23" ht="12.3" x14ac:dyDescent="0.4">
      <c r="A126" s="2" t="s">
        <v>353</v>
      </c>
      <c r="B126" s="2"/>
      <c r="C126" s="2"/>
      <c r="D126" s="2"/>
      <c r="E126" s="2"/>
      <c r="F126" s="2"/>
      <c r="G126" s="2"/>
      <c r="H126" s="2"/>
      <c r="I126" s="2">
        <v>67.326999999999998</v>
      </c>
      <c r="J126" s="2">
        <v>226</v>
      </c>
      <c r="K126" s="2">
        <v>67.716999999999999</v>
      </c>
      <c r="L126" s="2">
        <v>198</v>
      </c>
      <c r="M126" s="2">
        <v>101.0012</v>
      </c>
      <c r="N126" s="2">
        <v>170</v>
      </c>
      <c r="O126" s="2">
        <v>102.518</v>
      </c>
      <c r="P126" s="2">
        <v>136</v>
      </c>
      <c r="Q126" s="2">
        <v>100.693</v>
      </c>
      <c r="R126" s="2">
        <v>160</v>
      </c>
      <c r="S126" s="2">
        <v>99.446899999999999</v>
      </c>
      <c r="T126" s="2">
        <v>126</v>
      </c>
      <c r="U126" s="2">
        <v>0.586561</v>
      </c>
      <c r="V126" s="2">
        <v>125</v>
      </c>
      <c r="W126" s="2">
        <v>2003</v>
      </c>
    </row>
    <row r="127" spans="1:23" ht="12.3" x14ac:dyDescent="0.4">
      <c r="A127" s="2" t="s">
        <v>110</v>
      </c>
      <c r="B127" s="2"/>
      <c r="C127" s="2"/>
      <c r="D127" s="2"/>
      <c r="E127" s="2"/>
      <c r="F127" s="2"/>
      <c r="G127" s="2"/>
      <c r="H127" s="2"/>
      <c r="I127" s="2">
        <v>65.611599999999996</v>
      </c>
      <c r="J127" s="2">
        <v>274</v>
      </c>
      <c r="K127" s="2">
        <v>67.006299999999996</v>
      </c>
      <c r="L127" s="2">
        <v>232</v>
      </c>
      <c r="M127" s="2">
        <v>103.4598</v>
      </c>
      <c r="N127" s="2">
        <v>108</v>
      </c>
      <c r="O127" s="2">
        <v>101.5004</v>
      </c>
      <c r="P127" s="2">
        <v>158</v>
      </c>
      <c r="Q127" s="2">
        <v>98.116600000000005</v>
      </c>
      <c r="R127" s="2">
        <v>93</v>
      </c>
      <c r="S127" s="2">
        <v>98.564499999999995</v>
      </c>
      <c r="T127" s="2">
        <v>107</v>
      </c>
      <c r="U127" s="2">
        <v>0.58359300000000003</v>
      </c>
      <c r="V127" s="2">
        <v>126</v>
      </c>
      <c r="W127" s="2">
        <v>2003</v>
      </c>
    </row>
    <row r="128" spans="1:23" ht="12.3" x14ac:dyDescent="0.4">
      <c r="A128" s="2" t="s">
        <v>105</v>
      </c>
      <c r="B128" s="2"/>
      <c r="C128" s="2"/>
      <c r="D128" s="2"/>
      <c r="E128" s="2"/>
      <c r="F128" s="2"/>
      <c r="G128" s="2"/>
      <c r="H128" s="2"/>
      <c r="I128" s="2">
        <v>69.436300000000003</v>
      </c>
      <c r="J128" s="2">
        <v>135</v>
      </c>
      <c r="K128" s="2">
        <v>68.095799999999997</v>
      </c>
      <c r="L128" s="2">
        <v>182</v>
      </c>
      <c r="M128" s="2">
        <v>104.36490000000001</v>
      </c>
      <c r="N128" s="2">
        <v>88</v>
      </c>
      <c r="O128" s="2">
        <v>101.0909</v>
      </c>
      <c r="P128" s="2">
        <v>166</v>
      </c>
      <c r="Q128" s="2">
        <v>97.543099999999995</v>
      </c>
      <c r="R128" s="2">
        <v>80</v>
      </c>
      <c r="S128" s="2">
        <v>98.238100000000003</v>
      </c>
      <c r="T128" s="2">
        <v>102</v>
      </c>
      <c r="U128" s="2">
        <v>0.58156300000000005</v>
      </c>
      <c r="V128" s="2">
        <v>127</v>
      </c>
      <c r="W128" s="2">
        <v>2003</v>
      </c>
    </row>
    <row r="129" spans="1:23" ht="12.3" x14ac:dyDescent="0.4">
      <c r="A129" s="2" t="s">
        <v>196</v>
      </c>
      <c r="B129" s="2"/>
      <c r="C129" s="2"/>
      <c r="D129" s="2"/>
      <c r="E129" s="2"/>
      <c r="F129" s="2"/>
      <c r="G129" s="2"/>
      <c r="H129" s="2"/>
      <c r="I129" s="2">
        <v>71.716800000000006</v>
      </c>
      <c r="J129" s="2">
        <v>55</v>
      </c>
      <c r="K129" s="2">
        <v>71.141499999999994</v>
      </c>
      <c r="L129" s="2">
        <v>63</v>
      </c>
      <c r="M129" s="2">
        <v>104.94970000000001</v>
      </c>
      <c r="N129" s="2">
        <v>81</v>
      </c>
      <c r="O129" s="2">
        <v>103.2846</v>
      </c>
      <c r="P129" s="2">
        <v>125</v>
      </c>
      <c r="Q129" s="2">
        <v>98.598699999999994</v>
      </c>
      <c r="R129" s="2">
        <v>109</v>
      </c>
      <c r="S129" s="2">
        <v>100.4674</v>
      </c>
      <c r="T129" s="2">
        <v>151</v>
      </c>
      <c r="U129" s="2">
        <v>0.578843</v>
      </c>
      <c r="V129" s="2">
        <v>128</v>
      </c>
      <c r="W129" s="2">
        <v>2003</v>
      </c>
    </row>
    <row r="130" spans="1:23" ht="12.3" x14ac:dyDescent="0.4">
      <c r="A130" s="2" t="s">
        <v>209</v>
      </c>
      <c r="B130" s="2"/>
      <c r="C130" s="2"/>
      <c r="D130" s="2"/>
      <c r="E130" s="2"/>
      <c r="F130" s="2"/>
      <c r="G130" s="2"/>
      <c r="H130" s="2"/>
      <c r="I130" s="2">
        <v>66.791499999999999</v>
      </c>
      <c r="J130" s="2">
        <v>242</v>
      </c>
      <c r="K130" s="2">
        <v>66.287599999999998</v>
      </c>
      <c r="L130" s="2">
        <v>263</v>
      </c>
      <c r="M130" s="2">
        <v>102.7295</v>
      </c>
      <c r="N130" s="2">
        <v>131</v>
      </c>
      <c r="O130" s="2">
        <v>103.73609999999999</v>
      </c>
      <c r="P130" s="2">
        <v>114</v>
      </c>
      <c r="Q130" s="2">
        <v>102.7611</v>
      </c>
      <c r="R130" s="2">
        <v>214</v>
      </c>
      <c r="S130" s="2">
        <v>100.92189999999999</v>
      </c>
      <c r="T130" s="2">
        <v>159</v>
      </c>
      <c r="U130" s="2">
        <v>0.57841900000000002</v>
      </c>
      <c r="V130" s="2">
        <v>129</v>
      </c>
      <c r="W130" s="2">
        <v>2003</v>
      </c>
    </row>
    <row r="131" spans="1:23" ht="12.3" x14ac:dyDescent="0.4">
      <c r="A131" s="2" t="s">
        <v>149</v>
      </c>
      <c r="B131" s="2"/>
      <c r="C131" s="2"/>
      <c r="D131" s="2"/>
      <c r="E131" s="2"/>
      <c r="F131" s="2"/>
      <c r="G131" s="2"/>
      <c r="H131" s="2"/>
      <c r="I131" s="2">
        <v>69.492699999999999</v>
      </c>
      <c r="J131" s="2">
        <v>129</v>
      </c>
      <c r="K131" s="2">
        <v>68.489999999999995</v>
      </c>
      <c r="L131" s="2">
        <v>164</v>
      </c>
      <c r="M131" s="2">
        <v>96.589399999999998</v>
      </c>
      <c r="N131" s="2">
        <v>248</v>
      </c>
      <c r="O131" s="2">
        <v>98.884399999999999</v>
      </c>
      <c r="P131" s="2">
        <v>207</v>
      </c>
      <c r="Q131" s="2">
        <v>99.387900000000002</v>
      </c>
      <c r="R131" s="2">
        <v>130</v>
      </c>
      <c r="S131" s="2">
        <v>96.330399999999997</v>
      </c>
      <c r="T131" s="2">
        <v>64</v>
      </c>
      <c r="U131" s="2">
        <v>0.57466899999999999</v>
      </c>
      <c r="V131" s="2">
        <v>130</v>
      </c>
      <c r="W131" s="2">
        <v>2003</v>
      </c>
    </row>
    <row r="132" spans="1:23" ht="12.3" x14ac:dyDescent="0.4">
      <c r="A132" s="2" t="s">
        <v>192</v>
      </c>
      <c r="B132" s="2"/>
      <c r="C132" s="2"/>
      <c r="D132" s="2"/>
      <c r="E132" s="2"/>
      <c r="F132" s="2"/>
      <c r="G132" s="2"/>
      <c r="H132" s="2"/>
      <c r="I132" s="2">
        <v>68.352999999999994</v>
      </c>
      <c r="J132" s="2">
        <v>177</v>
      </c>
      <c r="K132" s="2">
        <v>69.147800000000004</v>
      </c>
      <c r="L132" s="2">
        <v>133</v>
      </c>
      <c r="M132" s="2">
        <v>105.9342</v>
      </c>
      <c r="N132" s="2">
        <v>72</v>
      </c>
      <c r="O132" s="2">
        <v>107.71599999999999</v>
      </c>
      <c r="P132" s="2">
        <v>59</v>
      </c>
      <c r="Q132" s="2">
        <v>102.90349999999999</v>
      </c>
      <c r="R132" s="2">
        <v>217</v>
      </c>
      <c r="S132" s="2">
        <v>104.9648</v>
      </c>
      <c r="T132" s="2">
        <v>236</v>
      </c>
      <c r="U132" s="2">
        <v>0.57384299999999999</v>
      </c>
      <c r="V132" s="2">
        <v>131</v>
      </c>
      <c r="W132" s="2">
        <v>2003</v>
      </c>
    </row>
    <row r="133" spans="1:23" ht="12.3" x14ac:dyDescent="0.4">
      <c r="A133" s="2" t="s">
        <v>186</v>
      </c>
      <c r="B133" s="2"/>
      <c r="C133" s="2"/>
      <c r="D133" s="2"/>
      <c r="E133" s="2"/>
      <c r="F133" s="2"/>
      <c r="G133" s="2"/>
      <c r="H133" s="2"/>
      <c r="I133" s="2">
        <v>68.536600000000007</v>
      </c>
      <c r="J133" s="2">
        <v>163</v>
      </c>
      <c r="K133" s="2">
        <v>68.875799999999998</v>
      </c>
      <c r="L133" s="2">
        <v>144</v>
      </c>
      <c r="M133" s="2">
        <v>102.2719</v>
      </c>
      <c r="N133" s="2">
        <v>145</v>
      </c>
      <c r="O133" s="2">
        <v>102.38679999999999</v>
      </c>
      <c r="P133" s="2">
        <v>138</v>
      </c>
      <c r="Q133" s="2">
        <v>102.6678</v>
      </c>
      <c r="R133" s="2">
        <v>210</v>
      </c>
      <c r="S133" s="2">
        <v>99.801100000000005</v>
      </c>
      <c r="T133" s="2">
        <v>132</v>
      </c>
      <c r="U133" s="2">
        <v>0.57301400000000002</v>
      </c>
      <c r="V133" s="2">
        <v>132</v>
      </c>
      <c r="W133" s="2">
        <v>2003</v>
      </c>
    </row>
    <row r="134" spans="1:23" ht="12.3" x14ac:dyDescent="0.4">
      <c r="A134" s="2" t="s">
        <v>226</v>
      </c>
      <c r="B134" s="2"/>
      <c r="C134" s="2"/>
      <c r="D134" s="2"/>
      <c r="E134" s="2"/>
      <c r="F134" s="2"/>
      <c r="G134" s="2"/>
      <c r="H134" s="2"/>
      <c r="I134" s="2">
        <v>63.781999999999996</v>
      </c>
      <c r="J134" s="2">
        <v>304</v>
      </c>
      <c r="K134" s="2">
        <v>64.656700000000001</v>
      </c>
      <c r="L134" s="2">
        <v>295</v>
      </c>
      <c r="M134" s="2">
        <v>103.11199999999999</v>
      </c>
      <c r="N134" s="2">
        <v>122</v>
      </c>
      <c r="O134" s="2">
        <v>102.81359999999999</v>
      </c>
      <c r="P134" s="2">
        <v>130</v>
      </c>
      <c r="Q134" s="2">
        <v>96.086200000000005</v>
      </c>
      <c r="R134" s="2">
        <v>49</v>
      </c>
      <c r="S134" s="2">
        <v>100.27370000000001</v>
      </c>
      <c r="T134" s="2">
        <v>146</v>
      </c>
      <c r="U134" s="2">
        <v>0.57142300000000001</v>
      </c>
      <c r="V134" s="2">
        <v>133</v>
      </c>
      <c r="W134" s="2">
        <v>2003</v>
      </c>
    </row>
    <row r="135" spans="1:23" ht="12.3" x14ac:dyDescent="0.4">
      <c r="A135" s="2" t="s">
        <v>131</v>
      </c>
      <c r="B135" s="2"/>
      <c r="C135" s="2"/>
      <c r="D135" s="2"/>
      <c r="E135" s="2"/>
      <c r="F135" s="2"/>
      <c r="G135" s="2"/>
      <c r="H135" s="2"/>
      <c r="I135" s="2">
        <v>72.946399999999997</v>
      </c>
      <c r="J135" s="2">
        <v>32</v>
      </c>
      <c r="K135" s="2">
        <v>71.628</v>
      </c>
      <c r="L135" s="2">
        <v>53</v>
      </c>
      <c r="M135" s="2">
        <v>97.802800000000005</v>
      </c>
      <c r="N135" s="2">
        <v>232</v>
      </c>
      <c r="O135" s="2">
        <v>102.0224</v>
      </c>
      <c r="P135" s="2">
        <v>147</v>
      </c>
      <c r="Q135" s="2">
        <v>101.6224</v>
      </c>
      <c r="R135" s="2">
        <v>188</v>
      </c>
      <c r="S135" s="2">
        <v>99.636099999999999</v>
      </c>
      <c r="T135" s="2">
        <v>130</v>
      </c>
      <c r="U135" s="2">
        <v>0.56762800000000002</v>
      </c>
      <c r="V135" s="2">
        <v>134</v>
      </c>
      <c r="W135" s="2">
        <v>2003</v>
      </c>
    </row>
    <row r="136" spans="1:23" ht="12.3" x14ac:dyDescent="0.4">
      <c r="A136" s="2" t="s">
        <v>176</v>
      </c>
      <c r="B136" s="2"/>
      <c r="C136" s="2"/>
      <c r="D136" s="2"/>
      <c r="E136" s="2"/>
      <c r="F136" s="2"/>
      <c r="G136" s="2"/>
      <c r="H136" s="2"/>
      <c r="I136" s="2">
        <v>60.444899999999997</v>
      </c>
      <c r="J136" s="2">
        <v>323</v>
      </c>
      <c r="K136" s="2">
        <v>60.949800000000003</v>
      </c>
      <c r="L136" s="2">
        <v>320</v>
      </c>
      <c r="M136" s="2">
        <v>107.6831</v>
      </c>
      <c r="N136" s="2">
        <v>46</v>
      </c>
      <c r="O136" s="2">
        <v>107.9816</v>
      </c>
      <c r="P136" s="2">
        <v>56</v>
      </c>
      <c r="Q136" s="2">
        <v>102.6949</v>
      </c>
      <c r="R136" s="2">
        <v>211</v>
      </c>
      <c r="S136" s="2">
        <v>105.4721</v>
      </c>
      <c r="T136" s="2">
        <v>246</v>
      </c>
      <c r="U136" s="2">
        <v>0.56719600000000003</v>
      </c>
      <c r="V136" s="2">
        <v>135</v>
      </c>
      <c r="W136" s="2">
        <v>2003</v>
      </c>
    </row>
    <row r="137" spans="1:23" ht="12.3" x14ac:dyDescent="0.4">
      <c r="A137" s="2" t="s">
        <v>80</v>
      </c>
      <c r="B137" s="2"/>
      <c r="C137" s="2"/>
      <c r="D137" s="2"/>
      <c r="E137" s="2"/>
      <c r="F137" s="2"/>
      <c r="G137" s="2"/>
      <c r="H137" s="2"/>
      <c r="I137" s="2">
        <v>67.466999999999999</v>
      </c>
      <c r="J137" s="2">
        <v>220</v>
      </c>
      <c r="K137" s="2">
        <v>67.207400000000007</v>
      </c>
      <c r="L137" s="2">
        <v>225</v>
      </c>
      <c r="M137" s="2">
        <v>91.569900000000004</v>
      </c>
      <c r="N137" s="2">
        <v>307</v>
      </c>
      <c r="O137" s="2">
        <v>97.086500000000001</v>
      </c>
      <c r="P137" s="2">
        <v>239</v>
      </c>
      <c r="Q137" s="2">
        <v>99.439800000000005</v>
      </c>
      <c r="R137" s="2">
        <v>132</v>
      </c>
      <c r="S137" s="2">
        <v>94.859499999999997</v>
      </c>
      <c r="T137" s="2">
        <v>44</v>
      </c>
      <c r="U137" s="2">
        <v>0.56632199999999999</v>
      </c>
      <c r="V137" s="2">
        <v>136</v>
      </c>
      <c r="W137" s="2">
        <v>2003</v>
      </c>
    </row>
    <row r="138" spans="1:23" ht="12.3" x14ac:dyDescent="0.4">
      <c r="A138" s="2" t="s">
        <v>282</v>
      </c>
      <c r="B138" s="2"/>
      <c r="C138" s="2"/>
      <c r="D138" s="2"/>
      <c r="E138" s="2"/>
      <c r="F138" s="2"/>
      <c r="G138" s="2"/>
      <c r="H138" s="2"/>
      <c r="I138" s="2">
        <v>64.944999999999993</v>
      </c>
      <c r="J138" s="2">
        <v>289</v>
      </c>
      <c r="K138" s="2">
        <v>63.9709</v>
      </c>
      <c r="L138" s="2">
        <v>301</v>
      </c>
      <c r="M138" s="2">
        <v>107.4298</v>
      </c>
      <c r="N138" s="2">
        <v>53</v>
      </c>
      <c r="O138" s="2">
        <v>104.803</v>
      </c>
      <c r="P138" s="2">
        <v>96</v>
      </c>
      <c r="Q138" s="2">
        <v>97.202200000000005</v>
      </c>
      <c r="R138" s="2">
        <v>72</v>
      </c>
      <c r="S138" s="2">
        <v>102.4537</v>
      </c>
      <c r="T138" s="2">
        <v>191</v>
      </c>
      <c r="U138" s="2">
        <v>0.56481300000000001</v>
      </c>
      <c r="V138" s="2">
        <v>137</v>
      </c>
      <c r="W138" s="2">
        <v>2003</v>
      </c>
    </row>
    <row r="139" spans="1:23" ht="12.3" x14ac:dyDescent="0.4">
      <c r="A139" s="2" t="s">
        <v>225</v>
      </c>
      <c r="B139" s="2">
        <v>15</v>
      </c>
      <c r="C139" s="4"/>
      <c r="D139" s="4"/>
      <c r="E139" s="4"/>
      <c r="F139" s="4"/>
      <c r="G139" s="4"/>
      <c r="H139" s="4"/>
      <c r="I139" s="2">
        <v>68.815799999999996</v>
      </c>
      <c r="J139" s="2">
        <v>151</v>
      </c>
      <c r="K139" s="2">
        <v>68.328199999999995</v>
      </c>
      <c r="L139" s="2">
        <v>171</v>
      </c>
      <c r="M139" s="2">
        <v>103.2051</v>
      </c>
      <c r="N139" s="2">
        <v>118</v>
      </c>
      <c r="O139" s="2">
        <v>101.04640000000001</v>
      </c>
      <c r="P139" s="2">
        <v>171</v>
      </c>
      <c r="Q139" s="2">
        <v>93.522900000000007</v>
      </c>
      <c r="R139" s="2">
        <v>24</v>
      </c>
      <c r="S139" s="2">
        <v>98.897999999999996</v>
      </c>
      <c r="T139" s="2">
        <v>117</v>
      </c>
      <c r="U139" s="2">
        <v>0.56147199999999997</v>
      </c>
      <c r="V139" s="2">
        <v>138</v>
      </c>
      <c r="W139" s="2">
        <v>2003</v>
      </c>
    </row>
    <row r="140" spans="1:23" ht="12.3" x14ac:dyDescent="0.4">
      <c r="A140" s="2" t="s">
        <v>233</v>
      </c>
      <c r="B140" s="2"/>
      <c r="C140" s="2"/>
      <c r="D140" s="2"/>
      <c r="E140" s="2"/>
      <c r="F140" s="2"/>
      <c r="G140" s="2"/>
      <c r="H140" s="2"/>
      <c r="I140" s="2">
        <v>70.411100000000005</v>
      </c>
      <c r="J140" s="2">
        <v>96</v>
      </c>
      <c r="K140" s="2">
        <v>72.703199999999995</v>
      </c>
      <c r="L140" s="2">
        <v>29</v>
      </c>
      <c r="M140" s="2">
        <v>104.32389999999999</v>
      </c>
      <c r="N140" s="2">
        <v>89</v>
      </c>
      <c r="O140" s="2">
        <v>105.0599</v>
      </c>
      <c r="P140" s="2">
        <v>91</v>
      </c>
      <c r="Q140" s="2">
        <v>101.4806</v>
      </c>
      <c r="R140" s="2">
        <v>184</v>
      </c>
      <c r="S140" s="2">
        <v>102.9353</v>
      </c>
      <c r="T140" s="2">
        <v>199</v>
      </c>
      <c r="U140" s="2">
        <v>0.55846799999999996</v>
      </c>
      <c r="V140" s="2">
        <v>139</v>
      </c>
      <c r="W140" s="2">
        <v>2003</v>
      </c>
    </row>
    <row r="141" spans="1:23" ht="12.3" x14ac:dyDescent="0.4">
      <c r="A141" s="2" t="s">
        <v>166</v>
      </c>
      <c r="B141" s="2"/>
      <c r="C141" s="2"/>
      <c r="D141" s="2"/>
      <c r="E141" s="2"/>
      <c r="F141" s="2"/>
      <c r="G141" s="2"/>
      <c r="H141" s="2"/>
      <c r="I141" s="2">
        <v>71.786699999999996</v>
      </c>
      <c r="J141" s="2">
        <v>53</v>
      </c>
      <c r="K141" s="2">
        <v>70.803600000000003</v>
      </c>
      <c r="L141" s="2">
        <v>71</v>
      </c>
      <c r="M141" s="2">
        <v>111.0334</v>
      </c>
      <c r="N141" s="2">
        <v>17</v>
      </c>
      <c r="O141" s="2">
        <v>109.5471</v>
      </c>
      <c r="P141" s="2">
        <v>38</v>
      </c>
      <c r="Q141" s="2">
        <v>104.4594</v>
      </c>
      <c r="R141" s="2">
        <v>243</v>
      </c>
      <c r="S141" s="2">
        <v>107.3604</v>
      </c>
      <c r="T141" s="2">
        <v>278</v>
      </c>
      <c r="U141" s="2">
        <v>0.55771099999999996</v>
      </c>
      <c r="V141" s="2">
        <v>140</v>
      </c>
      <c r="W141" s="2">
        <v>2003</v>
      </c>
    </row>
    <row r="142" spans="1:23" ht="12.3" x14ac:dyDescent="0.4">
      <c r="A142" s="2" t="s">
        <v>220</v>
      </c>
      <c r="B142" s="2">
        <v>16</v>
      </c>
      <c r="C142" s="4"/>
      <c r="D142" s="4"/>
      <c r="E142" s="4"/>
      <c r="F142" s="4"/>
      <c r="G142" s="4"/>
      <c r="H142" s="4"/>
      <c r="I142" s="2">
        <v>65.365899999999996</v>
      </c>
      <c r="J142" s="2">
        <v>281</v>
      </c>
      <c r="K142" s="2">
        <v>65.646699999999996</v>
      </c>
      <c r="L142" s="2">
        <v>277</v>
      </c>
      <c r="M142" s="2">
        <v>103.2591</v>
      </c>
      <c r="N142" s="2">
        <v>116</v>
      </c>
      <c r="O142" s="2">
        <v>100.07850000000001</v>
      </c>
      <c r="P142" s="2">
        <v>190</v>
      </c>
      <c r="Q142" s="2">
        <v>95.86</v>
      </c>
      <c r="R142" s="2">
        <v>46</v>
      </c>
      <c r="S142" s="2">
        <v>98.190399999999997</v>
      </c>
      <c r="T142" s="2">
        <v>98</v>
      </c>
      <c r="U142" s="2">
        <v>0.55454099999999995</v>
      </c>
      <c r="V142" s="2">
        <v>141</v>
      </c>
      <c r="W142" s="2">
        <v>2003</v>
      </c>
    </row>
    <row r="143" spans="1:23" ht="12.3" x14ac:dyDescent="0.4">
      <c r="A143" s="2" t="s">
        <v>140</v>
      </c>
      <c r="B143" s="2"/>
      <c r="C143" s="2"/>
      <c r="D143" s="2"/>
      <c r="E143" s="2"/>
      <c r="F143" s="2"/>
      <c r="G143" s="2"/>
      <c r="H143" s="2"/>
      <c r="I143" s="2">
        <v>70.727400000000003</v>
      </c>
      <c r="J143" s="2">
        <v>84</v>
      </c>
      <c r="K143" s="2">
        <v>69.523499999999999</v>
      </c>
      <c r="L143" s="2">
        <v>117</v>
      </c>
      <c r="M143" s="2">
        <v>100.714</v>
      </c>
      <c r="N143" s="2">
        <v>177</v>
      </c>
      <c r="O143" s="2">
        <v>102.4903</v>
      </c>
      <c r="P143" s="2">
        <v>137</v>
      </c>
      <c r="Q143" s="2">
        <v>100.85850000000001</v>
      </c>
      <c r="R143" s="2">
        <v>166</v>
      </c>
      <c r="S143" s="2">
        <v>100.7272</v>
      </c>
      <c r="T143" s="2">
        <v>156</v>
      </c>
      <c r="U143" s="2">
        <v>0.54972299999999996</v>
      </c>
      <c r="V143" s="2">
        <v>142</v>
      </c>
      <c r="W143" s="2">
        <v>2003</v>
      </c>
    </row>
    <row r="144" spans="1:23" ht="12.3" x14ac:dyDescent="0.4">
      <c r="A144" s="2" t="s">
        <v>221</v>
      </c>
      <c r="B144" s="2"/>
      <c r="C144" s="2"/>
      <c r="D144" s="2"/>
      <c r="E144" s="2"/>
      <c r="F144" s="2"/>
      <c r="G144" s="2"/>
      <c r="H144" s="2"/>
      <c r="I144" s="2">
        <v>71.311499999999995</v>
      </c>
      <c r="J144" s="2">
        <v>63</v>
      </c>
      <c r="K144" s="2">
        <v>70.289699999999996</v>
      </c>
      <c r="L144" s="2">
        <v>90</v>
      </c>
      <c r="M144" s="2">
        <v>98.4011</v>
      </c>
      <c r="N144" s="2">
        <v>221</v>
      </c>
      <c r="O144" s="2">
        <v>98.302700000000002</v>
      </c>
      <c r="P144" s="2">
        <v>219</v>
      </c>
      <c r="Q144" s="2">
        <v>96.557100000000005</v>
      </c>
      <c r="R144" s="2">
        <v>57</v>
      </c>
      <c r="S144" s="2">
        <v>96.653300000000002</v>
      </c>
      <c r="T144" s="2">
        <v>70</v>
      </c>
      <c r="U144" s="2">
        <v>0.54849599999999998</v>
      </c>
      <c r="V144" s="2">
        <v>143</v>
      </c>
      <c r="W144" s="2">
        <v>2003</v>
      </c>
    </row>
    <row r="145" spans="1:23" ht="12.3" x14ac:dyDescent="0.4">
      <c r="A145" s="2" t="s">
        <v>286</v>
      </c>
      <c r="B145" s="2"/>
      <c r="C145" s="2"/>
      <c r="D145" s="2"/>
      <c r="E145" s="2"/>
      <c r="F145" s="2"/>
      <c r="G145" s="2"/>
      <c r="H145" s="2"/>
      <c r="I145" s="2">
        <v>68.599800000000002</v>
      </c>
      <c r="J145" s="2">
        <v>160</v>
      </c>
      <c r="K145" s="2">
        <v>68.867599999999996</v>
      </c>
      <c r="L145" s="2">
        <v>145</v>
      </c>
      <c r="M145" s="2">
        <v>102.3922</v>
      </c>
      <c r="N145" s="2">
        <v>142</v>
      </c>
      <c r="O145" s="2">
        <v>101.1641</v>
      </c>
      <c r="P145" s="2">
        <v>164</v>
      </c>
      <c r="Q145" s="2">
        <v>99.103700000000003</v>
      </c>
      <c r="R145" s="2">
        <v>121</v>
      </c>
      <c r="S145" s="2">
        <v>99.532200000000003</v>
      </c>
      <c r="T145" s="2">
        <v>127</v>
      </c>
      <c r="U145" s="2">
        <v>0.54662100000000002</v>
      </c>
      <c r="V145" s="2">
        <v>144</v>
      </c>
      <c r="W145" s="2">
        <v>2003</v>
      </c>
    </row>
    <row r="146" spans="1:23" ht="12.3" x14ac:dyDescent="0.4">
      <c r="A146" s="2" t="s">
        <v>167</v>
      </c>
      <c r="B146" s="2"/>
      <c r="C146" s="2"/>
      <c r="D146" s="2"/>
      <c r="E146" s="2"/>
      <c r="F146" s="2"/>
      <c r="G146" s="2"/>
      <c r="H146" s="2"/>
      <c r="I146" s="2">
        <v>58.463700000000003</v>
      </c>
      <c r="J146" s="2">
        <v>326</v>
      </c>
      <c r="K146" s="2">
        <v>58.044699999999999</v>
      </c>
      <c r="L146" s="2">
        <v>326</v>
      </c>
      <c r="M146" s="2">
        <v>99.835499999999996</v>
      </c>
      <c r="N146" s="2">
        <v>198</v>
      </c>
      <c r="O146" s="2">
        <v>99.715800000000002</v>
      </c>
      <c r="P146" s="2">
        <v>196</v>
      </c>
      <c r="Q146" s="2">
        <v>101.4147</v>
      </c>
      <c r="R146" s="2">
        <v>182</v>
      </c>
      <c r="S146" s="2">
        <v>98.197699999999998</v>
      </c>
      <c r="T146" s="2">
        <v>99</v>
      </c>
      <c r="U146" s="2">
        <v>0.54399299999999995</v>
      </c>
      <c r="V146" s="2">
        <v>145</v>
      </c>
      <c r="W146" s="2">
        <v>2003</v>
      </c>
    </row>
    <row r="147" spans="1:23" ht="12.3" x14ac:dyDescent="0.4">
      <c r="A147" s="2" t="s">
        <v>245</v>
      </c>
      <c r="B147" s="2"/>
      <c r="C147" s="2"/>
      <c r="D147" s="2"/>
      <c r="E147" s="2"/>
      <c r="F147" s="2"/>
      <c r="G147" s="2"/>
      <c r="H147" s="2"/>
      <c r="I147" s="2">
        <v>70.123900000000006</v>
      </c>
      <c r="J147" s="2">
        <v>106</v>
      </c>
      <c r="K147" s="2">
        <v>70.192400000000006</v>
      </c>
      <c r="L147" s="2">
        <v>91</v>
      </c>
      <c r="M147" s="2">
        <v>101.95740000000001</v>
      </c>
      <c r="N147" s="2">
        <v>150</v>
      </c>
      <c r="O147" s="2">
        <v>101.91549999999999</v>
      </c>
      <c r="P147" s="2">
        <v>149</v>
      </c>
      <c r="Q147" s="2">
        <v>101.8039</v>
      </c>
      <c r="R147" s="2">
        <v>192</v>
      </c>
      <c r="S147" s="2">
        <v>100.41459999999999</v>
      </c>
      <c r="T147" s="2">
        <v>148</v>
      </c>
      <c r="U147" s="2">
        <v>0.54255200000000003</v>
      </c>
      <c r="V147" s="2">
        <v>146</v>
      </c>
      <c r="W147" s="2">
        <v>2003</v>
      </c>
    </row>
    <row r="148" spans="1:23" ht="12.3" x14ac:dyDescent="0.4">
      <c r="A148" s="2" t="s">
        <v>125</v>
      </c>
      <c r="B148" s="2"/>
      <c r="C148" s="2"/>
      <c r="D148" s="2"/>
      <c r="E148" s="2"/>
      <c r="F148" s="2"/>
      <c r="G148" s="2"/>
      <c r="H148" s="2"/>
      <c r="I148" s="2">
        <v>67.5261</v>
      </c>
      <c r="J148" s="2">
        <v>216</v>
      </c>
      <c r="K148" s="2">
        <v>67.293800000000005</v>
      </c>
      <c r="L148" s="2">
        <v>218</v>
      </c>
      <c r="M148" s="2">
        <v>101.0681</v>
      </c>
      <c r="N148" s="2">
        <v>169</v>
      </c>
      <c r="O148" s="2">
        <v>101.6474</v>
      </c>
      <c r="P148" s="2">
        <v>155</v>
      </c>
      <c r="Q148" s="2">
        <v>99.401499999999999</v>
      </c>
      <c r="R148" s="2">
        <v>131</v>
      </c>
      <c r="S148" s="2">
        <v>100.2064</v>
      </c>
      <c r="T148" s="2">
        <v>142</v>
      </c>
      <c r="U148" s="2">
        <v>0.54095800000000005</v>
      </c>
      <c r="V148" s="2">
        <v>147</v>
      </c>
      <c r="W148" s="2">
        <v>2003</v>
      </c>
    </row>
    <row r="149" spans="1:23" ht="12.3" x14ac:dyDescent="0.4">
      <c r="A149" s="2" t="s">
        <v>262</v>
      </c>
      <c r="B149" s="2"/>
      <c r="C149" s="2"/>
      <c r="D149" s="2"/>
      <c r="E149" s="2"/>
      <c r="F149" s="2"/>
      <c r="G149" s="2"/>
      <c r="H149" s="2"/>
      <c r="I149" s="2">
        <v>67.690899999999999</v>
      </c>
      <c r="J149" s="2">
        <v>205</v>
      </c>
      <c r="K149" s="2">
        <v>66.941800000000001</v>
      </c>
      <c r="L149" s="2">
        <v>237</v>
      </c>
      <c r="M149" s="2">
        <v>97.753200000000007</v>
      </c>
      <c r="N149" s="2">
        <v>235</v>
      </c>
      <c r="O149" s="2">
        <v>96.748999999999995</v>
      </c>
      <c r="P149" s="2">
        <v>250</v>
      </c>
      <c r="Q149" s="2">
        <v>96.462900000000005</v>
      </c>
      <c r="R149" s="2">
        <v>55</v>
      </c>
      <c r="S149" s="2">
        <v>95.444999999999993</v>
      </c>
      <c r="T149" s="2">
        <v>53</v>
      </c>
      <c r="U149" s="2">
        <v>0.53893599999999997</v>
      </c>
      <c r="V149" s="2">
        <v>148</v>
      </c>
      <c r="W149" s="2">
        <v>2003</v>
      </c>
    </row>
    <row r="150" spans="1:23" ht="12.3" x14ac:dyDescent="0.4">
      <c r="A150" s="2" t="s">
        <v>66</v>
      </c>
      <c r="B150" s="2"/>
      <c r="C150" s="2"/>
      <c r="D150" s="2"/>
      <c r="E150" s="2"/>
      <c r="F150" s="2"/>
      <c r="G150" s="2"/>
      <c r="H150" s="2"/>
      <c r="I150" s="2">
        <v>67.6477</v>
      </c>
      <c r="J150" s="2">
        <v>208</v>
      </c>
      <c r="K150" s="2">
        <v>67.371099999999998</v>
      </c>
      <c r="L150" s="2">
        <v>215</v>
      </c>
      <c r="M150" s="2">
        <v>100.881</v>
      </c>
      <c r="N150" s="2">
        <v>172</v>
      </c>
      <c r="O150" s="2">
        <v>99.183499999999995</v>
      </c>
      <c r="P150" s="2">
        <v>201</v>
      </c>
      <c r="Q150" s="2">
        <v>98.301400000000001</v>
      </c>
      <c r="R150" s="2">
        <v>100</v>
      </c>
      <c r="S150" s="2">
        <v>97.885900000000007</v>
      </c>
      <c r="T150" s="2">
        <v>92</v>
      </c>
      <c r="U150" s="2">
        <v>0.53778999999999999</v>
      </c>
      <c r="V150" s="2">
        <v>149</v>
      </c>
      <c r="W150" s="2">
        <v>2003</v>
      </c>
    </row>
    <row r="151" spans="1:23" ht="12.3" x14ac:dyDescent="0.4">
      <c r="A151" s="2" t="s">
        <v>79</v>
      </c>
      <c r="B151" s="2"/>
      <c r="C151" s="2"/>
      <c r="D151" s="2"/>
      <c r="E151" s="2"/>
      <c r="F151" s="2"/>
      <c r="G151" s="2"/>
      <c r="H151" s="2"/>
      <c r="I151" s="2">
        <v>71.859099999999998</v>
      </c>
      <c r="J151" s="2">
        <v>52</v>
      </c>
      <c r="K151" s="2">
        <v>72.297399999999996</v>
      </c>
      <c r="L151" s="2">
        <v>37</v>
      </c>
      <c r="M151" s="2">
        <v>107.6784</v>
      </c>
      <c r="N151" s="2">
        <v>47</v>
      </c>
      <c r="O151" s="2">
        <v>109.25579999999999</v>
      </c>
      <c r="P151" s="2">
        <v>42</v>
      </c>
      <c r="Q151" s="2">
        <v>107.9832</v>
      </c>
      <c r="R151" s="2">
        <v>296</v>
      </c>
      <c r="S151" s="2">
        <v>107.9008</v>
      </c>
      <c r="T151" s="2">
        <v>284</v>
      </c>
      <c r="U151" s="2">
        <v>0.53581699999999999</v>
      </c>
      <c r="V151" s="2">
        <v>150</v>
      </c>
      <c r="W151" s="2">
        <v>2003</v>
      </c>
    </row>
    <row r="152" spans="1:23" ht="12.3" x14ac:dyDescent="0.4">
      <c r="A152" s="2" t="s">
        <v>199</v>
      </c>
      <c r="B152" s="2">
        <v>16</v>
      </c>
      <c r="C152" s="4"/>
      <c r="D152" s="4"/>
      <c r="E152" s="4"/>
      <c r="F152" s="4"/>
      <c r="G152" s="4"/>
      <c r="H152" s="4"/>
      <c r="I152" s="2">
        <v>68.504300000000001</v>
      </c>
      <c r="J152" s="2">
        <v>166</v>
      </c>
      <c r="K152" s="2">
        <v>68.378100000000003</v>
      </c>
      <c r="L152" s="2">
        <v>170</v>
      </c>
      <c r="M152" s="2">
        <v>103.3479</v>
      </c>
      <c r="N152" s="2">
        <v>114</v>
      </c>
      <c r="O152" s="2">
        <v>101.49509999999999</v>
      </c>
      <c r="P152" s="2">
        <v>159</v>
      </c>
      <c r="Q152" s="2">
        <v>101.74890000000001</v>
      </c>
      <c r="R152" s="2">
        <v>190</v>
      </c>
      <c r="S152" s="2">
        <v>100.2497</v>
      </c>
      <c r="T152" s="2">
        <v>144</v>
      </c>
      <c r="U152" s="2">
        <v>0.53543600000000002</v>
      </c>
      <c r="V152" s="2">
        <v>151</v>
      </c>
      <c r="W152" s="2">
        <v>2003</v>
      </c>
    </row>
    <row r="153" spans="1:23" ht="12.3" x14ac:dyDescent="0.4">
      <c r="A153" s="2" t="s">
        <v>136</v>
      </c>
      <c r="B153" s="2"/>
      <c r="C153" s="2"/>
      <c r="D153" s="2"/>
      <c r="E153" s="2"/>
      <c r="F153" s="2"/>
      <c r="G153" s="2"/>
      <c r="H153" s="2"/>
      <c r="I153" s="2">
        <v>68.740200000000002</v>
      </c>
      <c r="J153" s="2">
        <v>155</v>
      </c>
      <c r="K153" s="2">
        <v>68.632300000000001</v>
      </c>
      <c r="L153" s="2">
        <v>155</v>
      </c>
      <c r="M153" s="2">
        <v>91.576300000000003</v>
      </c>
      <c r="N153" s="2">
        <v>306</v>
      </c>
      <c r="O153" s="2">
        <v>95.315100000000001</v>
      </c>
      <c r="P153" s="2">
        <v>265</v>
      </c>
      <c r="Q153" s="2">
        <v>98.970299999999995</v>
      </c>
      <c r="R153" s="2">
        <v>118</v>
      </c>
      <c r="S153" s="2">
        <v>94.447900000000004</v>
      </c>
      <c r="T153" s="2">
        <v>41</v>
      </c>
      <c r="U153" s="2">
        <v>0.52625200000000005</v>
      </c>
      <c r="V153" s="2">
        <v>152</v>
      </c>
      <c r="W153" s="2">
        <v>2003</v>
      </c>
    </row>
    <row r="154" spans="1:23" ht="12.3" x14ac:dyDescent="0.4">
      <c r="A154" s="2" t="s">
        <v>151</v>
      </c>
      <c r="B154" s="2"/>
      <c r="C154" s="2"/>
      <c r="D154" s="2"/>
      <c r="E154" s="2"/>
      <c r="F154" s="2"/>
      <c r="G154" s="2"/>
      <c r="H154" s="2"/>
      <c r="I154" s="2">
        <v>66.253100000000003</v>
      </c>
      <c r="J154" s="2">
        <v>260</v>
      </c>
      <c r="K154" s="2">
        <v>66.388199999999998</v>
      </c>
      <c r="L154" s="2">
        <v>261</v>
      </c>
      <c r="M154" s="2">
        <v>102.85120000000001</v>
      </c>
      <c r="N154" s="2">
        <v>127</v>
      </c>
      <c r="O154" s="2">
        <v>104.7774</v>
      </c>
      <c r="P154" s="2">
        <v>97</v>
      </c>
      <c r="Q154" s="2">
        <v>107.8215</v>
      </c>
      <c r="R154" s="2">
        <v>291</v>
      </c>
      <c r="S154" s="2">
        <v>104.075</v>
      </c>
      <c r="T154" s="2">
        <v>223</v>
      </c>
      <c r="U154" s="2">
        <v>0.51932800000000001</v>
      </c>
      <c r="V154" s="2">
        <v>153</v>
      </c>
      <c r="W154" s="2">
        <v>2003</v>
      </c>
    </row>
    <row r="155" spans="1:23" ht="12.3" x14ac:dyDescent="0.4">
      <c r="A155" s="2" t="s">
        <v>108</v>
      </c>
      <c r="B155" s="2">
        <v>15</v>
      </c>
      <c r="C155" s="4"/>
      <c r="D155" s="4"/>
      <c r="E155" s="4"/>
      <c r="F155" s="4"/>
      <c r="G155" s="4"/>
      <c r="H155" s="4"/>
      <c r="I155" s="2">
        <v>77.671999999999997</v>
      </c>
      <c r="J155" s="2">
        <v>2</v>
      </c>
      <c r="K155" s="2">
        <v>76.266099999999994</v>
      </c>
      <c r="L155" s="2">
        <v>3</v>
      </c>
      <c r="M155" s="2">
        <v>102.1313</v>
      </c>
      <c r="N155" s="2">
        <v>148</v>
      </c>
      <c r="O155" s="2">
        <v>100.2287</v>
      </c>
      <c r="P155" s="2">
        <v>185</v>
      </c>
      <c r="Q155" s="2">
        <v>99.243099999999998</v>
      </c>
      <c r="R155" s="2">
        <v>126</v>
      </c>
      <c r="S155" s="2">
        <v>99.614199999999997</v>
      </c>
      <c r="T155" s="2">
        <v>129</v>
      </c>
      <c r="U155" s="2">
        <v>0.51767399999999997</v>
      </c>
      <c r="V155" s="2">
        <v>154</v>
      </c>
      <c r="W155" s="2">
        <v>2003</v>
      </c>
    </row>
    <row r="156" spans="1:23" ht="12.3" x14ac:dyDescent="0.4">
      <c r="A156" s="2" t="s">
        <v>134</v>
      </c>
      <c r="B156" s="2"/>
      <c r="C156" s="2"/>
      <c r="D156" s="2"/>
      <c r="E156" s="2"/>
      <c r="F156" s="2"/>
      <c r="G156" s="2"/>
      <c r="H156" s="2"/>
      <c r="I156" s="2">
        <v>74.139799999999994</v>
      </c>
      <c r="J156" s="2">
        <v>17</v>
      </c>
      <c r="K156" s="2">
        <v>71.863</v>
      </c>
      <c r="L156" s="2">
        <v>47</v>
      </c>
      <c r="M156" s="2">
        <v>102.7786</v>
      </c>
      <c r="N156" s="2">
        <v>128</v>
      </c>
      <c r="O156" s="2">
        <v>102.05070000000001</v>
      </c>
      <c r="P156" s="2">
        <v>145</v>
      </c>
      <c r="Q156" s="2">
        <v>98.994500000000002</v>
      </c>
      <c r="R156" s="2">
        <v>120</v>
      </c>
      <c r="S156" s="2">
        <v>101.4312</v>
      </c>
      <c r="T156" s="2">
        <v>168</v>
      </c>
      <c r="U156" s="2">
        <v>0.51749699999999998</v>
      </c>
      <c r="V156" s="2">
        <v>155</v>
      </c>
      <c r="W156" s="2">
        <v>2003</v>
      </c>
    </row>
    <row r="157" spans="1:23" ht="12.3" x14ac:dyDescent="0.4">
      <c r="A157" s="2" t="s">
        <v>241</v>
      </c>
      <c r="B157" s="2"/>
      <c r="C157" s="2"/>
      <c r="D157" s="2"/>
      <c r="E157" s="2"/>
      <c r="F157" s="2"/>
      <c r="G157" s="2"/>
      <c r="H157" s="2"/>
      <c r="I157" s="2">
        <v>71.159499999999994</v>
      </c>
      <c r="J157" s="2">
        <v>71</v>
      </c>
      <c r="K157" s="2">
        <v>70.6815</v>
      </c>
      <c r="L157" s="2">
        <v>79</v>
      </c>
      <c r="M157" s="2">
        <v>104.2632</v>
      </c>
      <c r="N157" s="2">
        <v>92</v>
      </c>
      <c r="O157" s="2">
        <v>100.7777</v>
      </c>
      <c r="P157" s="2">
        <v>176</v>
      </c>
      <c r="Q157" s="2">
        <v>99.218999999999994</v>
      </c>
      <c r="R157" s="2">
        <v>125</v>
      </c>
      <c r="S157" s="2">
        <v>100.2334</v>
      </c>
      <c r="T157" s="2">
        <v>143</v>
      </c>
      <c r="U157" s="2">
        <v>0.51556500000000005</v>
      </c>
      <c r="V157" s="2">
        <v>156</v>
      </c>
      <c r="W157" s="2">
        <v>2003</v>
      </c>
    </row>
    <row r="158" spans="1:23" ht="12.3" x14ac:dyDescent="0.4">
      <c r="A158" s="2" t="s">
        <v>160</v>
      </c>
      <c r="B158" s="2"/>
      <c r="C158" s="2"/>
      <c r="D158" s="2"/>
      <c r="E158" s="2"/>
      <c r="F158" s="2"/>
      <c r="G158" s="2"/>
      <c r="H158" s="2"/>
      <c r="I158" s="2">
        <v>68.651200000000003</v>
      </c>
      <c r="J158" s="2">
        <v>158</v>
      </c>
      <c r="K158" s="2">
        <v>70.674400000000006</v>
      </c>
      <c r="L158" s="2">
        <v>80</v>
      </c>
      <c r="M158" s="2">
        <v>98.544200000000004</v>
      </c>
      <c r="N158" s="2">
        <v>218</v>
      </c>
      <c r="O158" s="2">
        <v>98.494600000000005</v>
      </c>
      <c r="P158" s="2">
        <v>213</v>
      </c>
      <c r="Q158" s="2">
        <v>96.808599999999998</v>
      </c>
      <c r="R158" s="2">
        <v>62</v>
      </c>
      <c r="S158" s="2">
        <v>98.007599999999996</v>
      </c>
      <c r="T158" s="2">
        <v>94</v>
      </c>
      <c r="U158" s="2">
        <v>0.51424800000000004</v>
      </c>
      <c r="V158" s="2">
        <v>157</v>
      </c>
      <c r="W158" s="2">
        <v>2003</v>
      </c>
    </row>
    <row r="159" spans="1:23" ht="12.3" x14ac:dyDescent="0.4">
      <c r="A159" s="2" t="s">
        <v>201</v>
      </c>
      <c r="B159" s="2"/>
      <c r="C159" s="2"/>
      <c r="D159" s="2"/>
      <c r="E159" s="2"/>
      <c r="F159" s="2"/>
      <c r="G159" s="2"/>
      <c r="H159" s="2"/>
      <c r="I159" s="2">
        <v>69.976200000000006</v>
      </c>
      <c r="J159" s="2">
        <v>110</v>
      </c>
      <c r="K159" s="2">
        <v>68.858800000000002</v>
      </c>
      <c r="L159" s="2">
        <v>146</v>
      </c>
      <c r="M159" s="2">
        <v>112.1469</v>
      </c>
      <c r="N159" s="2">
        <v>7</v>
      </c>
      <c r="O159" s="2">
        <v>108.94289999999999</v>
      </c>
      <c r="P159" s="2">
        <v>45</v>
      </c>
      <c r="Q159" s="2">
        <v>106.4692</v>
      </c>
      <c r="R159" s="2">
        <v>273</v>
      </c>
      <c r="S159" s="2">
        <v>108.67400000000001</v>
      </c>
      <c r="T159" s="2">
        <v>293</v>
      </c>
      <c r="U159" s="2">
        <v>0.50710500000000003</v>
      </c>
      <c r="V159" s="2">
        <v>158</v>
      </c>
      <c r="W159" s="2">
        <v>2003</v>
      </c>
    </row>
    <row r="160" spans="1:23" ht="12.3" x14ac:dyDescent="0.4">
      <c r="A160" s="2" t="s">
        <v>172</v>
      </c>
      <c r="B160" s="2"/>
      <c r="C160" s="2"/>
      <c r="D160" s="2"/>
      <c r="E160" s="2"/>
      <c r="F160" s="2"/>
      <c r="G160" s="2"/>
      <c r="H160" s="2"/>
      <c r="I160" s="2">
        <v>66.411900000000003</v>
      </c>
      <c r="J160" s="2">
        <v>252</v>
      </c>
      <c r="K160" s="2">
        <v>68.142099999999999</v>
      </c>
      <c r="L160" s="2">
        <v>179</v>
      </c>
      <c r="M160" s="2">
        <v>106.55370000000001</v>
      </c>
      <c r="N160" s="2">
        <v>58</v>
      </c>
      <c r="O160" s="2">
        <v>106.27849999999999</v>
      </c>
      <c r="P160" s="2">
        <v>76</v>
      </c>
      <c r="Q160" s="2">
        <v>105.1551</v>
      </c>
      <c r="R160" s="2">
        <v>255</v>
      </c>
      <c r="S160" s="2">
        <v>106.04600000000001</v>
      </c>
      <c r="T160" s="2">
        <v>261</v>
      </c>
      <c r="U160" s="2">
        <v>0.506297</v>
      </c>
      <c r="V160" s="2">
        <v>159</v>
      </c>
      <c r="W160" s="2">
        <v>2003</v>
      </c>
    </row>
    <row r="161" spans="1:23" ht="12.3" x14ac:dyDescent="0.4">
      <c r="A161" s="2" t="s">
        <v>190</v>
      </c>
      <c r="B161" s="2"/>
      <c r="C161" s="2"/>
      <c r="D161" s="2"/>
      <c r="E161" s="2"/>
      <c r="F161" s="2"/>
      <c r="G161" s="2"/>
      <c r="H161" s="2"/>
      <c r="I161" s="2">
        <v>67.383700000000005</v>
      </c>
      <c r="J161" s="2">
        <v>221</v>
      </c>
      <c r="K161" s="2">
        <v>68.006100000000004</v>
      </c>
      <c r="L161" s="2">
        <v>183</v>
      </c>
      <c r="M161" s="2">
        <v>98.403199999999998</v>
      </c>
      <c r="N161" s="2">
        <v>220</v>
      </c>
      <c r="O161" s="2">
        <v>98.383499999999998</v>
      </c>
      <c r="P161" s="2">
        <v>217</v>
      </c>
      <c r="Q161" s="2">
        <v>95.411600000000007</v>
      </c>
      <c r="R161" s="2">
        <v>38</v>
      </c>
      <c r="S161" s="2">
        <v>98.176900000000003</v>
      </c>
      <c r="T161" s="2">
        <v>97</v>
      </c>
      <c r="U161" s="2">
        <v>0.50604400000000005</v>
      </c>
      <c r="V161" s="2">
        <v>160</v>
      </c>
      <c r="W161" s="2">
        <v>2003</v>
      </c>
    </row>
    <row r="162" spans="1:23" ht="12.3" x14ac:dyDescent="0.4">
      <c r="A162" s="2" t="s">
        <v>169</v>
      </c>
      <c r="B162" s="2"/>
      <c r="C162" s="2"/>
      <c r="D162" s="2"/>
      <c r="E162" s="2"/>
      <c r="F162" s="2"/>
      <c r="G162" s="2"/>
      <c r="H162" s="2"/>
      <c r="I162" s="2">
        <v>68.9084</v>
      </c>
      <c r="J162" s="2">
        <v>147</v>
      </c>
      <c r="K162" s="2">
        <v>68.514600000000002</v>
      </c>
      <c r="L162" s="2">
        <v>160</v>
      </c>
      <c r="M162" s="2">
        <v>98.996300000000005</v>
      </c>
      <c r="N162" s="2">
        <v>208</v>
      </c>
      <c r="O162" s="2">
        <v>101.289</v>
      </c>
      <c r="P162" s="2">
        <v>163</v>
      </c>
      <c r="Q162" s="2">
        <v>103.6414</v>
      </c>
      <c r="R162" s="2">
        <v>229</v>
      </c>
      <c r="S162" s="2">
        <v>101.0986</v>
      </c>
      <c r="T162" s="2">
        <v>165</v>
      </c>
      <c r="U162" s="2">
        <v>0.505409</v>
      </c>
      <c r="V162" s="2">
        <v>161</v>
      </c>
      <c r="W162" s="2">
        <v>2003</v>
      </c>
    </row>
    <row r="163" spans="1:23" ht="12.3" x14ac:dyDescent="0.4">
      <c r="A163" s="2" t="s">
        <v>175</v>
      </c>
      <c r="B163" s="2"/>
      <c r="C163" s="2"/>
      <c r="D163" s="2"/>
      <c r="E163" s="2"/>
      <c r="F163" s="2"/>
      <c r="G163" s="2"/>
      <c r="H163" s="2"/>
      <c r="I163" s="2">
        <v>69.436300000000003</v>
      </c>
      <c r="J163" s="2">
        <v>134</v>
      </c>
      <c r="K163" s="2">
        <v>68.670100000000005</v>
      </c>
      <c r="L163" s="2">
        <v>154</v>
      </c>
      <c r="M163" s="2">
        <v>94.823800000000006</v>
      </c>
      <c r="N163" s="2">
        <v>272</v>
      </c>
      <c r="O163" s="2">
        <v>98.054000000000002</v>
      </c>
      <c r="P163" s="2">
        <v>224</v>
      </c>
      <c r="Q163" s="2">
        <v>99.908199999999994</v>
      </c>
      <c r="R163" s="2">
        <v>143</v>
      </c>
      <c r="S163" s="2">
        <v>97.872399999999999</v>
      </c>
      <c r="T163" s="2">
        <v>91</v>
      </c>
      <c r="U163" s="2">
        <v>0.50532999999999995</v>
      </c>
      <c r="V163" s="2">
        <v>162</v>
      </c>
      <c r="W163" s="2">
        <v>2003</v>
      </c>
    </row>
    <row r="164" spans="1:23" ht="12.3" x14ac:dyDescent="0.4">
      <c r="A164" s="2" t="s">
        <v>287</v>
      </c>
      <c r="B164" s="2"/>
      <c r="C164" s="2"/>
      <c r="D164" s="2"/>
      <c r="E164" s="2"/>
      <c r="F164" s="2"/>
      <c r="G164" s="2"/>
      <c r="H164" s="2"/>
      <c r="I164" s="2">
        <v>67.748400000000004</v>
      </c>
      <c r="J164" s="2">
        <v>203</v>
      </c>
      <c r="K164" s="2">
        <v>66.873000000000005</v>
      </c>
      <c r="L164" s="2">
        <v>241</v>
      </c>
      <c r="M164" s="2">
        <v>103.3623</v>
      </c>
      <c r="N164" s="2">
        <v>112</v>
      </c>
      <c r="O164" s="2">
        <v>103.35169999999999</v>
      </c>
      <c r="P164" s="2">
        <v>123</v>
      </c>
      <c r="Q164" s="2">
        <v>105.2239</v>
      </c>
      <c r="R164" s="2">
        <v>257</v>
      </c>
      <c r="S164" s="2">
        <v>103.2877</v>
      </c>
      <c r="T164" s="2">
        <v>207</v>
      </c>
      <c r="U164" s="2">
        <v>0.50178299999999998</v>
      </c>
      <c r="V164" s="2">
        <v>163</v>
      </c>
      <c r="W164" s="2">
        <v>2003</v>
      </c>
    </row>
    <row r="165" spans="1:23" ht="12.3" x14ac:dyDescent="0.4">
      <c r="A165" s="2" t="s">
        <v>194</v>
      </c>
      <c r="B165" s="2"/>
      <c r="C165" s="2"/>
      <c r="D165" s="2"/>
      <c r="E165" s="2"/>
      <c r="F165" s="2"/>
      <c r="G165" s="2"/>
      <c r="H165" s="2"/>
      <c r="I165" s="2">
        <v>68.453199999999995</v>
      </c>
      <c r="J165" s="2">
        <v>170</v>
      </c>
      <c r="K165" s="2">
        <v>67.800600000000003</v>
      </c>
      <c r="L165" s="2">
        <v>194</v>
      </c>
      <c r="M165" s="2">
        <v>107.66070000000001</v>
      </c>
      <c r="N165" s="2">
        <v>48</v>
      </c>
      <c r="O165" s="2">
        <v>109.3558</v>
      </c>
      <c r="P165" s="2">
        <v>40</v>
      </c>
      <c r="Q165" s="2">
        <v>107.92230000000001</v>
      </c>
      <c r="R165" s="2">
        <v>294</v>
      </c>
      <c r="S165" s="2">
        <v>109.4722</v>
      </c>
      <c r="T165" s="2">
        <v>296</v>
      </c>
      <c r="U165" s="2">
        <v>0.49694100000000002</v>
      </c>
      <c r="V165" s="2">
        <v>164</v>
      </c>
      <c r="W165" s="2">
        <v>2003</v>
      </c>
    </row>
    <row r="166" spans="1:23" ht="12.3" x14ac:dyDescent="0.4">
      <c r="A166" s="2" t="s">
        <v>124</v>
      </c>
      <c r="B166" s="2"/>
      <c r="C166" s="2"/>
      <c r="D166" s="2"/>
      <c r="E166" s="2"/>
      <c r="F166" s="2"/>
      <c r="G166" s="2"/>
      <c r="H166" s="2"/>
      <c r="I166" s="2">
        <v>61.682000000000002</v>
      </c>
      <c r="J166" s="2">
        <v>314</v>
      </c>
      <c r="K166" s="2">
        <v>62.520899999999997</v>
      </c>
      <c r="L166" s="2">
        <v>315</v>
      </c>
      <c r="M166" s="2">
        <v>100.7069</v>
      </c>
      <c r="N166" s="2">
        <v>178</v>
      </c>
      <c r="O166" s="2">
        <v>103.2315</v>
      </c>
      <c r="P166" s="2">
        <v>126</v>
      </c>
      <c r="Q166" s="2">
        <v>105.8995</v>
      </c>
      <c r="R166" s="2">
        <v>262</v>
      </c>
      <c r="S166" s="2">
        <v>103.3664</v>
      </c>
      <c r="T166" s="2">
        <v>210</v>
      </c>
      <c r="U166" s="2">
        <v>0.49624499999999999</v>
      </c>
      <c r="V166" s="2">
        <v>165</v>
      </c>
      <c r="W166" s="2">
        <v>2003</v>
      </c>
    </row>
    <row r="167" spans="1:23" ht="12.3" x14ac:dyDescent="0.4">
      <c r="A167" s="2" t="s">
        <v>204</v>
      </c>
      <c r="B167" s="2"/>
      <c r="C167" s="2"/>
      <c r="D167" s="2"/>
      <c r="E167" s="2"/>
      <c r="F167" s="2"/>
      <c r="G167" s="2"/>
      <c r="H167" s="2"/>
      <c r="I167" s="2">
        <v>54.965200000000003</v>
      </c>
      <c r="J167" s="2">
        <v>327</v>
      </c>
      <c r="K167" s="2">
        <v>54.721200000000003</v>
      </c>
      <c r="L167" s="2">
        <v>327</v>
      </c>
      <c r="M167" s="2">
        <v>104.1151</v>
      </c>
      <c r="N167" s="2">
        <v>93</v>
      </c>
      <c r="O167" s="2">
        <v>103.1768</v>
      </c>
      <c r="P167" s="2">
        <v>127</v>
      </c>
      <c r="Q167" s="2">
        <v>103.93300000000001</v>
      </c>
      <c r="R167" s="2">
        <v>230</v>
      </c>
      <c r="S167" s="2">
        <v>103.3172</v>
      </c>
      <c r="T167" s="2">
        <v>208</v>
      </c>
      <c r="U167" s="2">
        <v>0.49608999999999998</v>
      </c>
      <c r="V167" s="2">
        <v>166</v>
      </c>
      <c r="W167" s="2">
        <v>2003</v>
      </c>
    </row>
    <row r="168" spans="1:23" ht="12.3" x14ac:dyDescent="0.4">
      <c r="A168" s="2" t="s">
        <v>138</v>
      </c>
      <c r="B168" s="2"/>
      <c r="C168" s="2"/>
      <c r="D168" s="2"/>
      <c r="E168" s="2"/>
      <c r="F168" s="2"/>
      <c r="G168" s="2"/>
      <c r="H168" s="2"/>
      <c r="I168" s="2">
        <v>69.961699999999993</v>
      </c>
      <c r="J168" s="2">
        <v>112</v>
      </c>
      <c r="K168" s="2">
        <v>69.875</v>
      </c>
      <c r="L168" s="2">
        <v>104</v>
      </c>
      <c r="M168" s="2">
        <v>108.0605</v>
      </c>
      <c r="N168" s="2">
        <v>44</v>
      </c>
      <c r="O168" s="2">
        <v>102.5197</v>
      </c>
      <c r="P168" s="2">
        <v>135</v>
      </c>
      <c r="Q168" s="2">
        <v>99.689300000000003</v>
      </c>
      <c r="R168" s="2">
        <v>136</v>
      </c>
      <c r="S168" s="2">
        <v>102.6952</v>
      </c>
      <c r="T168" s="2">
        <v>196</v>
      </c>
      <c r="U168" s="2">
        <v>0.49508200000000002</v>
      </c>
      <c r="V168" s="2">
        <v>167</v>
      </c>
      <c r="W168" s="2">
        <v>2003</v>
      </c>
    </row>
    <row r="169" spans="1:23" ht="12.3" x14ac:dyDescent="0.4">
      <c r="A169" s="2" t="s">
        <v>318</v>
      </c>
      <c r="B169" s="2"/>
      <c r="C169" s="2"/>
      <c r="D169" s="2"/>
      <c r="E169" s="2"/>
      <c r="F169" s="2"/>
      <c r="G169" s="2"/>
      <c r="H169" s="2"/>
      <c r="I169" s="2">
        <v>72.295500000000004</v>
      </c>
      <c r="J169" s="2">
        <v>43</v>
      </c>
      <c r="K169" s="2">
        <v>70.833299999999994</v>
      </c>
      <c r="L169" s="2">
        <v>69</v>
      </c>
      <c r="M169" s="2">
        <v>108.09520000000001</v>
      </c>
      <c r="N169" s="2">
        <v>42</v>
      </c>
      <c r="O169" s="2">
        <v>105.99039999999999</v>
      </c>
      <c r="P169" s="2">
        <v>81</v>
      </c>
      <c r="Q169" s="2">
        <v>101.3777</v>
      </c>
      <c r="R169" s="2">
        <v>180</v>
      </c>
      <c r="S169" s="2">
        <v>106.43770000000001</v>
      </c>
      <c r="T169" s="2">
        <v>269</v>
      </c>
      <c r="U169" s="2">
        <v>0.48789399999999999</v>
      </c>
      <c r="V169" s="2">
        <v>168</v>
      </c>
      <c r="W169" s="2">
        <v>2003</v>
      </c>
    </row>
    <row r="170" spans="1:23" ht="12.3" x14ac:dyDescent="0.4">
      <c r="A170" s="2" t="s">
        <v>256</v>
      </c>
      <c r="B170" s="2"/>
      <c r="C170" s="2"/>
      <c r="D170" s="2"/>
      <c r="E170" s="2"/>
      <c r="F170" s="2"/>
      <c r="G170" s="2"/>
      <c r="H170" s="2"/>
      <c r="I170" s="2">
        <v>68.459199999999996</v>
      </c>
      <c r="J170" s="2">
        <v>169</v>
      </c>
      <c r="K170" s="2">
        <v>68.440299999999993</v>
      </c>
      <c r="L170" s="2">
        <v>165</v>
      </c>
      <c r="M170" s="2">
        <v>110.6155</v>
      </c>
      <c r="N170" s="2">
        <v>20</v>
      </c>
      <c r="O170" s="2">
        <v>109.0671</v>
      </c>
      <c r="P170" s="2">
        <v>43</v>
      </c>
      <c r="Q170" s="2">
        <v>110.34439999999999</v>
      </c>
      <c r="R170" s="2">
        <v>316</v>
      </c>
      <c r="S170" s="2">
        <v>109.5616</v>
      </c>
      <c r="T170" s="2">
        <v>298</v>
      </c>
      <c r="U170" s="2">
        <v>0.48699599999999998</v>
      </c>
      <c r="V170" s="2">
        <v>169</v>
      </c>
      <c r="W170" s="2">
        <v>2003</v>
      </c>
    </row>
    <row r="171" spans="1:23" ht="12.3" x14ac:dyDescent="0.4">
      <c r="A171" s="2" t="s">
        <v>244</v>
      </c>
      <c r="B171" s="2"/>
      <c r="C171" s="2"/>
      <c r="D171" s="2"/>
      <c r="E171" s="2"/>
      <c r="F171" s="2"/>
      <c r="G171" s="2"/>
      <c r="H171" s="2"/>
      <c r="I171" s="2">
        <v>69.216399999999993</v>
      </c>
      <c r="J171" s="2">
        <v>142</v>
      </c>
      <c r="K171" s="2">
        <v>68.721400000000003</v>
      </c>
      <c r="L171" s="2">
        <v>152</v>
      </c>
      <c r="M171" s="2">
        <v>103.7984</v>
      </c>
      <c r="N171" s="2">
        <v>99</v>
      </c>
      <c r="O171" s="2">
        <v>101.90260000000001</v>
      </c>
      <c r="P171" s="2">
        <v>150</v>
      </c>
      <c r="Q171" s="2">
        <v>101.211</v>
      </c>
      <c r="R171" s="2">
        <v>176</v>
      </c>
      <c r="S171" s="2">
        <v>102.3661</v>
      </c>
      <c r="T171" s="2">
        <v>188</v>
      </c>
      <c r="U171" s="2">
        <v>0.486954</v>
      </c>
      <c r="V171" s="2">
        <v>170</v>
      </c>
      <c r="W171" s="2">
        <v>2003</v>
      </c>
    </row>
    <row r="172" spans="1:23" ht="12.3" x14ac:dyDescent="0.4">
      <c r="A172" s="2" t="s">
        <v>101</v>
      </c>
      <c r="B172" s="2"/>
      <c r="C172" s="2"/>
      <c r="D172" s="2"/>
      <c r="E172" s="2"/>
      <c r="F172" s="2"/>
      <c r="G172" s="2"/>
      <c r="H172" s="2"/>
      <c r="I172" s="2">
        <v>70.349299999999999</v>
      </c>
      <c r="J172" s="2">
        <v>99</v>
      </c>
      <c r="K172" s="2">
        <v>72.060400000000001</v>
      </c>
      <c r="L172" s="2">
        <v>44</v>
      </c>
      <c r="M172" s="2">
        <v>103.47199999999999</v>
      </c>
      <c r="N172" s="2">
        <v>106</v>
      </c>
      <c r="O172" s="2">
        <v>105.6558</v>
      </c>
      <c r="P172" s="2">
        <v>85</v>
      </c>
      <c r="Q172" s="2">
        <v>107.7315</v>
      </c>
      <c r="R172" s="2">
        <v>290</v>
      </c>
      <c r="S172" s="2">
        <v>106.36969999999999</v>
      </c>
      <c r="T172" s="2">
        <v>267</v>
      </c>
      <c r="U172" s="2">
        <v>0.48064800000000002</v>
      </c>
      <c r="V172" s="2">
        <v>171</v>
      </c>
      <c r="W172" s="2">
        <v>2003</v>
      </c>
    </row>
    <row r="173" spans="1:23" ht="12.3" x14ac:dyDescent="0.4">
      <c r="A173" s="2" t="s">
        <v>189</v>
      </c>
      <c r="B173" s="2"/>
      <c r="C173" s="2"/>
      <c r="D173" s="2"/>
      <c r="E173" s="2"/>
      <c r="F173" s="2"/>
      <c r="G173" s="2"/>
      <c r="H173" s="2"/>
      <c r="I173" s="2">
        <v>68.749399999999994</v>
      </c>
      <c r="J173" s="2">
        <v>153</v>
      </c>
      <c r="K173" s="2">
        <v>70.802599999999998</v>
      </c>
      <c r="L173" s="2">
        <v>72</v>
      </c>
      <c r="M173" s="2">
        <v>97.349500000000006</v>
      </c>
      <c r="N173" s="2">
        <v>241</v>
      </c>
      <c r="O173" s="2">
        <v>96.757900000000006</v>
      </c>
      <c r="P173" s="2">
        <v>248</v>
      </c>
      <c r="Q173" s="2">
        <v>98.335700000000003</v>
      </c>
      <c r="R173" s="2">
        <v>102</v>
      </c>
      <c r="S173" s="2">
        <v>97.667599999999993</v>
      </c>
      <c r="T173" s="2">
        <v>87</v>
      </c>
      <c r="U173" s="2">
        <v>0.47312199999999999</v>
      </c>
      <c r="V173" s="2">
        <v>172</v>
      </c>
      <c r="W173" s="2">
        <v>2003</v>
      </c>
    </row>
    <row r="174" spans="1:23" ht="12.3" x14ac:dyDescent="0.4">
      <c r="A174" s="2" t="s">
        <v>197</v>
      </c>
      <c r="B174" s="2"/>
      <c r="C174" s="2"/>
      <c r="D174" s="2"/>
      <c r="E174" s="2"/>
      <c r="F174" s="2"/>
      <c r="G174" s="2"/>
      <c r="H174" s="2"/>
      <c r="I174" s="2">
        <v>68.187399999999997</v>
      </c>
      <c r="J174" s="2">
        <v>181</v>
      </c>
      <c r="K174" s="2">
        <v>68.502899999999997</v>
      </c>
      <c r="L174" s="2">
        <v>162</v>
      </c>
      <c r="M174" s="2">
        <v>103.5813</v>
      </c>
      <c r="N174" s="2">
        <v>103</v>
      </c>
      <c r="O174" s="2">
        <v>100.6045</v>
      </c>
      <c r="P174" s="2">
        <v>179</v>
      </c>
      <c r="Q174" s="2">
        <v>104.0033</v>
      </c>
      <c r="R174" s="2">
        <v>232</v>
      </c>
      <c r="S174" s="2">
        <v>101.61069999999999</v>
      </c>
      <c r="T174" s="2">
        <v>174</v>
      </c>
      <c r="U174" s="2">
        <v>0.47142000000000001</v>
      </c>
      <c r="V174" s="2">
        <v>173</v>
      </c>
      <c r="W174" s="2">
        <v>2003</v>
      </c>
    </row>
    <row r="175" spans="1:23" ht="12.3" x14ac:dyDescent="0.4">
      <c r="A175" s="2" t="s">
        <v>215</v>
      </c>
      <c r="B175" s="2">
        <v>15</v>
      </c>
      <c r="C175" s="4"/>
      <c r="D175" s="4"/>
      <c r="E175" s="4"/>
      <c r="F175" s="4"/>
      <c r="G175" s="4"/>
      <c r="H175" s="4"/>
      <c r="I175" s="2">
        <v>70.001199999999997</v>
      </c>
      <c r="J175" s="2">
        <v>109</v>
      </c>
      <c r="K175" s="2">
        <v>68.168000000000006</v>
      </c>
      <c r="L175" s="2">
        <v>176</v>
      </c>
      <c r="M175" s="2">
        <v>108.261</v>
      </c>
      <c r="N175" s="2">
        <v>41</v>
      </c>
      <c r="O175" s="2">
        <v>103.87779999999999</v>
      </c>
      <c r="P175" s="2">
        <v>112</v>
      </c>
      <c r="Q175" s="2">
        <v>101.7873</v>
      </c>
      <c r="R175" s="2">
        <v>191</v>
      </c>
      <c r="S175" s="2">
        <v>104.9877</v>
      </c>
      <c r="T175" s="2">
        <v>238</v>
      </c>
      <c r="U175" s="2">
        <v>0.46948299999999998</v>
      </c>
      <c r="V175" s="2">
        <v>174</v>
      </c>
      <c r="W175" s="2">
        <v>2003</v>
      </c>
    </row>
    <row r="176" spans="1:23" ht="12.3" x14ac:dyDescent="0.4">
      <c r="A176" s="2" t="s">
        <v>142</v>
      </c>
      <c r="B176" s="2"/>
      <c r="C176" s="2"/>
      <c r="D176" s="2"/>
      <c r="E176" s="2"/>
      <c r="F176" s="2"/>
      <c r="G176" s="2"/>
      <c r="H176" s="2"/>
      <c r="I176" s="2">
        <v>74.310500000000005</v>
      </c>
      <c r="J176" s="2">
        <v>15</v>
      </c>
      <c r="K176" s="2">
        <v>72.597499999999997</v>
      </c>
      <c r="L176" s="2">
        <v>31</v>
      </c>
      <c r="M176" s="2">
        <v>101.72150000000001</v>
      </c>
      <c r="N176" s="2">
        <v>154</v>
      </c>
      <c r="O176" s="2">
        <v>104.7062</v>
      </c>
      <c r="P176" s="2">
        <v>99</v>
      </c>
      <c r="Q176" s="2">
        <v>107.3075</v>
      </c>
      <c r="R176" s="2">
        <v>284</v>
      </c>
      <c r="S176" s="2">
        <v>105.8603</v>
      </c>
      <c r="T176" s="2">
        <v>255</v>
      </c>
      <c r="U176" s="2">
        <v>0.46852700000000003</v>
      </c>
      <c r="V176" s="2">
        <v>175</v>
      </c>
      <c r="W176" s="2">
        <v>2003</v>
      </c>
    </row>
    <row r="177" spans="1:23" ht="12.3" x14ac:dyDescent="0.4">
      <c r="A177" s="2" t="s">
        <v>174</v>
      </c>
      <c r="B177" s="2"/>
      <c r="C177" s="2"/>
      <c r="D177" s="2"/>
      <c r="E177" s="2"/>
      <c r="F177" s="2"/>
      <c r="G177" s="2"/>
      <c r="H177" s="2"/>
      <c r="I177" s="2">
        <v>69.923500000000004</v>
      </c>
      <c r="J177" s="2">
        <v>114</v>
      </c>
      <c r="K177" s="2">
        <v>70.495599999999996</v>
      </c>
      <c r="L177" s="2">
        <v>85</v>
      </c>
      <c r="M177" s="2">
        <v>97.419799999999995</v>
      </c>
      <c r="N177" s="2">
        <v>239</v>
      </c>
      <c r="O177" s="2">
        <v>98.473500000000001</v>
      </c>
      <c r="P177" s="2">
        <v>214</v>
      </c>
      <c r="Q177" s="2">
        <v>96.9101</v>
      </c>
      <c r="R177" s="2">
        <v>65</v>
      </c>
      <c r="S177" s="2">
        <v>99.563100000000006</v>
      </c>
      <c r="T177" s="2">
        <v>128</v>
      </c>
      <c r="U177" s="2">
        <v>0.46840399999999999</v>
      </c>
      <c r="V177" s="2">
        <v>176</v>
      </c>
      <c r="W177" s="2">
        <v>2003</v>
      </c>
    </row>
    <row r="178" spans="1:23" ht="12.3" x14ac:dyDescent="0.4">
      <c r="A178" s="2" t="s">
        <v>206</v>
      </c>
      <c r="B178" s="2"/>
      <c r="C178" s="2"/>
      <c r="D178" s="2"/>
      <c r="E178" s="2"/>
      <c r="F178" s="2"/>
      <c r="G178" s="2"/>
      <c r="H178" s="2"/>
      <c r="I178" s="2">
        <v>65.611999999999995</v>
      </c>
      <c r="J178" s="2">
        <v>273</v>
      </c>
      <c r="K178" s="2">
        <v>66.389700000000005</v>
      </c>
      <c r="L178" s="2">
        <v>260</v>
      </c>
      <c r="M178" s="2">
        <v>95.528000000000006</v>
      </c>
      <c r="N178" s="2">
        <v>265</v>
      </c>
      <c r="O178" s="2">
        <v>97.427599999999998</v>
      </c>
      <c r="P178" s="2">
        <v>234</v>
      </c>
      <c r="Q178" s="2">
        <v>100.69450000000001</v>
      </c>
      <c r="R178" s="2">
        <v>161</v>
      </c>
      <c r="S178" s="2">
        <v>98.517200000000003</v>
      </c>
      <c r="T178" s="2">
        <v>105</v>
      </c>
      <c r="U178" s="2">
        <v>0.46806799999999998</v>
      </c>
      <c r="V178" s="2">
        <v>177</v>
      </c>
      <c r="W178" s="2">
        <v>2003</v>
      </c>
    </row>
    <row r="179" spans="1:23" ht="12.3" x14ac:dyDescent="0.4">
      <c r="A179" s="2" t="s">
        <v>183</v>
      </c>
      <c r="B179" s="2"/>
      <c r="C179" s="2"/>
      <c r="D179" s="2"/>
      <c r="E179" s="2"/>
      <c r="F179" s="2"/>
      <c r="G179" s="2"/>
      <c r="H179" s="2"/>
      <c r="I179" s="2">
        <v>68.254099999999994</v>
      </c>
      <c r="J179" s="2">
        <v>180</v>
      </c>
      <c r="K179" s="2">
        <v>67.290099999999995</v>
      </c>
      <c r="L179" s="2">
        <v>219</v>
      </c>
      <c r="M179" s="2">
        <v>100.7877</v>
      </c>
      <c r="N179" s="2">
        <v>174</v>
      </c>
      <c r="O179" s="2">
        <v>100.1443</v>
      </c>
      <c r="P179" s="2">
        <v>187</v>
      </c>
      <c r="Q179" s="2">
        <v>102.0361</v>
      </c>
      <c r="R179" s="2">
        <v>198</v>
      </c>
      <c r="S179" s="2">
        <v>101.5419</v>
      </c>
      <c r="T179" s="2">
        <v>172</v>
      </c>
      <c r="U179" s="2">
        <v>0.46023799999999998</v>
      </c>
      <c r="V179" s="2">
        <v>178</v>
      </c>
      <c r="W179" s="2">
        <v>2003</v>
      </c>
    </row>
    <row r="180" spans="1:23" ht="12.3" x14ac:dyDescent="0.4">
      <c r="A180" s="2" t="s">
        <v>253</v>
      </c>
      <c r="B180" s="2"/>
      <c r="C180" s="2"/>
      <c r="D180" s="2"/>
      <c r="E180" s="2"/>
      <c r="F180" s="2"/>
      <c r="G180" s="2"/>
      <c r="H180" s="2"/>
      <c r="I180" s="2">
        <v>78.644400000000005</v>
      </c>
      <c r="J180" s="2">
        <v>1</v>
      </c>
      <c r="K180" s="2">
        <v>77.465999999999994</v>
      </c>
      <c r="L180" s="2">
        <v>1</v>
      </c>
      <c r="M180" s="2">
        <v>104.0774</v>
      </c>
      <c r="N180" s="2">
        <v>94</v>
      </c>
      <c r="O180" s="2">
        <v>102.077</v>
      </c>
      <c r="P180" s="2">
        <v>144</v>
      </c>
      <c r="Q180" s="2">
        <v>102.12869999999999</v>
      </c>
      <c r="R180" s="2">
        <v>200</v>
      </c>
      <c r="S180" s="2">
        <v>103.8515</v>
      </c>
      <c r="T180" s="2">
        <v>218</v>
      </c>
      <c r="U180" s="2">
        <v>0.45061299999999999</v>
      </c>
      <c r="V180" s="2">
        <v>179</v>
      </c>
      <c r="W180" s="2">
        <v>2003</v>
      </c>
    </row>
    <row r="181" spans="1:23" ht="12.3" x14ac:dyDescent="0.4">
      <c r="A181" s="2" t="s">
        <v>264</v>
      </c>
      <c r="B181" s="2"/>
      <c r="C181" s="2"/>
      <c r="D181" s="2"/>
      <c r="E181" s="2"/>
      <c r="F181" s="2"/>
      <c r="G181" s="2"/>
      <c r="H181" s="2"/>
      <c r="I181" s="2">
        <v>72.204800000000006</v>
      </c>
      <c r="J181" s="2">
        <v>44</v>
      </c>
      <c r="K181" s="2">
        <v>71.326599999999999</v>
      </c>
      <c r="L181" s="2">
        <v>55</v>
      </c>
      <c r="M181" s="2">
        <v>106.1358</v>
      </c>
      <c r="N181" s="2">
        <v>66</v>
      </c>
      <c r="O181" s="2">
        <v>105.12990000000001</v>
      </c>
      <c r="P181" s="2">
        <v>90</v>
      </c>
      <c r="Q181" s="2">
        <v>107.5411</v>
      </c>
      <c r="R181" s="2">
        <v>286</v>
      </c>
      <c r="S181" s="2">
        <v>107.01349999999999</v>
      </c>
      <c r="T181" s="2">
        <v>273</v>
      </c>
      <c r="U181" s="2">
        <v>0.44912000000000002</v>
      </c>
      <c r="V181" s="2">
        <v>180</v>
      </c>
      <c r="W181" s="2">
        <v>2003</v>
      </c>
    </row>
    <row r="182" spans="1:23" ht="12.3" x14ac:dyDescent="0.4">
      <c r="A182" s="2" t="s">
        <v>89</v>
      </c>
      <c r="B182" s="2"/>
      <c r="C182" s="2"/>
      <c r="D182" s="2"/>
      <c r="E182" s="2"/>
      <c r="F182" s="2"/>
      <c r="G182" s="2"/>
      <c r="H182" s="2"/>
      <c r="I182" s="2">
        <v>67.334000000000003</v>
      </c>
      <c r="J182" s="2">
        <v>225</v>
      </c>
      <c r="K182" s="2">
        <v>67.230999999999995</v>
      </c>
      <c r="L182" s="2">
        <v>224</v>
      </c>
      <c r="M182" s="2">
        <v>98.274299999999997</v>
      </c>
      <c r="N182" s="2">
        <v>223</v>
      </c>
      <c r="O182" s="2">
        <v>98.156700000000001</v>
      </c>
      <c r="P182" s="2">
        <v>222</v>
      </c>
      <c r="Q182" s="2">
        <v>104.2559</v>
      </c>
      <c r="R182" s="2">
        <v>239</v>
      </c>
      <c r="S182" s="2">
        <v>100.077</v>
      </c>
      <c r="T182" s="2">
        <v>139</v>
      </c>
      <c r="U182" s="2">
        <v>0.44452399999999997</v>
      </c>
      <c r="V182" s="2">
        <v>181</v>
      </c>
      <c r="W182" s="2">
        <v>2003</v>
      </c>
    </row>
    <row r="183" spans="1:23" ht="12.3" x14ac:dyDescent="0.4">
      <c r="A183" s="2" t="s">
        <v>126</v>
      </c>
      <c r="B183" s="2"/>
      <c r="C183" s="2"/>
      <c r="D183" s="2"/>
      <c r="E183" s="2"/>
      <c r="F183" s="2"/>
      <c r="G183" s="2"/>
      <c r="H183" s="2"/>
      <c r="I183" s="2">
        <v>66.141099999999994</v>
      </c>
      <c r="J183" s="2">
        <v>263</v>
      </c>
      <c r="K183" s="2">
        <v>67.827600000000004</v>
      </c>
      <c r="L183" s="2">
        <v>193</v>
      </c>
      <c r="M183" s="2">
        <v>98.930199999999999</v>
      </c>
      <c r="N183" s="2">
        <v>209</v>
      </c>
      <c r="O183" s="2">
        <v>98.054000000000002</v>
      </c>
      <c r="P183" s="2">
        <v>223</v>
      </c>
      <c r="Q183" s="2">
        <v>99.1965</v>
      </c>
      <c r="R183" s="2">
        <v>124</v>
      </c>
      <c r="S183" s="2">
        <v>99.975899999999996</v>
      </c>
      <c r="T183" s="2">
        <v>136</v>
      </c>
      <c r="U183" s="2">
        <v>0.44442700000000002</v>
      </c>
      <c r="V183" s="2">
        <v>182</v>
      </c>
      <c r="W183" s="2">
        <v>2003</v>
      </c>
    </row>
    <row r="184" spans="1:23" ht="12.3" x14ac:dyDescent="0.4">
      <c r="A184" s="2" t="s">
        <v>270</v>
      </c>
      <c r="B184" s="2"/>
      <c r="C184" s="2"/>
      <c r="D184" s="2"/>
      <c r="E184" s="2"/>
      <c r="F184" s="2"/>
      <c r="G184" s="2"/>
      <c r="H184" s="2"/>
      <c r="I184" s="2">
        <v>64.485600000000005</v>
      </c>
      <c r="J184" s="2">
        <v>296</v>
      </c>
      <c r="K184" s="2">
        <v>63.868000000000002</v>
      </c>
      <c r="L184" s="2">
        <v>303</v>
      </c>
      <c r="M184" s="2">
        <v>96.494500000000002</v>
      </c>
      <c r="N184" s="2">
        <v>250</v>
      </c>
      <c r="O184" s="2">
        <v>97.053100000000001</v>
      </c>
      <c r="P184" s="2">
        <v>240</v>
      </c>
      <c r="Q184" s="2">
        <v>95.852999999999994</v>
      </c>
      <c r="R184" s="2">
        <v>45</v>
      </c>
      <c r="S184" s="2">
        <v>99.097800000000007</v>
      </c>
      <c r="T184" s="2">
        <v>119</v>
      </c>
      <c r="U184" s="2">
        <v>0.44034400000000001</v>
      </c>
      <c r="V184" s="2">
        <v>183</v>
      </c>
      <c r="W184" s="2">
        <v>2003</v>
      </c>
    </row>
    <row r="185" spans="1:23" ht="12.3" x14ac:dyDescent="0.4">
      <c r="A185" s="2" t="s">
        <v>115</v>
      </c>
      <c r="B185" s="2"/>
      <c r="C185" s="2"/>
      <c r="D185" s="2"/>
      <c r="E185" s="2"/>
      <c r="F185" s="2"/>
      <c r="G185" s="2"/>
      <c r="H185" s="2"/>
      <c r="I185" s="2">
        <v>66.520899999999997</v>
      </c>
      <c r="J185" s="2">
        <v>250</v>
      </c>
      <c r="K185" s="2">
        <v>67.946899999999999</v>
      </c>
      <c r="L185" s="2">
        <v>187</v>
      </c>
      <c r="M185" s="2">
        <v>104.3198</v>
      </c>
      <c r="N185" s="2">
        <v>90</v>
      </c>
      <c r="O185" s="2">
        <v>106.0339</v>
      </c>
      <c r="P185" s="2">
        <v>79</v>
      </c>
      <c r="Q185" s="2">
        <v>110.877</v>
      </c>
      <c r="R185" s="2">
        <v>320</v>
      </c>
      <c r="S185" s="2">
        <v>108.3192</v>
      </c>
      <c r="T185" s="2">
        <v>288</v>
      </c>
      <c r="U185" s="2">
        <v>0.43899899999999997</v>
      </c>
      <c r="V185" s="2">
        <v>184</v>
      </c>
      <c r="W185" s="2">
        <v>2003</v>
      </c>
    </row>
    <row r="186" spans="1:23" ht="12.3" x14ac:dyDescent="0.4">
      <c r="A186" s="2" t="s">
        <v>292</v>
      </c>
      <c r="B186" s="2"/>
      <c r="C186" s="2"/>
      <c r="D186" s="2"/>
      <c r="E186" s="2"/>
      <c r="F186" s="2"/>
      <c r="G186" s="2"/>
      <c r="H186" s="2"/>
      <c r="I186" s="2">
        <v>67.155600000000007</v>
      </c>
      <c r="J186" s="2">
        <v>235</v>
      </c>
      <c r="K186" s="2">
        <v>69.014099999999999</v>
      </c>
      <c r="L186" s="2">
        <v>137</v>
      </c>
      <c r="M186" s="2">
        <v>103.4616</v>
      </c>
      <c r="N186" s="2">
        <v>107</v>
      </c>
      <c r="O186" s="2">
        <v>103.7675</v>
      </c>
      <c r="P186" s="2">
        <v>113</v>
      </c>
      <c r="Q186" s="2">
        <v>109.4062</v>
      </c>
      <c r="R186" s="2">
        <v>310</v>
      </c>
      <c r="S186" s="2">
        <v>106.14</v>
      </c>
      <c r="T186" s="2">
        <v>262</v>
      </c>
      <c r="U186" s="2">
        <v>0.43537100000000001</v>
      </c>
      <c r="V186" s="2">
        <v>185</v>
      </c>
      <c r="W186" s="2">
        <v>2003</v>
      </c>
    </row>
    <row r="187" spans="1:23" ht="12.3" x14ac:dyDescent="0.4">
      <c r="A187" s="2" t="s">
        <v>155</v>
      </c>
      <c r="B187" s="2"/>
      <c r="C187" s="2"/>
      <c r="D187" s="2"/>
      <c r="E187" s="2"/>
      <c r="F187" s="2"/>
      <c r="G187" s="2"/>
      <c r="H187" s="2"/>
      <c r="I187" s="2">
        <v>65.402199999999993</v>
      </c>
      <c r="J187" s="2">
        <v>280</v>
      </c>
      <c r="K187" s="2">
        <v>66.587100000000007</v>
      </c>
      <c r="L187" s="2">
        <v>254</v>
      </c>
      <c r="M187" s="2">
        <v>93.580699999999993</v>
      </c>
      <c r="N187" s="2">
        <v>287</v>
      </c>
      <c r="O187" s="2">
        <v>95.7547</v>
      </c>
      <c r="P187" s="2">
        <v>260</v>
      </c>
      <c r="Q187" s="2">
        <v>102.01560000000001</v>
      </c>
      <c r="R187" s="2">
        <v>195</v>
      </c>
      <c r="S187" s="2">
        <v>98.069699999999997</v>
      </c>
      <c r="T187" s="2">
        <v>95</v>
      </c>
      <c r="U187" s="2">
        <v>0.43175000000000002</v>
      </c>
      <c r="V187" s="2">
        <v>186</v>
      </c>
      <c r="W187" s="2">
        <v>2003</v>
      </c>
    </row>
    <row r="188" spans="1:23" ht="12.3" x14ac:dyDescent="0.4">
      <c r="A188" s="2" t="s">
        <v>212</v>
      </c>
      <c r="B188" s="2"/>
      <c r="C188" s="2"/>
      <c r="D188" s="2"/>
      <c r="E188" s="2"/>
      <c r="F188" s="2"/>
      <c r="G188" s="2"/>
      <c r="H188" s="2"/>
      <c r="I188" s="2">
        <v>68.293000000000006</v>
      </c>
      <c r="J188" s="2">
        <v>179</v>
      </c>
      <c r="K188" s="2">
        <v>68.228800000000007</v>
      </c>
      <c r="L188" s="2">
        <v>175</v>
      </c>
      <c r="M188" s="2">
        <v>94.826599999999999</v>
      </c>
      <c r="N188" s="2">
        <v>271</v>
      </c>
      <c r="O188" s="2">
        <v>94.467100000000002</v>
      </c>
      <c r="P188" s="2">
        <v>275</v>
      </c>
      <c r="Q188" s="2">
        <v>96.214299999999994</v>
      </c>
      <c r="R188" s="2">
        <v>52</v>
      </c>
      <c r="S188" s="2">
        <v>96.811099999999996</v>
      </c>
      <c r="T188" s="2">
        <v>71</v>
      </c>
      <c r="U188" s="2">
        <v>0.42999700000000002</v>
      </c>
      <c r="V188" s="2">
        <v>187</v>
      </c>
      <c r="W188" s="2">
        <v>2003</v>
      </c>
    </row>
    <row r="189" spans="1:23" ht="12.3" x14ac:dyDescent="0.4">
      <c r="A189" s="2" t="s">
        <v>216</v>
      </c>
      <c r="B189" s="2"/>
      <c r="C189" s="2"/>
      <c r="D189" s="2"/>
      <c r="E189" s="2"/>
      <c r="F189" s="2"/>
      <c r="G189" s="2"/>
      <c r="H189" s="2"/>
      <c r="I189" s="2">
        <v>64.684899999999999</v>
      </c>
      <c r="J189" s="2">
        <v>291</v>
      </c>
      <c r="K189" s="2">
        <v>65.931100000000001</v>
      </c>
      <c r="L189" s="2">
        <v>270</v>
      </c>
      <c r="M189" s="2">
        <v>100.1446</v>
      </c>
      <c r="N189" s="2">
        <v>188</v>
      </c>
      <c r="O189" s="2">
        <v>100.9294</v>
      </c>
      <c r="P189" s="2">
        <v>172</v>
      </c>
      <c r="Q189" s="2">
        <v>105.7578</v>
      </c>
      <c r="R189" s="2">
        <v>260</v>
      </c>
      <c r="S189" s="2">
        <v>103.4794</v>
      </c>
      <c r="T189" s="2">
        <v>212</v>
      </c>
      <c r="U189" s="2">
        <v>0.42875200000000002</v>
      </c>
      <c r="V189" s="2">
        <v>188</v>
      </c>
      <c r="W189" s="2">
        <v>2003</v>
      </c>
    </row>
    <row r="190" spans="1:23" ht="12.3" x14ac:dyDescent="0.4">
      <c r="A190" s="2" t="s">
        <v>294</v>
      </c>
      <c r="B190" s="2"/>
      <c r="C190" s="2"/>
      <c r="D190" s="2"/>
      <c r="E190" s="2"/>
      <c r="F190" s="2"/>
      <c r="G190" s="2"/>
      <c r="H190" s="2"/>
      <c r="I190" s="2">
        <v>70.202200000000005</v>
      </c>
      <c r="J190" s="2">
        <v>104</v>
      </c>
      <c r="K190" s="2">
        <v>71.668899999999994</v>
      </c>
      <c r="L190" s="2">
        <v>52</v>
      </c>
      <c r="M190" s="2">
        <v>98.736999999999995</v>
      </c>
      <c r="N190" s="2">
        <v>216</v>
      </c>
      <c r="O190" s="2">
        <v>98.835099999999997</v>
      </c>
      <c r="P190" s="2">
        <v>208</v>
      </c>
      <c r="Q190" s="2">
        <v>99.724400000000003</v>
      </c>
      <c r="R190" s="2">
        <v>137</v>
      </c>
      <c r="S190" s="2">
        <v>101.4679</v>
      </c>
      <c r="T190" s="2">
        <v>169</v>
      </c>
      <c r="U190" s="2">
        <v>0.42498900000000001</v>
      </c>
      <c r="V190" s="2">
        <v>189</v>
      </c>
      <c r="W190" s="2">
        <v>2003</v>
      </c>
    </row>
    <row r="191" spans="1:23" ht="12.3" x14ac:dyDescent="0.4">
      <c r="A191" s="2" t="s">
        <v>165</v>
      </c>
      <c r="B191" s="2"/>
      <c r="C191" s="2"/>
      <c r="D191" s="2"/>
      <c r="E191" s="2"/>
      <c r="F191" s="2"/>
      <c r="G191" s="2"/>
      <c r="H191" s="2"/>
      <c r="I191" s="2">
        <v>72.474000000000004</v>
      </c>
      <c r="J191" s="2">
        <v>39</v>
      </c>
      <c r="K191" s="2">
        <v>72.960999999999999</v>
      </c>
      <c r="L191" s="2">
        <v>24</v>
      </c>
      <c r="M191" s="2">
        <v>106.7848</v>
      </c>
      <c r="N191" s="2">
        <v>56</v>
      </c>
      <c r="O191" s="2">
        <v>102.1743</v>
      </c>
      <c r="P191" s="2">
        <v>143</v>
      </c>
      <c r="Q191" s="2">
        <v>103.2756</v>
      </c>
      <c r="R191" s="2">
        <v>223</v>
      </c>
      <c r="S191" s="2">
        <v>104.9795</v>
      </c>
      <c r="T191" s="2">
        <v>237</v>
      </c>
      <c r="U191" s="2">
        <v>0.42275600000000002</v>
      </c>
      <c r="V191" s="2">
        <v>190</v>
      </c>
      <c r="W191" s="2">
        <v>2003</v>
      </c>
    </row>
    <row r="192" spans="1:23" ht="12.3" x14ac:dyDescent="0.4">
      <c r="A192" s="2" t="s">
        <v>295</v>
      </c>
      <c r="B192" s="2"/>
      <c r="C192" s="2"/>
      <c r="D192" s="2"/>
      <c r="E192" s="2"/>
      <c r="F192" s="2"/>
      <c r="G192" s="2"/>
      <c r="H192" s="2"/>
      <c r="I192" s="2">
        <v>64.740200000000002</v>
      </c>
      <c r="J192" s="2">
        <v>290</v>
      </c>
      <c r="K192" s="2">
        <v>65.494200000000006</v>
      </c>
      <c r="L192" s="2">
        <v>280</v>
      </c>
      <c r="M192" s="2">
        <v>98.907700000000006</v>
      </c>
      <c r="N192" s="2">
        <v>210</v>
      </c>
      <c r="O192" s="2">
        <v>97.2059</v>
      </c>
      <c r="P192" s="2">
        <v>235</v>
      </c>
      <c r="Q192" s="2">
        <v>98.349100000000007</v>
      </c>
      <c r="R192" s="2">
        <v>104</v>
      </c>
      <c r="S192" s="2">
        <v>100.03230000000001</v>
      </c>
      <c r="T192" s="2">
        <v>138</v>
      </c>
      <c r="U192" s="2">
        <v>0.41833799999999999</v>
      </c>
      <c r="V192" s="2">
        <v>191</v>
      </c>
      <c r="W192" s="2">
        <v>2003</v>
      </c>
    </row>
    <row r="193" spans="1:23" ht="12.3" x14ac:dyDescent="0.4">
      <c r="A193" s="2" t="s">
        <v>254</v>
      </c>
      <c r="B193" s="2"/>
      <c r="C193" s="2"/>
      <c r="D193" s="2"/>
      <c r="E193" s="2"/>
      <c r="F193" s="2"/>
      <c r="G193" s="2"/>
      <c r="H193" s="2"/>
      <c r="I193" s="2">
        <v>70.379800000000003</v>
      </c>
      <c r="J193" s="2">
        <v>97</v>
      </c>
      <c r="K193" s="2">
        <v>70.040599999999998</v>
      </c>
      <c r="L193" s="2">
        <v>96</v>
      </c>
      <c r="M193" s="2">
        <v>99.892899999999997</v>
      </c>
      <c r="N193" s="2">
        <v>193</v>
      </c>
      <c r="O193" s="2">
        <v>98.163600000000002</v>
      </c>
      <c r="P193" s="2">
        <v>221</v>
      </c>
      <c r="Q193" s="2">
        <v>100.17610000000001</v>
      </c>
      <c r="R193" s="2">
        <v>150</v>
      </c>
      <c r="S193" s="2">
        <v>101.01909999999999</v>
      </c>
      <c r="T193" s="2">
        <v>163</v>
      </c>
      <c r="U193" s="2">
        <v>0.41830099999999998</v>
      </c>
      <c r="V193" s="2">
        <v>192</v>
      </c>
      <c r="W193" s="2">
        <v>2003</v>
      </c>
    </row>
    <row r="194" spans="1:23" ht="12.3" x14ac:dyDescent="0.4">
      <c r="A194" s="2" t="s">
        <v>275</v>
      </c>
      <c r="B194" s="2"/>
      <c r="C194" s="2"/>
      <c r="D194" s="2"/>
      <c r="E194" s="2"/>
      <c r="F194" s="2"/>
      <c r="G194" s="2"/>
      <c r="H194" s="2"/>
      <c r="I194" s="2">
        <v>70.611000000000004</v>
      </c>
      <c r="J194" s="2">
        <v>90</v>
      </c>
      <c r="K194" s="2">
        <v>69.650400000000005</v>
      </c>
      <c r="L194" s="2">
        <v>113</v>
      </c>
      <c r="M194" s="2">
        <v>106.021</v>
      </c>
      <c r="N194" s="2">
        <v>69</v>
      </c>
      <c r="O194" s="2">
        <v>102.92189999999999</v>
      </c>
      <c r="P194" s="2">
        <v>128</v>
      </c>
      <c r="Q194" s="2">
        <v>101.9164</v>
      </c>
      <c r="R194" s="2">
        <v>193</v>
      </c>
      <c r="S194" s="2">
        <v>105.9401</v>
      </c>
      <c r="T194" s="2">
        <v>258</v>
      </c>
      <c r="U194" s="2">
        <v>0.417659</v>
      </c>
      <c r="V194" s="2">
        <v>193</v>
      </c>
      <c r="W194" s="2">
        <v>2003</v>
      </c>
    </row>
    <row r="195" spans="1:23" ht="12.3" x14ac:dyDescent="0.4">
      <c r="A195" s="2" t="s">
        <v>331</v>
      </c>
      <c r="B195" s="2"/>
      <c r="C195" s="2"/>
      <c r="D195" s="2"/>
      <c r="E195" s="2"/>
      <c r="F195" s="2"/>
      <c r="G195" s="2"/>
      <c r="H195" s="2"/>
      <c r="I195" s="2">
        <v>73.463099999999997</v>
      </c>
      <c r="J195" s="2">
        <v>26</v>
      </c>
      <c r="K195" s="2">
        <v>74.224999999999994</v>
      </c>
      <c r="L195" s="2">
        <v>10</v>
      </c>
      <c r="M195" s="2">
        <v>103.6275</v>
      </c>
      <c r="N195" s="2">
        <v>102</v>
      </c>
      <c r="O195" s="2">
        <v>103.65049999999999</v>
      </c>
      <c r="P195" s="2">
        <v>115</v>
      </c>
      <c r="Q195" s="2">
        <v>107.82259999999999</v>
      </c>
      <c r="R195" s="2">
        <v>292</v>
      </c>
      <c r="S195" s="2">
        <v>106.756</v>
      </c>
      <c r="T195" s="2">
        <v>271</v>
      </c>
      <c r="U195" s="2">
        <v>0.415933</v>
      </c>
      <c r="V195" s="2">
        <v>194</v>
      </c>
      <c r="W195" s="2">
        <v>2003</v>
      </c>
    </row>
    <row r="196" spans="1:23" ht="12.3" x14ac:dyDescent="0.4">
      <c r="A196" s="2" t="s">
        <v>309</v>
      </c>
      <c r="B196" s="2"/>
      <c r="C196" s="2"/>
      <c r="D196" s="2"/>
      <c r="E196" s="2"/>
      <c r="F196" s="2"/>
      <c r="G196" s="2"/>
      <c r="H196" s="2"/>
      <c r="I196" s="2">
        <v>70.037499999999994</v>
      </c>
      <c r="J196" s="2">
        <v>107</v>
      </c>
      <c r="K196" s="2">
        <v>69.7209</v>
      </c>
      <c r="L196" s="2">
        <v>111</v>
      </c>
      <c r="M196" s="2">
        <v>101.1553</v>
      </c>
      <c r="N196" s="2">
        <v>167</v>
      </c>
      <c r="O196" s="2">
        <v>98.886700000000005</v>
      </c>
      <c r="P196" s="2">
        <v>206</v>
      </c>
      <c r="Q196" s="2">
        <v>99.810900000000004</v>
      </c>
      <c r="R196" s="2">
        <v>141</v>
      </c>
      <c r="S196" s="2">
        <v>102.0157</v>
      </c>
      <c r="T196" s="2">
        <v>182</v>
      </c>
      <c r="U196" s="2">
        <v>0.411383</v>
      </c>
      <c r="V196" s="2">
        <v>195</v>
      </c>
      <c r="W196" s="2">
        <v>2003</v>
      </c>
    </row>
    <row r="197" spans="1:23" ht="12.3" x14ac:dyDescent="0.4">
      <c r="A197" s="2" t="s">
        <v>198</v>
      </c>
      <c r="B197" s="2"/>
      <c r="C197" s="2"/>
      <c r="D197" s="2"/>
      <c r="E197" s="2"/>
      <c r="F197" s="2"/>
      <c r="G197" s="2"/>
      <c r="H197" s="2"/>
      <c r="I197" s="2">
        <v>68.448400000000007</v>
      </c>
      <c r="J197" s="2">
        <v>171</v>
      </c>
      <c r="K197" s="2">
        <v>69.258300000000006</v>
      </c>
      <c r="L197" s="2">
        <v>128</v>
      </c>
      <c r="M197" s="2">
        <v>99.875100000000003</v>
      </c>
      <c r="N197" s="2">
        <v>195</v>
      </c>
      <c r="O197" s="2">
        <v>98.640900000000002</v>
      </c>
      <c r="P197" s="2">
        <v>210</v>
      </c>
      <c r="Q197" s="2">
        <v>100.608</v>
      </c>
      <c r="R197" s="2">
        <v>158</v>
      </c>
      <c r="S197" s="2">
        <v>101.80889999999999</v>
      </c>
      <c r="T197" s="2">
        <v>177</v>
      </c>
      <c r="U197" s="2">
        <v>0.41010200000000002</v>
      </c>
      <c r="V197" s="2">
        <v>196</v>
      </c>
      <c r="W197" s="2">
        <v>2003</v>
      </c>
    </row>
    <row r="198" spans="1:23" ht="12.3" x14ac:dyDescent="0.4">
      <c r="A198" s="2" t="s">
        <v>315</v>
      </c>
      <c r="B198" s="2"/>
      <c r="C198" s="2"/>
      <c r="D198" s="2"/>
      <c r="E198" s="2"/>
      <c r="F198" s="2"/>
      <c r="G198" s="2"/>
      <c r="H198" s="2"/>
      <c r="I198" s="2">
        <v>67.864800000000002</v>
      </c>
      <c r="J198" s="2">
        <v>198</v>
      </c>
      <c r="K198" s="2">
        <v>67.551500000000004</v>
      </c>
      <c r="L198" s="2">
        <v>205</v>
      </c>
      <c r="M198" s="2">
        <v>97.769800000000004</v>
      </c>
      <c r="N198" s="2">
        <v>234</v>
      </c>
      <c r="O198" s="2">
        <v>96.041899999999998</v>
      </c>
      <c r="P198" s="2">
        <v>257</v>
      </c>
      <c r="Q198" s="2">
        <v>97.029799999999994</v>
      </c>
      <c r="R198" s="2">
        <v>68</v>
      </c>
      <c r="S198" s="2">
        <v>99.331900000000005</v>
      </c>
      <c r="T198" s="2">
        <v>124</v>
      </c>
      <c r="U198" s="2">
        <v>0.40435500000000002</v>
      </c>
      <c r="V198" s="2">
        <v>197</v>
      </c>
      <c r="W198" s="2">
        <v>2003</v>
      </c>
    </row>
    <row r="199" spans="1:23" ht="12.3" x14ac:dyDescent="0.4">
      <c r="A199" s="2" t="s">
        <v>234</v>
      </c>
      <c r="B199" s="2"/>
      <c r="C199" s="2"/>
      <c r="D199" s="2"/>
      <c r="E199" s="2"/>
      <c r="F199" s="2"/>
      <c r="G199" s="2"/>
      <c r="H199" s="2"/>
      <c r="I199" s="2">
        <v>68.036299999999997</v>
      </c>
      <c r="J199" s="2">
        <v>190</v>
      </c>
      <c r="K199" s="2">
        <v>67.865099999999998</v>
      </c>
      <c r="L199" s="2">
        <v>191</v>
      </c>
      <c r="M199" s="2">
        <v>102.1557</v>
      </c>
      <c r="N199" s="2">
        <v>147</v>
      </c>
      <c r="O199" s="2">
        <v>102.69750000000001</v>
      </c>
      <c r="P199" s="2">
        <v>132</v>
      </c>
      <c r="Q199" s="2">
        <v>104.6073</v>
      </c>
      <c r="R199" s="2">
        <v>246</v>
      </c>
      <c r="S199" s="2">
        <v>106.2949</v>
      </c>
      <c r="T199" s="2">
        <v>265</v>
      </c>
      <c r="U199" s="2">
        <v>0.40229100000000001</v>
      </c>
      <c r="V199" s="2">
        <v>198</v>
      </c>
      <c r="W199" s="2">
        <v>2003</v>
      </c>
    </row>
    <row r="200" spans="1:23" ht="12.3" x14ac:dyDescent="0.4">
      <c r="A200" s="2" t="s">
        <v>238</v>
      </c>
      <c r="B200" s="2"/>
      <c r="C200" s="2"/>
      <c r="D200" s="2"/>
      <c r="E200" s="2"/>
      <c r="F200" s="2"/>
      <c r="G200" s="2"/>
      <c r="H200" s="2"/>
      <c r="I200" s="2">
        <v>68.369900000000001</v>
      </c>
      <c r="J200" s="2">
        <v>176</v>
      </c>
      <c r="K200" s="2">
        <v>68.421899999999994</v>
      </c>
      <c r="L200" s="2">
        <v>167</v>
      </c>
      <c r="M200" s="2">
        <v>103.1639</v>
      </c>
      <c r="N200" s="2">
        <v>119</v>
      </c>
      <c r="O200" s="2">
        <v>100.3805</v>
      </c>
      <c r="P200" s="2">
        <v>184</v>
      </c>
      <c r="Q200" s="2">
        <v>98.744200000000006</v>
      </c>
      <c r="R200" s="2">
        <v>113</v>
      </c>
      <c r="S200" s="2">
        <v>103.9211</v>
      </c>
      <c r="T200" s="2">
        <v>220</v>
      </c>
      <c r="U200" s="2">
        <v>0.40164</v>
      </c>
      <c r="V200" s="2">
        <v>199</v>
      </c>
      <c r="W200" s="2">
        <v>2003</v>
      </c>
    </row>
    <row r="201" spans="1:23" ht="12.3" x14ac:dyDescent="0.4">
      <c r="A201" s="2" t="s">
        <v>107</v>
      </c>
      <c r="B201" s="2"/>
      <c r="C201" s="2"/>
      <c r="D201" s="2"/>
      <c r="E201" s="2"/>
      <c r="F201" s="2"/>
      <c r="G201" s="2"/>
      <c r="H201" s="2"/>
      <c r="I201" s="2">
        <v>69.596800000000002</v>
      </c>
      <c r="J201" s="2">
        <v>123</v>
      </c>
      <c r="K201" s="2">
        <v>69.385300000000001</v>
      </c>
      <c r="L201" s="2">
        <v>124</v>
      </c>
      <c r="M201" s="2">
        <v>98.835599999999999</v>
      </c>
      <c r="N201" s="2">
        <v>213</v>
      </c>
      <c r="O201" s="2">
        <v>99.618700000000004</v>
      </c>
      <c r="P201" s="2">
        <v>197</v>
      </c>
      <c r="Q201" s="2">
        <v>100.7222</v>
      </c>
      <c r="R201" s="2">
        <v>163</v>
      </c>
      <c r="S201" s="2">
        <v>103.2315</v>
      </c>
      <c r="T201" s="2">
        <v>204</v>
      </c>
      <c r="U201" s="2">
        <v>0.39898699999999998</v>
      </c>
      <c r="V201" s="2">
        <v>200</v>
      </c>
      <c r="W201" s="2">
        <v>2003</v>
      </c>
    </row>
    <row r="202" spans="1:23" ht="12.3" x14ac:dyDescent="0.4">
      <c r="A202" s="2" t="s">
        <v>290</v>
      </c>
      <c r="B202" s="2"/>
      <c r="C202" s="2"/>
      <c r="D202" s="2"/>
      <c r="E202" s="2"/>
      <c r="F202" s="2"/>
      <c r="G202" s="2"/>
      <c r="H202" s="2"/>
      <c r="I202" s="2">
        <v>70.6935</v>
      </c>
      <c r="J202" s="2">
        <v>87</v>
      </c>
      <c r="K202" s="2">
        <v>69.634600000000006</v>
      </c>
      <c r="L202" s="2">
        <v>114</v>
      </c>
      <c r="M202" s="2">
        <v>96.146199999999993</v>
      </c>
      <c r="N202" s="2">
        <v>256</v>
      </c>
      <c r="O202" s="2">
        <v>98.262</v>
      </c>
      <c r="P202" s="2">
        <v>220</v>
      </c>
      <c r="Q202" s="2">
        <v>103.25369999999999</v>
      </c>
      <c r="R202" s="2">
        <v>221</v>
      </c>
      <c r="S202" s="2">
        <v>101.9864</v>
      </c>
      <c r="T202" s="2">
        <v>181</v>
      </c>
      <c r="U202" s="2">
        <v>0.394646</v>
      </c>
      <c r="V202" s="2">
        <v>201</v>
      </c>
      <c r="W202" s="2">
        <v>2003</v>
      </c>
    </row>
    <row r="203" spans="1:23" ht="12.3" x14ac:dyDescent="0.4">
      <c r="A203" s="2" t="s">
        <v>208</v>
      </c>
      <c r="B203" s="2"/>
      <c r="C203" s="2"/>
      <c r="D203" s="2"/>
      <c r="E203" s="2"/>
      <c r="F203" s="2"/>
      <c r="G203" s="2"/>
      <c r="H203" s="2"/>
      <c r="I203" s="2">
        <v>60.987200000000001</v>
      </c>
      <c r="J203" s="2">
        <v>317</v>
      </c>
      <c r="K203" s="2">
        <v>60.283299999999997</v>
      </c>
      <c r="L203" s="2">
        <v>324</v>
      </c>
      <c r="M203" s="2">
        <v>101.72499999999999</v>
      </c>
      <c r="N203" s="2">
        <v>153</v>
      </c>
      <c r="O203" s="2">
        <v>100.1016</v>
      </c>
      <c r="P203" s="2">
        <v>189</v>
      </c>
      <c r="Q203" s="2">
        <v>104.477</v>
      </c>
      <c r="R203" s="2">
        <v>245</v>
      </c>
      <c r="S203" s="2">
        <v>103.8976</v>
      </c>
      <c r="T203" s="2">
        <v>219</v>
      </c>
      <c r="U203" s="2">
        <v>0.39459499999999997</v>
      </c>
      <c r="V203" s="2">
        <v>202</v>
      </c>
      <c r="W203" s="2">
        <v>2003</v>
      </c>
    </row>
    <row r="204" spans="1:23" ht="12.3" x14ac:dyDescent="0.4">
      <c r="A204" s="2" t="s">
        <v>250</v>
      </c>
      <c r="B204" s="2"/>
      <c r="C204" s="2"/>
      <c r="D204" s="2"/>
      <c r="E204" s="2"/>
      <c r="F204" s="2"/>
      <c r="G204" s="2"/>
      <c r="H204" s="2"/>
      <c r="I204" s="2">
        <v>69.671000000000006</v>
      </c>
      <c r="J204" s="2">
        <v>119</v>
      </c>
      <c r="K204" s="2">
        <v>69.861099999999993</v>
      </c>
      <c r="L204" s="2">
        <v>106</v>
      </c>
      <c r="M204" s="2">
        <v>94.914500000000004</v>
      </c>
      <c r="N204" s="2">
        <v>270</v>
      </c>
      <c r="O204" s="2">
        <v>98.903899999999993</v>
      </c>
      <c r="P204" s="2">
        <v>205</v>
      </c>
      <c r="Q204" s="2">
        <v>104.08880000000001</v>
      </c>
      <c r="R204" s="2">
        <v>235</v>
      </c>
      <c r="S204" s="2">
        <v>102.7208</v>
      </c>
      <c r="T204" s="2">
        <v>197</v>
      </c>
      <c r="U204" s="2">
        <v>0.392822</v>
      </c>
      <c r="V204" s="2">
        <v>203</v>
      </c>
      <c r="W204" s="2">
        <v>2003</v>
      </c>
    </row>
    <row r="205" spans="1:23" ht="12.3" x14ac:dyDescent="0.4">
      <c r="A205" s="2" t="s">
        <v>94</v>
      </c>
      <c r="B205" s="2"/>
      <c r="C205" s="2"/>
      <c r="D205" s="2"/>
      <c r="E205" s="2"/>
      <c r="F205" s="2"/>
      <c r="G205" s="2"/>
      <c r="H205" s="2"/>
      <c r="I205" s="2">
        <v>68.564300000000003</v>
      </c>
      <c r="J205" s="2">
        <v>161</v>
      </c>
      <c r="K205" s="2">
        <v>68.630799999999994</v>
      </c>
      <c r="L205" s="2">
        <v>156</v>
      </c>
      <c r="M205" s="2">
        <v>98.225200000000001</v>
      </c>
      <c r="N205" s="2">
        <v>224</v>
      </c>
      <c r="O205" s="2">
        <v>101.3135</v>
      </c>
      <c r="P205" s="2">
        <v>161</v>
      </c>
      <c r="Q205" s="2">
        <v>104.8845</v>
      </c>
      <c r="R205" s="2">
        <v>253</v>
      </c>
      <c r="S205" s="2">
        <v>105.30880000000001</v>
      </c>
      <c r="T205" s="2">
        <v>244</v>
      </c>
      <c r="U205" s="2">
        <v>0.3906</v>
      </c>
      <c r="V205" s="2">
        <v>204</v>
      </c>
      <c r="W205" s="2">
        <v>2003</v>
      </c>
    </row>
    <row r="206" spans="1:23" ht="12.3" x14ac:dyDescent="0.4">
      <c r="A206" s="2" t="s">
        <v>283</v>
      </c>
      <c r="B206" s="2"/>
      <c r="C206" s="2"/>
      <c r="D206" s="2"/>
      <c r="E206" s="2"/>
      <c r="F206" s="2"/>
      <c r="G206" s="2"/>
      <c r="H206" s="2"/>
      <c r="I206" s="2">
        <v>70.474999999999994</v>
      </c>
      <c r="J206" s="2">
        <v>94</v>
      </c>
      <c r="K206" s="2">
        <v>70.038700000000006</v>
      </c>
      <c r="L206" s="2">
        <v>97</v>
      </c>
      <c r="M206" s="2">
        <v>99.946299999999994</v>
      </c>
      <c r="N206" s="2">
        <v>191</v>
      </c>
      <c r="O206" s="2">
        <v>98.366100000000003</v>
      </c>
      <c r="P206" s="2">
        <v>218</v>
      </c>
      <c r="Q206" s="2">
        <v>101.0821</v>
      </c>
      <c r="R206" s="2">
        <v>170</v>
      </c>
      <c r="S206" s="2">
        <v>102.4105</v>
      </c>
      <c r="T206" s="2">
        <v>189</v>
      </c>
      <c r="U206" s="2">
        <v>0.386185</v>
      </c>
      <c r="V206" s="2">
        <v>205</v>
      </c>
      <c r="W206" s="2">
        <v>2003</v>
      </c>
    </row>
    <row r="207" spans="1:23" ht="12.3" x14ac:dyDescent="0.4">
      <c r="A207" s="2" t="s">
        <v>291</v>
      </c>
      <c r="B207" s="2"/>
      <c r="C207" s="2"/>
      <c r="D207" s="2"/>
      <c r="E207" s="2"/>
      <c r="F207" s="2"/>
      <c r="G207" s="2"/>
      <c r="H207" s="2"/>
      <c r="I207" s="2">
        <v>71.953000000000003</v>
      </c>
      <c r="J207" s="2">
        <v>50</v>
      </c>
      <c r="K207" s="2">
        <v>71.252600000000001</v>
      </c>
      <c r="L207" s="2">
        <v>61</v>
      </c>
      <c r="M207" s="2">
        <v>97.652199999999993</v>
      </c>
      <c r="N207" s="2">
        <v>236</v>
      </c>
      <c r="O207" s="2">
        <v>96.907600000000002</v>
      </c>
      <c r="P207" s="2">
        <v>241</v>
      </c>
      <c r="Q207" s="2">
        <v>102.4121</v>
      </c>
      <c r="R207" s="2">
        <v>203</v>
      </c>
      <c r="S207" s="2">
        <v>101.06100000000001</v>
      </c>
      <c r="T207" s="2">
        <v>164</v>
      </c>
      <c r="U207" s="2">
        <v>0.381635</v>
      </c>
      <c r="V207" s="2">
        <v>206</v>
      </c>
      <c r="W207" s="2">
        <v>2003</v>
      </c>
    </row>
    <row r="208" spans="1:23" ht="12.3" x14ac:dyDescent="0.4">
      <c r="A208" s="2" t="s">
        <v>279</v>
      </c>
      <c r="B208" s="2"/>
      <c r="C208" s="2"/>
      <c r="D208" s="2"/>
      <c r="E208" s="2"/>
      <c r="F208" s="2"/>
      <c r="G208" s="2"/>
      <c r="H208" s="2"/>
      <c r="I208" s="2">
        <v>70.874899999999997</v>
      </c>
      <c r="J208" s="2">
        <v>78</v>
      </c>
      <c r="K208" s="2">
        <v>69.752399999999994</v>
      </c>
      <c r="L208" s="2">
        <v>110</v>
      </c>
      <c r="M208" s="2">
        <v>103.32080000000001</v>
      </c>
      <c r="N208" s="2">
        <v>115</v>
      </c>
      <c r="O208" s="2">
        <v>103.3999</v>
      </c>
      <c r="P208" s="2">
        <v>122</v>
      </c>
      <c r="Q208" s="2">
        <v>107.5883</v>
      </c>
      <c r="R208" s="2">
        <v>287</v>
      </c>
      <c r="S208" s="2">
        <v>107.86750000000001</v>
      </c>
      <c r="T208" s="2">
        <v>283</v>
      </c>
      <c r="U208" s="2">
        <v>0.38073200000000001</v>
      </c>
      <c r="V208" s="2">
        <v>207</v>
      </c>
      <c r="W208" s="2">
        <v>2003</v>
      </c>
    </row>
    <row r="209" spans="1:23" ht="12.3" x14ac:dyDescent="0.4">
      <c r="A209" s="2" t="s">
        <v>239</v>
      </c>
      <c r="B209" s="2"/>
      <c r="C209" s="2"/>
      <c r="D209" s="2"/>
      <c r="E209" s="2"/>
      <c r="F209" s="2"/>
      <c r="G209" s="2"/>
      <c r="H209" s="2"/>
      <c r="I209" s="2">
        <v>71.653199999999998</v>
      </c>
      <c r="J209" s="2">
        <v>58</v>
      </c>
      <c r="K209" s="2">
        <v>70.028599999999997</v>
      </c>
      <c r="L209" s="2">
        <v>98</v>
      </c>
      <c r="M209" s="2">
        <v>97.368499999999997</v>
      </c>
      <c r="N209" s="2">
        <v>240</v>
      </c>
      <c r="O209" s="2">
        <v>100.4383</v>
      </c>
      <c r="P209" s="2">
        <v>181</v>
      </c>
      <c r="Q209" s="2">
        <v>109.122</v>
      </c>
      <c r="R209" s="2">
        <v>307</v>
      </c>
      <c r="S209" s="2">
        <v>104.89109999999999</v>
      </c>
      <c r="T209" s="2">
        <v>235</v>
      </c>
      <c r="U209" s="2">
        <v>0.37780900000000001</v>
      </c>
      <c r="V209" s="2">
        <v>208</v>
      </c>
      <c r="W209" s="2">
        <v>2003</v>
      </c>
    </row>
    <row r="210" spans="1:23" ht="12.3" x14ac:dyDescent="0.4">
      <c r="A210" s="2" t="s">
        <v>236</v>
      </c>
      <c r="B210" s="2"/>
      <c r="C210" s="2"/>
      <c r="D210" s="2"/>
      <c r="E210" s="2"/>
      <c r="F210" s="2"/>
      <c r="G210" s="2"/>
      <c r="H210" s="2"/>
      <c r="I210" s="2">
        <v>66.338200000000001</v>
      </c>
      <c r="J210" s="2">
        <v>258</v>
      </c>
      <c r="K210" s="2">
        <v>66.750200000000007</v>
      </c>
      <c r="L210" s="2">
        <v>248</v>
      </c>
      <c r="M210" s="2">
        <v>101.5535</v>
      </c>
      <c r="N210" s="2">
        <v>158</v>
      </c>
      <c r="O210" s="2">
        <v>101.754</v>
      </c>
      <c r="P210" s="2">
        <v>153</v>
      </c>
      <c r="Q210" s="2">
        <v>107.6254</v>
      </c>
      <c r="R210" s="2">
        <v>288</v>
      </c>
      <c r="S210" s="2">
        <v>106.2679</v>
      </c>
      <c r="T210" s="2">
        <v>263</v>
      </c>
      <c r="U210" s="2">
        <v>0.37773600000000002</v>
      </c>
      <c r="V210" s="2">
        <v>209</v>
      </c>
      <c r="W210" s="2">
        <v>2003</v>
      </c>
    </row>
    <row r="211" spans="1:23" ht="12.3" x14ac:dyDescent="0.4">
      <c r="A211" s="2" t="s">
        <v>143</v>
      </c>
      <c r="B211" s="2"/>
      <c r="C211" s="2"/>
      <c r="D211" s="2"/>
      <c r="E211" s="2"/>
      <c r="F211" s="2"/>
      <c r="G211" s="2"/>
      <c r="H211" s="2"/>
      <c r="I211" s="2">
        <v>70.723399999999998</v>
      </c>
      <c r="J211" s="2">
        <v>85</v>
      </c>
      <c r="K211" s="2">
        <v>69.906800000000004</v>
      </c>
      <c r="L211" s="2">
        <v>103</v>
      </c>
      <c r="M211" s="2">
        <v>100.6765</v>
      </c>
      <c r="N211" s="2">
        <v>179</v>
      </c>
      <c r="O211" s="2">
        <v>101.0491</v>
      </c>
      <c r="P211" s="2">
        <v>170</v>
      </c>
      <c r="Q211" s="2">
        <v>104.42140000000001</v>
      </c>
      <c r="R211" s="2">
        <v>242</v>
      </c>
      <c r="S211" s="2">
        <v>105.5536</v>
      </c>
      <c r="T211" s="2">
        <v>248</v>
      </c>
      <c r="U211" s="2">
        <v>0.37717800000000001</v>
      </c>
      <c r="V211" s="2">
        <v>210</v>
      </c>
      <c r="W211" s="2">
        <v>2003</v>
      </c>
    </row>
    <row r="212" spans="1:23" ht="12.3" x14ac:dyDescent="0.4">
      <c r="A212" s="2" t="s">
        <v>182</v>
      </c>
      <c r="B212" s="2"/>
      <c r="C212" s="2"/>
      <c r="D212" s="2"/>
      <c r="E212" s="2"/>
      <c r="F212" s="2"/>
      <c r="G212" s="2"/>
      <c r="H212" s="2"/>
      <c r="I212" s="2">
        <v>65.149900000000002</v>
      </c>
      <c r="J212" s="2">
        <v>286</v>
      </c>
      <c r="K212" s="2">
        <v>64.506299999999996</v>
      </c>
      <c r="L212" s="2">
        <v>296</v>
      </c>
      <c r="M212" s="2">
        <v>99.846100000000007</v>
      </c>
      <c r="N212" s="2">
        <v>196</v>
      </c>
      <c r="O212" s="2">
        <v>99.135099999999994</v>
      </c>
      <c r="P212" s="2">
        <v>203</v>
      </c>
      <c r="Q212" s="2">
        <v>102.1301</v>
      </c>
      <c r="R212" s="2">
        <v>201</v>
      </c>
      <c r="S212" s="2">
        <v>103.7199</v>
      </c>
      <c r="T212" s="2">
        <v>216</v>
      </c>
      <c r="U212" s="2">
        <v>0.37287100000000001</v>
      </c>
      <c r="V212" s="2">
        <v>211</v>
      </c>
      <c r="W212" s="2">
        <v>2003</v>
      </c>
    </row>
    <row r="213" spans="1:23" ht="12.3" x14ac:dyDescent="0.4">
      <c r="A213" s="2" t="s">
        <v>130</v>
      </c>
      <c r="B213" s="2"/>
      <c r="C213" s="2"/>
      <c r="D213" s="2"/>
      <c r="E213" s="2"/>
      <c r="F213" s="2"/>
      <c r="G213" s="2"/>
      <c r="H213" s="2"/>
      <c r="I213" s="2">
        <v>65.5304</v>
      </c>
      <c r="J213" s="2">
        <v>278</v>
      </c>
      <c r="K213" s="2">
        <v>64.706999999999994</v>
      </c>
      <c r="L213" s="2">
        <v>293</v>
      </c>
      <c r="M213" s="2">
        <v>89.018900000000002</v>
      </c>
      <c r="N213" s="2">
        <v>316</v>
      </c>
      <c r="O213" s="2">
        <v>92.213700000000003</v>
      </c>
      <c r="P213" s="2">
        <v>292</v>
      </c>
      <c r="Q213" s="2">
        <v>100.399</v>
      </c>
      <c r="R213" s="2">
        <v>153</v>
      </c>
      <c r="S213" s="2">
        <v>96.825599999999994</v>
      </c>
      <c r="T213" s="2">
        <v>73</v>
      </c>
      <c r="U213" s="2">
        <v>0.36326399999999998</v>
      </c>
      <c r="V213" s="2">
        <v>212</v>
      </c>
      <c r="W213" s="2">
        <v>2003</v>
      </c>
    </row>
    <row r="214" spans="1:23" ht="12.3" x14ac:dyDescent="0.4">
      <c r="A214" s="2" t="s">
        <v>164</v>
      </c>
      <c r="B214" s="2"/>
      <c r="C214" s="2"/>
      <c r="D214" s="2"/>
      <c r="E214" s="2"/>
      <c r="F214" s="2"/>
      <c r="G214" s="2"/>
      <c r="H214" s="2"/>
      <c r="I214" s="2">
        <v>65.738799999999998</v>
      </c>
      <c r="J214" s="2">
        <v>271</v>
      </c>
      <c r="K214" s="2">
        <v>66.785799999999995</v>
      </c>
      <c r="L214" s="2">
        <v>245</v>
      </c>
      <c r="M214" s="2">
        <v>97.958100000000002</v>
      </c>
      <c r="N214" s="2">
        <v>229</v>
      </c>
      <c r="O214" s="2">
        <v>98.388300000000001</v>
      </c>
      <c r="P214" s="2">
        <v>216</v>
      </c>
      <c r="Q214" s="2">
        <v>106.7503</v>
      </c>
      <c r="R214" s="2">
        <v>277</v>
      </c>
      <c r="S214" s="2">
        <v>103.3475</v>
      </c>
      <c r="T214" s="2">
        <v>209</v>
      </c>
      <c r="U214" s="2">
        <v>0.36227300000000001</v>
      </c>
      <c r="V214" s="2">
        <v>213</v>
      </c>
      <c r="W214" s="2">
        <v>2003</v>
      </c>
    </row>
    <row r="215" spans="1:23" ht="12.3" x14ac:dyDescent="0.4">
      <c r="A215" s="2" t="s">
        <v>289</v>
      </c>
      <c r="B215" s="2"/>
      <c r="C215" s="2"/>
      <c r="D215" s="2"/>
      <c r="E215" s="2"/>
      <c r="F215" s="2"/>
      <c r="G215" s="2"/>
      <c r="H215" s="2"/>
      <c r="I215" s="2">
        <v>63.598700000000001</v>
      </c>
      <c r="J215" s="2">
        <v>306</v>
      </c>
      <c r="K215" s="2">
        <v>64.776600000000002</v>
      </c>
      <c r="L215" s="2">
        <v>291</v>
      </c>
      <c r="M215" s="2">
        <v>91.256799999999998</v>
      </c>
      <c r="N215" s="2">
        <v>309</v>
      </c>
      <c r="O215" s="2">
        <v>90.411900000000003</v>
      </c>
      <c r="P215" s="2">
        <v>306</v>
      </c>
      <c r="Q215" s="2">
        <v>93.058800000000005</v>
      </c>
      <c r="R215" s="2">
        <v>22</v>
      </c>
      <c r="S215" s="2">
        <v>95.166799999999995</v>
      </c>
      <c r="T215" s="2">
        <v>50</v>
      </c>
      <c r="U215" s="2">
        <v>0.35676400000000003</v>
      </c>
      <c r="V215" s="2">
        <v>214</v>
      </c>
      <c r="W215" s="2">
        <v>2003</v>
      </c>
    </row>
    <row r="216" spans="1:23" ht="12.3" x14ac:dyDescent="0.4">
      <c r="A216" s="2" t="s">
        <v>200</v>
      </c>
      <c r="B216" s="2"/>
      <c r="C216" s="2"/>
      <c r="D216" s="2"/>
      <c r="E216" s="2"/>
      <c r="F216" s="2"/>
      <c r="G216" s="2"/>
      <c r="H216" s="2"/>
      <c r="I216" s="2">
        <v>68.393500000000003</v>
      </c>
      <c r="J216" s="2">
        <v>174</v>
      </c>
      <c r="K216" s="2">
        <v>67.992400000000004</v>
      </c>
      <c r="L216" s="2">
        <v>185</v>
      </c>
      <c r="M216" s="2">
        <v>97.540199999999999</v>
      </c>
      <c r="N216" s="2">
        <v>238</v>
      </c>
      <c r="O216" s="2">
        <v>98.495400000000004</v>
      </c>
      <c r="P216" s="2">
        <v>212</v>
      </c>
      <c r="Q216" s="2">
        <v>101.1246</v>
      </c>
      <c r="R216" s="2">
        <v>173</v>
      </c>
      <c r="S216" s="2">
        <v>103.748</v>
      </c>
      <c r="T216" s="2">
        <v>217</v>
      </c>
      <c r="U216" s="2">
        <v>0.35492099999999999</v>
      </c>
      <c r="V216" s="2">
        <v>215</v>
      </c>
      <c r="W216" s="2">
        <v>2003</v>
      </c>
    </row>
    <row r="217" spans="1:23" ht="12.3" x14ac:dyDescent="0.4">
      <c r="A217" s="2" t="s">
        <v>230</v>
      </c>
      <c r="B217" s="2"/>
      <c r="C217" s="2"/>
      <c r="D217" s="2"/>
      <c r="E217" s="2"/>
      <c r="F217" s="2"/>
      <c r="G217" s="2"/>
      <c r="H217" s="2"/>
      <c r="I217" s="2">
        <v>68.141599999999997</v>
      </c>
      <c r="J217" s="2">
        <v>183</v>
      </c>
      <c r="K217" s="2">
        <v>69.388300000000001</v>
      </c>
      <c r="L217" s="2">
        <v>122</v>
      </c>
      <c r="M217" s="2">
        <v>91.884799999999998</v>
      </c>
      <c r="N217" s="2">
        <v>304</v>
      </c>
      <c r="O217" s="2">
        <v>97.1434</v>
      </c>
      <c r="P217" s="2">
        <v>238</v>
      </c>
      <c r="Q217" s="2">
        <v>106.1861</v>
      </c>
      <c r="R217" s="2">
        <v>267</v>
      </c>
      <c r="S217" s="2">
        <v>102.3408</v>
      </c>
      <c r="T217" s="2">
        <v>185</v>
      </c>
      <c r="U217" s="2">
        <v>0.35448499999999999</v>
      </c>
      <c r="V217" s="2">
        <v>216</v>
      </c>
      <c r="W217" s="2">
        <v>2003</v>
      </c>
    </row>
    <row r="218" spans="1:23" ht="12.3" x14ac:dyDescent="0.4">
      <c r="A218" s="2" t="s">
        <v>304</v>
      </c>
      <c r="B218" s="2"/>
      <c r="C218" s="2"/>
      <c r="D218" s="2"/>
      <c r="E218" s="2"/>
      <c r="F218" s="2"/>
      <c r="G218" s="2"/>
      <c r="H218" s="2"/>
      <c r="I218" s="2">
        <v>62.566499999999998</v>
      </c>
      <c r="J218" s="2">
        <v>312</v>
      </c>
      <c r="K218" s="2">
        <v>63.123100000000001</v>
      </c>
      <c r="L218" s="2">
        <v>310</v>
      </c>
      <c r="M218" s="2">
        <v>96.281599999999997</v>
      </c>
      <c r="N218" s="2">
        <v>252</v>
      </c>
      <c r="O218" s="2">
        <v>95.158699999999996</v>
      </c>
      <c r="P218" s="2">
        <v>266</v>
      </c>
      <c r="Q218" s="2">
        <v>98.776399999999995</v>
      </c>
      <c r="R218" s="2">
        <v>114</v>
      </c>
      <c r="S218" s="2">
        <v>100.3353</v>
      </c>
      <c r="T218" s="2">
        <v>147</v>
      </c>
      <c r="U218" s="2">
        <v>0.35224699999999998</v>
      </c>
      <c r="V218" s="2">
        <v>217</v>
      </c>
      <c r="W218" s="2">
        <v>2003</v>
      </c>
    </row>
    <row r="219" spans="1:23" ht="12.3" x14ac:dyDescent="0.4">
      <c r="A219" s="2" t="s">
        <v>240</v>
      </c>
      <c r="B219" s="2"/>
      <c r="C219" s="2"/>
      <c r="D219" s="2"/>
      <c r="E219" s="2"/>
      <c r="F219" s="2"/>
      <c r="G219" s="2"/>
      <c r="H219" s="2"/>
      <c r="I219" s="2">
        <v>68.668599999999998</v>
      </c>
      <c r="J219" s="2">
        <v>156</v>
      </c>
      <c r="K219" s="2">
        <v>69.347899999999996</v>
      </c>
      <c r="L219" s="2">
        <v>125</v>
      </c>
      <c r="M219" s="2">
        <v>100.1566</v>
      </c>
      <c r="N219" s="2">
        <v>186</v>
      </c>
      <c r="O219" s="2">
        <v>96.2911</v>
      </c>
      <c r="P219" s="2">
        <v>253</v>
      </c>
      <c r="Q219" s="2">
        <v>96.126300000000001</v>
      </c>
      <c r="R219" s="2">
        <v>50</v>
      </c>
      <c r="S219" s="2">
        <v>101.6067</v>
      </c>
      <c r="T219" s="2">
        <v>173</v>
      </c>
      <c r="U219" s="2">
        <v>0.35025000000000001</v>
      </c>
      <c r="V219" s="2">
        <v>218</v>
      </c>
      <c r="W219" s="2">
        <v>2003</v>
      </c>
    </row>
    <row r="220" spans="1:23" ht="12.3" x14ac:dyDescent="0.4">
      <c r="A220" s="2" t="s">
        <v>308</v>
      </c>
      <c r="B220" s="2"/>
      <c r="C220" s="2"/>
      <c r="D220" s="2"/>
      <c r="E220" s="2"/>
      <c r="F220" s="2"/>
      <c r="G220" s="2"/>
      <c r="H220" s="2"/>
      <c r="I220" s="2">
        <v>71.874899999999997</v>
      </c>
      <c r="J220" s="2">
        <v>51</v>
      </c>
      <c r="K220" s="2">
        <v>71.276799999999994</v>
      </c>
      <c r="L220" s="2">
        <v>59</v>
      </c>
      <c r="M220" s="2">
        <v>99.840900000000005</v>
      </c>
      <c r="N220" s="2">
        <v>197</v>
      </c>
      <c r="O220" s="2">
        <v>97.442300000000003</v>
      </c>
      <c r="P220" s="2">
        <v>233</v>
      </c>
      <c r="Q220" s="2">
        <v>100.4618</v>
      </c>
      <c r="R220" s="2">
        <v>155</v>
      </c>
      <c r="S220" s="2">
        <v>102.9054</v>
      </c>
      <c r="T220" s="2">
        <v>198</v>
      </c>
      <c r="U220" s="2">
        <v>0.34811799999999998</v>
      </c>
      <c r="V220" s="2">
        <v>219</v>
      </c>
      <c r="W220" s="2">
        <v>2003</v>
      </c>
    </row>
    <row r="221" spans="1:23" ht="12.3" x14ac:dyDescent="0.4">
      <c r="A221" s="2" t="s">
        <v>260</v>
      </c>
      <c r="B221" s="2"/>
      <c r="C221" s="2"/>
      <c r="D221" s="2"/>
      <c r="E221" s="2"/>
      <c r="F221" s="2"/>
      <c r="G221" s="2"/>
      <c r="H221" s="2"/>
      <c r="I221" s="2">
        <v>63.481200000000001</v>
      </c>
      <c r="J221" s="2">
        <v>307</v>
      </c>
      <c r="K221" s="2">
        <v>62.939</v>
      </c>
      <c r="L221" s="2">
        <v>313</v>
      </c>
      <c r="M221" s="2">
        <v>92.932000000000002</v>
      </c>
      <c r="N221" s="2">
        <v>292</v>
      </c>
      <c r="O221" s="2">
        <v>94.746700000000004</v>
      </c>
      <c r="P221" s="2">
        <v>270</v>
      </c>
      <c r="Q221" s="2">
        <v>100.79389999999999</v>
      </c>
      <c r="R221" s="2">
        <v>165</v>
      </c>
      <c r="S221" s="2">
        <v>100.1895</v>
      </c>
      <c r="T221" s="2">
        <v>141</v>
      </c>
      <c r="U221" s="2">
        <v>0.344717</v>
      </c>
      <c r="V221" s="2">
        <v>220</v>
      </c>
      <c r="W221" s="2">
        <v>2003</v>
      </c>
    </row>
    <row r="222" spans="1:23" ht="12.3" x14ac:dyDescent="0.4">
      <c r="A222" s="2" t="s">
        <v>326</v>
      </c>
      <c r="B222" s="2"/>
      <c r="C222" s="2"/>
      <c r="D222" s="2"/>
      <c r="E222" s="2"/>
      <c r="F222" s="2"/>
      <c r="G222" s="2"/>
      <c r="H222" s="2"/>
      <c r="I222" s="2">
        <v>65.203800000000001</v>
      </c>
      <c r="J222" s="2">
        <v>285</v>
      </c>
      <c r="K222" s="2">
        <v>66.962199999999996</v>
      </c>
      <c r="L222" s="2">
        <v>236</v>
      </c>
      <c r="M222" s="2">
        <v>98.014300000000006</v>
      </c>
      <c r="N222" s="2">
        <v>227</v>
      </c>
      <c r="O222" s="2">
        <v>96.735399999999998</v>
      </c>
      <c r="P222" s="2">
        <v>252</v>
      </c>
      <c r="Q222" s="2">
        <v>97.511600000000001</v>
      </c>
      <c r="R222" s="2">
        <v>77</v>
      </c>
      <c r="S222" s="2">
        <v>102.35120000000001</v>
      </c>
      <c r="T222" s="2">
        <v>186</v>
      </c>
      <c r="U222" s="2">
        <v>0.34322599999999998</v>
      </c>
      <c r="V222" s="2">
        <v>221</v>
      </c>
      <c r="W222" s="2">
        <v>2003</v>
      </c>
    </row>
    <row r="223" spans="1:23" ht="12.3" x14ac:dyDescent="0.4">
      <c r="A223" s="2" t="s">
        <v>152</v>
      </c>
      <c r="B223" s="2"/>
      <c r="C223" s="2"/>
      <c r="D223" s="2"/>
      <c r="E223" s="2"/>
      <c r="F223" s="2"/>
      <c r="G223" s="2"/>
      <c r="H223" s="2"/>
      <c r="I223" s="2">
        <v>68.745099999999994</v>
      </c>
      <c r="J223" s="2">
        <v>154</v>
      </c>
      <c r="K223" s="2">
        <v>68.3185</v>
      </c>
      <c r="L223" s="2">
        <v>173</v>
      </c>
      <c r="M223" s="2">
        <v>103.4277</v>
      </c>
      <c r="N223" s="2">
        <v>111</v>
      </c>
      <c r="O223" s="2">
        <v>99.8352</v>
      </c>
      <c r="P223" s="2">
        <v>193</v>
      </c>
      <c r="Q223" s="2">
        <v>103.6075</v>
      </c>
      <c r="R223" s="2">
        <v>228</v>
      </c>
      <c r="S223" s="2">
        <v>105.8122</v>
      </c>
      <c r="T223" s="2">
        <v>253</v>
      </c>
      <c r="U223" s="2">
        <v>0.33879399999999998</v>
      </c>
      <c r="V223" s="2">
        <v>222</v>
      </c>
      <c r="W223" s="2">
        <v>2003</v>
      </c>
    </row>
    <row r="224" spans="1:23" ht="12.3" x14ac:dyDescent="0.4">
      <c r="A224" s="2" t="s">
        <v>274</v>
      </c>
      <c r="B224" s="2"/>
      <c r="C224" s="2"/>
      <c r="D224" s="2"/>
      <c r="E224" s="2"/>
      <c r="F224" s="2"/>
      <c r="G224" s="2"/>
      <c r="H224" s="2"/>
      <c r="I224" s="2">
        <v>72.749600000000001</v>
      </c>
      <c r="J224" s="2">
        <v>34</v>
      </c>
      <c r="K224" s="2">
        <v>71.758799999999994</v>
      </c>
      <c r="L224" s="2">
        <v>49</v>
      </c>
      <c r="M224" s="2">
        <v>102.4949</v>
      </c>
      <c r="N224" s="2">
        <v>139</v>
      </c>
      <c r="O224" s="2">
        <v>98.573800000000006</v>
      </c>
      <c r="P224" s="2">
        <v>211</v>
      </c>
      <c r="Q224" s="2">
        <v>101.3043</v>
      </c>
      <c r="R224" s="2">
        <v>179</v>
      </c>
      <c r="S224" s="2">
        <v>104.6002</v>
      </c>
      <c r="T224" s="2">
        <v>229</v>
      </c>
      <c r="U224" s="2">
        <v>0.33572299999999999</v>
      </c>
      <c r="V224" s="2">
        <v>223</v>
      </c>
      <c r="W224" s="2">
        <v>2003</v>
      </c>
    </row>
    <row r="225" spans="1:23" ht="12.3" x14ac:dyDescent="0.4">
      <c r="A225" s="2" t="s">
        <v>205</v>
      </c>
      <c r="B225" s="2"/>
      <c r="C225" s="2"/>
      <c r="D225" s="2"/>
      <c r="E225" s="2"/>
      <c r="F225" s="2"/>
      <c r="G225" s="2"/>
      <c r="H225" s="2"/>
      <c r="I225" s="2">
        <v>63.302999999999997</v>
      </c>
      <c r="J225" s="2">
        <v>308</v>
      </c>
      <c r="K225" s="2">
        <v>63.773699999999998</v>
      </c>
      <c r="L225" s="2">
        <v>304</v>
      </c>
      <c r="M225" s="2">
        <v>99.577799999999996</v>
      </c>
      <c r="N225" s="2">
        <v>201</v>
      </c>
      <c r="O225" s="2">
        <v>101.07510000000001</v>
      </c>
      <c r="P225" s="2">
        <v>168</v>
      </c>
      <c r="Q225" s="2">
        <v>108.30889999999999</v>
      </c>
      <c r="R225" s="2">
        <v>299</v>
      </c>
      <c r="S225" s="2">
        <v>107.3154</v>
      </c>
      <c r="T225" s="2">
        <v>277</v>
      </c>
      <c r="U225" s="2">
        <v>0.33426800000000001</v>
      </c>
      <c r="V225" s="2">
        <v>224</v>
      </c>
      <c r="W225" s="2">
        <v>2003</v>
      </c>
    </row>
    <row r="226" spans="1:23" ht="12.3" x14ac:dyDescent="0.4">
      <c r="A226" s="2" t="s">
        <v>163</v>
      </c>
      <c r="B226" s="2"/>
      <c r="C226" s="2"/>
      <c r="D226" s="2"/>
      <c r="E226" s="2"/>
      <c r="F226" s="2"/>
      <c r="G226" s="2"/>
      <c r="H226" s="2"/>
      <c r="I226" s="2">
        <v>64.186499999999995</v>
      </c>
      <c r="J226" s="2">
        <v>300</v>
      </c>
      <c r="K226" s="2">
        <v>63.6404</v>
      </c>
      <c r="L226" s="2">
        <v>306</v>
      </c>
      <c r="M226" s="2">
        <v>98.2988</v>
      </c>
      <c r="N226" s="2">
        <v>222</v>
      </c>
      <c r="O226" s="2">
        <v>99.143299999999996</v>
      </c>
      <c r="P226" s="2">
        <v>202</v>
      </c>
      <c r="Q226" s="2">
        <v>102.45050000000001</v>
      </c>
      <c r="R226" s="2">
        <v>204</v>
      </c>
      <c r="S226" s="2">
        <v>105.5403</v>
      </c>
      <c r="T226" s="2">
        <v>247</v>
      </c>
      <c r="U226" s="2">
        <v>0.32760099999999998</v>
      </c>
      <c r="V226" s="2">
        <v>225</v>
      </c>
      <c r="W226" s="2">
        <v>2003</v>
      </c>
    </row>
    <row r="227" spans="1:23" ht="12.3" x14ac:dyDescent="0.4">
      <c r="A227" s="2" t="s">
        <v>171</v>
      </c>
      <c r="B227" s="2"/>
      <c r="C227" s="2"/>
      <c r="D227" s="2"/>
      <c r="E227" s="2"/>
      <c r="F227" s="2"/>
      <c r="G227" s="2"/>
      <c r="H227" s="2"/>
      <c r="I227" s="2">
        <v>66.8245</v>
      </c>
      <c r="J227" s="2">
        <v>241</v>
      </c>
      <c r="K227" s="2">
        <v>67.493600000000001</v>
      </c>
      <c r="L227" s="2">
        <v>208</v>
      </c>
      <c r="M227" s="2">
        <v>101.2923</v>
      </c>
      <c r="N227" s="2">
        <v>165</v>
      </c>
      <c r="O227" s="2">
        <v>100.4421</v>
      </c>
      <c r="P227" s="2">
        <v>180</v>
      </c>
      <c r="Q227" s="2">
        <v>108.9631</v>
      </c>
      <c r="R227" s="2">
        <v>303</v>
      </c>
      <c r="S227" s="2">
        <v>106.9311</v>
      </c>
      <c r="T227" s="2">
        <v>272</v>
      </c>
      <c r="U227" s="2">
        <v>0.32740900000000001</v>
      </c>
      <c r="V227" s="2">
        <v>226</v>
      </c>
      <c r="W227" s="2">
        <v>2003</v>
      </c>
    </row>
    <row r="228" spans="1:23" ht="12.3" x14ac:dyDescent="0.4">
      <c r="A228" s="2" t="s">
        <v>153</v>
      </c>
      <c r="B228" s="2"/>
      <c r="C228" s="2"/>
      <c r="D228" s="2"/>
      <c r="E228" s="2"/>
      <c r="F228" s="2"/>
      <c r="G228" s="2"/>
      <c r="H228" s="2"/>
      <c r="I228" s="2">
        <v>73.480800000000002</v>
      </c>
      <c r="J228" s="2">
        <v>25</v>
      </c>
      <c r="K228" s="2">
        <v>73.015799999999999</v>
      </c>
      <c r="L228" s="2">
        <v>23</v>
      </c>
      <c r="M228" s="2">
        <v>102.58459999999999</v>
      </c>
      <c r="N228" s="2">
        <v>134</v>
      </c>
      <c r="O228" s="2">
        <v>101.6699</v>
      </c>
      <c r="P228" s="2">
        <v>154</v>
      </c>
      <c r="Q228" s="2">
        <v>106.4645</v>
      </c>
      <c r="R228" s="2">
        <v>272</v>
      </c>
      <c r="S228" s="2">
        <v>108.32429999999999</v>
      </c>
      <c r="T228" s="2">
        <v>289</v>
      </c>
      <c r="U228" s="2">
        <v>0.32539600000000002</v>
      </c>
      <c r="V228" s="2">
        <v>227</v>
      </c>
      <c r="W228" s="2">
        <v>2003</v>
      </c>
    </row>
    <row r="229" spans="1:23" ht="12.3" x14ac:dyDescent="0.4">
      <c r="A229" s="2" t="s">
        <v>323</v>
      </c>
      <c r="B229" s="2"/>
      <c r="C229" s="2"/>
      <c r="D229" s="2"/>
      <c r="E229" s="2"/>
      <c r="F229" s="2"/>
      <c r="G229" s="2"/>
      <c r="H229" s="2"/>
      <c r="I229" s="2">
        <v>65.4923</v>
      </c>
      <c r="J229" s="2">
        <v>279</v>
      </c>
      <c r="K229" s="2">
        <v>64.847399999999993</v>
      </c>
      <c r="L229" s="2">
        <v>288</v>
      </c>
      <c r="M229" s="2">
        <v>103.79519999999999</v>
      </c>
      <c r="N229" s="2">
        <v>100</v>
      </c>
      <c r="O229" s="2">
        <v>99.740899999999996</v>
      </c>
      <c r="P229" s="2">
        <v>195</v>
      </c>
      <c r="Q229" s="2">
        <v>98.936199999999999</v>
      </c>
      <c r="R229" s="2">
        <v>117</v>
      </c>
      <c r="S229" s="2">
        <v>106.3463</v>
      </c>
      <c r="T229" s="2">
        <v>266</v>
      </c>
      <c r="U229" s="2">
        <v>0.32356600000000002</v>
      </c>
      <c r="V229" s="2">
        <v>228</v>
      </c>
      <c r="W229" s="2">
        <v>2003</v>
      </c>
    </row>
    <row r="230" spans="1:23" ht="12.3" x14ac:dyDescent="0.4">
      <c r="A230" s="2" t="s">
        <v>335</v>
      </c>
      <c r="B230" s="2"/>
      <c r="C230" s="2"/>
      <c r="D230" s="2"/>
      <c r="E230" s="2"/>
      <c r="F230" s="2"/>
      <c r="G230" s="2"/>
      <c r="H230" s="2"/>
      <c r="I230" s="2">
        <v>72.945800000000006</v>
      </c>
      <c r="J230" s="2">
        <v>33</v>
      </c>
      <c r="K230" s="2">
        <v>72.924999999999997</v>
      </c>
      <c r="L230" s="2">
        <v>26</v>
      </c>
      <c r="M230" s="2">
        <v>99.886600000000001</v>
      </c>
      <c r="N230" s="2">
        <v>194</v>
      </c>
      <c r="O230" s="2">
        <v>99.758600000000001</v>
      </c>
      <c r="P230" s="2">
        <v>194</v>
      </c>
      <c r="Q230" s="2">
        <v>106.01730000000001</v>
      </c>
      <c r="R230" s="2">
        <v>263</v>
      </c>
      <c r="S230" s="2">
        <v>106.4143</v>
      </c>
      <c r="T230" s="2">
        <v>268</v>
      </c>
      <c r="U230" s="2">
        <v>0.322403</v>
      </c>
      <c r="V230" s="2">
        <v>229</v>
      </c>
      <c r="W230" s="2">
        <v>2003</v>
      </c>
    </row>
    <row r="231" spans="1:23" ht="12.3" x14ac:dyDescent="0.4">
      <c r="A231" s="2" t="s">
        <v>195</v>
      </c>
      <c r="B231" s="2"/>
      <c r="C231" s="2"/>
      <c r="D231" s="2"/>
      <c r="E231" s="2"/>
      <c r="F231" s="2"/>
      <c r="G231" s="2"/>
      <c r="H231" s="2"/>
      <c r="I231" s="2">
        <v>66.478700000000003</v>
      </c>
      <c r="J231" s="2">
        <v>251</v>
      </c>
      <c r="K231" s="2">
        <v>64.701899999999995</v>
      </c>
      <c r="L231" s="2">
        <v>294</v>
      </c>
      <c r="M231" s="2">
        <v>97.145099999999999</v>
      </c>
      <c r="N231" s="2">
        <v>243</v>
      </c>
      <c r="O231" s="2">
        <v>97.887799999999999</v>
      </c>
      <c r="P231" s="2">
        <v>228</v>
      </c>
      <c r="Q231" s="2">
        <v>103.06780000000001</v>
      </c>
      <c r="R231" s="2">
        <v>218</v>
      </c>
      <c r="S231" s="2">
        <v>104.5835</v>
      </c>
      <c r="T231" s="2">
        <v>228</v>
      </c>
      <c r="U231" s="2">
        <v>0.31845400000000001</v>
      </c>
      <c r="V231" s="2">
        <v>230</v>
      </c>
      <c r="W231" s="2">
        <v>2003</v>
      </c>
    </row>
    <row r="232" spans="1:23" ht="12.3" x14ac:dyDescent="0.4">
      <c r="A232" s="2" t="s">
        <v>247</v>
      </c>
      <c r="B232" s="2"/>
      <c r="C232" s="2"/>
      <c r="D232" s="2"/>
      <c r="E232" s="2"/>
      <c r="F232" s="2"/>
      <c r="G232" s="2"/>
      <c r="H232" s="2"/>
      <c r="I232" s="2">
        <v>67.166300000000007</v>
      </c>
      <c r="J232" s="2">
        <v>234</v>
      </c>
      <c r="K232" s="2">
        <v>67.966800000000006</v>
      </c>
      <c r="L232" s="2">
        <v>186</v>
      </c>
      <c r="M232" s="2">
        <v>98.094300000000004</v>
      </c>
      <c r="N232" s="2">
        <v>226</v>
      </c>
      <c r="O232" s="2">
        <v>96.855699999999999</v>
      </c>
      <c r="P232" s="2">
        <v>244</v>
      </c>
      <c r="Q232" s="2">
        <v>100.7166</v>
      </c>
      <c r="R232" s="2">
        <v>162</v>
      </c>
      <c r="S232" s="2">
        <v>103.49469999999999</v>
      </c>
      <c r="T232" s="2">
        <v>213</v>
      </c>
      <c r="U232" s="2">
        <v>0.31812099999999999</v>
      </c>
      <c r="V232" s="2">
        <v>231</v>
      </c>
      <c r="W232" s="2">
        <v>2003</v>
      </c>
    </row>
    <row r="233" spans="1:23" ht="12.3" x14ac:dyDescent="0.4">
      <c r="A233" s="2" t="s">
        <v>280</v>
      </c>
      <c r="B233" s="2"/>
      <c r="C233" s="2"/>
      <c r="D233" s="2"/>
      <c r="E233" s="2"/>
      <c r="F233" s="2"/>
      <c r="G233" s="2"/>
      <c r="H233" s="2"/>
      <c r="I233" s="2">
        <v>72.188900000000004</v>
      </c>
      <c r="J233" s="2">
        <v>45</v>
      </c>
      <c r="K233" s="2">
        <v>71.034899999999993</v>
      </c>
      <c r="L233" s="2">
        <v>65</v>
      </c>
      <c r="M233" s="2">
        <v>101.411</v>
      </c>
      <c r="N233" s="2">
        <v>161</v>
      </c>
      <c r="O233" s="2">
        <v>99.010599999999997</v>
      </c>
      <c r="P233" s="2">
        <v>204</v>
      </c>
      <c r="Q233" s="2">
        <v>107.9063</v>
      </c>
      <c r="R233" s="2">
        <v>293</v>
      </c>
      <c r="S233" s="2">
        <v>105.8279</v>
      </c>
      <c r="T233" s="2">
        <v>254</v>
      </c>
      <c r="U233" s="2">
        <v>0.31739899999999999</v>
      </c>
      <c r="V233" s="2">
        <v>232</v>
      </c>
      <c r="W233" s="2">
        <v>2003</v>
      </c>
    </row>
    <row r="234" spans="1:23" ht="12.3" x14ac:dyDescent="0.4">
      <c r="A234" s="2" t="s">
        <v>255</v>
      </c>
      <c r="B234" s="2"/>
      <c r="C234" s="2"/>
      <c r="D234" s="2"/>
      <c r="E234" s="2"/>
      <c r="F234" s="2"/>
      <c r="G234" s="2"/>
      <c r="H234" s="2"/>
      <c r="I234" s="2">
        <v>71.309600000000003</v>
      </c>
      <c r="J234" s="2">
        <v>64</v>
      </c>
      <c r="K234" s="2">
        <v>74.242199999999997</v>
      </c>
      <c r="L234" s="2">
        <v>9</v>
      </c>
      <c r="M234" s="2">
        <v>97.945099999999996</v>
      </c>
      <c r="N234" s="2">
        <v>230</v>
      </c>
      <c r="O234" s="2">
        <v>96.832499999999996</v>
      </c>
      <c r="P234" s="2">
        <v>245</v>
      </c>
      <c r="Q234" s="2">
        <v>100.61579999999999</v>
      </c>
      <c r="R234" s="2">
        <v>159</v>
      </c>
      <c r="S234" s="2">
        <v>103.6722</v>
      </c>
      <c r="T234" s="2">
        <v>215</v>
      </c>
      <c r="U234" s="2">
        <v>0.31326700000000002</v>
      </c>
      <c r="V234" s="2">
        <v>233</v>
      </c>
      <c r="W234" s="2">
        <v>2003</v>
      </c>
    </row>
    <row r="235" spans="1:23" ht="12.3" x14ac:dyDescent="0.4">
      <c r="A235" s="2" t="s">
        <v>217</v>
      </c>
      <c r="B235" s="2"/>
      <c r="C235" s="2"/>
      <c r="D235" s="2"/>
      <c r="E235" s="2"/>
      <c r="F235" s="2"/>
      <c r="G235" s="2"/>
      <c r="H235" s="2"/>
      <c r="I235" s="2">
        <v>66.884699999999995</v>
      </c>
      <c r="J235" s="2">
        <v>238</v>
      </c>
      <c r="K235" s="2">
        <v>66.963999999999999</v>
      </c>
      <c r="L235" s="2">
        <v>235</v>
      </c>
      <c r="M235" s="2">
        <v>96.247100000000003</v>
      </c>
      <c r="N235" s="2">
        <v>253</v>
      </c>
      <c r="O235" s="2">
        <v>95.537800000000004</v>
      </c>
      <c r="P235" s="2">
        <v>263</v>
      </c>
      <c r="Q235" s="2">
        <v>102.63420000000001</v>
      </c>
      <c r="R235" s="2">
        <v>208</v>
      </c>
      <c r="S235" s="2">
        <v>102.3544</v>
      </c>
      <c r="T235" s="2">
        <v>187</v>
      </c>
      <c r="U235" s="2">
        <v>0.31161899999999998</v>
      </c>
      <c r="V235" s="2">
        <v>234</v>
      </c>
      <c r="W235" s="2">
        <v>2003</v>
      </c>
    </row>
    <row r="236" spans="1:23" ht="12.3" x14ac:dyDescent="0.4">
      <c r="A236" s="2" t="s">
        <v>277</v>
      </c>
      <c r="B236" s="2"/>
      <c r="C236" s="2"/>
      <c r="D236" s="2"/>
      <c r="E236" s="2"/>
      <c r="F236" s="2"/>
      <c r="G236" s="2"/>
      <c r="H236" s="2"/>
      <c r="I236" s="2">
        <v>72.412199999999999</v>
      </c>
      <c r="J236" s="2">
        <v>40</v>
      </c>
      <c r="K236" s="2">
        <v>72.394400000000005</v>
      </c>
      <c r="L236" s="2">
        <v>36</v>
      </c>
      <c r="M236" s="2">
        <v>103.0051</v>
      </c>
      <c r="N236" s="2">
        <v>123</v>
      </c>
      <c r="O236" s="2">
        <v>100.01009999999999</v>
      </c>
      <c r="P236" s="2">
        <v>192</v>
      </c>
      <c r="Q236" s="2">
        <v>103.3096</v>
      </c>
      <c r="R236" s="2">
        <v>224</v>
      </c>
      <c r="S236" s="2">
        <v>107.1495</v>
      </c>
      <c r="T236" s="2">
        <v>275</v>
      </c>
      <c r="U236" s="2">
        <v>0.311531</v>
      </c>
      <c r="V236" s="2">
        <v>235</v>
      </c>
      <c r="W236" s="2">
        <v>2003</v>
      </c>
    </row>
    <row r="237" spans="1:23" ht="12.3" x14ac:dyDescent="0.4">
      <c r="A237" s="2" t="s">
        <v>184</v>
      </c>
      <c r="B237" s="2"/>
      <c r="C237" s="2"/>
      <c r="D237" s="2"/>
      <c r="E237" s="2"/>
      <c r="F237" s="2"/>
      <c r="G237" s="2"/>
      <c r="H237" s="2"/>
      <c r="I237" s="2">
        <v>71.770700000000005</v>
      </c>
      <c r="J237" s="2">
        <v>54</v>
      </c>
      <c r="K237" s="2">
        <v>71.863200000000006</v>
      </c>
      <c r="L237" s="2">
        <v>46</v>
      </c>
      <c r="M237" s="2">
        <v>94.952399999999997</v>
      </c>
      <c r="N237" s="2">
        <v>269</v>
      </c>
      <c r="O237" s="2">
        <v>98.645300000000006</v>
      </c>
      <c r="P237" s="2">
        <v>209</v>
      </c>
      <c r="Q237" s="2">
        <v>109.0266</v>
      </c>
      <c r="R237" s="2">
        <v>304</v>
      </c>
      <c r="S237" s="2">
        <v>105.74290000000001</v>
      </c>
      <c r="T237" s="2">
        <v>251</v>
      </c>
      <c r="U237" s="2">
        <v>0.31023400000000001</v>
      </c>
      <c r="V237" s="2">
        <v>236</v>
      </c>
      <c r="W237" s="2">
        <v>2003</v>
      </c>
    </row>
    <row r="238" spans="1:23" ht="12.3" x14ac:dyDescent="0.4">
      <c r="A238" s="2" t="s">
        <v>311</v>
      </c>
      <c r="B238" s="2"/>
      <c r="C238" s="2"/>
      <c r="D238" s="2"/>
      <c r="E238" s="2"/>
      <c r="F238" s="2"/>
      <c r="G238" s="2"/>
      <c r="H238" s="2"/>
      <c r="I238" s="2">
        <v>60.721899999999998</v>
      </c>
      <c r="J238" s="2">
        <v>320</v>
      </c>
      <c r="K238" s="2">
        <v>60.834899999999998</v>
      </c>
      <c r="L238" s="2">
        <v>321</v>
      </c>
      <c r="M238" s="2">
        <v>100.741</v>
      </c>
      <c r="N238" s="2">
        <v>176</v>
      </c>
      <c r="O238" s="2">
        <v>101.5498</v>
      </c>
      <c r="P238" s="2">
        <v>156</v>
      </c>
      <c r="Q238" s="2">
        <v>106.8331</v>
      </c>
      <c r="R238" s="2">
        <v>279</v>
      </c>
      <c r="S238" s="2">
        <v>108.97199999999999</v>
      </c>
      <c r="T238" s="2">
        <v>294</v>
      </c>
      <c r="U238" s="2">
        <v>0.30762899999999999</v>
      </c>
      <c r="V238" s="2">
        <v>237</v>
      </c>
      <c r="W238" s="2">
        <v>2003</v>
      </c>
    </row>
    <row r="239" spans="1:23" ht="12.3" x14ac:dyDescent="0.4">
      <c r="A239" s="2" t="s">
        <v>156</v>
      </c>
      <c r="B239" s="2"/>
      <c r="C239" s="2"/>
      <c r="D239" s="2"/>
      <c r="E239" s="2"/>
      <c r="F239" s="2"/>
      <c r="G239" s="2"/>
      <c r="H239" s="2"/>
      <c r="I239" s="2">
        <v>64.650899999999993</v>
      </c>
      <c r="J239" s="2">
        <v>292</v>
      </c>
      <c r="K239" s="2">
        <v>63.429900000000004</v>
      </c>
      <c r="L239" s="2">
        <v>309</v>
      </c>
      <c r="M239" s="2">
        <v>104.5369</v>
      </c>
      <c r="N239" s="2">
        <v>84</v>
      </c>
      <c r="O239" s="2">
        <v>100.166</v>
      </c>
      <c r="P239" s="2">
        <v>186</v>
      </c>
      <c r="Q239" s="2">
        <v>104.01009999999999</v>
      </c>
      <c r="R239" s="2">
        <v>233</v>
      </c>
      <c r="S239" s="2">
        <v>107.5603</v>
      </c>
      <c r="T239" s="2">
        <v>279</v>
      </c>
      <c r="U239" s="2">
        <v>0.30596299999999998</v>
      </c>
      <c r="V239" s="2">
        <v>238</v>
      </c>
      <c r="W239" s="2">
        <v>2003</v>
      </c>
    </row>
    <row r="240" spans="1:23" ht="12.3" x14ac:dyDescent="0.4">
      <c r="A240" s="2" t="s">
        <v>302</v>
      </c>
      <c r="B240" s="2"/>
      <c r="C240" s="2"/>
      <c r="D240" s="2"/>
      <c r="E240" s="2"/>
      <c r="F240" s="2"/>
      <c r="G240" s="2"/>
      <c r="H240" s="2"/>
      <c r="I240" s="2">
        <v>70.334400000000002</v>
      </c>
      <c r="J240" s="2">
        <v>100</v>
      </c>
      <c r="K240" s="2">
        <v>70.855400000000003</v>
      </c>
      <c r="L240" s="2">
        <v>68</v>
      </c>
      <c r="M240" s="2">
        <v>92.522000000000006</v>
      </c>
      <c r="N240" s="2">
        <v>296</v>
      </c>
      <c r="O240" s="2">
        <v>94.656199999999998</v>
      </c>
      <c r="P240" s="2">
        <v>272</v>
      </c>
      <c r="Q240" s="2">
        <v>102.8271</v>
      </c>
      <c r="R240" s="2">
        <v>216</v>
      </c>
      <c r="S240" s="2">
        <v>101.7944</v>
      </c>
      <c r="T240" s="2">
        <v>176</v>
      </c>
      <c r="U240" s="2">
        <v>0.30235699999999999</v>
      </c>
      <c r="V240" s="2">
        <v>239</v>
      </c>
      <c r="W240" s="2">
        <v>2003</v>
      </c>
    </row>
    <row r="241" spans="1:23" ht="12.3" x14ac:dyDescent="0.4">
      <c r="A241" s="2" t="s">
        <v>224</v>
      </c>
      <c r="B241" s="2"/>
      <c r="C241" s="2"/>
      <c r="D241" s="2"/>
      <c r="E241" s="2"/>
      <c r="F241" s="2"/>
      <c r="G241" s="2"/>
      <c r="H241" s="2"/>
      <c r="I241" s="2">
        <v>72.025999999999996</v>
      </c>
      <c r="J241" s="2">
        <v>47</v>
      </c>
      <c r="K241" s="2">
        <v>70.695400000000006</v>
      </c>
      <c r="L241" s="2">
        <v>78</v>
      </c>
      <c r="M241" s="2">
        <v>100.63930000000001</v>
      </c>
      <c r="N241" s="2">
        <v>181</v>
      </c>
      <c r="O241" s="2">
        <v>102.32769999999999</v>
      </c>
      <c r="P241" s="2">
        <v>140</v>
      </c>
      <c r="Q241" s="2">
        <v>108.1558</v>
      </c>
      <c r="R241" s="2">
        <v>298</v>
      </c>
      <c r="S241" s="2">
        <v>110.19240000000001</v>
      </c>
      <c r="T241" s="2">
        <v>305</v>
      </c>
      <c r="U241" s="2">
        <v>0.29910999999999999</v>
      </c>
      <c r="V241" s="2">
        <v>240</v>
      </c>
      <c r="W241" s="2">
        <v>2003</v>
      </c>
    </row>
    <row r="242" spans="1:23" ht="12.3" x14ac:dyDescent="0.4">
      <c r="A242" s="2" t="s">
        <v>266</v>
      </c>
      <c r="B242" s="2"/>
      <c r="C242" s="2"/>
      <c r="D242" s="2"/>
      <c r="E242" s="2"/>
      <c r="F242" s="2"/>
      <c r="G242" s="2"/>
      <c r="H242" s="2"/>
      <c r="I242" s="2">
        <v>68.075500000000005</v>
      </c>
      <c r="J242" s="2">
        <v>185</v>
      </c>
      <c r="K242" s="2">
        <v>67.592399999999998</v>
      </c>
      <c r="L242" s="2">
        <v>202</v>
      </c>
      <c r="M242" s="2">
        <v>93.946200000000005</v>
      </c>
      <c r="N242" s="2">
        <v>283</v>
      </c>
      <c r="O242" s="2">
        <v>92.172899999999998</v>
      </c>
      <c r="P242" s="2">
        <v>293</v>
      </c>
      <c r="Q242" s="2">
        <v>95.519300000000001</v>
      </c>
      <c r="R242" s="2">
        <v>39</v>
      </c>
      <c r="S242" s="2">
        <v>99.399699999999996</v>
      </c>
      <c r="T242" s="2">
        <v>125</v>
      </c>
      <c r="U242" s="2">
        <v>0.29565799999999998</v>
      </c>
      <c r="V242" s="2">
        <v>241</v>
      </c>
      <c r="W242" s="2">
        <v>2003</v>
      </c>
    </row>
    <row r="243" spans="1:23" ht="12.3" x14ac:dyDescent="0.4">
      <c r="A243" s="2" t="s">
        <v>251</v>
      </c>
      <c r="B243" s="2"/>
      <c r="C243" s="2"/>
      <c r="D243" s="2"/>
      <c r="E243" s="2"/>
      <c r="F243" s="2"/>
      <c r="G243" s="2"/>
      <c r="H243" s="2"/>
      <c r="I243" s="2">
        <v>68.832999999999998</v>
      </c>
      <c r="J243" s="2">
        <v>150</v>
      </c>
      <c r="K243" s="2">
        <v>68.320400000000006</v>
      </c>
      <c r="L243" s="2">
        <v>172</v>
      </c>
      <c r="M243" s="2">
        <v>95.578000000000003</v>
      </c>
      <c r="N243" s="2">
        <v>264</v>
      </c>
      <c r="O243" s="2">
        <v>91.477900000000005</v>
      </c>
      <c r="P243" s="2">
        <v>297</v>
      </c>
      <c r="Q243" s="2">
        <v>97.126599999999996</v>
      </c>
      <c r="R243" s="2">
        <v>70</v>
      </c>
      <c r="S243" s="2">
        <v>98.744299999999996</v>
      </c>
      <c r="T243" s="2">
        <v>113</v>
      </c>
      <c r="U243" s="2">
        <v>0.293383</v>
      </c>
      <c r="V243" s="2">
        <v>242</v>
      </c>
      <c r="W243" s="2">
        <v>2003</v>
      </c>
    </row>
    <row r="244" spans="1:23" ht="12.3" x14ac:dyDescent="0.4">
      <c r="A244" s="2" t="s">
        <v>288</v>
      </c>
      <c r="B244" s="2">
        <v>16</v>
      </c>
      <c r="C244" s="4"/>
      <c r="D244" s="4"/>
      <c r="E244" s="4"/>
      <c r="F244" s="4"/>
      <c r="G244" s="4"/>
      <c r="H244" s="4"/>
      <c r="I244" s="2">
        <v>72.6708</v>
      </c>
      <c r="J244" s="2">
        <v>35</v>
      </c>
      <c r="K244" s="2">
        <v>73.357100000000003</v>
      </c>
      <c r="L244" s="2">
        <v>21</v>
      </c>
      <c r="M244" s="2">
        <v>100.14830000000001</v>
      </c>
      <c r="N244" s="2">
        <v>187</v>
      </c>
      <c r="O244" s="2">
        <v>96.287999999999997</v>
      </c>
      <c r="P244" s="2">
        <v>254</v>
      </c>
      <c r="Q244" s="2">
        <v>97.6678</v>
      </c>
      <c r="R244" s="2">
        <v>84</v>
      </c>
      <c r="S244" s="2">
        <v>103.9392</v>
      </c>
      <c r="T244" s="2">
        <v>221</v>
      </c>
      <c r="U244" s="2">
        <v>0.29331800000000002</v>
      </c>
      <c r="V244" s="2">
        <v>243</v>
      </c>
      <c r="W244" s="2">
        <v>2003</v>
      </c>
    </row>
    <row r="245" spans="1:23" ht="12.3" x14ac:dyDescent="0.4">
      <c r="A245" s="2" t="s">
        <v>193</v>
      </c>
      <c r="B245" s="2"/>
      <c r="C245" s="2"/>
      <c r="D245" s="2"/>
      <c r="E245" s="2"/>
      <c r="F245" s="2"/>
      <c r="G245" s="2"/>
      <c r="H245" s="2"/>
      <c r="I245" s="2">
        <v>73.931899999999999</v>
      </c>
      <c r="J245" s="2">
        <v>20</v>
      </c>
      <c r="K245" s="2">
        <v>74.132300000000001</v>
      </c>
      <c r="L245" s="2">
        <v>11</v>
      </c>
      <c r="M245" s="2">
        <v>95.003200000000007</v>
      </c>
      <c r="N245" s="2">
        <v>267</v>
      </c>
      <c r="O245" s="2">
        <v>94.699799999999996</v>
      </c>
      <c r="P245" s="2">
        <v>271</v>
      </c>
      <c r="Q245" s="2">
        <v>100.7555</v>
      </c>
      <c r="R245" s="2">
        <v>164</v>
      </c>
      <c r="S245" s="2">
        <v>102.23439999999999</v>
      </c>
      <c r="T245" s="2">
        <v>184</v>
      </c>
      <c r="U245" s="2">
        <v>0.29309600000000002</v>
      </c>
      <c r="V245" s="2">
        <v>244</v>
      </c>
      <c r="W245" s="2">
        <v>2003</v>
      </c>
    </row>
    <row r="246" spans="1:23" ht="12.3" x14ac:dyDescent="0.4">
      <c r="A246" s="2" t="s">
        <v>299</v>
      </c>
      <c r="B246" s="2"/>
      <c r="C246" s="2"/>
      <c r="D246" s="2"/>
      <c r="E246" s="2"/>
      <c r="F246" s="2"/>
      <c r="G246" s="2"/>
      <c r="H246" s="2"/>
      <c r="I246" s="2">
        <v>70.859099999999998</v>
      </c>
      <c r="J246" s="2">
        <v>79</v>
      </c>
      <c r="K246" s="2">
        <v>68.743300000000005</v>
      </c>
      <c r="L246" s="2">
        <v>151</v>
      </c>
      <c r="M246" s="2">
        <v>106.1131</v>
      </c>
      <c r="N246" s="2">
        <v>67</v>
      </c>
      <c r="O246" s="2">
        <v>104.1678</v>
      </c>
      <c r="P246" s="2">
        <v>105</v>
      </c>
      <c r="Q246" s="2">
        <v>104.3938</v>
      </c>
      <c r="R246" s="2">
        <v>240</v>
      </c>
      <c r="S246" s="2">
        <v>112.6113</v>
      </c>
      <c r="T246" s="2">
        <v>318</v>
      </c>
      <c r="U246" s="2">
        <v>0.28981200000000001</v>
      </c>
      <c r="V246" s="2">
        <v>245</v>
      </c>
      <c r="W246" s="2">
        <v>2003</v>
      </c>
    </row>
    <row r="247" spans="1:23" ht="12.3" x14ac:dyDescent="0.4">
      <c r="A247" s="2" t="s">
        <v>135</v>
      </c>
      <c r="B247" s="2"/>
      <c r="C247" s="2"/>
      <c r="D247" s="2"/>
      <c r="E247" s="2"/>
      <c r="F247" s="2"/>
      <c r="G247" s="2"/>
      <c r="H247" s="2"/>
      <c r="I247" s="2">
        <v>71.159700000000001</v>
      </c>
      <c r="J247" s="2">
        <v>70</v>
      </c>
      <c r="K247" s="2">
        <v>71.002099999999999</v>
      </c>
      <c r="L247" s="2">
        <v>66</v>
      </c>
      <c r="M247" s="2">
        <v>100.05410000000001</v>
      </c>
      <c r="N247" s="2">
        <v>189</v>
      </c>
      <c r="O247" s="2">
        <v>93.856399999999994</v>
      </c>
      <c r="P247" s="2">
        <v>279</v>
      </c>
      <c r="Q247" s="2">
        <v>95.775400000000005</v>
      </c>
      <c r="R247" s="2">
        <v>43</v>
      </c>
      <c r="S247" s="2">
        <v>101.474</v>
      </c>
      <c r="T247" s="2">
        <v>171</v>
      </c>
      <c r="U247" s="2">
        <v>0.28958200000000001</v>
      </c>
      <c r="V247" s="2">
        <v>246</v>
      </c>
      <c r="W247" s="2">
        <v>2003</v>
      </c>
    </row>
    <row r="248" spans="1:23" ht="12.3" x14ac:dyDescent="0.4">
      <c r="A248" s="2" t="s">
        <v>303</v>
      </c>
      <c r="B248" s="2"/>
      <c r="C248" s="2"/>
      <c r="D248" s="2"/>
      <c r="E248" s="2"/>
      <c r="F248" s="2"/>
      <c r="G248" s="2"/>
      <c r="H248" s="2"/>
      <c r="I248" s="2">
        <v>67.805300000000003</v>
      </c>
      <c r="J248" s="2">
        <v>199</v>
      </c>
      <c r="K248" s="2">
        <v>66.747900000000001</v>
      </c>
      <c r="L248" s="2">
        <v>249</v>
      </c>
      <c r="M248" s="2">
        <v>103.43470000000001</v>
      </c>
      <c r="N248" s="2">
        <v>109</v>
      </c>
      <c r="O248" s="2">
        <v>101.5087</v>
      </c>
      <c r="P248" s="2">
        <v>157</v>
      </c>
      <c r="Q248" s="2">
        <v>111.3741</v>
      </c>
      <c r="R248" s="2">
        <v>322</v>
      </c>
      <c r="S248" s="2">
        <v>109.99209999999999</v>
      </c>
      <c r="T248" s="2">
        <v>304</v>
      </c>
      <c r="U248" s="2">
        <v>0.28433900000000001</v>
      </c>
      <c r="V248" s="2">
        <v>247</v>
      </c>
      <c r="W248" s="2">
        <v>2003</v>
      </c>
    </row>
    <row r="249" spans="1:23" ht="12.3" x14ac:dyDescent="0.4">
      <c r="A249" s="2" t="s">
        <v>342</v>
      </c>
      <c r="B249" s="2"/>
      <c r="C249" s="2"/>
      <c r="D249" s="2"/>
      <c r="E249" s="2"/>
      <c r="F249" s="2"/>
      <c r="G249" s="2"/>
      <c r="H249" s="2"/>
      <c r="I249" s="2">
        <v>70.263800000000003</v>
      </c>
      <c r="J249" s="2">
        <v>102</v>
      </c>
      <c r="K249" s="2">
        <v>68.569599999999994</v>
      </c>
      <c r="L249" s="2">
        <v>158</v>
      </c>
      <c r="M249" s="2">
        <v>98.791600000000003</v>
      </c>
      <c r="N249" s="2">
        <v>215</v>
      </c>
      <c r="O249" s="2">
        <v>96.902699999999996</v>
      </c>
      <c r="P249" s="2">
        <v>242</v>
      </c>
      <c r="Q249" s="2">
        <v>100.4479</v>
      </c>
      <c r="R249" s="2">
        <v>154</v>
      </c>
      <c r="S249" s="2">
        <v>105.08459999999999</v>
      </c>
      <c r="T249" s="2">
        <v>240</v>
      </c>
      <c r="U249" s="2">
        <v>0.28248499999999999</v>
      </c>
      <c r="V249" s="2">
        <v>248</v>
      </c>
      <c r="W249" s="2">
        <v>2003</v>
      </c>
    </row>
    <row r="250" spans="1:23" ht="12.3" x14ac:dyDescent="0.4">
      <c r="A250" s="2" t="s">
        <v>273</v>
      </c>
      <c r="B250" s="2"/>
      <c r="C250" s="2"/>
      <c r="D250" s="2"/>
      <c r="E250" s="2"/>
      <c r="F250" s="2"/>
      <c r="G250" s="2"/>
      <c r="H250" s="2"/>
      <c r="I250" s="2">
        <v>65.738900000000001</v>
      </c>
      <c r="J250" s="2">
        <v>270</v>
      </c>
      <c r="K250" s="2">
        <v>67.919899999999998</v>
      </c>
      <c r="L250" s="2">
        <v>189</v>
      </c>
      <c r="M250" s="2">
        <v>100.5428</v>
      </c>
      <c r="N250" s="2">
        <v>182</v>
      </c>
      <c r="O250" s="2">
        <v>101.0903</v>
      </c>
      <c r="P250" s="2">
        <v>167</v>
      </c>
      <c r="Q250" s="2">
        <v>104.86</v>
      </c>
      <c r="R250" s="2">
        <v>251</v>
      </c>
      <c r="S250" s="2">
        <v>109.7683</v>
      </c>
      <c r="T250" s="2">
        <v>301</v>
      </c>
      <c r="U250" s="2">
        <v>0.27946599999999999</v>
      </c>
      <c r="V250" s="2">
        <v>249</v>
      </c>
      <c r="W250" s="2">
        <v>2003</v>
      </c>
    </row>
    <row r="251" spans="1:23" ht="12.3" x14ac:dyDescent="0.4">
      <c r="A251" s="2" t="s">
        <v>222</v>
      </c>
      <c r="B251" s="2"/>
      <c r="C251" s="2"/>
      <c r="D251" s="2"/>
      <c r="E251" s="2"/>
      <c r="F251" s="2"/>
      <c r="G251" s="2"/>
      <c r="H251" s="2"/>
      <c r="I251" s="2">
        <v>67.599199999999996</v>
      </c>
      <c r="J251" s="2">
        <v>211</v>
      </c>
      <c r="K251" s="2">
        <v>67.658000000000001</v>
      </c>
      <c r="L251" s="2">
        <v>201</v>
      </c>
      <c r="M251" s="2">
        <v>96.091700000000003</v>
      </c>
      <c r="N251" s="2">
        <v>257</v>
      </c>
      <c r="O251" s="2">
        <v>96.032700000000006</v>
      </c>
      <c r="P251" s="2">
        <v>258</v>
      </c>
      <c r="Q251" s="2">
        <v>107.2663</v>
      </c>
      <c r="R251" s="2">
        <v>283</v>
      </c>
      <c r="S251" s="2">
        <v>104.4157</v>
      </c>
      <c r="T251" s="2">
        <v>227</v>
      </c>
      <c r="U251" s="2">
        <v>0.27638800000000002</v>
      </c>
      <c r="V251" s="2">
        <v>250</v>
      </c>
      <c r="W251" s="2">
        <v>2003</v>
      </c>
    </row>
    <row r="252" spans="1:23" ht="12.3" x14ac:dyDescent="0.4">
      <c r="A252" s="2" t="s">
        <v>276</v>
      </c>
      <c r="B252" s="2"/>
      <c r="C252" s="2"/>
      <c r="D252" s="2"/>
      <c r="E252" s="2"/>
      <c r="F252" s="2"/>
      <c r="G252" s="2"/>
      <c r="H252" s="2"/>
      <c r="I252" s="2">
        <v>75.594700000000003</v>
      </c>
      <c r="J252" s="2">
        <v>8</v>
      </c>
      <c r="K252" s="2">
        <v>73.803399999999996</v>
      </c>
      <c r="L252" s="2">
        <v>15</v>
      </c>
      <c r="M252" s="2">
        <v>99.433199999999999</v>
      </c>
      <c r="N252" s="2">
        <v>204</v>
      </c>
      <c r="O252" s="2">
        <v>97.685199999999995</v>
      </c>
      <c r="P252" s="2">
        <v>230</v>
      </c>
      <c r="Q252" s="2">
        <v>105.1618</v>
      </c>
      <c r="R252" s="2">
        <v>256</v>
      </c>
      <c r="S252" s="2">
        <v>106.28530000000001</v>
      </c>
      <c r="T252" s="2">
        <v>264</v>
      </c>
      <c r="U252" s="2">
        <v>0.27481299999999997</v>
      </c>
      <c r="V252" s="2">
        <v>251</v>
      </c>
      <c r="W252" s="2">
        <v>2003</v>
      </c>
    </row>
    <row r="253" spans="1:23" ht="12.3" x14ac:dyDescent="0.4">
      <c r="A253" s="2" t="s">
        <v>243</v>
      </c>
      <c r="B253" s="2"/>
      <c r="C253" s="2"/>
      <c r="D253" s="2"/>
      <c r="E253" s="2"/>
      <c r="F253" s="2"/>
      <c r="G253" s="2"/>
      <c r="H253" s="2"/>
      <c r="I253" s="2">
        <v>69.613399999999999</v>
      </c>
      <c r="J253" s="2">
        <v>120</v>
      </c>
      <c r="K253" s="2">
        <v>69.869200000000006</v>
      </c>
      <c r="L253" s="2">
        <v>105</v>
      </c>
      <c r="M253" s="2">
        <v>92.428700000000006</v>
      </c>
      <c r="N253" s="2">
        <v>299</v>
      </c>
      <c r="O253" s="2">
        <v>95.809399999999997</v>
      </c>
      <c r="P253" s="2">
        <v>259</v>
      </c>
      <c r="Q253" s="2">
        <v>101.5222</v>
      </c>
      <c r="R253" s="2">
        <v>186</v>
      </c>
      <c r="S253" s="2">
        <v>104.355</v>
      </c>
      <c r="T253" s="2">
        <v>226</v>
      </c>
      <c r="U253" s="2">
        <v>0.27238899999999999</v>
      </c>
      <c r="V253" s="2">
        <v>252</v>
      </c>
      <c r="W253" s="2">
        <v>2003</v>
      </c>
    </row>
    <row r="254" spans="1:23" ht="12.3" x14ac:dyDescent="0.4">
      <c r="A254" s="2" t="s">
        <v>332</v>
      </c>
      <c r="B254" s="2"/>
      <c r="C254" s="2"/>
      <c r="D254" s="2"/>
      <c r="E254" s="2"/>
      <c r="F254" s="2"/>
      <c r="G254" s="2"/>
      <c r="H254" s="2"/>
      <c r="I254" s="2">
        <v>70.443200000000004</v>
      </c>
      <c r="J254" s="2">
        <v>95</v>
      </c>
      <c r="K254" s="2">
        <v>70.801699999999997</v>
      </c>
      <c r="L254" s="2">
        <v>73</v>
      </c>
      <c r="M254" s="2">
        <v>96.360299999999995</v>
      </c>
      <c r="N254" s="2">
        <v>251</v>
      </c>
      <c r="O254" s="2">
        <v>94.455600000000004</v>
      </c>
      <c r="P254" s="2">
        <v>276</v>
      </c>
      <c r="Q254" s="2">
        <v>98.586600000000004</v>
      </c>
      <c r="R254" s="2">
        <v>108</v>
      </c>
      <c r="S254" s="2">
        <v>103.0343</v>
      </c>
      <c r="T254" s="2">
        <v>200</v>
      </c>
      <c r="U254" s="2">
        <v>0.26899699999999999</v>
      </c>
      <c r="V254" s="2">
        <v>253</v>
      </c>
      <c r="W254" s="2">
        <v>2003</v>
      </c>
    </row>
    <row r="255" spans="1:23" ht="12.3" x14ac:dyDescent="0.4">
      <c r="A255" s="2" t="s">
        <v>305</v>
      </c>
      <c r="B255" s="2"/>
      <c r="C255" s="2"/>
      <c r="D255" s="2"/>
      <c r="E255" s="2"/>
      <c r="F255" s="2"/>
      <c r="G255" s="2"/>
      <c r="H255" s="2"/>
      <c r="I255" s="2">
        <v>66.734099999999998</v>
      </c>
      <c r="J255" s="2">
        <v>245</v>
      </c>
      <c r="K255" s="2">
        <v>66.797399999999996</v>
      </c>
      <c r="L255" s="2">
        <v>243</v>
      </c>
      <c r="M255" s="2">
        <v>96.670400000000001</v>
      </c>
      <c r="N255" s="2">
        <v>246</v>
      </c>
      <c r="O255" s="2">
        <v>93.061700000000002</v>
      </c>
      <c r="P255" s="2">
        <v>285</v>
      </c>
      <c r="Q255" s="2">
        <v>97.515199999999993</v>
      </c>
      <c r="R255" s="2">
        <v>78</v>
      </c>
      <c r="S255" s="2">
        <v>101.866</v>
      </c>
      <c r="T255" s="2">
        <v>179</v>
      </c>
      <c r="U255" s="2">
        <v>0.261237</v>
      </c>
      <c r="V255" s="2">
        <v>254</v>
      </c>
      <c r="W255" s="2">
        <v>2003</v>
      </c>
    </row>
    <row r="256" spans="1:23" ht="12.3" x14ac:dyDescent="0.4">
      <c r="A256" s="2" t="s">
        <v>127</v>
      </c>
      <c r="B256" s="2"/>
      <c r="C256" s="2"/>
      <c r="D256" s="2"/>
      <c r="E256" s="2"/>
      <c r="F256" s="2"/>
      <c r="G256" s="2"/>
      <c r="H256" s="2"/>
      <c r="I256" s="2">
        <v>70.717699999999994</v>
      </c>
      <c r="J256" s="2">
        <v>86</v>
      </c>
      <c r="K256" s="2">
        <v>68.926500000000004</v>
      </c>
      <c r="L256" s="2">
        <v>142</v>
      </c>
      <c r="M256" s="2">
        <v>97.796199999999999</v>
      </c>
      <c r="N256" s="2">
        <v>233</v>
      </c>
      <c r="O256" s="2">
        <v>96.744200000000006</v>
      </c>
      <c r="P256" s="2">
        <v>251</v>
      </c>
      <c r="Q256" s="2">
        <v>105.62260000000001</v>
      </c>
      <c r="R256" s="2">
        <v>258</v>
      </c>
      <c r="S256" s="2">
        <v>105.934</v>
      </c>
      <c r="T256" s="2">
        <v>257</v>
      </c>
      <c r="U256" s="2">
        <v>0.26046200000000003</v>
      </c>
      <c r="V256" s="2">
        <v>255</v>
      </c>
      <c r="W256" s="2">
        <v>2003</v>
      </c>
    </row>
    <row r="257" spans="1:23" ht="12.3" x14ac:dyDescent="0.4">
      <c r="A257" s="2" t="s">
        <v>214</v>
      </c>
      <c r="B257" s="2"/>
      <c r="C257" s="2"/>
      <c r="D257" s="2"/>
      <c r="E257" s="2"/>
      <c r="F257" s="2"/>
      <c r="G257" s="2"/>
      <c r="H257" s="2"/>
      <c r="I257" s="2">
        <v>69.467399999999998</v>
      </c>
      <c r="J257" s="2">
        <v>133</v>
      </c>
      <c r="K257" s="2">
        <v>67.940799999999996</v>
      </c>
      <c r="L257" s="2">
        <v>188</v>
      </c>
      <c r="M257" s="2">
        <v>94.196399999999997</v>
      </c>
      <c r="N257" s="2">
        <v>278</v>
      </c>
      <c r="O257" s="2">
        <v>92.944500000000005</v>
      </c>
      <c r="P257" s="2">
        <v>287</v>
      </c>
      <c r="Q257" s="2">
        <v>100.941</v>
      </c>
      <c r="R257" s="2">
        <v>168</v>
      </c>
      <c r="S257" s="2">
        <v>101.8222</v>
      </c>
      <c r="T257" s="2">
        <v>178</v>
      </c>
      <c r="U257" s="2">
        <v>0.25939800000000002</v>
      </c>
      <c r="V257" s="2">
        <v>256</v>
      </c>
      <c r="W257" s="2">
        <v>2003</v>
      </c>
    </row>
    <row r="258" spans="1:23" ht="12.3" x14ac:dyDescent="0.4">
      <c r="A258" s="2" t="s">
        <v>328</v>
      </c>
      <c r="B258" s="2"/>
      <c r="C258" s="2"/>
      <c r="D258" s="2"/>
      <c r="E258" s="2"/>
      <c r="F258" s="2"/>
      <c r="G258" s="2"/>
      <c r="H258" s="2"/>
      <c r="I258" s="2">
        <v>67.760999999999996</v>
      </c>
      <c r="J258" s="2">
        <v>200</v>
      </c>
      <c r="K258" s="2">
        <v>67.718699999999998</v>
      </c>
      <c r="L258" s="2">
        <v>197</v>
      </c>
      <c r="M258" s="2">
        <v>94.113100000000003</v>
      </c>
      <c r="N258" s="2">
        <v>279</v>
      </c>
      <c r="O258" s="2">
        <v>95.636700000000005</v>
      </c>
      <c r="P258" s="2">
        <v>261</v>
      </c>
      <c r="Q258" s="2">
        <v>101.55880000000001</v>
      </c>
      <c r="R258" s="2">
        <v>187</v>
      </c>
      <c r="S258" s="2">
        <v>104.8514</v>
      </c>
      <c r="T258" s="2">
        <v>234</v>
      </c>
      <c r="U258" s="2">
        <v>0.25771899999999998</v>
      </c>
      <c r="V258" s="2">
        <v>257</v>
      </c>
      <c r="W258" s="2">
        <v>2003</v>
      </c>
    </row>
    <row r="259" spans="1:23" ht="12.3" x14ac:dyDescent="0.4">
      <c r="A259" s="2" t="s">
        <v>297</v>
      </c>
      <c r="B259" s="2"/>
      <c r="C259" s="2"/>
      <c r="D259" s="2"/>
      <c r="E259" s="2"/>
      <c r="F259" s="2"/>
      <c r="G259" s="2"/>
      <c r="H259" s="2"/>
      <c r="I259" s="2">
        <v>67.336200000000005</v>
      </c>
      <c r="J259" s="2">
        <v>224</v>
      </c>
      <c r="K259" s="2">
        <v>65.7256</v>
      </c>
      <c r="L259" s="2">
        <v>275</v>
      </c>
      <c r="M259" s="2">
        <v>93.802400000000006</v>
      </c>
      <c r="N259" s="2">
        <v>286</v>
      </c>
      <c r="O259" s="2">
        <v>89.551299999999998</v>
      </c>
      <c r="P259" s="2">
        <v>310</v>
      </c>
      <c r="Q259" s="2">
        <v>94.318399999999997</v>
      </c>
      <c r="R259" s="2">
        <v>29</v>
      </c>
      <c r="S259" s="2">
        <v>98.218800000000002</v>
      </c>
      <c r="T259" s="2">
        <v>101</v>
      </c>
      <c r="U259" s="2">
        <v>0.25684299999999999</v>
      </c>
      <c r="V259" s="2">
        <v>258</v>
      </c>
      <c r="W259" s="2">
        <v>2003</v>
      </c>
    </row>
    <row r="260" spans="1:23" ht="12.3" x14ac:dyDescent="0.4">
      <c r="A260" s="2" t="s">
        <v>317</v>
      </c>
      <c r="B260" s="2"/>
      <c r="C260" s="2"/>
      <c r="D260" s="2"/>
      <c r="E260" s="2"/>
      <c r="F260" s="2"/>
      <c r="G260" s="2"/>
      <c r="H260" s="2"/>
      <c r="I260" s="2">
        <v>66.771299999999997</v>
      </c>
      <c r="J260" s="2">
        <v>243</v>
      </c>
      <c r="K260" s="2">
        <v>67.2363</v>
      </c>
      <c r="L260" s="2">
        <v>221</v>
      </c>
      <c r="M260" s="2">
        <v>92.444800000000001</v>
      </c>
      <c r="N260" s="2">
        <v>298</v>
      </c>
      <c r="O260" s="2">
        <v>92.839399999999998</v>
      </c>
      <c r="P260" s="2">
        <v>288</v>
      </c>
      <c r="Q260" s="2">
        <v>104.1555</v>
      </c>
      <c r="R260" s="2">
        <v>236</v>
      </c>
      <c r="S260" s="2">
        <v>101.92400000000001</v>
      </c>
      <c r="T260" s="2">
        <v>180</v>
      </c>
      <c r="U260" s="2">
        <v>0.25472</v>
      </c>
      <c r="V260" s="2">
        <v>259</v>
      </c>
      <c r="W260" s="2">
        <v>2003</v>
      </c>
    </row>
    <row r="261" spans="1:23" ht="12.3" x14ac:dyDescent="0.4">
      <c r="A261" s="2" t="s">
        <v>249</v>
      </c>
      <c r="B261" s="2"/>
      <c r="C261" s="2"/>
      <c r="D261" s="2"/>
      <c r="E261" s="2"/>
      <c r="F261" s="2"/>
      <c r="G261" s="2"/>
      <c r="H261" s="2"/>
      <c r="I261" s="2">
        <v>70.970500000000001</v>
      </c>
      <c r="J261" s="2">
        <v>76</v>
      </c>
      <c r="K261" s="2">
        <v>70.826400000000007</v>
      </c>
      <c r="L261" s="2">
        <v>70</v>
      </c>
      <c r="M261" s="2">
        <v>92.270600000000002</v>
      </c>
      <c r="N261" s="2">
        <v>301</v>
      </c>
      <c r="O261" s="2">
        <v>96.116200000000006</v>
      </c>
      <c r="P261" s="2">
        <v>256</v>
      </c>
      <c r="Q261" s="2">
        <v>109.27679999999999</v>
      </c>
      <c r="R261" s="2">
        <v>309</v>
      </c>
      <c r="S261" s="2">
        <v>105.6071</v>
      </c>
      <c r="T261" s="2">
        <v>249</v>
      </c>
      <c r="U261" s="2">
        <v>0.25295200000000001</v>
      </c>
      <c r="V261" s="2">
        <v>260</v>
      </c>
      <c r="W261" s="2">
        <v>2003</v>
      </c>
    </row>
    <row r="262" spans="1:23" ht="12.3" x14ac:dyDescent="0.4">
      <c r="A262" s="2" t="s">
        <v>237</v>
      </c>
      <c r="B262" s="2"/>
      <c r="C262" s="2"/>
      <c r="D262" s="2"/>
      <c r="E262" s="2"/>
      <c r="F262" s="2"/>
      <c r="G262" s="2"/>
      <c r="H262" s="2"/>
      <c r="I262" s="2">
        <v>66.197599999999994</v>
      </c>
      <c r="J262" s="2">
        <v>262</v>
      </c>
      <c r="K262" s="2">
        <v>65.775999999999996</v>
      </c>
      <c r="L262" s="2">
        <v>273</v>
      </c>
      <c r="M262" s="2">
        <v>101.40430000000001</v>
      </c>
      <c r="N262" s="2">
        <v>162</v>
      </c>
      <c r="O262" s="2">
        <v>100.03319999999999</v>
      </c>
      <c r="P262" s="2">
        <v>191</v>
      </c>
      <c r="Q262" s="2">
        <v>109.94710000000001</v>
      </c>
      <c r="R262" s="2">
        <v>314</v>
      </c>
      <c r="S262" s="2">
        <v>109.9735</v>
      </c>
      <c r="T262" s="2">
        <v>303</v>
      </c>
      <c r="U262" s="2">
        <v>0.251716</v>
      </c>
      <c r="V262" s="2">
        <v>261</v>
      </c>
      <c r="W262" s="2">
        <v>2003</v>
      </c>
    </row>
    <row r="263" spans="1:23" ht="12.3" x14ac:dyDescent="0.4">
      <c r="A263" s="2" t="s">
        <v>325</v>
      </c>
      <c r="B263" s="2">
        <v>16</v>
      </c>
      <c r="C263" s="4"/>
      <c r="D263" s="4"/>
      <c r="E263" s="4"/>
      <c r="F263" s="4"/>
      <c r="G263" s="4"/>
      <c r="H263" s="4"/>
      <c r="I263" s="2">
        <v>70.805700000000002</v>
      </c>
      <c r="J263" s="2">
        <v>81</v>
      </c>
      <c r="K263" s="2">
        <v>69.304500000000004</v>
      </c>
      <c r="L263" s="2">
        <v>127</v>
      </c>
      <c r="M263" s="2">
        <v>102.1859</v>
      </c>
      <c r="N263" s="2">
        <v>146</v>
      </c>
      <c r="O263" s="2">
        <v>97.646699999999996</v>
      </c>
      <c r="P263" s="2">
        <v>231</v>
      </c>
      <c r="Q263" s="2">
        <v>99.9739</v>
      </c>
      <c r="R263" s="2">
        <v>144</v>
      </c>
      <c r="S263" s="2">
        <v>107.60509999999999</v>
      </c>
      <c r="T263" s="2">
        <v>280</v>
      </c>
      <c r="U263" s="2">
        <v>0.24660699999999999</v>
      </c>
      <c r="V263" s="2">
        <v>262</v>
      </c>
      <c r="W263" s="2">
        <v>2003</v>
      </c>
    </row>
    <row r="264" spans="1:23" ht="12.3" x14ac:dyDescent="0.4">
      <c r="A264" s="2" t="s">
        <v>324</v>
      </c>
      <c r="B264" s="2"/>
      <c r="C264" s="2"/>
      <c r="D264" s="2"/>
      <c r="E264" s="2"/>
      <c r="F264" s="2"/>
      <c r="G264" s="2"/>
      <c r="H264" s="2"/>
      <c r="I264" s="2">
        <v>73.638000000000005</v>
      </c>
      <c r="J264" s="2">
        <v>23</v>
      </c>
      <c r="K264" s="2">
        <v>72.664199999999994</v>
      </c>
      <c r="L264" s="2">
        <v>30</v>
      </c>
      <c r="M264" s="2">
        <v>101.5056</v>
      </c>
      <c r="N264" s="2">
        <v>160</v>
      </c>
      <c r="O264" s="2">
        <v>99.330600000000004</v>
      </c>
      <c r="P264" s="2">
        <v>199</v>
      </c>
      <c r="Q264" s="2">
        <v>109.7111</v>
      </c>
      <c r="R264" s="2">
        <v>313</v>
      </c>
      <c r="S264" s="2">
        <v>109.6101</v>
      </c>
      <c r="T264" s="2">
        <v>299</v>
      </c>
      <c r="U264" s="2">
        <v>0.24370600000000001</v>
      </c>
      <c r="V264" s="2">
        <v>263</v>
      </c>
      <c r="W264" s="2">
        <v>2003</v>
      </c>
    </row>
    <row r="265" spans="1:23" ht="12.3" x14ac:dyDescent="0.4">
      <c r="A265" s="2" t="s">
        <v>336</v>
      </c>
      <c r="B265" s="2"/>
      <c r="C265" s="2"/>
      <c r="D265" s="2"/>
      <c r="E265" s="2"/>
      <c r="F265" s="2"/>
      <c r="G265" s="2"/>
      <c r="H265" s="2"/>
      <c r="I265" s="2">
        <v>66.358699999999999</v>
      </c>
      <c r="J265" s="2">
        <v>255</v>
      </c>
      <c r="K265" s="2">
        <v>66.762</v>
      </c>
      <c r="L265" s="2">
        <v>247</v>
      </c>
      <c r="M265" s="2">
        <v>95.865899999999996</v>
      </c>
      <c r="N265" s="2">
        <v>259</v>
      </c>
      <c r="O265" s="2">
        <v>95.629099999999994</v>
      </c>
      <c r="P265" s="2">
        <v>262</v>
      </c>
      <c r="Q265" s="2">
        <v>101.12009999999999</v>
      </c>
      <c r="R265" s="2">
        <v>172</v>
      </c>
      <c r="S265" s="2">
        <v>105.64100000000001</v>
      </c>
      <c r="T265" s="2">
        <v>250</v>
      </c>
      <c r="U265" s="2">
        <v>0.241395</v>
      </c>
      <c r="V265" s="2">
        <v>264</v>
      </c>
      <c r="W265" s="2">
        <v>2003</v>
      </c>
    </row>
    <row r="266" spans="1:23" ht="12.3" x14ac:dyDescent="0.4">
      <c r="A266" s="2" t="s">
        <v>265</v>
      </c>
      <c r="B266" s="2"/>
      <c r="C266" s="2"/>
      <c r="D266" s="2"/>
      <c r="E266" s="2"/>
      <c r="F266" s="2"/>
      <c r="G266" s="2"/>
      <c r="H266" s="2"/>
      <c r="I266" s="2">
        <v>60.4876</v>
      </c>
      <c r="J266" s="2">
        <v>322</v>
      </c>
      <c r="K266" s="2">
        <v>60.597900000000003</v>
      </c>
      <c r="L266" s="2">
        <v>322</v>
      </c>
      <c r="M266" s="2">
        <v>101.6446</v>
      </c>
      <c r="N266" s="2">
        <v>155</v>
      </c>
      <c r="O266" s="2">
        <v>97.539299999999997</v>
      </c>
      <c r="P266" s="2">
        <v>232</v>
      </c>
      <c r="Q266" s="2">
        <v>102.4669</v>
      </c>
      <c r="R266" s="2">
        <v>205</v>
      </c>
      <c r="S266" s="2">
        <v>107.7861</v>
      </c>
      <c r="T266" s="2">
        <v>282</v>
      </c>
      <c r="U266" s="2">
        <v>0.24071400000000001</v>
      </c>
      <c r="V266" s="2">
        <v>265</v>
      </c>
      <c r="W266" s="2">
        <v>2003</v>
      </c>
    </row>
    <row r="267" spans="1:23" ht="12.3" x14ac:dyDescent="0.4">
      <c r="A267" s="2" t="s">
        <v>312</v>
      </c>
      <c r="B267" s="2"/>
      <c r="C267" s="2"/>
      <c r="D267" s="2"/>
      <c r="E267" s="2"/>
      <c r="F267" s="2"/>
      <c r="G267" s="2"/>
      <c r="H267" s="2"/>
      <c r="I267" s="2">
        <v>74.870400000000004</v>
      </c>
      <c r="J267" s="2">
        <v>11</v>
      </c>
      <c r="K267" s="2">
        <v>73.722099999999998</v>
      </c>
      <c r="L267" s="2">
        <v>19</v>
      </c>
      <c r="M267" s="2">
        <v>93.939899999999994</v>
      </c>
      <c r="N267" s="2">
        <v>284</v>
      </c>
      <c r="O267" s="2">
        <v>93.259200000000007</v>
      </c>
      <c r="P267" s="2">
        <v>282</v>
      </c>
      <c r="Q267" s="2">
        <v>98.673500000000004</v>
      </c>
      <c r="R267" s="2">
        <v>112</v>
      </c>
      <c r="S267" s="2">
        <v>103.0976</v>
      </c>
      <c r="T267" s="2">
        <v>201</v>
      </c>
      <c r="U267" s="2">
        <v>0.239875</v>
      </c>
      <c r="V267" s="2">
        <v>266</v>
      </c>
      <c r="W267" s="2">
        <v>2003</v>
      </c>
    </row>
    <row r="268" spans="1:23" ht="12.3" x14ac:dyDescent="0.4">
      <c r="A268" s="2" t="s">
        <v>257</v>
      </c>
      <c r="B268" s="2"/>
      <c r="C268" s="2"/>
      <c r="D268" s="2"/>
      <c r="E268" s="2"/>
      <c r="F268" s="2"/>
      <c r="G268" s="2"/>
      <c r="H268" s="2"/>
      <c r="I268" s="2">
        <v>63.965400000000002</v>
      </c>
      <c r="J268" s="2">
        <v>303</v>
      </c>
      <c r="K268" s="2">
        <v>63.508099999999999</v>
      </c>
      <c r="L268" s="2">
        <v>308</v>
      </c>
      <c r="M268" s="2">
        <v>99.596900000000005</v>
      </c>
      <c r="N268" s="2">
        <v>200</v>
      </c>
      <c r="O268" s="2">
        <v>100.6991</v>
      </c>
      <c r="P268" s="2">
        <v>177</v>
      </c>
      <c r="Q268" s="2">
        <v>106.1694</v>
      </c>
      <c r="R268" s="2">
        <v>266</v>
      </c>
      <c r="S268" s="2">
        <v>111.40519999999999</v>
      </c>
      <c r="T268" s="2">
        <v>311</v>
      </c>
      <c r="U268" s="2">
        <v>0.238318</v>
      </c>
      <c r="V268" s="2">
        <v>267</v>
      </c>
      <c r="W268" s="2">
        <v>2003</v>
      </c>
    </row>
    <row r="269" spans="1:23" ht="12.3" x14ac:dyDescent="0.4">
      <c r="A269" s="2" t="s">
        <v>191</v>
      </c>
      <c r="B269" s="2"/>
      <c r="C269" s="2"/>
      <c r="D269" s="2"/>
      <c r="E269" s="2"/>
      <c r="F269" s="2"/>
      <c r="G269" s="2"/>
      <c r="H269" s="2"/>
      <c r="I269" s="2">
        <v>66.375600000000006</v>
      </c>
      <c r="J269" s="2">
        <v>253</v>
      </c>
      <c r="K269" s="2">
        <v>66.497900000000001</v>
      </c>
      <c r="L269" s="2">
        <v>257</v>
      </c>
      <c r="M269" s="2">
        <v>101.1661</v>
      </c>
      <c r="N269" s="2">
        <v>166</v>
      </c>
      <c r="O269" s="2">
        <v>100.8976</v>
      </c>
      <c r="P269" s="2">
        <v>175</v>
      </c>
      <c r="Q269" s="2">
        <v>111.9704</v>
      </c>
      <c r="R269" s="2">
        <v>323</v>
      </c>
      <c r="S269" s="2">
        <v>111.6365</v>
      </c>
      <c r="T269" s="2">
        <v>314</v>
      </c>
      <c r="U269" s="2">
        <v>0.238098</v>
      </c>
      <c r="V269" s="2">
        <v>268</v>
      </c>
      <c r="W269" s="2">
        <v>2003</v>
      </c>
    </row>
    <row r="270" spans="1:23" ht="12.3" x14ac:dyDescent="0.4">
      <c r="A270" s="2" t="s">
        <v>344</v>
      </c>
      <c r="B270" s="2"/>
      <c r="C270" s="2"/>
      <c r="D270" s="2"/>
      <c r="E270" s="2"/>
      <c r="F270" s="2"/>
      <c r="G270" s="2"/>
      <c r="H270" s="2"/>
      <c r="I270" s="2">
        <v>69.890199999999993</v>
      </c>
      <c r="J270" s="2">
        <v>116</v>
      </c>
      <c r="K270" s="2">
        <v>69.428100000000001</v>
      </c>
      <c r="L270" s="2">
        <v>120</v>
      </c>
      <c r="M270" s="2">
        <v>101.857</v>
      </c>
      <c r="N270" s="2">
        <v>151</v>
      </c>
      <c r="O270" s="2">
        <v>96.751900000000006</v>
      </c>
      <c r="P270" s="2">
        <v>249</v>
      </c>
      <c r="Q270" s="2">
        <v>104.194</v>
      </c>
      <c r="R270" s="2">
        <v>237</v>
      </c>
      <c r="S270" s="2">
        <v>107.10429999999999</v>
      </c>
      <c r="T270" s="2">
        <v>274</v>
      </c>
      <c r="U270" s="2">
        <v>0.23703399999999999</v>
      </c>
      <c r="V270" s="2">
        <v>269</v>
      </c>
      <c r="W270" s="2">
        <v>2003</v>
      </c>
    </row>
    <row r="271" spans="1:23" ht="12.3" x14ac:dyDescent="0.4">
      <c r="A271" s="2" t="s">
        <v>213</v>
      </c>
      <c r="B271" s="2"/>
      <c r="C271" s="2"/>
      <c r="D271" s="2"/>
      <c r="E271" s="2"/>
      <c r="F271" s="2"/>
      <c r="G271" s="2"/>
      <c r="H271" s="2"/>
      <c r="I271" s="2">
        <v>67.476799999999997</v>
      </c>
      <c r="J271" s="2">
        <v>219</v>
      </c>
      <c r="K271" s="2">
        <v>68.492099999999994</v>
      </c>
      <c r="L271" s="2">
        <v>163</v>
      </c>
      <c r="M271" s="2">
        <v>95.982399999999998</v>
      </c>
      <c r="N271" s="2">
        <v>258</v>
      </c>
      <c r="O271" s="2">
        <v>94.19</v>
      </c>
      <c r="P271" s="2">
        <v>277</v>
      </c>
      <c r="Q271" s="2">
        <v>107.14409999999999</v>
      </c>
      <c r="R271" s="2">
        <v>280</v>
      </c>
      <c r="S271" s="2">
        <v>104.28700000000001</v>
      </c>
      <c r="T271" s="2">
        <v>225</v>
      </c>
      <c r="U271" s="2">
        <v>0.23666000000000001</v>
      </c>
      <c r="V271" s="2">
        <v>270</v>
      </c>
      <c r="W271" s="2">
        <v>2003</v>
      </c>
    </row>
    <row r="272" spans="1:23" ht="12.3" x14ac:dyDescent="0.4">
      <c r="A272" s="2" t="s">
        <v>301</v>
      </c>
      <c r="B272" s="2"/>
      <c r="C272" s="2"/>
      <c r="D272" s="2"/>
      <c r="E272" s="2"/>
      <c r="F272" s="2"/>
      <c r="G272" s="2"/>
      <c r="H272" s="2"/>
      <c r="I272" s="2">
        <v>68.887100000000004</v>
      </c>
      <c r="J272" s="2">
        <v>148</v>
      </c>
      <c r="K272" s="2">
        <v>69.247799999999998</v>
      </c>
      <c r="L272" s="2">
        <v>129</v>
      </c>
      <c r="M272" s="2">
        <v>101.5414</v>
      </c>
      <c r="N272" s="2">
        <v>159</v>
      </c>
      <c r="O272" s="2">
        <v>97.147499999999994</v>
      </c>
      <c r="P272" s="2">
        <v>237</v>
      </c>
      <c r="Q272" s="2">
        <v>101.2799</v>
      </c>
      <c r="R272" s="2">
        <v>178</v>
      </c>
      <c r="S272" s="2">
        <v>107.6994</v>
      </c>
      <c r="T272" s="2">
        <v>281</v>
      </c>
      <c r="U272" s="2">
        <v>0.23401</v>
      </c>
      <c r="V272" s="2">
        <v>271</v>
      </c>
      <c r="W272" s="2">
        <v>2003</v>
      </c>
    </row>
    <row r="273" spans="1:23" ht="12.3" x14ac:dyDescent="0.4">
      <c r="A273" s="2" t="s">
        <v>334</v>
      </c>
      <c r="B273" s="2"/>
      <c r="C273" s="2"/>
      <c r="D273" s="2"/>
      <c r="E273" s="2"/>
      <c r="F273" s="2"/>
      <c r="G273" s="2"/>
      <c r="H273" s="2"/>
      <c r="I273" s="2">
        <v>67.494299999999996</v>
      </c>
      <c r="J273" s="2">
        <v>218</v>
      </c>
      <c r="K273" s="2">
        <v>67.2376</v>
      </c>
      <c r="L273" s="2">
        <v>220</v>
      </c>
      <c r="M273" s="2">
        <v>99.559700000000007</v>
      </c>
      <c r="N273" s="2">
        <v>202</v>
      </c>
      <c r="O273" s="2">
        <v>97.173900000000003</v>
      </c>
      <c r="P273" s="2">
        <v>236</v>
      </c>
      <c r="Q273" s="2">
        <v>102.8116</v>
      </c>
      <c r="R273" s="2">
        <v>215</v>
      </c>
      <c r="S273" s="2">
        <v>107.919</v>
      </c>
      <c r="T273" s="2">
        <v>285</v>
      </c>
      <c r="U273" s="2">
        <v>0.23039000000000001</v>
      </c>
      <c r="V273" s="2">
        <v>272</v>
      </c>
      <c r="W273" s="2">
        <v>2003</v>
      </c>
    </row>
    <row r="274" spans="1:23" ht="12.3" x14ac:dyDescent="0.4">
      <c r="A274" s="2" t="s">
        <v>322</v>
      </c>
      <c r="B274" s="2"/>
      <c r="C274" s="2"/>
      <c r="D274" s="2"/>
      <c r="E274" s="2"/>
      <c r="F274" s="2"/>
      <c r="G274" s="2"/>
      <c r="H274" s="2"/>
      <c r="I274" s="2">
        <v>70.976200000000006</v>
      </c>
      <c r="J274" s="2">
        <v>74</v>
      </c>
      <c r="K274" s="2">
        <v>70.509500000000003</v>
      </c>
      <c r="L274" s="2">
        <v>83</v>
      </c>
      <c r="M274" s="2">
        <v>94.954099999999997</v>
      </c>
      <c r="N274" s="2">
        <v>268</v>
      </c>
      <c r="O274" s="2">
        <v>94.807599999999994</v>
      </c>
      <c r="P274" s="2">
        <v>268</v>
      </c>
      <c r="Q274" s="2">
        <v>106.3008</v>
      </c>
      <c r="R274" s="2">
        <v>271</v>
      </c>
      <c r="S274" s="2">
        <v>105.4376</v>
      </c>
      <c r="T274" s="2">
        <v>245</v>
      </c>
      <c r="U274" s="2">
        <v>0.22756599999999999</v>
      </c>
      <c r="V274" s="2">
        <v>273</v>
      </c>
      <c r="W274" s="2">
        <v>2003</v>
      </c>
    </row>
    <row r="275" spans="1:23" ht="12.3" x14ac:dyDescent="0.4">
      <c r="A275" s="2" t="s">
        <v>261</v>
      </c>
      <c r="B275" s="2"/>
      <c r="C275" s="2"/>
      <c r="D275" s="2"/>
      <c r="E275" s="2"/>
      <c r="F275" s="2"/>
      <c r="G275" s="2"/>
      <c r="H275" s="2"/>
      <c r="I275" s="2">
        <v>73.635099999999994</v>
      </c>
      <c r="J275" s="2">
        <v>24</v>
      </c>
      <c r="K275" s="2">
        <v>71.900499999999994</v>
      </c>
      <c r="L275" s="2">
        <v>45</v>
      </c>
      <c r="M275" s="2">
        <v>93.206599999999995</v>
      </c>
      <c r="N275" s="2">
        <v>289</v>
      </c>
      <c r="O275" s="2">
        <v>92.511499999999998</v>
      </c>
      <c r="P275" s="2">
        <v>291</v>
      </c>
      <c r="Q275" s="2">
        <v>98.274600000000007</v>
      </c>
      <c r="R275" s="2">
        <v>99</v>
      </c>
      <c r="S275" s="2">
        <v>103.1891</v>
      </c>
      <c r="T275" s="2">
        <v>202</v>
      </c>
      <c r="U275" s="2">
        <v>0.221637</v>
      </c>
      <c r="V275" s="2">
        <v>274</v>
      </c>
      <c r="W275" s="2">
        <v>2003</v>
      </c>
    </row>
    <row r="276" spans="1:23" ht="12.3" x14ac:dyDescent="0.4">
      <c r="A276" s="2" t="s">
        <v>343</v>
      </c>
      <c r="B276" s="2"/>
      <c r="C276" s="2"/>
      <c r="D276" s="2"/>
      <c r="E276" s="2"/>
      <c r="F276" s="2"/>
      <c r="G276" s="2"/>
      <c r="H276" s="2"/>
      <c r="I276" s="2">
        <v>74.322800000000001</v>
      </c>
      <c r="J276" s="2">
        <v>14</v>
      </c>
      <c r="K276" s="2">
        <v>74.983099999999993</v>
      </c>
      <c r="L276" s="2">
        <v>6</v>
      </c>
      <c r="M276" s="2">
        <v>98.899699999999996</v>
      </c>
      <c r="N276" s="2">
        <v>212</v>
      </c>
      <c r="O276" s="2">
        <v>97.892300000000006</v>
      </c>
      <c r="P276" s="2">
        <v>227</v>
      </c>
      <c r="Q276" s="2">
        <v>106.6443</v>
      </c>
      <c r="R276" s="2">
        <v>276</v>
      </c>
      <c r="S276" s="2">
        <v>109.208</v>
      </c>
      <c r="T276" s="2">
        <v>295</v>
      </c>
      <c r="U276" s="2">
        <v>0.221328</v>
      </c>
      <c r="V276" s="2">
        <v>275</v>
      </c>
      <c r="W276" s="2">
        <v>2003</v>
      </c>
    </row>
    <row r="277" spans="1:23" ht="12.3" x14ac:dyDescent="0.4">
      <c r="A277" s="2" t="s">
        <v>307</v>
      </c>
      <c r="B277" s="2"/>
      <c r="C277" s="2"/>
      <c r="D277" s="2"/>
      <c r="E277" s="2"/>
      <c r="F277" s="2"/>
      <c r="G277" s="2"/>
      <c r="H277" s="2"/>
      <c r="I277" s="2">
        <v>66.667000000000002</v>
      </c>
      <c r="J277" s="2">
        <v>247</v>
      </c>
      <c r="K277" s="2">
        <v>66.271600000000007</v>
      </c>
      <c r="L277" s="2">
        <v>264</v>
      </c>
      <c r="M277" s="2">
        <v>106.32299999999999</v>
      </c>
      <c r="N277" s="2">
        <v>61</v>
      </c>
      <c r="O277" s="2">
        <v>103.2949</v>
      </c>
      <c r="P277" s="2">
        <v>124</v>
      </c>
      <c r="Q277" s="2">
        <v>111.31319999999999</v>
      </c>
      <c r="R277" s="2">
        <v>321</v>
      </c>
      <c r="S277" s="2">
        <v>115.5177</v>
      </c>
      <c r="T277" s="2">
        <v>323</v>
      </c>
      <c r="U277" s="2">
        <v>0.21651100000000001</v>
      </c>
      <c r="V277" s="2">
        <v>276</v>
      </c>
      <c r="W277" s="2">
        <v>2003</v>
      </c>
    </row>
    <row r="278" spans="1:23" ht="12.3" x14ac:dyDescent="0.4">
      <c r="A278" s="2" t="s">
        <v>327</v>
      </c>
      <c r="B278" s="2"/>
      <c r="C278" s="2"/>
      <c r="D278" s="2"/>
      <c r="E278" s="2"/>
      <c r="F278" s="2"/>
      <c r="G278" s="2"/>
      <c r="H278" s="2"/>
      <c r="I278" s="2">
        <v>61.011400000000002</v>
      </c>
      <c r="J278" s="2">
        <v>316</v>
      </c>
      <c r="K278" s="2">
        <v>62.0914</v>
      </c>
      <c r="L278" s="2">
        <v>316</v>
      </c>
      <c r="M278" s="2">
        <v>95.831800000000001</v>
      </c>
      <c r="N278" s="2">
        <v>261</v>
      </c>
      <c r="O278" s="2">
        <v>94.783000000000001</v>
      </c>
      <c r="P278" s="2">
        <v>269</v>
      </c>
      <c r="Q278" s="2">
        <v>104.39700000000001</v>
      </c>
      <c r="R278" s="2">
        <v>241</v>
      </c>
      <c r="S278" s="2">
        <v>106.0209</v>
      </c>
      <c r="T278" s="2">
        <v>260</v>
      </c>
      <c r="U278" s="2">
        <v>0.21610199999999999</v>
      </c>
      <c r="V278" s="2">
        <v>277</v>
      </c>
      <c r="W278" s="2">
        <v>2003</v>
      </c>
    </row>
    <row r="279" spans="1:23" ht="12.3" x14ac:dyDescent="0.4">
      <c r="A279" s="2" t="s">
        <v>185</v>
      </c>
      <c r="B279" s="2"/>
      <c r="C279" s="2"/>
      <c r="D279" s="2"/>
      <c r="E279" s="2"/>
      <c r="F279" s="2"/>
      <c r="G279" s="2"/>
      <c r="H279" s="2"/>
      <c r="I279" s="2">
        <v>70.748699999999999</v>
      </c>
      <c r="J279" s="2">
        <v>83</v>
      </c>
      <c r="K279" s="2">
        <v>71.196399999999997</v>
      </c>
      <c r="L279" s="2">
        <v>62</v>
      </c>
      <c r="M279" s="2">
        <v>92.559299999999993</v>
      </c>
      <c r="N279" s="2">
        <v>295</v>
      </c>
      <c r="O279" s="2">
        <v>93.700500000000005</v>
      </c>
      <c r="P279" s="2">
        <v>280</v>
      </c>
      <c r="Q279" s="2">
        <v>101.20010000000001</v>
      </c>
      <c r="R279" s="2">
        <v>175</v>
      </c>
      <c r="S279" s="2">
        <v>104.81480000000001</v>
      </c>
      <c r="T279" s="2">
        <v>233</v>
      </c>
      <c r="U279" s="2">
        <v>0.21601300000000001</v>
      </c>
      <c r="V279" s="2">
        <v>278</v>
      </c>
      <c r="W279" s="2">
        <v>2003</v>
      </c>
    </row>
    <row r="280" spans="1:23" ht="12.3" x14ac:dyDescent="0.4">
      <c r="A280" s="2" t="s">
        <v>267</v>
      </c>
      <c r="B280" s="2"/>
      <c r="C280" s="2"/>
      <c r="D280" s="2"/>
      <c r="E280" s="2"/>
      <c r="F280" s="2"/>
      <c r="G280" s="2"/>
      <c r="H280" s="2"/>
      <c r="I280" s="2">
        <v>63.256900000000002</v>
      </c>
      <c r="J280" s="2">
        <v>310</v>
      </c>
      <c r="K280" s="2">
        <v>63.713900000000002</v>
      </c>
      <c r="L280" s="2">
        <v>305</v>
      </c>
      <c r="M280" s="2">
        <v>89.240200000000002</v>
      </c>
      <c r="N280" s="2">
        <v>315</v>
      </c>
      <c r="O280" s="2">
        <v>89.965100000000007</v>
      </c>
      <c r="P280" s="2">
        <v>307</v>
      </c>
      <c r="Q280" s="2">
        <v>103.9832</v>
      </c>
      <c r="R280" s="2">
        <v>231</v>
      </c>
      <c r="S280" s="2">
        <v>100.6435</v>
      </c>
      <c r="T280" s="2">
        <v>154</v>
      </c>
      <c r="U280" s="2">
        <v>0.21587600000000001</v>
      </c>
      <c r="V280" s="2">
        <v>279</v>
      </c>
      <c r="W280" s="2">
        <v>2003</v>
      </c>
    </row>
    <row r="281" spans="1:23" ht="12.3" x14ac:dyDescent="0.4">
      <c r="A281" s="2" t="s">
        <v>246</v>
      </c>
      <c r="B281" s="2"/>
      <c r="C281" s="2"/>
      <c r="D281" s="2"/>
      <c r="E281" s="2"/>
      <c r="F281" s="2"/>
      <c r="G281" s="2"/>
      <c r="H281" s="2"/>
      <c r="I281" s="2">
        <v>70.760900000000007</v>
      </c>
      <c r="J281" s="2">
        <v>82</v>
      </c>
      <c r="K281" s="2">
        <v>68.999300000000005</v>
      </c>
      <c r="L281" s="2">
        <v>139</v>
      </c>
      <c r="M281" s="2">
        <v>98.655299999999997</v>
      </c>
      <c r="N281" s="2">
        <v>217</v>
      </c>
      <c r="O281" s="2">
        <v>98.024199999999993</v>
      </c>
      <c r="P281" s="2">
        <v>225</v>
      </c>
      <c r="Q281" s="2">
        <v>108.85509999999999</v>
      </c>
      <c r="R281" s="2">
        <v>302</v>
      </c>
      <c r="S281" s="2">
        <v>109.66970000000001</v>
      </c>
      <c r="T281" s="2">
        <v>300</v>
      </c>
      <c r="U281" s="2">
        <v>0.21568799999999999</v>
      </c>
      <c r="V281" s="2">
        <v>280</v>
      </c>
      <c r="W281" s="2">
        <v>2003</v>
      </c>
    </row>
    <row r="282" spans="1:23" ht="12.3" x14ac:dyDescent="0.4">
      <c r="A282" s="2" t="s">
        <v>284</v>
      </c>
      <c r="B282" s="2"/>
      <c r="C282" s="2"/>
      <c r="D282" s="2"/>
      <c r="E282" s="2"/>
      <c r="F282" s="2"/>
      <c r="G282" s="2"/>
      <c r="H282" s="2"/>
      <c r="I282" s="2">
        <v>68.018199999999993</v>
      </c>
      <c r="J282" s="2">
        <v>192</v>
      </c>
      <c r="K282" s="2">
        <v>69.335099999999997</v>
      </c>
      <c r="L282" s="2">
        <v>126</v>
      </c>
      <c r="M282" s="2">
        <v>96.204700000000003</v>
      </c>
      <c r="N282" s="2">
        <v>254</v>
      </c>
      <c r="O282" s="2">
        <v>97.825999999999993</v>
      </c>
      <c r="P282" s="2">
        <v>229</v>
      </c>
      <c r="Q282" s="2">
        <v>108.6498</v>
      </c>
      <c r="R282" s="2">
        <v>300</v>
      </c>
      <c r="S282" s="2">
        <v>109.5399</v>
      </c>
      <c r="T282" s="2">
        <v>297</v>
      </c>
      <c r="U282" s="2">
        <v>0.214058</v>
      </c>
      <c r="V282" s="2">
        <v>281</v>
      </c>
      <c r="W282" s="2">
        <v>2003</v>
      </c>
    </row>
    <row r="283" spans="1:23" ht="12.3" x14ac:dyDescent="0.4">
      <c r="A283" s="2" t="s">
        <v>242</v>
      </c>
      <c r="B283" s="2"/>
      <c r="C283" s="2"/>
      <c r="D283" s="2"/>
      <c r="E283" s="2"/>
      <c r="F283" s="2"/>
      <c r="G283" s="2"/>
      <c r="H283" s="2"/>
      <c r="I283" s="2">
        <v>70.847700000000003</v>
      </c>
      <c r="J283" s="2">
        <v>80</v>
      </c>
      <c r="K283" s="2">
        <v>71.110799999999998</v>
      </c>
      <c r="L283" s="2">
        <v>64</v>
      </c>
      <c r="M283" s="2">
        <v>102.6835</v>
      </c>
      <c r="N283" s="2">
        <v>132</v>
      </c>
      <c r="O283" s="2">
        <v>96.870199999999997</v>
      </c>
      <c r="P283" s="2">
        <v>243</v>
      </c>
      <c r="Q283" s="2">
        <v>102.0278</v>
      </c>
      <c r="R283" s="2">
        <v>197</v>
      </c>
      <c r="S283" s="2">
        <v>108.6427</v>
      </c>
      <c r="T283" s="2">
        <v>292</v>
      </c>
      <c r="U283" s="2">
        <v>0.21099100000000001</v>
      </c>
      <c r="V283" s="2">
        <v>282</v>
      </c>
      <c r="W283" s="2">
        <v>2003</v>
      </c>
    </row>
    <row r="284" spans="1:23" ht="12.3" x14ac:dyDescent="0.4">
      <c r="A284" s="2" t="s">
        <v>281</v>
      </c>
      <c r="B284" s="2">
        <v>16</v>
      </c>
      <c r="C284" s="4"/>
      <c r="D284" s="4"/>
      <c r="E284" s="4"/>
      <c r="F284" s="4"/>
      <c r="G284" s="4"/>
      <c r="H284" s="4"/>
      <c r="I284" s="2">
        <v>69.472800000000007</v>
      </c>
      <c r="J284" s="2">
        <v>132</v>
      </c>
      <c r="K284" s="2">
        <v>68.939099999999996</v>
      </c>
      <c r="L284" s="2">
        <v>141</v>
      </c>
      <c r="M284" s="2">
        <v>100.7461</v>
      </c>
      <c r="N284" s="2">
        <v>175</v>
      </c>
      <c r="O284" s="2">
        <v>101.4705</v>
      </c>
      <c r="P284" s="2">
        <v>160</v>
      </c>
      <c r="Q284" s="2">
        <v>110.5521</v>
      </c>
      <c r="R284" s="2">
        <v>319</v>
      </c>
      <c r="S284" s="2">
        <v>114.05800000000001</v>
      </c>
      <c r="T284" s="2">
        <v>319</v>
      </c>
      <c r="U284" s="2">
        <v>0.20672199999999999</v>
      </c>
      <c r="V284" s="2">
        <v>283</v>
      </c>
      <c r="W284" s="2">
        <v>2003</v>
      </c>
    </row>
    <row r="285" spans="1:23" ht="12.3" x14ac:dyDescent="0.4">
      <c r="A285" s="2" t="s">
        <v>306</v>
      </c>
      <c r="B285" s="2"/>
      <c r="C285" s="2"/>
      <c r="D285" s="2"/>
      <c r="E285" s="2"/>
      <c r="F285" s="2"/>
      <c r="G285" s="2"/>
      <c r="H285" s="2"/>
      <c r="I285" s="2">
        <v>64.64</v>
      </c>
      <c r="J285" s="2">
        <v>294</v>
      </c>
      <c r="K285" s="2">
        <v>64.794200000000004</v>
      </c>
      <c r="L285" s="2">
        <v>289</v>
      </c>
      <c r="M285" s="2">
        <v>95.132099999999994</v>
      </c>
      <c r="N285" s="2">
        <v>266</v>
      </c>
      <c r="O285" s="2">
        <v>92.965299999999999</v>
      </c>
      <c r="P285" s="2">
        <v>286</v>
      </c>
      <c r="Q285" s="2">
        <v>104.74379999999999</v>
      </c>
      <c r="R285" s="2">
        <v>249</v>
      </c>
      <c r="S285" s="2">
        <v>104.75790000000001</v>
      </c>
      <c r="T285" s="2">
        <v>232</v>
      </c>
      <c r="U285" s="2">
        <v>0.202072</v>
      </c>
      <c r="V285" s="2">
        <v>284</v>
      </c>
      <c r="W285" s="2">
        <v>2003</v>
      </c>
    </row>
    <row r="286" spans="1:23" ht="12.3" x14ac:dyDescent="0.4">
      <c r="A286" s="2" t="s">
        <v>211</v>
      </c>
      <c r="B286" s="2"/>
      <c r="C286" s="2"/>
      <c r="D286" s="2"/>
      <c r="E286" s="2"/>
      <c r="F286" s="2"/>
      <c r="G286" s="2"/>
      <c r="H286" s="2"/>
      <c r="I286" s="2">
        <v>73.268299999999996</v>
      </c>
      <c r="J286" s="2">
        <v>27</v>
      </c>
      <c r="K286" s="2">
        <v>72.203500000000005</v>
      </c>
      <c r="L286" s="2">
        <v>40</v>
      </c>
      <c r="M286" s="2">
        <v>91.369799999999998</v>
      </c>
      <c r="N286" s="2">
        <v>308</v>
      </c>
      <c r="O286" s="2">
        <v>90.640600000000006</v>
      </c>
      <c r="P286" s="2">
        <v>303</v>
      </c>
      <c r="Q286" s="2">
        <v>101.5127</v>
      </c>
      <c r="R286" s="2">
        <v>185</v>
      </c>
      <c r="S286" s="2">
        <v>102.1935</v>
      </c>
      <c r="T286" s="2">
        <v>183</v>
      </c>
      <c r="U286" s="2">
        <v>0.201072</v>
      </c>
      <c r="V286" s="2">
        <v>285</v>
      </c>
      <c r="W286" s="2">
        <v>2003</v>
      </c>
    </row>
    <row r="287" spans="1:23" ht="12.3" x14ac:dyDescent="0.4">
      <c r="A287" s="2" t="s">
        <v>269</v>
      </c>
      <c r="B287" s="2"/>
      <c r="C287" s="2"/>
      <c r="D287" s="2"/>
      <c r="E287" s="2"/>
      <c r="F287" s="2"/>
      <c r="G287" s="2"/>
      <c r="H287" s="2"/>
      <c r="I287" s="2">
        <v>67.872</v>
      </c>
      <c r="J287" s="2">
        <v>197</v>
      </c>
      <c r="K287" s="2">
        <v>67.232500000000002</v>
      </c>
      <c r="L287" s="2">
        <v>223</v>
      </c>
      <c r="M287" s="2">
        <v>84.602199999999996</v>
      </c>
      <c r="N287" s="2">
        <v>322</v>
      </c>
      <c r="O287" s="2">
        <v>86.966999999999999</v>
      </c>
      <c r="P287" s="2">
        <v>320</v>
      </c>
      <c r="Q287" s="2">
        <v>97.832899999999995</v>
      </c>
      <c r="R287" s="2">
        <v>85</v>
      </c>
      <c r="S287" s="2">
        <v>98.258300000000006</v>
      </c>
      <c r="T287" s="2">
        <v>103</v>
      </c>
      <c r="U287" s="2">
        <v>0.197211</v>
      </c>
      <c r="V287" s="2">
        <v>286</v>
      </c>
      <c r="W287" s="2">
        <v>2003</v>
      </c>
    </row>
    <row r="288" spans="1:23" ht="12.3" x14ac:dyDescent="0.4">
      <c r="A288" s="2" t="s">
        <v>278</v>
      </c>
      <c r="B288" s="2"/>
      <c r="C288" s="2"/>
      <c r="D288" s="2"/>
      <c r="E288" s="2"/>
      <c r="F288" s="2"/>
      <c r="G288" s="2"/>
      <c r="H288" s="2"/>
      <c r="I288" s="2">
        <v>67.250200000000007</v>
      </c>
      <c r="J288" s="2">
        <v>231</v>
      </c>
      <c r="K288" s="2">
        <v>66.398799999999994</v>
      </c>
      <c r="L288" s="2">
        <v>259</v>
      </c>
      <c r="M288" s="2">
        <v>93.976699999999994</v>
      </c>
      <c r="N288" s="2">
        <v>282</v>
      </c>
      <c r="O288" s="2">
        <v>94.600899999999996</v>
      </c>
      <c r="P288" s="2">
        <v>273</v>
      </c>
      <c r="Q288" s="2">
        <v>107.2617</v>
      </c>
      <c r="R288" s="2">
        <v>281</v>
      </c>
      <c r="S288" s="2">
        <v>107.22490000000001</v>
      </c>
      <c r="T288" s="2">
        <v>276</v>
      </c>
      <c r="U288" s="2">
        <v>0.191468</v>
      </c>
      <c r="V288" s="2">
        <v>287</v>
      </c>
      <c r="W288" s="2">
        <v>2003</v>
      </c>
    </row>
    <row r="289" spans="1:23" ht="12.3" x14ac:dyDescent="0.4">
      <c r="A289" s="2" t="s">
        <v>341</v>
      </c>
      <c r="B289" s="2"/>
      <c r="C289" s="2"/>
      <c r="D289" s="2"/>
      <c r="E289" s="2"/>
      <c r="F289" s="2"/>
      <c r="G289" s="2"/>
      <c r="H289" s="2"/>
      <c r="I289" s="2">
        <v>60.1616</v>
      </c>
      <c r="J289" s="2">
        <v>324</v>
      </c>
      <c r="K289" s="2">
        <v>61.210599999999999</v>
      </c>
      <c r="L289" s="2">
        <v>319</v>
      </c>
      <c r="M289" s="2">
        <v>95.628200000000007</v>
      </c>
      <c r="N289" s="2">
        <v>263</v>
      </c>
      <c r="O289" s="2">
        <v>93.247100000000003</v>
      </c>
      <c r="P289" s="2">
        <v>283</v>
      </c>
      <c r="Q289" s="2">
        <v>102.06310000000001</v>
      </c>
      <c r="R289" s="2">
        <v>199</v>
      </c>
      <c r="S289" s="2">
        <v>105.8605</v>
      </c>
      <c r="T289" s="2">
        <v>256</v>
      </c>
      <c r="U289" s="2">
        <v>0.18862100000000001</v>
      </c>
      <c r="V289" s="2">
        <v>288</v>
      </c>
      <c r="W289" s="2">
        <v>2003</v>
      </c>
    </row>
    <row r="290" spans="1:23" ht="12.3" x14ac:dyDescent="0.4">
      <c r="A290" s="2" t="s">
        <v>263</v>
      </c>
      <c r="B290" s="2"/>
      <c r="C290" s="2"/>
      <c r="D290" s="2"/>
      <c r="E290" s="2"/>
      <c r="F290" s="2"/>
      <c r="G290" s="2"/>
      <c r="H290" s="2"/>
      <c r="I290" s="2">
        <v>69.592500000000001</v>
      </c>
      <c r="J290" s="2">
        <v>125</v>
      </c>
      <c r="K290" s="2">
        <v>66.9315</v>
      </c>
      <c r="L290" s="2">
        <v>239</v>
      </c>
      <c r="M290" s="2">
        <v>91.186000000000007</v>
      </c>
      <c r="N290" s="2">
        <v>311</v>
      </c>
      <c r="O290" s="2">
        <v>90.986900000000006</v>
      </c>
      <c r="P290" s="2">
        <v>300</v>
      </c>
      <c r="Q290" s="2">
        <v>104.0526</v>
      </c>
      <c r="R290" s="2">
        <v>234</v>
      </c>
      <c r="S290" s="2">
        <v>103.37220000000001</v>
      </c>
      <c r="T290" s="2">
        <v>211</v>
      </c>
      <c r="U290" s="2">
        <v>0.187304</v>
      </c>
      <c r="V290" s="2">
        <v>289</v>
      </c>
      <c r="W290" s="2">
        <v>2003</v>
      </c>
    </row>
    <row r="291" spans="1:23" ht="12.3" x14ac:dyDescent="0.4">
      <c r="A291" s="2" t="s">
        <v>218</v>
      </c>
      <c r="B291" s="2"/>
      <c r="C291" s="2"/>
      <c r="D291" s="2"/>
      <c r="E291" s="2"/>
      <c r="F291" s="2"/>
      <c r="G291" s="2"/>
      <c r="H291" s="2"/>
      <c r="I291" s="2">
        <v>74.472800000000007</v>
      </c>
      <c r="J291" s="2">
        <v>13</v>
      </c>
      <c r="K291" s="2">
        <v>73.775000000000006</v>
      </c>
      <c r="L291" s="2">
        <v>16</v>
      </c>
      <c r="M291" s="2">
        <v>91.744399999999999</v>
      </c>
      <c r="N291" s="2">
        <v>305</v>
      </c>
      <c r="O291" s="2">
        <v>91.396900000000002</v>
      </c>
      <c r="P291" s="2">
        <v>299</v>
      </c>
      <c r="Q291" s="2">
        <v>102.7501</v>
      </c>
      <c r="R291" s="2">
        <v>213</v>
      </c>
      <c r="S291" s="2">
        <v>104.6103</v>
      </c>
      <c r="T291" s="2">
        <v>230</v>
      </c>
      <c r="U291" s="2">
        <v>0.174675</v>
      </c>
      <c r="V291" s="2">
        <v>290</v>
      </c>
      <c r="W291" s="2">
        <v>2003</v>
      </c>
    </row>
    <row r="292" spans="1:23" ht="12.3" x14ac:dyDescent="0.4">
      <c r="A292" s="2" t="s">
        <v>188</v>
      </c>
      <c r="B292" s="2"/>
      <c r="C292" s="2"/>
      <c r="D292" s="2"/>
      <c r="E292" s="2"/>
      <c r="F292" s="2"/>
      <c r="G292" s="2"/>
      <c r="H292" s="2"/>
      <c r="I292" s="2">
        <v>66.198700000000002</v>
      </c>
      <c r="J292" s="2">
        <v>261</v>
      </c>
      <c r="K292" s="2">
        <v>67.759600000000006</v>
      </c>
      <c r="L292" s="2">
        <v>195</v>
      </c>
      <c r="M292" s="2">
        <v>94.724199999999996</v>
      </c>
      <c r="N292" s="2">
        <v>274</v>
      </c>
      <c r="O292" s="2">
        <v>96.829499999999996</v>
      </c>
      <c r="P292" s="2">
        <v>246</v>
      </c>
      <c r="Q292" s="2">
        <v>112.1985</v>
      </c>
      <c r="R292" s="2">
        <v>324</v>
      </c>
      <c r="S292" s="2">
        <v>111.4062</v>
      </c>
      <c r="T292" s="2">
        <v>312</v>
      </c>
      <c r="U292" s="2">
        <v>0.16622000000000001</v>
      </c>
      <c r="V292" s="2">
        <v>291</v>
      </c>
      <c r="W292" s="2">
        <v>2003</v>
      </c>
    </row>
    <row r="293" spans="1:23" ht="12.3" x14ac:dyDescent="0.4">
      <c r="A293" s="2" t="s">
        <v>333</v>
      </c>
      <c r="B293" s="2"/>
      <c r="C293" s="2"/>
      <c r="D293" s="2"/>
      <c r="E293" s="2"/>
      <c r="F293" s="2"/>
      <c r="G293" s="2"/>
      <c r="H293" s="2"/>
      <c r="I293" s="2">
        <v>65.002399999999994</v>
      </c>
      <c r="J293" s="2">
        <v>288</v>
      </c>
      <c r="K293" s="2">
        <v>66.180099999999996</v>
      </c>
      <c r="L293" s="2">
        <v>266</v>
      </c>
      <c r="M293" s="2">
        <v>92.397099999999995</v>
      </c>
      <c r="N293" s="2">
        <v>300</v>
      </c>
      <c r="O293" s="2">
        <v>92.057900000000004</v>
      </c>
      <c r="P293" s="2">
        <v>294</v>
      </c>
      <c r="Q293" s="2">
        <v>104.7159</v>
      </c>
      <c r="R293" s="2">
        <v>247</v>
      </c>
      <c r="S293" s="2">
        <v>106.00790000000001</v>
      </c>
      <c r="T293" s="2">
        <v>259</v>
      </c>
      <c r="U293" s="2">
        <v>0.16484699999999999</v>
      </c>
      <c r="V293" s="2">
        <v>292</v>
      </c>
      <c r="W293" s="2">
        <v>2003</v>
      </c>
    </row>
    <row r="294" spans="1:23" ht="12.3" x14ac:dyDescent="0.4">
      <c r="A294" s="2" t="s">
        <v>329</v>
      </c>
      <c r="B294" s="2"/>
      <c r="C294" s="2"/>
      <c r="D294" s="2"/>
      <c r="E294" s="2"/>
      <c r="F294" s="2"/>
      <c r="G294" s="2"/>
      <c r="H294" s="2"/>
      <c r="I294" s="2">
        <v>75.444800000000001</v>
      </c>
      <c r="J294" s="2">
        <v>9</v>
      </c>
      <c r="K294" s="2">
        <v>73.465299999999999</v>
      </c>
      <c r="L294" s="2">
        <v>20</v>
      </c>
      <c r="M294" s="2">
        <v>94.425299999999993</v>
      </c>
      <c r="N294" s="2">
        <v>275</v>
      </c>
      <c r="O294" s="2">
        <v>96.782799999999995</v>
      </c>
      <c r="P294" s="2">
        <v>247</v>
      </c>
      <c r="Q294" s="2">
        <v>106.508</v>
      </c>
      <c r="R294" s="2">
        <v>275</v>
      </c>
      <c r="S294" s="2">
        <v>111.49</v>
      </c>
      <c r="T294" s="2">
        <v>313</v>
      </c>
      <c r="U294" s="2">
        <v>0.16426099999999999</v>
      </c>
      <c r="V294" s="2">
        <v>293</v>
      </c>
      <c r="W294" s="2">
        <v>2003</v>
      </c>
    </row>
    <row r="295" spans="1:23" ht="12.3" x14ac:dyDescent="0.4">
      <c r="A295" s="2" t="s">
        <v>300</v>
      </c>
      <c r="B295" s="2"/>
      <c r="C295" s="2"/>
      <c r="D295" s="2"/>
      <c r="E295" s="2"/>
      <c r="F295" s="2"/>
      <c r="G295" s="2"/>
      <c r="H295" s="2"/>
      <c r="I295" s="2">
        <v>65.558899999999994</v>
      </c>
      <c r="J295" s="2">
        <v>277</v>
      </c>
      <c r="K295" s="2">
        <v>66.991100000000003</v>
      </c>
      <c r="L295" s="2">
        <v>233</v>
      </c>
      <c r="M295" s="2">
        <v>90.404899999999998</v>
      </c>
      <c r="N295" s="2">
        <v>313</v>
      </c>
      <c r="O295" s="2">
        <v>89.552000000000007</v>
      </c>
      <c r="P295" s="2">
        <v>309</v>
      </c>
      <c r="Q295" s="2">
        <v>100.2754</v>
      </c>
      <c r="R295" s="2">
        <v>152</v>
      </c>
      <c r="S295" s="2">
        <v>103.2283</v>
      </c>
      <c r="T295" s="2">
        <v>203</v>
      </c>
      <c r="U295" s="2">
        <v>0.16322500000000001</v>
      </c>
      <c r="V295" s="2">
        <v>294</v>
      </c>
      <c r="W295" s="2">
        <v>2003</v>
      </c>
    </row>
    <row r="296" spans="1:23" ht="12.3" x14ac:dyDescent="0.4">
      <c r="A296" s="2" t="s">
        <v>179</v>
      </c>
      <c r="B296" s="2"/>
      <c r="C296" s="2"/>
      <c r="D296" s="2"/>
      <c r="E296" s="2"/>
      <c r="F296" s="2"/>
      <c r="G296" s="2"/>
      <c r="H296" s="2"/>
      <c r="I296" s="2">
        <v>69.188000000000002</v>
      </c>
      <c r="J296" s="2">
        <v>143</v>
      </c>
      <c r="K296" s="2">
        <v>67.575699999999998</v>
      </c>
      <c r="L296" s="2">
        <v>204</v>
      </c>
      <c r="M296" s="2">
        <v>91.245699999999999</v>
      </c>
      <c r="N296" s="2">
        <v>310</v>
      </c>
      <c r="O296" s="2">
        <v>88.867199999999997</v>
      </c>
      <c r="P296" s="2">
        <v>313</v>
      </c>
      <c r="Q296" s="2">
        <v>103.2435</v>
      </c>
      <c r="R296" s="2">
        <v>220</v>
      </c>
      <c r="S296" s="2">
        <v>102.646</v>
      </c>
      <c r="T296" s="2">
        <v>195</v>
      </c>
      <c r="U296" s="2">
        <v>0.160078</v>
      </c>
      <c r="V296" s="2">
        <v>295</v>
      </c>
      <c r="W296" s="2">
        <v>2003</v>
      </c>
    </row>
    <row r="297" spans="1:23" ht="12.3" x14ac:dyDescent="0.4">
      <c r="A297" s="2" t="s">
        <v>298</v>
      </c>
      <c r="B297" s="2"/>
      <c r="C297" s="2"/>
      <c r="D297" s="2"/>
      <c r="E297" s="2"/>
      <c r="F297" s="2"/>
      <c r="G297" s="2"/>
      <c r="H297" s="2"/>
      <c r="I297" s="2">
        <v>74.016800000000003</v>
      </c>
      <c r="J297" s="2">
        <v>19</v>
      </c>
      <c r="K297" s="2">
        <v>73.941999999999993</v>
      </c>
      <c r="L297" s="2">
        <v>13</v>
      </c>
      <c r="M297" s="2">
        <v>96.607699999999994</v>
      </c>
      <c r="N297" s="2">
        <v>247</v>
      </c>
      <c r="O297" s="2">
        <v>95.527699999999996</v>
      </c>
      <c r="P297" s="2">
        <v>264</v>
      </c>
      <c r="Q297" s="2">
        <v>109.57940000000001</v>
      </c>
      <c r="R297" s="2">
        <v>311</v>
      </c>
      <c r="S297" s="2">
        <v>110.45140000000001</v>
      </c>
      <c r="T297" s="2">
        <v>307</v>
      </c>
      <c r="U297" s="2">
        <v>0.15851399999999999</v>
      </c>
      <c r="V297" s="2">
        <v>296</v>
      </c>
      <c r="W297" s="2">
        <v>2003</v>
      </c>
    </row>
    <row r="298" spans="1:23" ht="12.3" x14ac:dyDescent="0.4">
      <c r="A298" s="2" t="s">
        <v>316</v>
      </c>
      <c r="B298" s="2"/>
      <c r="C298" s="2"/>
      <c r="D298" s="2"/>
      <c r="E298" s="2"/>
      <c r="F298" s="2"/>
      <c r="G298" s="2"/>
      <c r="H298" s="2"/>
      <c r="I298" s="2">
        <v>72.008499999999998</v>
      </c>
      <c r="J298" s="2">
        <v>49</v>
      </c>
      <c r="K298" s="2">
        <v>71.762200000000007</v>
      </c>
      <c r="L298" s="2">
        <v>48</v>
      </c>
      <c r="M298" s="2">
        <v>95.742599999999996</v>
      </c>
      <c r="N298" s="2">
        <v>262</v>
      </c>
      <c r="O298" s="2">
        <v>93.616500000000002</v>
      </c>
      <c r="P298" s="2">
        <v>281</v>
      </c>
      <c r="Q298" s="2">
        <v>106.7676</v>
      </c>
      <c r="R298" s="2">
        <v>278</v>
      </c>
      <c r="S298" s="2">
        <v>108.44750000000001</v>
      </c>
      <c r="T298" s="2">
        <v>291</v>
      </c>
      <c r="U298" s="2">
        <v>0.15562000000000001</v>
      </c>
      <c r="V298" s="2">
        <v>297</v>
      </c>
      <c r="W298" s="2">
        <v>2003</v>
      </c>
    </row>
    <row r="299" spans="1:23" ht="12.3" x14ac:dyDescent="0.4">
      <c r="A299" s="2" t="s">
        <v>320</v>
      </c>
      <c r="B299" s="2"/>
      <c r="C299" s="2"/>
      <c r="D299" s="2"/>
      <c r="E299" s="2"/>
      <c r="F299" s="2"/>
      <c r="G299" s="2"/>
      <c r="H299" s="2"/>
      <c r="I299" s="2">
        <v>67.5488</v>
      </c>
      <c r="J299" s="2">
        <v>214</v>
      </c>
      <c r="K299" s="2">
        <v>67.131200000000007</v>
      </c>
      <c r="L299" s="2">
        <v>228</v>
      </c>
      <c r="M299" s="2">
        <v>93.334900000000005</v>
      </c>
      <c r="N299" s="2">
        <v>288</v>
      </c>
      <c r="O299" s="2">
        <v>87.778400000000005</v>
      </c>
      <c r="P299" s="2">
        <v>318</v>
      </c>
      <c r="Q299" s="2">
        <v>95.630700000000004</v>
      </c>
      <c r="R299" s="2">
        <v>40</v>
      </c>
      <c r="S299" s="2">
        <v>101.7013</v>
      </c>
      <c r="T299" s="2">
        <v>175</v>
      </c>
      <c r="U299" s="2">
        <v>0.15537000000000001</v>
      </c>
      <c r="V299" s="2">
        <v>298</v>
      </c>
      <c r="W299" s="2">
        <v>2003</v>
      </c>
    </row>
    <row r="300" spans="1:23" ht="12.3" x14ac:dyDescent="0.4">
      <c r="A300" s="2" t="s">
        <v>349</v>
      </c>
      <c r="B300" s="2"/>
      <c r="C300" s="2"/>
      <c r="D300" s="2"/>
      <c r="E300" s="2"/>
      <c r="F300" s="2"/>
      <c r="G300" s="2"/>
      <c r="H300" s="2"/>
      <c r="I300" s="2">
        <v>66.347099999999998</v>
      </c>
      <c r="J300" s="2">
        <v>256</v>
      </c>
      <c r="K300" s="2">
        <v>66.0304</v>
      </c>
      <c r="L300" s="2">
        <v>267</v>
      </c>
      <c r="M300" s="2">
        <v>93.892700000000005</v>
      </c>
      <c r="N300" s="2">
        <v>285</v>
      </c>
      <c r="O300" s="2">
        <v>90.6995</v>
      </c>
      <c r="P300" s="2">
        <v>302</v>
      </c>
      <c r="Q300" s="2">
        <v>102.64830000000001</v>
      </c>
      <c r="R300" s="2">
        <v>209</v>
      </c>
      <c r="S300" s="2">
        <v>105.2122</v>
      </c>
      <c r="T300" s="2">
        <v>242</v>
      </c>
      <c r="U300" s="2">
        <v>0.15356400000000001</v>
      </c>
      <c r="V300" s="2">
        <v>299</v>
      </c>
      <c r="W300" s="2">
        <v>2003</v>
      </c>
    </row>
    <row r="301" spans="1:23" ht="12.3" x14ac:dyDescent="0.4">
      <c r="A301" s="2" t="s">
        <v>252</v>
      </c>
      <c r="B301" s="2"/>
      <c r="C301" s="2"/>
      <c r="D301" s="2"/>
      <c r="E301" s="2"/>
      <c r="F301" s="2"/>
      <c r="G301" s="2"/>
      <c r="H301" s="2"/>
      <c r="I301" s="2">
        <v>66.705799999999996</v>
      </c>
      <c r="J301" s="2">
        <v>246</v>
      </c>
      <c r="K301" s="2">
        <v>66.455799999999996</v>
      </c>
      <c r="L301" s="2">
        <v>258</v>
      </c>
      <c r="M301" s="2">
        <v>93.053700000000006</v>
      </c>
      <c r="N301" s="2">
        <v>290</v>
      </c>
      <c r="O301" s="2">
        <v>90.421999999999997</v>
      </c>
      <c r="P301" s="2">
        <v>305</v>
      </c>
      <c r="Q301" s="2">
        <v>103.4462</v>
      </c>
      <c r="R301" s="2">
        <v>226</v>
      </c>
      <c r="S301" s="2">
        <v>105.00449999999999</v>
      </c>
      <c r="T301" s="2">
        <v>239</v>
      </c>
      <c r="U301" s="2">
        <v>0.151944</v>
      </c>
      <c r="V301" s="2">
        <v>300</v>
      </c>
      <c r="W301" s="2">
        <v>2003</v>
      </c>
    </row>
    <row r="302" spans="1:23" ht="12.3" x14ac:dyDescent="0.4">
      <c r="A302" s="2" t="s">
        <v>346</v>
      </c>
      <c r="B302" s="2"/>
      <c r="C302" s="2"/>
      <c r="D302" s="2"/>
      <c r="E302" s="2"/>
      <c r="F302" s="2"/>
      <c r="G302" s="2"/>
      <c r="H302" s="2"/>
      <c r="I302" s="2">
        <v>70.0167</v>
      </c>
      <c r="J302" s="2">
        <v>108</v>
      </c>
      <c r="K302" s="2">
        <v>70.0077</v>
      </c>
      <c r="L302" s="2">
        <v>99</v>
      </c>
      <c r="M302" s="2">
        <v>92.835700000000003</v>
      </c>
      <c r="N302" s="2">
        <v>293</v>
      </c>
      <c r="O302" s="2">
        <v>88.055800000000005</v>
      </c>
      <c r="P302" s="2">
        <v>317</v>
      </c>
      <c r="Q302" s="2">
        <v>98.344800000000006</v>
      </c>
      <c r="R302" s="2">
        <v>103</v>
      </c>
      <c r="S302" s="2">
        <v>102.4267</v>
      </c>
      <c r="T302" s="2">
        <v>190</v>
      </c>
      <c r="U302" s="2">
        <v>0.14949999999999999</v>
      </c>
      <c r="V302" s="2">
        <v>301</v>
      </c>
      <c r="W302" s="2">
        <v>2003</v>
      </c>
    </row>
    <row r="303" spans="1:23" ht="12.3" x14ac:dyDescent="0.4">
      <c r="A303" s="2" t="s">
        <v>219</v>
      </c>
      <c r="B303" s="2"/>
      <c r="C303" s="2"/>
      <c r="D303" s="2"/>
      <c r="E303" s="2"/>
      <c r="F303" s="2"/>
      <c r="G303" s="2"/>
      <c r="H303" s="2"/>
      <c r="I303" s="2">
        <v>67.315700000000007</v>
      </c>
      <c r="J303" s="2">
        <v>227</v>
      </c>
      <c r="K303" s="2">
        <v>68.147400000000005</v>
      </c>
      <c r="L303" s="2">
        <v>178</v>
      </c>
      <c r="M303" s="2">
        <v>91.967500000000001</v>
      </c>
      <c r="N303" s="2">
        <v>303</v>
      </c>
      <c r="O303" s="2">
        <v>92.76</v>
      </c>
      <c r="P303" s="2">
        <v>289</v>
      </c>
      <c r="Q303" s="2">
        <v>108.1357</v>
      </c>
      <c r="R303" s="2">
        <v>297</v>
      </c>
      <c r="S303" s="2">
        <v>108.1156</v>
      </c>
      <c r="T303" s="2">
        <v>287</v>
      </c>
      <c r="U303" s="2">
        <v>0.14658599999999999</v>
      </c>
      <c r="V303" s="2">
        <v>302</v>
      </c>
      <c r="W303" s="2">
        <v>2003</v>
      </c>
    </row>
    <row r="304" spans="1:23" ht="12.3" x14ac:dyDescent="0.4">
      <c r="A304" s="2" t="s">
        <v>202</v>
      </c>
      <c r="B304" s="2"/>
      <c r="C304" s="2"/>
      <c r="D304" s="2"/>
      <c r="E304" s="2"/>
      <c r="F304" s="2"/>
      <c r="G304" s="2"/>
      <c r="H304" s="2"/>
      <c r="I304" s="2">
        <v>67.192800000000005</v>
      </c>
      <c r="J304" s="2">
        <v>233</v>
      </c>
      <c r="K304" s="2">
        <v>66.624200000000002</v>
      </c>
      <c r="L304" s="2">
        <v>252</v>
      </c>
      <c r="M304" s="2">
        <v>90.185400000000001</v>
      </c>
      <c r="N304" s="2">
        <v>314</v>
      </c>
      <c r="O304" s="2">
        <v>88.707899999999995</v>
      </c>
      <c r="P304" s="2">
        <v>314</v>
      </c>
      <c r="Q304" s="2">
        <v>102.5314</v>
      </c>
      <c r="R304" s="2">
        <v>206</v>
      </c>
      <c r="S304" s="2">
        <v>103.9569</v>
      </c>
      <c r="T304" s="2">
        <v>222</v>
      </c>
      <c r="U304" s="2">
        <v>0.13893</v>
      </c>
      <c r="V304" s="2">
        <v>303</v>
      </c>
      <c r="W304" s="2">
        <v>2003</v>
      </c>
    </row>
    <row r="305" spans="1:23" ht="12.3" x14ac:dyDescent="0.4">
      <c r="A305" s="2" t="s">
        <v>310</v>
      </c>
      <c r="B305" s="2"/>
      <c r="C305" s="2"/>
      <c r="D305" s="2"/>
      <c r="E305" s="2"/>
      <c r="F305" s="2"/>
      <c r="G305" s="2"/>
      <c r="H305" s="2"/>
      <c r="I305" s="2">
        <v>71.044200000000004</v>
      </c>
      <c r="J305" s="2">
        <v>72</v>
      </c>
      <c r="K305" s="2">
        <v>72.177599999999998</v>
      </c>
      <c r="L305" s="2">
        <v>41</v>
      </c>
      <c r="M305" s="2">
        <v>92.460400000000007</v>
      </c>
      <c r="N305" s="2">
        <v>297</v>
      </c>
      <c r="O305" s="2">
        <v>94.089399999999998</v>
      </c>
      <c r="P305" s="2">
        <v>278</v>
      </c>
      <c r="Q305" s="2">
        <v>109.2136</v>
      </c>
      <c r="R305" s="2">
        <v>308</v>
      </c>
      <c r="S305" s="2">
        <v>110.3205</v>
      </c>
      <c r="T305" s="2">
        <v>306</v>
      </c>
      <c r="U305" s="2">
        <v>0.13821900000000001</v>
      </c>
      <c r="V305" s="2">
        <v>304</v>
      </c>
      <c r="W305" s="2">
        <v>2003</v>
      </c>
    </row>
    <row r="306" spans="1:23" ht="12.3" x14ac:dyDescent="0.4">
      <c r="A306" s="2" t="s">
        <v>259</v>
      </c>
      <c r="B306" s="2"/>
      <c r="C306" s="2"/>
      <c r="D306" s="2"/>
      <c r="E306" s="2"/>
      <c r="F306" s="2"/>
      <c r="G306" s="2"/>
      <c r="H306" s="2"/>
      <c r="I306" s="2">
        <v>72.019099999999995</v>
      </c>
      <c r="J306" s="2">
        <v>48</v>
      </c>
      <c r="K306" s="2">
        <v>72.519400000000005</v>
      </c>
      <c r="L306" s="2">
        <v>33</v>
      </c>
      <c r="M306" s="2">
        <v>86.197199999999995</v>
      </c>
      <c r="N306" s="2">
        <v>320</v>
      </c>
      <c r="O306" s="2">
        <v>85.335899999999995</v>
      </c>
      <c r="P306" s="2">
        <v>323</v>
      </c>
      <c r="Q306" s="2">
        <v>98.227900000000005</v>
      </c>
      <c r="R306" s="2">
        <v>96</v>
      </c>
      <c r="S306" s="2">
        <v>100.24979999999999</v>
      </c>
      <c r="T306" s="2">
        <v>145</v>
      </c>
      <c r="U306" s="2">
        <v>0.135603</v>
      </c>
      <c r="V306" s="2">
        <v>305</v>
      </c>
      <c r="W306" s="2">
        <v>2003</v>
      </c>
    </row>
    <row r="307" spans="1:23" ht="12.3" x14ac:dyDescent="0.4">
      <c r="A307" s="2" t="s">
        <v>337</v>
      </c>
      <c r="B307" s="2"/>
      <c r="C307" s="2"/>
      <c r="D307" s="2"/>
      <c r="E307" s="2"/>
      <c r="F307" s="2"/>
      <c r="G307" s="2"/>
      <c r="H307" s="2"/>
      <c r="I307" s="2">
        <v>74.204700000000003</v>
      </c>
      <c r="J307" s="2">
        <v>16</v>
      </c>
      <c r="K307" s="2">
        <v>71.270799999999994</v>
      </c>
      <c r="L307" s="2">
        <v>60</v>
      </c>
      <c r="M307" s="2">
        <v>102.3967</v>
      </c>
      <c r="N307" s="2">
        <v>141</v>
      </c>
      <c r="O307" s="2">
        <v>97.935900000000004</v>
      </c>
      <c r="P307" s="2">
        <v>226</v>
      </c>
      <c r="Q307" s="2">
        <v>109.63120000000001</v>
      </c>
      <c r="R307" s="2">
        <v>312</v>
      </c>
      <c r="S307" s="2">
        <v>115.0688</v>
      </c>
      <c r="T307" s="2">
        <v>320</v>
      </c>
      <c r="U307" s="2">
        <v>0.135405</v>
      </c>
      <c r="V307" s="2">
        <v>306</v>
      </c>
      <c r="W307" s="2">
        <v>2003</v>
      </c>
    </row>
    <row r="308" spans="1:23" ht="12.3" x14ac:dyDescent="0.4">
      <c r="A308" s="2" t="s">
        <v>285</v>
      </c>
      <c r="B308" s="2"/>
      <c r="C308" s="2"/>
      <c r="D308" s="2"/>
      <c r="E308" s="2"/>
      <c r="F308" s="2"/>
      <c r="G308" s="2"/>
      <c r="H308" s="2"/>
      <c r="I308" s="2">
        <v>67.750600000000006</v>
      </c>
      <c r="J308" s="2">
        <v>202</v>
      </c>
      <c r="K308" s="2">
        <v>68.394900000000007</v>
      </c>
      <c r="L308" s="2">
        <v>169</v>
      </c>
      <c r="M308" s="2">
        <v>93.996499999999997</v>
      </c>
      <c r="N308" s="2">
        <v>281</v>
      </c>
      <c r="O308" s="2">
        <v>93.137600000000006</v>
      </c>
      <c r="P308" s="2">
        <v>284</v>
      </c>
      <c r="Q308" s="2">
        <v>110.4633</v>
      </c>
      <c r="R308" s="2">
        <v>318</v>
      </c>
      <c r="S308" s="2">
        <v>109.8536</v>
      </c>
      <c r="T308" s="2">
        <v>302</v>
      </c>
      <c r="U308" s="2">
        <v>0.130299</v>
      </c>
      <c r="V308" s="2">
        <v>307</v>
      </c>
      <c r="W308" s="2">
        <v>2003</v>
      </c>
    </row>
    <row r="309" spans="1:23" ht="12.3" x14ac:dyDescent="0.4">
      <c r="A309" s="2" t="s">
        <v>223</v>
      </c>
      <c r="B309" s="2"/>
      <c r="C309" s="2"/>
      <c r="D309" s="2"/>
      <c r="E309" s="2"/>
      <c r="F309" s="2"/>
      <c r="G309" s="2"/>
      <c r="H309" s="2"/>
      <c r="I309" s="2">
        <v>69.522199999999998</v>
      </c>
      <c r="J309" s="2">
        <v>127</v>
      </c>
      <c r="K309" s="2">
        <v>70.412999999999997</v>
      </c>
      <c r="L309" s="2">
        <v>87</v>
      </c>
      <c r="M309" s="2">
        <v>90.441000000000003</v>
      </c>
      <c r="N309" s="2">
        <v>312</v>
      </c>
      <c r="O309" s="2">
        <v>89.292100000000005</v>
      </c>
      <c r="P309" s="2">
        <v>312</v>
      </c>
      <c r="Q309" s="2">
        <v>104.8267</v>
      </c>
      <c r="R309" s="2">
        <v>250</v>
      </c>
      <c r="S309" s="2">
        <v>105.80070000000001</v>
      </c>
      <c r="T309" s="2">
        <v>252</v>
      </c>
      <c r="U309" s="2">
        <v>0.124454</v>
      </c>
      <c r="V309" s="2">
        <v>308</v>
      </c>
      <c r="W309" s="2">
        <v>2003</v>
      </c>
    </row>
    <row r="310" spans="1:23" ht="12.3" x14ac:dyDescent="0.4">
      <c r="A310" s="2" t="s">
        <v>272</v>
      </c>
      <c r="B310" s="2"/>
      <c r="C310" s="2"/>
      <c r="D310" s="2"/>
      <c r="E310" s="2"/>
      <c r="F310" s="2"/>
      <c r="G310" s="2"/>
      <c r="H310" s="2"/>
      <c r="I310" s="2">
        <v>75.826400000000007</v>
      </c>
      <c r="J310" s="2">
        <v>6</v>
      </c>
      <c r="K310" s="2">
        <v>74.061999999999998</v>
      </c>
      <c r="L310" s="2">
        <v>12</v>
      </c>
      <c r="M310" s="2">
        <v>92.155799999999999</v>
      </c>
      <c r="N310" s="2">
        <v>302</v>
      </c>
      <c r="O310" s="2">
        <v>89.792699999999996</v>
      </c>
      <c r="P310" s="2">
        <v>308</v>
      </c>
      <c r="Q310" s="2">
        <v>98.990600000000001</v>
      </c>
      <c r="R310" s="2">
        <v>119</v>
      </c>
      <c r="S310" s="2">
        <v>106.5335</v>
      </c>
      <c r="T310" s="2">
        <v>270</v>
      </c>
      <c r="U310" s="2">
        <v>0.12282</v>
      </c>
      <c r="V310" s="2">
        <v>309</v>
      </c>
      <c r="W310" s="2">
        <v>2003</v>
      </c>
    </row>
    <row r="311" spans="1:23" ht="12.3" x14ac:dyDescent="0.4">
      <c r="A311" s="2" t="s">
        <v>339</v>
      </c>
      <c r="B311" s="2"/>
      <c r="C311" s="2"/>
      <c r="D311" s="2"/>
      <c r="E311" s="2"/>
      <c r="F311" s="2"/>
      <c r="G311" s="2"/>
      <c r="H311" s="2"/>
      <c r="I311" s="2">
        <v>67.216200000000001</v>
      </c>
      <c r="J311" s="2">
        <v>232</v>
      </c>
      <c r="K311" s="2">
        <v>67.587599999999995</v>
      </c>
      <c r="L311" s="2">
        <v>203</v>
      </c>
      <c r="M311" s="2">
        <v>95.834000000000003</v>
      </c>
      <c r="N311" s="2">
        <v>260</v>
      </c>
      <c r="O311" s="2">
        <v>94.820400000000006</v>
      </c>
      <c r="P311" s="2">
        <v>267</v>
      </c>
      <c r="Q311" s="2">
        <v>110.0732</v>
      </c>
      <c r="R311" s="2">
        <v>315</v>
      </c>
      <c r="S311" s="2">
        <v>112.5467</v>
      </c>
      <c r="T311" s="2">
        <v>317</v>
      </c>
      <c r="U311" s="2">
        <v>0.122291</v>
      </c>
      <c r="V311" s="2">
        <v>310</v>
      </c>
      <c r="W311" s="2">
        <v>2003</v>
      </c>
    </row>
    <row r="312" spans="1:23" ht="12.3" x14ac:dyDescent="0.4">
      <c r="A312" s="2" t="s">
        <v>330</v>
      </c>
      <c r="B312" s="2"/>
      <c r="C312" s="2"/>
      <c r="D312" s="2"/>
      <c r="E312" s="2"/>
      <c r="F312" s="2"/>
      <c r="G312" s="2"/>
      <c r="H312" s="2"/>
      <c r="I312" s="2">
        <v>69.353700000000003</v>
      </c>
      <c r="J312" s="2">
        <v>139</v>
      </c>
      <c r="K312" s="2">
        <v>69.556899999999999</v>
      </c>
      <c r="L312" s="2">
        <v>116</v>
      </c>
      <c r="M312" s="2">
        <v>98.472800000000007</v>
      </c>
      <c r="N312" s="2">
        <v>219</v>
      </c>
      <c r="O312" s="2">
        <v>94.597200000000001</v>
      </c>
      <c r="P312" s="2">
        <v>274</v>
      </c>
      <c r="Q312" s="2">
        <v>107.6328</v>
      </c>
      <c r="R312" s="2">
        <v>289</v>
      </c>
      <c r="S312" s="2">
        <v>112.4883</v>
      </c>
      <c r="T312" s="2">
        <v>315</v>
      </c>
      <c r="U312" s="2">
        <v>0.12003999999999999</v>
      </c>
      <c r="V312" s="2">
        <v>311</v>
      </c>
      <c r="W312" s="2">
        <v>2003</v>
      </c>
    </row>
    <row r="313" spans="1:23" ht="12.3" x14ac:dyDescent="0.4">
      <c r="A313" s="2" t="s">
        <v>338</v>
      </c>
      <c r="B313" s="2"/>
      <c r="C313" s="2"/>
      <c r="D313" s="2"/>
      <c r="E313" s="2"/>
      <c r="F313" s="2"/>
      <c r="G313" s="2"/>
      <c r="H313" s="2"/>
      <c r="I313" s="2">
        <v>71.244299999999996</v>
      </c>
      <c r="J313" s="2">
        <v>68</v>
      </c>
      <c r="K313" s="2">
        <v>70.121600000000001</v>
      </c>
      <c r="L313" s="2">
        <v>94</v>
      </c>
      <c r="M313" s="2">
        <v>94.390900000000002</v>
      </c>
      <c r="N313" s="2">
        <v>276</v>
      </c>
      <c r="O313" s="2">
        <v>90.733800000000002</v>
      </c>
      <c r="P313" s="2">
        <v>301</v>
      </c>
      <c r="Q313" s="2">
        <v>100.1527</v>
      </c>
      <c r="R313" s="2">
        <v>149</v>
      </c>
      <c r="S313" s="2">
        <v>108.06870000000001</v>
      </c>
      <c r="T313" s="2">
        <v>286</v>
      </c>
      <c r="U313" s="2">
        <v>0.118091</v>
      </c>
      <c r="V313" s="2">
        <v>312</v>
      </c>
      <c r="W313" s="2">
        <v>2003</v>
      </c>
    </row>
    <row r="314" spans="1:23" ht="12.3" x14ac:dyDescent="0.4">
      <c r="A314" s="2" t="s">
        <v>348</v>
      </c>
      <c r="B314" s="2"/>
      <c r="C314" s="2"/>
      <c r="D314" s="2"/>
      <c r="E314" s="2"/>
      <c r="F314" s="2"/>
      <c r="G314" s="2"/>
      <c r="H314" s="2"/>
      <c r="I314" s="2">
        <v>67.631299999999996</v>
      </c>
      <c r="J314" s="2">
        <v>210</v>
      </c>
      <c r="K314" s="2">
        <v>67.235100000000003</v>
      </c>
      <c r="L314" s="2">
        <v>222</v>
      </c>
      <c r="M314" s="2">
        <v>93.014799999999994</v>
      </c>
      <c r="N314" s="2">
        <v>291</v>
      </c>
      <c r="O314" s="2">
        <v>92.707700000000003</v>
      </c>
      <c r="P314" s="2">
        <v>290</v>
      </c>
      <c r="Q314" s="2">
        <v>110.3738</v>
      </c>
      <c r="R314" s="2">
        <v>317</v>
      </c>
      <c r="S314" s="2">
        <v>110.6554</v>
      </c>
      <c r="T314" s="2">
        <v>309</v>
      </c>
      <c r="U314" s="2">
        <v>0.115561</v>
      </c>
      <c r="V314" s="2">
        <v>313</v>
      </c>
      <c r="W314" s="2">
        <v>2003</v>
      </c>
    </row>
    <row r="315" spans="1:23" ht="12.3" x14ac:dyDescent="0.4">
      <c r="A315" s="2" t="s">
        <v>313</v>
      </c>
      <c r="B315" s="2"/>
      <c r="C315" s="2"/>
      <c r="D315" s="2"/>
      <c r="E315" s="2"/>
      <c r="F315" s="2"/>
      <c r="G315" s="2"/>
      <c r="H315" s="2"/>
      <c r="I315" s="2">
        <v>68.461799999999997</v>
      </c>
      <c r="J315" s="2">
        <v>168</v>
      </c>
      <c r="K315" s="2">
        <v>68.437700000000007</v>
      </c>
      <c r="L315" s="2">
        <v>166</v>
      </c>
      <c r="M315" s="2">
        <v>94.096900000000005</v>
      </c>
      <c r="N315" s="2">
        <v>280</v>
      </c>
      <c r="O315" s="2">
        <v>89.480400000000003</v>
      </c>
      <c r="P315" s="2">
        <v>311</v>
      </c>
      <c r="Q315" s="2">
        <v>105.8766</v>
      </c>
      <c r="R315" s="2">
        <v>261</v>
      </c>
      <c r="S315" s="2">
        <v>110.54730000000001</v>
      </c>
      <c r="T315" s="2">
        <v>308</v>
      </c>
      <c r="U315" s="2">
        <v>8.0810999999999994E-2</v>
      </c>
      <c r="V315" s="2">
        <v>314</v>
      </c>
      <c r="W315" s="2">
        <v>2003</v>
      </c>
    </row>
    <row r="316" spans="1:23" ht="12.3" x14ac:dyDescent="0.4">
      <c r="A316" s="2" t="s">
        <v>340</v>
      </c>
      <c r="B316" s="2"/>
      <c r="C316" s="2"/>
      <c r="D316" s="2"/>
      <c r="E316" s="2"/>
      <c r="F316" s="2"/>
      <c r="G316" s="2"/>
      <c r="H316" s="2"/>
      <c r="I316" s="2">
        <v>66.340299999999999</v>
      </c>
      <c r="J316" s="2">
        <v>257</v>
      </c>
      <c r="K316" s="2">
        <v>65.364800000000002</v>
      </c>
      <c r="L316" s="2">
        <v>283</v>
      </c>
      <c r="M316" s="2">
        <v>88.668000000000006</v>
      </c>
      <c r="N316" s="2">
        <v>317</v>
      </c>
      <c r="O316" s="2">
        <v>87.242500000000007</v>
      </c>
      <c r="P316" s="2">
        <v>319</v>
      </c>
      <c r="Q316" s="2">
        <v>107.934</v>
      </c>
      <c r="R316" s="2">
        <v>295</v>
      </c>
      <c r="S316" s="2">
        <v>108.41549999999999</v>
      </c>
      <c r="T316" s="2">
        <v>290</v>
      </c>
      <c r="U316" s="2">
        <v>7.5949000000000003E-2</v>
      </c>
      <c r="V316" s="2">
        <v>315</v>
      </c>
      <c r="W316" s="2">
        <v>2003</v>
      </c>
    </row>
    <row r="317" spans="1:23" ht="12.3" x14ac:dyDescent="0.4">
      <c r="A317" s="2" t="s">
        <v>319</v>
      </c>
      <c r="B317" s="2"/>
      <c r="C317" s="2"/>
      <c r="D317" s="2"/>
      <c r="E317" s="2"/>
      <c r="F317" s="2"/>
      <c r="G317" s="2"/>
      <c r="H317" s="2"/>
      <c r="I317" s="2">
        <v>67.953699999999998</v>
      </c>
      <c r="J317" s="2">
        <v>194</v>
      </c>
      <c r="K317" s="2">
        <v>67.865899999999996</v>
      </c>
      <c r="L317" s="2">
        <v>190</v>
      </c>
      <c r="M317" s="2">
        <v>94.287499999999994</v>
      </c>
      <c r="N317" s="2">
        <v>277</v>
      </c>
      <c r="O317" s="2">
        <v>91.837000000000003</v>
      </c>
      <c r="P317" s="2">
        <v>296</v>
      </c>
      <c r="Q317" s="2">
        <v>114.02419999999999</v>
      </c>
      <c r="R317" s="2">
        <v>325</v>
      </c>
      <c r="S317" s="2">
        <v>115.65600000000001</v>
      </c>
      <c r="T317" s="2">
        <v>324</v>
      </c>
      <c r="U317" s="2">
        <v>6.5867999999999996E-2</v>
      </c>
      <c r="V317" s="2">
        <v>316</v>
      </c>
      <c r="W317" s="2">
        <v>2003</v>
      </c>
    </row>
    <row r="318" spans="1:23" ht="12.3" x14ac:dyDescent="0.4">
      <c r="A318" s="2" t="s">
        <v>293</v>
      </c>
      <c r="B318" s="2"/>
      <c r="C318" s="2"/>
      <c r="D318" s="2"/>
      <c r="E318" s="2"/>
      <c r="F318" s="2"/>
      <c r="G318" s="2"/>
      <c r="H318" s="2"/>
      <c r="I318" s="2">
        <v>67.888400000000004</v>
      </c>
      <c r="J318" s="2">
        <v>196</v>
      </c>
      <c r="K318" s="2">
        <v>68.571700000000007</v>
      </c>
      <c r="L318" s="2">
        <v>157</v>
      </c>
      <c r="M318" s="2">
        <v>84.006600000000006</v>
      </c>
      <c r="N318" s="2">
        <v>323</v>
      </c>
      <c r="O318" s="2">
        <v>83.350300000000004</v>
      </c>
      <c r="P318" s="2">
        <v>324</v>
      </c>
      <c r="Q318" s="2">
        <v>106.1893</v>
      </c>
      <c r="R318" s="2">
        <v>268</v>
      </c>
      <c r="S318" s="2">
        <v>105.2487</v>
      </c>
      <c r="T318" s="2">
        <v>243</v>
      </c>
      <c r="U318" s="2">
        <v>6.4005000000000006E-2</v>
      </c>
      <c r="V318" s="2">
        <v>317</v>
      </c>
      <c r="W318" s="2">
        <v>2003</v>
      </c>
    </row>
    <row r="319" spans="1:23" ht="12.3" x14ac:dyDescent="0.4">
      <c r="A319" s="2" t="s">
        <v>321</v>
      </c>
      <c r="B319" s="2"/>
      <c r="C319" s="2"/>
      <c r="D319" s="2"/>
      <c r="E319" s="2"/>
      <c r="F319" s="2"/>
      <c r="G319" s="2"/>
      <c r="H319" s="2"/>
      <c r="I319" s="2">
        <v>65.653400000000005</v>
      </c>
      <c r="J319" s="2">
        <v>272</v>
      </c>
      <c r="K319" s="2">
        <v>65.917699999999996</v>
      </c>
      <c r="L319" s="2">
        <v>271</v>
      </c>
      <c r="M319" s="2">
        <v>94.741200000000006</v>
      </c>
      <c r="N319" s="2">
        <v>273</v>
      </c>
      <c r="O319" s="2">
        <v>91.436400000000006</v>
      </c>
      <c r="P319" s="2">
        <v>298</v>
      </c>
      <c r="Q319" s="2">
        <v>107.4695</v>
      </c>
      <c r="R319" s="2">
        <v>285</v>
      </c>
      <c r="S319" s="2">
        <v>115.4633</v>
      </c>
      <c r="T319" s="2">
        <v>322</v>
      </c>
      <c r="U319" s="2">
        <v>6.3980999999999996E-2</v>
      </c>
      <c r="V319" s="2">
        <v>318</v>
      </c>
      <c r="W319" s="2">
        <v>2003</v>
      </c>
    </row>
    <row r="320" spans="1:23" ht="12.3" x14ac:dyDescent="0.4">
      <c r="A320" s="2" t="s">
        <v>271</v>
      </c>
      <c r="B320" s="2"/>
      <c r="C320" s="2"/>
      <c r="D320" s="2"/>
      <c r="E320" s="2"/>
      <c r="F320" s="2"/>
      <c r="G320" s="2"/>
      <c r="H320" s="2"/>
      <c r="I320" s="2">
        <v>60.763399999999997</v>
      </c>
      <c r="J320" s="2">
        <v>319</v>
      </c>
      <c r="K320" s="2">
        <v>62.071199999999997</v>
      </c>
      <c r="L320" s="2">
        <v>317</v>
      </c>
      <c r="M320" s="2">
        <v>81.919300000000007</v>
      </c>
      <c r="N320" s="2">
        <v>325</v>
      </c>
      <c r="O320" s="2">
        <v>81.724299999999999</v>
      </c>
      <c r="P320" s="2">
        <v>325</v>
      </c>
      <c r="Q320" s="2">
        <v>101.9593</v>
      </c>
      <c r="R320" s="2">
        <v>194</v>
      </c>
      <c r="S320" s="2">
        <v>103.2574</v>
      </c>
      <c r="T320" s="2">
        <v>206</v>
      </c>
      <c r="U320" s="2">
        <v>6.3592999999999997E-2</v>
      </c>
      <c r="V320" s="2">
        <v>319</v>
      </c>
      <c r="W320" s="2">
        <v>2003</v>
      </c>
    </row>
    <row r="321" spans="1:23" ht="12.3" x14ac:dyDescent="0.4">
      <c r="A321" s="2" t="s">
        <v>345</v>
      </c>
      <c r="B321" s="2"/>
      <c r="C321" s="2"/>
      <c r="D321" s="2"/>
      <c r="E321" s="2"/>
      <c r="F321" s="2"/>
      <c r="G321" s="2"/>
      <c r="H321" s="2"/>
      <c r="I321" s="2">
        <v>69.687600000000003</v>
      </c>
      <c r="J321" s="2">
        <v>118</v>
      </c>
      <c r="K321" s="2">
        <v>70.429599999999994</v>
      </c>
      <c r="L321" s="2">
        <v>86</v>
      </c>
      <c r="M321" s="2">
        <v>96.895300000000006</v>
      </c>
      <c r="N321" s="2">
        <v>245</v>
      </c>
      <c r="O321" s="2">
        <v>91.838999999999999</v>
      </c>
      <c r="P321" s="2">
        <v>295</v>
      </c>
      <c r="Q321" s="2">
        <v>108.8147</v>
      </c>
      <c r="R321" s="2">
        <v>301</v>
      </c>
      <c r="S321" s="2">
        <v>116.1028</v>
      </c>
      <c r="T321" s="2">
        <v>325</v>
      </c>
      <c r="U321" s="2">
        <v>6.3206999999999999E-2</v>
      </c>
      <c r="V321" s="2">
        <v>320</v>
      </c>
      <c r="W321" s="2">
        <v>2003</v>
      </c>
    </row>
    <row r="322" spans="1:23" ht="12.3" x14ac:dyDescent="0.4">
      <c r="A322" s="2" t="s">
        <v>351</v>
      </c>
      <c r="B322" s="2"/>
      <c r="C322" s="2"/>
      <c r="D322" s="2"/>
      <c r="E322" s="2"/>
      <c r="F322" s="2"/>
      <c r="G322" s="2"/>
      <c r="H322" s="2"/>
      <c r="I322" s="2">
        <v>71.529899999999998</v>
      </c>
      <c r="J322" s="2">
        <v>60</v>
      </c>
      <c r="K322" s="2">
        <v>69.828699999999998</v>
      </c>
      <c r="L322" s="2">
        <v>108</v>
      </c>
      <c r="M322" s="2">
        <v>76.283100000000005</v>
      </c>
      <c r="N322" s="2">
        <v>327</v>
      </c>
      <c r="O322" s="2">
        <v>78.811199999999999</v>
      </c>
      <c r="P322" s="2">
        <v>326</v>
      </c>
      <c r="Q322" s="2">
        <v>102.7432</v>
      </c>
      <c r="R322" s="2">
        <v>212</v>
      </c>
      <c r="S322" s="2">
        <v>100.1063</v>
      </c>
      <c r="T322" s="2">
        <v>140</v>
      </c>
      <c r="U322" s="2">
        <v>6.0055999999999998E-2</v>
      </c>
      <c r="V322" s="2">
        <v>321</v>
      </c>
      <c r="W322" s="2">
        <v>2003</v>
      </c>
    </row>
    <row r="323" spans="1:23" ht="12.3" x14ac:dyDescent="0.4">
      <c r="A323" s="2" t="s">
        <v>347</v>
      </c>
      <c r="B323" s="2"/>
      <c r="C323" s="2"/>
      <c r="D323" s="2"/>
      <c r="E323" s="2"/>
      <c r="F323" s="2"/>
      <c r="G323" s="2"/>
      <c r="H323" s="2"/>
      <c r="I323" s="2">
        <v>64.643799999999999</v>
      </c>
      <c r="J323" s="2">
        <v>293</v>
      </c>
      <c r="K323" s="2">
        <v>64.191100000000006</v>
      </c>
      <c r="L323" s="2">
        <v>300</v>
      </c>
      <c r="M323" s="2">
        <v>83.393799999999999</v>
      </c>
      <c r="N323" s="2">
        <v>324</v>
      </c>
      <c r="O323" s="2">
        <v>88.4846</v>
      </c>
      <c r="P323" s="2">
        <v>316</v>
      </c>
      <c r="Q323" s="2">
        <v>109.1024</v>
      </c>
      <c r="R323" s="2">
        <v>306</v>
      </c>
      <c r="S323" s="2">
        <v>112.5218</v>
      </c>
      <c r="T323" s="2">
        <v>316</v>
      </c>
      <c r="U323" s="2">
        <v>5.9318999999999997E-2</v>
      </c>
      <c r="V323" s="2">
        <v>322</v>
      </c>
      <c r="W323" s="2">
        <v>2003</v>
      </c>
    </row>
    <row r="324" spans="1:23" ht="12.3" x14ac:dyDescent="0.4">
      <c r="A324" s="2" t="s">
        <v>314</v>
      </c>
      <c r="B324" s="2"/>
      <c r="C324" s="2"/>
      <c r="D324" s="2"/>
      <c r="E324" s="2"/>
      <c r="F324" s="2"/>
      <c r="G324" s="2"/>
      <c r="H324" s="2"/>
      <c r="I324" s="2">
        <v>63.098500000000001</v>
      </c>
      <c r="J324" s="2">
        <v>311</v>
      </c>
      <c r="K324" s="2">
        <v>63.875300000000003</v>
      </c>
      <c r="L324" s="2">
        <v>302</v>
      </c>
      <c r="M324" s="2">
        <v>85.197299999999998</v>
      </c>
      <c r="N324" s="2">
        <v>321</v>
      </c>
      <c r="O324" s="2">
        <v>86.847499999999997</v>
      </c>
      <c r="P324" s="2">
        <v>321</v>
      </c>
      <c r="Q324" s="2">
        <v>106.4961</v>
      </c>
      <c r="R324" s="2">
        <v>274</v>
      </c>
      <c r="S324" s="2">
        <v>111.22929999999999</v>
      </c>
      <c r="T324" s="2">
        <v>310</v>
      </c>
      <c r="U324" s="2">
        <v>5.4912000000000002E-2</v>
      </c>
      <c r="V324" s="2">
        <v>323</v>
      </c>
      <c r="W324" s="2">
        <v>2003</v>
      </c>
    </row>
    <row r="325" spans="1:23" ht="12.3" x14ac:dyDescent="0.4">
      <c r="A325" s="2" t="s">
        <v>268</v>
      </c>
      <c r="B325" s="2"/>
      <c r="C325" s="2"/>
      <c r="D325" s="2"/>
      <c r="E325" s="2"/>
      <c r="F325" s="2"/>
      <c r="G325" s="2"/>
      <c r="H325" s="2"/>
      <c r="I325" s="2">
        <v>77.581000000000003</v>
      </c>
      <c r="J325" s="2">
        <v>3</v>
      </c>
      <c r="K325" s="2">
        <v>77.011099999999999</v>
      </c>
      <c r="L325" s="2">
        <v>2</v>
      </c>
      <c r="M325" s="2">
        <v>92.830100000000002</v>
      </c>
      <c r="N325" s="2">
        <v>294</v>
      </c>
      <c r="O325" s="2">
        <v>90.566199999999995</v>
      </c>
      <c r="P325" s="2">
        <v>304</v>
      </c>
      <c r="Q325" s="2">
        <v>118.9837</v>
      </c>
      <c r="R325" s="2">
        <v>327</v>
      </c>
      <c r="S325" s="2">
        <v>117.5574</v>
      </c>
      <c r="T325" s="2">
        <v>326</v>
      </c>
      <c r="U325" s="2">
        <v>4.7438000000000001E-2</v>
      </c>
      <c r="V325" s="2">
        <v>324</v>
      </c>
      <c r="W325" s="2">
        <v>2003</v>
      </c>
    </row>
    <row r="326" spans="1:23" ht="12.3" x14ac:dyDescent="0.4">
      <c r="A326" s="2" t="s">
        <v>350</v>
      </c>
      <c r="B326" s="2"/>
      <c r="C326" s="2"/>
      <c r="D326" s="2"/>
      <c r="E326" s="2"/>
      <c r="F326" s="2"/>
      <c r="G326" s="2"/>
      <c r="H326" s="2"/>
      <c r="I326" s="2">
        <v>69.349500000000006</v>
      </c>
      <c r="J326" s="2">
        <v>140</v>
      </c>
      <c r="K326" s="2">
        <v>67.470699999999994</v>
      </c>
      <c r="L326" s="2">
        <v>210</v>
      </c>
      <c r="M326" s="2">
        <v>87.512699999999995</v>
      </c>
      <c r="N326" s="2">
        <v>318</v>
      </c>
      <c r="O326" s="2">
        <v>88.630899999999997</v>
      </c>
      <c r="P326" s="2">
        <v>315</v>
      </c>
      <c r="Q326" s="2">
        <v>109.0371</v>
      </c>
      <c r="R326" s="2">
        <v>305</v>
      </c>
      <c r="S326" s="2">
        <v>115.0741</v>
      </c>
      <c r="T326" s="2">
        <v>321</v>
      </c>
      <c r="U326" s="2">
        <v>4.7308000000000003E-2</v>
      </c>
      <c r="V326" s="2">
        <v>325</v>
      </c>
      <c r="W326" s="2">
        <v>2003</v>
      </c>
    </row>
    <row r="327" spans="1:23" ht="12.3" x14ac:dyDescent="0.4">
      <c r="A327" s="2" t="s">
        <v>352</v>
      </c>
      <c r="B327" s="2"/>
      <c r="C327" s="2"/>
      <c r="D327" s="2"/>
      <c r="E327" s="2"/>
      <c r="F327" s="2"/>
      <c r="G327" s="2"/>
      <c r="H327" s="2"/>
      <c r="I327" s="2">
        <v>75.908199999999994</v>
      </c>
      <c r="J327" s="2">
        <v>5</v>
      </c>
      <c r="K327" s="2">
        <v>75.401300000000006</v>
      </c>
      <c r="L327" s="2">
        <v>5</v>
      </c>
      <c r="M327" s="2">
        <v>80.858800000000002</v>
      </c>
      <c r="N327" s="2">
        <v>326</v>
      </c>
      <c r="O327" s="2">
        <v>78.724699999999999</v>
      </c>
      <c r="P327" s="2">
        <v>327</v>
      </c>
      <c r="Q327" s="2">
        <v>103.09439999999999</v>
      </c>
      <c r="R327" s="2">
        <v>219</v>
      </c>
      <c r="S327" s="2">
        <v>102.5827</v>
      </c>
      <c r="T327" s="2">
        <v>193</v>
      </c>
      <c r="U327" s="2">
        <v>4.5469000000000002E-2</v>
      </c>
      <c r="V327" s="2">
        <v>326</v>
      </c>
      <c r="W327" s="2">
        <v>2003</v>
      </c>
    </row>
    <row r="328" spans="1:23" ht="12.3" x14ac:dyDescent="0.4">
      <c r="A328" s="2" t="s">
        <v>296</v>
      </c>
      <c r="B328" s="2"/>
      <c r="C328" s="2"/>
      <c r="D328" s="2"/>
      <c r="E328" s="2"/>
      <c r="F328" s="2"/>
      <c r="G328" s="2"/>
      <c r="H328" s="2"/>
      <c r="I328" s="2">
        <v>69.954599999999999</v>
      </c>
      <c r="J328" s="2">
        <v>113</v>
      </c>
      <c r="K328" s="2">
        <v>70.400000000000006</v>
      </c>
      <c r="L328" s="2">
        <v>89</v>
      </c>
      <c r="M328" s="2">
        <v>86.322299999999998</v>
      </c>
      <c r="N328" s="2">
        <v>319</v>
      </c>
      <c r="O328" s="2">
        <v>86.005899999999997</v>
      </c>
      <c r="P328" s="2">
        <v>322</v>
      </c>
      <c r="Q328" s="2">
        <v>114.48399999999999</v>
      </c>
      <c r="R328" s="2">
        <v>326</v>
      </c>
      <c r="S328" s="2">
        <v>119.03149999999999</v>
      </c>
      <c r="T328" s="2">
        <v>327</v>
      </c>
      <c r="U328" s="2">
        <v>2.3266999999999999E-2</v>
      </c>
      <c r="V328" s="2">
        <v>327</v>
      </c>
      <c r="W328" s="2">
        <v>2003</v>
      </c>
    </row>
  </sheetData>
  <autoFilter ref="A1:V328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327"/>
  <sheetViews>
    <sheetView workbookViewId="0"/>
  </sheetViews>
  <sheetFormatPr defaultColWidth="14.44140625" defaultRowHeight="15.75" customHeight="1" x14ac:dyDescent="0.4"/>
  <cols>
    <col min="2" max="2" width="4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32</v>
      </c>
      <c r="B2" s="2">
        <v>1</v>
      </c>
      <c r="C2" s="3" t="s">
        <v>33</v>
      </c>
      <c r="D2" s="3" t="s">
        <v>33</v>
      </c>
      <c r="E2" s="3" t="s">
        <v>33</v>
      </c>
      <c r="F2" s="3" t="s">
        <v>33</v>
      </c>
      <c r="G2" s="2"/>
      <c r="H2" s="2"/>
      <c r="I2" s="2">
        <v>70.012200000000007</v>
      </c>
      <c r="J2" s="2">
        <v>88</v>
      </c>
      <c r="K2" s="2">
        <v>69.271000000000001</v>
      </c>
      <c r="L2" s="2">
        <v>107</v>
      </c>
      <c r="M2" s="2">
        <v>113.1113</v>
      </c>
      <c r="N2" s="2">
        <v>9</v>
      </c>
      <c r="O2" s="2">
        <v>117.6452</v>
      </c>
      <c r="P2" s="2">
        <v>4</v>
      </c>
      <c r="Q2" s="2">
        <v>91.740899999999996</v>
      </c>
      <c r="R2" s="2">
        <v>11</v>
      </c>
      <c r="S2" s="2">
        <v>89.644499999999994</v>
      </c>
      <c r="T2" s="2">
        <v>5</v>
      </c>
      <c r="U2" s="2">
        <v>0.95794999999999997</v>
      </c>
      <c r="V2" s="2">
        <v>1</v>
      </c>
      <c r="W2" s="2">
        <v>2004</v>
      </c>
    </row>
    <row r="3" spans="1:23" ht="15.75" customHeight="1" x14ac:dyDescent="0.4">
      <c r="A3" s="2" t="s">
        <v>46</v>
      </c>
      <c r="B3" s="2">
        <v>3</v>
      </c>
      <c r="C3" s="3" t="s">
        <v>33</v>
      </c>
      <c r="D3" s="3" t="s">
        <v>33</v>
      </c>
      <c r="E3" s="2"/>
      <c r="F3" s="2"/>
      <c r="G3" s="2"/>
      <c r="H3" s="2"/>
      <c r="I3" s="2">
        <v>60.519500000000001</v>
      </c>
      <c r="J3" s="2">
        <v>318</v>
      </c>
      <c r="K3" s="2">
        <v>61.084200000000003</v>
      </c>
      <c r="L3" s="2">
        <v>315</v>
      </c>
      <c r="M3" s="2">
        <v>111.789</v>
      </c>
      <c r="N3" s="2">
        <v>12</v>
      </c>
      <c r="O3" s="2">
        <v>113.94199999999999</v>
      </c>
      <c r="P3" s="2">
        <v>13</v>
      </c>
      <c r="Q3" s="2">
        <v>90.810299999999998</v>
      </c>
      <c r="R3" s="2">
        <v>6</v>
      </c>
      <c r="S3" s="2">
        <v>88.186899999999994</v>
      </c>
      <c r="T3" s="2">
        <v>2</v>
      </c>
      <c r="U3" s="2">
        <v>0.95010499999999998</v>
      </c>
      <c r="V3" s="2">
        <v>2</v>
      </c>
      <c r="W3" s="2">
        <v>2004</v>
      </c>
    </row>
    <row r="4" spans="1:23" ht="15.75" customHeight="1" x14ac:dyDescent="0.4">
      <c r="A4" s="2" t="s">
        <v>91</v>
      </c>
      <c r="B4" s="2">
        <v>1</v>
      </c>
      <c r="C4" s="3" t="s">
        <v>33</v>
      </c>
      <c r="D4" s="3" t="s">
        <v>33</v>
      </c>
      <c r="E4" s="3" t="s">
        <v>33</v>
      </c>
      <c r="F4" s="2"/>
      <c r="G4" s="2"/>
      <c r="H4" s="2"/>
      <c r="I4" s="2">
        <v>67.862499999999997</v>
      </c>
      <c r="J4" s="2">
        <v>168</v>
      </c>
      <c r="K4" s="2">
        <v>68.685500000000005</v>
      </c>
      <c r="L4" s="2">
        <v>126</v>
      </c>
      <c r="M4" s="2">
        <v>114.627</v>
      </c>
      <c r="N4" s="2">
        <v>5</v>
      </c>
      <c r="O4" s="2">
        <v>114.95950000000001</v>
      </c>
      <c r="P4" s="2">
        <v>11</v>
      </c>
      <c r="Q4" s="2">
        <v>90.536799999999999</v>
      </c>
      <c r="R4" s="2">
        <v>5</v>
      </c>
      <c r="S4" s="2">
        <v>89.9756</v>
      </c>
      <c r="T4" s="2">
        <v>7</v>
      </c>
      <c r="U4" s="2">
        <v>0.94364000000000003</v>
      </c>
      <c r="V4" s="2">
        <v>3</v>
      </c>
      <c r="W4" s="2">
        <v>2004</v>
      </c>
    </row>
    <row r="5" spans="1:23" ht="15.75" customHeight="1" x14ac:dyDescent="0.4">
      <c r="A5" s="2" t="s">
        <v>47</v>
      </c>
      <c r="B5" s="2">
        <v>2</v>
      </c>
      <c r="C5" s="3" t="s">
        <v>33</v>
      </c>
      <c r="D5" s="2"/>
      <c r="E5" s="2"/>
      <c r="F5" s="2"/>
      <c r="G5" s="2"/>
      <c r="H5" s="2"/>
      <c r="I5" s="2">
        <v>68.746200000000002</v>
      </c>
      <c r="J5" s="2">
        <v>131</v>
      </c>
      <c r="K5" s="2">
        <v>68.2624</v>
      </c>
      <c r="L5" s="2">
        <v>145</v>
      </c>
      <c r="M5" s="2">
        <v>119.00660000000001</v>
      </c>
      <c r="N5" s="2">
        <v>1</v>
      </c>
      <c r="O5" s="2">
        <v>118.7808</v>
      </c>
      <c r="P5" s="2">
        <v>2</v>
      </c>
      <c r="Q5" s="2">
        <v>94.983999999999995</v>
      </c>
      <c r="R5" s="2">
        <v>41</v>
      </c>
      <c r="S5" s="2">
        <v>93.751000000000005</v>
      </c>
      <c r="T5" s="2">
        <v>28</v>
      </c>
      <c r="U5" s="2">
        <v>0.93827400000000005</v>
      </c>
      <c r="V5" s="2">
        <v>4</v>
      </c>
      <c r="W5" s="2">
        <v>2004</v>
      </c>
    </row>
    <row r="6" spans="1:23" ht="15.75" customHeight="1" x14ac:dyDescent="0.4">
      <c r="A6" s="2" t="s">
        <v>54</v>
      </c>
      <c r="B6" s="2">
        <v>2</v>
      </c>
      <c r="C6" s="3" t="s">
        <v>33</v>
      </c>
      <c r="D6" s="3" t="s">
        <v>33</v>
      </c>
      <c r="E6" s="3" t="s">
        <v>33</v>
      </c>
      <c r="F6" s="3" t="s">
        <v>33</v>
      </c>
      <c r="G6" s="3" t="s">
        <v>33</v>
      </c>
      <c r="H6" s="3" t="s">
        <v>33</v>
      </c>
      <c r="I6" s="2">
        <v>70.069900000000004</v>
      </c>
      <c r="J6" s="2">
        <v>85</v>
      </c>
      <c r="K6" s="2">
        <v>70.080500000000001</v>
      </c>
      <c r="L6" s="2">
        <v>73</v>
      </c>
      <c r="M6" s="2">
        <v>112.3242</v>
      </c>
      <c r="N6" s="2">
        <v>11</v>
      </c>
      <c r="O6" s="2">
        <v>113.6357</v>
      </c>
      <c r="P6" s="2">
        <v>14</v>
      </c>
      <c r="Q6" s="2">
        <v>91.503900000000002</v>
      </c>
      <c r="R6" s="2">
        <v>10</v>
      </c>
      <c r="S6" s="2">
        <v>90.179100000000005</v>
      </c>
      <c r="T6" s="2">
        <v>8</v>
      </c>
      <c r="U6" s="2">
        <v>0.93455100000000002</v>
      </c>
      <c r="V6" s="2">
        <v>5</v>
      </c>
      <c r="W6" s="2">
        <v>2004</v>
      </c>
    </row>
    <row r="7" spans="1:23" ht="15.75" customHeight="1" x14ac:dyDescent="0.4">
      <c r="A7" s="2" t="s">
        <v>45</v>
      </c>
      <c r="B7" s="2">
        <v>1</v>
      </c>
      <c r="C7" s="3" t="s">
        <v>33</v>
      </c>
      <c r="D7" s="2"/>
      <c r="E7" s="2"/>
      <c r="F7" s="2"/>
      <c r="G7" s="2"/>
      <c r="H7" s="2"/>
      <c r="I7" s="2">
        <v>68.053799999999995</v>
      </c>
      <c r="J7" s="2">
        <v>159</v>
      </c>
      <c r="K7" s="2">
        <v>68.370800000000003</v>
      </c>
      <c r="L7" s="2">
        <v>135</v>
      </c>
      <c r="M7" s="2">
        <v>106.71639999999999</v>
      </c>
      <c r="N7" s="2">
        <v>65</v>
      </c>
      <c r="O7" s="2">
        <v>111.4277</v>
      </c>
      <c r="P7" s="2">
        <v>23</v>
      </c>
      <c r="Q7" s="2">
        <v>92.282300000000006</v>
      </c>
      <c r="R7" s="2">
        <v>16</v>
      </c>
      <c r="S7" s="2">
        <v>88.546599999999998</v>
      </c>
      <c r="T7" s="2">
        <v>3</v>
      </c>
      <c r="U7" s="2">
        <v>0.93359400000000003</v>
      </c>
      <c r="V7" s="2">
        <v>6</v>
      </c>
      <c r="W7" s="2">
        <v>2004</v>
      </c>
    </row>
    <row r="8" spans="1:23" ht="15.75" customHeight="1" x14ac:dyDescent="0.4">
      <c r="A8" s="2" t="s">
        <v>55</v>
      </c>
      <c r="B8" s="2">
        <v>3</v>
      </c>
      <c r="C8" s="3" t="s">
        <v>33</v>
      </c>
      <c r="D8" s="2"/>
      <c r="E8" s="2"/>
      <c r="F8" s="2"/>
      <c r="G8" s="2"/>
      <c r="H8" s="2"/>
      <c r="I8" s="2">
        <v>66.661600000000007</v>
      </c>
      <c r="J8" s="2">
        <v>204</v>
      </c>
      <c r="K8" s="2">
        <v>64.578900000000004</v>
      </c>
      <c r="L8" s="2">
        <v>277</v>
      </c>
      <c r="M8" s="2">
        <v>109.58029999999999</v>
      </c>
      <c r="N8" s="2">
        <v>26</v>
      </c>
      <c r="O8" s="2">
        <v>117.9212</v>
      </c>
      <c r="P8" s="2">
        <v>3</v>
      </c>
      <c r="Q8" s="2">
        <v>97.632000000000005</v>
      </c>
      <c r="R8" s="2">
        <v>89</v>
      </c>
      <c r="S8" s="2">
        <v>94.677999999999997</v>
      </c>
      <c r="T8" s="2">
        <v>39</v>
      </c>
      <c r="U8" s="2">
        <v>0.92585200000000001</v>
      </c>
      <c r="V8" s="2">
        <v>7</v>
      </c>
      <c r="W8" s="2">
        <v>2004</v>
      </c>
    </row>
    <row r="9" spans="1:23" ht="15.75" customHeight="1" x14ac:dyDescent="0.4">
      <c r="A9" s="2" t="s">
        <v>72</v>
      </c>
      <c r="B9" s="2">
        <v>2</v>
      </c>
      <c r="C9" s="3" t="s">
        <v>33</v>
      </c>
      <c r="D9" s="3" t="s">
        <v>33</v>
      </c>
      <c r="E9" s="3" t="s">
        <v>33</v>
      </c>
      <c r="F9" s="3" t="s">
        <v>33</v>
      </c>
      <c r="G9" s="2"/>
      <c r="H9" s="2"/>
      <c r="I9" s="2">
        <v>67.677700000000002</v>
      </c>
      <c r="J9" s="2">
        <v>175</v>
      </c>
      <c r="K9" s="2">
        <v>67.096100000000007</v>
      </c>
      <c r="L9" s="2">
        <v>190</v>
      </c>
      <c r="M9" s="2">
        <v>114.5271</v>
      </c>
      <c r="N9" s="2">
        <v>6</v>
      </c>
      <c r="O9" s="2">
        <v>115.703</v>
      </c>
      <c r="P9" s="2">
        <v>7</v>
      </c>
      <c r="Q9" s="2">
        <v>93.298900000000003</v>
      </c>
      <c r="R9" s="2">
        <v>23</v>
      </c>
      <c r="S9" s="2">
        <v>93.169600000000003</v>
      </c>
      <c r="T9" s="2">
        <v>24</v>
      </c>
      <c r="U9" s="2">
        <v>0.92350600000000005</v>
      </c>
      <c r="V9" s="2">
        <v>8</v>
      </c>
      <c r="W9" s="2">
        <v>2004</v>
      </c>
    </row>
    <row r="10" spans="1:23" ht="15.75" customHeight="1" x14ac:dyDescent="0.4">
      <c r="A10" s="2" t="s">
        <v>92</v>
      </c>
      <c r="B10" s="2">
        <v>3</v>
      </c>
      <c r="C10" s="3" t="s">
        <v>33</v>
      </c>
      <c r="D10" s="3" t="s">
        <v>33</v>
      </c>
      <c r="E10" s="3" t="s">
        <v>33</v>
      </c>
      <c r="F10" s="3" t="s">
        <v>33</v>
      </c>
      <c r="G10" s="3" t="s">
        <v>33</v>
      </c>
      <c r="H10" s="2"/>
      <c r="I10" s="2">
        <v>72.636200000000002</v>
      </c>
      <c r="J10" s="2">
        <v>22</v>
      </c>
      <c r="K10" s="2">
        <v>71.158100000000005</v>
      </c>
      <c r="L10" s="2">
        <v>41</v>
      </c>
      <c r="M10" s="2">
        <v>106.92359999999999</v>
      </c>
      <c r="N10" s="2">
        <v>61</v>
      </c>
      <c r="O10" s="2">
        <v>112.3931</v>
      </c>
      <c r="P10" s="2">
        <v>20</v>
      </c>
      <c r="Q10" s="2">
        <v>92.101200000000006</v>
      </c>
      <c r="R10" s="2">
        <v>13</v>
      </c>
      <c r="S10" s="2">
        <v>90.567099999999996</v>
      </c>
      <c r="T10" s="2">
        <v>11</v>
      </c>
      <c r="U10" s="2">
        <v>0.92294100000000001</v>
      </c>
      <c r="V10" s="2">
        <v>9</v>
      </c>
      <c r="W10" s="2">
        <v>2004</v>
      </c>
    </row>
    <row r="11" spans="1:23" ht="15.75" customHeight="1" x14ac:dyDescent="0.4">
      <c r="A11" s="2" t="s">
        <v>76</v>
      </c>
      <c r="B11" s="2">
        <v>6</v>
      </c>
      <c r="C11" s="3" t="s">
        <v>33</v>
      </c>
      <c r="D11" s="2"/>
      <c r="E11" s="2"/>
      <c r="F11" s="2"/>
      <c r="G11" s="2"/>
      <c r="H11" s="2"/>
      <c r="I11" s="2">
        <v>61.050600000000003</v>
      </c>
      <c r="J11" s="2">
        <v>314</v>
      </c>
      <c r="K11" s="2">
        <v>61.981699999999996</v>
      </c>
      <c r="L11" s="2">
        <v>310</v>
      </c>
      <c r="M11" s="2">
        <v>111.5488</v>
      </c>
      <c r="N11" s="2">
        <v>13</v>
      </c>
      <c r="O11" s="2">
        <v>112.1237</v>
      </c>
      <c r="P11" s="2">
        <v>21</v>
      </c>
      <c r="Q11" s="2">
        <v>92.278499999999994</v>
      </c>
      <c r="R11" s="2">
        <v>15</v>
      </c>
      <c r="S11" s="2">
        <v>90.565299999999993</v>
      </c>
      <c r="T11" s="2">
        <v>10</v>
      </c>
      <c r="U11" s="2">
        <v>0.92097099999999998</v>
      </c>
      <c r="V11" s="2">
        <v>10</v>
      </c>
      <c r="W11" s="2">
        <v>2004</v>
      </c>
    </row>
    <row r="12" spans="1:23" ht="15.75" customHeight="1" x14ac:dyDescent="0.4">
      <c r="A12" s="2" t="s">
        <v>48</v>
      </c>
      <c r="B12" s="2">
        <v>2</v>
      </c>
      <c r="C12" s="3" t="s">
        <v>33</v>
      </c>
      <c r="D12" s="2"/>
      <c r="E12" s="2"/>
      <c r="F12" s="2"/>
      <c r="G12" s="2"/>
      <c r="H12" s="2"/>
      <c r="I12" s="2">
        <v>69.688400000000001</v>
      </c>
      <c r="J12" s="2">
        <v>101</v>
      </c>
      <c r="K12" s="2">
        <v>70.101399999999998</v>
      </c>
      <c r="L12" s="2">
        <v>72</v>
      </c>
      <c r="M12" s="2">
        <v>108.762</v>
      </c>
      <c r="N12" s="2">
        <v>33</v>
      </c>
      <c r="O12" s="2">
        <v>113.0877</v>
      </c>
      <c r="P12" s="2">
        <v>17</v>
      </c>
      <c r="Q12" s="2">
        <v>93.504199999999997</v>
      </c>
      <c r="R12" s="2">
        <v>26</v>
      </c>
      <c r="S12" s="2">
        <v>91.515299999999996</v>
      </c>
      <c r="T12" s="2">
        <v>14</v>
      </c>
      <c r="U12" s="2">
        <v>0.91938799999999998</v>
      </c>
      <c r="V12" s="2">
        <v>11</v>
      </c>
      <c r="W12" s="2">
        <v>2004</v>
      </c>
    </row>
    <row r="13" spans="1:23" ht="15.75" customHeight="1" x14ac:dyDescent="0.4">
      <c r="A13" s="2" t="s">
        <v>34</v>
      </c>
      <c r="B13" s="2">
        <v>4</v>
      </c>
      <c r="C13" s="3" t="s">
        <v>33</v>
      </c>
      <c r="D13" s="2"/>
      <c r="E13" s="2"/>
      <c r="F13" s="2"/>
      <c r="G13" s="2"/>
      <c r="H13" s="2"/>
      <c r="I13" s="2">
        <v>68.887600000000006</v>
      </c>
      <c r="J13" s="2">
        <v>128</v>
      </c>
      <c r="K13" s="2">
        <v>68.5565</v>
      </c>
      <c r="L13" s="2">
        <v>130</v>
      </c>
      <c r="M13" s="2">
        <v>111.42919999999999</v>
      </c>
      <c r="N13" s="2">
        <v>14</v>
      </c>
      <c r="O13" s="2">
        <v>114.1686</v>
      </c>
      <c r="P13" s="2">
        <v>12</v>
      </c>
      <c r="Q13" s="2">
        <v>91.203900000000004</v>
      </c>
      <c r="R13" s="2">
        <v>8</v>
      </c>
      <c r="S13" s="2">
        <v>92.809200000000004</v>
      </c>
      <c r="T13" s="2">
        <v>19</v>
      </c>
      <c r="U13" s="2">
        <v>0.91544400000000004</v>
      </c>
      <c r="V13" s="2">
        <v>12</v>
      </c>
      <c r="W13" s="2">
        <v>2004</v>
      </c>
    </row>
    <row r="14" spans="1:23" ht="15.75" customHeight="1" x14ac:dyDescent="0.4">
      <c r="A14" s="2" t="s">
        <v>168</v>
      </c>
      <c r="B14" s="2">
        <v>6</v>
      </c>
      <c r="C14" s="3" t="s">
        <v>33</v>
      </c>
      <c r="D14" s="2"/>
      <c r="E14" s="2"/>
      <c r="F14" s="2"/>
      <c r="G14" s="2"/>
      <c r="H14" s="2"/>
      <c r="I14" s="2">
        <v>74.396900000000002</v>
      </c>
      <c r="J14" s="2">
        <v>9</v>
      </c>
      <c r="K14" s="2">
        <v>72.66</v>
      </c>
      <c r="L14" s="2">
        <v>17</v>
      </c>
      <c r="M14" s="2">
        <v>108.9502</v>
      </c>
      <c r="N14" s="2">
        <v>29</v>
      </c>
      <c r="O14" s="2">
        <v>115.0068</v>
      </c>
      <c r="P14" s="2">
        <v>10</v>
      </c>
      <c r="Q14" s="2">
        <v>99.064800000000005</v>
      </c>
      <c r="R14" s="2">
        <v>114</v>
      </c>
      <c r="S14" s="2">
        <v>93.916300000000007</v>
      </c>
      <c r="T14" s="2">
        <v>30</v>
      </c>
      <c r="U14" s="2">
        <v>0.91131200000000001</v>
      </c>
      <c r="V14" s="2">
        <v>13</v>
      </c>
      <c r="W14" s="2">
        <v>2004</v>
      </c>
    </row>
    <row r="15" spans="1:23" ht="15.75" customHeight="1" x14ac:dyDescent="0.4">
      <c r="A15" s="2" t="s">
        <v>52</v>
      </c>
      <c r="B15" s="2">
        <v>1</v>
      </c>
      <c r="C15" s="3" t="s">
        <v>33</v>
      </c>
      <c r="D15" s="2"/>
      <c r="E15" s="2"/>
      <c r="F15" s="2"/>
      <c r="G15" s="2"/>
      <c r="H15" s="2"/>
      <c r="I15" s="2">
        <v>67.026200000000003</v>
      </c>
      <c r="J15" s="2">
        <v>193</v>
      </c>
      <c r="K15" s="2">
        <v>65.987300000000005</v>
      </c>
      <c r="L15" s="2">
        <v>226</v>
      </c>
      <c r="M15" s="2">
        <v>110.4171</v>
      </c>
      <c r="N15" s="2">
        <v>21</v>
      </c>
      <c r="O15" s="2">
        <v>109.6559</v>
      </c>
      <c r="P15" s="2">
        <v>39</v>
      </c>
      <c r="Q15" s="2">
        <v>90.505300000000005</v>
      </c>
      <c r="R15" s="2">
        <v>4</v>
      </c>
      <c r="S15" s="2">
        <v>89.7042</v>
      </c>
      <c r="T15" s="2">
        <v>6</v>
      </c>
      <c r="U15" s="2">
        <v>0.90966400000000003</v>
      </c>
      <c r="V15" s="2">
        <v>14</v>
      </c>
      <c r="W15" s="2">
        <v>2004</v>
      </c>
    </row>
    <row r="16" spans="1:23" ht="15.75" customHeight="1" x14ac:dyDescent="0.4">
      <c r="A16" s="2" t="s">
        <v>61</v>
      </c>
      <c r="B16" s="2">
        <v>4</v>
      </c>
      <c r="C16" s="3" t="s">
        <v>33</v>
      </c>
      <c r="D16" s="3" t="s">
        <v>33</v>
      </c>
      <c r="E16" s="2"/>
      <c r="F16" s="2"/>
      <c r="G16" s="2"/>
      <c r="H16" s="2"/>
      <c r="I16" s="2">
        <v>73.154799999999994</v>
      </c>
      <c r="J16" s="2">
        <v>19</v>
      </c>
      <c r="K16" s="2">
        <v>71.874600000000001</v>
      </c>
      <c r="L16" s="2">
        <v>28</v>
      </c>
      <c r="M16" s="2">
        <v>112.4837</v>
      </c>
      <c r="N16" s="2">
        <v>10</v>
      </c>
      <c r="O16" s="2">
        <v>120.0258</v>
      </c>
      <c r="P16" s="2">
        <v>1</v>
      </c>
      <c r="Q16" s="2">
        <v>101.83329999999999</v>
      </c>
      <c r="R16" s="2">
        <v>174</v>
      </c>
      <c r="S16" s="2">
        <v>99.070999999999998</v>
      </c>
      <c r="T16" s="2">
        <v>114</v>
      </c>
      <c r="U16" s="2">
        <v>0.90083199999999997</v>
      </c>
      <c r="V16" s="2">
        <v>15</v>
      </c>
      <c r="W16" s="2">
        <v>2004</v>
      </c>
    </row>
    <row r="17" spans="1:23" ht="15.75" customHeight="1" x14ac:dyDescent="0.4">
      <c r="A17" s="2" t="s">
        <v>86</v>
      </c>
      <c r="B17" s="2">
        <v>10</v>
      </c>
      <c r="C17" s="2"/>
      <c r="D17" s="2"/>
      <c r="E17" s="2"/>
      <c r="F17" s="2"/>
      <c r="G17" s="2"/>
      <c r="H17" s="2"/>
      <c r="I17" s="2">
        <v>69.697800000000001</v>
      </c>
      <c r="J17" s="2">
        <v>100</v>
      </c>
      <c r="K17" s="2">
        <v>69.431399999999996</v>
      </c>
      <c r="L17" s="2">
        <v>102</v>
      </c>
      <c r="M17" s="2">
        <v>103.6755</v>
      </c>
      <c r="N17" s="2">
        <v>102</v>
      </c>
      <c r="O17" s="2">
        <v>103.0938</v>
      </c>
      <c r="P17" s="2">
        <v>121</v>
      </c>
      <c r="Q17" s="2">
        <v>86.672399999999996</v>
      </c>
      <c r="R17" s="2">
        <v>1</v>
      </c>
      <c r="S17" s="2">
        <v>85.956900000000005</v>
      </c>
      <c r="T17" s="2">
        <v>1</v>
      </c>
      <c r="U17" s="2">
        <v>0.88998699999999997</v>
      </c>
      <c r="V17" s="2">
        <v>16</v>
      </c>
      <c r="W17" s="2">
        <v>2004</v>
      </c>
    </row>
    <row r="18" spans="1:23" ht="15.75" customHeight="1" x14ac:dyDescent="0.4">
      <c r="A18" s="2" t="s">
        <v>36</v>
      </c>
      <c r="B18" s="2">
        <v>4</v>
      </c>
      <c r="C18" s="3" t="s">
        <v>33</v>
      </c>
      <c r="D18" s="2"/>
      <c r="E18" s="2"/>
      <c r="F18" s="2"/>
      <c r="G18" s="2"/>
      <c r="H18" s="2"/>
      <c r="I18" s="2">
        <v>73.576400000000007</v>
      </c>
      <c r="J18" s="2">
        <v>15</v>
      </c>
      <c r="K18" s="2">
        <v>72.843800000000002</v>
      </c>
      <c r="L18" s="2">
        <v>15</v>
      </c>
      <c r="M18" s="2">
        <v>103.7295</v>
      </c>
      <c r="N18" s="2">
        <v>100</v>
      </c>
      <c r="O18" s="2">
        <v>108.6867</v>
      </c>
      <c r="P18" s="2">
        <v>55</v>
      </c>
      <c r="Q18" s="2">
        <v>96.009100000000004</v>
      </c>
      <c r="R18" s="2">
        <v>56</v>
      </c>
      <c r="S18" s="2">
        <v>90.809299999999993</v>
      </c>
      <c r="T18" s="2">
        <v>12</v>
      </c>
      <c r="U18" s="2">
        <v>0.88761800000000002</v>
      </c>
      <c r="V18" s="2">
        <v>17</v>
      </c>
      <c r="W18" s="2">
        <v>2004</v>
      </c>
    </row>
    <row r="19" spans="1:23" ht="15.75" customHeight="1" x14ac:dyDescent="0.4">
      <c r="A19" s="2" t="s">
        <v>50</v>
      </c>
      <c r="B19" s="2">
        <v>7</v>
      </c>
      <c r="C19" s="3" t="s">
        <v>33</v>
      </c>
      <c r="D19" s="3" t="s">
        <v>33</v>
      </c>
      <c r="E19" s="3" t="s">
        <v>33</v>
      </c>
      <c r="F19" s="2"/>
      <c r="G19" s="2"/>
      <c r="H19" s="2"/>
      <c r="I19" s="2">
        <v>65.535700000000006</v>
      </c>
      <c r="J19" s="2">
        <v>245</v>
      </c>
      <c r="K19" s="2">
        <v>65.586699999999993</v>
      </c>
      <c r="L19" s="2">
        <v>240</v>
      </c>
      <c r="M19" s="2">
        <v>107.06100000000001</v>
      </c>
      <c r="N19" s="2">
        <v>55</v>
      </c>
      <c r="O19" s="2">
        <v>109.9152</v>
      </c>
      <c r="P19" s="2">
        <v>36</v>
      </c>
      <c r="Q19" s="2">
        <v>94.5428</v>
      </c>
      <c r="R19" s="2">
        <v>36</v>
      </c>
      <c r="S19" s="2">
        <v>92.282499999999999</v>
      </c>
      <c r="T19" s="2">
        <v>16</v>
      </c>
      <c r="U19" s="2">
        <v>0.88192999999999999</v>
      </c>
      <c r="V19" s="2">
        <v>18</v>
      </c>
      <c r="W19" s="2">
        <v>2004</v>
      </c>
    </row>
    <row r="20" spans="1:23" ht="15.75" customHeight="1" x14ac:dyDescent="0.4">
      <c r="A20" s="2" t="s">
        <v>37</v>
      </c>
      <c r="B20" s="2">
        <v>5</v>
      </c>
      <c r="C20" s="2"/>
      <c r="D20" s="2"/>
      <c r="E20" s="2"/>
      <c r="F20" s="2"/>
      <c r="G20" s="2"/>
      <c r="H20" s="2"/>
      <c r="I20" s="2">
        <v>68.761600000000001</v>
      </c>
      <c r="J20" s="2">
        <v>130</v>
      </c>
      <c r="K20" s="2">
        <v>67.610299999999995</v>
      </c>
      <c r="L20" s="2">
        <v>170</v>
      </c>
      <c r="M20" s="2">
        <v>111.2139</v>
      </c>
      <c r="N20" s="2">
        <v>18</v>
      </c>
      <c r="O20" s="2">
        <v>116.75839999999999</v>
      </c>
      <c r="P20" s="2">
        <v>5</v>
      </c>
      <c r="Q20" s="2">
        <v>100.1583</v>
      </c>
      <c r="R20" s="2">
        <v>133</v>
      </c>
      <c r="S20" s="2">
        <v>98.225899999999996</v>
      </c>
      <c r="T20" s="2">
        <v>94</v>
      </c>
      <c r="U20" s="2">
        <v>0.87949200000000005</v>
      </c>
      <c r="V20" s="2">
        <v>19</v>
      </c>
      <c r="W20" s="2">
        <v>2004</v>
      </c>
    </row>
    <row r="21" spans="1:23" ht="15.75" customHeight="1" x14ac:dyDescent="0.4">
      <c r="A21" s="2" t="s">
        <v>67</v>
      </c>
      <c r="B21" s="2">
        <v>3</v>
      </c>
      <c r="C21" s="3" t="s">
        <v>33</v>
      </c>
      <c r="D21" s="3" t="s">
        <v>33</v>
      </c>
      <c r="E21" s="2"/>
      <c r="F21" s="2"/>
      <c r="G21" s="2"/>
      <c r="H21" s="2"/>
      <c r="I21" s="2">
        <v>68.337599999999995</v>
      </c>
      <c r="J21" s="2">
        <v>148</v>
      </c>
      <c r="K21" s="2">
        <v>66.947500000000005</v>
      </c>
      <c r="L21" s="2">
        <v>195</v>
      </c>
      <c r="M21" s="2">
        <v>111.1639</v>
      </c>
      <c r="N21" s="2">
        <v>19</v>
      </c>
      <c r="O21" s="2">
        <v>110.43680000000001</v>
      </c>
      <c r="P21" s="2">
        <v>31</v>
      </c>
      <c r="Q21" s="2">
        <v>96.610699999999994</v>
      </c>
      <c r="R21" s="2">
        <v>69</v>
      </c>
      <c r="S21" s="2">
        <v>93.177000000000007</v>
      </c>
      <c r="T21" s="2">
        <v>25</v>
      </c>
      <c r="U21" s="2">
        <v>0.875919</v>
      </c>
      <c r="V21" s="2">
        <v>20</v>
      </c>
      <c r="W21" s="2">
        <v>2004</v>
      </c>
    </row>
    <row r="22" spans="1:23" ht="15.75" customHeight="1" x14ac:dyDescent="0.4">
      <c r="A22" s="2" t="s">
        <v>145</v>
      </c>
      <c r="B22" s="2">
        <v>10</v>
      </c>
      <c r="C22" s="3" t="s">
        <v>33</v>
      </c>
      <c r="D22" s="3" t="s">
        <v>33</v>
      </c>
      <c r="E22" s="2"/>
      <c r="F22" s="2"/>
      <c r="G22" s="2"/>
      <c r="H22" s="2"/>
      <c r="I22" s="2">
        <v>69.415700000000001</v>
      </c>
      <c r="J22" s="2">
        <v>107</v>
      </c>
      <c r="K22" s="2">
        <v>70.038600000000002</v>
      </c>
      <c r="L22" s="2">
        <v>76</v>
      </c>
      <c r="M22" s="2">
        <v>108.3764</v>
      </c>
      <c r="N22" s="2">
        <v>37</v>
      </c>
      <c r="O22" s="2">
        <v>109.3536</v>
      </c>
      <c r="P22" s="2">
        <v>44</v>
      </c>
      <c r="Q22" s="2">
        <v>94.788200000000003</v>
      </c>
      <c r="R22" s="2">
        <v>39</v>
      </c>
      <c r="S22" s="2">
        <v>92.416200000000003</v>
      </c>
      <c r="T22" s="2">
        <v>17</v>
      </c>
      <c r="U22" s="2">
        <v>0.87383100000000002</v>
      </c>
      <c r="V22" s="2">
        <v>21</v>
      </c>
      <c r="W22" s="2">
        <v>2004</v>
      </c>
    </row>
    <row r="23" spans="1:23" ht="15.75" customHeight="1" x14ac:dyDescent="0.4">
      <c r="A23" s="2" t="s">
        <v>44</v>
      </c>
      <c r="B23" s="2">
        <v>5</v>
      </c>
      <c r="C23" s="3" t="s">
        <v>33</v>
      </c>
      <c r="D23" s="3" t="s">
        <v>33</v>
      </c>
      <c r="E23" s="2"/>
      <c r="F23" s="2"/>
      <c r="G23" s="2"/>
      <c r="H23" s="2"/>
      <c r="I23" s="2">
        <v>64.787499999999994</v>
      </c>
      <c r="J23" s="2">
        <v>263</v>
      </c>
      <c r="K23" s="2">
        <v>65.331800000000001</v>
      </c>
      <c r="L23" s="2">
        <v>251</v>
      </c>
      <c r="M23" s="2">
        <v>111.2415</v>
      </c>
      <c r="N23" s="2">
        <v>17</v>
      </c>
      <c r="O23" s="2">
        <v>115.0189</v>
      </c>
      <c r="P23" s="2">
        <v>9</v>
      </c>
      <c r="Q23" s="2">
        <v>96.853999999999999</v>
      </c>
      <c r="R23" s="2">
        <v>73</v>
      </c>
      <c r="S23" s="2">
        <v>97.228999999999999</v>
      </c>
      <c r="T23" s="2">
        <v>74</v>
      </c>
      <c r="U23" s="2">
        <v>0.873506</v>
      </c>
      <c r="V23" s="2">
        <v>22</v>
      </c>
      <c r="W23" s="2">
        <v>2004</v>
      </c>
    </row>
    <row r="24" spans="1:23" ht="15.75" customHeight="1" x14ac:dyDescent="0.4">
      <c r="A24" s="2" t="s">
        <v>120</v>
      </c>
      <c r="B24" s="2">
        <v>5</v>
      </c>
      <c r="C24" s="2"/>
      <c r="D24" s="2"/>
      <c r="E24" s="2"/>
      <c r="F24" s="2"/>
      <c r="G24" s="2"/>
      <c r="H24" s="2"/>
      <c r="I24" s="2">
        <v>66.350399999999993</v>
      </c>
      <c r="J24" s="2">
        <v>218</v>
      </c>
      <c r="K24" s="2">
        <v>67.150300000000001</v>
      </c>
      <c r="L24" s="2">
        <v>187</v>
      </c>
      <c r="M24" s="2">
        <v>107.02200000000001</v>
      </c>
      <c r="N24" s="2">
        <v>57</v>
      </c>
      <c r="O24" s="2">
        <v>109.79089999999999</v>
      </c>
      <c r="P24" s="2">
        <v>38</v>
      </c>
      <c r="Q24" s="2">
        <v>96.584100000000007</v>
      </c>
      <c r="R24" s="2">
        <v>68</v>
      </c>
      <c r="S24" s="2">
        <v>92.889499999999998</v>
      </c>
      <c r="T24" s="2">
        <v>20</v>
      </c>
      <c r="U24" s="2">
        <v>0.87240700000000004</v>
      </c>
      <c r="V24" s="2">
        <v>23</v>
      </c>
      <c r="W24" s="2">
        <v>2004</v>
      </c>
    </row>
    <row r="25" spans="1:23" ht="15.75" customHeight="1" x14ac:dyDescent="0.4">
      <c r="A25" s="2" t="s">
        <v>111</v>
      </c>
      <c r="B25" s="2">
        <v>6</v>
      </c>
      <c r="C25" s="3" t="s">
        <v>33</v>
      </c>
      <c r="D25" s="3" t="s">
        <v>33</v>
      </c>
      <c r="E25" s="2"/>
      <c r="F25" s="2"/>
      <c r="G25" s="2"/>
      <c r="H25" s="2"/>
      <c r="I25" s="2">
        <v>67.769499999999994</v>
      </c>
      <c r="J25" s="2">
        <v>173</v>
      </c>
      <c r="K25" s="2">
        <v>67.134600000000006</v>
      </c>
      <c r="L25" s="2">
        <v>188</v>
      </c>
      <c r="M25" s="2">
        <v>108.5575</v>
      </c>
      <c r="N25" s="2">
        <v>36</v>
      </c>
      <c r="O25" s="2">
        <v>110.3443</v>
      </c>
      <c r="P25" s="2">
        <v>32</v>
      </c>
      <c r="Q25" s="2">
        <v>95.596100000000007</v>
      </c>
      <c r="R25" s="2">
        <v>51</v>
      </c>
      <c r="S25" s="2">
        <v>93.605400000000003</v>
      </c>
      <c r="T25" s="2">
        <v>27</v>
      </c>
      <c r="U25" s="2">
        <v>0.86897800000000003</v>
      </c>
      <c r="V25" s="2">
        <v>24</v>
      </c>
      <c r="W25" s="2">
        <v>2004</v>
      </c>
    </row>
    <row r="26" spans="1:23" ht="15.75" customHeight="1" x14ac:dyDescent="0.4">
      <c r="A26" s="2" t="s">
        <v>20</v>
      </c>
      <c r="B26" s="2"/>
      <c r="C26" s="2"/>
      <c r="D26" s="2"/>
      <c r="E26" s="2"/>
      <c r="F26" s="2"/>
      <c r="G26" s="2"/>
      <c r="H26" s="2"/>
      <c r="I26" s="2">
        <v>67.819599999999994</v>
      </c>
      <c r="J26" s="2">
        <v>172</v>
      </c>
      <c r="K26" s="2">
        <v>66.9358</v>
      </c>
      <c r="L26" s="2">
        <v>196</v>
      </c>
      <c r="M26" s="2">
        <v>102.85339999999999</v>
      </c>
      <c r="N26" s="2">
        <v>115</v>
      </c>
      <c r="O26" s="2">
        <v>106.34269999999999</v>
      </c>
      <c r="P26" s="2">
        <v>76</v>
      </c>
      <c r="Q26" s="2">
        <v>94.100099999999998</v>
      </c>
      <c r="R26" s="2">
        <v>32</v>
      </c>
      <c r="S26" s="2">
        <v>90.446899999999999</v>
      </c>
      <c r="T26" s="2">
        <v>9</v>
      </c>
      <c r="U26" s="2">
        <v>0.86551800000000001</v>
      </c>
      <c r="V26" s="2">
        <v>25</v>
      </c>
      <c r="W26" s="2">
        <v>2004</v>
      </c>
    </row>
    <row r="27" spans="1:23" ht="15.75" customHeight="1" x14ac:dyDescent="0.4">
      <c r="A27" s="2" t="s">
        <v>35</v>
      </c>
      <c r="B27" s="2">
        <v>4</v>
      </c>
      <c r="C27" s="3" t="s">
        <v>33</v>
      </c>
      <c r="D27" s="3" t="s">
        <v>33</v>
      </c>
      <c r="E27" s="3" t="s">
        <v>33</v>
      </c>
      <c r="F27" s="2"/>
      <c r="G27" s="2"/>
      <c r="H27" s="2"/>
      <c r="I27" s="2">
        <v>70.170699999999997</v>
      </c>
      <c r="J27" s="2">
        <v>78</v>
      </c>
      <c r="K27" s="2">
        <v>70.501400000000004</v>
      </c>
      <c r="L27" s="2">
        <v>60</v>
      </c>
      <c r="M27" s="2">
        <v>106.17319999999999</v>
      </c>
      <c r="N27" s="2">
        <v>73</v>
      </c>
      <c r="O27" s="2">
        <v>109.4746</v>
      </c>
      <c r="P27" s="2">
        <v>41</v>
      </c>
      <c r="Q27" s="2">
        <v>96.925399999999996</v>
      </c>
      <c r="R27" s="2">
        <v>76</v>
      </c>
      <c r="S27" s="2">
        <v>93.426900000000003</v>
      </c>
      <c r="T27" s="2">
        <v>26</v>
      </c>
      <c r="U27" s="2">
        <v>0.86091399999999996</v>
      </c>
      <c r="V27" s="2">
        <v>26</v>
      </c>
      <c r="W27" s="2">
        <v>2004</v>
      </c>
    </row>
    <row r="28" spans="1:23" ht="15.75" customHeight="1" x14ac:dyDescent="0.4">
      <c r="A28" s="2" t="s">
        <v>119</v>
      </c>
      <c r="B28" s="2">
        <v>8</v>
      </c>
      <c r="C28" s="3" t="s">
        <v>33</v>
      </c>
      <c r="D28" s="2"/>
      <c r="E28" s="2"/>
      <c r="F28" s="2"/>
      <c r="G28" s="2"/>
      <c r="H28" s="2"/>
      <c r="I28" s="2">
        <v>67.205299999999994</v>
      </c>
      <c r="J28" s="2">
        <v>191</v>
      </c>
      <c r="K28" s="2">
        <v>67.793400000000005</v>
      </c>
      <c r="L28" s="2">
        <v>161</v>
      </c>
      <c r="M28" s="2">
        <v>106.64709999999999</v>
      </c>
      <c r="N28" s="2">
        <v>68</v>
      </c>
      <c r="O28" s="2">
        <v>108.8018</v>
      </c>
      <c r="P28" s="2">
        <v>53</v>
      </c>
      <c r="Q28" s="2">
        <v>95.121099999999998</v>
      </c>
      <c r="R28" s="2">
        <v>44</v>
      </c>
      <c r="S28" s="2">
        <v>93.016999999999996</v>
      </c>
      <c r="T28" s="2">
        <v>22</v>
      </c>
      <c r="U28" s="2">
        <v>0.85846299999999998</v>
      </c>
      <c r="V28" s="2">
        <v>27</v>
      </c>
      <c r="W28" s="2">
        <v>2004</v>
      </c>
    </row>
    <row r="29" spans="1:23" ht="12.3" x14ac:dyDescent="0.4">
      <c r="A29" s="2" t="s">
        <v>23</v>
      </c>
      <c r="B29" s="2">
        <v>5</v>
      </c>
      <c r="C29" s="3" t="s">
        <v>33</v>
      </c>
      <c r="D29" s="3" t="s">
        <v>33</v>
      </c>
      <c r="E29" s="2"/>
      <c r="F29" s="2"/>
      <c r="G29" s="2"/>
      <c r="H29" s="2"/>
      <c r="I29" s="2">
        <v>67.434799999999996</v>
      </c>
      <c r="J29" s="2">
        <v>185</v>
      </c>
      <c r="K29" s="2">
        <v>67.317099999999996</v>
      </c>
      <c r="L29" s="2">
        <v>178</v>
      </c>
      <c r="M29" s="2">
        <v>107.3484</v>
      </c>
      <c r="N29" s="2">
        <v>51</v>
      </c>
      <c r="O29" s="2">
        <v>109.5354</v>
      </c>
      <c r="P29" s="2">
        <v>40</v>
      </c>
      <c r="Q29" s="2">
        <v>98.612799999999993</v>
      </c>
      <c r="R29" s="2">
        <v>102</v>
      </c>
      <c r="S29" s="2">
        <v>94.242099999999994</v>
      </c>
      <c r="T29" s="2">
        <v>34</v>
      </c>
      <c r="U29" s="2">
        <v>0.84933400000000003</v>
      </c>
      <c r="V29" s="2">
        <v>28</v>
      </c>
      <c r="W29" s="2">
        <v>2004</v>
      </c>
    </row>
    <row r="30" spans="1:23" ht="12.3" x14ac:dyDescent="0.4">
      <c r="A30" s="2" t="s">
        <v>162</v>
      </c>
      <c r="B30" s="2">
        <v>11</v>
      </c>
      <c r="C30" s="2"/>
      <c r="D30" s="2"/>
      <c r="E30" s="2"/>
      <c r="F30" s="2"/>
      <c r="G30" s="2"/>
      <c r="H30" s="2"/>
      <c r="I30" s="2">
        <v>68.707499999999996</v>
      </c>
      <c r="J30" s="2">
        <v>133</v>
      </c>
      <c r="K30" s="2">
        <v>67.933199999999999</v>
      </c>
      <c r="L30" s="2">
        <v>157</v>
      </c>
      <c r="M30" s="2">
        <v>114.22709999999999</v>
      </c>
      <c r="N30" s="2">
        <v>7</v>
      </c>
      <c r="O30" s="2">
        <v>112.7411</v>
      </c>
      <c r="P30" s="2">
        <v>18</v>
      </c>
      <c r="Q30" s="2">
        <v>95.243700000000004</v>
      </c>
      <c r="R30" s="2">
        <v>46</v>
      </c>
      <c r="S30" s="2">
        <v>97.1143</v>
      </c>
      <c r="T30" s="2">
        <v>72</v>
      </c>
      <c r="U30" s="2">
        <v>0.84759499999999999</v>
      </c>
      <c r="V30" s="2">
        <v>29</v>
      </c>
      <c r="W30" s="2">
        <v>2004</v>
      </c>
    </row>
    <row r="31" spans="1:23" ht="12.3" x14ac:dyDescent="0.4">
      <c r="A31" s="2" t="s">
        <v>100</v>
      </c>
      <c r="B31" s="2">
        <v>11</v>
      </c>
      <c r="C31" s="2"/>
      <c r="D31" s="2"/>
      <c r="E31" s="2"/>
      <c r="F31" s="2"/>
      <c r="G31" s="2"/>
      <c r="H31" s="2"/>
      <c r="I31" s="2">
        <v>64.411000000000001</v>
      </c>
      <c r="J31" s="2">
        <v>277</v>
      </c>
      <c r="K31" s="2">
        <v>64.231800000000007</v>
      </c>
      <c r="L31" s="2">
        <v>284</v>
      </c>
      <c r="M31" s="2">
        <v>100.23609999999999</v>
      </c>
      <c r="N31" s="2">
        <v>178</v>
      </c>
      <c r="O31" s="2">
        <v>102.89579999999999</v>
      </c>
      <c r="P31" s="2">
        <v>126</v>
      </c>
      <c r="Q31" s="2">
        <v>91.435699999999997</v>
      </c>
      <c r="R31" s="2">
        <v>9</v>
      </c>
      <c r="S31" s="2">
        <v>88.745400000000004</v>
      </c>
      <c r="T31" s="2">
        <v>4</v>
      </c>
      <c r="U31" s="2">
        <v>0.84571399999999997</v>
      </c>
      <c r="V31" s="2">
        <v>30</v>
      </c>
      <c r="W31" s="2">
        <v>2004</v>
      </c>
    </row>
    <row r="32" spans="1:23" ht="12.3" x14ac:dyDescent="0.4">
      <c r="A32" s="2" t="s">
        <v>71</v>
      </c>
      <c r="B32" s="2">
        <v>7</v>
      </c>
      <c r="C32" s="3" t="s">
        <v>33</v>
      </c>
      <c r="D32" s="2"/>
      <c r="E32" s="2"/>
      <c r="F32" s="2"/>
      <c r="G32" s="2"/>
      <c r="H32" s="2"/>
      <c r="I32" s="2">
        <v>68.924599999999998</v>
      </c>
      <c r="J32" s="2">
        <v>125</v>
      </c>
      <c r="K32" s="2">
        <v>69.406499999999994</v>
      </c>
      <c r="L32" s="2">
        <v>103</v>
      </c>
      <c r="M32" s="2">
        <v>107.05419999999999</v>
      </c>
      <c r="N32" s="2">
        <v>56</v>
      </c>
      <c r="O32" s="2">
        <v>110.50530000000001</v>
      </c>
      <c r="P32" s="2">
        <v>30</v>
      </c>
      <c r="Q32" s="2">
        <v>96.126900000000006</v>
      </c>
      <c r="R32" s="2">
        <v>59</v>
      </c>
      <c r="S32" s="2">
        <v>95.398600000000002</v>
      </c>
      <c r="T32" s="2">
        <v>47</v>
      </c>
      <c r="U32" s="2">
        <v>0.84428999999999998</v>
      </c>
      <c r="V32" s="2">
        <v>31</v>
      </c>
      <c r="W32" s="2">
        <v>2004</v>
      </c>
    </row>
    <row r="33" spans="1:23" ht="12.3" x14ac:dyDescent="0.4">
      <c r="A33" s="2" t="s">
        <v>17</v>
      </c>
      <c r="B33" s="2">
        <v>10</v>
      </c>
      <c r="C33" s="2"/>
      <c r="D33" s="2"/>
      <c r="E33" s="2"/>
      <c r="F33" s="2"/>
      <c r="G33" s="2"/>
      <c r="H33" s="2"/>
      <c r="I33" s="2">
        <v>67.206500000000005</v>
      </c>
      <c r="J33" s="2">
        <v>190</v>
      </c>
      <c r="K33" s="2">
        <v>67.311400000000006</v>
      </c>
      <c r="L33" s="2">
        <v>179</v>
      </c>
      <c r="M33" s="2">
        <v>104.57470000000001</v>
      </c>
      <c r="N33" s="2">
        <v>93</v>
      </c>
      <c r="O33" s="2">
        <v>110.1865</v>
      </c>
      <c r="P33" s="2">
        <v>33</v>
      </c>
      <c r="Q33" s="2">
        <v>92.874899999999997</v>
      </c>
      <c r="R33" s="2">
        <v>18</v>
      </c>
      <c r="S33" s="2">
        <v>95.151700000000005</v>
      </c>
      <c r="T33" s="2">
        <v>44</v>
      </c>
      <c r="U33" s="2">
        <v>0.84383900000000001</v>
      </c>
      <c r="V33" s="2">
        <v>32</v>
      </c>
      <c r="W33" s="2">
        <v>2004</v>
      </c>
    </row>
    <row r="34" spans="1:23" ht="12.3" x14ac:dyDescent="0.4">
      <c r="A34" s="2" t="s">
        <v>49</v>
      </c>
      <c r="B34" s="2">
        <v>8</v>
      </c>
      <c r="C34" s="3" t="s">
        <v>33</v>
      </c>
      <c r="D34" s="3" t="s">
        <v>33</v>
      </c>
      <c r="E34" s="3" t="s">
        <v>33</v>
      </c>
      <c r="F34" s="2"/>
      <c r="G34" s="2"/>
      <c r="H34" s="2"/>
      <c r="I34" s="2">
        <v>65.975999999999999</v>
      </c>
      <c r="J34" s="2">
        <v>232</v>
      </c>
      <c r="K34" s="2">
        <v>66.296899999999994</v>
      </c>
      <c r="L34" s="2">
        <v>212</v>
      </c>
      <c r="M34" s="2">
        <v>107.3241</v>
      </c>
      <c r="N34" s="2">
        <v>52</v>
      </c>
      <c r="O34" s="2">
        <v>111.5406</v>
      </c>
      <c r="P34" s="2">
        <v>22</v>
      </c>
      <c r="Q34" s="2">
        <v>100.69110000000001</v>
      </c>
      <c r="R34" s="2">
        <v>144</v>
      </c>
      <c r="S34" s="2">
        <v>96.407300000000006</v>
      </c>
      <c r="T34" s="2">
        <v>64</v>
      </c>
      <c r="U34" s="2">
        <v>0.84247700000000003</v>
      </c>
      <c r="V34" s="2">
        <v>33</v>
      </c>
      <c r="W34" s="2">
        <v>2004</v>
      </c>
    </row>
    <row r="35" spans="1:23" ht="12.3" x14ac:dyDescent="0.4">
      <c r="A35" s="2" t="s">
        <v>95</v>
      </c>
      <c r="B35" s="2">
        <v>6</v>
      </c>
      <c r="C35" s="3" t="s">
        <v>33</v>
      </c>
      <c r="D35" s="2"/>
      <c r="E35" s="2"/>
      <c r="F35" s="2"/>
      <c r="G35" s="2"/>
      <c r="H35" s="2"/>
      <c r="I35" s="2">
        <v>64.422300000000007</v>
      </c>
      <c r="J35" s="2">
        <v>276</v>
      </c>
      <c r="K35" s="2">
        <v>64.396900000000002</v>
      </c>
      <c r="L35" s="2">
        <v>281</v>
      </c>
      <c r="M35" s="2">
        <v>105.0027</v>
      </c>
      <c r="N35" s="2">
        <v>86</v>
      </c>
      <c r="O35" s="2">
        <v>108.3558</v>
      </c>
      <c r="P35" s="2">
        <v>60</v>
      </c>
      <c r="Q35" s="2">
        <v>97.374700000000004</v>
      </c>
      <c r="R35" s="2">
        <v>85</v>
      </c>
      <c r="S35" s="2">
        <v>94.172300000000007</v>
      </c>
      <c r="T35" s="2">
        <v>33</v>
      </c>
      <c r="U35" s="2">
        <v>0.83387999999999995</v>
      </c>
      <c r="V35" s="2">
        <v>34</v>
      </c>
      <c r="W35" s="2">
        <v>2004</v>
      </c>
    </row>
    <row r="36" spans="1:23" ht="12.3" x14ac:dyDescent="0.4">
      <c r="A36" s="2" t="s">
        <v>58</v>
      </c>
      <c r="B36" s="2">
        <v>7</v>
      </c>
      <c r="C36" s="2"/>
      <c r="D36" s="2"/>
      <c r="E36" s="2"/>
      <c r="F36" s="2"/>
      <c r="G36" s="2"/>
      <c r="H36" s="2"/>
      <c r="I36" s="2">
        <v>63.896799999999999</v>
      </c>
      <c r="J36" s="2">
        <v>292</v>
      </c>
      <c r="K36" s="2">
        <v>65.407399999999996</v>
      </c>
      <c r="L36" s="2">
        <v>248</v>
      </c>
      <c r="M36" s="2">
        <v>110.2392</v>
      </c>
      <c r="N36" s="2">
        <v>22</v>
      </c>
      <c r="O36" s="2">
        <v>115.9962</v>
      </c>
      <c r="P36" s="2">
        <v>6</v>
      </c>
      <c r="Q36" s="2">
        <v>103.7989</v>
      </c>
      <c r="R36" s="2">
        <v>225</v>
      </c>
      <c r="S36" s="2">
        <v>100.8951</v>
      </c>
      <c r="T36" s="2">
        <v>156</v>
      </c>
      <c r="U36" s="2">
        <v>0.83257300000000001</v>
      </c>
      <c r="V36" s="2">
        <v>35</v>
      </c>
      <c r="W36" s="2">
        <v>2004</v>
      </c>
    </row>
    <row r="37" spans="1:23" ht="12.3" x14ac:dyDescent="0.4">
      <c r="A37" s="2" t="s">
        <v>96</v>
      </c>
      <c r="B37" s="2">
        <v>12</v>
      </c>
      <c r="C37" s="2"/>
      <c r="D37" s="2"/>
      <c r="E37" s="2"/>
      <c r="F37" s="2"/>
      <c r="G37" s="2"/>
      <c r="H37" s="2"/>
      <c r="I37" s="2">
        <v>66.187600000000003</v>
      </c>
      <c r="J37" s="2">
        <v>225</v>
      </c>
      <c r="K37" s="2">
        <v>68.296599999999998</v>
      </c>
      <c r="L37" s="2">
        <v>142</v>
      </c>
      <c r="M37" s="2">
        <v>108.12220000000001</v>
      </c>
      <c r="N37" s="2">
        <v>42</v>
      </c>
      <c r="O37" s="2">
        <v>109.1647</v>
      </c>
      <c r="P37" s="2">
        <v>48</v>
      </c>
      <c r="Q37" s="2">
        <v>98.9054</v>
      </c>
      <c r="R37" s="2">
        <v>109</v>
      </c>
      <c r="S37" s="2">
        <v>94.997699999999995</v>
      </c>
      <c r="T37" s="2">
        <v>41</v>
      </c>
      <c r="U37" s="2">
        <v>0.83181700000000003</v>
      </c>
      <c r="V37" s="2">
        <v>36</v>
      </c>
      <c r="W37" s="2">
        <v>2004</v>
      </c>
    </row>
    <row r="38" spans="1:23" ht="12.3" x14ac:dyDescent="0.4">
      <c r="A38" s="2" t="s">
        <v>59</v>
      </c>
      <c r="B38" s="2">
        <v>8</v>
      </c>
      <c r="C38" s="3" t="s">
        <v>33</v>
      </c>
      <c r="D38" s="2"/>
      <c r="E38" s="2"/>
      <c r="F38" s="2"/>
      <c r="G38" s="2"/>
      <c r="H38" s="2"/>
      <c r="I38" s="2">
        <v>69.149000000000001</v>
      </c>
      <c r="J38" s="2">
        <v>117</v>
      </c>
      <c r="K38" s="2">
        <v>69.041700000000006</v>
      </c>
      <c r="L38" s="2">
        <v>118</v>
      </c>
      <c r="M38" s="2">
        <v>105.8933</v>
      </c>
      <c r="N38" s="2">
        <v>77</v>
      </c>
      <c r="O38" s="2">
        <v>107.68129999999999</v>
      </c>
      <c r="P38" s="2">
        <v>63</v>
      </c>
      <c r="Q38" s="2">
        <v>96.262699999999995</v>
      </c>
      <c r="R38" s="2">
        <v>60</v>
      </c>
      <c r="S38" s="2">
        <v>93.998699999999999</v>
      </c>
      <c r="T38" s="2">
        <v>31</v>
      </c>
      <c r="U38" s="2">
        <v>0.82675399999999999</v>
      </c>
      <c r="V38" s="2">
        <v>37</v>
      </c>
      <c r="W38" s="2">
        <v>2004</v>
      </c>
    </row>
    <row r="39" spans="1:23" ht="12.3" x14ac:dyDescent="0.4">
      <c r="A39" s="2" t="s">
        <v>204</v>
      </c>
      <c r="B39" s="2">
        <v>11</v>
      </c>
      <c r="C39" s="2"/>
      <c r="D39" s="2"/>
      <c r="E39" s="2"/>
      <c r="F39" s="2"/>
      <c r="G39" s="2"/>
      <c r="H39" s="2"/>
      <c r="I39" s="2">
        <v>53.996000000000002</v>
      </c>
      <c r="J39" s="2">
        <v>326</v>
      </c>
      <c r="K39" s="2">
        <v>53.543500000000002</v>
      </c>
      <c r="L39" s="2">
        <v>326</v>
      </c>
      <c r="M39" s="2">
        <v>111.15130000000001</v>
      </c>
      <c r="N39" s="2">
        <v>20</v>
      </c>
      <c r="O39" s="2">
        <v>109.2684</v>
      </c>
      <c r="P39" s="2">
        <v>46</v>
      </c>
      <c r="Q39" s="2">
        <v>93.431899999999999</v>
      </c>
      <c r="R39" s="2">
        <v>25</v>
      </c>
      <c r="S39" s="2">
        <v>95.621499999999997</v>
      </c>
      <c r="T39" s="2">
        <v>53</v>
      </c>
      <c r="U39" s="2">
        <v>0.82262199999999996</v>
      </c>
      <c r="V39" s="2">
        <v>38</v>
      </c>
      <c r="W39" s="2">
        <v>2004</v>
      </c>
    </row>
    <row r="40" spans="1:23" ht="12.3" x14ac:dyDescent="0.4">
      <c r="A40" s="2" t="s">
        <v>63</v>
      </c>
      <c r="B40" s="2">
        <v>9</v>
      </c>
      <c r="C40" s="2"/>
      <c r="D40" s="2"/>
      <c r="E40" s="2"/>
      <c r="F40" s="2"/>
      <c r="G40" s="2"/>
      <c r="H40" s="2"/>
      <c r="I40" s="2">
        <v>71.510400000000004</v>
      </c>
      <c r="J40" s="2">
        <v>37</v>
      </c>
      <c r="K40" s="2">
        <v>71.205500000000001</v>
      </c>
      <c r="L40" s="2">
        <v>39</v>
      </c>
      <c r="M40" s="2">
        <v>108.2775</v>
      </c>
      <c r="N40" s="2">
        <v>38</v>
      </c>
      <c r="O40" s="2">
        <v>111.4033</v>
      </c>
      <c r="P40" s="2">
        <v>25</v>
      </c>
      <c r="Q40" s="2">
        <v>97.519599999999997</v>
      </c>
      <c r="R40" s="2">
        <v>87</v>
      </c>
      <c r="S40" s="2">
        <v>97.554299999999998</v>
      </c>
      <c r="T40" s="2">
        <v>82</v>
      </c>
      <c r="U40" s="2">
        <v>0.82150900000000004</v>
      </c>
      <c r="V40" s="2">
        <v>39</v>
      </c>
      <c r="W40" s="2">
        <v>2004</v>
      </c>
    </row>
    <row r="41" spans="1:23" ht="12.3" x14ac:dyDescent="0.4">
      <c r="A41" s="2" t="s">
        <v>128</v>
      </c>
      <c r="B41" s="2">
        <v>9</v>
      </c>
      <c r="C41" s="3" t="s">
        <v>33</v>
      </c>
      <c r="D41" s="3" t="s">
        <v>33</v>
      </c>
      <c r="E41" s="2"/>
      <c r="F41" s="2"/>
      <c r="G41" s="2"/>
      <c r="H41" s="2"/>
      <c r="I41" s="2">
        <v>72.318100000000001</v>
      </c>
      <c r="J41" s="2">
        <v>26</v>
      </c>
      <c r="K41" s="2">
        <v>71.996499999999997</v>
      </c>
      <c r="L41" s="2">
        <v>24</v>
      </c>
      <c r="M41" s="2">
        <v>102.9431</v>
      </c>
      <c r="N41" s="2">
        <v>114</v>
      </c>
      <c r="O41" s="2">
        <v>103.85939999999999</v>
      </c>
      <c r="P41" s="2">
        <v>103</v>
      </c>
      <c r="Q41" s="2">
        <v>92.502700000000004</v>
      </c>
      <c r="R41" s="2">
        <v>17</v>
      </c>
      <c r="S41" s="2">
        <v>91.0124</v>
      </c>
      <c r="T41" s="2">
        <v>13</v>
      </c>
      <c r="U41" s="2">
        <v>0.82031500000000002</v>
      </c>
      <c r="V41" s="2">
        <v>40</v>
      </c>
      <c r="W41" s="2">
        <v>2004</v>
      </c>
    </row>
    <row r="42" spans="1:23" ht="12.3" x14ac:dyDescent="0.4">
      <c r="A42" s="2" t="s">
        <v>232</v>
      </c>
      <c r="B42" s="2"/>
      <c r="C42" s="2"/>
      <c r="D42" s="2"/>
      <c r="E42" s="2"/>
      <c r="F42" s="2"/>
      <c r="G42" s="2"/>
      <c r="H42" s="2"/>
      <c r="I42" s="2">
        <v>69.763800000000003</v>
      </c>
      <c r="J42" s="2">
        <v>97</v>
      </c>
      <c r="K42" s="2">
        <v>70.188000000000002</v>
      </c>
      <c r="L42" s="2">
        <v>69</v>
      </c>
      <c r="M42" s="2">
        <v>107.81310000000001</v>
      </c>
      <c r="N42" s="2">
        <v>46</v>
      </c>
      <c r="O42" s="2">
        <v>111.33750000000001</v>
      </c>
      <c r="P42" s="2">
        <v>27</v>
      </c>
      <c r="Q42" s="2">
        <v>99.736699999999999</v>
      </c>
      <c r="R42" s="2">
        <v>124</v>
      </c>
      <c r="S42" s="2">
        <v>98.101200000000006</v>
      </c>
      <c r="T42" s="2">
        <v>91</v>
      </c>
      <c r="U42" s="2">
        <v>0.81084599999999996</v>
      </c>
      <c r="V42" s="2">
        <v>41</v>
      </c>
      <c r="W42" s="2">
        <v>2004</v>
      </c>
    </row>
    <row r="43" spans="1:23" ht="12.3" x14ac:dyDescent="0.4">
      <c r="A43" s="2" t="s">
        <v>70</v>
      </c>
      <c r="B43" s="2">
        <v>11</v>
      </c>
      <c r="C43" s="2"/>
      <c r="D43" s="2"/>
      <c r="E43" s="2"/>
      <c r="F43" s="2"/>
      <c r="G43" s="2"/>
      <c r="H43" s="2"/>
      <c r="I43" s="2">
        <v>60.356000000000002</v>
      </c>
      <c r="J43" s="2">
        <v>320</v>
      </c>
      <c r="K43" s="2">
        <v>60.9255</v>
      </c>
      <c r="L43" s="2">
        <v>316</v>
      </c>
      <c r="M43" s="2">
        <v>107.6079</v>
      </c>
      <c r="N43" s="2">
        <v>49</v>
      </c>
      <c r="O43" s="2">
        <v>108.45050000000001</v>
      </c>
      <c r="P43" s="2">
        <v>57</v>
      </c>
      <c r="Q43" s="2">
        <v>95.925200000000004</v>
      </c>
      <c r="R43" s="2">
        <v>54</v>
      </c>
      <c r="S43" s="2">
        <v>95.622</v>
      </c>
      <c r="T43" s="2">
        <v>54</v>
      </c>
      <c r="U43" s="2">
        <v>0.80964999999999998</v>
      </c>
      <c r="V43" s="2">
        <v>42</v>
      </c>
      <c r="W43" s="2">
        <v>2004</v>
      </c>
    </row>
    <row r="44" spans="1:23" ht="12.3" x14ac:dyDescent="0.4">
      <c r="A44" s="2" t="s">
        <v>98</v>
      </c>
      <c r="B44" s="2"/>
      <c r="C44" s="2"/>
      <c r="D44" s="2"/>
      <c r="E44" s="2"/>
      <c r="F44" s="2"/>
      <c r="G44" s="2"/>
      <c r="H44" s="2"/>
      <c r="I44" s="2">
        <v>59.177500000000002</v>
      </c>
      <c r="J44" s="2">
        <v>323</v>
      </c>
      <c r="K44" s="2">
        <v>59.520200000000003</v>
      </c>
      <c r="L44" s="2">
        <v>322</v>
      </c>
      <c r="M44" s="2">
        <v>115.13420000000001</v>
      </c>
      <c r="N44" s="2">
        <v>2</v>
      </c>
      <c r="O44" s="2">
        <v>113.1949</v>
      </c>
      <c r="P44" s="2">
        <v>16</v>
      </c>
      <c r="Q44" s="2">
        <v>96.518900000000002</v>
      </c>
      <c r="R44" s="2">
        <v>66</v>
      </c>
      <c r="S44" s="2">
        <v>99.906000000000006</v>
      </c>
      <c r="T44" s="2">
        <v>132</v>
      </c>
      <c r="U44" s="2">
        <v>0.80785600000000002</v>
      </c>
      <c r="V44" s="2">
        <v>43</v>
      </c>
      <c r="W44" s="2">
        <v>2004</v>
      </c>
    </row>
    <row r="45" spans="1:23" ht="12.3" x14ac:dyDescent="0.4">
      <c r="A45" s="2" t="s">
        <v>43</v>
      </c>
      <c r="B45" s="2">
        <v>9</v>
      </c>
      <c r="C45" s="2"/>
      <c r="D45" s="2"/>
      <c r="E45" s="2"/>
      <c r="F45" s="2"/>
      <c r="G45" s="2"/>
      <c r="H45" s="2"/>
      <c r="I45" s="2">
        <v>76.178399999999996</v>
      </c>
      <c r="J45" s="2">
        <v>3</v>
      </c>
      <c r="K45" s="2">
        <v>75.163300000000007</v>
      </c>
      <c r="L45" s="2">
        <v>3</v>
      </c>
      <c r="M45" s="2">
        <v>114.9447</v>
      </c>
      <c r="N45" s="2">
        <v>4</v>
      </c>
      <c r="O45" s="2">
        <v>115.55</v>
      </c>
      <c r="P45" s="2">
        <v>8</v>
      </c>
      <c r="Q45" s="2">
        <v>103.25109999999999</v>
      </c>
      <c r="R45" s="2">
        <v>208</v>
      </c>
      <c r="S45" s="2">
        <v>101.99890000000001</v>
      </c>
      <c r="T45" s="2">
        <v>175</v>
      </c>
      <c r="U45" s="2">
        <v>0.80760500000000002</v>
      </c>
      <c r="V45" s="2">
        <v>44</v>
      </c>
      <c r="W45" s="2">
        <v>2004</v>
      </c>
    </row>
    <row r="46" spans="1:23" ht="12.3" x14ac:dyDescent="0.4">
      <c r="A46" s="2" t="s">
        <v>219</v>
      </c>
      <c r="B46" s="2">
        <v>13</v>
      </c>
      <c r="C46" s="2"/>
      <c r="D46" s="2"/>
      <c r="E46" s="2"/>
      <c r="F46" s="2"/>
      <c r="G46" s="2"/>
      <c r="H46" s="2"/>
      <c r="I46" s="2">
        <v>69.210300000000004</v>
      </c>
      <c r="J46" s="2">
        <v>112</v>
      </c>
      <c r="K46" s="2">
        <v>69.877700000000004</v>
      </c>
      <c r="L46" s="2">
        <v>82</v>
      </c>
      <c r="M46" s="2">
        <v>109.0586</v>
      </c>
      <c r="N46" s="2">
        <v>28</v>
      </c>
      <c r="O46" s="2">
        <v>108.3652</v>
      </c>
      <c r="P46" s="2">
        <v>59</v>
      </c>
      <c r="Q46" s="2">
        <v>96.9255</v>
      </c>
      <c r="R46" s="2">
        <v>77</v>
      </c>
      <c r="S46" s="2">
        <v>95.667599999999993</v>
      </c>
      <c r="T46" s="2">
        <v>55</v>
      </c>
      <c r="U46" s="2">
        <v>0.80740100000000004</v>
      </c>
      <c r="V46" s="2">
        <v>45</v>
      </c>
      <c r="W46" s="2">
        <v>2004</v>
      </c>
    </row>
    <row r="47" spans="1:23" ht="12.3" x14ac:dyDescent="0.4">
      <c r="A47" s="2" t="s">
        <v>212</v>
      </c>
      <c r="B47" s="2"/>
      <c r="C47" s="2"/>
      <c r="D47" s="2"/>
      <c r="E47" s="2"/>
      <c r="F47" s="2"/>
      <c r="G47" s="2"/>
      <c r="H47" s="2"/>
      <c r="I47" s="2">
        <v>67.680899999999994</v>
      </c>
      <c r="J47" s="2">
        <v>174</v>
      </c>
      <c r="K47" s="2">
        <v>67.818899999999999</v>
      </c>
      <c r="L47" s="2">
        <v>160</v>
      </c>
      <c r="M47" s="2">
        <v>106.9704</v>
      </c>
      <c r="N47" s="2">
        <v>58</v>
      </c>
      <c r="O47" s="2">
        <v>109.0322</v>
      </c>
      <c r="P47" s="2">
        <v>50</v>
      </c>
      <c r="Q47" s="2">
        <v>98.572000000000003</v>
      </c>
      <c r="R47" s="2">
        <v>101</v>
      </c>
      <c r="S47" s="2">
        <v>96.287999999999997</v>
      </c>
      <c r="T47" s="2">
        <v>62</v>
      </c>
      <c r="U47" s="2">
        <v>0.80681400000000003</v>
      </c>
      <c r="V47" s="2">
        <v>46</v>
      </c>
      <c r="W47" s="2">
        <v>2004</v>
      </c>
    </row>
    <row r="48" spans="1:23" ht="12.3" x14ac:dyDescent="0.4">
      <c r="A48" s="2" t="s">
        <v>82</v>
      </c>
      <c r="B48" s="2">
        <v>9</v>
      </c>
      <c r="C48" s="2"/>
      <c r="D48" s="2"/>
      <c r="E48" s="2"/>
      <c r="F48" s="2"/>
      <c r="G48" s="2"/>
      <c r="H48" s="2"/>
      <c r="I48" s="2">
        <v>66.801299999999998</v>
      </c>
      <c r="J48" s="2">
        <v>199</v>
      </c>
      <c r="K48" s="2">
        <v>67.39</v>
      </c>
      <c r="L48" s="2">
        <v>174</v>
      </c>
      <c r="M48" s="2">
        <v>106.7103</v>
      </c>
      <c r="N48" s="2">
        <v>66</v>
      </c>
      <c r="O48" s="2">
        <v>106.7555</v>
      </c>
      <c r="P48" s="2">
        <v>71</v>
      </c>
      <c r="Q48" s="2">
        <v>94.087599999999995</v>
      </c>
      <c r="R48" s="2">
        <v>30</v>
      </c>
      <c r="S48" s="2">
        <v>94.427800000000005</v>
      </c>
      <c r="T48" s="2">
        <v>37</v>
      </c>
      <c r="U48" s="2">
        <v>0.80394200000000005</v>
      </c>
      <c r="V48" s="2">
        <v>47</v>
      </c>
      <c r="W48" s="2">
        <v>2004</v>
      </c>
    </row>
    <row r="49" spans="1:23" ht="12.3" x14ac:dyDescent="0.4">
      <c r="A49" s="2" t="s">
        <v>56</v>
      </c>
      <c r="B49" s="2"/>
      <c r="C49" s="2"/>
      <c r="D49" s="2"/>
      <c r="E49" s="2"/>
      <c r="F49" s="2"/>
      <c r="G49" s="2"/>
      <c r="H49" s="2"/>
      <c r="I49" s="2">
        <v>65.365099999999998</v>
      </c>
      <c r="J49" s="2">
        <v>251</v>
      </c>
      <c r="K49" s="2">
        <v>65.871899999999997</v>
      </c>
      <c r="L49" s="2">
        <v>229</v>
      </c>
      <c r="M49" s="2">
        <v>108.1292</v>
      </c>
      <c r="N49" s="2">
        <v>41</v>
      </c>
      <c r="O49" s="2">
        <v>112.44750000000001</v>
      </c>
      <c r="P49" s="2">
        <v>19</v>
      </c>
      <c r="Q49" s="2">
        <v>103.7655</v>
      </c>
      <c r="R49" s="2">
        <v>223</v>
      </c>
      <c r="S49" s="2">
        <v>99.682599999999994</v>
      </c>
      <c r="T49" s="2">
        <v>125</v>
      </c>
      <c r="U49" s="2">
        <v>0.79990300000000003</v>
      </c>
      <c r="V49" s="2">
        <v>48</v>
      </c>
      <c r="W49" s="2">
        <v>2004</v>
      </c>
    </row>
    <row r="50" spans="1:23" ht="12.3" x14ac:dyDescent="0.4">
      <c r="A50" s="2" t="s">
        <v>136</v>
      </c>
      <c r="B50" s="2"/>
      <c r="C50" s="2"/>
      <c r="D50" s="2"/>
      <c r="E50" s="2"/>
      <c r="F50" s="2"/>
      <c r="G50" s="2"/>
      <c r="H50" s="2"/>
      <c r="I50" s="2">
        <v>63.338999999999999</v>
      </c>
      <c r="J50" s="2">
        <v>303</v>
      </c>
      <c r="K50" s="2">
        <v>63.451799999999999</v>
      </c>
      <c r="L50" s="2">
        <v>299</v>
      </c>
      <c r="M50" s="2">
        <v>109.8218</v>
      </c>
      <c r="N50" s="2">
        <v>25</v>
      </c>
      <c r="O50" s="2">
        <v>110.12390000000001</v>
      </c>
      <c r="P50" s="2">
        <v>34</v>
      </c>
      <c r="Q50" s="2">
        <v>96.974999999999994</v>
      </c>
      <c r="R50" s="2">
        <v>79</v>
      </c>
      <c r="S50" s="2">
        <v>98.2226</v>
      </c>
      <c r="T50" s="2">
        <v>93</v>
      </c>
      <c r="U50" s="2">
        <v>0.78838900000000001</v>
      </c>
      <c r="V50" s="2">
        <v>49</v>
      </c>
      <c r="W50" s="2">
        <v>2004</v>
      </c>
    </row>
    <row r="51" spans="1:23" ht="12.3" x14ac:dyDescent="0.4">
      <c r="A51" s="2" t="s">
        <v>207</v>
      </c>
      <c r="B51" s="2">
        <v>7</v>
      </c>
      <c r="C51" s="3" t="s">
        <v>33</v>
      </c>
      <c r="D51" s="2"/>
      <c r="E51" s="2"/>
      <c r="F51" s="2"/>
      <c r="G51" s="2"/>
      <c r="H51" s="2"/>
      <c r="I51" s="2">
        <v>64.719099999999997</v>
      </c>
      <c r="J51" s="2">
        <v>267</v>
      </c>
      <c r="K51" s="2">
        <v>64.094899999999996</v>
      </c>
      <c r="L51" s="2">
        <v>288</v>
      </c>
      <c r="M51" s="2">
        <v>109.1876</v>
      </c>
      <c r="N51" s="2">
        <v>27</v>
      </c>
      <c r="O51" s="2">
        <v>113.5851</v>
      </c>
      <c r="P51" s="2">
        <v>15</v>
      </c>
      <c r="Q51" s="2">
        <v>103.89449999999999</v>
      </c>
      <c r="R51" s="2">
        <v>231</v>
      </c>
      <c r="S51" s="2">
        <v>101.74039999999999</v>
      </c>
      <c r="T51" s="2">
        <v>168</v>
      </c>
      <c r="U51" s="2">
        <v>0.780138</v>
      </c>
      <c r="V51" s="2">
        <v>50</v>
      </c>
      <c r="W51" s="2">
        <v>2004</v>
      </c>
    </row>
    <row r="52" spans="1:23" ht="12.3" x14ac:dyDescent="0.4">
      <c r="A52" s="2" t="s">
        <v>139</v>
      </c>
      <c r="B52" s="2">
        <v>12</v>
      </c>
      <c r="C52" s="3" t="s">
        <v>33</v>
      </c>
      <c r="D52" s="2"/>
      <c r="E52" s="2"/>
      <c r="F52" s="2"/>
      <c r="G52" s="2"/>
      <c r="H52" s="2"/>
      <c r="I52" s="2">
        <v>68.131900000000002</v>
      </c>
      <c r="J52" s="2">
        <v>152</v>
      </c>
      <c r="K52" s="2">
        <v>67.272199999999998</v>
      </c>
      <c r="L52" s="2">
        <v>182</v>
      </c>
      <c r="M52" s="2">
        <v>108.73990000000001</v>
      </c>
      <c r="N52" s="2">
        <v>35</v>
      </c>
      <c r="O52" s="2">
        <v>105.7794</v>
      </c>
      <c r="P52" s="2">
        <v>80</v>
      </c>
      <c r="Q52" s="2">
        <v>93.287800000000004</v>
      </c>
      <c r="R52" s="2">
        <v>22</v>
      </c>
      <c r="S52" s="2">
        <v>95.098500000000001</v>
      </c>
      <c r="T52" s="2">
        <v>43</v>
      </c>
      <c r="U52" s="2">
        <v>0.772783</v>
      </c>
      <c r="V52" s="2">
        <v>51</v>
      </c>
      <c r="W52" s="2">
        <v>2004</v>
      </c>
    </row>
    <row r="53" spans="1:23" ht="12.3" x14ac:dyDescent="0.4">
      <c r="A53" s="2" t="s">
        <v>192</v>
      </c>
      <c r="B53" s="2"/>
      <c r="C53" s="2"/>
      <c r="D53" s="2"/>
      <c r="E53" s="2"/>
      <c r="F53" s="2"/>
      <c r="G53" s="2"/>
      <c r="H53" s="2"/>
      <c r="I53" s="2">
        <v>67.349999999999994</v>
      </c>
      <c r="J53" s="2">
        <v>188</v>
      </c>
      <c r="K53" s="2">
        <v>67.768299999999996</v>
      </c>
      <c r="L53" s="2">
        <v>162</v>
      </c>
      <c r="M53" s="2">
        <v>105.49079999999999</v>
      </c>
      <c r="N53" s="2">
        <v>81</v>
      </c>
      <c r="O53" s="2">
        <v>107.0543</v>
      </c>
      <c r="P53" s="2">
        <v>68</v>
      </c>
      <c r="Q53" s="2">
        <v>95.536699999999996</v>
      </c>
      <c r="R53" s="2">
        <v>50</v>
      </c>
      <c r="S53" s="2">
        <v>96.523200000000003</v>
      </c>
      <c r="T53" s="2">
        <v>66</v>
      </c>
      <c r="U53" s="2">
        <v>0.76689600000000002</v>
      </c>
      <c r="V53" s="2">
        <v>52</v>
      </c>
      <c r="W53" s="2">
        <v>2004</v>
      </c>
    </row>
    <row r="54" spans="1:23" ht="12.3" x14ac:dyDescent="0.4">
      <c r="A54" s="2" t="s">
        <v>154</v>
      </c>
      <c r="B54" s="2"/>
      <c r="C54" s="2"/>
      <c r="D54" s="2"/>
      <c r="E54" s="2"/>
      <c r="F54" s="2"/>
      <c r="G54" s="2"/>
      <c r="H54" s="2"/>
      <c r="I54" s="2">
        <v>66.631200000000007</v>
      </c>
      <c r="J54" s="2">
        <v>205</v>
      </c>
      <c r="K54" s="2">
        <v>68.27</v>
      </c>
      <c r="L54" s="2">
        <v>144</v>
      </c>
      <c r="M54" s="2">
        <v>102.2736</v>
      </c>
      <c r="N54" s="2">
        <v>129</v>
      </c>
      <c r="O54" s="2">
        <v>104.541</v>
      </c>
      <c r="P54" s="2">
        <v>98</v>
      </c>
      <c r="Q54" s="2">
        <v>95.918599999999998</v>
      </c>
      <c r="R54" s="2">
        <v>53</v>
      </c>
      <c r="S54" s="2">
        <v>94.335700000000003</v>
      </c>
      <c r="T54" s="2">
        <v>35</v>
      </c>
      <c r="U54" s="2">
        <v>0.765177</v>
      </c>
      <c r="V54" s="2">
        <v>53</v>
      </c>
      <c r="W54" s="2">
        <v>2004</v>
      </c>
    </row>
    <row r="55" spans="1:23" ht="12.3" x14ac:dyDescent="0.4">
      <c r="A55" s="2" t="s">
        <v>144</v>
      </c>
      <c r="B55" s="2">
        <v>13</v>
      </c>
      <c r="C55" s="2"/>
      <c r="D55" s="2"/>
      <c r="E55" s="2"/>
      <c r="F55" s="2"/>
      <c r="G55" s="2"/>
      <c r="H55" s="2"/>
      <c r="I55" s="2">
        <v>65.368399999999994</v>
      </c>
      <c r="J55" s="2">
        <v>250</v>
      </c>
      <c r="K55" s="2">
        <v>66.464100000000002</v>
      </c>
      <c r="L55" s="2">
        <v>205</v>
      </c>
      <c r="M55" s="2">
        <v>106.93770000000001</v>
      </c>
      <c r="N55" s="2">
        <v>59</v>
      </c>
      <c r="O55" s="2">
        <v>105.1627</v>
      </c>
      <c r="P55" s="2">
        <v>88</v>
      </c>
      <c r="Q55" s="2">
        <v>95.346599999999995</v>
      </c>
      <c r="R55" s="2">
        <v>48</v>
      </c>
      <c r="S55" s="2">
        <v>94.928600000000003</v>
      </c>
      <c r="T55" s="2">
        <v>40</v>
      </c>
      <c r="U55" s="2">
        <v>0.76448199999999999</v>
      </c>
      <c r="V55" s="2">
        <v>54</v>
      </c>
      <c r="W55" s="2">
        <v>2004</v>
      </c>
    </row>
    <row r="56" spans="1:23" ht="12.3" x14ac:dyDescent="0.4">
      <c r="A56" s="2" t="s">
        <v>78</v>
      </c>
      <c r="B56" s="2"/>
      <c r="C56" s="2"/>
      <c r="D56" s="2"/>
      <c r="E56" s="2"/>
      <c r="F56" s="2"/>
      <c r="G56" s="2"/>
      <c r="H56" s="2"/>
      <c r="I56" s="2">
        <v>66.252600000000001</v>
      </c>
      <c r="J56" s="2">
        <v>222</v>
      </c>
      <c r="K56" s="2">
        <v>66.322000000000003</v>
      </c>
      <c r="L56" s="2">
        <v>211</v>
      </c>
      <c r="M56" s="2">
        <v>104.5201</v>
      </c>
      <c r="N56" s="2">
        <v>95</v>
      </c>
      <c r="O56" s="2">
        <v>109.23399999999999</v>
      </c>
      <c r="P56" s="2">
        <v>47</v>
      </c>
      <c r="Q56" s="2">
        <v>101.9776</v>
      </c>
      <c r="R56" s="2">
        <v>177</v>
      </c>
      <c r="S56" s="2">
        <v>98.666200000000003</v>
      </c>
      <c r="T56" s="2">
        <v>104</v>
      </c>
      <c r="U56" s="2">
        <v>0.76316700000000004</v>
      </c>
      <c r="V56" s="2">
        <v>55</v>
      </c>
      <c r="W56" s="2">
        <v>2004</v>
      </c>
    </row>
    <row r="57" spans="1:23" ht="12.3" x14ac:dyDescent="0.4">
      <c r="A57" s="2" t="s">
        <v>73</v>
      </c>
      <c r="B57" s="2"/>
      <c r="C57" s="2"/>
      <c r="D57" s="2"/>
      <c r="E57" s="2"/>
      <c r="F57" s="2"/>
      <c r="G57" s="2"/>
      <c r="H57" s="2"/>
      <c r="I57" s="2">
        <v>67.665499999999994</v>
      </c>
      <c r="J57" s="2">
        <v>176</v>
      </c>
      <c r="K57" s="2">
        <v>67.285700000000006</v>
      </c>
      <c r="L57" s="2">
        <v>181</v>
      </c>
      <c r="M57" s="2">
        <v>107.85</v>
      </c>
      <c r="N57" s="2">
        <v>45</v>
      </c>
      <c r="O57" s="2">
        <v>111.42059999999999</v>
      </c>
      <c r="P57" s="2">
        <v>24</v>
      </c>
      <c r="Q57" s="2">
        <v>105.32</v>
      </c>
      <c r="R57" s="2">
        <v>261</v>
      </c>
      <c r="S57" s="2">
        <v>100.9748</v>
      </c>
      <c r="T57" s="2">
        <v>157</v>
      </c>
      <c r="U57" s="2">
        <v>0.75622100000000003</v>
      </c>
      <c r="V57" s="2">
        <v>56</v>
      </c>
      <c r="W57" s="2">
        <v>2004</v>
      </c>
    </row>
    <row r="58" spans="1:23" ht="12.3" x14ac:dyDescent="0.4">
      <c r="A58" s="2" t="s">
        <v>117</v>
      </c>
      <c r="B58" s="2">
        <v>14</v>
      </c>
      <c r="C58" s="2"/>
      <c r="D58" s="2"/>
      <c r="E58" s="2"/>
      <c r="F58" s="2"/>
      <c r="G58" s="2"/>
      <c r="H58" s="2"/>
      <c r="I58" s="2">
        <v>70.548100000000005</v>
      </c>
      <c r="J58" s="2">
        <v>68</v>
      </c>
      <c r="K58" s="2">
        <v>70.735200000000006</v>
      </c>
      <c r="L58" s="2">
        <v>55</v>
      </c>
      <c r="M58" s="2">
        <v>108.1981</v>
      </c>
      <c r="N58" s="2">
        <v>39</v>
      </c>
      <c r="O58" s="2">
        <v>107.6224</v>
      </c>
      <c r="P58" s="2">
        <v>64</v>
      </c>
      <c r="Q58" s="2">
        <v>99.0578</v>
      </c>
      <c r="R58" s="2">
        <v>112</v>
      </c>
      <c r="S58" s="2">
        <v>97.595200000000006</v>
      </c>
      <c r="T58" s="2">
        <v>83</v>
      </c>
      <c r="U58" s="2">
        <v>0.75485999999999998</v>
      </c>
      <c r="V58" s="2">
        <v>57</v>
      </c>
      <c r="W58" s="2">
        <v>2004</v>
      </c>
    </row>
    <row r="59" spans="1:23" ht="12.3" x14ac:dyDescent="0.4">
      <c r="A59" s="2" t="s">
        <v>181</v>
      </c>
      <c r="B59" s="2">
        <v>12</v>
      </c>
      <c r="C59" s="2"/>
      <c r="D59" s="2"/>
      <c r="E59" s="2"/>
      <c r="F59" s="2"/>
      <c r="G59" s="2"/>
      <c r="H59" s="2"/>
      <c r="I59" s="2">
        <v>70.644099999999995</v>
      </c>
      <c r="J59" s="2">
        <v>65</v>
      </c>
      <c r="K59" s="2">
        <v>70.387200000000007</v>
      </c>
      <c r="L59" s="2">
        <v>64</v>
      </c>
      <c r="M59" s="2">
        <v>113.2004</v>
      </c>
      <c r="N59" s="2">
        <v>8</v>
      </c>
      <c r="O59" s="2">
        <v>108.429</v>
      </c>
      <c r="P59" s="2">
        <v>58</v>
      </c>
      <c r="Q59" s="2">
        <v>97.546000000000006</v>
      </c>
      <c r="R59" s="2">
        <v>88</v>
      </c>
      <c r="S59" s="2">
        <v>98.438100000000006</v>
      </c>
      <c r="T59" s="2">
        <v>100</v>
      </c>
      <c r="U59" s="2">
        <v>0.75244100000000003</v>
      </c>
      <c r="V59" s="2">
        <v>58</v>
      </c>
      <c r="W59" s="2">
        <v>2004</v>
      </c>
    </row>
    <row r="60" spans="1:23" ht="12.3" x14ac:dyDescent="0.4">
      <c r="A60" s="2" t="s">
        <v>131</v>
      </c>
      <c r="B60" s="2">
        <v>8</v>
      </c>
      <c r="C60" s="2"/>
      <c r="D60" s="2"/>
      <c r="E60" s="2"/>
      <c r="F60" s="2"/>
      <c r="G60" s="2"/>
      <c r="H60" s="2"/>
      <c r="I60" s="2">
        <v>75.138099999999994</v>
      </c>
      <c r="J60" s="2">
        <v>7</v>
      </c>
      <c r="K60" s="2">
        <v>74.950400000000002</v>
      </c>
      <c r="L60" s="2">
        <v>7</v>
      </c>
      <c r="M60" s="2">
        <v>107.48439999999999</v>
      </c>
      <c r="N60" s="2">
        <v>50</v>
      </c>
      <c r="O60" s="2">
        <v>109.9194</v>
      </c>
      <c r="P60" s="2">
        <v>35</v>
      </c>
      <c r="Q60" s="2">
        <v>103.651</v>
      </c>
      <c r="R60" s="2">
        <v>220</v>
      </c>
      <c r="S60" s="2">
        <v>99.917000000000002</v>
      </c>
      <c r="T60" s="2">
        <v>134</v>
      </c>
      <c r="U60" s="2">
        <v>0.74973400000000001</v>
      </c>
      <c r="V60" s="2">
        <v>59</v>
      </c>
      <c r="W60" s="2">
        <v>2004</v>
      </c>
    </row>
    <row r="61" spans="1:23" ht="12.3" x14ac:dyDescent="0.4">
      <c r="A61" s="2" t="s">
        <v>64</v>
      </c>
      <c r="B61" s="2">
        <v>10</v>
      </c>
      <c r="C61" s="2"/>
      <c r="D61" s="2"/>
      <c r="E61" s="2"/>
      <c r="F61" s="2"/>
      <c r="G61" s="2"/>
      <c r="H61" s="2"/>
      <c r="I61" s="2">
        <v>63.852800000000002</v>
      </c>
      <c r="J61" s="2">
        <v>294</v>
      </c>
      <c r="K61" s="2">
        <v>63.806899999999999</v>
      </c>
      <c r="L61" s="2">
        <v>293</v>
      </c>
      <c r="M61" s="2">
        <v>106.0314</v>
      </c>
      <c r="N61" s="2">
        <v>76</v>
      </c>
      <c r="O61" s="2">
        <v>106.8096</v>
      </c>
      <c r="P61" s="2">
        <v>70</v>
      </c>
      <c r="Q61" s="2">
        <v>100.0119</v>
      </c>
      <c r="R61" s="2">
        <v>131</v>
      </c>
      <c r="S61" s="2">
        <v>97.093500000000006</v>
      </c>
      <c r="T61" s="2">
        <v>71</v>
      </c>
      <c r="U61" s="2">
        <v>0.74965899999999996</v>
      </c>
      <c r="V61" s="2">
        <v>60</v>
      </c>
      <c r="W61" s="2">
        <v>2004</v>
      </c>
    </row>
    <row r="62" spans="1:23" ht="12.3" x14ac:dyDescent="0.4">
      <c r="A62" s="2" t="s">
        <v>262</v>
      </c>
      <c r="B62" s="2"/>
      <c r="C62" s="2"/>
      <c r="D62" s="2"/>
      <c r="E62" s="2"/>
      <c r="F62" s="2"/>
      <c r="G62" s="2"/>
      <c r="H62" s="2"/>
      <c r="I62" s="2">
        <v>69.393100000000004</v>
      </c>
      <c r="J62" s="2">
        <v>108</v>
      </c>
      <c r="K62" s="2">
        <v>67.857900000000001</v>
      </c>
      <c r="L62" s="2">
        <v>159</v>
      </c>
      <c r="M62" s="2">
        <v>108.7521</v>
      </c>
      <c r="N62" s="2">
        <v>34</v>
      </c>
      <c r="O62" s="2">
        <v>108.8509</v>
      </c>
      <c r="P62" s="2">
        <v>51</v>
      </c>
      <c r="Q62" s="2">
        <v>99.677899999999994</v>
      </c>
      <c r="R62" s="2">
        <v>121</v>
      </c>
      <c r="S62" s="2">
        <v>99.027299999999997</v>
      </c>
      <c r="T62" s="2">
        <v>112</v>
      </c>
      <c r="U62" s="2">
        <v>0.74795199999999995</v>
      </c>
      <c r="V62" s="2">
        <v>61</v>
      </c>
      <c r="W62" s="2">
        <v>2004</v>
      </c>
    </row>
    <row r="63" spans="1:23" ht="12.3" x14ac:dyDescent="0.4">
      <c r="A63" s="2" t="s">
        <v>121</v>
      </c>
      <c r="B63" s="2"/>
      <c r="C63" s="2"/>
      <c r="D63" s="2"/>
      <c r="E63" s="2"/>
      <c r="F63" s="2"/>
      <c r="G63" s="2"/>
      <c r="H63" s="2"/>
      <c r="I63" s="2">
        <v>63.820599999999999</v>
      </c>
      <c r="J63" s="2">
        <v>295</v>
      </c>
      <c r="K63" s="2">
        <v>64.577699999999993</v>
      </c>
      <c r="L63" s="2">
        <v>278</v>
      </c>
      <c r="M63" s="2">
        <v>100.9395</v>
      </c>
      <c r="N63" s="2">
        <v>165</v>
      </c>
      <c r="O63" s="2">
        <v>101.1313</v>
      </c>
      <c r="P63" s="2">
        <v>160</v>
      </c>
      <c r="Q63" s="2">
        <v>94.092799999999997</v>
      </c>
      <c r="R63" s="2">
        <v>31</v>
      </c>
      <c r="S63" s="2">
        <v>92.147900000000007</v>
      </c>
      <c r="T63" s="2">
        <v>15</v>
      </c>
      <c r="U63" s="2">
        <v>0.744556</v>
      </c>
      <c r="V63" s="2">
        <v>62</v>
      </c>
      <c r="W63" s="2">
        <v>2004</v>
      </c>
    </row>
    <row r="64" spans="1:23" ht="12.3" x14ac:dyDescent="0.4">
      <c r="A64" s="2" t="s">
        <v>19</v>
      </c>
      <c r="B64" s="2"/>
      <c r="C64" s="2"/>
      <c r="D64" s="2"/>
      <c r="E64" s="2"/>
      <c r="F64" s="2"/>
      <c r="G64" s="2"/>
      <c r="H64" s="2"/>
      <c r="I64" s="2">
        <v>64.527000000000001</v>
      </c>
      <c r="J64" s="2">
        <v>270</v>
      </c>
      <c r="K64" s="2">
        <v>64.065700000000007</v>
      </c>
      <c r="L64" s="2">
        <v>289</v>
      </c>
      <c r="M64" s="2">
        <v>101.0232</v>
      </c>
      <c r="N64" s="2">
        <v>161</v>
      </c>
      <c r="O64" s="2">
        <v>105.51860000000001</v>
      </c>
      <c r="P64" s="2">
        <v>82</v>
      </c>
      <c r="Q64" s="2">
        <v>100.3283</v>
      </c>
      <c r="R64" s="2">
        <v>138</v>
      </c>
      <c r="S64" s="2">
        <v>96.154499999999999</v>
      </c>
      <c r="T64" s="2">
        <v>59</v>
      </c>
      <c r="U64" s="2">
        <v>0.74434999999999996</v>
      </c>
      <c r="V64" s="2">
        <v>63</v>
      </c>
      <c r="W64" s="2">
        <v>2004</v>
      </c>
    </row>
    <row r="65" spans="1:23" ht="12.3" x14ac:dyDescent="0.4">
      <c r="A65" s="2" t="s">
        <v>85</v>
      </c>
      <c r="B65" s="2"/>
      <c r="C65" s="2"/>
      <c r="D65" s="2"/>
      <c r="E65" s="2"/>
      <c r="F65" s="2"/>
      <c r="G65" s="2"/>
      <c r="H65" s="2"/>
      <c r="I65" s="2">
        <v>65.266499999999994</v>
      </c>
      <c r="J65" s="2">
        <v>253</v>
      </c>
      <c r="K65" s="2">
        <v>65.013099999999994</v>
      </c>
      <c r="L65" s="2">
        <v>268</v>
      </c>
      <c r="M65" s="2">
        <v>101.8537</v>
      </c>
      <c r="N65" s="2">
        <v>139</v>
      </c>
      <c r="O65" s="2">
        <v>104.96550000000001</v>
      </c>
      <c r="P65" s="2">
        <v>92</v>
      </c>
      <c r="Q65" s="2">
        <v>97.791300000000007</v>
      </c>
      <c r="R65" s="2">
        <v>91</v>
      </c>
      <c r="S65" s="2">
        <v>95.718900000000005</v>
      </c>
      <c r="T65" s="2">
        <v>56</v>
      </c>
      <c r="U65" s="2">
        <v>0.74278299999999997</v>
      </c>
      <c r="V65" s="2">
        <v>64</v>
      </c>
      <c r="W65" s="2">
        <v>2004</v>
      </c>
    </row>
    <row r="66" spans="1:23" ht="12.3" x14ac:dyDescent="0.4">
      <c r="A66" s="2" t="s">
        <v>38</v>
      </c>
      <c r="B66" s="2"/>
      <c r="C66" s="2"/>
      <c r="D66" s="2"/>
      <c r="E66" s="2"/>
      <c r="F66" s="2"/>
      <c r="G66" s="2"/>
      <c r="H66" s="2"/>
      <c r="I66" s="2">
        <v>65.370500000000007</v>
      </c>
      <c r="J66" s="2">
        <v>249</v>
      </c>
      <c r="K66" s="2">
        <v>65.141499999999994</v>
      </c>
      <c r="L66" s="2">
        <v>264</v>
      </c>
      <c r="M66" s="2">
        <v>100.5324</v>
      </c>
      <c r="N66" s="2">
        <v>171</v>
      </c>
      <c r="O66" s="2">
        <v>101.93040000000001</v>
      </c>
      <c r="P66" s="2">
        <v>142</v>
      </c>
      <c r="Q66" s="2">
        <v>93.978800000000007</v>
      </c>
      <c r="R66" s="2">
        <v>28</v>
      </c>
      <c r="S66" s="2">
        <v>92.971900000000005</v>
      </c>
      <c r="T66" s="2">
        <v>21</v>
      </c>
      <c r="U66" s="2">
        <v>0.74229400000000001</v>
      </c>
      <c r="V66" s="2">
        <v>65</v>
      </c>
      <c r="W66" s="2">
        <v>2004</v>
      </c>
    </row>
    <row r="67" spans="1:23" ht="12.3" x14ac:dyDescent="0.4">
      <c r="A67" s="2" t="s">
        <v>108</v>
      </c>
      <c r="B67" s="2">
        <v>13</v>
      </c>
      <c r="C67" s="2"/>
      <c r="D67" s="2"/>
      <c r="E67" s="2"/>
      <c r="F67" s="2"/>
      <c r="G67" s="2"/>
      <c r="H67" s="2"/>
      <c r="I67" s="2">
        <v>75.729799999999997</v>
      </c>
      <c r="J67" s="2">
        <v>5</v>
      </c>
      <c r="K67" s="2">
        <v>74.971599999999995</v>
      </c>
      <c r="L67" s="2">
        <v>6</v>
      </c>
      <c r="M67" s="2">
        <v>102.65479999999999</v>
      </c>
      <c r="N67" s="2">
        <v>117</v>
      </c>
      <c r="O67" s="2">
        <v>102.91540000000001</v>
      </c>
      <c r="P67" s="2">
        <v>125</v>
      </c>
      <c r="Q67" s="2">
        <v>92.195800000000006</v>
      </c>
      <c r="R67" s="2">
        <v>14</v>
      </c>
      <c r="S67" s="2">
        <v>94.046599999999998</v>
      </c>
      <c r="T67" s="2">
        <v>32</v>
      </c>
      <c r="U67" s="2">
        <v>0.73814400000000002</v>
      </c>
      <c r="V67" s="2">
        <v>66</v>
      </c>
      <c r="W67" s="2">
        <v>2004</v>
      </c>
    </row>
    <row r="68" spans="1:23" ht="12.3" x14ac:dyDescent="0.4">
      <c r="A68" s="2" t="s">
        <v>129</v>
      </c>
      <c r="B68" s="2"/>
      <c r="C68" s="2"/>
      <c r="D68" s="2"/>
      <c r="E68" s="2"/>
      <c r="F68" s="2"/>
      <c r="G68" s="2"/>
      <c r="H68" s="2"/>
      <c r="I68" s="2">
        <v>69.990700000000004</v>
      </c>
      <c r="J68" s="2">
        <v>90</v>
      </c>
      <c r="K68" s="2">
        <v>69.912899999999993</v>
      </c>
      <c r="L68" s="2">
        <v>80</v>
      </c>
      <c r="M68" s="2">
        <v>105.79649999999999</v>
      </c>
      <c r="N68" s="2">
        <v>80</v>
      </c>
      <c r="O68" s="2">
        <v>109.4349</v>
      </c>
      <c r="P68" s="2">
        <v>42</v>
      </c>
      <c r="Q68" s="2">
        <v>101.64570000000001</v>
      </c>
      <c r="R68" s="2">
        <v>169</v>
      </c>
      <c r="S68" s="2">
        <v>100.0307</v>
      </c>
      <c r="T68" s="2">
        <v>140</v>
      </c>
      <c r="U68" s="2">
        <v>0.73755599999999999</v>
      </c>
      <c r="V68" s="2">
        <v>67</v>
      </c>
      <c r="W68" s="2">
        <v>2004</v>
      </c>
    </row>
    <row r="69" spans="1:23" ht="12.3" x14ac:dyDescent="0.4">
      <c r="A69" s="2" t="s">
        <v>87</v>
      </c>
      <c r="B69" s="2"/>
      <c r="C69" s="2"/>
      <c r="D69" s="2"/>
      <c r="E69" s="2"/>
      <c r="F69" s="2"/>
      <c r="G69" s="2"/>
      <c r="H69" s="2"/>
      <c r="I69" s="2">
        <v>71.841200000000001</v>
      </c>
      <c r="J69" s="2">
        <v>32</v>
      </c>
      <c r="K69" s="2">
        <v>70.168400000000005</v>
      </c>
      <c r="L69" s="2">
        <v>70</v>
      </c>
      <c r="M69" s="2">
        <v>102.97709999999999</v>
      </c>
      <c r="N69" s="2">
        <v>112</v>
      </c>
      <c r="O69" s="2">
        <v>107.155</v>
      </c>
      <c r="P69" s="2">
        <v>67</v>
      </c>
      <c r="Q69" s="2">
        <v>104.03189999999999</v>
      </c>
      <c r="R69" s="2">
        <v>235</v>
      </c>
      <c r="S69" s="2">
        <v>98.035899999999998</v>
      </c>
      <c r="T69" s="2">
        <v>89</v>
      </c>
      <c r="U69" s="2">
        <v>0.73552600000000001</v>
      </c>
      <c r="V69" s="2">
        <v>68</v>
      </c>
      <c r="W69" s="2">
        <v>2004</v>
      </c>
    </row>
    <row r="70" spans="1:23" ht="12.3" x14ac:dyDescent="0.4">
      <c r="A70" s="2" t="s">
        <v>53</v>
      </c>
      <c r="B70" s="2"/>
      <c r="C70" s="2"/>
      <c r="D70" s="2"/>
      <c r="E70" s="2"/>
      <c r="F70" s="2"/>
      <c r="G70" s="2"/>
      <c r="H70" s="2"/>
      <c r="I70" s="2">
        <v>66.524000000000001</v>
      </c>
      <c r="J70" s="2">
        <v>211</v>
      </c>
      <c r="K70" s="2">
        <v>67.047499999999999</v>
      </c>
      <c r="L70" s="2">
        <v>193</v>
      </c>
      <c r="M70" s="2">
        <v>107.7366</v>
      </c>
      <c r="N70" s="2">
        <v>47</v>
      </c>
      <c r="O70" s="2">
        <v>105.22150000000001</v>
      </c>
      <c r="P70" s="2">
        <v>85</v>
      </c>
      <c r="Q70" s="2">
        <v>96.616299999999995</v>
      </c>
      <c r="R70" s="2">
        <v>70</v>
      </c>
      <c r="S70" s="2">
        <v>96.292900000000003</v>
      </c>
      <c r="T70" s="2">
        <v>63</v>
      </c>
      <c r="U70" s="2">
        <v>0.73492000000000002</v>
      </c>
      <c r="V70" s="2">
        <v>69</v>
      </c>
      <c r="W70" s="2">
        <v>2004</v>
      </c>
    </row>
    <row r="71" spans="1:23" ht="12.3" x14ac:dyDescent="0.4">
      <c r="A71" s="2" t="s">
        <v>113</v>
      </c>
      <c r="B71" s="2"/>
      <c r="C71" s="2"/>
      <c r="D71" s="2"/>
      <c r="E71" s="2"/>
      <c r="F71" s="2"/>
      <c r="G71" s="2"/>
      <c r="H71" s="2"/>
      <c r="I71" s="2">
        <v>67.515299999999996</v>
      </c>
      <c r="J71" s="2">
        <v>181</v>
      </c>
      <c r="K71" s="2">
        <v>68.681799999999996</v>
      </c>
      <c r="L71" s="2">
        <v>127</v>
      </c>
      <c r="M71" s="2">
        <v>102.9667</v>
      </c>
      <c r="N71" s="2">
        <v>113</v>
      </c>
      <c r="O71" s="2">
        <v>104.07989999999999</v>
      </c>
      <c r="P71" s="2">
        <v>101</v>
      </c>
      <c r="Q71" s="2">
        <v>96.815899999999999</v>
      </c>
      <c r="R71" s="2">
        <v>71</v>
      </c>
      <c r="S71" s="2">
        <v>95.483400000000003</v>
      </c>
      <c r="T71" s="2">
        <v>49</v>
      </c>
      <c r="U71" s="2">
        <v>0.72935799999999995</v>
      </c>
      <c r="V71" s="2">
        <v>70</v>
      </c>
      <c r="W71" s="2">
        <v>2004</v>
      </c>
    </row>
    <row r="72" spans="1:23" ht="12.3" x14ac:dyDescent="0.4">
      <c r="A72" s="2" t="s">
        <v>231</v>
      </c>
      <c r="B72" s="2"/>
      <c r="C72" s="2"/>
      <c r="D72" s="2"/>
      <c r="E72" s="2"/>
      <c r="F72" s="2"/>
      <c r="G72" s="2"/>
      <c r="H72" s="2"/>
      <c r="I72" s="2">
        <v>69.805599999999998</v>
      </c>
      <c r="J72" s="2">
        <v>93</v>
      </c>
      <c r="K72" s="2">
        <v>70.064099999999996</v>
      </c>
      <c r="L72" s="2">
        <v>74</v>
      </c>
      <c r="M72" s="2">
        <v>104.5296</v>
      </c>
      <c r="N72" s="2">
        <v>94</v>
      </c>
      <c r="O72" s="2">
        <v>107.40779999999999</v>
      </c>
      <c r="P72" s="2">
        <v>66</v>
      </c>
      <c r="Q72" s="2">
        <v>97.827799999999996</v>
      </c>
      <c r="R72" s="2">
        <v>92</v>
      </c>
      <c r="S72" s="2">
        <v>98.736099999999993</v>
      </c>
      <c r="T72" s="2">
        <v>106</v>
      </c>
      <c r="U72" s="2">
        <v>0.72474099999999997</v>
      </c>
      <c r="V72" s="2">
        <v>71</v>
      </c>
      <c r="W72" s="2">
        <v>2004</v>
      </c>
    </row>
    <row r="73" spans="1:23" ht="12.3" x14ac:dyDescent="0.4">
      <c r="A73" s="2" t="s">
        <v>109</v>
      </c>
      <c r="B73" s="2"/>
      <c r="C73" s="2"/>
      <c r="D73" s="2"/>
      <c r="E73" s="2"/>
      <c r="F73" s="2"/>
      <c r="G73" s="2"/>
      <c r="H73" s="2"/>
      <c r="I73" s="2">
        <v>69.022499999999994</v>
      </c>
      <c r="J73" s="2">
        <v>122</v>
      </c>
      <c r="K73" s="2">
        <v>70.816299999999998</v>
      </c>
      <c r="L73" s="2">
        <v>52</v>
      </c>
      <c r="M73" s="2">
        <v>106.3355</v>
      </c>
      <c r="N73" s="2">
        <v>71</v>
      </c>
      <c r="O73" s="2">
        <v>108.72580000000001</v>
      </c>
      <c r="P73" s="2">
        <v>54</v>
      </c>
      <c r="Q73" s="2">
        <v>102.27119999999999</v>
      </c>
      <c r="R73" s="2">
        <v>182</v>
      </c>
      <c r="S73" s="2">
        <v>99.958799999999997</v>
      </c>
      <c r="T73" s="2">
        <v>136</v>
      </c>
      <c r="U73" s="2">
        <v>0.72448299999999999</v>
      </c>
      <c r="V73" s="2">
        <v>72</v>
      </c>
      <c r="W73" s="2">
        <v>2004</v>
      </c>
    </row>
    <row r="74" spans="1:23" ht="12.3" x14ac:dyDescent="0.4">
      <c r="A74" s="2" t="s">
        <v>77</v>
      </c>
      <c r="B74" s="2"/>
      <c r="C74" s="2"/>
      <c r="D74" s="2"/>
      <c r="E74" s="2"/>
      <c r="F74" s="2"/>
      <c r="G74" s="2"/>
      <c r="H74" s="2"/>
      <c r="I74" s="2">
        <v>64.623400000000004</v>
      </c>
      <c r="J74" s="2">
        <v>268</v>
      </c>
      <c r="K74" s="2">
        <v>65.482799999999997</v>
      </c>
      <c r="L74" s="2">
        <v>244</v>
      </c>
      <c r="M74" s="2">
        <v>108.18989999999999</v>
      </c>
      <c r="N74" s="2">
        <v>40</v>
      </c>
      <c r="O74" s="2">
        <v>106.49160000000001</v>
      </c>
      <c r="P74" s="2">
        <v>74</v>
      </c>
      <c r="Q74" s="2">
        <v>96.014700000000005</v>
      </c>
      <c r="R74" s="2">
        <v>58</v>
      </c>
      <c r="S74" s="2">
        <v>97.981399999999994</v>
      </c>
      <c r="T74" s="2">
        <v>87</v>
      </c>
      <c r="U74" s="2">
        <v>0.72268500000000002</v>
      </c>
      <c r="V74" s="2">
        <v>73</v>
      </c>
      <c r="W74" s="2">
        <v>2004</v>
      </c>
    </row>
    <row r="75" spans="1:23" ht="12.3" x14ac:dyDescent="0.4">
      <c r="A75" s="2" t="s">
        <v>137</v>
      </c>
      <c r="B75" s="2">
        <v>13</v>
      </c>
      <c r="C75" s="2"/>
      <c r="D75" s="2"/>
      <c r="E75" s="2"/>
      <c r="F75" s="2"/>
      <c r="G75" s="2"/>
      <c r="H75" s="2"/>
      <c r="I75" s="2">
        <v>67.848600000000005</v>
      </c>
      <c r="J75" s="2">
        <v>169</v>
      </c>
      <c r="K75" s="2">
        <v>66.411799999999999</v>
      </c>
      <c r="L75" s="2">
        <v>207</v>
      </c>
      <c r="M75" s="2">
        <v>103.337</v>
      </c>
      <c r="N75" s="2">
        <v>107</v>
      </c>
      <c r="O75" s="2">
        <v>102.5355</v>
      </c>
      <c r="P75" s="2">
        <v>133</v>
      </c>
      <c r="Q75" s="2">
        <v>93.336200000000005</v>
      </c>
      <c r="R75" s="2">
        <v>24</v>
      </c>
      <c r="S75" s="2">
        <v>94.379499999999993</v>
      </c>
      <c r="T75" s="2">
        <v>36</v>
      </c>
      <c r="U75" s="2">
        <v>0.72175500000000004</v>
      </c>
      <c r="V75" s="2">
        <v>74</v>
      </c>
      <c r="W75" s="2">
        <v>2004</v>
      </c>
    </row>
    <row r="76" spans="1:23" ht="12.3" x14ac:dyDescent="0.4">
      <c r="A76" s="2" t="s">
        <v>123</v>
      </c>
      <c r="B76" s="2"/>
      <c r="C76" s="2"/>
      <c r="D76" s="2"/>
      <c r="E76" s="2"/>
      <c r="F76" s="2"/>
      <c r="G76" s="2"/>
      <c r="H76" s="2"/>
      <c r="I76" s="2">
        <v>66.8476</v>
      </c>
      <c r="J76" s="2">
        <v>198</v>
      </c>
      <c r="K76" s="2">
        <v>67.678100000000001</v>
      </c>
      <c r="L76" s="2">
        <v>166</v>
      </c>
      <c r="M76" s="2">
        <v>99.477699999999999</v>
      </c>
      <c r="N76" s="2">
        <v>197</v>
      </c>
      <c r="O76" s="2">
        <v>103.2056</v>
      </c>
      <c r="P76" s="2">
        <v>118</v>
      </c>
      <c r="Q76" s="2">
        <v>97.375900000000001</v>
      </c>
      <c r="R76" s="2">
        <v>86</v>
      </c>
      <c r="S76" s="2">
        <v>95.095600000000005</v>
      </c>
      <c r="T76" s="2">
        <v>42</v>
      </c>
      <c r="U76" s="2">
        <v>0.71933400000000003</v>
      </c>
      <c r="V76" s="2">
        <v>75</v>
      </c>
      <c r="W76" s="2">
        <v>2004</v>
      </c>
    </row>
    <row r="77" spans="1:23" ht="12.3" x14ac:dyDescent="0.4">
      <c r="A77" s="2" t="s">
        <v>90</v>
      </c>
      <c r="B77" s="2"/>
      <c r="C77" s="2"/>
      <c r="D77" s="2"/>
      <c r="E77" s="2"/>
      <c r="F77" s="2"/>
      <c r="G77" s="2"/>
      <c r="H77" s="2"/>
      <c r="I77" s="2">
        <v>64.466399999999993</v>
      </c>
      <c r="J77" s="2">
        <v>273</v>
      </c>
      <c r="K77" s="2">
        <v>65.497500000000002</v>
      </c>
      <c r="L77" s="2">
        <v>243</v>
      </c>
      <c r="M77" s="2">
        <v>104.7811</v>
      </c>
      <c r="N77" s="2">
        <v>91</v>
      </c>
      <c r="O77" s="2">
        <v>104.9556</v>
      </c>
      <c r="P77" s="2">
        <v>93</v>
      </c>
      <c r="Q77" s="2">
        <v>94.178700000000006</v>
      </c>
      <c r="R77" s="2">
        <v>33</v>
      </c>
      <c r="S77" s="2">
        <v>96.718999999999994</v>
      </c>
      <c r="T77" s="2">
        <v>68</v>
      </c>
      <c r="U77" s="2">
        <v>0.71907299999999996</v>
      </c>
      <c r="V77" s="2">
        <v>76</v>
      </c>
      <c r="W77" s="2">
        <v>2004</v>
      </c>
    </row>
    <row r="78" spans="1:23" ht="12.3" x14ac:dyDescent="0.4">
      <c r="A78" s="2" t="s">
        <v>122</v>
      </c>
      <c r="B78" s="2"/>
      <c r="C78" s="2"/>
      <c r="D78" s="2"/>
      <c r="E78" s="2"/>
      <c r="F78" s="2"/>
      <c r="G78" s="2"/>
      <c r="H78" s="2"/>
      <c r="I78" s="2">
        <v>70.137500000000003</v>
      </c>
      <c r="J78" s="2">
        <v>83</v>
      </c>
      <c r="K78" s="2">
        <v>72.367500000000007</v>
      </c>
      <c r="L78" s="2">
        <v>23</v>
      </c>
      <c r="M78" s="2">
        <v>108.94970000000001</v>
      </c>
      <c r="N78" s="2">
        <v>30</v>
      </c>
      <c r="O78" s="2">
        <v>109.3934</v>
      </c>
      <c r="P78" s="2">
        <v>43</v>
      </c>
      <c r="Q78" s="2">
        <v>102.5705</v>
      </c>
      <c r="R78" s="2">
        <v>188</v>
      </c>
      <c r="S78" s="2">
        <v>101.0072</v>
      </c>
      <c r="T78" s="2">
        <v>159</v>
      </c>
      <c r="U78" s="2">
        <v>0.71447499999999997</v>
      </c>
      <c r="V78" s="2">
        <v>77</v>
      </c>
      <c r="W78" s="2">
        <v>2004</v>
      </c>
    </row>
    <row r="79" spans="1:23" ht="12.3" x14ac:dyDescent="0.4">
      <c r="A79" s="2" t="s">
        <v>84</v>
      </c>
      <c r="B79" s="2"/>
      <c r="C79" s="2"/>
      <c r="D79" s="2"/>
      <c r="E79" s="2"/>
      <c r="F79" s="2"/>
      <c r="G79" s="2"/>
      <c r="H79" s="2"/>
      <c r="I79" s="2">
        <v>69.552400000000006</v>
      </c>
      <c r="J79" s="2">
        <v>103</v>
      </c>
      <c r="K79" s="2">
        <v>70.400700000000001</v>
      </c>
      <c r="L79" s="2">
        <v>63</v>
      </c>
      <c r="M79" s="2">
        <v>101.1147</v>
      </c>
      <c r="N79" s="2">
        <v>160</v>
      </c>
      <c r="O79" s="2">
        <v>103.4648</v>
      </c>
      <c r="P79" s="2">
        <v>109</v>
      </c>
      <c r="Q79" s="2">
        <v>97.941800000000001</v>
      </c>
      <c r="R79" s="2">
        <v>94</v>
      </c>
      <c r="S79" s="2">
        <v>95.587000000000003</v>
      </c>
      <c r="T79" s="2">
        <v>51</v>
      </c>
      <c r="U79" s="2">
        <v>0.71315099999999998</v>
      </c>
      <c r="V79" s="2">
        <v>78</v>
      </c>
      <c r="W79" s="2">
        <v>2004</v>
      </c>
    </row>
    <row r="80" spans="1:23" ht="12.3" x14ac:dyDescent="0.4">
      <c r="A80" s="2" t="s">
        <v>132</v>
      </c>
      <c r="B80" s="2"/>
      <c r="C80" s="2"/>
      <c r="D80" s="2"/>
      <c r="E80" s="2"/>
      <c r="F80" s="2"/>
      <c r="G80" s="2"/>
      <c r="H80" s="2"/>
      <c r="I80" s="2">
        <v>61.385599999999997</v>
      </c>
      <c r="J80" s="2">
        <v>313</v>
      </c>
      <c r="K80" s="2">
        <v>60.362900000000003</v>
      </c>
      <c r="L80" s="2">
        <v>320</v>
      </c>
      <c r="M80" s="2">
        <v>105.1908</v>
      </c>
      <c r="N80" s="2">
        <v>83</v>
      </c>
      <c r="O80" s="2">
        <v>103.88339999999999</v>
      </c>
      <c r="P80" s="2">
        <v>102</v>
      </c>
      <c r="Q80" s="2">
        <v>96.466499999999996</v>
      </c>
      <c r="R80" s="2">
        <v>65</v>
      </c>
      <c r="S80" s="2">
        <v>96.028499999999994</v>
      </c>
      <c r="T80" s="2">
        <v>58</v>
      </c>
      <c r="U80" s="2">
        <v>0.71180600000000005</v>
      </c>
      <c r="V80" s="2">
        <v>79</v>
      </c>
      <c r="W80" s="2">
        <v>2004</v>
      </c>
    </row>
    <row r="81" spans="1:23" ht="12.3" x14ac:dyDescent="0.4">
      <c r="A81" s="2" t="s">
        <v>126</v>
      </c>
      <c r="B81" s="2">
        <v>12</v>
      </c>
      <c r="C81" s="3" t="s">
        <v>33</v>
      </c>
      <c r="D81" s="2"/>
      <c r="E81" s="2"/>
      <c r="F81" s="2"/>
      <c r="G81" s="2"/>
      <c r="H81" s="2"/>
      <c r="I81" s="2">
        <v>64.537999999999997</v>
      </c>
      <c r="J81" s="2">
        <v>269</v>
      </c>
      <c r="K81" s="2">
        <v>65.751499999999993</v>
      </c>
      <c r="L81" s="2">
        <v>235</v>
      </c>
      <c r="M81" s="2">
        <v>106.2727</v>
      </c>
      <c r="N81" s="2">
        <v>72</v>
      </c>
      <c r="O81" s="2">
        <v>106.3002</v>
      </c>
      <c r="P81" s="2">
        <v>77</v>
      </c>
      <c r="Q81" s="2">
        <v>98.217600000000004</v>
      </c>
      <c r="R81" s="2">
        <v>98</v>
      </c>
      <c r="S81" s="2">
        <v>98.311800000000005</v>
      </c>
      <c r="T81" s="2">
        <v>96</v>
      </c>
      <c r="U81" s="2">
        <v>0.71062400000000003</v>
      </c>
      <c r="V81" s="2">
        <v>80</v>
      </c>
      <c r="W81" s="2">
        <v>2004</v>
      </c>
    </row>
    <row r="82" spans="1:23" ht="12.3" x14ac:dyDescent="0.4">
      <c r="A82" s="2" t="s">
        <v>116</v>
      </c>
      <c r="B82" s="2"/>
      <c r="C82" s="2"/>
      <c r="D82" s="2"/>
      <c r="E82" s="2"/>
      <c r="F82" s="2"/>
      <c r="G82" s="2"/>
      <c r="H82" s="2"/>
      <c r="I82" s="2">
        <v>63.125100000000003</v>
      </c>
      <c r="J82" s="2">
        <v>305</v>
      </c>
      <c r="K82" s="2">
        <v>63.069699999999997</v>
      </c>
      <c r="L82" s="2">
        <v>305</v>
      </c>
      <c r="M82" s="2">
        <v>98.650099999999995</v>
      </c>
      <c r="N82" s="2">
        <v>221</v>
      </c>
      <c r="O82" s="2">
        <v>99.9709</v>
      </c>
      <c r="P82" s="2">
        <v>176</v>
      </c>
      <c r="Q82" s="2">
        <v>93.758700000000005</v>
      </c>
      <c r="R82" s="2">
        <v>27</v>
      </c>
      <c r="S82" s="2">
        <v>92.597300000000004</v>
      </c>
      <c r="T82" s="2">
        <v>18</v>
      </c>
      <c r="U82" s="2">
        <v>0.70705499999999999</v>
      </c>
      <c r="V82" s="2">
        <v>81</v>
      </c>
      <c r="W82" s="2">
        <v>2004</v>
      </c>
    </row>
    <row r="83" spans="1:23" ht="12.3" x14ac:dyDescent="0.4">
      <c r="A83" s="2" t="s">
        <v>216</v>
      </c>
      <c r="B83" s="2">
        <v>14</v>
      </c>
      <c r="C83" s="2"/>
      <c r="D83" s="2"/>
      <c r="E83" s="2"/>
      <c r="F83" s="2"/>
      <c r="G83" s="2"/>
      <c r="H83" s="2"/>
      <c r="I83" s="2">
        <v>65.566900000000004</v>
      </c>
      <c r="J83" s="2">
        <v>243</v>
      </c>
      <c r="K83" s="2">
        <v>66.534499999999994</v>
      </c>
      <c r="L83" s="2">
        <v>204</v>
      </c>
      <c r="M83" s="2">
        <v>104.0239</v>
      </c>
      <c r="N83" s="2">
        <v>97</v>
      </c>
      <c r="O83" s="2">
        <v>105.02800000000001</v>
      </c>
      <c r="P83" s="2">
        <v>90</v>
      </c>
      <c r="Q83" s="2">
        <v>98.105699999999999</v>
      </c>
      <c r="R83" s="2">
        <v>96</v>
      </c>
      <c r="S83" s="2">
        <v>97.493700000000004</v>
      </c>
      <c r="T83" s="2">
        <v>80</v>
      </c>
      <c r="U83" s="2">
        <v>0.70183399999999996</v>
      </c>
      <c r="V83" s="2">
        <v>82</v>
      </c>
      <c r="W83" s="2">
        <v>2004</v>
      </c>
    </row>
    <row r="84" spans="1:23" ht="12.3" x14ac:dyDescent="0.4">
      <c r="A84" s="2" t="s">
        <v>88</v>
      </c>
      <c r="B84" s="2"/>
      <c r="C84" s="2"/>
      <c r="D84" s="2"/>
      <c r="E84" s="2"/>
      <c r="F84" s="2"/>
      <c r="G84" s="2"/>
      <c r="H84" s="2"/>
      <c r="I84" s="2">
        <v>61.827599999999997</v>
      </c>
      <c r="J84" s="2">
        <v>311</v>
      </c>
      <c r="K84" s="2">
        <v>61.635300000000001</v>
      </c>
      <c r="L84" s="2">
        <v>312</v>
      </c>
      <c r="M84" s="2">
        <v>103.6251</v>
      </c>
      <c r="N84" s="2">
        <v>104</v>
      </c>
      <c r="O84" s="2">
        <v>107.7762</v>
      </c>
      <c r="P84" s="2">
        <v>62</v>
      </c>
      <c r="Q84" s="2">
        <v>102.9481</v>
      </c>
      <c r="R84" s="2">
        <v>197</v>
      </c>
      <c r="S84" s="2">
        <v>100.3391</v>
      </c>
      <c r="T84" s="2">
        <v>147</v>
      </c>
      <c r="U84" s="2">
        <v>0.69471799999999995</v>
      </c>
      <c r="V84" s="2">
        <v>83</v>
      </c>
      <c r="W84" s="2">
        <v>2004</v>
      </c>
    </row>
    <row r="85" spans="1:23" ht="12.3" x14ac:dyDescent="0.4">
      <c r="A85" s="2" t="s">
        <v>146</v>
      </c>
      <c r="B85" s="2"/>
      <c r="C85" s="2"/>
      <c r="D85" s="2"/>
      <c r="E85" s="2"/>
      <c r="F85" s="2"/>
      <c r="G85" s="2"/>
      <c r="H85" s="2"/>
      <c r="I85" s="2">
        <v>71.368899999999996</v>
      </c>
      <c r="J85" s="2">
        <v>41</v>
      </c>
      <c r="K85" s="2">
        <v>71.228099999999998</v>
      </c>
      <c r="L85" s="2">
        <v>37</v>
      </c>
      <c r="M85" s="2">
        <v>103.0256</v>
      </c>
      <c r="N85" s="2">
        <v>111</v>
      </c>
      <c r="O85" s="2">
        <v>106.2723</v>
      </c>
      <c r="P85" s="2">
        <v>78</v>
      </c>
      <c r="Q85" s="2">
        <v>102.2437</v>
      </c>
      <c r="R85" s="2">
        <v>181</v>
      </c>
      <c r="S85" s="2">
        <v>99.086299999999994</v>
      </c>
      <c r="T85" s="2">
        <v>115</v>
      </c>
      <c r="U85" s="2">
        <v>0.69107799999999997</v>
      </c>
      <c r="V85" s="2">
        <v>84</v>
      </c>
      <c r="W85" s="2">
        <v>2004</v>
      </c>
    </row>
    <row r="86" spans="1:23" ht="12.3" x14ac:dyDescent="0.4">
      <c r="A86" s="2" t="s">
        <v>180</v>
      </c>
      <c r="B86" s="2"/>
      <c r="C86" s="2"/>
      <c r="D86" s="2"/>
      <c r="E86" s="2"/>
      <c r="F86" s="2"/>
      <c r="G86" s="2"/>
      <c r="H86" s="2"/>
      <c r="I86" s="2">
        <v>71.430000000000007</v>
      </c>
      <c r="J86" s="2">
        <v>40</v>
      </c>
      <c r="K86" s="2">
        <v>70.387100000000004</v>
      </c>
      <c r="L86" s="2">
        <v>65</v>
      </c>
      <c r="M86" s="2">
        <v>115.1186</v>
      </c>
      <c r="N86" s="2">
        <v>3</v>
      </c>
      <c r="O86" s="2">
        <v>111.3698</v>
      </c>
      <c r="P86" s="2">
        <v>26</v>
      </c>
      <c r="Q86" s="2">
        <v>101.33499999999999</v>
      </c>
      <c r="R86" s="2">
        <v>162</v>
      </c>
      <c r="S86" s="2">
        <v>104.0078</v>
      </c>
      <c r="T86" s="2">
        <v>211</v>
      </c>
      <c r="U86" s="2">
        <v>0.68707799999999997</v>
      </c>
      <c r="V86" s="2">
        <v>85</v>
      </c>
      <c r="W86" s="2">
        <v>2004</v>
      </c>
    </row>
    <row r="87" spans="1:23" ht="12.3" x14ac:dyDescent="0.4">
      <c r="A87" s="2" t="s">
        <v>66</v>
      </c>
      <c r="B87" s="2"/>
      <c r="C87" s="2"/>
      <c r="D87" s="2"/>
      <c r="E87" s="2"/>
      <c r="F87" s="2"/>
      <c r="G87" s="2"/>
      <c r="H87" s="2"/>
      <c r="I87" s="2">
        <v>65.727800000000002</v>
      </c>
      <c r="J87" s="2">
        <v>235</v>
      </c>
      <c r="K87" s="2">
        <v>66.096599999999995</v>
      </c>
      <c r="L87" s="2">
        <v>221</v>
      </c>
      <c r="M87" s="2">
        <v>105.07850000000001</v>
      </c>
      <c r="N87" s="2">
        <v>84</v>
      </c>
      <c r="O87" s="2">
        <v>105.2589</v>
      </c>
      <c r="P87" s="2">
        <v>84</v>
      </c>
      <c r="Q87" s="2">
        <v>99.735900000000001</v>
      </c>
      <c r="R87" s="2">
        <v>123</v>
      </c>
      <c r="S87" s="2">
        <v>98.360600000000005</v>
      </c>
      <c r="T87" s="2">
        <v>97</v>
      </c>
      <c r="U87" s="2">
        <v>0.68557199999999996</v>
      </c>
      <c r="V87" s="2">
        <v>86</v>
      </c>
      <c r="W87" s="2">
        <v>2004</v>
      </c>
    </row>
    <row r="88" spans="1:23" ht="12.3" x14ac:dyDescent="0.4">
      <c r="A88" s="2" t="s">
        <v>81</v>
      </c>
      <c r="B88" s="2"/>
      <c r="C88" s="2"/>
      <c r="D88" s="2"/>
      <c r="E88" s="2"/>
      <c r="F88" s="2"/>
      <c r="G88" s="2"/>
      <c r="H88" s="2"/>
      <c r="I88" s="2">
        <v>68.408600000000007</v>
      </c>
      <c r="J88" s="2">
        <v>144</v>
      </c>
      <c r="K88" s="2">
        <v>68.028300000000002</v>
      </c>
      <c r="L88" s="2">
        <v>156</v>
      </c>
      <c r="M88" s="2">
        <v>104.3831</v>
      </c>
      <c r="N88" s="2">
        <v>96</v>
      </c>
      <c r="O88" s="2">
        <v>106.74120000000001</v>
      </c>
      <c r="P88" s="2">
        <v>72</v>
      </c>
      <c r="Q88" s="2">
        <v>104.3961</v>
      </c>
      <c r="R88" s="2">
        <v>246</v>
      </c>
      <c r="S88" s="2">
        <v>99.779300000000006</v>
      </c>
      <c r="T88" s="2">
        <v>130</v>
      </c>
      <c r="U88" s="2">
        <v>0.68474000000000002</v>
      </c>
      <c r="V88" s="2">
        <v>87</v>
      </c>
      <c r="W88" s="2">
        <v>2004</v>
      </c>
    </row>
    <row r="89" spans="1:23" ht="12.3" x14ac:dyDescent="0.4">
      <c r="A89" s="2" t="s">
        <v>147</v>
      </c>
      <c r="B89" s="2"/>
      <c r="C89" s="2"/>
      <c r="D89" s="2"/>
      <c r="E89" s="2"/>
      <c r="F89" s="2"/>
      <c r="G89" s="2"/>
      <c r="H89" s="2"/>
      <c r="I89" s="2">
        <v>70.666200000000003</v>
      </c>
      <c r="J89" s="2">
        <v>64</v>
      </c>
      <c r="K89" s="2">
        <v>69.181700000000006</v>
      </c>
      <c r="L89" s="2">
        <v>111</v>
      </c>
      <c r="M89" s="2">
        <v>101.70659999999999</v>
      </c>
      <c r="N89" s="2">
        <v>142</v>
      </c>
      <c r="O89" s="2">
        <v>101.9629</v>
      </c>
      <c r="P89" s="2">
        <v>141</v>
      </c>
      <c r="Q89" s="2">
        <v>96.011300000000006</v>
      </c>
      <c r="R89" s="2">
        <v>57</v>
      </c>
      <c r="S89" s="2">
        <v>95.4345</v>
      </c>
      <c r="T89" s="2">
        <v>48</v>
      </c>
      <c r="U89" s="2">
        <v>0.681558</v>
      </c>
      <c r="V89" s="2">
        <v>88</v>
      </c>
      <c r="W89" s="2">
        <v>2004</v>
      </c>
    </row>
    <row r="90" spans="1:23" ht="12.3" x14ac:dyDescent="0.4">
      <c r="A90" s="2" t="s">
        <v>41</v>
      </c>
      <c r="B90" s="2"/>
      <c r="C90" s="2"/>
      <c r="D90" s="2"/>
      <c r="E90" s="2"/>
      <c r="F90" s="2"/>
      <c r="G90" s="2"/>
      <c r="H90" s="2"/>
      <c r="I90" s="2">
        <v>70.199799999999996</v>
      </c>
      <c r="J90" s="2">
        <v>77</v>
      </c>
      <c r="K90" s="2">
        <v>69.660700000000006</v>
      </c>
      <c r="L90" s="2">
        <v>91</v>
      </c>
      <c r="M90" s="2">
        <v>107.7047</v>
      </c>
      <c r="N90" s="2">
        <v>48</v>
      </c>
      <c r="O90" s="2">
        <v>109.3399</v>
      </c>
      <c r="P90" s="2">
        <v>45</v>
      </c>
      <c r="Q90" s="2">
        <v>104.58620000000001</v>
      </c>
      <c r="R90" s="2">
        <v>248</v>
      </c>
      <c r="S90" s="2">
        <v>102.49299999999999</v>
      </c>
      <c r="T90" s="2">
        <v>181</v>
      </c>
      <c r="U90" s="2">
        <v>0.67779800000000001</v>
      </c>
      <c r="V90" s="2">
        <v>89</v>
      </c>
      <c r="W90" s="2">
        <v>2004</v>
      </c>
    </row>
    <row r="91" spans="1:23" ht="12.3" x14ac:dyDescent="0.4">
      <c r="A91" s="2" t="s">
        <v>177</v>
      </c>
      <c r="B91" s="2">
        <v>14</v>
      </c>
      <c r="C91" s="2"/>
      <c r="D91" s="2"/>
      <c r="E91" s="2"/>
      <c r="F91" s="2"/>
      <c r="G91" s="2"/>
      <c r="H91" s="2"/>
      <c r="I91" s="2">
        <v>66.016900000000007</v>
      </c>
      <c r="J91" s="2">
        <v>231</v>
      </c>
      <c r="K91" s="2">
        <v>64.545299999999997</v>
      </c>
      <c r="L91" s="2">
        <v>279</v>
      </c>
      <c r="M91" s="2">
        <v>106.3861</v>
      </c>
      <c r="N91" s="2">
        <v>70</v>
      </c>
      <c r="O91" s="2">
        <v>102.6353</v>
      </c>
      <c r="P91" s="2">
        <v>130</v>
      </c>
      <c r="Q91" s="2">
        <v>94.286600000000007</v>
      </c>
      <c r="R91" s="2">
        <v>35</v>
      </c>
      <c r="S91" s="2">
        <v>96.471400000000003</v>
      </c>
      <c r="T91" s="2">
        <v>65</v>
      </c>
      <c r="U91" s="2">
        <v>0.67090099999999997</v>
      </c>
      <c r="V91" s="2">
        <v>90</v>
      </c>
      <c r="W91" s="2">
        <v>2004</v>
      </c>
    </row>
    <row r="92" spans="1:23" ht="12.3" x14ac:dyDescent="0.4">
      <c r="A92" s="2" t="s">
        <v>148</v>
      </c>
      <c r="B92" s="2"/>
      <c r="C92" s="2"/>
      <c r="D92" s="2"/>
      <c r="E92" s="2"/>
      <c r="F92" s="2"/>
      <c r="G92" s="2"/>
      <c r="H92" s="2"/>
      <c r="I92" s="2">
        <v>67.489599999999996</v>
      </c>
      <c r="J92" s="2">
        <v>182</v>
      </c>
      <c r="K92" s="2">
        <v>66.830100000000002</v>
      </c>
      <c r="L92" s="2">
        <v>199</v>
      </c>
      <c r="M92" s="2">
        <v>101.5146</v>
      </c>
      <c r="N92" s="2">
        <v>152</v>
      </c>
      <c r="O92" s="2">
        <v>101.6233</v>
      </c>
      <c r="P92" s="2">
        <v>148</v>
      </c>
      <c r="Q92" s="2">
        <v>96.3904</v>
      </c>
      <c r="R92" s="2">
        <v>62</v>
      </c>
      <c r="S92" s="2">
        <v>95.618300000000005</v>
      </c>
      <c r="T92" s="2">
        <v>52</v>
      </c>
      <c r="U92" s="2">
        <v>0.66828600000000005</v>
      </c>
      <c r="V92" s="2">
        <v>91</v>
      </c>
      <c r="W92" s="2">
        <v>2004</v>
      </c>
    </row>
    <row r="93" spans="1:23" ht="12.3" x14ac:dyDescent="0.4">
      <c r="A93" s="2" t="s">
        <v>112</v>
      </c>
      <c r="B93" s="2"/>
      <c r="C93" s="2"/>
      <c r="D93" s="2"/>
      <c r="E93" s="2"/>
      <c r="F93" s="2"/>
      <c r="G93" s="2"/>
      <c r="H93" s="2"/>
      <c r="I93" s="2">
        <v>59.924799999999998</v>
      </c>
      <c r="J93" s="2">
        <v>321</v>
      </c>
      <c r="K93" s="2">
        <v>60.328800000000001</v>
      </c>
      <c r="L93" s="2">
        <v>321</v>
      </c>
      <c r="M93" s="2">
        <v>102.38420000000001</v>
      </c>
      <c r="N93" s="2">
        <v>125</v>
      </c>
      <c r="O93" s="2">
        <v>105.0025</v>
      </c>
      <c r="P93" s="2">
        <v>91</v>
      </c>
      <c r="Q93" s="2">
        <v>100.94710000000001</v>
      </c>
      <c r="R93" s="2">
        <v>152</v>
      </c>
      <c r="S93" s="2">
        <v>98.836100000000002</v>
      </c>
      <c r="T93" s="2">
        <v>108</v>
      </c>
      <c r="U93" s="2">
        <v>0.6673</v>
      </c>
      <c r="V93" s="2">
        <v>92</v>
      </c>
      <c r="W93" s="2">
        <v>2004</v>
      </c>
    </row>
    <row r="94" spans="1:23" ht="12.3" x14ac:dyDescent="0.4">
      <c r="A94" s="2" t="s">
        <v>258</v>
      </c>
      <c r="B94" s="2"/>
      <c r="C94" s="2"/>
      <c r="D94" s="2"/>
      <c r="E94" s="2"/>
      <c r="F94" s="2"/>
      <c r="G94" s="2"/>
      <c r="H94" s="2"/>
      <c r="I94" s="2">
        <v>66.533799999999999</v>
      </c>
      <c r="J94" s="2">
        <v>209</v>
      </c>
      <c r="K94" s="2">
        <v>65.711399999999998</v>
      </c>
      <c r="L94" s="2">
        <v>236</v>
      </c>
      <c r="M94" s="2">
        <v>102.0843</v>
      </c>
      <c r="N94" s="2">
        <v>133</v>
      </c>
      <c r="O94" s="2">
        <v>101.34439999999999</v>
      </c>
      <c r="P94" s="2">
        <v>156</v>
      </c>
      <c r="Q94" s="2">
        <v>96.542299999999997</v>
      </c>
      <c r="R94" s="2">
        <v>67</v>
      </c>
      <c r="S94" s="2">
        <v>95.393799999999999</v>
      </c>
      <c r="T94" s="2">
        <v>46</v>
      </c>
      <c r="U94" s="2">
        <v>0.66727400000000003</v>
      </c>
      <c r="V94" s="2">
        <v>93</v>
      </c>
      <c r="W94" s="2">
        <v>2004</v>
      </c>
    </row>
    <row r="95" spans="1:23" ht="12.3" x14ac:dyDescent="0.4">
      <c r="A95" s="2" t="s">
        <v>141</v>
      </c>
      <c r="B95" s="2"/>
      <c r="C95" s="2"/>
      <c r="D95" s="2"/>
      <c r="E95" s="2"/>
      <c r="F95" s="2"/>
      <c r="G95" s="2"/>
      <c r="H95" s="2"/>
      <c r="I95" s="2">
        <v>64.259799999999998</v>
      </c>
      <c r="J95" s="2">
        <v>283</v>
      </c>
      <c r="K95" s="2">
        <v>65.431399999999996</v>
      </c>
      <c r="L95" s="2">
        <v>246</v>
      </c>
      <c r="M95" s="2">
        <v>101.6669</v>
      </c>
      <c r="N95" s="2">
        <v>146</v>
      </c>
      <c r="O95" s="2">
        <v>103.2805</v>
      </c>
      <c r="P95" s="2">
        <v>116</v>
      </c>
      <c r="Q95" s="2">
        <v>97.018900000000002</v>
      </c>
      <c r="R95" s="2">
        <v>80</v>
      </c>
      <c r="S95" s="2">
        <v>97.263999999999996</v>
      </c>
      <c r="T95" s="2">
        <v>75</v>
      </c>
      <c r="U95" s="2">
        <v>0.66601600000000005</v>
      </c>
      <c r="V95" s="2">
        <v>94</v>
      </c>
      <c r="W95" s="2">
        <v>2004</v>
      </c>
    </row>
    <row r="96" spans="1:23" ht="12.3" x14ac:dyDescent="0.4">
      <c r="A96" s="2" t="s">
        <v>80</v>
      </c>
      <c r="B96" s="2"/>
      <c r="C96" s="2"/>
      <c r="D96" s="2"/>
      <c r="E96" s="2"/>
      <c r="F96" s="2"/>
      <c r="G96" s="2"/>
      <c r="H96" s="2"/>
      <c r="I96" s="2">
        <v>68.096900000000005</v>
      </c>
      <c r="J96" s="2">
        <v>156</v>
      </c>
      <c r="K96" s="2">
        <v>67.707499999999996</v>
      </c>
      <c r="L96" s="2">
        <v>164</v>
      </c>
      <c r="M96" s="2">
        <v>100.04430000000001</v>
      </c>
      <c r="N96" s="2">
        <v>181</v>
      </c>
      <c r="O96" s="2">
        <v>102.6584</v>
      </c>
      <c r="P96" s="2">
        <v>129</v>
      </c>
      <c r="Q96" s="2">
        <v>100.26600000000001</v>
      </c>
      <c r="R96" s="2">
        <v>135</v>
      </c>
      <c r="S96" s="2">
        <v>97.16</v>
      </c>
      <c r="T96" s="2">
        <v>73</v>
      </c>
      <c r="U96" s="2">
        <v>0.65318299999999996</v>
      </c>
      <c r="V96" s="2">
        <v>95</v>
      </c>
      <c r="W96" s="2">
        <v>2004</v>
      </c>
    </row>
    <row r="97" spans="1:23" ht="12.3" x14ac:dyDescent="0.4">
      <c r="A97" s="2" t="s">
        <v>244</v>
      </c>
      <c r="B97" s="2"/>
      <c r="C97" s="2"/>
      <c r="D97" s="2"/>
      <c r="E97" s="2"/>
      <c r="F97" s="2"/>
      <c r="G97" s="2"/>
      <c r="H97" s="2"/>
      <c r="I97" s="2">
        <v>66.255899999999997</v>
      </c>
      <c r="J97" s="2">
        <v>220</v>
      </c>
      <c r="K97" s="2">
        <v>65.419799999999995</v>
      </c>
      <c r="L97" s="2">
        <v>247</v>
      </c>
      <c r="M97" s="2">
        <v>107.09699999999999</v>
      </c>
      <c r="N97" s="2">
        <v>53</v>
      </c>
      <c r="O97" s="2">
        <v>104.41459999999999</v>
      </c>
      <c r="P97" s="2">
        <v>100</v>
      </c>
      <c r="Q97" s="2">
        <v>96.946200000000005</v>
      </c>
      <c r="R97" s="2">
        <v>78</v>
      </c>
      <c r="S97" s="2">
        <v>98.884799999999998</v>
      </c>
      <c r="T97" s="2">
        <v>109</v>
      </c>
      <c r="U97" s="2">
        <v>0.65152600000000005</v>
      </c>
      <c r="V97" s="2">
        <v>96</v>
      </c>
      <c r="W97" s="2">
        <v>2004</v>
      </c>
    </row>
    <row r="98" spans="1:23" ht="12.3" x14ac:dyDescent="0.4">
      <c r="A98" s="2" t="s">
        <v>176</v>
      </c>
      <c r="B98" s="2">
        <v>14</v>
      </c>
      <c r="C98" s="2"/>
      <c r="D98" s="2"/>
      <c r="E98" s="2"/>
      <c r="F98" s="2"/>
      <c r="G98" s="2"/>
      <c r="H98" s="2"/>
      <c r="I98" s="2">
        <v>58.133899999999997</v>
      </c>
      <c r="J98" s="2">
        <v>324</v>
      </c>
      <c r="K98" s="2">
        <v>58.349699999999999</v>
      </c>
      <c r="L98" s="2">
        <v>324</v>
      </c>
      <c r="M98" s="2">
        <v>105.82299999999999</v>
      </c>
      <c r="N98" s="2">
        <v>79</v>
      </c>
      <c r="O98" s="2">
        <v>104.8519</v>
      </c>
      <c r="P98" s="2">
        <v>96</v>
      </c>
      <c r="Q98" s="2">
        <v>96.420599999999993</v>
      </c>
      <c r="R98" s="2">
        <v>64</v>
      </c>
      <c r="S98" s="2">
        <v>99.353700000000003</v>
      </c>
      <c r="T98" s="2">
        <v>121</v>
      </c>
      <c r="U98" s="2">
        <v>0.65008699999999997</v>
      </c>
      <c r="V98" s="2">
        <v>97</v>
      </c>
      <c r="W98" s="2">
        <v>2004</v>
      </c>
    </row>
    <row r="99" spans="1:23" ht="12.3" x14ac:dyDescent="0.4">
      <c r="A99" s="2" t="s">
        <v>40</v>
      </c>
      <c r="B99" s="2"/>
      <c r="C99" s="2"/>
      <c r="D99" s="2"/>
      <c r="E99" s="2"/>
      <c r="F99" s="2"/>
      <c r="G99" s="2"/>
      <c r="H99" s="2"/>
      <c r="I99" s="2">
        <v>64.254400000000004</v>
      </c>
      <c r="J99" s="2">
        <v>284</v>
      </c>
      <c r="K99" s="2">
        <v>65.593900000000005</v>
      </c>
      <c r="L99" s="2">
        <v>239</v>
      </c>
      <c r="M99" s="2">
        <v>99.527600000000007</v>
      </c>
      <c r="N99" s="2">
        <v>195</v>
      </c>
      <c r="O99" s="2">
        <v>103.38500000000001</v>
      </c>
      <c r="P99" s="2">
        <v>113</v>
      </c>
      <c r="Q99" s="2">
        <v>103.4714</v>
      </c>
      <c r="R99" s="2">
        <v>215</v>
      </c>
      <c r="S99" s="2">
        <v>97.965000000000003</v>
      </c>
      <c r="T99" s="2">
        <v>85</v>
      </c>
      <c r="U99" s="2">
        <v>0.65005299999999999</v>
      </c>
      <c r="V99" s="2">
        <v>98</v>
      </c>
      <c r="W99" s="2">
        <v>2004</v>
      </c>
    </row>
    <row r="100" spans="1:23" ht="12.3" x14ac:dyDescent="0.4">
      <c r="A100" s="2" t="s">
        <v>210</v>
      </c>
      <c r="B100" s="2"/>
      <c r="C100" s="2"/>
      <c r="D100" s="2"/>
      <c r="E100" s="2"/>
      <c r="F100" s="2"/>
      <c r="G100" s="2"/>
      <c r="H100" s="2"/>
      <c r="I100" s="2">
        <v>69.099199999999996</v>
      </c>
      <c r="J100" s="2">
        <v>121</v>
      </c>
      <c r="K100" s="2">
        <v>69.191400000000002</v>
      </c>
      <c r="L100" s="2">
        <v>110</v>
      </c>
      <c r="M100" s="2">
        <v>104.8043</v>
      </c>
      <c r="N100" s="2">
        <v>90</v>
      </c>
      <c r="O100" s="2">
        <v>104.92319999999999</v>
      </c>
      <c r="P100" s="2">
        <v>95</v>
      </c>
      <c r="Q100" s="2">
        <v>96.899500000000003</v>
      </c>
      <c r="R100" s="2">
        <v>75</v>
      </c>
      <c r="S100" s="2">
        <v>99.476900000000001</v>
      </c>
      <c r="T100" s="2">
        <v>123</v>
      </c>
      <c r="U100" s="2">
        <v>0.648621</v>
      </c>
      <c r="V100" s="2">
        <v>99</v>
      </c>
      <c r="W100" s="2">
        <v>2004</v>
      </c>
    </row>
    <row r="101" spans="1:23" ht="12.3" x14ac:dyDescent="0.4">
      <c r="A101" s="2" t="s">
        <v>124</v>
      </c>
      <c r="B101" s="2"/>
      <c r="C101" s="2"/>
      <c r="D101" s="2"/>
      <c r="E101" s="2"/>
      <c r="F101" s="2"/>
      <c r="G101" s="2"/>
      <c r="H101" s="2"/>
      <c r="I101" s="2">
        <v>60.605699999999999</v>
      </c>
      <c r="J101" s="2">
        <v>316</v>
      </c>
      <c r="K101" s="2">
        <v>61.281500000000001</v>
      </c>
      <c r="L101" s="2">
        <v>314</v>
      </c>
      <c r="M101" s="2">
        <v>101.3934</v>
      </c>
      <c r="N101" s="2">
        <v>155</v>
      </c>
      <c r="O101" s="2">
        <v>103.4106</v>
      </c>
      <c r="P101" s="2">
        <v>111</v>
      </c>
      <c r="Q101" s="2">
        <v>103.3377</v>
      </c>
      <c r="R101" s="2">
        <v>212</v>
      </c>
      <c r="S101" s="2">
        <v>98.260599999999997</v>
      </c>
      <c r="T101" s="2">
        <v>95</v>
      </c>
      <c r="U101" s="2">
        <v>0.64278299999999999</v>
      </c>
      <c r="V101" s="2">
        <v>100</v>
      </c>
      <c r="W101" s="2">
        <v>2004</v>
      </c>
    </row>
    <row r="102" spans="1:23" ht="12.3" x14ac:dyDescent="0.4">
      <c r="A102" s="2" t="s">
        <v>227</v>
      </c>
      <c r="B102" s="2"/>
      <c r="C102" s="2"/>
      <c r="D102" s="2"/>
      <c r="E102" s="2"/>
      <c r="F102" s="2"/>
      <c r="G102" s="2"/>
      <c r="H102" s="2"/>
      <c r="I102" s="2">
        <v>64.290599999999998</v>
      </c>
      <c r="J102" s="2">
        <v>281</v>
      </c>
      <c r="K102" s="2">
        <v>63.545699999999997</v>
      </c>
      <c r="L102" s="2">
        <v>298</v>
      </c>
      <c r="M102" s="2">
        <v>100.08799999999999</v>
      </c>
      <c r="N102" s="2">
        <v>179</v>
      </c>
      <c r="O102" s="2">
        <v>98.003399999999999</v>
      </c>
      <c r="P102" s="2">
        <v>225</v>
      </c>
      <c r="Q102" s="2">
        <v>95.183899999999994</v>
      </c>
      <c r="R102" s="2">
        <v>45</v>
      </c>
      <c r="S102" s="2">
        <v>93.124700000000004</v>
      </c>
      <c r="T102" s="2">
        <v>23</v>
      </c>
      <c r="U102" s="2">
        <v>0.64272700000000005</v>
      </c>
      <c r="V102" s="2">
        <v>101</v>
      </c>
      <c r="W102" s="2">
        <v>2004</v>
      </c>
    </row>
    <row r="103" spans="1:23" ht="12.3" x14ac:dyDescent="0.4">
      <c r="A103" s="2" t="s">
        <v>190</v>
      </c>
      <c r="B103" s="2"/>
      <c r="C103" s="2"/>
      <c r="D103" s="2"/>
      <c r="E103" s="2"/>
      <c r="F103" s="2"/>
      <c r="G103" s="2"/>
      <c r="H103" s="2"/>
      <c r="I103" s="2">
        <v>71.270700000000005</v>
      </c>
      <c r="J103" s="2">
        <v>45</v>
      </c>
      <c r="K103" s="2">
        <v>70.838300000000004</v>
      </c>
      <c r="L103" s="2">
        <v>51</v>
      </c>
      <c r="M103" s="2">
        <v>101.7726</v>
      </c>
      <c r="N103" s="2">
        <v>141</v>
      </c>
      <c r="O103" s="2">
        <v>103.0043</v>
      </c>
      <c r="P103" s="2">
        <v>123</v>
      </c>
      <c r="Q103" s="2">
        <v>96.892899999999997</v>
      </c>
      <c r="R103" s="2">
        <v>74</v>
      </c>
      <c r="S103" s="2">
        <v>97.994200000000006</v>
      </c>
      <c r="T103" s="2">
        <v>88</v>
      </c>
      <c r="U103" s="2">
        <v>0.63955200000000001</v>
      </c>
      <c r="V103" s="2">
        <v>102</v>
      </c>
      <c r="W103" s="2">
        <v>2004</v>
      </c>
    </row>
    <row r="104" spans="1:23" ht="12.3" x14ac:dyDescent="0.4">
      <c r="A104" s="2" t="s">
        <v>229</v>
      </c>
      <c r="B104" s="2"/>
      <c r="C104" s="2"/>
      <c r="D104" s="2"/>
      <c r="E104" s="2"/>
      <c r="F104" s="2"/>
      <c r="G104" s="2"/>
      <c r="H104" s="2"/>
      <c r="I104" s="2">
        <v>63.905900000000003</v>
      </c>
      <c r="J104" s="2">
        <v>290</v>
      </c>
      <c r="K104" s="2">
        <v>63.5625</v>
      </c>
      <c r="L104" s="2">
        <v>297</v>
      </c>
      <c r="M104" s="2">
        <v>101.00409999999999</v>
      </c>
      <c r="N104" s="2">
        <v>163</v>
      </c>
      <c r="O104" s="2">
        <v>103.1909</v>
      </c>
      <c r="P104" s="2">
        <v>119</v>
      </c>
      <c r="Q104" s="2">
        <v>102.6994</v>
      </c>
      <c r="R104" s="2">
        <v>192</v>
      </c>
      <c r="S104" s="2">
        <v>98.386899999999997</v>
      </c>
      <c r="T104" s="2">
        <v>98</v>
      </c>
      <c r="U104" s="2">
        <v>0.63372799999999996</v>
      </c>
      <c r="V104" s="2">
        <v>103</v>
      </c>
      <c r="W104" s="2">
        <v>2004</v>
      </c>
    </row>
    <row r="105" spans="1:23" ht="12.3" x14ac:dyDescent="0.4">
      <c r="A105" s="2" t="s">
        <v>213</v>
      </c>
      <c r="B105" s="2"/>
      <c r="C105" s="2"/>
      <c r="D105" s="2"/>
      <c r="E105" s="2"/>
      <c r="F105" s="2"/>
      <c r="G105" s="2"/>
      <c r="H105" s="2"/>
      <c r="I105" s="2">
        <v>70.684100000000001</v>
      </c>
      <c r="J105" s="2">
        <v>62</v>
      </c>
      <c r="K105" s="2">
        <v>70.846999999999994</v>
      </c>
      <c r="L105" s="2">
        <v>50</v>
      </c>
      <c r="M105" s="2">
        <v>106.6656</v>
      </c>
      <c r="N105" s="2">
        <v>67</v>
      </c>
      <c r="O105" s="2">
        <v>106.7192</v>
      </c>
      <c r="P105" s="2">
        <v>73</v>
      </c>
      <c r="Q105" s="2">
        <v>101.0188</v>
      </c>
      <c r="R105" s="2">
        <v>153</v>
      </c>
      <c r="S105" s="2">
        <v>101.8683</v>
      </c>
      <c r="T105" s="2">
        <v>172</v>
      </c>
      <c r="U105" s="2">
        <v>0.63064399999999998</v>
      </c>
      <c r="V105" s="2">
        <v>104</v>
      </c>
      <c r="W105" s="2">
        <v>2004</v>
      </c>
    </row>
    <row r="106" spans="1:23" ht="12.3" x14ac:dyDescent="0.4">
      <c r="A106" s="2" t="s">
        <v>39</v>
      </c>
      <c r="B106" s="2"/>
      <c r="C106" s="2"/>
      <c r="D106" s="2"/>
      <c r="E106" s="2"/>
      <c r="F106" s="2"/>
      <c r="G106" s="2"/>
      <c r="H106" s="2"/>
      <c r="I106" s="2">
        <v>66.478700000000003</v>
      </c>
      <c r="J106" s="2">
        <v>214</v>
      </c>
      <c r="K106" s="2">
        <v>66.096699999999998</v>
      </c>
      <c r="L106" s="2">
        <v>220</v>
      </c>
      <c r="M106" s="2">
        <v>106.8151</v>
      </c>
      <c r="N106" s="2">
        <v>63</v>
      </c>
      <c r="O106" s="2">
        <v>110.50960000000001</v>
      </c>
      <c r="P106" s="2">
        <v>29</v>
      </c>
      <c r="Q106" s="2">
        <v>103.85720000000001</v>
      </c>
      <c r="R106" s="2">
        <v>228</v>
      </c>
      <c r="S106" s="2">
        <v>105.58750000000001</v>
      </c>
      <c r="T106" s="2">
        <v>253</v>
      </c>
      <c r="U106" s="2">
        <v>0.62807599999999997</v>
      </c>
      <c r="V106" s="2">
        <v>105</v>
      </c>
      <c r="W106" s="2">
        <v>2004</v>
      </c>
    </row>
    <row r="107" spans="1:23" ht="12.3" x14ac:dyDescent="0.4">
      <c r="A107" s="2" t="s">
        <v>203</v>
      </c>
      <c r="B107" s="2"/>
      <c r="C107" s="2"/>
      <c r="D107" s="2"/>
      <c r="E107" s="2"/>
      <c r="F107" s="2"/>
      <c r="G107" s="2"/>
      <c r="H107" s="2"/>
      <c r="I107" s="2">
        <v>64.428700000000006</v>
      </c>
      <c r="J107" s="2">
        <v>275</v>
      </c>
      <c r="K107" s="2">
        <v>65.151499999999999</v>
      </c>
      <c r="L107" s="2">
        <v>262</v>
      </c>
      <c r="M107" s="2">
        <v>103.2283</v>
      </c>
      <c r="N107" s="2">
        <v>108</v>
      </c>
      <c r="O107" s="2">
        <v>101.4927</v>
      </c>
      <c r="P107" s="2">
        <v>153</v>
      </c>
      <c r="Q107" s="2">
        <v>90.897999999999996</v>
      </c>
      <c r="R107" s="2">
        <v>7</v>
      </c>
      <c r="S107" s="2">
        <v>96.998199999999997</v>
      </c>
      <c r="T107" s="2">
        <v>70</v>
      </c>
      <c r="U107" s="2">
        <v>0.62735399999999997</v>
      </c>
      <c r="V107" s="2">
        <v>106</v>
      </c>
      <c r="W107" s="2">
        <v>2004</v>
      </c>
    </row>
    <row r="108" spans="1:23" ht="12.3" x14ac:dyDescent="0.4">
      <c r="A108" s="2" t="s">
        <v>194</v>
      </c>
      <c r="B108" s="2"/>
      <c r="C108" s="2"/>
      <c r="D108" s="2"/>
      <c r="E108" s="2"/>
      <c r="F108" s="2"/>
      <c r="G108" s="2"/>
      <c r="H108" s="2"/>
      <c r="I108" s="2">
        <v>71.834199999999996</v>
      </c>
      <c r="J108" s="2">
        <v>33</v>
      </c>
      <c r="K108" s="2">
        <v>71.496099999999998</v>
      </c>
      <c r="L108" s="2">
        <v>32</v>
      </c>
      <c r="M108" s="2">
        <v>111.35080000000001</v>
      </c>
      <c r="N108" s="2">
        <v>16</v>
      </c>
      <c r="O108" s="2">
        <v>109.0574</v>
      </c>
      <c r="P108" s="2">
        <v>49</v>
      </c>
      <c r="Q108" s="2">
        <v>102.17319999999999</v>
      </c>
      <c r="R108" s="2">
        <v>180</v>
      </c>
      <c r="S108" s="2">
        <v>104.2812</v>
      </c>
      <c r="T108" s="2">
        <v>219</v>
      </c>
      <c r="U108" s="2">
        <v>0.62597800000000003</v>
      </c>
      <c r="V108" s="2">
        <v>107</v>
      </c>
      <c r="W108" s="2">
        <v>2004</v>
      </c>
    </row>
    <row r="109" spans="1:23" ht="12.3" x14ac:dyDescent="0.4">
      <c r="A109" s="2" t="s">
        <v>186</v>
      </c>
      <c r="B109" s="2"/>
      <c r="C109" s="2"/>
      <c r="D109" s="2"/>
      <c r="E109" s="2"/>
      <c r="F109" s="2"/>
      <c r="G109" s="2"/>
      <c r="H109" s="2"/>
      <c r="I109" s="2">
        <v>71.693100000000001</v>
      </c>
      <c r="J109" s="2">
        <v>35</v>
      </c>
      <c r="K109" s="2">
        <v>71.099999999999994</v>
      </c>
      <c r="L109" s="2">
        <v>43</v>
      </c>
      <c r="M109" s="2">
        <v>106.7637</v>
      </c>
      <c r="N109" s="2">
        <v>64</v>
      </c>
      <c r="O109" s="2">
        <v>107.52970000000001</v>
      </c>
      <c r="P109" s="2">
        <v>65</v>
      </c>
      <c r="Q109" s="2">
        <v>104.2988</v>
      </c>
      <c r="R109" s="2">
        <v>243</v>
      </c>
      <c r="S109" s="2">
        <v>103.0313</v>
      </c>
      <c r="T109" s="2">
        <v>188</v>
      </c>
      <c r="U109" s="2">
        <v>0.62044699999999997</v>
      </c>
      <c r="V109" s="2">
        <v>108</v>
      </c>
      <c r="W109" s="2">
        <v>2004</v>
      </c>
    </row>
    <row r="110" spans="1:23" ht="12.3" x14ac:dyDescent="0.4">
      <c r="A110" s="2" t="s">
        <v>221</v>
      </c>
      <c r="B110" s="2"/>
      <c r="C110" s="2"/>
      <c r="D110" s="2"/>
      <c r="E110" s="2"/>
      <c r="F110" s="2"/>
      <c r="G110" s="2"/>
      <c r="H110" s="2"/>
      <c r="I110" s="2">
        <v>65.232799999999997</v>
      </c>
      <c r="J110" s="2">
        <v>255</v>
      </c>
      <c r="K110" s="2">
        <v>64.260999999999996</v>
      </c>
      <c r="L110" s="2">
        <v>283</v>
      </c>
      <c r="M110" s="2">
        <v>101.6786</v>
      </c>
      <c r="N110" s="2">
        <v>144</v>
      </c>
      <c r="O110" s="2">
        <v>99.733699999999999</v>
      </c>
      <c r="P110" s="2">
        <v>186</v>
      </c>
      <c r="Q110" s="2">
        <v>95.878699999999995</v>
      </c>
      <c r="R110" s="2">
        <v>52</v>
      </c>
      <c r="S110" s="2">
        <v>95.571600000000004</v>
      </c>
      <c r="T110" s="2">
        <v>50</v>
      </c>
      <c r="U110" s="2">
        <v>0.62015900000000002</v>
      </c>
      <c r="V110" s="2">
        <v>109</v>
      </c>
      <c r="W110" s="2">
        <v>2004</v>
      </c>
    </row>
    <row r="111" spans="1:23" ht="12.3" x14ac:dyDescent="0.4">
      <c r="A111" s="2" t="s">
        <v>24</v>
      </c>
      <c r="B111" s="2"/>
      <c r="C111" s="2"/>
      <c r="D111" s="2"/>
      <c r="E111" s="2"/>
      <c r="F111" s="2"/>
      <c r="G111" s="2"/>
      <c r="H111" s="2"/>
      <c r="I111" s="2">
        <v>68.874300000000005</v>
      </c>
      <c r="J111" s="2">
        <v>129</v>
      </c>
      <c r="K111" s="2">
        <v>66.409199999999998</v>
      </c>
      <c r="L111" s="2">
        <v>208</v>
      </c>
      <c r="M111" s="2">
        <v>94.065700000000007</v>
      </c>
      <c r="N111" s="2">
        <v>286</v>
      </c>
      <c r="O111" s="2">
        <v>99.037099999999995</v>
      </c>
      <c r="P111" s="2">
        <v>208</v>
      </c>
      <c r="Q111" s="2">
        <v>102.3548</v>
      </c>
      <c r="R111" s="2">
        <v>185</v>
      </c>
      <c r="S111" s="2">
        <v>95.325699999999998</v>
      </c>
      <c r="T111" s="2">
        <v>45</v>
      </c>
      <c r="U111" s="2">
        <v>0.60807800000000001</v>
      </c>
      <c r="V111" s="2">
        <v>110</v>
      </c>
      <c r="W111" s="2">
        <v>2004</v>
      </c>
    </row>
    <row r="112" spans="1:23" ht="12.3" x14ac:dyDescent="0.4">
      <c r="A112" s="2" t="s">
        <v>206</v>
      </c>
      <c r="B112" s="2"/>
      <c r="C112" s="2"/>
      <c r="D112" s="2"/>
      <c r="E112" s="2"/>
      <c r="F112" s="2"/>
      <c r="G112" s="2"/>
      <c r="H112" s="2"/>
      <c r="I112" s="2">
        <v>68.371899999999997</v>
      </c>
      <c r="J112" s="2">
        <v>147</v>
      </c>
      <c r="K112" s="2">
        <v>67.169499999999999</v>
      </c>
      <c r="L112" s="2">
        <v>186</v>
      </c>
      <c r="M112" s="2">
        <v>100.9166</v>
      </c>
      <c r="N112" s="2">
        <v>166</v>
      </c>
      <c r="O112" s="2">
        <v>102.9332</v>
      </c>
      <c r="P112" s="2">
        <v>124</v>
      </c>
      <c r="Q112" s="2">
        <v>97.191500000000005</v>
      </c>
      <c r="R112" s="2">
        <v>83</v>
      </c>
      <c r="S112" s="2">
        <v>99.204400000000007</v>
      </c>
      <c r="T112" s="2">
        <v>117</v>
      </c>
      <c r="U112" s="2">
        <v>0.60451699999999997</v>
      </c>
      <c r="V112" s="2">
        <v>111</v>
      </c>
      <c r="W112" s="2">
        <v>2004</v>
      </c>
    </row>
    <row r="113" spans="1:23" ht="12.3" x14ac:dyDescent="0.4">
      <c r="A113" s="2" t="s">
        <v>68</v>
      </c>
      <c r="B113" s="2"/>
      <c r="C113" s="2"/>
      <c r="D113" s="2"/>
      <c r="E113" s="2"/>
      <c r="F113" s="2"/>
      <c r="G113" s="2"/>
      <c r="H113" s="2"/>
      <c r="I113" s="2">
        <v>67.895700000000005</v>
      </c>
      <c r="J113" s="2">
        <v>165</v>
      </c>
      <c r="K113" s="2">
        <v>68.029600000000002</v>
      </c>
      <c r="L113" s="2">
        <v>155</v>
      </c>
      <c r="M113" s="2">
        <v>107.973</v>
      </c>
      <c r="N113" s="2">
        <v>43</v>
      </c>
      <c r="O113" s="2">
        <v>108.8182</v>
      </c>
      <c r="P113" s="2">
        <v>52</v>
      </c>
      <c r="Q113" s="2">
        <v>104.8999</v>
      </c>
      <c r="R113" s="2">
        <v>253</v>
      </c>
      <c r="S113" s="2">
        <v>105.08920000000001</v>
      </c>
      <c r="T113" s="2">
        <v>241</v>
      </c>
      <c r="U113" s="2">
        <v>0.59892699999999999</v>
      </c>
      <c r="V113" s="2">
        <v>112</v>
      </c>
      <c r="W113" s="2">
        <v>2004</v>
      </c>
    </row>
    <row r="114" spans="1:23" ht="12.3" x14ac:dyDescent="0.4">
      <c r="A114" s="2" t="s">
        <v>115</v>
      </c>
      <c r="B114" s="2"/>
      <c r="C114" s="2"/>
      <c r="D114" s="2"/>
      <c r="E114" s="2"/>
      <c r="F114" s="2"/>
      <c r="G114" s="2"/>
      <c r="H114" s="2"/>
      <c r="I114" s="2">
        <v>63.475000000000001</v>
      </c>
      <c r="J114" s="2">
        <v>298</v>
      </c>
      <c r="K114" s="2">
        <v>63.622399999999999</v>
      </c>
      <c r="L114" s="2">
        <v>295</v>
      </c>
      <c r="M114" s="2">
        <v>106.8845</v>
      </c>
      <c r="N114" s="2">
        <v>62</v>
      </c>
      <c r="O114" s="2">
        <v>107.93940000000001</v>
      </c>
      <c r="P114" s="2">
        <v>61</v>
      </c>
      <c r="Q114" s="2">
        <v>105.6837</v>
      </c>
      <c r="R114" s="2">
        <v>269</v>
      </c>
      <c r="S114" s="2">
        <v>104.27209999999999</v>
      </c>
      <c r="T114" s="2">
        <v>218</v>
      </c>
      <c r="U114" s="2">
        <v>0.59808700000000004</v>
      </c>
      <c r="V114" s="2">
        <v>113</v>
      </c>
      <c r="W114" s="2">
        <v>2004</v>
      </c>
    </row>
    <row r="115" spans="1:23" ht="12.3" x14ac:dyDescent="0.4">
      <c r="A115" s="2" t="s">
        <v>105</v>
      </c>
      <c r="B115" s="2"/>
      <c r="C115" s="2"/>
      <c r="D115" s="2"/>
      <c r="E115" s="2"/>
      <c r="F115" s="2"/>
      <c r="G115" s="2"/>
      <c r="H115" s="2"/>
      <c r="I115" s="2">
        <v>70.693100000000001</v>
      </c>
      <c r="J115" s="2">
        <v>60</v>
      </c>
      <c r="K115" s="2">
        <v>69.644499999999994</v>
      </c>
      <c r="L115" s="2">
        <v>92</v>
      </c>
      <c r="M115" s="2">
        <v>103.6871</v>
      </c>
      <c r="N115" s="2">
        <v>101</v>
      </c>
      <c r="O115" s="2">
        <v>103.0996</v>
      </c>
      <c r="P115" s="2">
        <v>120</v>
      </c>
      <c r="Q115" s="2">
        <v>96.412999999999997</v>
      </c>
      <c r="R115" s="2">
        <v>63</v>
      </c>
      <c r="S115" s="2">
        <v>99.750799999999998</v>
      </c>
      <c r="T115" s="2">
        <v>128</v>
      </c>
      <c r="U115" s="2">
        <v>0.593808</v>
      </c>
      <c r="V115" s="2">
        <v>114</v>
      </c>
      <c r="W115" s="2">
        <v>2004</v>
      </c>
    </row>
    <row r="116" spans="1:23" ht="12.3" x14ac:dyDescent="0.4">
      <c r="A116" s="2" t="s">
        <v>94</v>
      </c>
      <c r="B116" s="2"/>
      <c r="C116" s="2"/>
      <c r="D116" s="2"/>
      <c r="E116" s="2"/>
      <c r="F116" s="2"/>
      <c r="G116" s="2"/>
      <c r="H116" s="2"/>
      <c r="I116" s="2">
        <v>66.996300000000005</v>
      </c>
      <c r="J116" s="2">
        <v>195</v>
      </c>
      <c r="K116" s="2">
        <v>66.672300000000007</v>
      </c>
      <c r="L116" s="2">
        <v>202</v>
      </c>
      <c r="M116" s="2">
        <v>98.020799999999994</v>
      </c>
      <c r="N116" s="2">
        <v>231</v>
      </c>
      <c r="O116" s="2">
        <v>100.6951</v>
      </c>
      <c r="P116" s="2">
        <v>168</v>
      </c>
      <c r="Q116" s="2">
        <v>98.802899999999994</v>
      </c>
      <c r="R116" s="2">
        <v>107</v>
      </c>
      <c r="S116" s="2">
        <v>97.528800000000004</v>
      </c>
      <c r="T116" s="2">
        <v>81</v>
      </c>
      <c r="U116" s="2">
        <v>0.590835</v>
      </c>
      <c r="V116" s="2">
        <v>115</v>
      </c>
      <c r="W116" s="2">
        <v>2004</v>
      </c>
    </row>
    <row r="117" spans="1:23" ht="12.3" x14ac:dyDescent="0.4">
      <c r="A117" s="2" t="s">
        <v>57</v>
      </c>
      <c r="B117" s="2"/>
      <c r="C117" s="2"/>
      <c r="D117" s="2"/>
      <c r="E117" s="2"/>
      <c r="F117" s="2"/>
      <c r="G117" s="2"/>
      <c r="H117" s="2"/>
      <c r="I117" s="2">
        <v>66.596000000000004</v>
      </c>
      <c r="J117" s="2">
        <v>206</v>
      </c>
      <c r="K117" s="2">
        <v>66.204700000000003</v>
      </c>
      <c r="L117" s="2">
        <v>216</v>
      </c>
      <c r="M117" s="2">
        <v>99.658299999999997</v>
      </c>
      <c r="N117" s="2">
        <v>189</v>
      </c>
      <c r="O117" s="2">
        <v>101.32</v>
      </c>
      <c r="P117" s="2">
        <v>158</v>
      </c>
      <c r="Q117" s="2">
        <v>100.4509</v>
      </c>
      <c r="R117" s="2">
        <v>141</v>
      </c>
      <c r="S117" s="2">
        <v>98.142899999999997</v>
      </c>
      <c r="T117" s="2">
        <v>92</v>
      </c>
      <c r="U117" s="2">
        <v>0.59058299999999997</v>
      </c>
      <c r="V117" s="2">
        <v>116</v>
      </c>
      <c r="W117" s="2">
        <v>2004</v>
      </c>
    </row>
    <row r="118" spans="1:23" ht="12.3" x14ac:dyDescent="0.4">
      <c r="A118" s="2" t="s">
        <v>159</v>
      </c>
      <c r="B118" s="2"/>
      <c r="C118" s="2"/>
      <c r="D118" s="2"/>
      <c r="E118" s="2"/>
      <c r="F118" s="2"/>
      <c r="G118" s="2"/>
      <c r="H118" s="2"/>
      <c r="I118" s="2">
        <v>67.990600000000001</v>
      </c>
      <c r="J118" s="2">
        <v>162</v>
      </c>
      <c r="K118" s="2">
        <v>68.364699999999999</v>
      </c>
      <c r="L118" s="2">
        <v>137</v>
      </c>
      <c r="M118" s="2">
        <v>97.279899999999998</v>
      </c>
      <c r="N118" s="2">
        <v>249</v>
      </c>
      <c r="O118" s="2">
        <v>99.615899999999996</v>
      </c>
      <c r="P118" s="2">
        <v>189</v>
      </c>
      <c r="Q118" s="2">
        <v>99.174400000000006</v>
      </c>
      <c r="R118" s="2">
        <v>115</v>
      </c>
      <c r="S118" s="2">
        <v>96.5548</v>
      </c>
      <c r="T118" s="2">
        <v>67</v>
      </c>
      <c r="U118" s="2">
        <v>0.588781</v>
      </c>
      <c r="V118" s="2">
        <v>117</v>
      </c>
      <c r="W118" s="2">
        <v>2004</v>
      </c>
    </row>
    <row r="119" spans="1:23" ht="12.3" x14ac:dyDescent="0.4">
      <c r="A119" s="2" t="s">
        <v>199</v>
      </c>
      <c r="B119" s="2"/>
      <c r="C119" s="2"/>
      <c r="D119" s="2"/>
      <c r="E119" s="2"/>
      <c r="F119" s="2"/>
      <c r="G119" s="2"/>
      <c r="H119" s="2"/>
      <c r="I119" s="2">
        <v>66.428700000000006</v>
      </c>
      <c r="J119" s="2">
        <v>215</v>
      </c>
      <c r="K119" s="2">
        <v>66.0595</v>
      </c>
      <c r="L119" s="2">
        <v>224</v>
      </c>
      <c r="M119" s="2">
        <v>111.41030000000001</v>
      </c>
      <c r="N119" s="2">
        <v>15</v>
      </c>
      <c r="O119" s="2">
        <v>108.512</v>
      </c>
      <c r="P119" s="2">
        <v>56</v>
      </c>
      <c r="Q119" s="2">
        <v>105.6054</v>
      </c>
      <c r="R119" s="2">
        <v>266</v>
      </c>
      <c r="S119" s="2">
        <v>105.1883</v>
      </c>
      <c r="T119" s="2">
        <v>242</v>
      </c>
      <c r="U119" s="2">
        <v>0.58849499999999999</v>
      </c>
      <c r="V119" s="2">
        <v>118</v>
      </c>
      <c r="W119" s="2">
        <v>2004</v>
      </c>
    </row>
    <row r="120" spans="1:23" ht="12.3" x14ac:dyDescent="0.4">
      <c r="A120" s="2" t="s">
        <v>60</v>
      </c>
      <c r="B120" s="2"/>
      <c r="C120" s="2"/>
      <c r="D120" s="2"/>
      <c r="E120" s="2"/>
      <c r="F120" s="2"/>
      <c r="G120" s="2"/>
      <c r="H120" s="2"/>
      <c r="I120" s="2">
        <v>68.103499999999997</v>
      </c>
      <c r="J120" s="2">
        <v>154</v>
      </c>
      <c r="K120" s="2">
        <v>67.303299999999993</v>
      </c>
      <c r="L120" s="2">
        <v>180</v>
      </c>
      <c r="M120" s="2">
        <v>102.4111</v>
      </c>
      <c r="N120" s="2">
        <v>123</v>
      </c>
      <c r="O120" s="2">
        <v>104.7831</v>
      </c>
      <c r="P120" s="2">
        <v>97</v>
      </c>
      <c r="Q120" s="2">
        <v>99.722499999999997</v>
      </c>
      <c r="R120" s="2">
        <v>122</v>
      </c>
      <c r="S120" s="2">
        <v>101.6551</v>
      </c>
      <c r="T120" s="2">
        <v>167</v>
      </c>
      <c r="U120" s="2">
        <v>0.58626299999999998</v>
      </c>
      <c r="V120" s="2">
        <v>119</v>
      </c>
      <c r="W120" s="2">
        <v>2004</v>
      </c>
    </row>
    <row r="121" spans="1:23" ht="12.3" x14ac:dyDescent="0.4">
      <c r="A121" s="2" t="s">
        <v>83</v>
      </c>
      <c r="B121" s="2"/>
      <c r="C121" s="2"/>
      <c r="D121" s="2"/>
      <c r="E121" s="2"/>
      <c r="F121" s="2"/>
      <c r="G121" s="2"/>
      <c r="H121" s="2"/>
      <c r="I121" s="2">
        <v>63.082299999999996</v>
      </c>
      <c r="J121" s="2">
        <v>307</v>
      </c>
      <c r="K121" s="2">
        <v>61.552900000000001</v>
      </c>
      <c r="L121" s="2">
        <v>313</v>
      </c>
      <c r="M121" s="2">
        <v>96.598799999999997</v>
      </c>
      <c r="N121" s="2">
        <v>259</v>
      </c>
      <c r="O121" s="2">
        <v>96.745900000000006</v>
      </c>
      <c r="P121" s="2">
        <v>250</v>
      </c>
      <c r="Q121" s="2">
        <v>93.227099999999993</v>
      </c>
      <c r="R121" s="2">
        <v>21</v>
      </c>
      <c r="S121" s="2">
        <v>93.862700000000004</v>
      </c>
      <c r="T121" s="2">
        <v>29</v>
      </c>
      <c r="U121" s="2">
        <v>0.586117</v>
      </c>
      <c r="V121" s="2">
        <v>120</v>
      </c>
      <c r="W121" s="2">
        <v>2004</v>
      </c>
    </row>
    <row r="122" spans="1:23" ht="12.3" x14ac:dyDescent="0.4">
      <c r="A122" s="2" t="s">
        <v>79</v>
      </c>
      <c r="B122" s="2"/>
      <c r="C122" s="2"/>
      <c r="D122" s="2"/>
      <c r="E122" s="2"/>
      <c r="F122" s="2"/>
      <c r="G122" s="2"/>
      <c r="H122" s="2"/>
      <c r="I122" s="2">
        <v>71.066699999999997</v>
      </c>
      <c r="J122" s="2">
        <v>47</v>
      </c>
      <c r="K122" s="2">
        <v>71.430000000000007</v>
      </c>
      <c r="L122" s="2">
        <v>34</v>
      </c>
      <c r="M122" s="2">
        <v>110.1157</v>
      </c>
      <c r="N122" s="2">
        <v>23</v>
      </c>
      <c r="O122" s="2">
        <v>111.12520000000001</v>
      </c>
      <c r="P122" s="2">
        <v>28</v>
      </c>
      <c r="Q122" s="2">
        <v>110.6866</v>
      </c>
      <c r="R122" s="2">
        <v>318</v>
      </c>
      <c r="S122" s="2">
        <v>108.1284</v>
      </c>
      <c r="T122" s="2">
        <v>292</v>
      </c>
      <c r="U122" s="2">
        <v>0.57795399999999997</v>
      </c>
      <c r="V122" s="2">
        <v>121</v>
      </c>
      <c r="W122" s="2">
        <v>2004</v>
      </c>
    </row>
    <row r="123" spans="1:23" ht="12.3" x14ac:dyDescent="0.4">
      <c r="A123" s="2" t="s">
        <v>97</v>
      </c>
      <c r="B123" s="2"/>
      <c r="C123" s="2"/>
      <c r="D123" s="2"/>
      <c r="E123" s="2"/>
      <c r="F123" s="2"/>
      <c r="G123" s="2"/>
      <c r="H123" s="2"/>
      <c r="I123" s="2">
        <v>68.399199999999993</v>
      </c>
      <c r="J123" s="2">
        <v>145</v>
      </c>
      <c r="K123" s="2">
        <v>68.963399999999993</v>
      </c>
      <c r="L123" s="2">
        <v>119</v>
      </c>
      <c r="M123" s="2">
        <v>101.5145</v>
      </c>
      <c r="N123" s="2">
        <v>153</v>
      </c>
      <c r="O123" s="2">
        <v>101.8707</v>
      </c>
      <c r="P123" s="2">
        <v>143</v>
      </c>
      <c r="Q123" s="2">
        <v>103.07550000000001</v>
      </c>
      <c r="R123" s="2">
        <v>203</v>
      </c>
      <c r="S123" s="2">
        <v>99.130300000000005</v>
      </c>
      <c r="T123" s="2">
        <v>116</v>
      </c>
      <c r="U123" s="2">
        <v>0.577762</v>
      </c>
      <c r="V123" s="2">
        <v>122</v>
      </c>
      <c r="W123" s="2">
        <v>2004</v>
      </c>
    </row>
    <row r="124" spans="1:23" ht="12.3" x14ac:dyDescent="0.4">
      <c r="A124" s="2" t="s">
        <v>51</v>
      </c>
      <c r="B124" s="2"/>
      <c r="C124" s="2"/>
      <c r="D124" s="2"/>
      <c r="E124" s="2"/>
      <c r="F124" s="2"/>
      <c r="G124" s="2"/>
      <c r="H124" s="2"/>
      <c r="I124" s="2">
        <v>64.749600000000001</v>
      </c>
      <c r="J124" s="2">
        <v>264</v>
      </c>
      <c r="K124" s="2">
        <v>65.030900000000003</v>
      </c>
      <c r="L124" s="2">
        <v>266</v>
      </c>
      <c r="M124" s="2">
        <v>97.795400000000001</v>
      </c>
      <c r="N124" s="2">
        <v>238</v>
      </c>
      <c r="O124" s="2">
        <v>100.0915</v>
      </c>
      <c r="P124" s="2">
        <v>175</v>
      </c>
      <c r="Q124" s="2">
        <v>100.9207</v>
      </c>
      <c r="R124" s="2">
        <v>151</v>
      </c>
      <c r="S124" s="2">
        <v>97.401399999999995</v>
      </c>
      <c r="T124" s="2">
        <v>79</v>
      </c>
      <c r="U124" s="2">
        <v>0.57769300000000001</v>
      </c>
      <c r="V124" s="2">
        <v>123</v>
      </c>
      <c r="W124" s="2">
        <v>2004</v>
      </c>
    </row>
    <row r="125" spans="1:23" ht="12.3" x14ac:dyDescent="0.4">
      <c r="A125" s="2" t="s">
        <v>228</v>
      </c>
      <c r="B125" s="2"/>
      <c r="C125" s="2"/>
      <c r="D125" s="2"/>
      <c r="E125" s="2"/>
      <c r="F125" s="2"/>
      <c r="G125" s="2"/>
      <c r="H125" s="2"/>
      <c r="I125" s="2">
        <v>67.029300000000006</v>
      </c>
      <c r="J125" s="2">
        <v>192</v>
      </c>
      <c r="K125" s="2">
        <v>67.087699999999998</v>
      </c>
      <c r="L125" s="2">
        <v>191</v>
      </c>
      <c r="M125" s="2">
        <v>101.4543</v>
      </c>
      <c r="N125" s="2">
        <v>154</v>
      </c>
      <c r="O125" s="2">
        <v>101.6117</v>
      </c>
      <c r="P125" s="2">
        <v>149</v>
      </c>
      <c r="Q125" s="2">
        <v>99.983000000000004</v>
      </c>
      <c r="R125" s="2">
        <v>129</v>
      </c>
      <c r="S125" s="2">
        <v>98.887</v>
      </c>
      <c r="T125" s="2">
        <v>110</v>
      </c>
      <c r="U125" s="2">
        <v>0.57751399999999997</v>
      </c>
      <c r="V125" s="2">
        <v>124</v>
      </c>
      <c r="W125" s="2">
        <v>2004</v>
      </c>
    </row>
    <row r="126" spans="1:23" ht="12.3" x14ac:dyDescent="0.4">
      <c r="A126" s="2" t="s">
        <v>93</v>
      </c>
      <c r="B126" s="2"/>
      <c r="C126" s="2"/>
      <c r="D126" s="2"/>
      <c r="E126" s="2"/>
      <c r="F126" s="2"/>
      <c r="G126" s="2"/>
      <c r="H126" s="2"/>
      <c r="I126" s="2">
        <v>68.435000000000002</v>
      </c>
      <c r="J126" s="2">
        <v>143</v>
      </c>
      <c r="K126" s="2">
        <v>69.834999999999994</v>
      </c>
      <c r="L126" s="2">
        <v>84</v>
      </c>
      <c r="M126" s="2">
        <v>101.87269999999999</v>
      </c>
      <c r="N126" s="2">
        <v>138</v>
      </c>
      <c r="O126" s="2">
        <v>102.0771</v>
      </c>
      <c r="P126" s="2">
        <v>139</v>
      </c>
      <c r="Q126" s="2">
        <v>100.7563</v>
      </c>
      <c r="R126" s="2">
        <v>148</v>
      </c>
      <c r="S126" s="2">
        <v>99.3553</v>
      </c>
      <c r="T126" s="2">
        <v>122</v>
      </c>
      <c r="U126" s="2">
        <v>0.57708199999999998</v>
      </c>
      <c r="V126" s="2">
        <v>125</v>
      </c>
      <c r="W126" s="2">
        <v>2004</v>
      </c>
    </row>
    <row r="127" spans="1:23" ht="12.3" x14ac:dyDescent="0.4">
      <c r="A127" s="2" t="s">
        <v>167</v>
      </c>
      <c r="B127" s="2"/>
      <c r="C127" s="2"/>
      <c r="D127" s="2"/>
      <c r="E127" s="2"/>
      <c r="F127" s="2"/>
      <c r="G127" s="2"/>
      <c r="H127" s="2"/>
      <c r="I127" s="2">
        <v>60.652500000000003</v>
      </c>
      <c r="J127" s="2">
        <v>315</v>
      </c>
      <c r="K127" s="2">
        <v>60.534700000000001</v>
      </c>
      <c r="L127" s="2">
        <v>318</v>
      </c>
      <c r="M127" s="2">
        <v>101.8443</v>
      </c>
      <c r="N127" s="2">
        <v>140</v>
      </c>
      <c r="O127" s="2">
        <v>102.413</v>
      </c>
      <c r="P127" s="2">
        <v>135</v>
      </c>
      <c r="Q127" s="2">
        <v>100.8108</v>
      </c>
      <c r="R127" s="2">
        <v>150</v>
      </c>
      <c r="S127" s="2">
        <v>99.739500000000007</v>
      </c>
      <c r="T127" s="2">
        <v>127</v>
      </c>
      <c r="U127" s="2">
        <v>0.57546699999999995</v>
      </c>
      <c r="V127" s="2">
        <v>126</v>
      </c>
      <c r="W127" s="2">
        <v>2004</v>
      </c>
    </row>
    <row r="128" spans="1:23" ht="12.3" x14ac:dyDescent="0.4">
      <c r="A128" s="2" t="s">
        <v>187</v>
      </c>
      <c r="B128" s="2">
        <v>15</v>
      </c>
      <c r="C128" s="2"/>
      <c r="D128" s="2"/>
      <c r="E128" s="2"/>
      <c r="F128" s="2"/>
      <c r="G128" s="2"/>
      <c r="H128" s="2"/>
      <c r="I128" s="2">
        <v>66.737700000000004</v>
      </c>
      <c r="J128" s="2">
        <v>201</v>
      </c>
      <c r="K128" s="2">
        <v>66.009399999999999</v>
      </c>
      <c r="L128" s="2">
        <v>225</v>
      </c>
      <c r="M128" s="2">
        <v>103.7423</v>
      </c>
      <c r="N128" s="2">
        <v>99</v>
      </c>
      <c r="O128" s="2">
        <v>103.4299</v>
      </c>
      <c r="P128" s="2">
        <v>110</v>
      </c>
      <c r="Q128" s="2">
        <v>100.7355</v>
      </c>
      <c r="R128" s="2">
        <v>146</v>
      </c>
      <c r="S128" s="2">
        <v>100.8342</v>
      </c>
      <c r="T128" s="2">
        <v>154</v>
      </c>
      <c r="U128" s="2">
        <v>0.57255699999999998</v>
      </c>
      <c r="V128" s="2">
        <v>127</v>
      </c>
      <c r="W128" s="2">
        <v>2004</v>
      </c>
    </row>
    <row r="129" spans="1:23" ht="12.3" x14ac:dyDescent="0.4">
      <c r="A129" s="2" t="s">
        <v>282</v>
      </c>
      <c r="B129" s="2"/>
      <c r="C129" s="2"/>
      <c r="D129" s="2"/>
      <c r="E129" s="2"/>
      <c r="F129" s="2"/>
      <c r="G129" s="2"/>
      <c r="H129" s="2"/>
      <c r="I129" s="2">
        <v>66.905799999999999</v>
      </c>
      <c r="J129" s="2">
        <v>196</v>
      </c>
      <c r="K129" s="2">
        <v>64.736199999999997</v>
      </c>
      <c r="L129" s="2">
        <v>273</v>
      </c>
      <c r="M129" s="2">
        <v>102.57380000000001</v>
      </c>
      <c r="N129" s="2">
        <v>119</v>
      </c>
      <c r="O129" s="2">
        <v>99.284999999999997</v>
      </c>
      <c r="P129" s="2">
        <v>197</v>
      </c>
      <c r="Q129" s="2">
        <v>91.8155</v>
      </c>
      <c r="R129" s="2">
        <v>12</v>
      </c>
      <c r="S129" s="2">
        <v>96.974900000000005</v>
      </c>
      <c r="T129" s="2">
        <v>69</v>
      </c>
      <c r="U129" s="2">
        <v>0.567272</v>
      </c>
      <c r="V129" s="2">
        <v>128</v>
      </c>
      <c r="W129" s="2">
        <v>2004</v>
      </c>
    </row>
    <row r="130" spans="1:23" ht="12.3" x14ac:dyDescent="0.4">
      <c r="A130" s="2" t="s">
        <v>239</v>
      </c>
      <c r="B130" s="2"/>
      <c r="C130" s="2"/>
      <c r="D130" s="2"/>
      <c r="E130" s="2"/>
      <c r="F130" s="2"/>
      <c r="G130" s="2"/>
      <c r="H130" s="2"/>
      <c r="I130" s="2">
        <v>59.693199999999997</v>
      </c>
      <c r="J130" s="2">
        <v>322</v>
      </c>
      <c r="K130" s="2">
        <v>58.917099999999998</v>
      </c>
      <c r="L130" s="2">
        <v>323</v>
      </c>
      <c r="M130" s="2">
        <v>96.223799999999997</v>
      </c>
      <c r="N130" s="2">
        <v>262</v>
      </c>
      <c r="O130" s="2">
        <v>98.547300000000007</v>
      </c>
      <c r="P130" s="2">
        <v>214</v>
      </c>
      <c r="Q130" s="2">
        <v>99.805999999999997</v>
      </c>
      <c r="R130" s="2">
        <v>127</v>
      </c>
      <c r="S130" s="2">
        <v>96.258499999999998</v>
      </c>
      <c r="T130" s="2">
        <v>60</v>
      </c>
      <c r="U130" s="2">
        <v>0.56715199999999999</v>
      </c>
      <c r="V130" s="2">
        <v>129</v>
      </c>
      <c r="W130" s="2">
        <v>2004</v>
      </c>
    </row>
    <row r="131" spans="1:23" ht="12.3" x14ac:dyDescent="0.4">
      <c r="A131" s="2" t="s">
        <v>134</v>
      </c>
      <c r="B131" s="2"/>
      <c r="C131" s="2"/>
      <c r="D131" s="2"/>
      <c r="E131" s="2"/>
      <c r="F131" s="2"/>
      <c r="G131" s="2"/>
      <c r="H131" s="2"/>
      <c r="I131" s="2">
        <v>70.888000000000005</v>
      </c>
      <c r="J131" s="2">
        <v>53</v>
      </c>
      <c r="K131" s="2">
        <v>68.141999999999996</v>
      </c>
      <c r="L131" s="2">
        <v>152</v>
      </c>
      <c r="M131" s="2">
        <v>99.850099999999998</v>
      </c>
      <c r="N131" s="2">
        <v>183</v>
      </c>
      <c r="O131" s="2">
        <v>102.0476</v>
      </c>
      <c r="P131" s="2">
        <v>140</v>
      </c>
      <c r="Q131" s="2">
        <v>100.1049</v>
      </c>
      <c r="R131" s="2">
        <v>132</v>
      </c>
      <c r="S131" s="2">
        <v>99.773600000000002</v>
      </c>
      <c r="T131" s="2">
        <v>129</v>
      </c>
      <c r="U131" s="2">
        <v>0.56442899999999996</v>
      </c>
      <c r="V131" s="2">
        <v>130</v>
      </c>
      <c r="W131" s="2">
        <v>2004</v>
      </c>
    </row>
    <row r="132" spans="1:23" ht="12.3" x14ac:dyDescent="0.4">
      <c r="A132" s="2" t="s">
        <v>157</v>
      </c>
      <c r="B132" s="2"/>
      <c r="C132" s="2"/>
      <c r="D132" s="2"/>
      <c r="E132" s="2"/>
      <c r="F132" s="2"/>
      <c r="G132" s="2"/>
      <c r="H132" s="2"/>
      <c r="I132" s="2">
        <v>68.893699999999995</v>
      </c>
      <c r="J132" s="2">
        <v>127</v>
      </c>
      <c r="K132" s="2">
        <v>69.880899999999997</v>
      </c>
      <c r="L132" s="2">
        <v>81</v>
      </c>
      <c r="M132" s="2">
        <v>99.322699999999998</v>
      </c>
      <c r="N132" s="2">
        <v>203</v>
      </c>
      <c r="O132" s="2">
        <v>102.3497</v>
      </c>
      <c r="P132" s="2">
        <v>136</v>
      </c>
      <c r="Q132" s="2">
        <v>103.7991</v>
      </c>
      <c r="R132" s="2">
        <v>226</v>
      </c>
      <c r="S132" s="2">
        <v>100.09699999999999</v>
      </c>
      <c r="T132" s="2">
        <v>143</v>
      </c>
      <c r="U132" s="2">
        <v>0.56364000000000003</v>
      </c>
      <c r="V132" s="2">
        <v>131</v>
      </c>
      <c r="W132" s="2">
        <v>2004</v>
      </c>
    </row>
    <row r="133" spans="1:23" ht="12.3" x14ac:dyDescent="0.4">
      <c r="A133" s="2" t="s">
        <v>104</v>
      </c>
      <c r="B133" s="2"/>
      <c r="C133" s="2"/>
      <c r="D133" s="2"/>
      <c r="E133" s="2"/>
      <c r="F133" s="2"/>
      <c r="G133" s="2"/>
      <c r="H133" s="2"/>
      <c r="I133" s="2">
        <v>64.276300000000006</v>
      </c>
      <c r="J133" s="2">
        <v>282</v>
      </c>
      <c r="K133" s="2">
        <v>65.018000000000001</v>
      </c>
      <c r="L133" s="2">
        <v>267</v>
      </c>
      <c r="M133" s="2">
        <v>101.54</v>
      </c>
      <c r="N133" s="2">
        <v>150</v>
      </c>
      <c r="O133" s="2">
        <v>99.474000000000004</v>
      </c>
      <c r="P133" s="2">
        <v>190</v>
      </c>
      <c r="Q133" s="2">
        <v>97.026300000000006</v>
      </c>
      <c r="R133" s="2">
        <v>81</v>
      </c>
      <c r="S133" s="2">
        <v>97.329800000000006</v>
      </c>
      <c r="T133" s="2">
        <v>77</v>
      </c>
      <c r="U133" s="2">
        <v>0.56232499999999996</v>
      </c>
      <c r="V133" s="2">
        <v>132</v>
      </c>
      <c r="W133" s="2">
        <v>2004</v>
      </c>
    </row>
    <row r="134" spans="1:23" ht="12.3" x14ac:dyDescent="0.4">
      <c r="A134" s="2" t="s">
        <v>18</v>
      </c>
      <c r="B134" s="2"/>
      <c r="C134" s="2"/>
      <c r="D134" s="2"/>
      <c r="E134" s="2"/>
      <c r="F134" s="2"/>
      <c r="G134" s="2"/>
      <c r="H134" s="2"/>
      <c r="I134" s="2">
        <v>57.874499999999998</v>
      </c>
      <c r="J134" s="2">
        <v>325</v>
      </c>
      <c r="K134" s="2">
        <v>58.231299999999997</v>
      </c>
      <c r="L134" s="2">
        <v>325</v>
      </c>
      <c r="M134" s="2">
        <v>104.8891</v>
      </c>
      <c r="N134" s="2">
        <v>89</v>
      </c>
      <c r="O134" s="2">
        <v>105.69710000000001</v>
      </c>
      <c r="P134" s="2">
        <v>81</v>
      </c>
      <c r="Q134" s="2">
        <v>101.9952</v>
      </c>
      <c r="R134" s="2">
        <v>178</v>
      </c>
      <c r="S134" s="2">
        <v>103.65089999999999</v>
      </c>
      <c r="T134" s="2">
        <v>199</v>
      </c>
      <c r="U134" s="2">
        <v>0.55596699999999999</v>
      </c>
      <c r="V134" s="2">
        <v>133</v>
      </c>
      <c r="W134" s="2">
        <v>2004</v>
      </c>
    </row>
    <row r="135" spans="1:23" ht="12.3" x14ac:dyDescent="0.4">
      <c r="A135" s="2" t="s">
        <v>152</v>
      </c>
      <c r="B135" s="2"/>
      <c r="C135" s="2"/>
      <c r="D135" s="2"/>
      <c r="E135" s="2"/>
      <c r="F135" s="2"/>
      <c r="G135" s="2"/>
      <c r="H135" s="2"/>
      <c r="I135" s="2">
        <v>68.373699999999999</v>
      </c>
      <c r="J135" s="2">
        <v>146</v>
      </c>
      <c r="K135" s="2">
        <v>67.224500000000006</v>
      </c>
      <c r="L135" s="2">
        <v>184</v>
      </c>
      <c r="M135" s="2">
        <v>106.1315</v>
      </c>
      <c r="N135" s="2">
        <v>75</v>
      </c>
      <c r="O135" s="2">
        <v>101.7324</v>
      </c>
      <c r="P135" s="2">
        <v>146</v>
      </c>
      <c r="Q135" s="2">
        <v>99.585999999999999</v>
      </c>
      <c r="R135" s="2">
        <v>118</v>
      </c>
      <c r="S135" s="2">
        <v>99.949100000000001</v>
      </c>
      <c r="T135" s="2">
        <v>135</v>
      </c>
      <c r="U135" s="2">
        <v>0.55067100000000002</v>
      </c>
      <c r="V135" s="2">
        <v>134</v>
      </c>
      <c r="W135" s="2">
        <v>2004</v>
      </c>
    </row>
    <row r="136" spans="1:23" ht="12.3" x14ac:dyDescent="0.4">
      <c r="A136" s="2" t="s">
        <v>250</v>
      </c>
      <c r="B136" s="2"/>
      <c r="C136" s="2"/>
      <c r="D136" s="2"/>
      <c r="E136" s="2"/>
      <c r="F136" s="2"/>
      <c r="G136" s="2"/>
      <c r="H136" s="2"/>
      <c r="I136" s="2">
        <v>68.207599999999999</v>
      </c>
      <c r="J136" s="2">
        <v>151</v>
      </c>
      <c r="K136" s="2">
        <v>69.499799999999993</v>
      </c>
      <c r="L136" s="2">
        <v>99</v>
      </c>
      <c r="M136" s="2">
        <v>101.691</v>
      </c>
      <c r="N136" s="2">
        <v>143</v>
      </c>
      <c r="O136" s="2">
        <v>103.402</v>
      </c>
      <c r="P136" s="2">
        <v>112</v>
      </c>
      <c r="Q136" s="2">
        <v>103.5792</v>
      </c>
      <c r="R136" s="2">
        <v>218</v>
      </c>
      <c r="S136" s="2">
        <v>101.8472</v>
      </c>
      <c r="T136" s="2">
        <v>171</v>
      </c>
      <c r="U136" s="2">
        <v>0.54344899999999996</v>
      </c>
      <c r="V136" s="2">
        <v>135</v>
      </c>
      <c r="W136" s="2">
        <v>2004</v>
      </c>
    </row>
    <row r="137" spans="1:23" ht="12.3" x14ac:dyDescent="0.4">
      <c r="A137" s="2" t="s">
        <v>153</v>
      </c>
      <c r="B137" s="2"/>
      <c r="C137" s="2"/>
      <c r="D137" s="2"/>
      <c r="E137" s="2"/>
      <c r="F137" s="2"/>
      <c r="G137" s="2"/>
      <c r="H137" s="2"/>
      <c r="I137" s="2">
        <v>76.241</v>
      </c>
      <c r="J137" s="2">
        <v>2</v>
      </c>
      <c r="K137" s="2">
        <v>73.819100000000006</v>
      </c>
      <c r="L137" s="2">
        <v>11</v>
      </c>
      <c r="M137" s="2">
        <v>102.2929</v>
      </c>
      <c r="N137" s="2">
        <v>128</v>
      </c>
      <c r="O137" s="2">
        <v>99.755899999999997</v>
      </c>
      <c r="P137" s="2">
        <v>185</v>
      </c>
      <c r="Q137" s="2">
        <v>94.578400000000002</v>
      </c>
      <c r="R137" s="2">
        <v>37</v>
      </c>
      <c r="S137" s="2">
        <v>98.407799999999995</v>
      </c>
      <c r="T137" s="2">
        <v>99</v>
      </c>
      <c r="U137" s="2">
        <v>0.53903599999999996</v>
      </c>
      <c r="V137" s="2">
        <v>136</v>
      </c>
      <c r="W137" s="2">
        <v>2004</v>
      </c>
    </row>
    <row r="138" spans="1:23" ht="12.3" x14ac:dyDescent="0.4">
      <c r="A138" s="2" t="s">
        <v>166</v>
      </c>
      <c r="B138" s="2"/>
      <c r="C138" s="2"/>
      <c r="D138" s="2"/>
      <c r="E138" s="2"/>
      <c r="F138" s="2"/>
      <c r="G138" s="2"/>
      <c r="H138" s="2"/>
      <c r="I138" s="2">
        <v>71.056200000000004</v>
      </c>
      <c r="J138" s="2">
        <v>48</v>
      </c>
      <c r="K138" s="2">
        <v>68.363900000000001</v>
      </c>
      <c r="L138" s="2">
        <v>138</v>
      </c>
      <c r="M138" s="2">
        <v>109.8809</v>
      </c>
      <c r="N138" s="2">
        <v>24</v>
      </c>
      <c r="O138" s="2">
        <v>109.8129</v>
      </c>
      <c r="P138" s="2">
        <v>37</v>
      </c>
      <c r="Q138" s="2">
        <v>107.5369</v>
      </c>
      <c r="R138" s="2">
        <v>294</v>
      </c>
      <c r="S138" s="2">
        <v>108.3849</v>
      </c>
      <c r="T138" s="2">
        <v>295</v>
      </c>
      <c r="U138" s="2">
        <v>0.53756300000000001</v>
      </c>
      <c r="V138" s="2">
        <v>137</v>
      </c>
      <c r="W138" s="2">
        <v>2004</v>
      </c>
    </row>
    <row r="139" spans="1:23" ht="12.3" x14ac:dyDescent="0.4">
      <c r="A139" s="2" t="s">
        <v>74</v>
      </c>
      <c r="B139" s="2">
        <v>15</v>
      </c>
      <c r="C139" s="2"/>
      <c r="D139" s="2"/>
      <c r="E139" s="2"/>
      <c r="F139" s="2"/>
      <c r="G139" s="2"/>
      <c r="H139" s="2"/>
      <c r="I139" s="2">
        <v>70.860299999999995</v>
      </c>
      <c r="J139" s="2">
        <v>55</v>
      </c>
      <c r="K139" s="2">
        <v>70.952600000000004</v>
      </c>
      <c r="L139" s="2">
        <v>47</v>
      </c>
      <c r="M139" s="2">
        <v>101.3026</v>
      </c>
      <c r="N139" s="2">
        <v>157</v>
      </c>
      <c r="O139" s="2">
        <v>99.808899999999994</v>
      </c>
      <c r="P139" s="2">
        <v>182</v>
      </c>
      <c r="Q139" s="2">
        <v>100.0056</v>
      </c>
      <c r="R139" s="2">
        <v>130</v>
      </c>
      <c r="S139" s="2">
        <v>98.598699999999994</v>
      </c>
      <c r="T139" s="2">
        <v>102</v>
      </c>
      <c r="U139" s="2">
        <v>0.53501699999999996</v>
      </c>
      <c r="V139" s="2">
        <v>138</v>
      </c>
      <c r="W139" s="2">
        <v>2004</v>
      </c>
    </row>
    <row r="140" spans="1:23" ht="12.3" x14ac:dyDescent="0.4">
      <c r="A140" s="2" t="s">
        <v>142</v>
      </c>
      <c r="B140" s="2"/>
      <c r="C140" s="2"/>
      <c r="D140" s="2"/>
      <c r="E140" s="2"/>
      <c r="F140" s="2"/>
      <c r="G140" s="2"/>
      <c r="H140" s="2"/>
      <c r="I140" s="2">
        <v>68.008099999999999</v>
      </c>
      <c r="J140" s="2">
        <v>161</v>
      </c>
      <c r="K140" s="2">
        <v>68.155500000000004</v>
      </c>
      <c r="L140" s="2">
        <v>151</v>
      </c>
      <c r="M140" s="2">
        <v>98.154899999999998</v>
      </c>
      <c r="N140" s="2">
        <v>229</v>
      </c>
      <c r="O140" s="2">
        <v>100.9312</v>
      </c>
      <c r="P140" s="2">
        <v>163</v>
      </c>
      <c r="Q140" s="2">
        <v>103.2786</v>
      </c>
      <c r="R140" s="2">
        <v>210</v>
      </c>
      <c r="S140" s="2">
        <v>99.915000000000006</v>
      </c>
      <c r="T140" s="2">
        <v>133</v>
      </c>
      <c r="U140" s="2">
        <v>0.52905999999999997</v>
      </c>
      <c r="V140" s="2">
        <v>139</v>
      </c>
      <c r="W140" s="2">
        <v>2004</v>
      </c>
    </row>
    <row r="141" spans="1:23" ht="12.3" x14ac:dyDescent="0.4">
      <c r="A141" s="2" t="s">
        <v>140</v>
      </c>
      <c r="B141" s="2"/>
      <c r="C141" s="2"/>
      <c r="D141" s="2"/>
      <c r="E141" s="2"/>
      <c r="F141" s="2"/>
      <c r="G141" s="2"/>
      <c r="H141" s="2"/>
      <c r="I141" s="2">
        <v>64.439400000000006</v>
      </c>
      <c r="J141" s="2">
        <v>274</v>
      </c>
      <c r="K141" s="2">
        <v>64.117800000000003</v>
      </c>
      <c r="L141" s="2">
        <v>287</v>
      </c>
      <c r="M141" s="2">
        <v>99.063599999999994</v>
      </c>
      <c r="N141" s="2">
        <v>210</v>
      </c>
      <c r="O141" s="2">
        <v>103.5958</v>
      </c>
      <c r="P141" s="2">
        <v>107</v>
      </c>
      <c r="Q141" s="2">
        <v>105.03</v>
      </c>
      <c r="R141" s="2">
        <v>255</v>
      </c>
      <c r="S141" s="2">
        <v>102.64239999999999</v>
      </c>
      <c r="T141" s="2">
        <v>183</v>
      </c>
      <c r="U141" s="2">
        <v>0.52655799999999997</v>
      </c>
      <c r="V141" s="2">
        <v>140</v>
      </c>
      <c r="W141" s="2">
        <v>2004</v>
      </c>
    </row>
    <row r="142" spans="1:23" ht="12.3" x14ac:dyDescent="0.4">
      <c r="A142" s="2" t="s">
        <v>125</v>
      </c>
      <c r="B142" s="2"/>
      <c r="C142" s="2"/>
      <c r="D142" s="2"/>
      <c r="E142" s="2"/>
      <c r="F142" s="2"/>
      <c r="G142" s="2"/>
      <c r="H142" s="2"/>
      <c r="I142" s="2">
        <v>67.844700000000003</v>
      </c>
      <c r="J142" s="2">
        <v>170</v>
      </c>
      <c r="K142" s="2">
        <v>67.066800000000001</v>
      </c>
      <c r="L142" s="2">
        <v>192</v>
      </c>
      <c r="M142" s="2">
        <v>101.99979999999999</v>
      </c>
      <c r="N142" s="2">
        <v>136</v>
      </c>
      <c r="O142" s="2">
        <v>99.444199999999995</v>
      </c>
      <c r="P142" s="2">
        <v>192</v>
      </c>
      <c r="Q142" s="2">
        <v>96.834900000000005</v>
      </c>
      <c r="R142" s="2">
        <v>72</v>
      </c>
      <c r="S142" s="2">
        <v>98.545400000000001</v>
      </c>
      <c r="T142" s="2">
        <v>101</v>
      </c>
      <c r="U142" s="2">
        <v>0.52608100000000002</v>
      </c>
      <c r="V142" s="2">
        <v>141</v>
      </c>
      <c r="W142" s="2">
        <v>2004</v>
      </c>
    </row>
    <row r="143" spans="1:23" ht="12.3" x14ac:dyDescent="0.4">
      <c r="A143" s="2" t="s">
        <v>62</v>
      </c>
      <c r="B143" s="2"/>
      <c r="C143" s="2"/>
      <c r="D143" s="2"/>
      <c r="E143" s="2"/>
      <c r="F143" s="2"/>
      <c r="G143" s="2"/>
      <c r="H143" s="2"/>
      <c r="I143" s="2">
        <v>69.152500000000003</v>
      </c>
      <c r="J143" s="2">
        <v>116</v>
      </c>
      <c r="K143" s="2">
        <v>69.945099999999996</v>
      </c>
      <c r="L143" s="2">
        <v>78</v>
      </c>
      <c r="M143" s="2">
        <v>96.298900000000003</v>
      </c>
      <c r="N143" s="2">
        <v>261</v>
      </c>
      <c r="O143" s="2">
        <v>95.409300000000002</v>
      </c>
      <c r="P143" s="2">
        <v>267</v>
      </c>
      <c r="Q143" s="2">
        <v>95.248500000000007</v>
      </c>
      <c r="R143" s="2">
        <v>47</v>
      </c>
      <c r="S143" s="2">
        <v>94.584900000000005</v>
      </c>
      <c r="T143" s="2">
        <v>38</v>
      </c>
      <c r="U143" s="2">
        <v>0.52493000000000001</v>
      </c>
      <c r="V143" s="2">
        <v>142</v>
      </c>
      <c r="W143" s="2">
        <v>2004</v>
      </c>
    </row>
    <row r="144" spans="1:23" ht="12.3" x14ac:dyDescent="0.4">
      <c r="A144" s="2" t="s">
        <v>101</v>
      </c>
      <c r="B144" s="2"/>
      <c r="C144" s="2"/>
      <c r="D144" s="2"/>
      <c r="E144" s="2"/>
      <c r="F144" s="2"/>
      <c r="G144" s="2"/>
      <c r="H144" s="2"/>
      <c r="I144" s="2">
        <v>68.031700000000001</v>
      </c>
      <c r="J144" s="2">
        <v>160</v>
      </c>
      <c r="K144" s="2">
        <v>69.105099999999993</v>
      </c>
      <c r="L144" s="2">
        <v>115</v>
      </c>
      <c r="M144" s="2">
        <v>101.56489999999999</v>
      </c>
      <c r="N144" s="2">
        <v>149</v>
      </c>
      <c r="O144" s="2">
        <v>101.54</v>
      </c>
      <c r="P144" s="2">
        <v>152</v>
      </c>
      <c r="Q144" s="2">
        <v>102.63249999999999</v>
      </c>
      <c r="R144" s="2">
        <v>190</v>
      </c>
      <c r="S144" s="2">
        <v>100.6865</v>
      </c>
      <c r="T144" s="2">
        <v>151</v>
      </c>
      <c r="U144" s="2">
        <v>0.52424800000000005</v>
      </c>
      <c r="V144" s="2">
        <v>143</v>
      </c>
      <c r="W144" s="2">
        <v>2004</v>
      </c>
    </row>
    <row r="145" spans="1:23" ht="12.3" x14ac:dyDescent="0.4">
      <c r="A145" s="2" t="s">
        <v>42</v>
      </c>
      <c r="B145" s="2"/>
      <c r="C145" s="2"/>
      <c r="D145" s="2"/>
      <c r="E145" s="2"/>
      <c r="F145" s="2"/>
      <c r="G145" s="2"/>
      <c r="H145" s="2"/>
      <c r="I145" s="2">
        <v>73.260300000000001</v>
      </c>
      <c r="J145" s="2">
        <v>18</v>
      </c>
      <c r="K145" s="2">
        <v>71.897900000000007</v>
      </c>
      <c r="L145" s="2">
        <v>26</v>
      </c>
      <c r="M145" s="2">
        <v>100.5108</v>
      </c>
      <c r="N145" s="2">
        <v>172</v>
      </c>
      <c r="O145" s="2">
        <v>101.3231</v>
      </c>
      <c r="P145" s="2">
        <v>157</v>
      </c>
      <c r="Q145" s="2">
        <v>105.37820000000001</v>
      </c>
      <c r="R145" s="2">
        <v>262</v>
      </c>
      <c r="S145" s="2">
        <v>100.4821</v>
      </c>
      <c r="T145" s="2">
        <v>148</v>
      </c>
      <c r="U145" s="2">
        <v>0.52394399999999997</v>
      </c>
      <c r="V145" s="2">
        <v>144</v>
      </c>
      <c r="W145" s="2">
        <v>2004</v>
      </c>
    </row>
    <row r="146" spans="1:23" ht="12.3" x14ac:dyDescent="0.4">
      <c r="A146" s="2" t="s">
        <v>138</v>
      </c>
      <c r="B146" s="2"/>
      <c r="C146" s="2"/>
      <c r="D146" s="2"/>
      <c r="E146" s="2"/>
      <c r="F146" s="2"/>
      <c r="G146" s="2"/>
      <c r="H146" s="2"/>
      <c r="I146" s="2">
        <v>70.566900000000004</v>
      </c>
      <c r="J146" s="2">
        <v>67</v>
      </c>
      <c r="K146" s="2">
        <v>70.2179</v>
      </c>
      <c r="L146" s="2">
        <v>68</v>
      </c>
      <c r="M146" s="2">
        <v>108.8815</v>
      </c>
      <c r="N146" s="2">
        <v>31</v>
      </c>
      <c r="O146" s="2">
        <v>106.8365</v>
      </c>
      <c r="P146" s="2">
        <v>69</v>
      </c>
      <c r="Q146" s="2">
        <v>106.2543</v>
      </c>
      <c r="R146" s="2">
        <v>278</v>
      </c>
      <c r="S146" s="2">
        <v>105.9599</v>
      </c>
      <c r="T146" s="2">
        <v>259</v>
      </c>
      <c r="U146" s="2">
        <v>0.52366900000000005</v>
      </c>
      <c r="V146" s="2">
        <v>145</v>
      </c>
      <c r="W146" s="2">
        <v>2004</v>
      </c>
    </row>
    <row r="147" spans="1:23" ht="12.3" x14ac:dyDescent="0.4">
      <c r="A147" s="2" t="s">
        <v>174</v>
      </c>
      <c r="B147" s="2"/>
      <c r="C147" s="2"/>
      <c r="D147" s="2"/>
      <c r="E147" s="2"/>
      <c r="F147" s="2"/>
      <c r="G147" s="2"/>
      <c r="H147" s="2"/>
      <c r="I147" s="2">
        <v>70.978399999999993</v>
      </c>
      <c r="J147" s="2">
        <v>50</v>
      </c>
      <c r="K147" s="2">
        <v>70.623199999999997</v>
      </c>
      <c r="L147" s="2">
        <v>57</v>
      </c>
      <c r="M147" s="2">
        <v>97.609700000000004</v>
      </c>
      <c r="N147" s="2">
        <v>241</v>
      </c>
      <c r="O147" s="2">
        <v>96.940399999999997</v>
      </c>
      <c r="P147" s="2">
        <v>246</v>
      </c>
      <c r="Q147" s="2">
        <v>95.958200000000005</v>
      </c>
      <c r="R147" s="2">
        <v>55</v>
      </c>
      <c r="S147" s="2">
        <v>96.275199999999998</v>
      </c>
      <c r="T147" s="2">
        <v>61</v>
      </c>
      <c r="U147" s="2">
        <v>0.51978500000000005</v>
      </c>
      <c r="V147" s="2">
        <v>146</v>
      </c>
      <c r="W147" s="2">
        <v>2004</v>
      </c>
    </row>
    <row r="148" spans="1:23" ht="12.3" x14ac:dyDescent="0.4">
      <c r="A148" s="2" t="s">
        <v>243</v>
      </c>
      <c r="B148" s="2"/>
      <c r="C148" s="2"/>
      <c r="D148" s="2"/>
      <c r="E148" s="2"/>
      <c r="F148" s="2"/>
      <c r="G148" s="2"/>
      <c r="H148" s="2"/>
      <c r="I148" s="2">
        <v>70.168999999999997</v>
      </c>
      <c r="J148" s="2">
        <v>79</v>
      </c>
      <c r="K148" s="2">
        <v>69.711500000000001</v>
      </c>
      <c r="L148" s="2">
        <v>88</v>
      </c>
      <c r="M148" s="2">
        <v>101.01649999999999</v>
      </c>
      <c r="N148" s="2">
        <v>162</v>
      </c>
      <c r="O148" s="2">
        <v>102.6657</v>
      </c>
      <c r="P148" s="2">
        <v>128</v>
      </c>
      <c r="Q148" s="2">
        <v>101.49460000000001</v>
      </c>
      <c r="R148" s="2">
        <v>166</v>
      </c>
      <c r="S148" s="2">
        <v>102.0378</v>
      </c>
      <c r="T148" s="2">
        <v>177</v>
      </c>
      <c r="U148" s="2">
        <v>0.51763000000000003</v>
      </c>
      <c r="V148" s="2">
        <v>147</v>
      </c>
      <c r="W148" s="2">
        <v>2004</v>
      </c>
    </row>
    <row r="149" spans="1:23" ht="12.3" x14ac:dyDescent="0.4">
      <c r="A149" s="2" t="s">
        <v>75</v>
      </c>
      <c r="B149" s="2"/>
      <c r="C149" s="2"/>
      <c r="D149" s="2"/>
      <c r="E149" s="2"/>
      <c r="F149" s="2"/>
      <c r="G149" s="2"/>
      <c r="H149" s="2"/>
      <c r="I149" s="2">
        <v>67.567400000000006</v>
      </c>
      <c r="J149" s="2">
        <v>180</v>
      </c>
      <c r="K149" s="2">
        <v>69.078400000000002</v>
      </c>
      <c r="L149" s="2">
        <v>116</v>
      </c>
      <c r="M149" s="2">
        <v>101.53700000000001</v>
      </c>
      <c r="N149" s="2">
        <v>151</v>
      </c>
      <c r="O149" s="2">
        <v>101.7938</v>
      </c>
      <c r="P149" s="2">
        <v>144</v>
      </c>
      <c r="Q149" s="2">
        <v>104.684</v>
      </c>
      <c r="R149" s="2">
        <v>251</v>
      </c>
      <c r="S149" s="2">
        <v>101.2629</v>
      </c>
      <c r="T149" s="2">
        <v>162</v>
      </c>
      <c r="U149" s="2">
        <v>0.51502899999999996</v>
      </c>
      <c r="V149" s="2">
        <v>148</v>
      </c>
      <c r="W149" s="2">
        <v>2004</v>
      </c>
    </row>
    <row r="150" spans="1:23" ht="12.3" x14ac:dyDescent="0.4">
      <c r="A150" s="2" t="s">
        <v>191</v>
      </c>
      <c r="B150" s="2"/>
      <c r="C150" s="2"/>
      <c r="D150" s="2"/>
      <c r="E150" s="2"/>
      <c r="F150" s="2"/>
      <c r="G150" s="2"/>
      <c r="H150" s="2"/>
      <c r="I150" s="2">
        <v>68.102000000000004</v>
      </c>
      <c r="J150" s="2">
        <v>155</v>
      </c>
      <c r="K150" s="2">
        <v>67.264799999999994</v>
      </c>
      <c r="L150" s="2">
        <v>183</v>
      </c>
      <c r="M150" s="2">
        <v>107.09480000000001</v>
      </c>
      <c r="N150" s="2">
        <v>54</v>
      </c>
      <c r="O150" s="2">
        <v>103.8034</v>
      </c>
      <c r="P150" s="2">
        <v>104</v>
      </c>
      <c r="Q150" s="2">
        <v>101.8021</v>
      </c>
      <c r="R150" s="2">
        <v>171</v>
      </c>
      <c r="S150" s="2">
        <v>103.58410000000001</v>
      </c>
      <c r="T150" s="2">
        <v>194</v>
      </c>
      <c r="U150" s="2">
        <v>0.50607899999999995</v>
      </c>
      <c r="V150" s="2">
        <v>149</v>
      </c>
      <c r="W150" s="2">
        <v>2004</v>
      </c>
    </row>
    <row r="151" spans="1:23" ht="12.3" x14ac:dyDescent="0.4">
      <c r="A151" s="2" t="s">
        <v>21</v>
      </c>
      <c r="B151" s="2"/>
      <c r="C151" s="2"/>
      <c r="D151" s="2"/>
      <c r="E151" s="2"/>
      <c r="F151" s="2"/>
      <c r="G151" s="2"/>
      <c r="H151" s="2"/>
      <c r="I151" s="2">
        <v>63.923699999999997</v>
      </c>
      <c r="J151" s="2">
        <v>288</v>
      </c>
      <c r="K151" s="2">
        <v>64.6126</v>
      </c>
      <c r="L151" s="2">
        <v>276</v>
      </c>
      <c r="M151" s="2">
        <v>102.4122</v>
      </c>
      <c r="N151" s="2">
        <v>122</v>
      </c>
      <c r="O151" s="2">
        <v>106.2336</v>
      </c>
      <c r="P151" s="2">
        <v>79</v>
      </c>
      <c r="Q151" s="2">
        <v>107.1279</v>
      </c>
      <c r="R151" s="2">
        <v>290</v>
      </c>
      <c r="S151" s="2">
        <v>106.0608</v>
      </c>
      <c r="T151" s="2">
        <v>264</v>
      </c>
      <c r="U151" s="2">
        <v>0.50467899999999999</v>
      </c>
      <c r="V151" s="2">
        <v>150</v>
      </c>
      <c r="W151" s="2">
        <v>2004</v>
      </c>
    </row>
    <row r="152" spans="1:23" ht="12.3" x14ac:dyDescent="0.4">
      <c r="A152" s="2" t="s">
        <v>149</v>
      </c>
      <c r="B152" s="2"/>
      <c r="C152" s="2"/>
      <c r="D152" s="2"/>
      <c r="E152" s="2"/>
      <c r="F152" s="2"/>
      <c r="G152" s="2"/>
      <c r="H152" s="2"/>
      <c r="I152" s="2">
        <v>70.404200000000003</v>
      </c>
      <c r="J152" s="2">
        <v>71</v>
      </c>
      <c r="K152" s="2">
        <v>69.068399999999997</v>
      </c>
      <c r="L152" s="2">
        <v>117</v>
      </c>
      <c r="M152" s="2">
        <v>98.876999999999995</v>
      </c>
      <c r="N152" s="2">
        <v>215</v>
      </c>
      <c r="O152" s="2">
        <v>100.7812</v>
      </c>
      <c r="P152" s="2">
        <v>165</v>
      </c>
      <c r="Q152" s="2">
        <v>102.9603</v>
      </c>
      <c r="R152" s="2">
        <v>198</v>
      </c>
      <c r="S152" s="2">
        <v>100.79049999999999</v>
      </c>
      <c r="T152" s="2">
        <v>152</v>
      </c>
      <c r="U152" s="2">
        <v>0.49973400000000001</v>
      </c>
      <c r="V152" s="2">
        <v>151</v>
      </c>
      <c r="W152" s="2">
        <v>2004</v>
      </c>
    </row>
    <row r="153" spans="1:23" ht="12.3" x14ac:dyDescent="0.4">
      <c r="A153" s="2" t="s">
        <v>99</v>
      </c>
      <c r="B153" s="2"/>
      <c r="C153" s="2"/>
      <c r="D153" s="2"/>
      <c r="E153" s="2"/>
      <c r="F153" s="2"/>
      <c r="G153" s="2"/>
      <c r="H153" s="2"/>
      <c r="I153" s="2">
        <v>70.568100000000001</v>
      </c>
      <c r="J153" s="2">
        <v>66</v>
      </c>
      <c r="K153" s="2">
        <v>70.471500000000006</v>
      </c>
      <c r="L153" s="2">
        <v>61</v>
      </c>
      <c r="M153" s="2">
        <v>103.8875</v>
      </c>
      <c r="N153" s="2">
        <v>98</v>
      </c>
      <c r="O153" s="2">
        <v>105.28700000000001</v>
      </c>
      <c r="P153" s="2">
        <v>83</v>
      </c>
      <c r="Q153" s="2">
        <v>107.6062</v>
      </c>
      <c r="R153" s="2">
        <v>295</v>
      </c>
      <c r="S153" s="2">
        <v>105.50369999999999</v>
      </c>
      <c r="T153" s="2">
        <v>252</v>
      </c>
      <c r="U153" s="2">
        <v>0.494089</v>
      </c>
      <c r="V153" s="2">
        <v>152</v>
      </c>
      <c r="W153" s="2">
        <v>2004</v>
      </c>
    </row>
    <row r="154" spans="1:23" ht="12.3" x14ac:dyDescent="0.4">
      <c r="A154" s="2" t="s">
        <v>172</v>
      </c>
      <c r="B154" s="2"/>
      <c r="C154" s="2"/>
      <c r="D154" s="2"/>
      <c r="E154" s="2"/>
      <c r="F154" s="2"/>
      <c r="G154" s="2"/>
      <c r="H154" s="2"/>
      <c r="I154" s="2">
        <v>68.558800000000005</v>
      </c>
      <c r="J154" s="2">
        <v>137</v>
      </c>
      <c r="K154" s="2">
        <v>68.366699999999994</v>
      </c>
      <c r="L154" s="2">
        <v>136</v>
      </c>
      <c r="M154" s="2">
        <v>104.7195</v>
      </c>
      <c r="N154" s="2">
        <v>92</v>
      </c>
      <c r="O154" s="2">
        <v>103.6288</v>
      </c>
      <c r="P154" s="2">
        <v>106</v>
      </c>
      <c r="Q154" s="2">
        <v>100.7266</v>
      </c>
      <c r="R154" s="2">
        <v>145</v>
      </c>
      <c r="S154" s="2">
        <v>104.086</v>
      </c>
      <c r="T154" s="2">
        <v>213</v>
      </c>
      <c r="U154" s="2">
        <v>0.48734699999999997</v>
      </c>
      <c r="V154" s="2">
        <v>153</v>
      </c>
      <c r="W154" s="2">
        <v>2004</v>
      </c>
    </row>
    <row r="155" spans="1:23" ht="12.3" x14ac:dyDescent="0.4">
      <c r="A155" s="2" t="s">
        <v>183</v>
      </c>
      <c r="B155" s="2"/>
      <c r="C155" s="2"/>
      <c r="D155" s="2"/>
      <c r="E155" s="2"/>
      <c r="F155" s="2"/>
      <c r="G155" s="2"/>
      <c r="H155" s="2"/>
      <c r="I155" s="2">
        <v>66.514499999999998</v>
      </c>
      <c r="J155" s="2">
        <v>212</v>
      </c>
      <c r="K155" s="2">
        <v>66.4084</v>
      </c>
      <c r="L155" s="2">
        <v>209</v>
      </c>
      <c r="M155" s="2">
        <v>100.39660000000001</v>
      </c>
      <c r="N155" s="2">
        <v>173</v>
      </c>
      <c r="O155" s="2">
        <v>101.4658</v>
      </c>
      <c r="P155" s="2">
        <v>154</v>
      </c>
      <c r="Q155" s="2">
        <v>102.90049999999999</v>
      </c>
      <c r="R155" s="2">
        <v>195</v>
      </c>
      <c r="S155" s="2">
        <v>101.94280000000001</v>
      </c>
      <c r="T155" s="2">
        <v>173</v>
      </c>
      <c r="U155" s="2">
        <v>0.48651800000000001</v>
      </c>
      <c r="V155" s="2">
        <v>154</v>
      </c>
      <c r="W155" s="2">
        <v>2004</v>
      </c>
    </row>
    <row r="156" spans="1:23" ht="12.3" x14ac:dyDescent="0.4">
      <c r="A156" s="2" t="s">
        <v>335</v>
      </c>
      <c r="B156" s="2"/>
      <c r="C156" s="2"/>
      <c r="D156" s="2"/>
      <c r="E156" s="2"/>
      <c r="F156" s="2"/>
      <c r="G156" s="2"/>
      <c r="H156" s="2"/>
      <c r="I156" s="2">
        <v>70.066199999999995</v>
      </c>
      <c r="J156" s="2">
        <v>86</v>
      </c>
      <c r="K156" s="2">
        <v>69.776200000000003</v>
      </c>
      <c r="L156" s="2">
        <v>85</v>
      </c>
      <c r="M156" s="2">
        <v>106.62990000000001</v>
      </c>
      <c r="N156" s="2">
        <v>69</v>
      </c>
      <c r="O156" s="2">
        <v>106.41719999999999</v>
      </c>
      <c r="P156" s="2">
        <v>75</v>
      </c>
      <c r="Q156" s="2">
        <v>105.7889</v>
      </c>
      <c r="R156" s="2">
        <v>272</v>
      </c>
      <c r="S156" s="2">
        <v>106.9389</v>
      </c>
      <c r="T156" s="2">
        <v>274</v>
      </c>
      <c r="U156" s="2">
        <v>0.48594100000000001</v>
      </c>
      <c r="V156" s="2">
        <v>155</v>
      </c>
      <c r="W156" s="2">
        <v>2004</v>
      </c>
    </row>
    <row r="157" spans="1:23" ht="12.3" x14ac:dyDescent="0.4">
      <c r="A157" s="2" t="s">
        <v>205</v>
      </c>
      <c r="B157" s="2"/>
      <c r="C157" s="2"/>
      <c r="D157" s="2"/>
      <c r="E157" s="2"/>
      <c r="F157" s="2"/>
      <c r="G157" s="2"/>
      <c r="H157" s="2"/>
      <c r="I157" s="2">
        <v>69.700900000000004</v>
      </c>
      <c r="J157" s="2">
        <v>99</v>
      </c>
      <c r="K157" s="2">
        <v>69.968299999999999</v>
      </c>
      <c r="L157" s="2">
        <v>77</v>
      </c>
      <c r="M157" s="2">
        <v>97.417000000000002</v>
      </c>
      <c r="N157" s="2">
        <v>245</v>
      </c>
      <c r="O157" s="2">
        <v>99.273600000000002</v>
      </c>
      <c r="P157" s="2">
        <v>198</v>
      </c>
      <c r="Q157" s="2">
        <v>100.3896</v>
      </c>
      <c r="R157" s="2">
        <v>139</v>
      </c>
      <c r="S157" s="2">
        <v>99.790499999999994</v>
      </c>
      <c r="T157" s="2">
        <v>131</v>
      </c>
      <c r="U157" s="2">
        <v>0.48507499999999998</v>
      </c>
      <c r="V157" s="2">
        <v>156</v>
      </c>
      <c r="W157" s="2">
        <v>2004</v>
      </c>
    </row>
    <row r="158" spans="1:23" ht="12.3" x14ac:dyDescent="0.4">
      <c r="A158" s="2" t="s">
        <v>304</v>
      </c>
      <c r="B158" s="2"/>
      <c r="C158" s="2"/>
      <c r="D158" s="2"/>
      <c r="E158" s="2"/>
      <c r="F158" s="2"/>
      <c r="G158" s="2"/>
      <c r="H158" s="2"/>
      <c r="I158" s="2">
        <v>64.146699999999996</v>
      </c>
      <c r="J158" s="2">
        <v>285</v>
      </c>
      <c r="K158" s="2">
        <v>64.783100000000005</v>
      </c>
      <c r="L158" s="2">
        <v>272</v>
      </c>
      <c r="M158" s="2">
        <v>97.962299999999999</v>
      </c>
      <c r="N158" s="2">
        <v>234</v>
      </c>
      <c r="O158" s="2">
        <v>97.564099999999996</v>
      </c>
      <c r="P158" s="2">
        <v>232</v>
      </c>
      <c r="Q158" s="2">
        <v>99.770399999999995</v>
      </c>
      <c r="R158" s="2">
        <v>126</v>
      </c>
      <c r="S158" s="2">
        <v>98.074799999999996</v>
      </c>
      <c r="T158" s="2">
        <v>90</v>
      </c>
      <c r="U158" s="2">
        <v>0.48499599999999998</v>
      </c>
      <c r="V158" s="2">
        <v>157</v>
      </c>
      <c r="W158" s="2">
        <v>2004</v>
      </c>
    </row>
    <row r="159" spans="1:23" ht="12.3" x14ac:dyDescent="0.4">
      <c r="A159" s="2" t="s">
        <v>65</v>
      </c>
      <c r="B159" s="2"/>
      <c r="C159" s="2"/>
      <c r="D159" s="2"/>
      <c r="E159" s="2"/>
      <c r="F159" s="2"/>
      <c r="G159" s="2"/>
      <c r="H159" s="2"/>
      <c r="I159" s="2">
        <v>66.060500000000005</v>
      </c>
      <c r="J159" s="2">
        <v>229</v>
      </c>
      <c r="K159" s="2">
        <v>64.927999999999997</v>
      </c>
      <c r="L159" s="2">
        <v>269</v>
      </c>
      <c r="M159" s="2">
        <v>98.763000000000005</v>
      </c>
      <c r="N159" s="2">
        <v>218</v>
      </c>
      <c r="O159" s="2">
        <v>99.656199999999998</v>
      </c>
      <c r="P159" s="2">
        <v>187</v>
      </c>
      <c r="Q159" s="2">
        <v>103.8721</v>
      </c>
      <c r="R159" s="2">
        <v>230</v>
      </c>
      <c r="S159" s="2">
        <v>100.17910000000001</v>
      </c>
      <c r="T159" s="2">
        <v>146</v>
      </c>
      <c r="U159" s="2">
        <v>0.48495899999999997</v>
      </c>
      <c r="V159" s="2">
        <v>158</v>
      </c>
      <c r="W159" s="2">
        <v>2004</v>
      </c>
    </row>
    <row r="160" spans="1:23" ht="12.3" x14ac:dyDescent="0.4">
      <c r="A160" s="2" t="s">
        <v>220</v>
      </c>
      <c r="B160" s="2">
        <v>15</v>
      </c>
      <c r="C160" s="2"/>
      <c r="D160" s="2"/>
      <c r="E160" s="2"/>
      <c r="F160" s="2"/>
      <c r="G160" s="2"/>
      <c r="H160" s="2"/>
      <c r="I160" s="2">
        <v>65.257099999999994</v>
      </c>
      <c r="J160" s="2">
        <v>254</v>
      </c>
      <c r="K160" s="2">
        <v>66.093000000000004</v>
      </c>
      <c r="L160" s="2">
        <v>222</v>
      </c>
      <c r="M160" s="2">
        <v>101.6133</v>
      </c>
      <c r="N160" s="2">
        <v>148</v>
      </c>
      <c r="O160" s="2">
        <v>99.417500000000004</v>
      </c>
      <c r="P160" s="2">
        <v>194</v>
      </c>
      <c r="Q160" s="2">
        <v>95.119200000000006</v>
      </c>
      <c r="R160" s="2">
        <v>43</v>
      </c>
      <c r="S160" s="2">
        <v>99.984800000000007</v>
      </c>
      <c r="T160" s="2">
        <v>137</v>
      </c>
      <c r="U160" s="2">
        <v>0.48364800000000002</v>
      </c>
      <c r="V160" s="2">
        <v>159</v>
      </c>
      <c r="W160" s="2">
        <v>2004</v>
      </c>
    </row>
    <row r="161" spans="1:23" ht="12.3" x14ac:dyDescent="0.4">
      <c r="A161" s="2" t="s">
        <v>217</v>
      </c>
      <c r="B161" s="2"/>
      <c r="C161" s="2"/>
      <c r="D161" s="2"/>
      <c r="E161" s="2"/>
      <c r="F161" s="2"/>
      <c r="G161" s="2"/>
      <c r="H161" s="2"/>
      <c r="I161" s="2">
        <v>63.904800000000002</v>
      </c>
      <c r="J161" s="2">
        <v>291</v>
      </c>
      <c r="K161" s="2">
        <v>63.597299999999997</v>
      </c>
      <c r="L161" s="2">
        <v>296</v>
      </c>
      <c r="M161" s="2">
        <v>100.0535</v>
      </c>
      <c r="N161" s="2">
        <v>180</v>
      </c>
      <c r="O161" s="2">
        <v>99.459000000000003</v>
      </c>
      <c r="P161" s="2">
        <v>191</v>
      </c>
      <c r="Q161" s="2">
        <v>102.9727</v>
      </c>
      <c r="R161" s="2">
        <v>200</v>
      </c>
      <c r="S161" s="2">
        <v>100.0826</v>
      </c>
      <c r="T161" s="2">
        <v>142</v>
      </c>
      <c r="U161" s="2">
        <v>0.48204000000000002</v>
      </c>
      <c r="V161" s="2">
        <v>160</v>
      </c>
      <c r="W161" s="2">
        <v>2004</v>
      </c>
    </row>
    <row r="162" spans="1:23" ht="12.3" x14ac:dyDescent="0.4">
      <c r="A162" s="2" t="s">
        <v>173</v>
      </c>
      <c r="B162" s="2"/>
      <c r="C162" s="2"/>
      <c r="D162" s="2"/>
      <c r="E162" s="2"/>
      <c r="F162" s="2"/>
      <c r="G162" s="2"/>
      <c r="H162" s="2"/>
      <c r="I162" s="2">
        <v>66.7</v>
      </c>
      <c r="J162" s="2">
        <v>202</v>
      </c>
      <c r="K162" s="2">
        <v>67.199100000000001</v>
      </c>
      <c r="L162" s="2">
        <v>185</v>
      </c>
      <c r="M162" s="2">
        <v>95.821100000000001</v>
      </c>
      <c r="N162" s="2">
        <v>267</v>
      </c>
      <c r="O162" s="2">
        <v>98.599100000000007</v>
      </c>
      <c r="P162" s="2">
        <v>213</v>
      </c>
      <c r="Q162" s="2">
        <v>102.29649999999999</v>
      </c>
      <c r="R162" s="2">
        <v>183</v>
      </c>
      <c r="S162" s="2">
        <v>99.261300000000006</v>
      </c>
      <c r="T162" s="2">
        <v>119</v>
      </c>
      <c r="U162" s="2">
        <v>0.480765</v>
      </c>
      <c r="V162" s="2">
        <v>161</v>
      </c>
      <c r="W162" s="2">
        <v>2004</v>
      </c>
    </row>
    <row r="163" spans="1:23" ht="12.3" x14ac:dyDescent="0.4">
      <c r="A163" s="2" t="s">
        <v>195</v>
      </c>
      <c r="B163" s="2"/>
      <c r="C163" s="2"/>
      <c r="D163" s="2"/>
      <c r="E163" s="2"/>
      <c r="F163" s="2"/>
      <c r="G163" s="2"/>
      <c r="H163" s="2"/>
      <c r="I163" s="2">
        <v>70.165300000000002</v>
      </c>
      <c r="J163" s="2">
        <v>82</v>
      </c>
      <c r="K163" s="2">
        <v>68.225800000000007</v>
      </c>
      <c r="L163" s="2">
        <v>146</v>
      </c>
      <c r="M163" s="2">
        <v>102.57599999999999</v>
      </c>
      <c r="N163" s="2">
        <v>118</v>
      </c>
      <c r="O163" s="2">
        <v>99.894999999999996</v>
      </c>
      <c r="P163" s="2">
        <v>180</v>
      </c>
      <c r="Q163" s="2">
        <v>97.3005</v>
      </c>
      <c r="R163" s="2">
        <v>84</v>
      </c>
      <c r="S163" s="2">
        <v>100.6507</v>
      </c>
      <c r="T163" s="2">
        <v>149</v>
      </c>
      <c r="U163" s="2">
        <v>0.47834500000000002</v>
      </c>
      <c r="V163" s="2">
        <v>162</v>
      </c>
      <c r="W163" s="2">
        <v>2004</v>
      </c>
    </row>
    <row r="164" spans="1:23" ht="12.3" x14ac:dyDescent="0.4">
      <c r="A164" s="2" t="s">
        <v>290</v>
      </c>
      <c r="B164" s="2"/>
      <c r="C164" s="2"/>
      <c r="D164" s="2"/>
      <c r="E164" s="2"/>
      <c r="F164" s="2"/>
      <c r="G164" s="2"/>
      <c r="H164" s="2"/>
      <c r="I164" s="2">
        <v>68.443399999999997</v>
      </c>
      <c r="J164" s="2">
        <v>142</v>
      </c>
      <c r="K164" s="2">
        <v>68.161299999999997</v>
      </c>
      <c r="L164" s="2">
        <v>149</v>
      </c>
      <c r="M164" s="2">
        <v>100.84569999999999</v>
      </c>
      <c r="N164" s="2">
        <v>168</v>
      </c>
      <c r="O164" s="2">
        <v>103.0712</v>
      </c>
      <c r="P164" s="2">
        <v>122</v>
      </c>
      <c r="Q164" s="2">
        <v>106.407</v>
      </c>
      <c r="R164" s="2">
        <v>281</v>
      </c>
      <c r="S164" s="2">
        <v>103.8685</v>
      </c>
      <c r="T164" s="2">
        <v>208</v>
      </c>
      <c r="U164" s="2">
        <v>0.47786000000000001</v>
      </c>
      <c r="V164" s="2">
        <v>163</v>
      </c>
      <c r="W164" s="2">
        <v>2004</v>
      </c>
    </row>
    <row r="165" spans="1:23" ht="12.3" x14ac:dyDescent="0.4">
      <c r="A165" s="2" t="s">
        <v>236</v>
      </c>
      <c r="B165" s="2"/>
      <c r="C165" s="2"/>
      <c r="D165" s="2"/>
      <c r="E165" s="2"/>
      <c r="F165" s="2"/>
      <c r="G165" s="2"/>
      <c r="H165" s="2"/>
      <c r="I165" s="2">
        <v>64.73</v>
      </c>
      <c r="J165" s="2">
        <v>265</v>
      </c>
      <c r="K165" s="2">
        <v>65.326899999999995</v>
      </c>
      <c r="L165" s="2">
        <v>252</v>
      </c>
      <c r="M165" s="2">
        <v>99.817499999999995</v>
      </c>
      <c r="N165" s="2">
        <v>184</v>
      </c>
      <c r="O165" s="2">
        <v>99.240300000000005</v>
      </c>
      <c r="P165" s="2">
        <v>200</v>
      </c>
      <c r="Q165" s="2">
        <v>100.4191</v>
      </c>
      <c r="R165" s="2">
        <v>140</v>
      </c>
      <c r="S165" s="2">
        <v>100.0093</v>
      </c>
      <c r="T165" s="2">
        <v>139</v>
      </c>
      <c r="U165" s="2">
        <v>0.47782200000000002</v>
      </c>
      <c r="V165" s="2">
        <v>164</v>
      </c>
      <c r="W165" s="2">
        <v>2004</v>
      </c>
    </row>
    <row r="166" spans="1:23" ht="12.3" x14ac:dyDescent="0.4">
      <c r="A166" s="2" t="s">
        <v>175</v>
      </c>
      <c r="B166" s="2"/>
      <c r="C166" s="2"/>
      <c r="D166" s="2"/>
      <c r="E166" s="2"/>
      <c r="F166" s="2"/>
      <c r="G166" s="2"/>
      <c r="H166" s="2"/>
      <c r="I166" s="2">
        <v>66.159700000000001</v>
      </c>
      <c r="J166" s="2">
        <v>227</v>
      </c>
      <c r="K166" s="2">
        <v>65.9435</v>
      </c>
      <c r="L166" s="2">
        <v>227</v>
      </c>
      <c r="M166" s="2">
        <v>95.069199999999995</v>
      </c>
      <c r="N166" s="2">
        <v>277</v>
      </c>
      <c r="O166" s="2">
        <v>98.320099999999996</v>
      </c>
      <c r="P166" s="2">
        <v>216</v>
      </c>
      <c r="Q166" s="2">
        <v>102.0557</v>
      </c>
      <c r="R166" s="2">
        <v>179</v>
      </c>
      <c r="S166" s="2">
        <v>99.271299999999997</v>
      </c>
      <c r="T166" s="2">
        <v>120</v>
      </c>
      <c r="U166" s="2">
        <v>0.47234999999999999</v>
      </c>
      <c r="V166" s="2">
        <v>165</v>
      </c>
      <c r="W166" s="2">
        <v>2004</v>
      </c>
    </row>
    <row r="167" spans="1:23" ht="12.3" x14ac:dyDescent="0.4">
      <c r="A167" s="2" t="s">
        <v>256</v>
      </c>
      <c r="B167" s="2"/>
      <c r="C167" s="2"/>
      <c r="D167" s="2"/>
      <c r="E167" s="2"/>
      <c r="F167" s="2"/>
      <c r="G167" s="2"/>
      <c r="H167" s="2"/>
      <c r="I167" s="2">
        <v>67.457599999999999</v>
      </c>
      <c r="J167" s="2">
        <v>183</v>
      </c>
      <c r="K167" s="2">
        <v>66.2363</v>
      </c>
      <c r="L167" s="2">
        <v>214</v>
      </c>
      <c r="M167" s="2">
        <v>104.928</v>
      </c>
      <c r="N167" s="2">
        <v>88</v>
      </c>
      <c r="O167" s="2">
        <v>104.49420000000001</v>
      </c>
      <c r="P167" s="2">
        <v>99</v>
      </c>
      <c r="Q167" s="2">
        <v>105.65089999999999</v>
      </c>
      <c r="R167" s="2">
        <v>267</v>
      </c>
      <c r="S167" s="2">
        <v>105.6037</v>
      </c>
      <c r="T167" s="2">
        <v>254</v>
      </c>
      <c r="U167" s="2">
        <v>0.46967199999999998</v>
      </c>
      <c r="V167" s="2">
        <v>166</v>
      </c>
      <c r="W167" s="2">
        <v>2004</v>
      </c>
    </row>
    <row r="168" spans="1:23" ht="12.3" x14ac:dyDescent="0.4">
      <c r="A168" s="2" t="s">
        <v>323</v>
      </c>
      <c r="B168" s="2"/>
      <c r="C168" s="2"/>
      <c r="D168" s="2"/>
      <c r="E168" s="2"/>
      <c r="F168" s="2"/>
      <c r="G168" s="2"/>
      <c r="H168" s="2"/>
      <c r="I168" s="2">
        <v>66.167699999999996</v>
      </c>
      <c r="J168" s="2">
        <v>226</v>
      </c>
      <c r="K168" s="2">
        <v>65.854299999999995</v>
      </c>
      <c r="L168" s="2">
        <v>230</v>
      </c>
      <c r="M168" s="2">
        <v>108.77670000000001</v>
      </c>
      <c r="N168" s="2">
        <v>32</v>
      </c>
      <c r="O168" s="2">
        <v>104.9315</v>
      </c>
      <c r="P168" s="2">
        <v>94</v>
      </c>
      <c r="Q168" s="2">
        <v>98.674300000000002</v>
      </c>
      <c r="R168" s="2">
        <v>103</v>
      </c>
      <c r="S168" s="2">
        <v>106.14790000000001</v>
      </c>
      <c r="T168" s="2">
        <v>266</v>
      </c>
      <c r="U168" s="2">
        <v>0.466914</v>
      </c>
      <c r="V168" s="2">
        <v>167</v>
      </c>
      <c r="W168" s="2">
        <v>2004</v>
      </c>
    </row>
    <row r="169" spans="1:23" ht="12.3" x14ac:dyDescent="0.4">
      <c r="A169" s="2" t="s">
        <v>245</v>
      </c>
      <c r="B169" s="2"/>
      <c r="C169" s="2"/>
      <c r="D169" s="2"/>
      <c r="E169" s="2"/>
      <c r="F169" s="2"/>
      <c r="G169" s="2"/>
      <c r="H169" s="2"/>
      <c r="I169" s="2">
        <v>68.0869</v>
      </c>
      <c r="J169" s="2">
        <v>157</v>
      </c>
      <c r="K169" s="2">
        <v>68.711699999999993</v>
      </c>
      <c r="L169" s="2">
        <v>124</v>
      </c>
      <c r="M169" s="2">
        <v>95.938500000000005</v>
      </c>
      <c r="N169" s="2">
        <v>266</v>
      </c>
      <c r="O169" s="2">
        <v>96.232299999999995</v>
      </c>
      <c r="P169" s="2">
        <v>256</v>
      </c>
      <c r="Q169" s="2">
        <v>98.887799999999999</v>
      </c>
      <c r="R169" s="2">
        <v>108</v>
      </c>
      <c r="S169" s="2">
        <v>97.389799999999994</v>
      </c>
      <c r="T169" s="2">
        <v>78</v>
      </c>
      <c r="U169" s="2">
        <v>0.46567999999999998</v>
      </c>
      <c r="V169" s="2">
        <v>168</v>
      </c>
      <c r="W169" s="2">
        <v>2004</v>
      </c>
    </row>
    <row r="170" spans="1:23" ht="12.3" x14ac:dyDescent="0.4">
      <c r="A170" s="2" t="s">
        <v>299</v>
      </c>
      <c r="B170" s="2"/>
      <c r="C170" s="2"/>
      <c r="D170" s="2"/>
      <c r="E170" s="2"/>
      <c r="F170" s="2"/>
      <c r="G170" s="2"/>
      <c r="H170" s="2"/>
      <c r="I170" s="2">
        <v>66.895499999999998</v>
      </c>
      <c r="J170" s="2">
        <v>197</v>
      </c>
      <c r="K170" s="2">
        <v>65.242099999999994</v>
      </c>
      <c r="L170" s="2">
        <v>256</v>
      </c>
      <c r="M170" s="2">
        <v>102.3737</v>
      </c>
      <c r="N170" s="2">
        <v>126</v>
      </c>
      <c r="O170" s="2">
        <v>97.398799999999994</v>
      </c>
      <c r="P170" s="2">
        <v>236</v>
      </c>
      <c r="Q170" s="2">
        <v>88.831100000000006</v>
      </c>
      <c r="R170" s="2">
        <v>2</v>
      </c>
      <c r="S170" s="2">
        <v>98.602599999999995</v>
      </c>
      <c r="T170" s="2">
        <v>103</v>
      </c>
      <c r="U170" s="2">
        <v>0.46474500000000002</v>
      </c>
      <c r="V170" s="2">
        <v>169</v>
      </c>
      <c r="W170" s="2">
        <v>2004</v>
      </c>
    </row>
    <row r="171" spans="1:23" ht="12.3" x14ac:dyDescent="0.4">
      <c r="A171" s="2" t="s">
        <v>178</v>
      </c>
      <c r="B171" s="2"/>
      <c r="C171" s="2"/>
      <c r="D171" s="2"/>
      <c r="E171" s="2"/>
      <c r="F171" s="2"/>
      <c r="G171" s="2"/>
      <c r="H171" s="2"/>
      <c r="I171" s="2">
        <v>64.394199999999998</v>
      </c>
      <c r="J171" s="2">
        <v>278</v>
      </c>
      <c r="K171" s="2">
        <v>65.6631</v>
      </c>
      <c r="L171" s="2">
        <v>237</v>
      </c>
      <c r="M171" s="2">
        <v>97.423199999999994</v>
      </c>
      <c r="N171" s="2">
        <v>244</v>
      </c>
      <c r="O171" s="2">
        <v>94.765299999999996</v>
      </c>
      <c r="P171" s="2">
        <v>277</v>
      </c>
      <c r="Q171" s="2">
        <v>89.794499999999999</v>
      </c>
      <c r="R171" s="2">
        <v>3</v>
      </c>
      <c r="S171" s="2">
        <v>96.003600000000006</v>
      </c>
      <c r="T171" s="2">
        <v>57</v>
      </c>
      <c r="U171" s="2">
        <v>0.46274500000000002</v>
      </c>
      <c r="V171" s="2">
        <v>170</v>
      </c>
      <c r="W171" s="2">
        <v>2004</v>
      </c>
    </row>
    <row r="172" spans="1:23" ht="12.3" x14ac:dyDescent="0.4">
      <c r="A172" s="2" t="s">
        <v>171</v>
      </c>
      <c r="B172" s="2"/>
      <c r="C172" s="2"/>
      <c r="D172" s="2"/>
      <c r="E172" s="2"/>
      <c r="F172" s="2"/>
      <c r="G172" s="2"/>
      <c r="H172" s="2"/>
      <c r="I172" s="2">
        <v>64.903700000000001</v>
      </c>
      <c r="J172" s="2">
        <v>260</v>
      </c>
      <c r="K172" s="2">
        <v>65.172300000000007</v>
      </c>
      <c r="L172" s="2">
        <v>260</v>
      </c>
      <c r="M172" s="2">
        <v>102.32389999999999</v>
      </c>
      <c r="N172" s="2">
        <v>127</v>
      </c>
      <c r="O172" s="2">
        <v>102.1109</v>
      </c>
      <c r="P172" s="2">
        <v>137</v>
      </c>
      <c r="Q172" s="2">
        <v>103.9254</v>
      </c>
      <c r="R172" s="2">
        <v>233</v>
      </c>
      <c r="S172" s="2">
        <v>103.73990000000001</v>
      </c>
      <c r="T172" s="2">
        <v>204</v>
      </c>
      <c r="U172" s="2">
        <v>0.45462200000000003</v>
      </c>
      <c r="V172" s="2">
        <v>171</v>
      </c>
      <c r="W172" s="2">
        <v>2004</v>
      </c>
    </row>
    <row r="173" spans="1:23" ht="12.3" x14ac:dyDescent="0.4">
      <c r="A173" s="2" t="s">
        <v>170</v>
      </c>
      <c r="B173" s="2"/>
      <c r="C173" s="2"/>
      <c r="D173" s="2"/>
      <c r="E173" s="2"/>
      <c r="F173" s="2"/>
      <c r="G173" s="2"/>
      <c r="H173" s="2"/>
      <c r="I173" s="2">
        <v>64.067300000000003</v>
      </c>
      <c r="J173" s="2">
        <v>287</v>
      </c>
      <c r="K173" s="2">
        <v>63.3108</v>
      </c>
      <c r="L173" s="2">
        <v>303</v>
      </c>
      <c r="M173" s="2">
        <v>105.0294</v>
      </c>
      <c r="N173" s="2">
        <v>85</v>
      </c>
      <c r="O173" s="2">
        <v>103.8014</v>
      </c>
      <c r="P173" s="2">
        <v>105</v>
      </c>
      <c r="Q173" s="2">
        <v>104.67789999999999</v>
      </c>
      <c r="R173" s="2">
        <v>249</v>
      </c>
      <c r="S173" s="2">
        <v>105.4674</v>
      </c>
      <c r="T173" s="2">
        <v>251</v>
      </c>
      <c r="U173" s="2">
        <v>0.45434799999999997</v>
      </c>
      <c r="V173" s="2">
        <v>172</v>
      </c>
      <c r="W173" s="2">
        <v>2004</v>
      </c>
    </row>
    <row r="174" spans="1:23" ht="12.3" x14ac:dyDescent="0.4">
      <c r="A174" s="2" t="s">
        <v>89</v>
      </c>
      <c r="B174" s="2"/>
      <c r="C174" s="2"/>
      <c r="D174" s="2"/>
      <c r="E174" s="2"/>
      <c r="F174" s="2"/>
      <c r="G174" s="2"/>
      <c r="H174" s="2"/>
      <c r="I174" s="2">
        <v>67.594700000000003</v>
      </c>
      <c r="J174" s="2">
        <v>178</v>
      </c>
      <c r="K174" s="2">
        <v>67.4131</v>
      </c>
      <c r="L174" s="2">
        <v>173</v>
      </c>
      <c r="M174" s="2">
        <v>102.488</v>
      </c>
      <c r="N174" s="2">
        <v>120</v>
      </c>
      <c r="O174" s="2">
        <v>102.4973</v>
      </c>
      <c r="P174" s="2">
        <v>134</v>
      </c>
      <c r="Q174" s="2">
        <v>105.1952</v>
      </c>
      <c r="R174" s="2">
        <v>260</v>
      </c>
      <c r="S174" s="2">
        <v>104.19499999999999</v>
      </c>
      <c r="T174" s="2">
        <v>216</v>
      </c>
      <c r="U174" s="2">
        <v>0.45291199999999998</v>
      </c>
      <c r="V174" s="2">
        <v>173</v>
      </c>
      <c r="W174" s="2">
        <v>2004</v>
      </c>
    </row>
    <row r="175" spans="1:23" ht="12.3" x14ac:dyDescent="0.4">
      <c r="A175" s="2" t="s">
        <v>165</v>
      </c>
      <c r="B175" s="2"/>
      <c r="C175" s="2"/>
      <c r="D175" s="2"/>
      <c r="E175" s="2"/>
      <c r="F175" s="2"/>
      <c r="G175" s="2"/>
      <c r="H175" s="2"/>
      <c r="I175" s="2">
        <v>71.498000000000005</v>
      </c>
      <c r="J175" s="2">
        <v>39</v>
      </c>
      <c r="K175" s="2">
        <v>71.200299999999999</v>
      </c>
      <c r="L175" s="2">
        <v>40</v>
      </c>
      <c r="M175" s="2">
        <v>102.2193</v>
      </c>
      <c r="N175" s="2">
        <v>130</v>
      </c>
      <c r="O175" s="2">
        <v>101.3723</v>
      </c>
      <c r="P175" s="2">
        <v>155</v>
      </c>
      <c r="Q175" s="2">
        <v>103.7719</v>
      </c>
      <c r="R175" s="2">
        <v>224</v>
      </c>
      <c r="S175" s="2">
        <v>103.149</v>
      </c>
      <c r="T175" s="2">
        <v>191</v>
      </c>
      <c r="U175" s="2">
        <v>0.450214</v>
      </c>
      <c r="V175" s="2">
        <v>174</v>
      </c>
      <c r="W175" s="2">
        <v>2004</v>
      </c>
    </row>
    <row r="176" spans="1:23" ht="12.3" x14ac:dyDescent="0.4">
      <c r="A176" s="2" t="s">
        <v>197</v>
      </c>
      <c r="B176" s="2"/>
      <c r="C176" s="2"/>
      <c r="D176" s="2"/>
      <c r="E176" s="2"/>
      <c r="F176" s="2"/>
      <c r="G176" s="2"/>
      <c r="H176" s="2"/>
      <c r="I176" s="2">
        <v>70.165499999999994</v>
      </c>
      <c r="J176" s="2">
        <v>81</v>
      </c>
      <c r="K176" s="2">
        <v>70.105400000000003</v>
      </c>
      <c r="L176" s="2">
        <v>71</v>
      </c>
      <c r="M176" s="2">
        <v>98.6554</v>
      </c>
      <c r="N176" s="2">
        <v>220</v>
      </c>
      <c r="O176" s="2">
        <v>99.816400000000002</v>
      </c>
      <c r="P176" s="2">
        <v>181</v>
      </c>
      <c r="Q176" s="2">
        <v>104.8389</v>
      </c>
      <c r="R176" s="2">
        <v>252</v>
      </c>
      <c r="S176" s="2">
        <v>101.7448</v>
      </c>
      <c r="T176" s="2">
        <v>169</v>
      </c>
      <c r="U176" s="2">
        <v>0.44520599999999999</v>
      </c>
      <c r="V176" s="2">
        <v>175</v>
      </c>
      <c r="W176" s="2">
        <v>2004</v>
      </c>
    </row>
    <row r="177" spans="1:23" ht="12.3" x14ac:dyDescent="0.4">
      <c r="A177" s="2" t="s">
        <v>226</v>
      </c>
      <c r="B177" s="2"/>
      <c r="C177" s="2"/>
      <c r="D177" s="2"/>
      <c r="E177" s="2"/>
      <c r="F177" s="2"/>
      <c r="G177" s="2"/>
      <c r="H177" s="2"/>
      <c r="I177" s="2">
        <v>65.074200000000005</v>
      </c>
      <c r="J177" s="2">
        <v>258</v>
      </c>
      <c r="K177" s="2">
        <v>65.4666</v>
      </c>
      <c r="L177" s="2">
        <v>245</v>
      </c>
      <c r="M177" s="2">
        <v>102.83369999999999</v>
      </c>
      <c r="N177" s="2">
        <v>116</v>
      </c>
      <c r="O177" s="2">
        <v>100.8235</v>
      </c>
      <c r="P177" s="2">
        <v>164</v>
      </c>
      <c r="Q177" s="2">
        <v>98.780600000000007</v>
      </c>
      <c r="R177" s="2">
        <v>106</v>
      </c>
      <c r="S177" s="2">
        <v>102.8467</v>
      </c>
      <c r="T177" s="2">
        <v>186</v>
      </c>
      <c r="U177" s="2">
        <v>0.443129</v>
      </c>
      <c r="V177" s="2">
        <v>176</v>
      </c>
      <c r="W177" s="2">
        <v>2004</v>
      </c>
    </row>
    <row r="178" spans="1:23" ht="12.3" x14ac:dyDescent="0.4">
      <c r="A178" s="2" t="s">
        <v>69</v>
      </c>
      <c r="B178" s="2"/>
      <c r="C178" s="2"/>
      <c r="D178" s="2"/>
      <c r="E178" s="2"/>
      <c r="F178" s="2"/>
      <c r="G178" s="2"/>
      <c r="H178" s="2"/>
      <c r="I178" s="2">
        <v>68.5047</v>
      </c>
      <c r="J178" s="2">
        <v>140</v>
      </c>
      <c r="K178" s="2">
        <v>69.211399999999998</v>
      </c>
      <c r="L178" s="2">
        <v>109</v>
      </c>
      <c r="M178" s="2">
        <v>97.965299999999999</v>
      </c>
      <c r="N178" s="2">
        <v>232</v>
      </c>
      <c r="O178" s="2">
        <v>98.995900000000006</v>
      </c>
      <c r="P178" s="2">
        <v>209</v>
      </c>
      <c r="Q178" s="2">
        <v>102.87609999999999</v>
      </c>
      <c r="R178" s="2">
        <v>194</v>
      </c>
      <c r="S178" s="2">
        <v>100.99809999999999</v>
      </c>
      <c r="T178" s="2">
        <v>158</v>
      </c>
      <c r="U178" s="2">
        <v>0.44268400000000002</v>
      </c>
      <c r="V178" s="2">
        <v>177</v>
      </c>
      <c r="W178" s="2">
        <v>2004</v>
      </c>
    </row>
    <row r="179" spans="1:23" ht="12.3" x14ac:dyDescent="0.4">
      <c r="A179" s="2" t="s">
        <v>286</v>
      </c>
      <c r="B179" s="2"/>
      <c r="C179" s="2"/>
      <c r="D179" s="2"/>
      <c r="E179" s="2"/>
      <c r="F179" s="2"/>
      <c r="G179" s="2"/>
      <c r="H179" s="2"/>
      <c r="I179" s="2">
        <v>66.696600000000004</v>
      </c>
      <c r="J179" s="2">
        <v>203</v>
      </c>
      <c r="K179" s="2">
        <v>66.871499999999997</v>
      </c>
      <c r="L179" s="2">
        <v>198</v>
      </c>
      <c r="M179" s="2">
        <v>102.4328</v>
      </c>
      <c r="N179" s="2">
        <v>121</v>
      </c>
      <c r="O179" s="2">
        <v>101.56229999999999</v>
      </c>
      <c r="P179" s="2">
        <v>151</v>
      </c>
      <c r="Q179" s="2">
        <v>103.49509999999999</v>
      </c>
      <c r="R179" s="2">
        <v>217</v>
      </c>
      <c r="S179" s="2">
        <v>103.6768</v>
      </c>
      <c r="T179" s="2">
        <v>200</v>
      </c>
      <c r="U179" s="2">
        <v>0.44103199999999998</v>
      </c>
      <c r="V179" s="2">
        <v>178</v>
      </c>
      <c r="W179" s="2">
        <v>2004</v>
      </c>
    </row>
    <row r="180" spans="1:23" ht="12.3" x14ac:dyDescent="0.4">
      <c r="A180" s="2" t="s">
        <v>346</v>
      </c>
      <c r="B180" s="2">
        <v>16</v>
      </c>
      <c r="C180" s="2"/>
      <c r="D180" s="2"/>
      <c r="E180" s="2"/>
      <c r="F180" s="2"/>
      <c r="G180" s="2"/>
      <c r="H180" s="2"/>
      <c r="I180" s="2">
        <v>69.130799999999994</v>
      </c>
      <c r="J180" s="2">
        <v>119</v>
      </c>
      <c r="K180" s="2">
        <v>68.889899999999997</v>
      </c>
      <c r="L180" s="2">
        <v>120</v>
      </c>
      <c r="M180" s="2">
        <v>99.052599999999998</v>
      </c>
      <c r="N180" s="2">
        <v>211</v>
      </c>
      <c r="O180" s="2">
        <v>96.826499999999996</v>
      </c>
      <c r="P180" s="2">
        <v>249</v>
      </c>
      <c r="Q180" s="2">
        <v>96.328199999999995</v>
      </c>
      <c r="R180" s="2">
        <v>61</v>
      </c>
      <c r="S180" s="2">
        <v>98.996799999999993</v>
      </c>
      <c r="T180" s="2">
        <v>111</v>
      </c>
      <c r="U180" s="2">
        <v>0.43661100000000003</v>
      </c>
      <c r="V180" s="2">
        <v>179</v>
      </c>
      <c r="W180" s="2">
        <v>2004</v>
      </c>
    </row>
    <row r="181" spans="1:23" ht="12.3" x14ac:dyDescent="0.4">
      <c r="A181" s="2" t="s">
        <v>224</v>
      </c>
      <c r="B181" s="2"/>
      <c r="C181" s="2"/>
      <c r="D181" s="2"/>
      <c r="E181" s="2"/>
      <c r="F181" s="2"/>
      <c r="G181" s="2"/>
      <c r="H181" s="2"/>
      <c r="I181" s="2">
        <v>65.662099999999995</v>
      </c>
      <c r="J181" s="2">
        <v>239</v>
      </c>
      <c r="K181" s="2">
        <v>65.349599999999995</v>
      </c>
      <c r="L181" s="2">
        <v>250</v>
      </c>
      <c r="M181" s="2">
        <v>103.37309999999999</v>
      </c>
      <c r="N181" s="2">
        <v>105</v>
      </c>
      <c r="O181" s="2">
        <v>100.1067</v>
      </c>
      <c r="P181" s="2">
        <v>174</v>
      </c>
      <c r="Q181" s="2">
        <v>102.8111</v>
      </c>
      <c r="R181" s="2">
        <v>193</v>
      </c>
      <c r="S181" s="2">
        <v>102.4911</v>
      </c>
      <c r="T181" s="2">
        <v>180</v>
      </c>
      <c r="U181" s="2">
        <v>0.43273400000000001</v>
      </c>
      <c r="V181" s="2">
        <v>180</v>
      </c>
      <c r="W181" s="2">
        <v>2004</v>
      </c>
    </row>
    <row r="182" spans="1:23" ht="12.3" x14ac:dyDescent="0.4">
      <c r="A182" s="2" t="s">
        <v>287</v>
      </c>
      <c r="B182" s="2"/>
      <c r="C182" s="2"/>
      <c r="D182" s="2"/>
      <c r="E182" s="2"/>
      <c r="F182" s="2"/>
      <c r="G182" s="2"/>
      <c r="H182" s="2"/>
      <c r="I182" s="2">
        <v>65.426400000000001</v>
      </c>
      <c r="J182" s="2">
        <v>247</v>
      </c>
      <c r="K182" s="2">
        <v>65.148399999999995</v>
      </c>
      <c r="L182" s="2">
        <v>263</v>
      </c>
      <c r="M182" s="2">
        <v>99.731399999999994</v>
      </c>
      <c r="N182" s="2">
        <v>186</v>
      </c>
      <c r="O182" s="2">
        <v>101.15009999999999</v>
      </c>
      <c r="P182" s="2">
        <v>159</v>
      </c>
      <c r="Q182" s="2">
        <v>104.07559999999999</v>
      </c>
      <c r="R182" s="2">
        <v>237</v>
      </c>
      <c r="S182" s="2">
        <v>103.6837</v>
      </c>
      <c r="T182" s="2">
        <v>201</v>
      </c>
      <c r="U182" s="2">
        <v>0.42935099999999998</v>
      </c>
      <c r="V182" s="2">
        <v>181</v>
      </c>
      <c r="W182" s="2">
        <v>2004</v>
      </c>
    </row>
    <row r="183" spans="1:23" ht="12.3" x14ac:dyDescent="0.4">
      <c r="A183" s="2" t="s">
        <v>164</v>
      </c>
      <c r="B183" s="2"/>
      <c r="C183" s="2"/>
      <c r="D183" s="2"/>
      <c r="E183" s="2"/>
      <c r="F183" s="2"/>
      <c r="G183" s="2"/>
      <c r="H183" s="2"/>
      <c r="I183" s="2">
        <v>63.087000000000003</v>
      </c>
      <c r="J183" s="2">
        <v>306</v>
      </c>
      <c r="K183" s="2">
        <v>63.424999999999997</v>
      </c>
      <c r="L183" s="2">
        <v>300</v>
      </c>
      <c r="M183" s="2">
        <v>97.318600000000004</v>
      </c>
      <c r="N183" s="2">
        <v>248</v>
      </c>
      <c r="O183" s="2">
        <v>98.770799999999994</v>
      </c>
      <c r="P183" s="2">
        <v>210</v>
      </c>
      <c r="Q183" s="2">
        <v>103.4194</v>
      </c>
      <c r="R183" s="2">
        <v>213</v>
      </c>
      <c r="S183" s="2">
        <v>101.27509999999999</v>
      </c>
      <c r="T183" s="2">
        <v>164</v>
      </c>
      <c r="U183" s="2">
        <v>0.428506</v>
      </c>
      <c r="V183" s="2">
        <v>182</v>
      </c>
      <c r="W183" s="2">
        <v>2004</v>
      </c>
    </row>
    <row r="184" spans="1:23" ht="12.3" x14ac:dyDescent="0.4">
      <c r="A184" s="2" t="s">
        <v>291</v>
      </c>
      <c r="B184" s="2"/>
      <c r="C184" s="2"/>
      <c r="D184" s="2"/>
      <c r="E184" s="2"/>
      <c r="F184" s="2"/>
      <c r="G184" s="2"/>
      <c r="H184" s="2"/>
      <c r="I184" s="2">
        <v>68.933400000000006</v>
      </c>
      <c r="J184" s="2">
        <v>124</v>
      </c>
      <c r="K184" s="2">
        <v>68.0702</v>
      </c>
      <c r="L184" s="2">
        <v>153</v>
      </c>
      <c r="M184" s="2">
        <v>96.693899999999999</v>
      </c>
      <c r="N184" s="2">
        <v>257</v>
      </c>
      <c r="O184" s="2">
        <v>96.232799999999997</v>
      </c>
      <c r="P184" s="2">
        <v>255</v>
      </c>
      <c r="Q184" s="2">
        <v>99.879900000000006</v>
      </c>
      <c r="R184" s="2">
        <v>128</v>
      </c>
      <c r="S184" s="2">
        <v>98.731099999999998</v>
      </c>
      <c r="T184" s="2">
        <v>105</v>
      </c>
      <c r="U184" s="2">
        <v>0.426842</v>
      </c>
      <c r="V184" s="2">
        <v>183</v>
      </c>
      <c r="W184" s="2">
        <v>2004</v>
      </c>
    </row>
    <row r="185" spans="1:23" ht="12.3" x14ac:dyDescent="0.4">
      <c r="A185" s="2" t="s">
        <v>251</v>
      </c>
      <c r="B185" s="2">
        <v>15</v>
      </c>
      <c r="C185" s="2"/>
      <c r="D185" s="2"/>
      <c r="E185" s="2"/>
      <c r="F185" s="2"/>
      <c r="G185" s="2"/>
      <c r="H185" s="2"/>
      <c r="I185" s="2">
        <v>68.214600000000004</v>
      </c>
      <c r="J185" s="2">
        <v>150</v>
      </c>
      <c r="K185" s="2">
        <v>67.619399999999999</v>
      </c>
      <c r="L185" s="2">
        <v>168</v>
      </c>
      <c r="M185" s="2">
        <v>100.3472</v>
      </c>
      <c r="N185" s="2">
        <v>176</v>
      </c>
      <c r="O185" s="2">
        <v>96.668800000000005</v>
      </c>
      <c r="P185" s="2">
        <v>251</v>
      </c>
      <c r="Q185" s="2">
        <v>97.635499999999993</v>
      </c>
      <c r="R185" s="2">
        <v>90</v>
      </c>
      <c r="S185" s="2">
        <v>99.226699999999994</v>
      </c>
      <c r="T185" s="2">
        <v>118</v>
      </c>
      <c r="U185" s="2">
        <v>0.42547499999999999</v>
      </c>
      <c r="V185" s="2">
        <v>184</v>
      </c>
      <c r="W185" s="2">
        <v>2004</v>
      </c>
    </row>
    <row r="186" spans="1:23" ht="12.3" x14ac:dyDescent="0.4">
      <c r="A186" s="2" t="s">
        <v>169</v>
      </c>
      <c r="B186" s="2"/>
      <c r="C186" s="2"/>
      <c r="D186" s="2"/>
      <c r="E186" s="2"/>
      <c r="F186" s="2"/>
      <c r="G186" s="2"/>
      <c r="H186" s="2"/>
      <c r="I186" s="2">
        <v>65.673900000000003</v>
      </c>
      <c r="J186" s="2">
        <v>237</v>
      </c>
      <c r="K186" s="2">
        <v>66.0642</v>
      </c>
      <c r="L186" s="2">
        <v>223</v>
      </c>
      <c r="M186" s="2">
        <v>98.519099999999995</v>
      </c>
      <c r="N186" s="2">
        <v>223</v>
      </c>
      <c r="O186" s="2">
        <v>100.9696</v>
      </c>
      <c r="P186" s="2">
        <v>162</v>
      </c>
      <c r="Q186" s="2">
        <v>106.38339999999999</v>
      </c>
      <c r="R186" s="2">
        <v>280</v>
      </c>
      <c r="S186" s="2">
        <v>103.6845</v>
      </c>
      <c r="T186" s="2">
        <v>202</v>
      </c>
      <c r="U186" s="2">
        <v>0.42430400000000001</v>
      </c>
      <c r="V186" s="2">
        <v>185</v>
      </c>
      <c r="W186" s="2">
        <v>2004</v>
      </c>
    </row>
    <row r="187" spans="1:23" ht="12.3" x14ac:dyDescent="0.4">
      <c r="A187" s="2" t="s">
        <v>155</v>
      </c>
      <c r="B187" s="2"/>
      <c r="C187" s="2"/>
      <c r="D187" s="2"/>
      <c r="E187" s="2"/>
      <c r="F187" s="2"/>
      <c r="G187" s="2"/>
      <c r="H187" s="2"/>
      <c r="I187" s="2">
        <v>67.888900000000007</v>
      </c>
      <c r="J187" s="2">
        <v>166</v>
      </c>
      <c r="K187" s="2">
        <v>68.328400000000002</v>
      </c>
      <c r="L187" s="2">
        <v>139</v>
      </c>
      <c r="M187" s="2">
        <v>99.2376</v>
      </c>
      <c r="N187" s="2">
        <v>207</v>
      </c>
      <c r="O187" s="2">
        <v>102.0865</v>
      </c>
      <c r="P187" s="2">
        <v>138</v>
      </c>
      <c r="Q187" s="2">
        <v>106.3335</v>
      </c>
      <c r="R187" s="2">
        <v>279</v>
      </c>
      <c r="S187" s="2">
        <v>104.9755</v>
      </c>
      <c r="T187" s="2">
        <v>238</v>
      </c>
      <c r="U187" s="2">
        <v>0.42045199999999999</v>
      </c>
      <c r="V187" s="2">
        <v>186</v>
      </c>
      <c r="W187" s="2">
        <v>2004</v>
      </c>
    </row>
    <row r="188" spans="1:23" ht="12.3" x14ac:dyDescent="0.4">
      <c r="A188" s="2" t="s">
        <v>309</v>
      </c>
      <c r="B188" s="2"/>
      <c r="C188" s="2"/>
      <c r="D188" s="2"/>
      <c r="E188" s="2"/>
      <c r="F188" s="2"/>
      <c r="G188" s="2"/>
      <c r="H188" s="2"/>
      <c r="I188" s="2">
        <v>66.509900000000002</v>
      </c>
      <c r="J188" s="2">
        <v>213</v>
      </c>
      <c r="K188" s="2">
        <v>67.472499999999997</v>
      </c>
      <c r="L188" s="2">
        <v>171</v>
      </c>
      <c r="M188" s="2">
        <v>99.556799999999996</v>
      </c>
      <c r="N188" s="2">
        <v>194</v>
      </c>
      <c r="O188" s="2">
        <v>97.723299999999995</v>
      </c>
      <c r="P188" s="2">
        <v>231</v>
      </c>
      <c r="Q188" s="2">
        <v>94.703599999999994</v>
      </c>
      <c r="R188" s="2">
        <v>38</v>
      </c>
      <c r="S188" s="2">
        <v>100.65170000000001</v>
      </c>
      <c r="T188" s="2">
        <v>150</v>
      </c>
      <c r="U188" s="2">
        <v>0.41591899999999998</v>
      </c>
      <c r="V188" s="2">
        <v>187</v>
      </c>
      <c r="W188" s="2">
        <v>2004</v>
      </c>
    </row>
    <row r="189" spans="1:23" ht="12.3" x14ac:dyDescent="0.4">
      <c r="A189" s="2" t="s">
        <v>198</v>
      </c>
      <c r="B189" s="2"/>
      <c r="C189" s="2"/>
      <c r="D189" s="2"/>
      <c r="E189" s="2"/>
      <c r="F189" s="2"/>
      <c r="G189" s="2"/>
      <c r="H189" s="2"/>
      <c r="I189" s="2">
        <v>68.119299999999996</v>
      </c>
      <c r="J189" s="2">
        <v>153</v>
      </c>
      <c r="K189" s="2">
        <v>69.404600000000002</v>
      </c>
      <c r="L189" s="2">
        <v>104</v>
      </c>
      <c r="M189" s="2">
        <v>98.546199999999999</v>
      </c>
      <c r="N189" s="2">
        <v>222</v>
      </c>
      <c r="O189" s="2">
        <v>98.442999999999998</v>
      </c>
      <c r="P189" s="2">
        <v>215</v>
      </c>
      <c r="Q189" s="2">
        <v>101.0488</v>
      </c>
      <c r="R189" s="2">
        <v>154</v>
      </c>
      <c r="S189" s="2">
        <v>101.4187</v>
      </c>
      <c r="T189" s="2">
        <v>165</v>
      </c>
      <c r="U189" s="2">
        <v>0.41521000000000002</v>
      </c>
      <c r="V189" s="2">
        <v>188</v>
      </c>
      <c r="W189" s="2">
        <v>2004</v>
      </c>
    </row>
    <row r="190" spans="1:23" ht="12.3" x14ac:dyDescent="0.4">
      <c r="A190" s="2" t="s">
        <v>151</v>
      </c>
      <c r="B190" s="2"/>
      <c r="C190" s="2"/>
      <c r="D190" s="2"/>
      <c r="E190" s="2"/>
      <c r="F190" s="2"/>
      <c r="G190" s="2"/>
      <c r="H190" s="2"/>
      <c r="I190" s="2">
        <v>65.811599999999999</v>
      </c>
      <c r="J190" s="2">
        <v>234</v>
      </c>
      <c r="K190" s="2">
        <v>66.389200000000002</v>
      </c>
      <c r="L190" s="2">
        <v>210</v>
      </c>
      <c r="M190" s="2">
        <v>98.730900000000005</v>
      </c>
      <c r="N190" s="2">
        <v>219</v>
      </c>
      <c r="O190" s="2">
        <v>98.670199999999994</v>
      </c>
      <c r="P190" s="2">
        <v>212</v>
      </c>
      <c r="Q190" s="2">
        <v>103.25320000000001</v>
      </c>
      <c r="R190" s="2">
        <v>209</v>
      </c>
      <c r="S190" s="2">
        <v>101.7864</v>
      </c>
      <c r="T190" s="2">
        <v>170</v>
      </c>
      <c r="U190" s="2">
        <v>0.41154600000000002</v>
      </c>
      <c r="V190" s="2">
        <v>189</v>
      </c>
      <c r="W190" s="2">
        <v>2004</v>
      </c>
    </row>
    <row r="191" spans="1:23" ht="12.3" x14ac:dyDescent="0.4">
      <c r="A191" s="2" t="s">
        <v>241</v>
      </c>
      <c r="B191" s="2"/>
      <c r="C191" s="2"/>
      <c r="D191" s="2"/>
      <c r="E191" s="2"/>
      <c r="F191" s="2"/>
      <c r="G191" s="2"/>
      <c r="H191" s="2"/>
      <c r="I191" s="2">
        <v>71.672899999999998</v>
      </c>
      <c r="J191" s="2">
        <v>36</v>
      </c>
      <c r="K191" s="2">
        <v>71.221699999999998</v>
      </c>
      <c r="L191" s="2">
        <v>38</v>
      </c>
      <c r="M191" s="2">
        <v>99.673100000000005</v>
      </c>
      <c r="N191" s="2">
        <v>188</v>
      </c>
      <c r="O191" s="2">
        <v>99.933000000000007</v>
      </c>
      <c r="P191" s="2">
        <v>178</v>
      </c>
      <c r="Q191" s="2">
        <v>103.43219999999999</v>
      </c>
      <c r="R191" s="2">
        <v>214</v>
      </c>
      <c r="S191" s="2">
        <v>103.11539999999999</v>
      </c>
      <c r="T191" s="2">
        <v>190</v>
      </c>
      <c r="U191" s="2">
        <v>0.41083399999999998</v>
      </c>
      <c r="V191" s="2">
        <v>190</v>
      </c>
      <c r="W191" s="2">
        <v>2004</v>
      </c>
    </row>
    <row r="192" spans="1:23" ht="12.3" x14ac:dyDescent="0.4">
      <c r="A192" s="2" t="s">
        <v>184</v>
      </c>
      <c r="B192" s="2"/>
      <c r="C192" s="2"/>
      <c r="D192" s="2"/>
      <c r="E192" s="2"/>
      <c r="F192" s="2"/>
      <c r="G192" s="2"/>
      <c r="H192" s="2"/>
      <c r="I192" s="2">
        <v>70.805099999999996</v>
      </c>
      <c r="J192" s="2">
        <v>57</v>
      </c>
      <c r="K192" s="2">
        <v>70.880200000000002</v>
      </c>
      <c r="L192" s="2">
        <v>49</v>
      </c>
      <c r="M192" s="2">
        <v>99.68</v>
      </c>
      <c r="N192" s="2">
        <v>187</v>
      </c>
      <c r="O192" s="2">
        <v>100.63039999999999</v>
      </c>
      <c r="P192" s="2">
        <v>169</v>
      </c>
      <c r="Q192" s="2">
        <v>103.92489999999999</v>
      </c>
      <c r="R192" s="2">
        <v>232</v>
      </c>
      <c r="S192" s="2">
        <v>104.0086</v>
      </c>
      <c r="T192" s="2">
        <v>212</v>
      </c>
      <c r="U192" s="2">
        <v>0.40619300000000003</v>
      </c>
      <c r="V192" s="2">
        <v>191</v>
      </c>
      <c r="W192" s="2">
        <v>2004</v>
      </c>
    </row>
    <row r="193" spans="1:23" ht="12.3" x14ac:dyDescent="0.4">
      <c r="A193" s="2" t="s">
        <v>233</v>
      </c>
      <c r="B193" s="2"/>
      <c r="C193" s="2"/>
      <c r="D193" s="2"/>
      <c r="E193" s="2"/>
      <c r="F193" s="2"/>
      <c r="G193" s="2"/>
      <c r="H193" s="2"/>
      <c r="I193" s="2">
        <v>71.233000000000004</v>
      </c>
      <c r="J193" s="2">
        <v>46</v>
      </c>
      <c r="K193" s="2">
        <v>72.614599999999996</v>
      </c>
      <c r="L193" s="2">
        <v>18</v>
      </c>
      <c r="M193" s="2">
        <v>99.403599999999997</v>
      </c>
      <c r="N193" s="2">
        <v>199</v>
      </c>
      <c r="O193" s="2">
        <v>100.77379999999999</v>
      </c>
      <c r="P193" s="2">
        <v>166</v>
      </c>
      <c r="Q193" s="2">
        <v>101.3451</v>
      </c>
      <c r="R193" s="2">
        <v>163</v>
      </c>
      <c r="S193" s="2">
        <v>104.2184</v>
      </c>
      <c r="T193" s="2">
        <v>217</v>
      </c>
      <c r="U193" s="2">
        <v>0.40455600000000003</v>
      </c>
      <c r="V193" s="2">
        <v>192</v>
      </c>
      <c r="W193" s="2">
        <v>2004</v>
      </c>
    </row>
    <row r="194" spans="1:23" ht="12.3" x14ac:dyDescent="0.4">
      <c r="A194" s="2" t="s">
        <v>270</v>
      </c>
      <c r="B194" s="2"/>
      <c r="C194" s="2"/>
      <c r="D194" s="2"/>
      <c r="E194" s="2"/>
      <c r="F194" s="2"/>
      <c r="G194" s="2"/>
      <c r="H194" s="2"/>
      <c r="I194" s="2">
        <v>68.528400000000005</v>
      </c>
      <c r="J194" s="2">
        <v>139</v>
      </c>
      <c r="K194" s="2">
        <v>67.097899999999996</v>
      </c>
      <c r="L194" s="2">
        <v>189</v>
      </c>
      <c r="M194" s="2">
        <v>103.3584</v>
      </c>
      <c r="N194" s="2">
        <v>106</v>
      </c>
      <c r="O194" s="2">
        <v>103.35380000000001</v>
      </c>
      <c r="P194" s="2">
        <v>114</v>
      </c>
      <c r="Q194" s="2">
        <v>102.64100000000001</v>
      </c>
      <c r="R194" s="2">
        <v>191</v>
      </c>
      <c r="S194" s="2">
        <v>106.9297</v>
      </c>
      <c r="T194" s="2">
        <v>273</v>
      </c>
      <c r="U194" s="2">
        <v>0.40343800000000002</v>
      </c>
      <c r="V194" s="2">
        <v>193</v>
      </c>
      <c r="W194" s="2">
        <v>2004</v>
      </c>
    </row>
    <row r="195" spans="1:23" ht="12.3" x14ac:dyDescent="0.4">
      <c r="A195" s="2" t="s">
        <v>308</v>
      </c>
      <c r="B195" s="2"/>
      <c r="C195" s="2"/>
      <c r="D195" s="2"/>
      <c r="E195" s="2"/>
      <c r="F195" s="2"/>
      <c r="G195" s="2"/>
      <c r="H195" s="2"/>
      <c r="I195" s="2">
        <v>73.620500000000007</v>
      </c>
      <c r="J195" s="2">
        <v>14</v>
      </c>
      <c r="K195" s="2">
        <v>75.096400000000003</v>
      </c>
      <c r="L195" s="2">
        <v>4</v>
      </c>
      <c r="M195" s="2">
        <v>102.0598</v>
      </c>
      <c r="N195" s="2">
        <v>134</v>
      </c>
      <c r="O195" s="2">
        <v>101.7341</v>
      </c>
      <c r="P195" s="2">
        <v>145</v>
      </c>
      <c r="Q195" s="2">
        <v>99.669300000000007</v>
      </c>
      <c r="R195" s="2">
        <v>120</v>
      </c>
      <c r="S195" s="2">
        <v>105.2992</v>
      </c>
      <c r="T195" s="2">
        <v>244</v>
      </c>
      <c r="U195" s="2">
        <v>0.40224900000000002</v>
      </c>
      <c r="V195" s="2">
        <v>194</v>
      </c>
      <c r="W195" s="2">
        <v>2004</v>
      </c>
    </row>
    <row r="196" spans="1:23" ht="12.3" x14ac:dyDescent="0.4">
      <c r="A196" s="2" t="s">
        <v>150</v>
      </c>
      <c r="B196" s="2"/>
      <c r="C196" s="2"/>
      <c r="D196" s="2"/>
      <c r="E196" s="2"/>
      <c r="F196" s="2"/>
      <c r="G196" s="2"/>
      <c r="H196" s="2"/>
      <c r="I196" s="2">
        <v>70.688100000000006</v>
      </c>
      <c r="J196" s="2">
        <v>61</v>
      </c>
      <c r="K196" s="2">
        <v>71.534199999999998</v>
      </c>
      <c r="L196" s="2">
        <v>30</v>
      </c>
      <c r="M196" s="2">
        <v>97.4876</v>
      </c>
      <c r="N196" s="2">
        <v>243</v>
      </c>
      <c r="O196" s="2">
        <v>99.149100000000004</v>
      </c>
      <c r="P196" s="2">
        <v>203</v>
      </c>
      <c r="Q196" s="2">
        <v>105.51739999999999</v>
      </c>
      <c r="R196" s="2">
        <v>264</v>
      </c>
      <c r="S196" s="2">
        <v>102.7572</v>
      </c>
      <c r="T196" s="2">
        <v>184</v>
      </c>
      <c r="U196" s="2">
        <v>0.39865899999999999</v>
      </c>
      <c r="V196" s="2">
        <v>195</v>
      </c>
      <c r="W196" s="2">
        <v>2004</v>
      </c>
    </row>
    <row r="197" spans="1:23" ht="12.3" x14ac:dyDescent="0.4">
      <c r="A197" s="2" t="s">
        <v>254</v>
      </c>
      <c r="B197" s="2"/>
      <c r="C197" s="2"/>
      <c r="D197" s="2"/>
      <c r="E197" s="2"/>
      <c r="F197" s="2"/>
      <c r="G197" s="2"/>
      <c r="H197" s="2"/>
      <c r="I197" s="2">
        <v>72.595699999999994</v>
      </c>
      <c r="J197" s="2">
        <v>24</v>
      </c>
      <c r="K197" s="2">
        <v>71.357100000000003</v>
      </c>
      <c r="L197" s="2">
        <v>36</v>
      </c>
      <c r="M197" s="2">
        <v>101.6176</v>
      </c>
      <c r="N197" s="2">
        <v>147</v>
      </c>
      <c r="O197" s="2">
        <v>100.54219999999999</v>
      </c>
      <c r="P197" s="2">
        <v>171</v>
      </c>
      <c r="Q197" s="2">
        <v>103.04340000000001</v>
      </c>
      <c r="R197" s="2">
        <v>202</v>
      </c>
      <c r="S197" s="2">
        <v>104.30070000000001</v>
      </c>
      <c r="T197" s="2">
        <v>220</v>
      </c>
      <c r="U197" s="2">
        <v>0.39602399999999999</v>
      </c>
      <c r="V197" s="2">
        <v>196</v>
      </c>
      <c r="W197" s="2">
        <v>2004</v>
      </c>
    </row>
    <row r="198" spans="1:23" ht="12.3" x14ac:dyDescent="0.4">
      <c r="A198" s="2" t="s">
        <v>201</v>
      </c>
      <c r="B198" s="2"/>
      <c r="C198" s="2"/>
      <c r="D198" s="2"/>
      <c r="E198" s="2"/>
      <c r="F198" s="2"/>
      <c r="G198" s="2"/>
      <c r="H198" s="2"/>
      <c r="I198" s="2">
        <v>68.634600000000006</v>
      </c>
      <c r="J198" s="2">
        <v>135</v>
      </c>
      <c r="K198" s="2">
        <v>68.438100000000006</v>
      </c>
      <c r="L198" s="2">
        <v>133</v>
      </c>
      <c r="M198" s="2">
        <v>107.9646</v>
      </c>
      <c r="N198" s="2">
        <v>44</v>
      </c>
      <c r="O198" s="2">
        <v>105.2158</v>
      </c>
      <c r="P198" s="2">
        <v>86</v>
      </c>
      <c r="Q198" s="2">
        <v>111.65519999999999</v>
      </c>
      <c r="R198" s="2">
        <v>320</v>
      </c>
      <c r="S198" s="2">
        <v>109.34690000000001</v>
      </c>
      <c r="T198" s="2">
        <v>302</v>
      </c>
      <c r="U198" s="2">
        <v>0.39105400000000001</v>
      </c>
      <c r="V198" s="2">
        <v>197</v>
      </c>
      <c r="W198" s="2">
        <v>2004</v>
      </c>
    </row>
    <row r="199" spans="1:23" ht="12.3" x14ac:dyDescent="0.4">
      <c r="A199" s="2" t="s">
        <v>324</v>
      </c>
      <c r="B199" s="2"/>
      <c r="C199" s="2"/>
      <c r="D199" s="2"/>
      <c r="E199" s="2"/>
      <c r="F199" s="2"/>
      <c r="G199" s="2"/>
      <c r="H199" s="2"/>
      <c r="I199" s="2">
        <v>69.457300000000004</v>
      </c>
      <c r="J199" s="2">
        <v>105</v>
      </c>
      <c r="K199" s="2">
        <v>69.638099999999994</v>
      </c>
      <c r="L199" s="2">
        <v>93</v>
      </c>
      <c r="M199" s="2">
        <v>103.1561</v>
      </c>
      <c r="N199" s="2">
        <v>110</v>
      </c>
      <c r="O199" s="2">
        <v>100.35509999999999</v>
      </c>
      <c r="P199" s="2">
        <v>173</v>
      </c>
      <c r="Q199" s="2">
        <v>103.4949</v>
      </c>
      <c r="R199" s="2">
        <v>216</v>
      </c>
      <c r="S199" s="2">
        <v>104.3981</v>
      </c>
      <c r="T199" s="2">
        <v>224</v>
      </c>
      <c r="U199" s="2">
        <v>0.38835900000000001</v>
      </c>
      <c r="V199" s="2">
        <v>198</v>
      </c>
      <c r="W199" s="2">
        <v>2004</v>
      </c>
    </row>
    <row r="200" spans="1:23" ht="12.3" x14ac:dyDescent="0.4">
      <c r="A200" s="2" t="s">
        <v>284</v>
      </c>
      <c r="B200" s="2"/>
      <c r="C200" s="2"/>
      <c r="D200" s="2"/>
      <c r="E200" s="2"/>
      <c r="F200" s="2"/>
      <c r="G200" s="2"/>
      <c r="H200" s="2"/>
      <c r="I200" s="2">
        <v>66.4114</v>
      </c>
      <c r="J200" s="2">
        <v>216</v>
      </c>
      <c r="K200" s="2">
        <v>66.894599999999997</v>
      </c>
      <c r="L200" s="2">
        <v>197</v>
      </c>
      <c r="M200" s="2">
        <v>99.6096</v>
      </c>
      <c r="N200" s="2">
        <v>192</v>
      </c>
      <c r="O200" s="2">
        <v>99.648600000000002</v>
      </c>
      <c r="P200" s="2">
        <v>188</v>
      </c>
      <c r="Q200" s="2">
        <v>104.6793</v>
      </c>
      <c r="R200" s="2">
        <v>250</v>
      </c>
      <c r="S200" s="2">
        <v>103.8058</v>
      </c>
      <c r="T200" s="2">
        <v>206</v>
      </c>
      <c r="U200" s="2">
        <v>0.38461099999999998</v>
      </c>
      <c r="V200" s="2">
        <v>199</v>
      </c>
      <c r="W200" s="2">
        <v>2004</v>
      </c>
    </row>
    <row r="201" spans="1:23" ht="12.3" x14ac:dyDescent="0.4">
      <c r="A201" s="2" t="s">
        <v>311</v>
      </c>
      <c r="B201" s="2"/>
      <c r="C201" s="2"/>
      <c r="D201" s="2"/>
      <c r="E201" s="2"/>
      <c r="F201" s="2"/>
      <c r="G201" s="2"/>
      <c r="H201" s="2"/>
      <c r="I201" s="2">
        <v>67.939800000000005</v>
      </c>
      <c r="J201" s="2">
        <v>164</v>
      </c>
      <c r="K201" s="2">
        <v>68.614699999999999</v>
      </c>
      <c r="L201" s="2">
        <v>129</v>
      </c>
      <c r="M201" s="2">
        <v>101.2204</v>
      </c>
      <c r="N201" s="2">
        <v>158</v>
      </c>
      <c r="O201" s="2">
        <v>101.6546</v>
      </c>
      <c r="P201" s="2">
        <v>147</v>
      </c>
      <c r="Q201" s="2">
        <v>106.1101</v>
      </c>
      <c r="R201" s="2">
        <v>275</v>
      </c>
      <c r="S201" s="2">
        <v>105.9027</v>
      </c>
      <c r="T201" s="2">
        <v>257</v>
      </c>
      <c r="U201" s="2">
        <v>0.38442500000000002</v>
      </c>
      <c r="V201" s="2">
        <v>200</v>
      </c>
      <c r="W201" s="2">
        <v>2004</v>
      </c>
    </row>
    <row r="202" spans="1:23" ht="12.3" x14ac:dyDescent="0.4">
      <c r="A202" s="2" t="s">
        <v>118</v>
      </c>
      <c r="B202" s="2"/>
      <c r="C202" s="2"/>
      <c r="D202" s="2"/>
      <c r="E202" s="2"/>
      <c r="F202" s="2"/>
      <c r="G202" s="2"/>
      <c r="H202" s="2"/>
      <c r="I202" s="2">
        <v>64.826700000000002</v>
      </c>
      <c r="J202" s="2">
        <v>261</v>
      </c>
      <c r="K202" s="2">
        <v>65.220100000000002</v>
      </c>
      <c r="L202" s="2">
        <v>258</v>
      </c>
      <c r="M202" s="2">
        <v>99.070800000000006</v>
      </c>
      <c r="N202" s="2">
        <v>209</v>
      </c>
      <c r="O202" s="2">
        <v>97.002399999999994</v>
      </c>
      <c r="P202" s="2">
        <v>243</v>
      </c>
      <c r="Q202" s="2">
        <v>101.7518</v>
      </c>
      <c r="R202" s="2">
        <v>170</v>
      </c>
      <c r="S202" s="2">
        <v>101.0608</v>
      </c>
      <c r="T202" s="2">
        <v>160</v>
      </c>
      <c r="U202" s="2">
        <v>0.384299</v>
      </c>
      <c r="V202" s="2">
        <v>201</v>
      </c>
      <c r="W202" s="2">
        <v>2004</v>
      </c>
    </row>
    <row r="203" spans="1:23" ht="12.3" x14ac:dyDescent="0.4">
      <c r="A203" s="2" t="s">
        <v>328</v>
      </c>
      <c r="B203" s="2"/>
      <c r="C203" s="2"/>
      <c r="D203" s="2"/>
      <c r="E203" s="2"/>
      <c r="F203" s="2"/>
      <c r="G203" s="2"/>
      <c r="H203" s="2"/>
      <c r="I203" s="2">
        <v>69.961299999999994</v>
      </c>
      <c r="J203" s="2">
        <v>91</v>
      </c>
      <c r="K203" s="2">
        <v>67.890299999999996</v>
      </c>
      <c r="L203" s="2">
        <v>158</v>
      </c>
      <c r="M203" s="2">
        <v>103.2161</v>
      </c>
      <c r="N203" s="2">
        <v>109</v>
      </c>
      <c r="O203" s="2">
        <v>99.953500000000005</v>
      </c>
      <c r="P203" s="2">
        <v>177</v>
      </c>
      <c r="Q203" s="2">
        <v>99.062200000000004</v>
      </c>
      <c r="R203" s="2">
        <v>113</v>
      </c>
      <c r="S203" s="2">
        <v>104.13809999999999</v>
      </c>
      <c r="T203" s="2">
        <v>215</v>
      </c>
      <c r="U203" s="2">
        <v>0.38422499999999998</v>
      </c>
      <c r="V203" s="2">
        <v>202</v>
      </c>
      <c r="W203" s="2">
        <v>2004</v>
      </c>
    </row>
    <row r="204" spans="1:23" ht="12.3" x14ac:dyDescent="0.4">
      <c r="A204" s="2" t="s">
        <v>267</v>
      </c>
      <c r="B204" s="2"/>
      <c r="C204" s="2"/>
      <c r="D204" s="2"/>
      <c r="E204" s="2"/>
      <c r="F204" s="2"/>
      <c r="G204" s="2"/>
      <c r="H204" s="2"/>
      <c r="I204" s="2">
        <v>61.5</v>
      </c>
      <c r="J204" s="2">
        <v>312</v>
      </c>
      <c r="K204" s="2">
        <v>61.650100000000002</v>
      </c>
      <c r="L204" s="2">
        <v>311</v>
      </c>
      <c r="M204" s="2">
        <v>94.240799999999993</v>
      </c>
      <c r="N204" s="2">
        <v>283</v>
      </c>
      <c r="O204" s="2">
        <v>94.644499999999994</v>
      </c>
      <c r="P204" s="2">
        <v>279</v>
      </c>
      <c r="Q204" s="2">
        <v>100.6794</v>
      </c>
      <c r="R204" s="2">
        <v>143</v>
      </c>
      <c r="S204" s="2">
        <v>98.833699999999993</v>
      </c>
      <c r="T204" s="2">
        <v>107</v>
      </c>
      <c r="U204" s="2">
        <v>0.37799300000000002</v>
      </c>
      <c r="V204" s="2">
        <v>203</v>
      </c>
      <c r="W204" s="2">
        <v>2004</v>
      </c>
    </row>
    <row r="205" spans="1:23" ht="12.3" x14ac:dyDescent="0.4">
      <c r="A205" s="2" t="s">
        <v>289</v>
      </c>
      <c r="B205" s="2"/>
      <c r="C205" s="2"/>
      <c r="D205" s="2"/>
      <c r="E205" s="2"/>
      <c r="F205" s="2"/>
      <c r="G205" s="2"/>
      <c r="H205" s="2"/>
      <c r="I205" s="2">
        <v>64.726900000000001</v>
      </c>
      <c r="J205" s="2">
        <v>266</v>
      </c>
      <c r="K205" s="2">
        <v>66.222800000000007</v>
      </c>
      <c r="L205" s="2">
        <v>215</v>
      </c>
      <c r="M205" s="2">
        <v>98.384900000000002</v>
      </c>
      <c r="N205" s="2">
        <v>227</v>
      </c>
      <c r="O205" s="2">
        <v>94.830399999999997</v>
      </c>
      <c r="P205" s="2">
        <v>274</v>
      </c>
      <c r="Q205" s="2">
        <v>94.255600000000001</v>
      </c>
      <c r="R205" s="2">
        <v>34</v>
      </c>
      <c r="S205" s="2">
        <v>99.065899999999999</v>
      </c>
      <c r="T205" s="2">
        <v>113</v>
      </c>
      <c r="U205" s="2">
        <v>0.37695499999999998</v>
      </c>
      <c r="V205" s="2">
        <v>204</v>
      </c>
      <c r="W205" s="2">
        <v>2004</v>
      </c>
    </row>
    <row r="206" spans="1:23" ht="12.3" x14ac:dyDescent="0.4">
      <c r="A206" s="2" t="s">
        <v>160</v>
      </c>
      <c r="B206" s="2"/>
      <c r="C206" s="2"/>
      <c r="D206" s="2"/>
      <c r="E206" s="2"/>
      <c r="F206" s="2"/>
      <c r="G206" s="2"/>
      <c r="H206" s="2"/>
      <c r="I206" s="2">
        <v>65.144900000000007</v>
      </c>
      <c r="J206" s="2">
        <v>257</v>
      </c>
      <c r="K206" s="2">
        <v>64.523700000000005</v>
      </c>
      <c r="L206" s="2">
        <v>280</v>
      </c>
      <c r="M206" s="2">
        <v>98.510300000000001</v>
      </c>
      <c r="N206" s="2">
        <v>225</v>
      </c>
      <c r="O206" s="2">
        <v>97.757800000000003</v>
      </c>
      <c r="P206" s="2">
        <v>228</v>
      </c>
      <c r="Q206" s="2">
        <v>100.6092</v>
      </c>
      <c r="R206" s="2">
        <v>142</v>
      </c>
      <c r="S206" s="2">
        <v>102.3396</v>
      </c>
      <c r="T206" s="2">
        <v>179</v>
      </c>
      <c r="U206" s="2">
        <v>0.37127900000000003</v>
      </c>
      <c r="V206" s="2">
        <v>205</v>
      </c>
      <c r="W206" s="2">
        <v>2004</v>
      </c>
    </row>
    <row r="207" spans="1:23" ht="12.3" x14ac:dyDescent="0.4">
      <c r="A207" s="2" t="s">
        <v>326</v>
      </c>
      <c r="B207" s="2">
        <v>16</v>
      </c>
      <c r="C207" s="2"/>
      <c r="D207" s="2"/>
      <c r="E207" s="2"/>
      <c r="F207" s="2"/>
      <c r="G207" s="2"/>
      <c r="H207" s="2"/>
      <c r="I207" s="2">
        <v>65.204899999999995</v>
      </c>
      <c r="J207" s="2">
        <v>256</v>
      </c>
      <c r="K207" s="2">
        <v>65.241699999999994</v>
      </c>
      <c r="L207" s="2">
        <v>257</v>
      </c>
      <c r="M207" s="2">
        <v>99.508300000000006</v>
      </c>
      <c r="N207" s="2">
        <v>196</v>
      </c>
      <c r="O207" s="2">
        <v>96.998599999999996</v>
      </c>
      <c r="P207" s="2">
        <v>244</v>
      </c>
      <c r="Q207" s="2">
        <v>95.409300000000002</v>
      </c>
      <c r="R207" s="2">
        <v>49</v>
      </c>
      <c r="S207" s="2">
        <v>101.5829</v>
      </c>
      <c r="T207" s="2">
        <v>166</v>
      </c>
      <c r="U207" s="2">
        <v>0.37026999999999999</v>
      </c>
      <c r="V207" s="2">
        <v>206</v>
      </c>
      <c r="W207" s="2">
        <v>2004</v>
      </c>
    </row>
    <row r="208" spans="1:23" ht="12.3" x14ac:dyDescent="0.4">
      <c r="A208" s="2" t="s">
        <v>331</v>
      </c>
      <c r="B208" s="2"/>
      <c r="C208" s="2"/>
      <c r="D208" s="2"/>
      <c r="E208" s="2"/>
      <c r="F208" s="2"/>
      <c r="G208" s="2"/>
      <c r="H208" s="2"/>
      <c r="I208" s="2">
        <v>70.041600000000003</v>
      </c>
      <c r="J208" s="2">
        <v>87</v>
      </c>
      <c r="K208" s="2">
        <v>69.376199999999997</v>
      </c>
      <c r="L208" s="2">
        <v>105</v>
      </c>
      <c r="M208" s="2">
        <v>98.513999999999996</v>
      </c>
      <c r="N208" s="2">
        <v>224</v>
      </c>
      <c r="O208" s="2">
        <v>97.382000000000005</v>
      </c>
      <c r="P208" s="2">
        <v>237</v>
      </c>
      <c r="Q208" s="2">
        <v>103.13039999999999</v>
      </c>
      <c r="R208" s="2">
        <v>204</v>
      </c>
      <c r="S208" s="2">
        <v>101.98650000000001</v>
      </c>
      <c r="T208" s="2">
        <v>174</v>
      </c>
      <c r="U208" s="2">
        <v>0.37021500000000002</v>
      </c>
      <c r="V208" s="2">
        <v>207</v>
      </c>
      <c r="W208" s="2">
        <v>2004</v>
      </c>
    </row>
    <row r="209" spans="1:23" ht="12.3" x14ac:dyDescent="0.4">
      <c r="A209" s="2" t="s">
        <v>302</v>
      </c>
      <c r="B209" s="2"/>
      <c r="C209" s="2"/>
      <c r="D209" s="2"/>
      <c r="E209" s="2"/>
      <c r="F209" s="2"/>
      <c r="G209" s="2"/>
      <c r="H209" s="2"/>
      <c r="I209" s="2">
        <v>70.938500000000005</v>
      </c>
      <c r="J209" s="2">
        <v>52</v>
      </c>
      <c r="K209" s="2">
        <v>71.128200000000007</v>
      </c>
      <c r="L209" s="2">
        <v>42</v>
      </c>
      <c r="M209" s="2">
        <v>97.847800000000007</v>
      </c>
      <c r="N209" s="2">
        <v>236</v>
      </c>
      <c r="O209" s="2">
        <v>97.461600000000004</v>
      </c>
      <c r="P209" s="2">
        <v>233</v>
      </c>
      <c r="Q209" s="2">
        <v>100.3053</v>
      </c>
      <c r="R209" s="2">
        <v>136</v>
      </c>
      <c r="S209" s="2">
        <v>102.0753</v>
      </c>
      <c r="T209" s="2">
        <v>178</v>
      </c>
      <c r="U209" s="2">
        <v>0.37007400000000001</v>
      </c>
      <c r="V209" s="2">
        <v>208</v>
      </c>
      <c r="W209" s="2">
        <v>2004</v>
      </c>
    </row>
    <row r="210" spans="1:23" ht="12.3" x14ac:dyDescent="0.4">
      <c r="A210" s="2" t="s">
        <v>344</v>
      </c>
      <c r="B210" s="2"/>
      <c r="C210" s="2"/>
      <c r="D210" s="2"/>
      <c r="E210" s="2"/>
      <c r="F210" s="2"/>
      <c r="G210" s="2"/>
      <c r="H210" s="2"/>
      <c r="I210" s="2">
        <v>66.364699999999999</v>
      </c>
      <c r="J210" s="2">
        <v>217</v>
      </c>
      <c r="K210" s="2">
        <v>65.792500000000004</v>
      </c>
      <c r="L210" s="2">
        <v>233</v>
      </c>
      <c r="M210" s="2">
        <v>102.1728</v>
      </c>
      <c r="N210" s="2">
        <v>132</v>
      </c>
      <c r="O210" s="2">
        <v>99.125200000000007</v>
      </c>
      <c r="P210" s="2">
        <v>205</v>
      </c>
      <c r="Q210" s="2">
        <v>101.25020000000001</v>
      </c>
      <c r="R210" s="2">
        <v>159</v>
      </c>
      <c r="S210" s="2">
        <v>103.83280000000001</v>
      </c>
      <c r="T210" s="2">
        <v>207</v>
      </c>
      <c r="U210" s="2">
        <v>0.36968299999999998</v>
      </c>
      <c r="V210" s="2">
        <v>209</v>
      </c>
      <c r="W210" s="2">
        <v>2004</v>
      </c>
    </row>
    <row r="211" spans="1:23" ht="12.3" x14ac:dyDescent="0.4">
      <c r="A211" s="2" t="s">
        <v>292</v>
      </c>
      <c r="B211" s="2"/>
      <c r="C211" s="2"/>
      <c r="D211" s="2"/>
      <c r="E211" s="2"/>
      <c r="F211" s="2"/>
      <c r="G211" s="2"/>
      <c r="H211" s="2"/>
      <c r="I211" s="2">
        <v>67.619399999999999</v>
      </c>
      <c r="J211" s="2">
        <v>177</v>
      </c>
      <c r="K211" s="2">
        <v>69.13</v>
      </c>
      <c r="L211" s="2">
        <v>113</v>
      </c>
      <c r="M211" s="2">
        <v>99.384399999999999</v>
      </c>
      <c r="N211" s="2">
        <v>200</v>
      </c>
      <c r="O211" s="2">
        <v>103.27549999999999</v>
      </c>
      <c r="P211" s="2">
        <v>117</v>
      </c>
      <c r="Q211" s="2">
        <v>109.4268</v>
      </c>
      <c r="R211" s="2">
        <v>308</v>
      </c>
      <c r="S211" s="2">
        <v>108.3415</v>
      </c>
      <c r="T211" s="2">
        <v>294</v>
      </c>
      <c r="U211" s="2">
        <v>0.365699</v>
      </c>
      <c r="V211" s="2">
        <v>210</v>
      </c>
      <c r="W211" s="2">
        <v>2004</v>
      </c>
    </row>
    <row r="212" spans="1:23" ht="12.3" x14ac:dyDescent="0.4">
      <c r="A212" s="2" t="s">
        <v>248</v>
      </c>
      <c r="B212" s="2"/>
      <c r="C212" s="2"/>
      <c r="D212" s="2"/>
      <c r="E212" s="2"/>
      <c r="F212" s="2"/>
      <c r="G212" s="2"/>
      <c r="H212" s="2"/>
      <c r="I212" s="2">
        <v>68.913700000000006</v>
      </c>
      <c r="J212" s="2">
        <v>126</v>
      </c>
      <c r="K212" s="2">
        <v>68.066100000000006</v>
      </c>
      <c r="L212" s="2">
        <v>154</v>
      </c>
      <c r="M212" s="2">
        <v>102.1797</v>
      </c>
      <c r="N212" s="2">
        <v>131</v>
      </c>
      <c r="O212" s="2">
        <v>102.62130000000001</v>
      </c>
      <c r="P212" s="2">
        <v>131</v>
      </c>
      <c r="Q212" s="2">
        <v>109.2633</v>
      </c>
      <c r="R212" s="2">
        <v>306</v>
      </c>
      <c r="S212" s="2">
        <v>107.7167</v>
      </c>
      <c r="T212" s="2">
        <v>285</v>
      </c>
      <c r="U212" s="2">
        <v>0.364176</v>
      </c>
      <c r="V212" s="2">
        <v>211</v>
      </c>
      <c r="W212" s="2">
        <v>2004</v>
      </c>
    </row>
    <row r="213" spans="1:23" ht="12.3" x14ac:dyDescent="0.4">
      <c r="A213" s="2" t="s">
        <v>253</v>
      </c>
      <c r="B213" s="2"/>
      <c r="C213" s="2"/>
      <c r="D213" s="2"/>
      <c r="E213" s="2"/>
      <c r="F213" s="2"/>
      <c r="G213" s="2"/>
      <c r="H213" s="2"/>
      <c r="I213" s="2">
        <v>73.3339</v>
      </c>
      <c r="J213" s="2">
        <v>17</v>
      </c>
      <c r="K213" s="2">
        <v>71.991</v>
      </c>
      <c r="L213" s="2">
        <v>25</v>
      </c>
      <c r="M213" s="2">
        <v>93.604200000000006</v>
      </c>
      <c r="N213" s="2">
        <v>291</v>
      </c>
      <c r="O213" s="2">
        <v>93.3369</v>
      </c>
      <c r="P213" s="2">
        <v>291</v>
      </c>
      <c r="Q213" s="2">
        <v>99.764200000000002</v>
      </c>
      <c r="R213" s="2">
        <v>125</v>
      </c>
      <c r="S213" s="2">
        <v>97.979500000000002</v>
      </c>
      <c r="T213" s="2">
        <v>86</v>
      </c>
      <c r="U213" s="2">
        <v>0.363954</v>
      </c>
      <c r="V213" s="2">
        <v>212</v>
      </c>
      <c r="W213" s="2">
        <v>2004</v>
      </c>
    </row>
    <row r="214" spans="1:23" ht="12.3" x14ac:dyDescent="0.4">
      <c r="A214" s="2" t="s">
        <v>276</v>
      </c>
      <c r="B214" s="2"/>
      <c r="C214" s="2"/>
      <c r="D214" s="2"/>
      <c r="E214" s="2"/>
      <c r="F214" s="2"/>
      <c r="G214" s="2"/>
      <c r="H214" s="2"/>
      <c r="I214" s="2">
        <v>69.801100000000005</v>
      </c>
      <c r="J214" s="2">
        <v>94</v>
      </c>
      <c r="K214" s="2">
        <v>69.935599999999994</v>
      </c>
      <c r="L214" s="2">
        <v>79</v>
      </c>
      <c r="M214" s="2">
        <v>100.3516</v>
      </c>
      <c r="N214" s="2">
        <v>175</v>
      </c>
      <c r="O214" s="2">
        <v>100.38679999999999</v>
      </c>
      <c r="P214" s="2">
        <v>172</v>
      </c>
      <c r="Q214" s="2">
        <v>102.61879999999999</v>
      </c>
      <c r="R214" s="2">
        <v>189</v>
      </c>
      <c r="S214" s="2">
        <v>105.4423</v>
      </c>
      <c r="T214" s="2">
        <v>249</v>
      </c>
      <c r="U214" s="2">
        <v>0.36238300000000001</v>
      </c>
      <c r="V214" s="2">
        <v>213</v>
      </c>
      <c r="W214" s="2">
        <v>2004</v>
      </c>
    </row>
    <row r="215" spans="1:23" ht="12.3" x14ac:dyDescent="0.4">
      <c r="A215" s="2" t="s">
        <v>196</v>
      </c>
      <c r="B215" s="2"/>
      <c r="C215" s="2"/>
      <c r="D215" s="2"/>
      <c r="E215" s="2"/>
      <c r="F215" s="2"/>
      <c r="G215" s="2"/>
      <c r="H215" s="2"/>
      <c r="I215" s="2">
        <v>69.769199999999998</v>
      </c>
      <c r="J215" s="2">
        <v>96</v>
      </c>
      <c r="K215" s="2">
        <v>68.739500000000007</v>
      </c>
      <c r="L215" s="2">
        <v>123</v>
      </c>
      <c r="M215" s="2">
        <v>99.341399999999993</v>
      </c>
      <c r="N215" s="2">
        <v>202</v>
      </c>
      <c r="O215" s="2">
        <v>99.144499999999994</v>
      </c>
      <c r="P215" s="2">
        <v>204</v>
      </c>
      <c r="Q215" s="2">
        <v>102.3511</v>
      </c>
      <c r="R215" s="2">
        <v>184</v>
      </c>
      <c r="S215" s="2">
        <v>104.3466</v>
      </c>
      <c r="T215" s="2">
        <v>222</v>
      </c>
      <c r="U215" s="2">
        <v>0.35706900000000003</v>
      </c>
      <c r="V215" s="2">
        <v>214</v>
      </c>
      <c r="W215" s="2">
        <v>2004</v>
      </c>
    </row>
    <row r="216" spans="1:23" ht="12.3" x14ac:dyDescent="0.4">
      <c r="A216" s="2" t="s">
        <v>110</v>
      </c>
      <c r="B216" s="2"/>
      <c r="C216" s="2"/>
      <c r="D216" s="2"/>
      <c r="E216" s="2"/>
      <c r="F216" s="2"/>
      <c r="G216" s="2"/>
      <c r="H216" s="2"/>
      <c r="I216" s="2">
        <v>62.702300000000001</v>
      </c>
      <c r="J216" s="2">
        <v>310</v>
      </c>
      <c r="K216" s="2">
        <v>63.209800000000001</v>
      </c>
      <c r="L216" s="2">
        <v>304</v>
      </c>
      <c r="M216" s="2">
        <v>98.993700000000004</v>
      </c>
      <c r="N216" s="2">
        <v>212</v>
      </c>
      <c r="O216" s="2">
        <v>99.248400000000004</v>
      </c>
      <c r="P216" s="2">
        <v>199</v>
      </c>
      <c r="Q216" s="2">
        <v>104.2632</v>
      </c>
      <c r="R216" s="2">
        <v>241</v>
      </c>
      <c r="S216" s="2">
        <v>104.4696</v>
      </c>
      <c r="T216" s="2">
        <v>227</v>
      </c>
      <c r="U216" s="2">
        <v>0.35672300000000001</v>
      </c>
      <c r="V216" s="2">
        <v>215</v>
      </c>
      <c r="W216" s="2">
        <v>2004</v>
      </c>
    </row>
    <row r="217" spans="1:23" ht="12.3" x14ac:dyDescent="0.4">
      <c r="A217" s="2" t="s">
        <v>103</v>
      </c>
      <c r="B217" s="2"/>
      <c r="C217" s="2"/>
      <c r="D217" s="2"/>
      <c r="E217" s="2"/>
      <c r="F217" s="2"/>
      <c r="G217" s="2"/>
      <c r="H217" s="2"/>
      <c r="I217" s="2">
        <v>65.269000000000005</v>
      </c>
      <c r="J217" s="2">
        <v>252</v>
      </c>
      <c r="K217" s="2">
        <v>65.044899999999998</v>
      </c>
      <c r="L217" s="2">
        <v>265</v>
      </c>
      <c r="M217" s="2">
        <v>94.076499999999996</v>
      </c>
      <c r="N217" s="2">
        <v>285</v>
      </c>
      <c r="O217" s="2">
        <v>98.139099999999999</v>
      </c>
      <c r="P217" s="2">
        <v>221</v>
      </c>
      <c r="Q217" s="2">
        <v>105.38500000000001</v>
      </c>
      <c r="R217" s="2">
        <v>263</v>
      </c>
      <c r="S217" s="2">
        <v>103.3449</v>
      </c>
      <c r="T217" s="2">
        <v>192</v>
      </c>
      <c r="U217" s="2">
        <v>0.35563099999999997</v>
      </c>
      <c r="V217" s="2">
        <v>216</v>
      </c>
      <c r="W217" s="2">
        <v>2004</v>
      </c>
    </row>
    <row r="218" spans="1:23" ht="12.3" x14ac:dyDescent="0.4">
      <c r="A218" s="2" t="s">
        <v>189</v>
      </c>
      <c r="B218" s="2"/>
      <c r="C218" s="2"/>
      <c r="D218" s="2"/>
      <c r="E218" s="2"/>
      <c r="F218" s="2"/>
      <c r="G218" s="2"/>
      <c r="H218" s="2"/>
      <c r="I218" s="2">
        <v>70.459800000000001</v>
      </c>
      <c r="J218" s="2">
        <v>69</v>
      </c>
      <c r="K218" s="2">
        <v>71.509799999999998</v>
      </c>
      <c r="L218" s="2">
        <v>31</v>
      </c>
      <c r="M218" s="2">
        <v>98.900599999999997</v>
      </c>
      <c r="N218" s="2">
        <v>214</v>
      </c>
      <c r="O218" s="2">
        <v>99.163300000000007</v>
      </c>
      <c r="P218" s="2">
        <v>202</v>
      </c>
      <c r="Q218" s="2">
        <v>103.7243</v>
      </c>
      <c r="R218" s="2">
        <v>221</v>
      </c>
      <c r="S218" s="2">
        <v>104.4619</v>
      </c>
      <c r="T218" s="2">
        <v>226</v>
      </c>
      <c r="U218" s="2">
        <v>0.354657</v>
      </c>
      <c r="V218" s="2">
        <v>217</v>
      </c>
      <c r="W218" s="2">
        <v>2004</v>
      </c>
    </row>
    <row r="219" spans="1:23" ht="12.3" x14ac:dyDescent="0.4">
      <c r="A219" s="2" t="s">
        <v>156</v>
      </c>
      <c r="B219" s="2"/>
      <c r="C219" s="2"/>
      <c r="D219" s="2"/>
      <c r="E219" s="2"/>
      <c r="F219" s="2"/>
      <c r="G219" s="2"/>
      <c r="H219" s="2"/>
      <c r="I219" s="2">
        <v>66.254300000000001</v>
      </c>
      <c r="J219" s="2">
        <v>221</v>
      </c>
      <c r="K219" s="2">
        <v>65.619299999999996</v>
      </c>
      <c r="L219" s="2">
        <v>238</v>
      </c>
      <c r="M219" s="2">
        <v>104.9768</v>
      </c>
      <c r="N219" s="2">
        <v>87</v>
      </c>
      <c r="O219" s="2">
        <v>101.5774</v>
      </c>
      <c r="P219" s="2">
        <v>150</v>
      </c>
      <c r="Q219" s="2">
        <v>103.1516</v>
      </c>
      <c r="R219" s="2">
        <v>205</v>
      </c>
      <c r="S219" s="2">
        <v>107.10039999999999</v>
      </c>
      <c r="T219" s="2">
        <v>279</v>
      </c>
      <c r="U219" s="2">
        <v>0.35231699999999999</v>
      </c>
      <c r="V219" s="2">
        <v>218</v>
      </c>
      <c r="W219" s="2">
        <v>2004</v>
      </c>
    </row>
    <row r="220" spans="1:23" ht="12.3" x14ac:dyDescent="0.4">
      <c r="A220" s="2" t="s">
        <v>102</v>
      </c>
      <c r="B220" s="2"/>
      <c r="C220" s="2"/>
      <c r="D220" s="2"/>
      <c r="E220" s="2"/>
      <c r="F220" s="2"/>
      <c r="G220" s="2"/>
      <c r="H220" s="2"/>
      <c r="I220" s="2">
        <v>66.349800000000002</v>
      </c>
      <c r="J220" s="2">
        <v>219</v>
      </c>
      <c r="K220" s="2">
        <v>67.690700000000007</v>
      </c>
      <c r="L220" s="2">
        <v>165</v>
      </c>
      <c r="M220" s="2">
        <v>92.341399999999993</v>
      </c>
      <c r="N220" s="2">
        <v>294</v>
      </c>
      <c r="O220" s="2">
        <v>95.664699999999996</v>
      </c>
      <c r="P220" s="2">
        <v>263</v>
      </c>
      <c r="Q220" s="2">
        <v>105.6533</v>
      </c>
      <c r="R220" s="2">
        <v>268</v>
      </c>
      <c r="S220" s="2">
        <v>100.8716</v>
      </c>
      <c r="T220" s="2">
        <v>155</v>
      </c>
      <c r="U220" s="2">
        <v>0.35217700000000002</v>
      </c>
      <c r="V220" s="2">
        <v>219</v>
      </c>
      <c r="W220" s="2">
        <v>2004</v>
      </c>
    </row>
    <row r="221" spans="1:23" ht="12.3" x14ac:dyDescent="0.4">
      <c r="A221" s="2" t="s">
        <v>240</v>
      </c>
      <c r="B221" s="2"/>
      <c r="C221" s="2"/>
      <c r="D221" s="2"/>
      <c r="E221" s="2"/>
      <c r="F221" s="2"/>
      <c r="G221" s="2"/>
      <c r="H221" s="2"/>
      <c r="I221" s="2">
        <v>64.354200000000006</v>
      </c>
      <c r="J221" s="2">
        <v>279</v>
      </c>
      <c r="K221" s="2">
        <v>64.653999999999996</v>
      </c>
      <c r="L221" s="2">
        <v>275</v>
      </c>
      <c r="M221" s="2">
        <v>101.3736</v>
      </c>
      <c r="N221" s="2">
        <v>156</v>
      </c>
      <c r="O221" s="2">
        <v>99.171300000000002</v>
      </c>
      <c r="P221" s="2">
        <v>201</v>
      </c>
      <c r="Q221" s="2">
        <v>100.32470000000001</v>
      </c>
      <c r="R221" s="2">
        <v>137</v>
      </c>
      <c r="S221" s="2">
        <v>104.5703</v>
      </c>
      <c r="T221" s="2">
        <v>231</v>
      </c>
      <c r="U221" s="2">
        <v>0.35214499999999999</v>
      </c>
      <c r="V221" s="2">
        <v>220</v>
      </c>
      <c r="W221" s="2">
        <v>2004</v>
      </c>
    </row>
    <row r="222" spans="1:23" ht="12.3" x14ac:dyDescent="0.4">
      <c r="A222" s="2" t="s">
        <v>348</v>
      </c>
      <c r="B222" s="2"/>
      <c r="C222" s="2"/>
      <c r="D222" s="2"/>
      <c r="E222" s="2"/>
      <c r="F222" s="2"/>
      <c r="G222" s="2"/>
      <c r="H222" s="2"/>
      <c r="I222" s="2">
        <v>64.334999999999994</v>
      </c>
      <c r="J222" s="2">
        <v>280</v>
      </c>
      <c r="K222" s="2">
        <v>65.1755</v>
      </c>
      <c r="L222" s="2">
        <v>259</v>
      </c>
      <c r="M222" s="2">
        <v>99.576999999999998</v>
      </c>
      <c r="N222" s="2">
        <v>193</v>
      </c>
      <c r="O222" s="2">
        <v>99.353999999999999</v>
      </c>
      <c r="P222" s="2">
        <v>195</v>
      </c>
      <c r="Q222" s="2">
        <v>109.4464</v>
      </c>
      <c r="R222" s="2">
        <v>309</v>
      </c>
      <c r="S222" s="2">
        <v>105.0303</v>
      </c>
      <c r="T222" s="2">
        <v>240</v>
      </c>
      <c r="U222" s="2">
        <v>0.34548600000000002</v>
      </c>
      <c r="V222" s="2">
        <v>221</v>
      </c>
      <c r="W222" s="2">
        <v>2004</v>
      </c>
    </row>
    <row r="223" spans="1:23" ht="12.3" x14ac:dyDescent="0.4">
      <c r="A223" s="2" t="s">
        <v>130</v>
      </c>
      <c r="B223" s="2"/>
      <c r="C223" s="2"/>
      <c r="D223" s="2"/>
      <c r="E223" s="2"/>
      <c r="F223" s="2"/>
      <c r="G223" s="2"/>
      <c r="H223" s="2"/>
      <c r="I223" s="2">
        <v>63.446800000000003</v>
      </c>
      <c r="J223" s="2">
        <v>299</v>
      </c>
      <c r="K223" s="2">
        <v>63.063600000000001</v>
      </c>
      <c r="L223" s="2">
        <v>306</v>
      </c>
      <c r="M223" s="2">
        <v>90.768500000000003</v>
      </c>
      <c r="N223" s="2">
        <v>304</v>
      </c>
      <c r="O223" s="2">
        <v>92.569900000000004</v>
      </c>
      <c r="P223" s="2">
        <v>296</v>
      </c>
      <c r="Q223" s="2">
        <v>99.519400000000005</v>
      </c>
      <c r="R223" s="2">
        <v>117</v>
      </c>
      <c r="S223" s="2">
        <v>97.905199999999994</v>
      </c>
      <c r="T223" s="2">
        <v>84</v>
      </c>
      <c r="U223" s="2">
        <v>0.34424900000000003</v>
      </c>
      <c r="V223" s="2">
        <v>222</v>
      </c>
      <c r="W223" s="2">
        <v>2004</v>
      </c>
    </row>
    <row r="224" spans="1:23" ht="12.3" x14ac:dyDescent="0.4">
      <c r="A224" s="2" t="s">
        <v>277</v>
      </c>
      <c r="B224" s="2"/>
      <c r="C224" s="2"/>
      <c r="D224" s="2"/>
      <c r="E224" s="2"/>
      <c r="F224" s="2"/>
      <c r="G224" s="2"/>
      <c r="H224" s="2"/>
      <c r="I224" s="2">
        <v>70.833600000000004</v>
      </c>
      <c r="J224" s="2">
        <v>56</v>
      </c>
      <c r="K224" s="2">
        <v>70.788300000000007</v>
      </c>
      <c r="L224" s="2">
        <v>54</v>
      </c>
      <c r="M224" s="2">
        <v>100.2548</v>
      </c>
      <c r="N224" s="2">
        <v>177</v>
      </c>
      <c r="O224" s="2">
        <v>97.256600000000006</v>
      </c>
      <c r="P224" s="2">
        <v>239</v>
      </c>
      <c r="Q224" s="2">
        <v>98.089799999999997</v>
      </c>
      <c r="R224" s="2">
        <v>95</v>
      </c>
      <c r="S224" s="2">
        <v>102.8621</v>
      </c>
      <c r="T224" s="2">
        <v>187</v>
      </c>
      <c r="U224" s="2">
        <v>0.34424900000000003</v>
      </c>
      <c r="V224" s="2">
        <v>223</v>
      </c>
      <c r="W224" s="2">
        <v>2004</v>
      </c>
    </row>
    <row r="225" spans="1:23" ht="12.3" x14ac:dyDescent="0.4">
      <c r="A225" s="2" t="s">
        <v>209</v>
      </c>
      <c r="B225" s="2"/>
      <c r="C225" s="2"/>
      <c r="D225" s="2"/>
      <c r="E225" s="2"/>
      <c r="F225" s="2"/>
      <c r="G225" s="2"/>
      <c r="H225" s="2"/>
      <c r="I225" s="2">
        <v>66.777299999999997</v>
      </c>
      <c r="J225" s="2">
        <v>200</v>
      </c>
      <c r="K225" s="2">
        <v>66.186800000000005</v>
      </c>
      <c r="L225" s="2">
        <v>217</v>
      </c>
      <c r="M225" s="2">
        <v>99.300299999999993</v>
      </c>
      <c r="N225" s="2">
        <v>204</v>
      </c>
      <c r="O225" s="2">
        <v>99.070499999999996</v>
      </c>
      <c r="P225" s="2">
        <v>207</v>
      </c>
      <c r="Q225" s="2">
        <v>105.83669999999999</v>
      </c>
      <c r="R225" s="2">
        <v>273</v>
      </c>
      <c r="S225" s="2">
        <v>104.9278</v>
      </c>
      <c r="T225" s="2">
        <v>237</v>
      </c>
      <c r="U225" s="2">
        <v>0.34061399999999997</v>
      </c>
      <c r="V225" s="2">
        <v>224</v>
      </c>
      <c r="W225" s="2">
        <v>2004</v>
      </c>
    </row>
    <row r="226" spans="1:23" ht="12.3" x14ac:dyDescent="0.4">
      <c r="A226" s="2" t="s">
        <v>185</v>
      </c>
      <c r="B226" s="2">
        <v>16</v>
      </c>
      <c r="C226" s="2"/>
      <c r="D226" s="2"/>
      <c r="E226" s="2"/>
      <c r="F226" s="2"/>
      <c r="G226" s="2"/>
      <c r="H226" s="2"/>
      <c r="I226" s="2">
        <v>70.739000000000004</v>
      </c>
      <c r="J226" s="2">
        <v>58</v>
      </c>
      <c r="K226" s="2">
        <v>70.656400000000005</v>
      </c>
      <c r="L226" s="2">
        <v>56</v>
      </c>
      <c r="M226" s="2">
        <v>99.641800000000003</v>
      </c>
      <c r="N226" s="2">
        <v>190</v>
      </c>
      <c r="O226" s="2">
        <v>98.237899999999996</v>
      </c>
      <c r="P226" s="2">
        <v>220</v>
      </c>
      <c r="Q226" s="2">
        <v>100.7546</v>
      </c>
      <c r="R226" s="2">
        <v>147</v>
      </c>
      <c r="S226" s="2">
        <v>104.12690000000001</v>
      </c>
      <c r="T226" s="2">
        <v>214</v>
      </c>
      <c r="U226" s="2">
        <v>0.33860699999999999</v>
      </c>
      <c r="V226" s="2">
        <v>225</v>
      </c>
      <c r="W226" s="2">
        <v>2004</v>
      </c>
    </row>
    <row r="227" spans="1:23" ht="12.3" x14ac:dyDescent="0.4">
      <c r="A227" s="2" t="s">
        <v>161</v>
      </c>
      <c r="B227" s="2"/>
      <c r="C227" s="2"/>
      <c r="D227" s="2"/>
      <c r="E227" s="2"/>
      <c r="F227" s="2"/>
      <c r="G227" s="2"/>
      <c r="H227" s="2"/>
      <c r="I227" s="2">
        <v>69.281000000000006</v>
      </c>
      <c r="J227" s="2">
        <v>110</v>
      </c>
      <c r="K227" s="2">
        <v>68.691100000000006</v>
      </c>
      <c r="L227" s="2">
        <v>125</v>
      </c>
      <c r="M227" s="2">
        <v>94.114400000000003</v>
      </c>
      <c r="N227" s="2">
        <v>284</v>
      </c>
      <c r="O227" s="2">
        <v>96.854500000000002</v>
      </c>
      <c r="P227" s="2">
        <v>247</v>
      </c>
      <c r="Q227" s="2">
        <v>101.5244</v>
      </c>
      <c r="R227" s="2">
        <v>167</v>
      </c>
      <c r="S227" s="2">
        <v>102.8128</v>
      </c>
      <c r="T227" s="2">
        <v>185</v>
      </c>
      <c r="U227" s="2">
        <v>0.33479999999999999</v>
      </c>
      <c r="V227" s="2">
        <v>226</v>
      </c>
      <c r="W227" s="2">
        <v>2004</v>
      </c>
    </row>
    <row r="228" spans="1:23" ht="12.3" x14ac:dyDescent="0.4">
      <c r="A228" s="2" t="s">
        <v>275</v>
      </c>
      <c r="B228" s="2"/>
      <c r="C228" s="2"/>
      <c r="D228" s="2"/>
      <c r="E228" s="2"/>
      <c r="F228" s="2"/>
      <c r="G228" s="2"/>
      <c r="H228" s="2"/>
      <c r="I228" s="2">
        <v>69.326400000000007</v>
      </c>
      <c r="J228" s="2">
        <v>109</v>
      </c>
      <c r="K228" s="2">
        <v>69.278000000000006</v>
      </c>
      <c r="L228" s="2">
        <v>106</v>
      </c>
      <c r="M228" s="2">
        <v>106.1502</v>
      </c>
      <c r="N228" s="2">
        <v>74</v>
      </c>
      <c r="O228" s="2">
        <v>102.79989999999999</v>
      </c>
      <c r="P228" s="2">
        <v>127</v>
      </c>
      <c r="Q228" s="2">
        <v>106.8618</v>
      </c>
      <c r="R228" s="2">
        <v>287</v>
      </c>
      <c r="S228" s="2">
        <v>109.172</v>
      </c>
      <c r="T228" s="2">
        <v>301</v>
      </c>
      <c r="U228" s="2">
        <v>0.33367599999999997</v>
      </c>
      <c r="V228" s="2">
        <v>227</v>
      </c>
      <c r="W228" s="2">
        <v>2004</v>
      </c>
    </row>
    <row r="229" spans="1:23" ht="12.3" x14ac:dyDescent="0.4">
      <c r="A229" s="2" t="s">
        <v>127</v>
      </c>
      <c r="B229" s="2"/>
      <c r="C229" s="2"/>
      <c r="D229" s="2"/>
      <c r="E229" s="2"/>
      <c r="F229" s="2"/>
      <c r="G229" s="2"/>
      <c r="H229" s="2"/>
      <c r="I229" s="2">
        <v>71.2761</v>
      </c>
      <c r="J229" s="2">
        <v>44</v>
      </c>
      <c r="K229" s="2">
        <v>68.749899999999997</v>
      </c>
      <c r="L229" s="2">
        <v>122</v>
      </c>
      <c r="M229" s="2">
        <v>100.9746</v>
      </c>
      <c r="N229" s="2">
        <v>164</v>
      </c>
      <c r="O229" s="2">
        <v>100.75839999999999</v>
      </c>
      <c r="P229" s="2">
        <v>167</v>
      </c>
      <c r="Q229" s="2">
        <v>105.1741</v>
      </c>
      <c r="R229" s="2">
        <v>259</v>
      </c>
      <c r="S229" s="2">
        <v>107.0598</v>
      </c>
      <c r="T229" s="2">
        <v>278</v>
      </c>
      <c r="U229" s="2">
        <v>0.33234200000000003</v>
      </c>
      <c r="V229" s="2">
        <v>228</v>
      </c>
      <c r="W229" s="2">
        <v>2004</v>
      </c>
    </row>
    <row r="230" spans="1:23" ht="12.3" x14ac:dyDescent="0.4">
      <c r="A230" s="2" t="s">
        <v>269</v>
      </c>
      <c r="B230" s="2"/>
      <c r="C230" s="2"/>
      <c r="D230" s="2"/>
      <c r="E230" s="2"/>
      <c r="F230" s="2"/>
      <c r="G230" s="2"/>
      <c r="H230" s="2"/>
      <c r="I230" s="2">
        <v>68.547399999999996</v>
      </c>
      <c r="J230" s="2">
        <v>138</v>
      </c>
      <c r="K230" s="2">
        <v>67.434799999999996</v>
      </c>
      <c r="L230" s="2">
        <v>172</v>
      </c>
      <c r="M230" s="2">
        <v>95.982200000000006</v>
      </c>
      <c r="N230" s="2">
        <v>265</v>
      </c>
      <c r="O230" s="2">
        <v>94.104600000000005</v>
      </c>
      <c r="P230" s="2">
        <v>284</v>
      </c>
      <c r="Q230" s="2">
        <v>98.915000000000006</v>
      </c>
      <c r="R230" s="2">
        <v>110</v>
      </c>
      <c r="S230" s="2">
        <v>100.0591</v>
      </c>
      <c r="T230" s="2">
        <v>141</v>
      </c>
      <c r="U230" s="2">
        <v>0.33057999999999998</v>
      </c>
      <c r="V230" s="2">
        <v>229</v>
      </c>
      <c r="W230" s="2">
        <v>2004</v>
      </c>
    </row>
    <row r="231" spans="1:23" ht="12.3" x14ac:dyDescent="0.4">
      <c r="A231" s="2" t="s">
        <v>273</v>
      </c>
      <c r="B231" s="2"/>
      <c r="C231" s="2"/>
      <c r="D231" s="2"/>
      <c r="E231" s="2"/>
      <c r="F231" s="2"/>
      <c r="G231" s="2"/>
      <c r="H231" s="2"/>
      <c r="I231" s="2">
        <v>69.111400000000003</v>
      </c>
      <c r="J231" s="2">
        <v>120</v>
      </c>
      <c r="K231" s="2">
        <v>70.046999999999997</v>
      </c>
      <c r="L231" s="2">
        <v>75</v>
      </c>
      <c r="M231" s="2">
        <v>105.83159999999999</v>
      </c>
      <c r="N231" s="2">
        <v>78</v>
      </c>
      <c r="O231" s="2">
        <v>105.19889999999999</v>
      </c>
      <c r="P231" s="2">
        <v>87</v>
      </c>
      <c r="Q231" s="2">
        <v>103.86499999999999</v>
      </c>
      <c r="R231" s="2">
        <v>229</v>
      </c>
      <c r="S231" s="2">
        <v>111.9067</v>
      </c>
      <c r="T231" s="2">
        <v>321</v>
      </c>
      <c r="U231" s="2">
        <v>0.32941199999999998</v>
      </c>
      <c r="V231" s="2">
        <v>230</v>
      </c>
      <c r="W231" s="2">
        <v>2004</v>
      </c>
    </row>
    <row r="232" spans="1:23" ht="12.3" x14ac:dyDescent="0.4">
      <c r="A232" s="2" t="s">
        <v>333</v>
      </c>
      <c r="B232" s="2"/>
      <c r="C232" s="2"/>
      <c r="D232" s="2"/>
      <c r="E232" s="2"/>
      <c r="F232" s="2"/>
      <c r="G232" s="2"/>
      <c r="H232" s="2"/>
      <c r="I232" s="2">
        <v>69.481200000000001</v>
      </c>
      <c r="J232" s="2">
        <v>104</v>
      </c>
      <c r="K232" s="2">
        <v>70.313400000000001</v>
      </c>
      <c r="L232" s="2">
        <v>67</v>
      </c>
      <c r="M232" s="2">
        <v>100.38800000000001</v>
      </c>
      <c r="N232" s="2">
        <v>174</v>
      </c>
      <c r="O232" s="2">
        <v>98.273399999999995</v>
      </c>
      <c r="P232" s="2">
        <v>217</v>
      </c>
      <c r="Q232" s="2">
        <v>101.42270000000001</v>
      </c>
      <c r="R232" s="2">
        <v>164</v>
      </c>
      <c r="S232" s="2">
        <v>104.5488</v>
      </c>
      <c r="T232" s="2">
        <v>230</v>
      </c>
      <c r="U232" s="2">
        <v>0.32919100000000001</v>
      </c>
      <c r="V232" s="2">
        <v>231</v>
      </c>
      <c r="W232" s="2">
        <v>2004</v>
      </c>
    </row>
    <row r="233" spans="1:23" ht="12.3" x14ac:dyDescent="0.4">
      <c r="A233" s="2" t="s">
        <v>288</v>
      </c>
      <c r="B233" s="2"/>
      <c r="C233" s="2"/>
      <c r="D233" s="2"/>
      <c r="E233" s="2"/>
      <c r="F233" s="2"/>
      <c r="G233" s="2"/>
      <c r="H233" s="2"/>
      <c r="I233" s="2">
        <v>67.371399999999994</v>
      </c>
      <c r="J233" s="2">
        <v>186</v>
      </c>
      <c r="K233" s="2">
        <v>67.344700000000003</v>
      </c>
      <c r="L233" s="2">
        <v>177</v>
      </c>
      <c r="M233" s="2">
        <v>102.4076</v>
      </c>
      <c r="N233" s="2">
        <v>124</v>
      </c>
      <c r="O233" s="2">
        <v>99.334999999999994</v>
      </c>
      <c r="P233" s="2">
        <v>196</v>
      </c>
      <c r="Q233" s="2">
        <v>97.0518</v>
      </c>
      <c r="R233" s="2">
        <v>82</v>
      </c>
      <c r="S233" s="2">
        <v>105.7187</v>
      </c>
      <c r="T233" s="2">
        <v>255</v>
      </c>
      <c r="U233" s="2">
        <v>0.32821800000000001</v>
      </c>
      <c r="V233" s="2">
        <v>232</v>
      </c>
      <c r="W233" s="2">
        <v>2004</v>
      </c>
    </row>
    <row r="234" spans="1:23" ht="12.3" x14ac:dyDescent="0.4">
      <c r="A234" s="2" t="s">
        <v>163</v>
      </c>
      <c r="B234" s="2"/>
      <c r="C234" s="2"/>
      <c r="D234" s="2"/>
      <c r="E234" s="2"/>
      <c r="F234" s="2"/>
      <c r="G234" s="2"/>
      <c r="H234" s="2"/>
      <c r="I234" s="2">
        <v>69.267499999999998</v>
      </c>
      <c r="J234" s="2">
        <v>111</v>
      </c>
      <c r="K234" s="2">
        <v>68.291700000000006</v>
      </c>
      <c r="L234" s="2">
        <v>143</v>
      </c>
      <c r="M234" s="2">
        <v>97.211200000000005</v>
      </c>
      <c r="N234" s="2">
        <v>250</v>
      </c>
      <c r="O234" s="2">
        <v>93.939099999999996</v>
      </c>
      <c r="P234" s="2">
        <v>287</v>
      </c>
      <c r="Q234" s="2">
        <v>98.706900000000005</v>
      </c>
      <c r="R234" s="2">
        <v>104</v>
      </c>
      <c r="S234" s="2">
        <v>100.0086</v>
      </c>
      <c r="T234" s="2">
        <v>138</v>
      </c>
      <c r="U234" s="2">
        <v>0.32739099999999999</v>
      </c>
      <c r="V234" s="2">
        <v>233</v>
      </c>
      <c r="W234" s="2">
        <v>2004</v>
      </c>
    </row>
    <row r="235" spans="1:23" ht="12.3" x14ac:dyDescent="0.4">
      <c r="A235" s="2" t="s">
        <v>318</v>
      </c>
      <c r="B235" s="2"/>
      <c r="C235" s="2"/>
      <c r="D235" s="2"/>
      <c r="E235" s="2"/>
      <c r="F235" s="2"/>
      <c r="G235" s="2"/>
      <c r="H235" s="2"/>
      <c r="I235" s="2">
        <v>70.271900000000002</v>
      </c>
      <c r="J235" s="2">
        <v>74</v>
      </c>
      <c r="K235" s="2">
        <v>69.257099999999994</v>
      </c>
      <c r="L235" s="2">
        <v>108</v>
      </c>
      <c r="M235" s="2">
        <v>100.67619999999999</v>
      </c>
      <c r="N235" s="2">
        <v>170</v>
      </c>
      <c r="O235" s="2">
        <v>101.11790000000001</v>
      </c>
      <c r="P235" s="2">
        <v>161</v>
      </c>
      <c r="Q235" s="2">
        <v>108.30629999999999</v>
      </c>
      <c r="R235" s="2">
        <v>303</v>
      </c>
      <c r="S235" s="2">
        <v>107.6713</v>
      </c>
      <c r="T235" s="2">
        <v>282</v>
      </c>
      <c r="U235" s="2">
        <v>0.32691900000000002</v>
      </c>
      <c r="V235" s="2">
        <v>234</v>
      </c>
      <c r="W235" s="2">
        <v>2004</v>
      </c>
    </row>
    <row r="236" spans="1:23" ht="12.3" x14ac:dyDescent="0.4">
      <c r="A236" s="2" t="s">
        <v>182</v>
      </c>
      <c r="B236" s="2"/>
      <c r="C236" s="2"/>
      <c r="D236" s="2"/>
      <c r="E236" s="2"/>
      <c r="F236" s="2"/>
      <c r="G236" s="2"/>
      <c r="H236" s="2"/>
      <c r="I236" s="2">
        <v>66.528599999999997</v>
      </c>
      <c r="J236" s="2">
        <v>210</v>
      </c>
      <c r="K236" s="2">
        <v>65.399199999999993</v>
      </c>
      <c r="L236" s="2">
        <v>249</v>
      </c>
      <c r="M236" s="2">
        <v>100.7209</v>
      </c>
      <c r="N236" s="2">
        <v>169</v>
      </c>
      <c r="O236" s="2">
        <v>98.083399999999997</v>
      </c>
      <c r="P236" s="2">
        <v>222</v>
      </c>
      <c r="Q236" s="2">
        <v>101.94580000000001</v>
      </c>
      <c r="R236" s="2">
        <v>176</v>
      </c>
      <c r="S236" s="2">
        <v>104.52460000000001</v>
      </c>
      <c r="T236" s="2">
        <v>229</v>
      </c>
      <c r="U236" s="2">
        <v>0.32487500000000002</v>
      </c>
      <c r="V236" s="2">
        <v>235</v>
      </c>
      <c r="W236" s="2">
        <v>2004</v>
      </c>
    </row>
    <row r="237" spans="1:23" ht="12.3" x14ac:dyDescent="0.4">
      <c r="A237" s="2" t="s">
        <v>334</v>
      </c>
      <c r="B237" s="2"/>
      <c r="C237" s="2"/>
      <c r="D237" s="2"/>
      <c r="E237" s="2"/>
      <c r="F237" s="2"/>
      <c r="G237" s="2"/>
      <c r="H237" s="2"/>
      <c r="I237" s="2">
        <v>68.692499999999995</v>
      </c>
      <c r="J237" s="2">
        <v>134</v>
      </c>
      <c r="K237" s="2">
        <v>68.308800000000005</v>
      </c>
      <c r="L237" s="2">
        <v>141</v>
      </c>
      <c r="M237" s="2">
        <v>99.276700000000005</v>
      </c>
      <c r="N237" s="2">
        <v>206</v>
      </c>
      <c r="O237" s="2">
        <v>96.994500000000002</v>
      </c>
      <c r="P237" s="2">
        <v>245</v>
      </c>
      <c r="Q237" s="2">
        <v>99.054199999999994</v>
      </c>
      <c r="R237" s="2">
        <v>111</v>
      </c>
      <c r="S237" s="2">
        <v>103.4122</v>
      </c>
      <c r="T237" s="2">
        <v>193</v>
      </c>
      <c r="U237" s="2">
        <v>0.32370599999999999</v>
      </c>
      <c r="V237" s="2">
        <v>236</v>
      </c>
      <c r="W237" s="2">
        <v>2004</v>
      </c>
    </row>
    <row r="238" spans="1:23" ht="12.3" x14ac:dyDescent="0.4">
      <c r="A238" s="2" t="s">
        <v>158</v>
      </c>
      <c r="B238" s="2"/>
      <c r="C238" s="2"/>
      <c r="D238" s="2"/>
      <c r="E238" s="2"/>
      <c r="F238" s="2"/>
      <c r="G238" s="2"/>
      <c r="H238" s="2"/>
      <c r="I238" s="2">
        <v>63.418599999999998</v>
      </c>
      <c r="J238" s="2">
        <v>301</v>
      </c>
      <c r="K238" s="2">
        <v>62.9998</v>
      </c>
      <c r="L238" s="2">
        <v>307</v>
      </c>
      <c r="M238" s="2">
        <v>97.024000000000001</v>
      </c>
      <c r="N238" s="2">
        <v>252</v>
      </c>
      <c r="O238" s="2">
        <v>99.442599999999999</v>
      </c>
      <c r="P238" s="2">
        <v>193</v>
      </c>
      <c r="Q238" s="2">
        <v>109.67829999999999</v>
      </c>
      <c r="R238" s="2">
        <v>312</v>
      </c>
      <c r="S238" s="2">
        <v>106.035</v>
      </c>
      <c r="T238" s="2">
        <v>263</v>
      </c>
      <c r="U238" s="2">
        <v>0.323405</v>
      </c>
      <c r="V238" s="2">
        <v>237</v>
      </c>
      <c r="W238" s="2">
        <v>2004</v>
      </c>
    </row>
    <row r="239" spans="1:23" ht="12.3" x14ac:dyDescent="0.4">
      <c r="A239" s="2" t="s">
        <v>246</v>
      </c>
      <c r="B239" s="2"/>
      <c r="C239" s="2"/>
      <c r="D239" s="2"/>
      <c r="E239" s="2"/>
      <c r="F239" s="2"/>
      <c r="G239" s="2"/>
      <c r="H239" s="2"/>
      <c r="I239" s="2">
        <v>71.843699999999998</v>
      </c>
      <c r="J239" s="2">
        <v>31</v>
      </c>
      <c r="K239" s="2">
        <v>69.760900000000007</v>
      </c>
      <c r="L239" s="2">
        <v>86</v>
      </c>
      <c r="M239" s="2">
        <v>96.744799999999998</v>
      </c>
      <c r="N239" s="2">
        <v>256</v>
      </c>
      <c r="O239" s="2">
        <v>96.573700000000002</v>
      </c>
      <c r="P239" s="2">
        <v>252</v>
      </c>
      <c r="Q239" s="2">
        <v>101.3206</v>
      </c>
      <c r="R239" s="2">
        <v>161</v>
      </c>
      <c r="S239" s="2">
        <v>103.047</v>
      </c>
      <c r="T239" s="2">
        <v>189</v>
      </c>
      <c r="U239" s="2">
        <v>0.32166899999999998</v>
      </c>
      <c r="V239" s="2">
        <v>238</v>
      </c>
      <c r="W239" s="2">
        <v>2004</v>
      </c>
    </row>
    <row r="240" spans="1:23" ht="12.3" x14ac:dyDescent="0.4">
      <c r="A240" s="2" t="s">
        <v>107</v>
      </c>
      <c r="B240" s="2"/>
      <c r="C240" s="2"/>
      <c r="D240" s="2"/>
      <c r="E240" s="2"/>
      <c r="F240" s="2"/>
      <c r="G240" s="2"/>
      <c r="H240" s="2"/>
      <c r="I240" s="2">
        <v>74.033299999999997</v>
      </c>
      <c r="J240" s="2">
        <v>10</v>
      </c>
      <c r="K240" s="2">
        <v>72.997900000000001</v>
      </c>
      <c r="L240" s="2">
        <v>12</v>
      </c>
      <c r="M240" s="2">
        <v>99.090699999999998</v>
      </c>
      <c r="N240" s="2">
        <v>208</v>
      </c>
      <c r="O240" s="2">
        <v>97.754000000000005</v>
      </c>
      <c r="P240" s="2">
        <v>229</v>
      </c>
      <c r="Q240" s="2">
        <v>102.9355</v>
      </c>
      <c r="R240" s="2">
        <v>196</v>
      </c>
      <c r="S240" s="2">
        <v>104.3098</v>
      </c>
      <c r="T240" s="2">
        <v>221</v>
      </c>
      <c r="U240" s="2">
        <v>0.32158799999999998</v>
      </c>
      <c r="V240" s="2">
        <v>239</v>
      </c>
      <c r="W240" s="2">
        <v>2004</v>
      </c>
    </row>
    <row r="241" spans="1:23" ht="12.3" x14ac:dyDescent="0.4">
      <c r="A241" s="2" t="s">
        <v>303</v>
      </c>
      <c r="B241" s="2"/>
      <c r="C241" s="2"/>
      <c r="D241" s="2"/>
      <c r="E241" s="2"/>
      <c r="F241" s="2"/>
      <c r="G241" s="2"/>
      <c r="H241" s="2"/>
      <c r="I241" s="2">
        <v>65.707999999999998</v>
      </c>
      <c r="J241" s="2">
        <v>236</v>
      </c>
      <c r="K241" s="2">
        <v>65.546499999999995</v>
      </c>
      <c r="L241" s="2">
        <v>242</v>
      </c>
      <c r="M241" s="2">
        <v>106.93259999999999</v>
      </c>
      <c r="N241" s="2">
        <v>60</v>
      </c>
      <c r="O241" s="2">
        <v>105.1127</v>
      </c>
      <c r="P241" s="2">
        <v>89</v>
      </c>
      <c r="Q241" s="2">
        <v>110.3289</v>
      </c>
      <c r="R241" s="2">
        <v>315</v>
      </c>
      <c r="S241" s="2">
        <v>112.1778</v>
      </c>
      <c r="T241" s="2">
        <v>323</v>
      </c>
      <c r="U241" s="2">
        <v>0.32123600000000002</v>
      </c>
      <c r="V241" s="2">
        <v>240</v>
      </c>
      <c r="W241" s="2">
        <v>2004</v>
      </c>
    </row>
    <row r="242" spans="1:23" ht="12.3" x14ac:dyDescent="0.4">
      <c r="A242" s="2" t="s">
        <v>114</v>
      </c>
      <c r="B242" s="2"/>
      <c r="C242" s="2"/>
      <c r="D242" s="2"/>
      <c r="E242" s="2"/>
      <c r="F242" s="2"/>
      <c r="G242" s="2"/>
      <c r="H242" s="2"/>
      <c r="I242" s="2">
        <v>70.121399999999994</v>
      </c>
      <c r="J242" s="2">
        <v>84</v>
      </c>
      <c r="K242" s="2">
        <v>69.485799999999998</v>
      </c>
      <c r="L242" s="2">
        <v>100</v>
      </c>
      <c r="M242" s="2">
        <v>105.2611</v>
      </c>
      <c r="N242" s="2">
        <v>82</v>
      </c>
      <c r="O242" s="2">
        <v>102.61190000000001</v>
      </c>
      <c r="P242" s="2">
        <v>132</v>
      </c>
      <c r="Q242" s="2">
        <v>110.3775</v>
      </c>
      <c r="R242" s="2">
        <v>316</v>
      </c>
      <c r="S242" s="2">
        <v>109.7069</v>
      </c>
      <c r="T242" s="2">
        <v>305</v>
      </c>
      <c r="U242" s="2">
        <v>0.31672299999999998</v>
      </c>
      <c r="V242" s="2">
        <v>241</v>
      </c>
      <c r="W242" s="2">
        <v>2004</v>
      </c>
    </row>
    <row r="243" spans="1:23" ht="12.3" x14ac:dyDescent="0.4">
      <c r="A243" s="2" t="s">
        <v>341</v>
      </c>
      <c r="B243" s="2"/>
      <c r="C243" s="2"/>
      <c r="D243" s="2"/>
      <c r="E243" s="2"/>
      <c r="F243" s="2"/>
      <c r="G243" s="2"/>
      <c r="H243" s="2"/>
      <c r="I243" s="2">
        <v>63.5747</v>
      </c>
      <c r="J243" s="2">
        <v>297</v>
      </c>
      <c r="K243" s="2">
        <v>63.389899999999997</v>
      </c>
      <c r="L243" s="2">
        <v>302</v>
      </c>
      <c r="M243" s="2">
        <v>95.986500000000007</v>
      </c>
      <c r="N243" s="2">
        <v>264</v>
      </c>
      <c r="O243" s="2">
        <v>92.993499999999997</v>
      </c>
      <c r="P243" s="2">
        <v>293</v>
      </c>
      <c r="Q243" s="2">
        <v>94.822100000000006</v>
      </c>
      <c r="R243" s="2">
        <v>40</v>
      </c>
      <c r="S243" s="2">
        <v>99.515500000000003</v>
      </c>
      <c r="T243" s="2">
        <v>124</v>
      </c>
      <c r="U243" s="2">
        <v>0.31442500000000001</v>
      </c>
      <c r="V243" s="2">
        <v>242</v>
      </c>
      <c r="W243" s="2">
        <v>2004</v>
      </c>
    </row>
    <row r="244" spans="1:23" ht="12.3" x14ac:dyDescent="0.4">
      <c r="A244" s="2" t="s">
        <v>283</v>
      </c>
      <c r="B244" s="2"/>
      <c r="C244" s="2"/>
      <c r="D244" s="2"/>
      <c r="E244" s="2"/>
      <c r="F244" s="2"/>
      <c r="G244" s="2"/>
      <c r="H244" s="2"/>
      <c r="I244" s="2">
        <v>68.626800000000003</v>
      </c>
      <c r="J244" s="2">
        <v>136</v>
      </c>
      <c r="K244" s="2">
        <v>68.41</v>
      </c>
      <c r="L244" s="2">
        <v>134</v>
      </c>
      <c r="M244" s="2">
        <v>99.343299999999999</v>
      </c>
      <c r="N244" s="2">
        <v>201</v>
      </c>
      <c r="O244" s="2">
        <v>98.770099999999999</v>
      </c>
      <c r="P244" s="2">
        <v>211</v>
      </c>
      <c r="Q244" s="2">
        <v>104.12779999999999</v>
      </c>
      <c r="R244" s="2">
        <v>239</v>
      </c>
      <c r="S244" s="2">
        <v>105.7654</v>
      </c>
      <c r="T244" s="2">
        <v>256</v>
      </c>
      <c r="U244" s="2">
        <v>0.31282799999999999</v>
      </c>
      <c r="V244" s="2">
        <v>243</v>
      </c>
      <c r="W244" s="2">
        <v>2004</v>
      </c>
    </row>
    <row r="245" spans="1:23" ht="12.3" x14ac:dyDescent="0.4">
      <c r="A245" s="2" t="s">
        <v>257</v>
      </c>
      <c r="B245" s="2"/>
      <c r="C245" s="2"/>
      <c r="D245" s="2"/>
      <c r="E245" s="2"/>
      <c r="F245" s="2"/>
      <c r="G245" s="2"/>
      <c r="H245" s="2"/>
      <c r="I245" s="2">
        <v>70.448099999999997</v>
      </c>
      <c r="J245" s="2">
        <v>70</v>
      </c>
      <c r="K245" s="2">
        <v>69.748000000000005</v>
      </c>
      <c r="L245" s="2">
        <v>87</v>
      </c>
      <c r="M245" s="2">
        <v>101.1305</v>
      </c>
      <c r="N245" s="2">
        <v>159</v>
      </c>
      <c r="O245" s="2">
        <v>103.5176</v>
      </c>
      <c r="P245" s="2">
        <v>108</v>
      </c>
      <c r="Q245" s="2">
        <v>108.0665</v>
      </c>
      <c r="R245" s="2">
        <v>301</v>
      </c>
      <c r="S245" s="2">
        <v>110.90349999999999</v>
      </c>
      <c r="T245" s="2">
        <v>315</v>
      </c>
      <c r="U245" s="2">
        <v>0.31161699999999998</v>
      </c>
      <c r="V245" s="2">
        <v>244</v>
      </c>
      <c r="W245" s="2">
        <v>2004</v>
      </c>
    </row>
    <row r="246" spans="1:23" ht="12.3" x14ac:dyDescent="0.4">
      <c r="A246" s="2" t="s">
        <v>202</v>
      </c>
      <c r="B246" s="2"/>
      <c r="C246" s="2"/>
      <c r="D246" s="2"/>
      <c r="E246" s="2"/>
      <c r="F246" s="2"/>
      <c r="G246" s="2"/>
      <c r="H246" s="2"/>
      <c r="I246" s="2">
        <v>69.951700000000002</v>
      </c>
      <c r="J246" s="2">
        <v>92</v>
      </c>
      <c r="K246" s="2">
        <v>69.599900000000005</v>
      </c>
      <c r="L246" s="2">
        <v>95</v>
      </c>
      <c r="M246" s="2">
        <v>95.136899999999997</v>
      </c>
      <c r="N246" s="2">
        <v>273</v>
      </c>
      <c r="O246" s="2">
        <v>93.046000000000006</v>
      </c>
      <c r="P246" s="2">
        <v>292</v>
      </c>
      <c r="Q246" s="2">
        <v>103.1635</v>
      </c>
      <c r="R246" s="2">
        <v>206</v>
      </c>
      <c r="S246" s="2">
        <v>99.696200000000005</v>
      </c>
      <c r="T246" s="2">
        <v>126</v>
      </c>
      <c r="U246" s="2">
        <v>0.311336</v>
      </c>
      <c r="V246" s="2">
        <v>245</v>
      </c>
      <c r="W246" s="2">
        <v>2004</v>
      </c>
    </row>
    <row r="247" spans="1:23" ht="12.3" x14ac:dyDescent="0.4">
      <c r="A247" s="2" t="s">
        <v>306</v>
      </c>
      <c r="B247" s="2"/>
      <c r="C247" s="2"/>
      <c r="D247" s="2"/>
      <c r="E247" s="2"/>
      <c r="F247" s="2"/>
      <c r="G247" s="2"/>
      <c r="H247" s="2"/>
      <c r="I247" s="2">
        <v>69.182599999999994</v>
      </c>
      <c r="J247" s="2">
        <v>114</v>
      </c>
      <c r="K247" s="2">
        <v>66.977699999999999</v>
      </c>
      <c r="L247" s="2">
        <v>194</v>
      </c>
      <c r="M247" s="2">
        <v>96.6768</v>
      </c>
      <c r="N247" s="2">
        <v>258</v>
      </c>
      <c r="O247" s="2">
        <v>98.021299999999997</v>
      </c>
      <c r="P247" s="2">
        <v>224</v>
      </c>
      <c r="Q247" s="2">
        <v>105.1199</v>
      </c>
      <c r="R247" s="2">
        <v>257</v>
      </c>
      <c r="S247" s="2">
        <v>105.35899999999999</v>
      </c>
      <c r="T247" s="2">
        <v>246</v>
      </c>
      <c r="U247" s="2">
        <v>0.30360999999999999</v>
      </c>
      <c r="V247" s="2">
        <v>246</v>
      </c>
      <c r="W247" s="2">
        <v>2004</v>
      </c>
    </row>
    <row r="248" spans="1:23" ht="12.3" x14ac:dyDescent="0.4">
      <c r="A248" s="2" t="s">
        <v>278</v>
      </c>
      <c r="B248" s="2"/>
      <c r="C248" s="2"/>
      <c r="D248" s="2"/>
      <c r="E248" s="2"/>
      <c r="F248" s="2"/>
      <c r="G248" s="2"/>
      <c r="H248" s="2"/>
      <c r="I248" s="2">
        <v>62.712000000000003</v>
      </c>
      <c r="J248" s="2">
        <v>309</v>
      </c>
      <c r="K248" s="2">
        <v>62.597299999999997</v>
      </c>
      <c r="L248" s="2">
        <v>309</v>
      </c>
      <c r="M248" s="2">
        <v>94.469700000000003</v>
      </c>
      <c r="N248" s="2">
        <v>280</v>
      </c>
      <c r="O248" s="2">
        <v>97.214600000000004</v>
      </c>
      <c r="P248" s="2">
        <v>240</v>
      </c>
      <c r="Q248" s="2">
        <v>107.0074</v>
      </c>
      <c r="R248" s="2">
        <v>289</v>
      </c>
      <c r="S248" s="2">
        <v>104.5222</v>
      </c>
      <c r="T248" s="2">
        <v>228</v>
      </c>
      <c r="U248" s="2">
        <v>0.30290499999999998</v>
      </c>
      <c r="V248" s="2">
        <v>247</v>
      </c>
      <c r="W248" s="2">
        <v>2004</v>
      </c>
    </row>
    <row r="249" spans="1:23" ht="12.3" x14ac:dyDescent="0.4">
      <c r="A249" s="2" t="s">
        <v>230</v>
      </c>
      <c r="B249" s="2"/>
      <c r="C249" s="2"/>
      <c r="D249" s="2"/>
      <c r="E249" s="2"/>
      <c r="F249" s="2"/>
      <c r="G249" s="2"/>
      <c r="H249" s="2"/>
      <c r="I249" s="2">
        <v>63.3581</v>
      </c>
      <c r="J249" s="2">
        <v>302</v>
      </c>
      <c r="K249" s="2">
        <v>64.792599999999993</v>
      </c>
      <c r="L249" s="2">
        <v>271</v>
      </c>
      <c r="M249" s="2">
        <v>91.428100000000001</v>
      </c>
      <c r="N249" s="2">
        <v>300</v>
      </c>
      <c r="O249" s="2">
        <v>94.1614</v>
      </c>
      <c r="P249" s="2">
        <v>283</v>
      </c>
      <c r="Q249" s="2">
        <v>105.6875</v>
      </c>
      <c r="R249" s="2">
        <v>270</v>
      </c>
      <c r="S249" s="2">
        <v>101.26690000000001</v>
      </c>
      <c r="T249" s="2">
        <v>163</v>
      </c>
      <c r="U249" s="2">
        <v>0.30224699999999999</v>
      </c>
      <c r="V249" s="2">
        <v>248</v>
      </c>
      <c r="W249" s="2">
        <v>2004</v>
      </c>
    </row>
    <row r="250" spans="1:23" ht="12.3" x14ac:dyDescent="0.4">
      <c r="A250" s="2" t="s">
        <v>234</v>
      </c>
      <c r="B250" s="2"/>
      <c r="C250" s="2"/>
      <c r="D250" s="2"/>
      <c r="E250" s="2"/>
      <c r="F250" s="2"/>
      <c r="G250" s="2"/>
      <c r="H250" s="2"/>
      <c r="I250" s="2">
        <v>70.255799999999994</v>
      </c>
      <c r="J250" s="2">
        <v>76</v>
      </c>
      <c r="K250" s="2">
        <v>69.110299999999995</v>
      </c>
      <c r="L250" s="2">
        <v>114</v>
      </c>
      <c r="M250" s="2">
        <v>96.88</v>
      </c>
      <c r="N250" s="2">
        <v>253</v>
      </c>
      <c r="O250" s="2">
        <v>97.073599999999999</v>
      </c>
      <c r="P250" s="2">
        <v>242</v>
      </c>
      <c r="Q250" s="2">
        <v>104.35129999999999</v>
      </c>
      <c r="R250" s="2">
        <v>244</v>
      </c>
      <c r="S250" s="2">
        <v>104.4169</v>
      </c>
      <c r="T250" s="2">
        <v>225</v>
      </c>
      <c r="U250" s="2">
        <v>0.30182799999999999</v>
      </c>
      <c r="V250" s="2">
        <v>249</v>
      </c>
      <c r="W250" s="2">
        <v>2004</v>
      </c>
    </row>
    <row r="251" spans="1:23" ht="12.3" x14ac:dyDescent="0.4">
      <c r="A251" s="2" t="s">
        <v>218</v>
      </c>
      <c r="B251" s="2"/>
      <c r="C251" s="2"/>
      <c r="D251" s="2"/>
      <c r="E251" s="2"/>
      <c r="F251" s="2"/>
      <c r="G251" s="2"/>
      <c r="H251" s="2"/>
      <c r="I251" s="2">
        <v>73.515100000000004</v>
      </c>
      <c r="J251" s="2">
        <v>16</v>
      </c>
      <c r="K251" s="2">
        <v>72.430300000000003</v>
      </c>
      <c r="L251" s="2">
        <v>21</v>
      </c>
      <c r="M251" s="2">
        <v>101.6784</v>
      </c>
      <c r="N251" s="2">
        <v>145</v>
      </c>
      <c r="O251" s="2">
        <v>97.916600000000003</v>
      </c>
      <c r="P251" s="2">
        <v>226</v>
      </c>
      <c r="Q251" s="2">
        <v>103.5891</v>
      </c>
      <c r="R251" s="2">
        <v>219</v>
      </c>
      <c r="S251" s="2">
        <v>105.44710000000001</v>
      </c>
      <c r="T251" s="2">
        <v>250</v>
      </c>
      <c r="U251" s="2">
        <v>0.29899799999999999</v>
      </c>
      <c r="V251" s="2">
        <v>250</v>
      </c>
      <c r="W251" s="2">
        <v>2004</v>
      </c>
    </row>
    <row r="252" spans="1:23" ht="12.3" x14ac:dyDescent="0.4">
      <c r="A252" s="2" t="s">
        <v>315</v>
      </c>
      <c r="B252" s="2"/>
      <c r="C252" s="2"/>
      <c r="D252" s="2"/>
      <c r="E252" s="2"/>
      <c r="F252" s="2"/>
      <c r="G252" s="2"/>
      <c r="H252" s="2"/>
      <c r="I252" s="2">
        <v>65.578100000000006</v>
      </c>
      <c r="J252" s="2">
        <v>241</v>
      </c>
      <c r="K252" s="2">
        <v>66.145700000000005</v>
      </c>
      <c r="L252" s="2">
        <v>218</v>
      </c>
      <c r="M252" s="2">
        <v>91.320300000000003</v>
      </c>
      <c r="N252" s="2">
        <v>302</v>
      </c>
      <c r="O252" s="2">
        <v>90.007099999999994</v>
      </c>
      <c r="P252" s="2">
        <v>308</v>
      </c>
      <c r="Q252" s="2">
        <v>94.998800000000003</v>
      </c>
      <c r="R252" s="2">
        <v>42</v>
      </c>
      <c r="S252" s="2">
        <v>97.284999999999997</v>
      </c>
      <c r="T252" s="2">
        <v>76</v>
      </c>
      <c r="U252" s="2">
        <v>0.290244</v>
      </c>
      <c r="V252" s="2">
        <v>251</v>
      </c>
      <c r="W252" s="2">
        <v>2004</v>
      </c>
    </row>
    <row r="253" spans="1:23" ht="12.3" x14ac:dyDescent="0.4">
      <c r="A253" s="2" t="s">
        <v>237</v>
      </c>
      <c r="B253" s="2"/>
      <c r="C253" s="2"/>
      <c r="D253" s="2"/>
      <c r="E253" s="2"/>
      <c r="F253" s="2"/>
      <c r="G253" s="2"/>
      <c r="H253" s="2"/>
      <c r="I253" s="2">
        <v>63.639800000000001</v>
      </c>
      <c r="J253" s="2">
        <v>296</v>
      </c>
      <c r="K253" s="2">
        <v>64.179400000000001</v>
      </c>
      <c r="L253" s="2">
        <v>286</v>
      </c>
      <c r="M253" s="2">
        <v>98.873999999999995</v>
      </c>
      <c r="N253" s="2">
        <v>216</v>
      </c>
      <c r="O253" s="2">
        <v>99.761600000000001</v>
      </c>
      <c r="P253" s="2">
        <v>184</v>
      </c>
      <c r="Q253" s="2">
        <v>111.3043</v>
      </c>
      <c r="R253" s="2">
        <v>319</v>
      </c>
      <c r="S253" s="2">
        <v>107.9966</v>
      </c>
      <c r="T253" s="2">
        <v>290</v>
      </c>
      <c r="U253" s="2">
        <v>0.28656399999999999</v>
      </c>
      <c r="V253" s="2">
        <v>252</v>
      </c>
      <c r="W253" s="2">
        <v>2004</v>
      </c>
    </row>
    <row r="254" spans="1:23" ht="12.3" x14ac:dyDescent="0.4">
      <c r="A254" s="2" t="s">
        <v>354</v>
      </c>
      <c r="B254" s="2"/>
      <c r="C254" s="2"/>
      <c r="D254" s="2"/>
      <c r="E254" s="2"/>
      <c r="F254" s="2"/>
      <c r="G254" s="2"/>
      <c r="H254" s="2"/>
      <c r="I254" s="2">
        <v>66.251599999999996</v>
      </c>
      <c r="J254" s="2">
        <v>223</v>
      </c>
      <c r="K254" s="2">
        <v>64.713300000000004</v>
      </c>
      <c r="L254" s="2">
        <v>274</v>
      </c>
      <c r="M254" s="2">
        <v>101.9958</v>
      </c>
      <c r="N254" s="2">
        <v>137</v>
      </c>
      <c r="O254" s="2">
        <v>99.912800000000004</v>
      </c>
      <c r="P254" s="2">
        <v>179</v>
      </c>
      <c r="Q254" s="2">
        <v>105.696</v>
      </c>
      <c r="R254" s="2">
        <v>271</v>
      </c>
      <c r="S254" s="2">
        <v>108.76730000000001</v>
      </c>
      <c r="T254" s="2">
        <v>300</v>
      </c>
      <c r="U254" s="2">
        <v>0.273588</v>
      </c>
      <c r="V254" s="2">
        <v>253</v>
      </c>
      <c r="W254" s="2">
        <v>2004</v>
      </c>
    </row>
    <row r="255" spans="1:23" ht="12.3" x14ac:dyDescent="0.4">
      <c r="A255" s="2" t="s">
        <v>106</v>
      </c>
      <c r="B255" s="2"/>
      <c r="C255" s="2"/>
      <c r="D255" s="2"/>
      <c r="E255" s="2"/>
      <c r="F255" s="2"/>
      <c r="G255" s="2"/>
      <c r="H255" s="2"/>
      <c r="I255" s="2">
        <v>70.724500000000006</v>
      </c>
      <c r="J255" s="2">
        <v>59</v>
      </c>
      <c r="K255" s="2">
        <v>71.359300000000005</v>
      </c>
      <c r="L255" s="2">
        <v>35</v>
      </c>
      <c r="M255" s="2">
        <v>95.376300000000001</v>
      </c>
      <c r="N255" s="2">
        <v>271</v>
      </c>
      <c r="O255" s="2">
        <v>98.261300000000006</v>
      </c>
      <c r="P255" s="2">
        <v>218</v>
      </c>
      <c r="Q255" s="2">
        <v>111.71</v>
      </c>
      <c r="R255" s="2">
        <v>321</v>
      </c>
      <c r="S255" s="2">
        <v>107.01690000000001</v>
      </c>
      <c r="T255" s="2">
        <v>277</v>
      </c>
      <c r="U255" s="2">
        <v>0.27257399999999998</v>
      </c>
      <c r="V255" s="2">
        <v>254</v>
      </c>
      <c r="W255" s="2">
        <v>2004</v>
      </c>
    </row>
    <row r="256" spans="1:23" ht="12.3" x14ac:dyDescent="0.4">
      <c r="A256" s="2" t="s">
        <v>317</v>
      </c>
      <c r="B256" s="2"/>
      <c r="C256" s="2"/>
      <c r="D256" s="2"/>
      <c r="E256" s="2"/>
      <c r="F256" s="2"/>
      <c r="G256" s="2"/>
      <c r="H256" s="2"/>
      <c r="I256" s="2">
        <v>68.0608</v>
      </c>
      <c r="J256" s="2">
        <v>158</v>
      </c>
      <c r="K256" s="2">
        <v>69.576999999999998</v>
      </c>
      <c r="L256" s="2">
        <v>96</v>
      </c>
      <c r="M256" s="2">
        <v>95.109899999999996</v>
      </c>
      <c r="N256" s="2">
        <v>274</v>
      </c>
      <c r="O256" s="2">
        <v>95.177400000000006</v>
      </c>
      <c r="P256" s="2">
        <v>269</v>
      </c>
      <c r="Q256" s="2">
        <v>106.0945</v>
      </c>
      <c r="R256" s="2">
        <v>274</v>
      </c>
      <c r="S256" s="2">
        <v>103.7094</v>
      </c>
      <c r="T256" s="2">
        <v>203</v>
      </c>
      <c r="U256" s="2">
        <v>0.27145000000000002</v>
      </c>
      <c r="V256" s="2">
        <v>255</v>
      </c>
      <c r="W256" s="2">
        <v>2004</v>
      </c>
    </row>
    <row r="257" spans="1:23" ht="12.3" x14ac:dyDescent="0.4">
      <c r="A257" s="2" t="s">
        <v>268</v>
      </c>
      <c r="B257" s="2"/>
      <c r="C257" s="2"/>
      <c r="D257" s="2"/>
      <c r="E257" s="2"/>
      <c r="F257" s="2"/>
      <c r="G257" s="2"/>
      <c r="H257" s="2"/>
      <c r="I257" s="2">
        <v>69.006299999999996</v>
      </c>
      <c r="J257" s="2">
        <v>123</v>
      </c>
      <c r="K257" s="2">
        <v>68.451800000000006</v>
      </c>
      <c r="L257" s="2">
        <v>132</v>
      </c>
      <c r="M257" s="2">
        <v>100.8642</v>
      </c>
      <c r="N257" s="2">
        <v>167</v>
      </c>
      <c r="O257" s="2">
        <v>103.3511</v>
      </c>
      <c r="P257" s="2">
        <v>115</v>
      </c>
      <c r="Q257" s="2">
        <v>113.6943</v>
      </c>
      <c r="R257" s="2">
        <v>326</v>
      </c>
      <c r="S257" s="2">
        <v>112.7435</v>
      </c>
      <c r="T257" s="2">
        <v>325</v>
      </c>
      <c r="U257" s="2">
        <v>0.26888200000000001</v>
      </c>
      <c r="V257" s="2">
        <v>256</v>
      </c>
      <c r="W257" s="2">
        <v>2004</v>
      </c>
    </row>
    <row r="258" spans="1:23" ht="12.3" x14ac:dyDescent="0.4">
      <c r="A258" s="2" t="s">
        <v>280</v>
      </c>
      <c r="B258" s="2"/>
      <c r="C258" s="2"/>
      <c r="D258" s="2"/>
      <c r="E258" s="2"/>
      <c r="F258" s="2"/>
      <c r="G258" s="2"/>
      <c r="H258" s="2"/>
      <c r="I258" s="2">
        <v>70.865399999999994</v>
      </c>
      <c r="J258" s="2">
        <v>54</v>
      </c>
      <c r="K258" s="2">
        <v>70.539400000000001</v>
      </c>
      <c r="L258" s="2">
        <v>59</v>
      </c>
      <c r="M258" s="2">
        <v>98.971100000000007</v>
      </c>
      <c r="N258" s="2">
        <v>213</v>
      </c>
      <c r="O258" s="2">
        <v>97.432400000000001</v>
      </c>
      <c r="P258" s="2">
        <v>235</v>
      </c>
      <c r="Q258" s="2">
        <v>107.6284</v>
      </c>
      <c r="R258" s="2">
        <v>297</v>
      </c>
      <c r="S258" s="2">
        <v>106.3779</v>
      </c>
      <c r="T258" s="2">
        <v>267</v>
      </c>
      <c r="U258" s="2">
        <v>0.26695200000000002</v>
      </c>
      <c r="V258" s="2">
        <v>257</v>
      </c>
      <c r="W258" s="2">
        <v>2004</v>
      </c>
    </row>
    <row r="259" spans="1:23" ht="12.3" x14ac:dyDescent="0.4">
      <c r="A259" s="2" t="s">
        <v>259</v>
      </c>
      <c r="B259" s="2"/>
      <c r="C259" s="2"/>
      <c r="D259" s="2"/>
      <c r="E259" s="2"/>
      <c r="F259" s="2"/>
      <c r="G259" s="2"/>
      <c r="H259" s="2"/>
      <c r="I259" s="2">
        <v>75.575400000000002</v>
      </c>
      <c r="J259" s="2">
        <v>6</v>
      </c>
      <c r="K259" s="2">
        <v>73.884699999999995</v>
      </c>
      <c r="L259" s="2">
        <v>9</v>
      </c>
      <c r="M259" s="2">
        <v>95.508099999999999</v>
      </c>
      <c r="N259" s="2">
        <v>270</v>
      </c>
      <c r="O259" s="2">
        <v>94.782799999999995</v>
      </c>
      <c r="P259" s="2">
        <v>276</v>
      </c>
      <c r="Q259" s="2">
        <v>101.8317</v>
      </c>
      <c r="R259" s="2">
        <v>173</v>
      </c>
      <c r="S259" s="2">
        <v>103.6322</v>
      </c>
      <c r="T259" s="2">
        <v>198</v>
      </c>
      <c r="U259" s="2">
        <v>0.263766</v>
      </c>
      <c r="V259" s="2">
        <v>258</v>
      </c>
      <c r="W259" s="2">
        <v>2004</v>
      </c>
    </row>
    <row r="260" spans="1:23" ht="12.3" x14ac:dyDescent="0.4">
      <c r="A260" s="2" t="s">
        <v>265</v>
      </c>
      <c r="B260" s="2"/>
      <c r="C260" s="2"/>
      <c r="D260" s="2"/>
      <c r="E260" s="2"/>
      <c r="F260" s="2"/>
      <c r="G260" s="2"/>
      <c r="H260" s="2"/>
      <c r="I260" s="2">
        <v>60.485900000000001</v>
      </c>
      <c r="J260" s="2">
        <v>319</v>
      </c>
      <c r="K260" s="2">
        <v>60.455500000000001</v>
      </c>
      <c r="L260" s="2">
        <v>319</v>
      </c>
      <c r="M260" s="2">
        <v>99.941199999999995</v>
      </c>
      <c r="N260" s="2">
        <v>182</v>
      </c>
      <c r="O260" s="2">
        <v>98.241299999999995</v>
      </c>
      <c r="P260" s="2">
        <v>219</v>
      </c>
      <c r="Q260" s="2">
        <v>101.2662</v>
      </c>
      <c r="R260" s="2">
        <v>160</v>
      </c>
      <c r="S260" s="2">
        <v>107.5059</v>
      </c>
      <c r="T260" s="2">
        <v>280</v>
      </c>
      <c r="U260" s="2">
        <v>0.26185199999999997</v>
      </c>
      <c r="V260" s="2">
        <v>259</v>
      </c>
      <c r="W260" s="2">
        <v>2004</v>
      </c>
    </row>
    <row r="261" spans="1:23" ht="12.3" x14ac:dyDescent="0.4">
      <c r="A261" s="2" t="s">
        <v>330</v>
      </c>
      <c r="B261" s="2"/>
      <c r="C261" s="2"/>
      <c r="D261" s="2"/>
      <c r="E261" s="2"/>
      <c r="F261" s="2"/>
      <c r="G261" s="2"/>
      <c r="H261" s="2"/>
      <c r="I261" s="2">
        <v>71.359800000000007</v>
      </c>
      <c r="J261" s="2">
        <v>43</v>
      </c>
      <c r="K261" s="2">
        <v>70.902199999999993</v>
      </c>
      <c r="L261" s="2">
        <v>48</v>
      </c>
      <c r="M261" s="2">
        <v>98.101100000000002</v>
      </c>
      <c r="N261" s="2">
        <v>230</v>
      </c>
      <c r="O261" s="2">
        <v>96.1999</v>
      </c>
      <c r="P261" s="2">
        <v>257</v>
      </c>
      <c r="Q261" s="2">
        <v>98.197599999999994</v>
      </c>
      <c r="R261" s="2">
        <v>97</v>
      </c>
      <c r="S261" s="2">
        <v>105.42570000000001</v>
      </c>
      <c r="T261" s="2">
        <v>248</v>
      </c>
      <c r="U261" s="2">
        <v>0.25862000000000002</v>
      </c>
      <c r="V261" s="2">
        <v>260</v>
      </c>
      <c r="W261" s="2">
        <v>2004</v>
      </c>
    </row>
    <row r="262" spans="1:23" ht="12.3" x14ac:dyDescent="0.4">
      <c r="A262" s="2" t="s">
        <v>294</v>
      </c>
      <c r="B262" s="2"/>
      <c r="C262" s="2"/>
      <c r="D262" s="2"/>
      <c r="E262" s="2"/>
      <c r="F262" s="2"/>
      <c r="G262" s="2"/>
      <c r="H262" s="2"/>
      <c r="I262" s="2">
        <v>71.982299999999995</v>
      </c>
      <c r="J262" s="2">
        <v>28</v>
      </c>
      <c r="K262" s="2">
        <v>71.455100000000002</v>
      </c>
      <c r="L262" s="2">
        <v>33</v>
      </c>
      <c r="M262" s="2">
        <v>98.310699999999997</v>
      </c>
      <c r="N262" s="2">
        <v>228</v>
      </c>
      <c r="O262" s="2">
        <v>100.57689999999999</v>
      </c>
      <c r="P262" s="2">
        <v>170</v>
      </c>
      <c r="Q262" s="2">
        <v>108.342</v>
      </c>
      <c r="R262" s="2">
        <v>304</v>
      </c>
      <c r="S262" s="2">
        <v>110.316</v>
      </c>
      <c r="T262" s="2">
        <v>311</v>
      </c>
      <c r="U262" s="2">
        <v>0.25675500000000001</v>
      </c>
      <c r="V262" s="2">
        <v>261</v>
      </c>
      <c r="W262" s="2">
        <v>2004</v>
      </c>
    </row>
    <row r="263" spans="1:23" ht="12.3" x14ac:dyDescent="0.4">
      <c r="A263" s="2" t="s">
        <v>349</v>
      </c>
      <c r="B263" s="2"/>
      <c r="C263" s="2"/>
      <c r="D263" s="2"/>
      <c r="E263" s="2"/>
      <c r="F263" s="2"/>
      <c r="G263" s="2"/>
      <c r="H263" s="2"/>
      <c r="I263" s="2">
        <v>67.355800000000002</v>
      </c>
      <c r="J263" s="2">
        <v>187</v>
      </c>
      <c r="K263" s="2">
        <v>66.440399999999997</v>
      </c>
      <c r="L263" s="2">
        <v>206</v>
      </c>
      <c r="M263" s="2">
        <v>97.637200000000007</v>
      </c>
      <c r="N263" s="2">
        <v>239</v>
      </c>
      <c r="O263" s="2">
        <v>95.412499999999994</v>
      </c>
      <c r="P263" s="2">
        <v>266</v>
      </c>
      <c r="Q263" s="2">
        <v>102.97</v>
      </c>
      <c r="R263" s="2">
        <v>199</v>
      </c>
      <c r="S263" s="2">
        <v>104.7054</v>
      </c>
      <c r="T263" s="2">
        <v>234</v>
      </c>
      <c r="U263" s="2">
        <v>0.25562699999999999</v>
      </c>
      <c r="V263" s="2">
        <v>262</v>
      </c>
      <c r="W263" s="2">
        <v>2004</v>
      </c>
    </row>
    <row r="264" spans="1:23" ht="12.3" x14ac:dyDescent="0.4">
      <c r="A264" s="2" t="s">
        <v>332</v>
      </c>
      <c r="B264" s="2"/>
      <c r="C264" s="2"/>
      <c r="D264" s="2"/>
      <c r="E264" s="2"/>
      <c r="F264" s="2"/>
      <c r="G264" s="2"/>
      <c r="H264" s="2"/>
      <c r="I264" s="2">
        <v>65.668300000000002</v>
      </c>
      <c r="J264" s="2">
        <v>238</v>
      </c>
      <c r="K264" s="2">
        <v>65.268000000000001</v>
      </c>
      <c r="L264" s="2">
        <v>254</v>
      </c>
      <c r="M264" s="2">
        <v>102.0218</v>
      </c>
      <c r="N264" s="2">
        <v>135</v>
      </c>
      <c r="O264" s="2">
        <v>99.071200000000005</v>
      </c>
      <c r="P264" s="2">
        <v>206</v>
      </c>
      <c r="Q264" s="2">
        <v>106.59059999999999</v>
      </c>
      <c r="R264" s="2">
        <v>284</v>
      </c>
      <c r="S264" s="2">
        <v>108.7642</v>
      </c>
      <c r="T264" s="2">
        <v>299</v>
      </c>
      <c r="U264" s="2">
        <v>0.254747</v>
      </c>
      <c r="V264" s="2">
        <v>263</v>
      </c>
      <c r="W264" s="2">
        <v>2004</v>
      </c>
    </row>
    <row r="265" spans="1:23" ht="12.3" x14ac:dyDescent="0.4">
      <c r="A265" s="2" t="s">
        <v>249</v>
      </c>
      <c r="B265" s="2"/>
      <c r="C265" s="2"/>
      <c r="D265" s="2"/>
      <c r="E265" s="2"/>
      <c r="F265" s="2"/>
      <c r="G265" s="2"/>
      <c r="H265" s="2"/>
      <c r="I265" s="2">
        <v>68.263400000000004</v>
      </c>
      <c r="J265" s="2">
        <v>149</v>
      </c>
      <c r="K265" s="2">
        <v>68.622699999999995</v>
      </c>
      <c r="L265" s="2">
        <v>128</v>
      </c>
      <c r="M265" s="2">
        <v>90.500299999999996</v>
      </c>
      <c r="N265" s="2">
        <v>307</v>
      </c>
      <c r="O265" s="2">
        <v>94.477400000000003</v>
      </c>
      <c r="P265" s="2">
        <v>281</v>
      </c>
      <c r="Q265" s="2">
        <v>108.1776</v>
      </c>
      <c r="R265" s="2">
        <v>302</v>
      </c>
      <c r="S265" s="2">
        <v>103.7602</v>
      </c>
      <c r="T265" s="2">
        <v>205</v>
      </c>
      <c r="U265" s="2">
        <v>0.25392300000000001</v>
      </c>
      <c r="V265" s="2">
        <v>264</v>
      </c>
      <c r="W265" s="2">
        <v>2004</v>
      </c>
    </row>
    <row r="266" spans="1:23" ht="12.3" x14ac:dyDescent="0.4">
      <c r="A266" s="2" t="s">
        <v>208</v>
      </c>
      <c r="B266" s="2"/>
      <c r="C266" s="2"/>
      <c r="D266" s="2"/>
      <c r="E266" s="2"/>
      <c r="F266" s="2"/>
      <c r="G266" s="2"/>
      <c r="H266" s="2"/>
      <c r="I266" s="2">
        <v>60.602499999999999</v>
      </c>
      <c r="J266" s="2">
        <v>317</v>
      </c>
      <c r="K266" s="2">
        <v>60.563099999999999</v>
      </c>
      <c r="L266" s="2">
        <v>317</v>
      </c>
      <c r="M266" s="2">
        <v>98.796700000000001</v>
      </c>
      <c r="N266" s="2">
        <v>217</v>
      </c>
      <c r="O266" s="2">
        <v>97.140100000000004</v>
      </c>
      <c r="P266" s="2">
        <v>241</v>
      </c>
      <c r="Q266" s="2">
        <v>108.789</v>
      </c>
      <c r="R266" s="2">
        <v>305</v>
      </c>
      <c r="S266" s="2">
        <v>106.95050000000001</v>
      </c>
      <c r="T266" s="2">
        <v>275</v>
      </c>
      <c r="U266" s="2">
        <v>0.24853600000000001</v>
      </c>
      <c r="V266" s="2">
        <v>265</v>
      </c>
      <c r="W266" s="2">
        <v>2004</v>
      </c>
    </row>
    <row r="267" spans="1:23" ht="12.3" x14ac:dyDescent="0.4">
      <c r="A267" s="2" t="s">
        <v>271</v>
      </c>
      <c r="B267" s="2"/>
      <c r="C267" s="2"/>
      <c r="D267" s="2"/>
      <c r="E267" s="2"/>
      <c r="F267" s="2"/>
      <c r="G267" s="2"/>
      <c r="H267" s="2"/>
      <c r="I267" s="2">
        <v>69.194000000000003</v>
      </c>
      <c r="J267" s="2">
        <v>113</v>
      </c>
      <c r="K267" s="2">
        <v>69.437799999999996</v>
      </c>
      <c r="L267" s="2">
        <v>101</v>
      </c>
      <c r="M267" s="2">
        <v>94.830799999999996</v>
      </c>
      <c r="N267" s="2">
        <v>279</v>
      </c>
      <c r="O267" s="2">
        <v>94.048199999999994</v>
      </c>
      <c r="P267" s="2">
        <v>286</v>
      </c>
      <c r="Q267" s="2">
        <v>101.20229999999999</v>
      </c>
      <c r="R267" s="2">
        <v>158</v>
      </c>
      <c r="S267" s="2">
        <v>103.5844</v>
      </c>
      <c r="T267" s="2">
        <v>196</v>
      </c>
      <c r="U267" s="2">
        <v>0.24774599999999999</v>
      </c>
      <c r="V267" s="2">
        <v>266</v>
      </c>
      <c r="W267" s="2">
        <v>2004</v>
      </c>
    </row>
    <row r="268" spans="1:23" ht="12.3" x14ac:dyDescent="0.4">
      <c r="A268" s="2" t="s">
        <v>297</v>
      </c>
      <c r="B268" s="2">
        <v>16</v>
      </c>
      <c r="C268" s="2"/>
      <c r="D268" s="2"/>
      <c r="E268" s="2"/>
      <c r="F268" s="2"/>
      <c r="G268" s="2"/>
      <c r="H268" s="2"/>
      <c r="I268" s="2">
        <v>64.479600000000005</v>
      </c>
      <c r="J268" s="2">
        <v>272</v>
      </c>
      <c r="K268" s="2">
        <v>62.897599999999997</v>
      </c>
      <c r="L268" s="2">
        <v>308</v>
      </c>
      <c r="M268" s="2">
        <v>95.069500000000005</v>
      </c>
      <c r="N268" s="2">
        <v>276</v>
      </c>
      <c r="O268" s="2">
        <v>92.570899999999995</v>
      </c>
      <c r="P268" s="2">
        <v>295</v>
      </c>
      <c r="Q268" s="2">
        <v>94.007400000000004</v>
      </c>
      <c r="R268" s="2">
        <v>29</v>
      </c>
      <c r="S268" s="2">
        <v>102.01609999999999</v>
      </c>
      <c r="T268" s="2">
        <v>176</v>
      </c>
      <c r="U268" s="2">
        <v>0.24651400000000001</v>
      </c>
      <c r="V268" s="2">
        <v>267</v>
      </c>
      <c r="W268" s="2">
        <v>2004</v>
      </c>
    </row>
    <row r="269" spans="1:23" ht="12.3" x14ac:dyDescent="0.4">
      <c r="A269" s="2" t="s">
        <v>200</v>
      </c>
      <c r="B269" s="2"/>
      <c r="C269" s="2"/>
      <c r="D269" s="2"/>
      <c r="E269" s="2"/>
      <c r="F269" s="2"/>
      <c r="G269" s="2"/>
      <c r="H269" s="2"/>
      <c r="I269" s="2">
        <v>66.557199999999995</v>
      </c>
      <c r="J269" s="2">
        <v>207</v>
      </c>
      <c r="K269" s="2">
        <v>65.812799999999996</v>
      </c>
      <c r="L269" s="2">
        <v>232</v>
      </c>
      <c r="M269" s="2">
        <v>97.151300000000006</v>
      </c>
      <c r="N269" s="2">
        <v>251</v>
      </c>
      <c r="O269" s="2">
        <v>97.734200000000001</v>
      </c>
      <c r="P269" s="2">
        <v>230</v>
      </c>
      <c r="Q269" s="2">
        <v>107.2923</v>
      </c>
      <c r="R269" s="2">
        <v>291</v>
      </c>
      <c r="S269" s="2">
        <v>107.797</v>
      </c>
      <c r="T269" s="2">
        <v>287</v>
      </c>
      <c r="U269" s="2">
        <v>0.24471899999999999</v>
      </c>
      <c r="V269" s="2">
        <v>268</v>
      </c>
      <c r="W269" s="2">
        <v>2004</v>
      </c>
    </row>
    <row r="270" spans="1:23" ht="12.3" x14ac:dyDescent="0.4">
      <c r="A270" s="2" t="s">
        <v>301</v>
      </c>
      <c r="B270" s="2">
        <v>16</v>
      </c>
      <c r="C270" s="2"/>
      <c r="D270" s="2"/>
      <c r="E270" s="2"/>
      <c r="F270" s="2"/>
      <c r="G270" s="2"/>
      <c r="H270" s="2"/>
      <c r="I270" s="2">
        <v>72.628600000000006</v>
      </c>
      <c r="J270" s="2">
        <v>23</v>
      </c>
      <c r="K270" s="2">
        <v>72.454300000000003</v>
      </c>
      <c r="L270" s="2">
        <v>20</v>
      </c>
      <c r="M270" s="2">
        <v>99.282200000000003</v>
      </c>
      <c r="N270" s="2">
        <v>205</v>
      </c>
      <c r="O270" s="2">
        <v>96.540800000000004</v>
      </c>
      <c r="P270" s="2">
        <v>253</v>
      </c>
      <c r="Q270" s="2">
        <v>101.1798</v>
      </c>
      <c r="R270" s="2">
        <v>157</v>
      </c>
      <c r="S270" s="2">
        <v>106.5397</v>
      </c>
      <c r="T270" s="2">
        <v>268</v>
      </c>
      <c r="U270" s="2">
        <v>0.24354500000000001</v>
      </c>
      <c r="V270" s="2">
        <v>269</v>
      </c>
      <c r="W270" s="2">
        <v>2004</v>
      </c>
    </row>
    <row r="271" spans="1:23" ht="12.3" x14ac:dyDescent="0.4">
      <c r="A271" s="2" t="s">
        <v>307</v>
      </c>
      <c r="B271" s="2"/>
      <c r="C271" s="2"/>
      <c r="D271" s="2"/>
      <c r="E271" s="2"/>
      <c r="F271" s="2"/>
      <c r="G271" s="2"/>
      <c r="H271" s="2"/>
      <c r="I271" s="2">
        <v>65.478999999999999</v>
      </c>
      <c r="J271" s="2">
        <v>246</v>
      </c>
      <c r="K271" s="2">
        <v>64.384200000000007</v>
      </c>
      <c r="L271" s="2">
        <v>282</v>
      </c>
      <c r="M271" s="2">
        <v>103.6324</v>
      </c>
      <c r="N271" s="2">
        <v>103</v>
      </c>
      <c r="O271" s="2">
        <v>99.765900000000002</v>
      </c>
      <c r="P271" s="2">
        <v>183</v>
      </c>
      <c r="Q271" s="2">
        <v>107.8527</v>
      </c>
      <c r="R271" s="2">
        <v>299</v>
      </c>
      <c r="S271" s="2">
        <v>110.453</v>
      </c>
      <c r="T271" s="2">
        <v>312</v>
      </c>
      <c r="U271" s="2">
        <v>0.23680399999999999</v>
      </c>
      <c r="V271" s="2">
        <v>270</v>
      </c>
      <c r="W271" s="2">
        <v>2004</v>
      </c>
    </row>
    <row r="272" spans="1:23" ht="12.3" x14ac:dyDescent="0.4">
      <c r="A272" s="2" t="s">
        <v>225</v>
      </c>
      <c r="B272" s="2"/>
      <c r="C272" s="2"/>
      <c r="D272" s="2"/>
      <c r="E272" s="2"/>
      <c r="F272" s="2"/>
      <c r="G272" s="2"/>
      <c r="H272" s="2"/>
      <c r="I272" s="2">
        <v>73.945800000000006</v>
      </c>
      <c r="J272" s="2">
        <v>11</v>
      </c>
      <c r="K272" s="2">
        <v>72.391599999999997</v>
      </c>
      <c r="L272" s="2">
        <v>22</v>
      </c>
      <c r="M272" s="2">
        <v>97.633799999999994</v>
      </c>
      <c r="N272" s="2">
        <v>240</v>
      </c>
      <c r="O272" s="2">
        <v>96.116200000000006</v>
      </c>
      <c r="P272" s="2">
        <v>258</v>
      </c>
      <c r="Q272" s="2">
        <v>105.0548</v>
      </c>
      <c r="R272" s="2">
        <v>256</v>
      </c>
      <c r="S272" s="2">
        <v>106.7346</v>
      </c>
      <c r="T272" s="2">
        <v>269</v>
      </c>
      <c r="U272" s="2">
        <v>0.23057800000000001</v>
      </c>
      <c r="V272" s="2">
        <v>271</v>
      </c>
      <c r="W272" s="2">
        <v>2004</v>
      </c>
    </row>
    <row r="273" spans="1:23" ht="12.3" x14ac:dyDescent="0.4">
      <c r="A273" s="2" t="s">
        <v>215</v>
      </c>
      <c r="B273" s="2"/>
      <c r="C273" s="2"/>
      <c r="D273" s="2"/>
      <c r="E273" s="2"/>
      <c r="F273" s="2"/>
      <c r="G273" s="2"/>
      <c r="H273" s="2"/>
      <c r="I273" s="2">
        <v>67.964799999999997</v>
      </c>
      <c r="J273" s="2">
        <v>163</v>
      </c>
      <c r="K273" s="2">
        <v>67.634100000000004</v>
      </c>
      <c r="L273" s="2">
        <v>167</v>
      </c>
      <c r="M273" s="2">
        <v>97.838999999999999</v>
      </c>
      <c r="N273" s="2">
        <v>237</v>
      </c>
      <c r="O273" s="2">
        <v>94.788300000000007</v>
      </c>
      <c r="P273" s="2">
        <v>275</v>
      </c>
      <c r="Q273" s="2">
        <v>103.00960000000001</v>
      </c>
      <c r="R273" s="2">
        <v>201</v>
      </c>
      <c r="S273" s="2">
        <v>105.3359</v>
      </c>
      <c r="T273" s="2">
        <v>245</v>
      </c>
      <c r="U273" s="2">
        <v>0.22910800000000001</v>
      </c>
      <c r="V273" s="2">
        <v>272</v>
      </c>
      <c r="W273" s="2">
        <v>2004</v>
      </c>
    </row>
    <row r="274" spans="1:23" ht="12.3" x14ac:dyDescent="0.4">
      <c r="A274" s="2" t="s">
        <v>298</v>
      </c>
      <c r="B274" s="2"/>
      <c r="C274" s="2"/>
      <c r="D274" s="2"/>
      <c r="E274" s="2"/>
      <c r="F274" s="2"/>
      <c r="G274" s="2"/>
      <c r="H274" s="2"/>
      <c r="I274" s="2">
        <v>68.504000000000005</v>
      </c>
      <c r="J274" s="2">
        <v>141</v>
      </c>
      <c r="K274" s="2">
        <v>66.744900000000001</v>
      </c>
      <c r="L274" s="2">
        <v>201</v>
      </c>
      <c r="M274" s="2">
        <v>96.489800000000002</v>
      </c>
      <c r="N274" s="2">
        <v>260</v>
      </c>
      <c r="O274" s="2">
        <v>94.385099999999994</v>
      </c>
      <c r="P274" s="2">
        <v>282</v>
      </c>
      <c r="Q274" s="2">
        <v>105.6027</v>
      </c>
      <c r="R274" s="2">
        <v>265</v>
      </c>
      <c r="S274" s="2">
        <v>104.9971</v>
      </c>
      <c r="T274" s="2">
        <v>239</v>
      </c>
      <c r="U274" s="2">
        <v>0.22700100000000001</v>
      </c>
      <c r="V274" s="2">
        <v>273</v>
      </c>
      <c r="W274" s="2">
        <v>2004</v>
      </c>
    </row>
    <row r="275" spans="1:23" ht="12.3" x14ac:dyDescent="0.4">
      <c r="A275" s="2" t="s">
        <v>235</v>
      </c>
      <c r="B275" s="2"/>
      <c r="C275" s="2"/>
      <c r="D275" s="2"/>
      <c r="E275" s="2"/>
      <c r="F275" s="2"/>
      <c r="G275" s="2"/>
      <c r="H275" s="2"/>
      <c r="I275" s="2">
        <v>72.4876</v>
      </c>
      <c r="J275" s="2">
        <v>25</v>
      </c>
      <c r="K275" s="2">
        <v>72.933999999999997</v>
      </c>
      <c r="L275" s="2">
        <v>13</v>
      </c>
      <c r="M275" s="2">
        <v>94.276899999999998</v>
      </c>
      <c r="N275" s="2">
        <v>282</v>
      </c>
      <c r="O275" s="2">
        <v>95.971000000000004</v>
      </c>
      <c r="P275" s="2">
        <v>260</v>
      </c>
      <c r="Q275" s="2">
        <v>109.5513</v>
      </c>
      <c r="R275" s="2">
        <v>311</v>
      </c>
      <c r="S275" s="2">
        <v>106.8738</v>
      </c>
      <c r="T275" s="2">
        <v>272</v>
      </c>
      <c r="U275" s="2">
        <v>0.224884</v>
      </c>
      <c r="V275" s="2">
        <v>274</v>
      </c>
      <c r="W275" s="2">
        <v>2004</v>
      </c>
    </row>
    <row r="276" spans="1:23" ht="12.3" x14ac:dyDescent="0.4">
      <c r="A276" s="2" t="s">
        <v>193</v>
      </c>
      <c r="B276" s="2"/>
      <c r="C276" s="2"/>
      <c r="D276" s="2"/>
      <c r="E276" s="2"/>
      <c r="F276" s="2"/>
      <c r="G276" s="2"/>
      <c r="H276" s="2"/>
      <c r="I276" s="2">
        <v>71.499899999999997</v>
      </c>
      <c r="J276" s="2">
        <v>38</v>
      </c>
      <c r="K276" s="2">
        <v>70.313599999999994</v>
      </c>
      <c r="L276" s="2">
        <v>66</v>
      </c>
      <c r="M276" s="2">
        <v>92.221599999999995</v>
      </c>
      <c r="N276" s="2">
        <v>295</v>
      </c>
      <c r="O276" s="2">
        <v>92.062100000000001</v>
      </c>
      <c r="P276" s="2">
        <v>301</v>
      </c>
      <c r="Q276" s="2">
        <v>102.48390000000001</v>
      </c>
      <c r="R276" s="2">
        <v>186</v>
      </c>
      <c r="S276" s="2">
        <v>102.5608</v>
      </c>
      <c r="T276" s="2">
        <v>182</v>
      </c>
      <c r="U276" s="2">
        <v>0.224104</v>
      </c>
      <c r="V276" s="2">
        <v>275</v>
      </c>
      <c r="W276" s="2">
        <v>2004</v>
      </c>
    </row>
    <row r="277" spans="1:23" ht="12.3" x14ac:dyDescent="0.4">
      <c r="A277" s="2" t="s">
        <v>211</v>
      </c>
      <c r="B277" s="2"/>
      <c r="C277" s="2"/>
      <c r="D277" s="2"/>
      <c r="E277" s="2"/>
      <c r="F277" s="2"/>
      <c r="G277" s="2"/>
      <c r="H277" s="2"/>
      <c r="I277" s="2">
        <v>68.732500000000002</v>
      </c>
      <c r="J277" s="2">
        <v>132</v>
      </c>
      <c r="K277" s="2">
        <v>67.386399999999995</v>
      </c>
      <c r="L277" s="2">
        <v>175</v>
      </c>
      <c r="M277" s="2">
        <v>96.018199999999993</v>
      </c>
      <c r="N277" s="2">
        <v>263</v>
      </c>
      <c r="O277" s="2">
        <v>95.961799999999997</v>
      </c>
      <c r="P277" s="2">
        <v>261</v>
      </c>
      <c r="Q277" s="2">
        <v>106.62739999999999</v>
      </c>
      <c r="R277" s="2">
        <v>285</v>
      </c>
      <c r="S277" s="2">
        <v>106.96420000000001</v>
      </c>
      <c r="T277" s="2">
        <v>276</v>
      </c>
      <c r="U277" s="2">
        <v>0.22300300000000001</v>
      </c>
      <c r="V277" s="2">
        <v>276</v>
      </c>
      <c r="W277" s="2">
        <v>2004</v>
      </c>
    </row>
    <row r="278" spans="1:23" ht="12.3" x14ac:dyDescent="0.4">
      <c r="A278" s="2" t="s">
        <v>316</v>
      </c>
      <c r="B278" s="2"/>
      <c r="C278" s="2"/>
      <c r="D278" s="2"/>
      <c r="E278" s="2"/>
      <c r="F278" s="2"/>
      <c r="G278" s="2"/>
      <c r="H278" s="2"/>
      <c r="I278" s="2">
        <v>73.804100000000005</v>
      </c>
      <c r="J278" s="2">
        <v>13</v>
      </c>
      <c r="K278" s="2">
        <v>74.193899999999999</v>
      </c>
      <c r="L278" s="2">
        <v>8</v>
      </c>
      <c r="M278" s="2">
        <v>99.429199999999994</v>
      </c>
      <c r="N278" s="2">
        <v>198</v>
      </c>
      <c r="O278" s="2">
        <v>97.447000000000003</v>
      </c>
      <c r="P278" s="2">
        <v>234</v>
      </c>
      <c r="Q278" s="2">
        <v>104.2097</v>
      </c>
      <c r="R278" s="2">
        <v>240</v>
      </c>
      <c r="S278" s="2">
        <v>108.72669999999999</v>
      </c>
      <c r="T278" s="2">
        <v>298</v>
      </c>
      <c r="U278" s="2">
        <v>0.22104599999999999</v>
      </c>
      <c r="V278" s="2">
        <v>277</v>
      </c>
      <c r="W278" s="2">
        <v>2004</v>
      </c>
    </row>
    <row r="279" spans="1:23" ht="12.3" x14ac:dyDescent="0.4">
      <c r="A279" s="2" t="s">
        <v>293</v>
      </c>
      <c r="B279" s="2"/>
      <c r="C279" s="2"/>
      <c r="D279" s="2"/>
      <c r="E279" s="2"/>
      <c r="F279" s="2"/>
      <c r="G279" s="2"/>
      <c r="H279" s="2"/>
      <c r="I279" s="2">
        <v>66.158199999999994</v>
      </c>
      <c r="J279" s="2">
        <v>228</v>
      </c>
      <c r="K279" s="2">
        <v>66.257000000000005</v>
      </c>
      <c r="L279" s="2">
        <v>213</v>
      </c>
      <c r="M279" s="2">
        <v>91.973600000000005</v>
      </c>
      <c r="N279" s="2">
        <v>298</v>
      </c>
      <c r="O279" s="2">
        <v>93.444599999999994</v>
      </c>
      <c r="P279" s="2">
        <v>290</v>
      </c>
      <c r="Q279" s="2">
        <v>104.2955</v>
      </c>
      <c r="R279" s="2">
        <v>242</v>
      </c>
      <c r="S279" s="2">
        <v>104.36669999999999</v>
      </c>
      <c r="T279" s="2">
        <v>223</v>
      </c>
      <c r="U279" s="2">
        <v>0.21904599999999999</v>
      </c>
      <c r="V279" s="2">
        <v>278</v>
      </c>
      <c r="W279" s="2">
        <v>2004</v>
      </c>
    </row>
    <row r="280" spans="1:23" ht="12.3" x14ac:dyDescent="0.4">
      <c r="A280" s="2" t="s">
        <v>133</v>
      </c>
      <c r="B280" s="2"/>
      <c r="C280" s="2"/>
      <c r="D280" s="2"/>
      <c r="E280" s="2"/>
      <c r="F280" s="2"/>
      <c r="G280" s="2"/>
      <c r="H280" s="2"/>
      <c r="I280" s="2">
        <v>70.995699999999999</v>
      </c>
      <c r="J280" s="2">
        <v>49</v>
      </c>
      <c r="K280" s="2">
        <v>71.887100000000004</v>
      </c>
      <c r="L280" s="2">
        <v>27</v>
      </c>
      <c r="M280" s="2">
        <v>95.285899999999998</v>
      </c>
      <c r="N280" s="2">
        <v>272</v>
      </c>
      <c r="O280" s="2">
        <v>98.049499999999995</v>
      </c>
      <c r="P280" s="2">
        <v>223</v>
      </c>
      <c r="Q280" s="2">
        <v>113.4569</v>
      </c>
      <c r="R280" s="2">
        <v>325</v>
      </c>
      <c r="S280" s="2">
        <v>109.5949</v>
      </c>
      <c r="T280" s="2">
        <v>304</v>
      </c>
      <c r="U280" s="2">
        <v>0.21752299999999999</v>
      </c>
      <c r="V280" s="2">
        <v>279</v>
      </c>
      <c r="W280" s="2">
        <v>2004</v>
      </c>
    </row>
    <row r="281" spans="1:23" ht="12.3" x14ac:dyDescent="0.4">
      <c r="A281" s="2" t="s">
        <v>135</v>
      </c>
      <c r="B281" s="2"/>
      <c r="C281" s="2"/>
      <c r="D281" s="2"/>
      <c r="E281" s="2"/>
      <c r="F281" s="2"/>
      <c r="G281" s="2"/>
      <c r="H281" s="2"/>
      <c r="I281" s="2">
        <v>70.265000000000001</v>
      </c>
      <c r="J281" s="2">
        <v>75</v>
      </c>
      <c r="K281" s="2">
        <v>70.587199999999996</v>
      </c>
      <c r="L281" s="2">
        <v>58</v>
      </c>
      <c r="M281" s="2">
        <v>97.881200000000007</v>
      </c>
      <c r="N281" s="2">
        <v>235</v>
      </c>
      <c r="O281" s="2">
        <v>96.322800000000001</v>
      </c>
      <c r="P281" s="2">
        <v>254</v>
      </c>
      <c r="Q281" s="2">
        <v>100.1728</v>
      </c>
      <c r="R281" s="2">
        <v>134</v>
      </c>
      <c r="S281" s="2">
        <v>107.7077</v>
      </c>
      <c r="T281" s="2">
        <v>284</v>
      </c>
      <c r="U281" s="2">
        <v>0.21674399999999999</v>
      </c>
      <c r="V281" s="2">
        <v>280</v>
      </c>
      <c r="W281" s="2">
        <v>2004</v>
      </c>
    </row>
    <row r="282" spans="1:23" ht="12.3" x14ac:dyDescent="0.4">
      <c r="A282" s="2" t="s">
        <v>264</v>
      </c>
      <c r="B282" s="2"/>
      <c r="C282" s="2"/>
      <c r="D282" s="2"/>
      <c r="E282" s="2"/>
      <c r="F282" s="2"/>
      <c r="G282" s="2"/>
      <c r="H282" s="2"/>
      <c r="I282" s="2">
        <v>69.445499999999996</v>
      </c>
      <c r="J282" s="2">
        <v>106</v>
      </c>
      <c r="K282" s="2">
        <v>69.679500000000004</v>
      </c>
      <c r="L282" s="2">
        <v>90</v>
      </c>
      <c r="M282" s="2">
        <v>95.643100000000004</v>
      </c>
      <c r="N282" s="2">
        <v>269</v>
      </c>
      <c r="O282" s="2">
        <v>94.691000000000003</v>
      </c>
      <c r="P282" s="2">
        <v>278</v>
      </c>
      <c r="Q282" s="2">
        <v>107.982</v>
      </c>
      <c r="R282" s="2">
        <v>300</v>
      </c>
      <c r="S282" s="2">
        <v>106.0046</v>
      </c>
      <c r="T282" s="2">
        <v>261</v>
      </c>
      <c r="U282" s="2">
        <v>0.21451300000000001</v>
      </c>
      <c r="V282" s="2">
        <v>281</v>
      </c>
      <c r="W282" s="2">
        <v>2004</v>
      </c>
    </row>
    <row r="283" spans="1:23" ht="12.3" x14ac:dyDescent="0.4">
      <c r="A283" s="2" t="s">
        <v>279</v>
      </c>
      <c r="B283" s="2"/>
      <c r="C283" s="2"/>
      <c r="D283" s="2"/>
      <c r="E283" s="2"/>
      <c r="F283" s="2"/>
      <c r="G283" s="2"/>
      <c r="H283" s="2"/>
      <c r="I283" s="2">
        <v>73.872600000000006</v>
      </c>
      <c r="J283" s="2">
        <v>12</v>
      </c>
      <c r="K283" s="2">
        <v>72.5321</v>
      </c>
      <c r="L283" s="2">
        <v>19</v>
      </c>
      <c r="M283" s="2">
        <v>95.697000000000003</v>
      </c>
      <c r="N283" s="2">
        <v>268</v>
      </c>
      <c r="O283" s="2">
        <v>97.841700000000003</v>
      </c>
      <c r="P283" s="2">
        <v>227</v>
      </c>
      <c r="Q283" s="2">
        <v>109.76949999999999</v>
      </c>
      <c r="R283" s="2">
        <v>314</v>
      </c>
      <c r="S283" s="2">
        <v>109.708</v>
      </c>
      <c r="T283" s="2">
        <v>306</v>
      </c>
      <c r="U283" s="2">
        <v>0.21141499999999999</v>
      </c>
      <c r="V283" s="2">
        <v>282</v>
      </c>
      <c r="W283" s="2">
        <v>2004</v>
      </c>
    </row>
    <row r="284" spans="1:23" ht="12.3" x14ac:dyDescent="0.4">
      <c r="A284" s="2" t="s">
        <v>214</v>
      </c>
      <c r="B284" s="2"/>
      <c r="C284" s="2"/>
      <c r="D284" s="2"/>
      <c r="E284" s="2"/>
      <c r="F284" s="2"/>
      <c r="G284" s="2"/>
      <c r="H284" s="2"/>
      <c r="I284" s="2">
        <v>70.312600000000003</v>
      </c>
      <c r="J284" s="2">
        <v>72</v>
      </c>
      <c r="K284" s="2">
        <v>69.684100000000001</v>
      </c>
      <c r="L284" s="2">
        <v>89</v>
      </c>
      <c r="M284" s="2">
        <v>98.437899999999999</v>
      </c>
      <c r="N284" s="2">
        <v>226</v>
      </c>
      <c r="O284" s="2">
        <v>96.011899999999997</v>
      </c>
      <c r="P284" s="2">
        <v>259</v>
      </c>
      <c r="Q284" s="2">
        <v>106.1602</v>
      </c>
      <c r="R284" s="2">
        <v>276</v>
      </c>
      <c r="S284" s="2">
        <v>108.0008</v>
      </c>
      <c r="T284" s="2">
        <v>291</v>
      </c>
      <c r="U284" s="2">
        <v>0.20535500000000001</v>
      </c>
      <c r="V284" s="2">
        <v>283</v>
      </c>
      <c r="W284" s="2">
        <v>2004</v>
      </c>
    </row>
    <row r="285" spans="1:23" ht="12.3" x14ac:dyDescent="0.4">
      <c r="A285" s="2" t="s">
        <v>247</v>
      </c>
      <c r="B285" s="2"/>
      <c r="C285" s="2"/>
      <c r="D285" s="2"/>
      <c r="E285" s="2"/>
      <c r="F285" s="2"/>
      <c r="G285" s="2"/>
      <c r="H285" s="2"/>
      <c r="I285" s="2">
        <v>65.536199999999994</v>
      </c>
      <c r="J285" s="2">
        <v>244</v>
      </c>
      <c r="K285" s="2">
        <v>65.924499999999995</v>
      </c>
      <c r="L285" s="2">
        <v>228</v>
      </c>
      <c r="M285" s="2">
        <v>99.628299999999996</v>
      </c>
      <c r="N285" s="2">
        <v>191</v>
      </c>
      <c r="O285" s="2">
        <v>97.341999999999999</v>
      </c>
      <c r="P285" s="2">
        <v>238</v>
      </c>
      <c r="Q285" s="2">
        <v>104.56059999999999</v>
      </c>
      <c r="R285" s="2">
        <v>247</v>
      </c>
      <c r="S285" s="2">
        <v>109.568</v>
      </c>
      <c r="T285" s="2">
        <v>303</v>
      </c>
      <c r="U285" s="2">
        <v>0.20413999999999999</v>
      </c>
      <c r="V285" s="2">
        <v>284</v>
      </c>
      <c r="W285" s="2">
        <v>2004</v>
      </c>
    </row>
    <row r="286" spans="1:23" ht="12.3" x14ac:dyDescent="0.4">
      <c r="A286" s="2" t="s">
        <v>223</v>
      </c>
      <c r="B286" s="2"/>
      <c r="C286" s="2"/>
      <c r="D286" s="2"/>
      <c r="E286" s="2"/>
      <c r="F286" s="2"/>
      <c r="G286" s="2"/>
      <c r="H286" s="2"/>
      <c r="I286" s="2">
        <v>67.827500000000001</v>
      </c>
      <c r="J286" s="2">
        <v>171</v>
      </c>
      <c r="K286" s="2">
        <v>67.708399999999997</v>
      </c>
      <c r="L286" s="2">
        <v>163</v>
      </c>
      <c r="M286" s="2">
        <v>96.822000000000003</v>
      </c>
      <c r="N286" s="2">
        <v>254</v>
      </c>
      <c r="O286" s="2">
        <v>94.073499999999996</v>
      </c>
      <c r="P286" s="2">
        <v>285</v>
      </c>
      <c r="Q286" s="2">
        <v>101.9019</v>
      </c>
      <c r="R286" s="2">
        <v>175</v>
      </c>
      <c r="S286" s="2">
        <v>106.06699999999999</v>
      </c>
      <c r="T286" s="2">
        <v>265</v>
      </c>
      <c r="U286" s="2">
        <v>0.201018</v>
      </c>
      <c r="V286" s="2">
        <v>285</v>
      </c>
      <c r="W286" s="2">
        <v>2004</v>
      </c>
    </row>
    <row r="287" spans="1:23" ht="12.3" x14ac:dyDescent="0.4">
      <c r="A287" s="2" t="s">
        <v>295</v>
      </c>
      <c r="B287" s="2"/>
      <c r="C287" s="2"/>
      <c r="D287" s="2"/>
      <c r="E287" s="2"/>
      <c r="F287" s="2"/>
      <c r="G287" s="2"/>
      <c r="H287" s="2"/>
      <c r="I287" s="2">
        <v>65.644599999999997</v>
      </c>
      <c r="J287" s="2">
        <v>240</v>
      </c>
      <c r="K287" s="2">
        <v>65.555400000000006</v>
      </c>
      <c r="L287" s="2">
        <v>241</v>
      </c>
      <c r="M287" s="2">
        <v>94.846299999999999</v>
      </c>
      <c r="N287" s="2">
        <v>278</v>
      </c>
      <c r="O287" s="2">
        <v>95.505300000000005</v>
      </c>
      <c r="P287" s="2">
        <v>264</v>
      </c>
      <c r="Q287" s="2">
        <v>103.827</v>
      </c>
      <c r="R287" s="2">
        <v>227</v>
      </c>
      <c r="S287" s="2">
        <v>107.73520000000001</v>
      </c>
      <c r="T287" s="2">
        <v>286</v>
      </c>
      <c r="U287" s="2">
        <v>0.200098</v>
      </c>
      <c r="V287" s="2">
        <v>286</v>
      </c>
      <c r="W287" s="2">
        <v>2004</v>
      </c>
    </row>
    <row r="288" spans="1:23" ht="12.3" x14ac:dyDescent="0.4">
      <c r="A288" s="2" t="s">
        <v>338</v>
      </c>
      <c r="B288" s="2"/>
      <c r="C288" s="2"/>
      <c r="D288" s="2"/>
      <c r="E288" s="2"/>
      <c r="F288" s="2"/>
      <c r="G288" s="2"/>
      <c r="H288" s="2"/>
      <c r="I288" s="2">
        <v>70.942599999999999</v>
      </c>
      <c r="J288" s="2">
        <v>51</v>
      </c>
      <c r="K288" s="2">
        <v>70.459800000000001</v>
      </c>
      <c r="L288" s="2">
        <v>62</v>
      </c>
      <c r="M288" s="2">
        <v>97.965199999999996</v>
      </c>
      <c r="N288" s="2">
        <v>233</v>
      </c>
      <c r="O288" s="2">
        <v>94.989500000000007</v>
      </c>
      <c r="P288" s="2">
        <v>272</v>
      </c>
      <c r="Q288" s="2">
        <v>98.516000000000005</v>
      </c>
      <c r="R288" s="2">
        <v>100</v>
      </c>
      <c r="S288" s="2">
        <v>107.6324</v>
      </c>
      <c r="T288" s="2">
        <v>281</v>
      </c>
      <c r="U288" s="2">
        <v>0.19201299999999999</v>
      </c>
      <c r="V288" s="2">
        <v>287</v>
      </c>
      <c r="W288" s="2">
        <v>2004</v>
      </c>
    </row>
    <row r="289" spans="1:23" ht="12.3" x14ac:dyDescent="0.4">
      <c r="A289" s="2" t="s">
        <v>266</v>
      </c>
      <c r="B289" s="2"/>
      <c r="C289" s="2"/>
      <c r="D289" s="2"/>
      <c r="E289" s="2"/>
      <c r="F289" s="2"/>
      <c r="G289" s="2"/>
      <c r="H289" s="2"/>
      <c r="I289" s="2">
        <v>77.074100000000001</v>
      </c>
      <c r="J289" s="2">
        <v>1</v>
      </c>
      <c r="K289" s="2">
        <v>75.473100000000002</v>
      </c>
      <c r="L289" s="2">
        <v>2</v>
      </c>
      <c r="M289" s="2">
        <v>97.552999999999997</v>
      </c>
      <c r="N289" s="2">
        <v>242</v>
      </c>
      <c r="O289" s="2">
        <v>95.272000000000006</v>
      </c>
      <c r="P289" s="2">
        <v>268</v>
      </c>
      <c r="Q289" s="2">
        <v>104.0321</v>
      </c>
      <c r="R289" s="2">
        <v>236</v>
      </c>
      <c r="S289" s="2">
        <v>107.9652</v>
      </c>
      <c r="T289" s="2">
        <v>289</v>
      </c>
      <c r="U289" s="2">
        <v>0.191802</v>
      </c>
      <c r="V289" s="2">
        <v>288</v>
      </c>
      <c r="W289" s="2">
        <v>2004</v>
      </c>
    </row>
    <row r="290" spans="1:23" ht="12.3" x14ac:dyDescent="0.4">
      <c r="A290" s="2" t="s">
        <v>252</v>
      </c>
      <c r="B290" s="2"/>
      <c r="C290" s="2"/>
      <c r="D290" s="2"/>
      <c r="E290" s="2"/>
      <c r="F290" s="2"/>
      <c r="G290" s="2"/>
      <c r="H290" s="2"/>
      <c r="I290" s="2">
        <v>63.921399999999998</v>
      </c>
      <c r="J290" s="2">
        <v>289</v>
      </c>
      <c r="K290" s="2">
        <v>65.169799999999995</v>
      </c>
      <c r="L290" s="2">
        <v>261</v>
      </c>
      <c r="M290" s="2">
        <v>93.659599999999998</v>
      </c>
      <c r="N290" s="2">
        <v>290</v>
      </c>
      <c r="O290" s="2">
        <v>92.142600000000002</v>
      </c>
      <c r="P290" s="2">
        <v>300</v>
      </c>
      <c r="Q290" s="2">
        <v>99.247799999999998</v>
      </c>
      <c r="R290" s="2">
        <v>116</v>
      </c>
      <c r="S290" s="2">
        <v>104.6756</v>
      </c>
      <c r="T290" s="2">
        <v>232</v>
      </c>
      <c r="U290" s="2">
        <v>0.18746199999999999</v>
      </c>
      <c r="V290" s="2">
        <v>289</v>
      </c>
      <c r="W290" s="2">
        <v>2004</v>
      </c>
    </row>
    <row r="291" spans="1:23" ht="12.3" x14ac:dyDescent="0.4">
      <c r="A291" s="2" t="s">
        <v>322</v>
      </c>
      <c r="B291" s="2"/>
      <c r="C291" s="2"/>
      <c r="D291" s="2"/>
      <c r="E291" s="2"/>
      <c r="F291" s="2"/>
      <c r="G291" s="2"/>
      <c r="H291" s="2"/>
      <c r="I291" s="2">
        <v>65.827399999999997</v>
      </c>
      <c r="J291" s="2">
        <v>233</v>
      </c>
      <c r="K291" s="2">
        <v>67.360100000000003</v>
      </c>
      <c r="L291" s="2">
        <v>176</v>
      </c>
      <c r="M291" s="2">
        <v>93.003</v>
      </c>
      <c r="N291" s="2">
        <v>292</v>
      </c>
      <c r="O291" s="2">
        <v>95.423199999999994</v>
      </c>
      <c r="P291" s="2">
        <v>265</v>
      </c>
      <c r="Q291" s="2">
        <v>110.4941</v>
      </c>
      <c r="R291" s="2">
        <v>317</v>
      </c>
      <c r="S291" s="2">
        <v>108.45659999999999</v>
      </c>
      <c r="T291" s="2">
        <v>296</v>
      </c>
      <c r="U291" s="2">
        <v>0.186589</v>
      </c>
      <c r="V291" s="2">
        <v>290</v>
      </c>
      <c r="W291" s="2">
        <v>2004</v>
      </c>
    </row>
    <row r="292" spans="1:23" ht="12.3" x14ac:dyDescent="0.4">
      <c r="A292" s="2" t="s">
        <v>188</v>
      </c>
      <c r="B292" s="2"/>
      <c r="C292" s="2"/>
      <c r="D292" s="2"/>
      <c r="E292" s="2"/>
      <c r="F292" s="2"/>
      <c r="G292" s="2"/>
      <c r="H292" s="2"/>
      <c r="I292" s="2">
        <v>66.2363</v>
      </c>
      <c r="J292" s="2">
        <v>224</v>
      </c>
      <c r="K292" s="2">
        <v>67.616100000000003</v>
      </c>
      <c r="L292" s="2">
        <v>169</v>
      </c>
      <c r="M292" s="2">
        <v>94.03</v>
      </c>
      <c r="N292" s="2">
        <v>287</v>
      </c>
      <c r="O292" s="2">
        <v>94.900700000000001</v>
      </c>
      <c r="P292" s="2">
        <v>273</v>
      </c>
      <c r="Q292" s="2">
        <v>109.7683</v>
      </c>
      <c r="R292" s="2">
        <v>313</v>
      </c>
      <c r="S292" s="2">
        <v>107.92919999999999</v>
      </c>
      <c r="T292" s="2">
        <v>288</v>
      </c>
      <c r="U292" s="2">
        <v>0.18551599999999999</v>
      </c>
      <c r="V292" s="2">
        <v>291</v>
      </c>
      <c r="W292" s="2">
        <v>2004</v>
      </c>
    </row>
    <row r="293" spans="1:23" ht="12.3" x14ac:dyDescent="0.4">
      <c r="A293" s="2" t="s">
        <v>310</v>
      </c>
      <c r="B293" s="2"/>
      <c r="C293" s="2"/>
      <c r="D293" s="2"/>
      <c r="E293" s="2"/>
      <c r="F293" s="2"/>
      <c r="G293" s="2"/>
      <c r="H293" s="2"/>
      <c r="I293" s="2">
        <v>64.823899999999995</v>
      </c>
      <c r="J293" s="2">
        <v>262</v>
      </c>
      <c r="K293" s="2">
        <v>65.825100000000006</v>
      </c>
      <c r="L293" s="2">
        <v>231</v>
      </c>
      <c r="M293" s="2">
        <v>92.689499999999995</v>
      </c>
      <c r="N293" s="2">
        <v>293</v>
      </c>
      <c r="O293" s="2">
        <v>92.412499999999994</v>
      </c>
      <c r="P293" s="2">
        <v>297</v>
      </c>
      <c r="Q293" s="2">
        <v>99.667400000000001</v>
      </c>
      <c r="R293" s="2">
        <v>119</v>
      </c>
      <c r="S293" s="2">
        <v>105.2209</v>
      </c>
      <c r="T293" s="2">
        <v>243</v>
      </c>
      <c r="U293" s="2">
        <v>0.18351799999999999</v>
      </c>
      <c r="V293" s="2">
        <v>292</v>
      </c>
      <c r="W293" s="2">
        <v>2004</v>
      </c>
    </row>
    <row r="294" spans="1:23" ht="12.3" x14ac:dyDescent="0.4">
      <c r="A294" s="2" t="s">
        <v>336</v>
      </c>
      <c r="B294" s="2"/>
      <c r="C294" s="2"/>
      <c r="D294" s="2"/>
      <c r="E294" s="2"/>
      <c r="F294" s="2"/>
      <c r="G294" s="2"/>
      <c r="H294" s="2"/>
      <c r="I294" s="2">
        <v>64.510099999999994</v>
      </c>
      <c r="J294" s="2">
        <v>271</v>
      </c>
      <c r="K294" s="2">
        <v>65.779799999999994</v>
      </c>
      <c r="L294" s="2">
        <v>234</v>
      </c>
      <c r="M294" s="2">
        <v>95.091899999999995</v>
      </c>
      <c r="N294" s="2">
        <v>275</v>
      </c>
      <c r="O294" s="2">
        <v>95.014300000000006</v>
      </c>
      <c r="P294" s="2">
        <v>271</v>
      </c>
      <c r="Q294" s="2">
        <v>102.5369</v>
      </c>
      <c r="R294" s="2">
        <v>187</v>
      </c>
      <c r="S294" s="2">
        <v>108.1982</v>
      </c>
      <c r="T294" s="2">
        <v>293</v>
      </c>
      <c r="U294" s="2">
        <v>0.18328</v>
      </c>
      <c r="V294" s="2">
        <v>293</v>
      </c>
      <c r="W294" s="2">
        <v>2004</v>
      </c>
    </row>
    <row r="295" spans="1:23" ht="12.3" x14ac:dyDescent="0.4">
      <c r="A295" s="2" t="s">
        <v>329</v>
      </c>
      <c r="B295" s="2"/>
      <c r="C295" s="2"/>
      <c r="D295" s="2"/>
      <c r="E295" s="2"/>
      <c r="F295" s="2"/>
      <c r="G295" s="2"/>
      <c r="H295" s="2"/>
      <c r="I295" s="2">
        <v>71.362300000000005</v>
      </c>
      <c r="J295" s="2">
        <v>42</v>
      </c>
      <c r="K295" s="2">
        <v>70.971000000000004</v>
      </c>
      <c r="L295" s="2">
        <v>46</v>
      </c>
      <c r="M295" s="2">
        <v>92.066100000000006</v>
      </c>
      <c r="N295" s="2">
        <v>296</v>
      </c>
      <c r="O295" s="2">
        <v>93.649900000000002</v>
      </c>
      <c r="P295" s="2">
        <v>289</v>
      </c>
      <c r="Q295" s="2">
        <v>100.75660000000001</v>
      </c>
      <c r="R295" s="2">
        <v>149</v>
      </c>
      <c r="S295" s="2">
        <v>106.7607</v>
      </c>
      <c r="T295" s="2">
        <v>270</v>
      </c>
      <c r="U295" s="2">
        <v>0.18141199999999999</v>
      </c>
      <c r="V295" s="2">
        <v>294</v>
      </c>
      <c r="W295" s="2">
        <v>2004</v>
      </c>
    </row>
    <row r="296" spans="1:23" ht="12.3" x14ac:dyDescent="0.4">
      <c r="A296" s="2" t="s">
        <v>222</v>
      </c>
      <c r="B296" s="2"/>
      <c r="C296" s="2"/>
      <c r="D296" s="2"/>
      <c r="E296" s="2"/>
      <c r="F296" s="2"/>
      <c r="G296" s="2"/>
      <c r="H296" s="2"/>
      <c r="I296" s="2">
        <v>70.676400000000001</v>
      </c>
      <c r="J296" s="2">
        <v>63</v>
      </c>
      <c r="K296" s="2">
        <v>70.795400000000001</v>
      </c>
      <c r="L296" s="2">
        <v>53</v>
      </c>
      <c r="M296" s="2">
        <v>90.335599999999999</v>
      </c>
      <c r="N296" s="2">
        <v>308</v>
      </c>
      <c r="O296" s="2">
        <v>90.758799999999994</v>
      </c>
      <c r="P296" s="2">
        <v>305</v>
      </c>
      <c r="Q296" s="2">
        <v>106.2171</v>
      </c>
      <c r="R296" s="2">
        <v>277</v>
      </c>
      <c r="S296" s="2">
        <v>103.6156</v>
      </c>
      <c r="T296" s="2">
        <v>197</v>
      </c>
      <c r="U296" s="2">
        <v>0.17893999999999999</v>
      </c>
      <c r="V296" s="2">
        <v>295</v>
      </c>
      <c r="W296" s="2">
        <v>2004</v>
      </c>
    </row>
    <row r="297" spans="1:23" ht="12.3" x14ac:dyDescent="0.4">
      <c r="A297" s="2" t="s">
        <v>143</v>
      </c>
      <c r="B297" s="2"/>
      <c r="C297" s="2"/>
      <c r="D297" s="2"/>
      <c r="E297" s="2"/>
      <c r="F297" s="2"/>
      <c r="G297" s="2"/>
      <c r="H297" s="2"/>
      <c r="I297" s="2">
        <v>67.593299999999999</v>
      </c>
      <c r="J297" s="2">
        <v>179</v>
      </c>
      <c r="K297" s="2">
        <v>66.586600000000004</v>
      </c>
      <c r="L297" s="2">
        <v>203</v>
      </c>
      <c r="M297" s="2">
        <v>91.3797</v>
      </c>
      <c r="N297" s="2">
        <v>301</v>
      </c>
      <c r="O297" s="2">
        <v>91.072100000000006</v>
      </c>
      <c r="P297" s="2">
        <v>304</v>
      </c>
      <c r="Q297" s="2">
        <v>104.0859</v>
      </c>
      <c r="R297" s="2">
        <v>238</v>
      </c>
      <c r="S297" s="2">
        <v>103.9936</v>
      </c>
      <c r="T297" s="2">
        <v>210</v>
      </c>
      <c r="U297" s="2">
        <v>0.17860999999999999</v>
      </c>
      <c r="V297" s="2">
        <v>296</v>
      </c>
      <c r="W297" s="2">
        <v>2004</v>
      </c>
    </row>
    <row r="298" spans="1:23" ht="12.3" x14ac:dyDescent="0.4">
      <c r="A298" s="2" t="s">
        <v>312</v>
      </c>
      <c r="B298" s="2"/>
      <c r="C298" s="2"/>
      <c r="D298" s="2"/>
      <c r="E298" s="2"/>
      <c r="F298" s="2"/>
      <c r="G298" s="2"/>
      <c r="H298" s="2"/>
      <c r="I298" s="2">
        <v>70.167699999999996</v>
      </c>
      <c r="J298" s="2">
        <v>80</v>
      </c>
      <c r="K298" s="2">
        <v>69.614099999999993</v>
      </c>
      <c r="L298" s="2">
        <v>94</v>
      </c>
      <c r="M298" s="2">
        <v>89.421199999999999</v>
      </c>
      <c r="N298" s="2">
        <v>311</v>
      </c>
      <c r="O298" s="2">
        <v>87.177000000000007</v>
      </c>
      <c r="P298" s="2">
        <v>316</v>
      </c>
      <c r="Q298" s="2">
        <v>93.020399999999995</v>
      </c>
      <c r="R298" s="2">
        <v>19</v>
      </c>
      <c r="S298" s="2">
        <v>100.1379</v>
      </c>
      <c r="T298" s="2">
        <v>145</v>
      </c>
      <c r="U298" s="2">
        <v>0.168823</v>
      </c>
      <c r="V298" s="2">
        <v>297</v>
      </c>
      <c r="W298" s="2">
        <v>2004</v>
      </c>
    </row>
    <row r="299" spans="1:23" ht="12.3" x14ac:dyDescent="0.4">
      <c r="A299" s="2" t="s">
        <v>274</v>
      </c>
      <c r="B299" s="2"/>
      <c r="C299" s="2"/>
      <c r="D299" s="2"/>
      <c r="E299" s="2"/>
      <c r="F299" s="2"/>
      <c r="G299" s="2"/>
      <c r="H299" s="2"/>
      <c r="I299" s="2">
        <v>71.845600000000005</v>
      </c>
      <c r="J299" s="2">
        <v>30</v>
      </c>
      <c r="K299" s="2">
        <v>71.768500000000003</v>
      </c>
      <c r="L299" s="2">
        <v>29</v>
      </c>
      <c r="M299" s="2">
        <v>99.745400000000004</v>
      </c>
      <c r="N299" s="2">
        <v>185</v>
      </c>
      <c r="O299" s="2">
        <v>96.837699999999998</v>
      </c>
      <c r="P299" s="2">
        <v>248</v>
      </c>
      <c r="Q299" s="2">
        <v>107.35769999999999</v>
      </c>
      <c r="R299" s="2">
        <v>292</v>
      </c>
      <c r="S299" s="2">
        <v>111.2557</v>
      </c>
      <c r="T299" s="2">
        <v>318</v>
      </c>
      <c r="U299" s="2">
        <v>0.16852</v>
      </c>
      <c r="V299" s="2">
        <v>298</v>
      </c>
      <c r="W299" s="2">
        <v>2004</v>
      </c>
    </row>
    <row r="300" spans="1:23" ht="12.3" x14ac:dyDescent="0.4">
      <c r="A300" s="2" t="s">
        <v>320</v>
      </c>
      <c r="B300" s="2"/>
      <c r="C300" s="2"/>
      <c r="D300" s="2"/>
      <c r="E300" s="2"/>
      <c r="F300" s="2"/>
      <c r="G300" s="2"/>
      <c r="H300" s="2"/>
      <c r="I300" s="2">
        <v>65.571600000000004</v>
      </c>
      <c r="J300" s="2">
        <v>242</v>
      </c>
      <c r="K300" s="2">
        <v>64.870699999999999</v>
      </c>
      <c r="L300" s="2">
        <v>270</v>
      </c>
      <c r="M300" s="2">
        <v>93.760499999999993</v>
      </c>
      <c r="N300" s="2">
        <v>289</v>
      </c>
      <c r="O300" s="2">
        <v>91.992400000000004</v>
      </c>
      <c r="P300" s="2">
        <v>302</v>
      </c>
      <c r="Q300" s="2">
        <v>98.481099999999998</v>
      </c>
      <c r="R300" s="2">
        <v>99</v>
      </c>
      <c r="S300" s="2">
        <v>106.03279999999999</v>
      </c>
      <c r="T300" s="2">
        <v>262</v>
      </c>
      <c r="U300" s="2">
        <v>0.163353</v>
      </c>
      <c r="V300" s="2">
        <v>299</v>
      </c>
      <c r="W300" s="2">
        <v>2004</v>
      </c>
    </row>
    <row r="301" spans="1:23" ht="12.3" x14ac:dyDescent="0.4">
      <c r="A301" s="2" t="s">
        <v>325</v>
      </c>
      <c r="B301" s="2"/>
      <c r="C301" s="2"/>
      <c r="D301" s="2"/>
      <c r="E301" s="2"/>
      <c r="F301" s="2"/>
      <c r="G301" s="2"/>
      <c r="H301" s="2"/>
      <c r="I301" s="2">
        <v>71.962999999999994</v>
      </c>
      <c r="J301" s="2">
        <v>29</v>
      </c>
      <c r="K301" s="2">
        <v>71.060100000000006</v>
      </c>
      <c r="L301" s="2">
        <v>44</v>
      </c>
      <c r="M301" s="2">
        <v>91.019900000000007</v>
      </c>
      <c r="N301" s="2">
        <v>303</v>
      </c>
      <c r="O301" s="2">
        <v>87.391999999999996</v>
      </c>
      <c r="P301" s="2">
        <v>315</v>
      </c>
      <c r="Q301" s="2">
        <v>93.089399999999998</v>
      </c>
      <c r="R301" s="2">
        <v>20</v>
      </c>
      <c r="S301" s="2">
        <v>101.1063</v>
      </c>
      <c r="T301" s="2">
        <v>161</v>
      </c>
      <c r="U301" s="2">
        <v>0.157581</v>
      </c>
      <c r="V301" s="2">
        <v>300</v>
      </c>
      <c r="W301" s="2">
        <v>2004</v>
      </c>
    </row>
    <row r="302" spans="1:23" ht="12.3" x14ac:dyDescent="0.4">
      <c r="A302" s="2" t="s">
        <v>343</v>
      </c>
      <c r="B302" s="2"/>
      <c r="C302" s="2"/>
      <c r="D302" s="2"/>
      <c r="E302" s="2"/>
      <c r="F302" s="2"/>
      <c r="G302" s="2"/>
      <c r="H302" s="2"/>
      <c r="I302" s="2">
        <v>73.002499999999998</v>
      </c>
      <c r="J302" s="2">
        <v>21</v>
      </c>
      <c r="K302" s="2">
        <v>72.806299999999993</v>
      </c>
      <c r="L302" s="2">
        <v>16</v>
      </c>
      <c r="M302" s="2">
        <v>94.317499999999995</v>
      </c>
      <c r="N302" s="2">
        <v>281</v>
      </c>
      <c r="O302" s="2">
        <v>92.198599999999999</v>
      </c>
      <c r="P302" s="2">
        <v>298</v>
      </c>
      <c r="Q302" s="2">
        <v>103.1707</v>
      </c>
      <c r="R302" s="2">
        <v>207</v>
      </c>
      <c r="S302" s="2">
        <v>106.83329999999999</v>
      </c>
      <c r="T302" s="2">
        <v>271</v>
      </c>
      <c r="U302" s="2">
        <v>0.155219</v>
      </c>
      <c r="V302" s="2">
        <v>301</v>
      </c>
      <c r="W302" s="2">
        <v>2004</v>
      </c>
    </row>
    <row r="303" spans="1:23" ht="12.3" x14ac:dyDescent="0.4">
      <c r="A303" s="2" t="s">
        <v>272</v>
      </c>
      <c r="B303" s="2"/>
      <c r="C303" s="2"/>
      <c r="D303" s="2"/>
      <c r="E303" s="2"/>
      <c r="F303" s="2"/>
      <c r="G303" s="2"/>
      <c r="H303" s="2"/>
      <c r="I303" s="2">
        <v>72.278899999999993</v>
      </c>
      <c r="J303" s="2">
        <v>27</v>
      </c>
      <c r="K303" s="2">
        <v>70.999600000000001</v>
      </c>
      <c r="L303" s="2">
        <v>45</v>
      </c>
      <c r="M303" s="2">
        <v>96.768199999999993</v>
      </c>
      <c r="N303" s="2">
        <v>255</v>
      </c>
      <c r="O303" s="2">
        <v>95.099900000000005</v>
      </c>
      <c r="P303" s="2">
        <v>270</v>
      </c>
      <c r="Q303" s="2">
        <v>101.4851</v>
      </c>
      <c r="R303" s="2">
        <v>165</v>
      </c>
      <c r="S303" s="2">
        <v>110.6207</v>
      </c>
      <c r="T303" s="2">
        <v>314</v>
      </c>
      <c r="U303" s="2">
        <v>0.14949499999999999</v>
      </c>
      <c r="V303" s="2">
        <v>302</v>
      </c>
      <c r="W303" s="2">
        <v>2004</v>
      </c>
    </row>
    <row r="304" spans="1:23" ht="12.3" x14ac:dyDescent="0.4">
      <c r="A304" s="2" t="s">
        <v>345</v>
      </c>
      <c r="B304" s="2"/>
      <c r="C304" s="2"/>
      <c r="D304" s="2"/>
      <c r="E304" s="2"/>
      <c r="F304" s="2"/>
      <c r="G304" s="2"/>
      <c r="H304" s="2"/>
      <c r="I304" s="2">
        <v>69.600200000000001</v>
      </c>
      <c r="J304" s="2">
        <v>102</v>
      </c>
      <c r="K304" s="2">
        <v>69.867400000000004</v>
      </c>
      <c r="L304" s="2">
        <v>83</v>
      </c>
      <c r="M304" s="2">
        <v>97.344700000000003</v>
      </c>
      <c r="N304" s="2">
        <v>247</v>
      </c>
      <c r="O304" s="2">
        <v>94.557100000000005</v>
      </c>
      <c r="P304" s="2">
        <v>280</v>
      </c>
      <c r="Q304" s="2">
        <v>101.8135</v>
      </c>
      <c r="R304" s="2">
        <v>172</v>
      </c>
      <c r="S304" s="2">
        <v>110.1743</v>
      </c>
      <c r="T304" s="2">
        <v>309</v>
      </c>
      <c r="U304" s="2">
        <v>0.14705599999999999</v>
      </c>
      <c r="V304" s="2">
        <v>303</v>
      </c>
      <c r="W304" s="2">
        <v>2004</v>
      </c>
    </row>
    <row r="305" spans="1:23" ht="12.3" x14ac:dyDescent="0.4">
      <c r="A305" s="2" t="s">
        <v>281</v>
      </c>
      <c r="B305" s="2"/>
      <c r="C305" s="2"/>
      <c r="D305" s="2"/>
      <c r="E305" s="2"/>
      <c r="F305" s="2"/>
      <c r="G305" s="2"/>
      <c r="H305" s="2"/>
      <c r="I305" s="2">
        <v>67.456000000000003</v>
      </c>
      <c r="J305" s="2">
        <v>184</v>
      </c>
      <c r="K305" s="2">
        <v>66.799700000000001</v>
      </c>
      <c r="L305" s="2">
        <v>200</v>
      </c>
      <c r="M305" s="2">
        <v>91.539100000000005</v>
      </c>
      <c r="N305" s="2">
        <v>299</v>
      </c>
      <c r="O305" s="2">
        <v>92.766599999999997</v>
      </c>
      <c r="P305" s="2">
        <v>294</v>
      </c>
      <c r="Q305" s="2">
        <v>106.7133</v>
      </c>
      <c r="R305" s="2">
        <v>286</v>
      </c>
      <c r="S305" s="2">
        <v>108.66970000000001</v>
      </c>
      <c r="T305" s="2">
        <v>297</v>
      </c>
      <c r="U305" s="2">
        <v>0.13948199999999999</v>
      </c>
      <c r="V305" s="2">
        <v>304</v>
      </c>
      <c r="W305" s="2">
        <v>2004</v>
      </c>
    </row>
    <row r="306" spans="1:23" ht="12.3" x14ac:dyDescent="0.4">
      <c r="A306" s="2" t="s">
        <v>337</v>
      </c>
      <c r="B306" s="2"/>
      <c r="C306" s="2"/>
      <c r="D306" s="2"/>
      <c r="E306" s="2"/>
      <c r="F306" s="2"/>
      <c r="G306" s="2"/>
      <c r="H306" s="2"/>
      <c r="I306" s="2">
        <v>69.154799999999994</v>
      </c>
      <c r="J306" s="2">
        <v>115</v>
      </c>
      <c r="K306" s="2">
        <v>68.310299999999998</v>
      </c>
      <c r="L306" s="2">
        <v>140</v>
      </c>
      <c r="M306" s="2">
        <v>97.416700000000006</v>
      </c>
      <c r="N306" s="2">
        <v>246</v>
      </c>
      <c r="O306" s="2">
        <v>95.702100000000002</v>
      </c>
      <c r="P306" s="2">
        <v>262</v>
      </c>
      <c r="Q306" s="2">
        <v>112.4813</v>
      </c>
      <c r="R306" s="2">
        <v>324</v>
      </c>
      <c r="S306" s="2">
        <v>112.15389999999999</v>
      </c>
      <c r="T306" s="2">
        <v>322</v>
      </c>
      <c r="U306" s="2">
        <v>0.13892299999999999</v>
      </c>
      <c r="V306" s="2">
        <v>305</v>
      </c>
      <c r="W306" s="2">
        <v>2004</v>
      </c>
    </row>
    <row r="307" spans="1:23" ht="12.3" x14ac:dyDescent="0.4">
      <c r="A307" s="2" t="s">
        <v>285</v>
      </c>
      <c r="B307" s="2"/>
      <c r="C307" s="2"/>
      <c r="D307" s="2"/>
      <c r="E307" s="2"/>
      <c r="F307" s="2"/>
      <c r="G307" s="2"/>
      <c r="H307" s="2"/>
      <c r="I307" s="2">
        <v>69.793800000000005</v>
      </c>
      <c r="J307" s="2">
        <v>95</v>
      </c>
      <c r="K307" s="2">
        <v>69.527000000000001</v>
      </c>
      <c r="L307" s="2">
        <v>97</v>
      </c>
      <c r="M307" s="2">
        <v>93.917299999999997</v>
      </c>
      <c r="N307" s="2">
        <v>288</v>
      </c>
      <c r="O307" s="2">
        <v>93.8446</v>
      </c>
      <c r="P307" s="2">
        <v>288</v>
      </c>
      <c r="Q307" s="2">
        <v>111.9823</v>
      </c>
      <c r="R307" s="2">
        <v>322</v>
      </c>
      <c r="S307" s="2">
        <v>110.1434</v>
      </c>
      <c r="T307" s="2">
        <v>307</v>
      </c>
      <c r="U307" s="2">
        <v>0.13685600000000001</v>
      </c>
      <c r="V307" s="2">
        <v>306</v>
      </c>
      <c r="W307" s="2">
        <v>2004</v>
      </c>
    </row>
    <row r="308" spans="1:23" ht="12.3" x14ac:dyDescent="0.4">
      <c r="A308" s="2" t="s">
        <v>305</v>
      </c>
      <c r="B308" s="2"/>
      <c r="C308" s="2"/>
      <c r="D308" s="2"/>
      <c r="E308" s="2"/>
      <c r="F308" s="2"/>
      <c r="G308" s="2"/>
      <c r="H308" s="2"/>
      <c r="I308" s="2">
        <v>62.782499999999999</v>
      </c>
      <c r="J308" s="2">
        <v>308</v>
      </c>
      <c r="K308" s="2">
        <v>63.393799999999999</v>
      </c>
      <c r="L308" s="2">
        <v>301</v>
      </c>
      <c r="M308" s="2">
        <v>90.265900000000002</v>
      </c>
      <c r="N308" s="2">
        <v>309</v>
      </c>
      <c r="O308" s="2">
        <v>90.274000000000001</v>
      </c>
      <c r="P308" s="2">
        <v>307</v>
      </c>
      <c r="Q308" s="2">
        <v>103.3279</v>
      </c>
      <c r="R308" s="2">
        <v>211</v>
      </c>
      <c r="S308" s="2">
        <v>105.9997</v>
      </c>
      <c r="T308" s="2">
        <v>260</v>
      </c>
      <c r="U308" s="2">
        <v>0.13625499999999999</v>
      </c>
      <c r="V308" s="2">
        <v>307</v>
      </c>
      <c r="W308" s="2">
        <v>2004</v>
      </c>
    </row>
    <row r="309" spans="1:23" ht="12.3" x14ac:dyDescent="0.4">
      <c r="A309" s="2" t="s">
        <v>255</v>
      </c>
      <c r="B309" s="2"/>
      <c r="C309" s="2"/>
      <c r="D309" s="2"/>
      <c r="E309" s="2"/>
      <c r="F309" s="2"/>
      <c r="G309" s="2"/>
      <c r="H309" s="2"/>
      <c r="I309" s="2">
        <v>71.733599999999996</v>
      </c>
      <c r="J309" s="2">
        <v>34</v>
      </c>
      <c r="K309" s="2">
        <v>72.915499999999994</v>
      </c>
      <c r="L309" s="2">
        <v>14</v>
      </c>
      <c r="M309" s="2">
        <v>88.851799999999997</v>
      </c>
      <c r="N309" s="2">
        <v>315</v>
      </c>
      <c r="O309" s="2">
        <v>88.554000000000002</v>
      </c>
      <c r="P309" s="2">
        <v>311</v>
      </c>
      <c r="Q309" s="2">
        <v>104.9742</v>
      </c>
      <c r="R309" s="2">
        <v>254</v>
      </c>
      <c r="S309" s="2">
        <v>104.9002</v>
      </c>
      <c r="T309" s="2">
        <v>236</v>
      </c>
      <c r="U309" s="2">
        <v>0.124764</v>
      </c>
      <c r="V309" s="2">
        <v>308</v>
      </c>
      <c r="W309" s="2">
        <v>2004</v>
      </c>
    </row>
    <row r="310" spans="1:23" ht="12.3" x14ac:dyDescent="0.4">
      <c r="A310" s="2" t="s">
        <v>261</v>
      </c>
      <c r="B310" s="2"/>
      <c r="C310" s="2"/>
      <c r="D310" s="2"/>
      <c r="E310" s="2"/>
      <c r="F310" s="2"/>
      <c r="G310" s="2"/>
      <c r="H310" s="2"/>
      <c r="I310" s="2">
        <v>69.756</v>
      </c>
      <c r="J310" s="2">
        <v>98</v>
      </c>
      <c r="K310" s="2">
        <v>69.174099999999996</v>
      </c>
      <c r="L310" s="2">
        <v>112</v>
      </c>
      <c r="M310" s="2">
        <v>92.040999999999997</v>
      </c>
      <c r="N310" s="2">
        <v>297</v>
      </c>
      <c r="O310" s="2">
        <v>92.187399999999997</v>
      </c>
      <c r="P310" s="2">
        <v>299</v>
      </c>
      <c r="Q310" s="2">
        <v>104.01349999999999</v>
      </c>
      <c r="R310" s="2">
        <v>234</v>
      </c>
      <c r="S310" s="2">
        <v>110.923</v>
      </c>
      <c r="T310" s="2">
        <v>316</v>
      </c>
      <c r="U310" s="2">
        <v>0.10643900000000001</v>
      </c>
      <c r="V310" s="2">
        <v>309</v>
      </c>
      <c r="W310" s="2">
        <v>2004</v>
      </c>
    </row>
    <row r="311" spans="1:23" ht="12.3" x14ac:dyDescent="0.4">
      <c r="A311" s="2" t="s">
        <v>339</v>
      </c>
      <c r="B311" s="2"/>
      <c r="C311" s="2"/>
      <c r="D311" s="2"/>
      <c r="E311" s="2"/>
      <c r="F311" s="2"/>
      <c r="G311" s="2"/>
      <c r="H311" s="2"/>
      <c r="I311" s="2">
        <v>63.890900000000002</v>
      </c>
      <c r="J311" s="2">
        <v>293</v>
      </c>
      <c r="K311" s="2">
        <v>64.205600000000004</v>
      </c>
      <c r="L311" s="2">
        <v>285</v>
      </c>
      <c r="M311" s="2">
        <v>88.841700000000003</v>
      </c>
      <c r="N311" s="2">
        <v>316</v>
      </c>
      <c r="O311" s="2">
        <v>86.068700000000007</v>
      </c>
      <c r="P311" s="2">
        <v>318</v>
      </c>
      <c r="Q311" s="2">
        <v>101.08880000000001</v>
      </c>
      <c r="R311" s="2">
        <v>155</v>
      </c>
      <c r="S311" s="2">
        <v>103.89360000000001</v>
      </c>
      <c r="T311" s="2">
        <v>209</v>
      </c>
      <c r="U311" s="2">
        <v>0.10298</v>
      </c>
      <c r="V311" s="2">
        <v>310</v>
      </c>
      <c r="W311" s="2">
        <v>2004</v>
      </c>
    </row>
    <row r="312" spans="1:23" ht="12.3" x14ac:dyDescent="0.4">
      <c r="A312" s="2" t="s">
        <v>319</v>
      </c>
      <c r="B312" s="2"/>
      <c r="C312" s="2"/>
      <c r="D312" s="2"/>
      <c r="E312" s="2"/>
      <c r="F312" s="2"/>
      <c r="G312" s="2"/>
      <c r="H312" s="2"/>
      <c r="I312" s="2">
        <v>76.063900000000004</v>
      </c>
      <c r="J312" s="2">
        <v>4</v>
      </c>
      <c r="K312" s="2">
        <v>75.835099999999997</v>
      </c>
      <c r="L312" s="2">
        <v>1</v>
      </c>
      <c r="M312" s="2">
        <v>90.554500000000004</v>
      </c>
      <c r="N312" s="2">
        <v>305</v>
      </c>
      <c r="O312" s="2">
        <v>91.409400000000005</v>
      </c>
      <c r="P312" s="2">
        <v>303</v>
      </c>
      <c r="Q312" s="2">
        <v>112.1613</v>
      </c>
      <c r="R312" s="2">
        <v>323</v>
      </c>
      <c r="S312" s="2">
        <v>111.78579999999999</v>
      </c>
      <c r="T312" s="2">
        <v>320</v>
      </c>
      <c r="U312" s="2">
        <v>8.9953000000000005E-2</v>
      </c>
      <c r="V312" s="2">
        <v>311</v>
      </c>
      <c r="W312" s="2">
        <v>2004</v>
      </c>
    </row>
    <row r="313" spans="1:23" ht="12.3" x14ac:dyDescent="0.4">
      <c r="A313" s="2" t="s">
        <v>242</v>
      </c>
      <c r="B313" s="2"/>
      <c r="C313" s="2"/>
      <c r="D313" s="2"/>
      <c r="E313" s="2"/>
      <c r="F313" s="2"/>
      <c r="G313" s="2"/>
      <c r="H313" s="2"/>
      <c r="I313" s="2">
        <v>67.007099999999994</v>
      </c>
      <c r="J313" s="2">
        <v>194</v>
      </c>
      <c r="K313" s="2">
        <v>68.488299999999995</v>
      </c>
      <c r="L313" s="2">
        <v>131</v>
      </c>
      <c r="M313" s="2">
        <v>89.712000000000003</v>
      </c>
      <c r="N313" s="2">
        <v>310</v>
      </c>
      <c r="O313" s="2">
        <v>86.059600000000003</v>
      </c>
      <c r="P313" s="2">
        <v>319</v>
      </c>
      <c r="Q313" s="2">
        <v>97.838700000000003</v>
      </c>
      <c r="R313" s="2">
        <v>93</v>
      </c>
      <c r="S313" s="2">
        <v>105.39870000000001</v>
      </c>
      <c r="T313" s="2">
        <v>247</v>
      </c>
      <c r="U313" s="2">
        <v>8.8575000000000001E-2</v>
      </c>
      <c r="V313" s="2">
        <v>312</v>
      </c>
      <c r="W313" s="2">
        <v>2004</v>
      </c>
    </row>
    <row r="314" spans="1:23" ht="12.3" x14ac:dyDescent="0.4">
      <c r="A314" s="2" t="s">
        <v>260</v>
      </c>
      <c r="B314" s="2"/>
      <c r="C314" s="2"/>
      <c r="D314" s="2"/>
      <c r="E314" s="2"/>
      <c r="F314" s="2"/>
      <c r="G314" s="2"/>
      <c r="H314" s="2"/>
      <c r="I314" s="2">
        <v>64.906000000000006</v>
      </c>
      <c r="J314" s="2">
        <v>259</v>
      </c>
      <c r="K314" s="2">
        <v>64.016599999999997</v>
      </c>
      <c r="L314" s="2">
        <v>290</v>
      </c>
      <c r="M314" s="2">
        <v>82.631399999999999</v>
      </c>
      <c r="N314" s="2">
        <v>321</v>
      </c>
      <c r="O314" s="2">
        <v>81.891800000000003</v>
      </c>
      <c r="P314" s="2">
        <v>322</v>
      </c>
      <c r="Q314" s="2">
        <v>104.355</v>
      </c>
      <c r="R314" s="2">
        <v>245</v>
      </c>
      <c r="S314" s="2">
        <v>100.80029999999999</v>
      </c>
      <c r="T314" s="2">
        <v>153</v>
      </c>
      <c r="U314" s="2">
        <v>8.4013000000000004E-2</v>
      </c>
      <c r="V314" s="2">
        <v>313</v>
      </c>
      <c r="W314" s="2">
        <v>2004</v>
      </c>
    </row>
    <row r="315" spans="1:23" ht="12.3" x14ac:dyDescent="0.4">
      <c r="A315" s="2" t="s">
        <v>313</v>
      </c>
      <c r="B315" s="2"/>
      <c r="C315" s="2"/>
      <c r="D315" s="2"/>
      <c r="E315" s="2"/>
      <c r="F315" s="2"/>
      <c r="G315" s="2"/>
      <c r="H315" s="2"/>
      <c r="I315" s="2">
        <v>65.390199999999993</v>
      </c>
      <c r="J315" s="2">
        <v>248</v>
      </c>
      <c r="K315" s="2">
        <v>65.263099999999994</v>
      </c>
      <c r="L315" s="2">
        <v>255</v>
      </c>
      <c r="M315" s="2">
        <v>89.222200000000001</v>
      </c>
      <c r="N315" s="2">
        <v>313</v>
      </c>
      <c r="O315" s="2">
        <v>89.328500000000005</v>
      </c>
      <c r="P315" s="2">
        <v>310</v>
      </c>
      <c r="Q315" s="2">
        <v>101.1508</v>
      </c>
      <c r="R315" s="2">
        <v>156</v>
      </c>
      <c r="S315" s="2">
        <v>111.16840000000001</v>
      </c>
      <c r="T315" s="2">
        <v>317</v>
      </c>
      <c r="U315" s="2">
        <v>7.4788999999999994E-2</v>
      </c>
      <c r="V315" s="2">
        <v>314</v>
      </c>
      <c r="W315" s="2">
        <v>2004</v>
      </c>
    </row>
    <row r="316" spans="1:23" ht="12.3" x14ac:dyDescent="0.4">
      <c r="A316" s="2" t="s">
        <v>352</v>
      </c>
      <c r="B316" s="2"/>
      <c r="C316" s="2"/>
      <c r="D316" s="2"/>
      <c r="E316" s="2"/>
      <c r="F316" s="2"/>
      <c r="G316" s="2"/>
      <c r="H316" s="2"/>
      <c r="I316" s="2">
        <v>73.004000000000005</v>
      </c>
      <c r="J316" s="2">
        <v>20</v>
      </c>
      <c r="K316" s="2">
        <v>73.860100000000003</v>
      </c>
      <c r="L316" s="2">
        <v>10</v>
      </c>
      <c r="M316" s="2">
        <v>82.158900000000003</v>
      </c>
      <c r="N316" s="2">
        <v>322</v>
      </c>
      <c r="O316" s="2">
        <v>84.9328</v>
      </c>
      <c r="P316" s="2">
        <v>320</v>
      </c>
      <c r="Q316" s="2">
        <v>107.62690000000001</v>
      </c>
      <c r="R316" s="2">
        <v>296</v>
      </c>
      <c r="S316" s="2">
        <v>105.91289999999999</v>
      </c>
      <c r="T316" s="2">
        <v>258</v>
      </c>
      <c r="U316" s="2">
        <v>7.3189000000000004E-2</v>
      </c>
      <c r="V316" s="2">
        <v>315</v>
      </c>
      <c r="W316" s="2">
        <v>2004</v>
      </c>
    </row>
    <row r="317" spans="1:23" ht="12.3" x14ac:dyDescent="0.4">
      <c r="A317" s="2" t="s">
        <v>179</v>
      </c>
      <c r="B317" s="2"/>
      <c r="C317" s="2"/>
      <c r="D317" s="2"/>
      <c r="E317" s="2"/>
      <c r="F317" s="2"/>
      <c r="G317" s="2"/>
      <c r="H317" s="2"/>
      <c r="I317" s="2">
        <v>67.327600000000004</v>
      </c>
      <c r="J317" s="2">
        <v>189</v>
      </c>
      <c r="K317" s="2">
        <v>65.314099999999996</v>
      </c>
      <c r="L317" s="2">
        <v>253</v>
      </c>
      <c r="M317" s="2">
        <v>83.5989</v>
      </c>
      <c r="N317" s="2">
        <v>319</v>
      </c>
      <c r="O317" s="2">
        <v>86.078900000000004</v>
      </c>
      <c r="P317" s="2">
        <v>317</v>
      </c>
      <c r="Q317" s="2">
        <v>107.7063</v>
      </c>
      <c r="R317" s="2">
        <v>298</v>
      </c>
      <c r="S317" s="2">
        <v>107.7041</v>
      </c>
      <c r="T317" s="2">
        <v>283</v>
      </c>
      <c r="U317" s="2">
        <v>7.0606000000000002E-2</v>
      </c>
      <c r="V317" s="2">
        <v>316</v>
      </c>
      <c r="W317" s="2">
        <v>2004</v>
      </c>
    </row>
    <row r="318" spans="1:23" ht="12.3" x14ac:dyDescent="0.4">
      <c r="A318" s="2" t="s">
        <v>340</v>
      </c>
      <c r="B318" s="2"/>
      <c r="C318" s="2"/>
      <c r="D318" s="2"/>
      <c r="E318" s="2"/>
      <c r="F318" s="2"/>
      <c r="G318" s="2"/>
      <c r="H318" s="2"/>
      <c r="I318" s="2">
        <v>67.867000000000004</v>
      </c>
      <c r="J318" s="2">
        <v>167</v>
      </c>
      <c r="K318" s="2">
        <v>68.157499999999999</v>
      </c>
      <c r="L318" s="2">
        <v>150</v>
      </c>
      <c r="M318" s="2">
        <v>88.658100000000005</v>
      </c>
      <c r="N318" s="2">
        <v>317</v>
      </c>
      <c r="O318" s="2">
        <v>88.039599999999993</v>
      </c>
      <c r="P318" s="2">
        <v>312</v>
      </c>
      <c r="Q318" s="2">
        <v>109.5373</v>
      </c>
      <c r="R318" s="2">
        <v>310</v>
      </c>
      <c r="S318" s="2">
        <v>110.2171</v>
      </c>
      <c r="T318" s="2">
        <v>310</v>
      </c>
      <c r="U318" s="2">
        <v>7.0197999999999997E-2</v>
      </c>
      <c r="V318" s="2">
        <v>317</v>
      </c>
      <c r="W318" s="2">
        <v>2004</v>
      </c>
    </row>
    <row r="319" spans="1:23" ht="12.3" x14ac:dyDescent="0.4">
      <c r="A319" s="2" t="s">
        <v>347</v>
      </c>
      <c r="B319" s="2"/>
      <c r="C319" s="2"/>
      <c r="D319" s="2"/>
      <c r="E319" s="2"/>
      <c r="F319" s="2"/>
      <c r="G319" s="2"/>
      <c r="H319" s="2"/>
      <c r="I319" s="2">
        <v>70.305499999999995</v>
      </c>
      <c r="J319" s="2">
        <v>73</v>
      </c>
      <c r="K319" s="2">
        <v>68.216999999999999</v>
      </c>
      <c r="L319" s="2">
        <v>147</v>
      </c>
      <c r="M319" s="2">
        <v>89.402900000000002</v>
      </c>
      <c r="N319" s="2">
        <v>312</v>
      </c>
      <c r="O319" s="2">
        <v>89.520799999999994</v>
      </c>
      <c r="P319" s="2">
        <v>309</v>
      </c>
      <c r="Q319" s="2">
        <v>109.3891</v>
      </c>
      <c r="R319" s="2">
        <v>307</v>
      </c>
      <c r="S319" s="2">
        <v>112.3115</v>
      </c>
      <c r="T319" s="2">
        <v>324</v>
      </c>
      <c r="U319" s="2">
        <v>6.8608000000000002E-2</v>
      </c>
      <c r="V319" s="2">
        <v>318</v>
      </c>
      <c r="W319" s="2">
        <v>2004</v>
      </c>
    </row>
    <row r="320" spans="1:23" ht="12.3" x14ac:dyDescent="0.4">
      <c r="A320" s="2" t="s">
        <v>263</v>
      </c>
      <c r="B320" s="2"/>
      <c r="C320" s="2"/>
      <c r="D320" s="2"/>
      <c r="E320" s="2"/>
      <c r="F320" s="2"/>
      <c r="G320" s="2"/>
      <c r="H320" s="2"/>
      <c r="I320" s="2">
        <v>66.023099999999999</v>
      </c>
      <c r="J320" s="2">
        <v>230</v>
      </c>
      <c r="K320" s="2">
        <v>66.107100000000003</v>
      </c>
      <c r="L320" s="2">
        <v>219</v>
      </c>
      <c r="M320" s="2">
        <v>82.721699999999998</v>
      </c>
      <c r="N320" s="2">
        <v>320</v>
      </c>
      <c r="O320" s="2">
        <v>83.189700000000002</v>
      </c>
      <c r="P320" s="2">
        <v>321</v>
      </c>
      <c r="Q320" s="2">
        <v>103.7341</v>
      </c>
      <c r="R320" s="2">
        <v>222</v>
      </c>
      <c r="S320" s="2">
        <v>104.7264</v>
      </c>
      <c r="T320" s="2">
        <v>235</v>
      </c>
      <c r="U320" s="2">
        <v>6.6136E-2</v>
      </c>
      <c r="V320" s="2">
        <v>319</v>
      </c>
      <c r="W320" s="2">
        <v>2004</v>
      </c>
    </row>
    <row r="321" spans="1:23" ht="12.3" x14ac:dyDescent="0.4">
      <c r="A321" s="2" t="s">
        <v>327</v>
      </c>
      <c r="B321" s="2"/>
      <c r="C321" s="2"/>
      <c r="D321" s="2"/>
      <c r="E321" s="2"/>
      <c r="F321" s="2"/>
      <c r="G321" s="2"/>
      <c r="H321" s="2"/>
      <c r="I321" s="2">
        <v>63.248899999999999</v>
      </c>
      <c r="J321" s="2">
        <v>304</v>
      </c>
      <c r="K321" s="2">
        <v>63.972200000000001</v>
      </c>
      <c r="L321" s="2">
        <v>291</v>
      </c>
      <c r="M321" s="2">
        <v>88.425600000000003</v>
      </c>
      <c r="N321" s="2">
        <v>318</v>
      </c>
      <c r="O321" s="2">
        <v>87.430800000000005</v>
      </c>
      <c r="P321" s="2">
        <v>314</v>
      </c>
      <c r="Q321" s="2">
        <v>107.3848</v>
      </c>
      <c r="R321" s="2">
        <v>293</v>
      </c>
      <c r="S321" s="2">
        <v>110.48650000000001</v>
      </c>
      <c r="T321" s="2">
        <v>313</v>
      </c>
      <c r="U321" s="2">
        <v>6.3476000000000005E-2</v>
      </c>
      <c r="V321" s="2">
        <v>320</v>
      </c>
      <c r="W321" s="2">
        <v>2004</v>
      </c>
    </row>
    <row r="322" spans="1:23" ht="12.3" x14ac:dyDescent="0.4">
      <c r="A322" s="2" t="s">
        <v>321</v>
      </c>
      <c r="B322" s="2"/>
      <c r="C322" s="2"/>
      <c r="D322" s="2"/>
      <c r="E322" s="2"/>
      <c r="F322" s="2"/>
      <c r="G322" s="2"/>
      <c r="H322" s="2"/>
      <c r="I322" s="2">
        <v>64.140299999999996</v>
      </c>
      <c r="J322" s="2">
        <v>286</v>
      </c>
      <c r="K322" s="2">
        <v>63.709699999999998</v>
      </c>
      <c r="L322" s="2">
        <v>294</v>
      </c>
      <c r="M322" s="2">
        <v>90.529600000000002</v>
      </c>
      <c r="N322" s="2">
        <v>306</v>
      </c>
      <c r="O322" s="2">
        <v>90.732200000000006</v>
      </c>
      <c r="P322" s="2">
        <v>306</v>
      </c>
      <c r="Q322" s="2">
        <v>106.43640000000001</v>
      </c>
      <c r="R322" s="2">
        <v>282</v>
      </c>
      <c r="S322" s="2">
        <v>115.29510000000001</v>
      </c>
      <c r="T322" s="2">
        <v>326</v>
      </c>
      <c r="U322" s="2">
        <v>5.9794E-2</v>
      </c>
      <c r="V322" s="2">
        <v>321</v>
      </c>
      <c r="W322" s="2">
        <v>2004</v>
      </c>
    </row>
    <row r="323" spans="1:23" ht="12.3" x14ac:dyDescent="0.4">
      <c r="A323" s="2" t="s">
        <v>342</v>
      </c>
      <c r="B323" s="2"/>
      <c r="C323" s="2"/>
      <c r="D323" s="2"/>
      <c r="E323" s="2"/>
      <c r="F323" s="2"/>
      <c r="G323" s="2"/>
      <c r="H323" s="2"/>
      <c r="I323" s="2">
        <v>69.138000000000005</v>
      </c>
      <c r="J323" s="2">
        <v>118</v>
      </c>
      <c r="K323" s="2">
        <v>68.794700000000006</v>
      </c>
      <c r="L323" s="2">
        <v>121</v>
      </c>
      <c r="M323" s="2">
        <v>89.175899999999999</v>
      </c>
      <c r="N323" s="2">
        <v>314</v>
      </c>
      <c r="O323" s="2">
        <v>87.850300000000004</v>
      </c>
      <c r="P323" s="2">
        <v>313</v>
      </c>
      <c r="Q323" s="2">
        <v>105.169</v>
      </c>
      <c r="R323" s="2">
        <v>258</v>
      </c>
      <c r="S323" s="2">
        <v>111.6795</v>
      </c>
      <c r="T323" s="2">
        <v>319</v>
      </c>
      <c r="U323" s="2">
        <v>5.9525000000000002E-2</v>
      </c>
      <c r="V323" s="2">
        <v>322</v>
      </c>
      <c r="W323" s="2">
        <v>2004</v>
      </c>
    </row>
    <row r="324" spans="1:23" ht="12.3" x14ac:dyDescent="0.4">
      <c r="A324" s="2" t="s">
        <v>300</v>
      </c>
      <c r="B324" s="2"/>
      <c r="C324" s="2"/>
      <c r="D324" s="2"/>
      <c r="E324" s="2"/>
      <c r="F324" s="2"/>
      <c r="G324" s="2"/>
      <c r="H324" s="2"/>
      <c r="I324" s="2">
        <v>66.5381</v>
      </c>
      <c r="J324" s="2">
        <v>208</v>
      </c>
      <c r="K324" s="2">
        <v>68.1785</v>
      </c>
      <c r="L324" s="2">
        <v>148</v>
      </c>
      <c r="M324" s="2">
        <v>81.769000000000005</v>
      </c>
      <c r="N324" s="2">
        <v>323</v>
      </c>
      <c r="O324" s="2">
        <v>81.187899999999999</v>
      </c>
      <c r="P324" s="2">
        <v>323</v>
      </c>
      <c r="Q324" s="2">
        <v>106.88200000000001</v>
      </c>
      <c r="R324" s="2">
        <v>288</v>
      </c>
      <c r="S324" s="2">
        <v>103.5843</v>
      </c>
      <c r="T324" s="2">
        <v>195</v>
      </c>
      <c r="U324" s="2">
        <v>5.7236000000000002E-2</v>
      </c>
      <c r="V324" s="2">
        <v>323</v>
      </c>
      <c r="W324" s="2">
        <v>2004</v>
      </c>
    </row>
    <row r="325" spans="1:23" ht="12.3" x14ac:dyDescent="0.4">
      <c r="A325" s="2" t="s">
        <v>296</v>
      </c>
      <c r="B325" s="2"/>
      <c r="C325" s="2"/>
      <c r="D325" s="2"/>
      <c r="E325" s="2"/>
      <c r="F325" s="2"/>
      <c r="G325" s="2"/>
      <c r="H325" s="2"/>
      <c r="I325" s="2">
        <v>74.9251</v>
      </c>
      <c r="J325" s="2">
        <v>8</v>
      </c>
      <c r="K325" s="2">
        <v>75.078900000000004</v>
      </c>
      <c r="L325" s="2">
        <v>5</v>
      </c>
      <c r="M325" s="2">
        <v>76.938500000000005</v>
      </c>
      <c r="N325" s="2">
        <v>325</v>
      </c>
      <c r="O325" s="2">
        <v>76.551500000000004</v>
      </c>
      <c r="P325" s="2">
        <v>326</v>
      </c>
      <c r="Q325" s="2">
        <v>98.763099999999994</v>
      </c>
      <c r="R325" s="2">
        <v>105</v>
      </c>
      <c r="S325" s="2">
        <v>100.12860000000001</v>
      </c>
      <c r="T325" s="2">
        <v>144</v>
      </c>
      <c r="U325" s="2">
        <v>4.3618999999999998E-2</v>
      </c>
      <c r="V325" s="2">
        <v>324</v>
      </c>
      <c r="W325" s="2">
        <v>2004</v>
      </c>
    </row>
    <row r="326" spans="1:23" ht="12.3" x14ac:dyDescent="0.4">
      <c r="A326" s="2" t="s">
        <v>314</v>
      </c>
      <c r="B326" s="2"/>
      <c r="C326" s="2"/>
      <c r="D326" s="2"/>
      <c r="E326" s="2"/>
      <c r="F326" s="2"/>
      <c r="G326" s="2"/>
      <c r="H326" s="2"/>
      <c r="I326" s="2">
        <v>63.435499999999998</v>
      </c>
      <c r="J326" s="2">
        <v>300</v>
      </c>
      <c r="K326" s="2">
        <v>63.8474</v>
      </c>
      <c r="L326" s="2">
        <v>292</v>
      </c>
      <c r="M326" s="2">
        <v>77.500600000000006</v>
      </c>
      <c r="N326" s="2">
        <v>324</v>
      </c>
      <c r="O326" s="2">
        <v>78.614000000000004</v>
      </c>
      <c r="P326" s="2">
        <v>324</v>
      </c>
      <c r="Q326" s="2">
        <v>101.575</v>
      </c>
      <c r="R326" s="2">
        <v>168</v>
      </c>
      <c r="S326" s="2">
        <v>104.6764</v>
      </c>
      <c r="T326" s="2">
        <v>233</v>
      </c>
      <c r="U326" s="2">
        <v>3.5822E-2</v>
      </c>
      <c r="V326" s="2">
        <v>325</v>
      </c>
      <c r="W326" s="2">
        <v>2004</v>
      </c>
    </row>
    <row r="327" spans="1:23" ht="12.3" x14ac:dyDescent="0.4">
      <c r="A327" s="2" t="s">
        <v>351</v>
      </c>
      <c r="B327" s="2"/>
      <c r="C327" s="2"/>
      <c r="D327" s="2"/>
      <c r="E327" s="2"/>
      <c r="F327" s="2"/>
      <c r="G327" s="2"/>
      <c r="H327" s="2"/>
      <c r="I327" s="2">
        <v>70.003200000000007</v>
      </c>
      <c r="J327" s="2">
        <v>89</v>
      </c>
      <c r="K327" s="2">
        <v>69.524000000000001</v>
      </c>
      <c r="L327" s="2">
        <v>98</v>
      </c>
      <c r="M327" s="2">
        <v>75.2136</v>
      </c>
      <c r="N327" s="2">
        <v>326</v>
      </c>
      <c r="O327" s="2">
        <v>76.767399999999995</v>
      </c>
      <c r="P327" s="2">
        <v>325</v>
      </c>
      <c r="Q327" s="2">
        <v>106.5097</v>
      </c>
      <c r="R327" s="2">
        <v>283</v>
      </c>
      <c r="S327" s="2">
        <v>110.1635</v>
      </c>
      <c r="T327" s="2">
        <v>308</v>
      </c>
      <c r="U327" s="2">
        <v>1.5464E-2</v>
      </c>
      <c r="V327" s="2">
        <v>326</v>
      </c>
      <c r="W327" s="2">
        <v>2004</v>
      </c>
    </row>
  </sheetData>
  <autoFilter ref="A1:V327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331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44</v>
      </c>
      <c r="B2" s="2">
        <v>1</v>
      </c>
      <c r="C2" s="3" t="s">
        <v>33</v>
      </c>
      <c r="D2" s="3" t="s">
        <v>33</v>
      </c>
      <c r="E2" s="3" t="s">
        <v>33</v>
      </c>
      <c r="F2" s="3" t="s">
        <v>33</v>
      </c>
      <c r="G2" s="3" t="s">
        <v>33</v>
      </c>
      <c r="H2" s="2"/>
      <c r="I2" s="2">
        <v>65.3035</v>
      </c>
      <c r="J2" s="2">
        <v>243</v>
      </c>
      <c r="K2" s="2">
        <v>66.158000000000001</v>
      </c>
      <c r="L2" s="2">
        <v>212</v>
      </c>
      <c r="M2" s="2">
        <v>118.43940000000001</v>
      </c>
      <c r="N2" s="2">
        <v>1</v>
      </c>
      <c r="O2" s="2">
        <v>120.2137</v>
      </c>
      <c r="P2" s="2">
        <v>2</v>
      </c>
      <c r="Q2" s="2">
        <v>92.210700000000003</v>
      </c>
      <c r="R2" s="2">
        <v>15</v>
      </c>
      <c r="S2" s="2">
        <v>88.470299999999995</v>
      </c>
      <c r="T2" s="2">
        <v>3</v>
      </c>
      <c r="U2" s="2">
        <v>0.97141699999999997</v>
      </c>
      <c r="V2" s="2">
        <v>1</v>
      </c>
      <c r="W2" s="2">
        <v>2005</v>
      </c>
    </row>
    <row r="3" spans="1:23" ht="15.75" customHeight="1" x14ac:dyDescent="0.4">
      <c r="A3" s="2" t="s">
        <v>168</v>
      </c>
      <c r="B3" s="2">
        <v>1</v>
      </c>
      <c r="C3" s="3" t="s">
        <v>33</v>
      </c>
      <c r="D3" s="3" t="s">
        <v>33</v>
      </c>
      <c r="E3" s="3" t="s">
        <v>33</v>
      </c>
      <c r="F3" s="3" t="s">
        <v>33</v>
      </c>
      <c r="G3" s="3" t="s">
        <v>33</v>
      </c>
      <c r="H3" s="3" t="s">
        <v>33</v>
      </c>
      <c r="I3" s="2">
        <v>76.724999999999994</v>
      </c>
      <c r="J3" s="2">
        <v>3</v>
      </c>
      <c r="K3" s="2">
        <v>74.679100000000005</v>
      </c>
      <c r="L3" s="2">
        <v>5</v>
      </c>
      <c r="M3" s="2">
        <v>115.7773</v>
      </c>
      <c r="N3" s="2">
        <v>7</v>
      </c>
      <c r="O3" s="2">
        <v>119.3614</v>
      </c>
      <c r="P3" s="2">
        <v>3</v>
      </c>
      <c r="Q3" s="2">
        <v>92.015600000000006</v>
      </c>
      <c r="R3" s="2">
        <v>11</v>
      </c>
      <c r="S3" s="2">
        <v>91.036000000000001</v>
      </c>
      <c r="T3" s="2">
        <v>9</v>
      </c>
      <c r="U3" s="2">
        <v>0.95752199999999998</v>
      </c>
      <c r="V3" s="2">
        <v>2</v>
      </c>
      <c r="W3" s="2">
        <v>2005</v>
      </c>
    </row>
    <row r="4" spans="1:23" ht="15.75" customHeight="1" x14ac:dyDescent="0.4">
      <c r="A4" s="2" t="s">
        <v>32</v>
      </c>
      <c r="B4" s="2">
        <v>1</v>
      </c>
      <c r="C4" s="3" t="s">
        <v>33</v>
      </c>
      <c r="D4" s="3" t="s">
        <v>33</v>
      </c>
      <c r="E4" s="2"/>
      <c r="F4" s="2"/>
      <c r="G4" s="2"/>
      <c r="H4" s="2"/>
      <c r="I4" s="2">
        <v>70.641599999999997</v>
      </c>
      <c r="J4" s="2">
        <v>55</v>
      </c>
      <c r="K4" s="2">
        <v>69.417000000000002</v>
      </c>
      <c r="L4" s="2">
        <v>81</v>
      </c>
      <c r="M4" s="2">
        <v>112.5574</v>
      </c>
      <c r="N4" s="2">
        <v>15</v>
      </c>
      <c r="O4" s="2">
        <v>115.3147</v>
      </c>
      <c r="P4" s="2">
        <v>9</v>
      </c>
      <c r="Q4" s="2">
        <v>92.901799999999994</v>
      </c>
      <c r="R4" s="2">
        <v>19</v>
      </c>
      <c r="S4" s="2">
        <v>90.007800000000003</v>
      </c>
      <c r="T4" s="2">
        <v>6</v>
      </c>
      <c r="U4" s="2">
        <v>0.94528500000000004</v>
      </c>
      <c r="V4" s="2">
        <v>3</v>
      </c>
      <c r="W4" s="2">
        <v>2005</v>
      </c>
    </row>
    <row r="5" spans="1:23" ht="15.75" customHeight="1" x14ac:dyDescent="0.4">
      <c r="A5" s="2" t="s">
        <v>58</v>
      </c>
      <c r="B5" s="2">
        <v>5</v>
      </c>
      <c r="C5" s="3" t="s">
        <v>33</v>
      </c>
      <c r="D5" s="3" t="s">
        <v>33</v>
      </c>
      <c r="E5" s="3" t="s">
        <v>33</v>
      </c>
      <c r="F5" s="3" t="s">
        <v>33</v>
      </c>
      <c r="G5" s="3"/>
      <c r="H5" s="2"/>
      <c r="I5" s="2">
        <v>66.4375</v>
      </c>
      <c r="J5" s="2">
        <v>196</v>
      </c>
      <c r="K5" s="2">
        <v>67.073400000000007</v>
      </c>
      <c r="L5" s="2">
        <v>171</v>
      </c>
      <c r="M5" s="2">
        <v>116.98099999999999</v>
      </c>
      <c r="N5" s="2">
        <v>4</v>
      </c>
      <c r="O5" s="2">
        <v>118.3729</v>
      </c>
      <c r="P5" s="2">
        <v>6</v>
      </c>
      <c r="Q5" s="2">
        <v>95.164299999999997</v>
      </c>
      <c r="R5" s="2">
        <v>39</v>
      </c>
      <c r="S5" s="2">
        <v>94.442599999999999</v>
      </c>
      <c r="T5" s="2">
        <v>33</v>
      </c>
      <c r="U5" s="2">
        <v>0.93068399999999996</v>
      </c>
      <c r="V5" s="2">
        <v>4</v>
      </c>
      <c r="W5" s="2">
        <v>2005</v>
      </c>
    </row>
    <row r="6" spans="1:23" ht="15.75" customHeight="1" x14ac:dyDescent="0.4">
      <c r="A6" s="2" t="s">
        <v>61</v>
      </c>
      <c r="B6" s="2">
        <v>2</v>
      </c>
      <c r="C6" s="3" t="s">
        <v>33</v>
      </c>
      <c r="D6" s="2"/>
      <c r="E6" s="2"/>
      <c r="F6" s="2"/>
      <c r="G6" s="2"/>
      <c r="H6" s="2"/>
      <c r="I6" s="2">
        <v>71.577799999999996</v>
      </c>
      <c r="J6" s="2">
        <v>32</v>
      </c>
      <c r="K6" s="2">
        <v>69.889099999999999</v>
      </c>
      <c r="L6" s="2">
        <v>62</v>
      </c>
      <c r="M6" s="2">
        <v>117.2191</v>
      </c>
      <c r="N6" s="2">
        <v>2</v>
      </c>
      <c r="O6" s="2">
        <v>124.7564</v>
      </c>
      <c r="P6" s="2">
        <v>1</v>
      </c>
      <c r="Q6" s="2">
        <v>102.1108</v>
      </c>
      <c r="R6" s="2">
        <v>190</v>
      </c>
      <c r="S6" s="2">
        <v>100.2004</v>
      </c>
      <c r="T6" s="2">
        <v>135</v>
      </c>
      <c r="U6" s="2">
        <v>0.92557999999999996</v>
      </c>
      <c r="V6" s="2">
        <v>5</v>
      </c>
      <c r="W6" s="2">
        <v>2005</v>
      </c>
    </row>
    <row r="7" spans="1:23" ht="15.75" customHeight="1" x14ac:dyDescent="0.4">
      <c r="A7" s="2" t="s">
        <v>37</v>
      </c>
      <c r="B7" s="2">
        <v>4</v>
      </c>
      <c r="C7" s="3" t="s">
        <v>33</v>
      </c>
      <c r="D7" s="2"/>
      <c r="E7" s="2"/>
      <c r="F7" s="2"/>
      <c r="G7" s="2"/>
      <c r="H7" s="2"/>
      <c r="I7" s="2">
        <v>66.849599999999995</v>
      </c>
      <c r="J7" s="2">
        <v>177</v>
      </c>
      <c r="K7" s="2">
        <v>65.993799999999993</v>
      </c>
      <c r="L7" s="2">
        <v>220</v>
      </c>
      <c r="M7" s="2">
        <v>114.0505</v>
      </c>
      <c r="N7" s="2">
        <v>11</v>
      </c>
      <c r="O7" s="2">
        <v>114.798</v>
      </c>
      <c r="P7" s="2">
        <v>11</v>
      </c>
      <c r="Q7" s="2">
        <v>93.532700000000006</v>
      </c>
      <c r="R7" s="2">
        <v>23</v>
      </c>
      <c r="S7" s="2">
        <v>92.944999999999993</v>
      </c>
      <c r="T7" s="2">
        <v>17</v>
      </c>
      <c r="U7" s="2">
        <v>0.91896900000000004</v>
      </c>
      <c r="V7" s="2">
        <v>6</v>
      </c>
      <c r="W7" s="2">
        <v>2005</v>
      </c>
    </row>
    <row r="8" spans="1:23" ht="15.75" customHeight="1" x14ac:dyDescent="0.4">
      <c r="A8" s="2" t="s">
        <v>78</v>
      </c>
      <c r="B8" s="2">
        <v>5</v>
      </c>
      <c r="C8" s="3" t="s">
        <v>33</v>
      </c>
      <c r="D8" s="3" t="s">
        <v>33</v>
      </c>
      <c r="E8" s="2"/>
      <c r="F8" s="2"/>
      <c r="G8" s="2"/>
      <c r="H8" s="2"/>
      <c r="I8" s="2">
        <v>65.817099999999996</v>
      </c>
      <c r="J8" s="2">
        <v>219</v>
      </c>
      <c r="K8" s="2">
        <v>67.885300000000001</v>
      </c>
      <c r="L8" s="2">
        <v>132</v>
      </c>
      <c r="M8" s="2">
        <v>111.8155</v>
      </c>
      <c r="N8" s="2">
        <v>21</v>
      </c>
      <c r="O8" s="2">
        <v>114.4969</v>
      </c>
      <c r="P8" s="2">
        <v>12</v>
      </c>
      <c r="Q8" s="2">
        <v>94.508600000000001</v>
      </c>
      <c r="R8" s="2">
        <v>34</v>
      </c>
      <c r="S8" s="2">
        <v>92.816199999999995</v>
      </c>
      <c r="T8" s="2">
        <v>16</v>
      </c>
      <c r="U8" s="2">
        <v>0.91790000000000005</v>
      </c>
      <c r="V8" s="2">
        <v>7</v>
      </c>
      <c r="W8" s="2">
        <v>2005</v>
      </c>
    </row>
    <row r="9" spans="1:23" ht="15.75" customHeight="1" x14ac:dyDescent="0.4">
      <c r="A9" s="2" t="s">
        <v>72</v>
      </c>
      <c r="B9" s="2">
        <v>2</v>
      </c>
      <c r="C9" s="3" t="s">
        <v>33</v>
      </c>
      <c r="D9" s="3" t="s">
        <v>33</v>
      </c>
      <c r="E9" s="2"/>
      <c r="F9" s="2"/>
      <c r="G9" s="2"/>
      <c r="H9" s="2"/>
      <c r="I9" s="2">
        <v>67.646600000000007</v>
      </c>
      <c r="J9" s="2">
        <v>148</v>
      </c>
      <c r="K9" s="2">
        <v>67.327299999999994</v>
      </c>
      <c r="L9" s="2">
        <v>160</v>
      </c>
      <c r="M9" s="2">
        <v>115.681</v>
      </c>
      <c r="N9" s="2">
        <v>8</v>
      </c>
      <c r="O9" s="2">
        <v>118.6729</v>
      </c>
      <c r="P9" s="2">
        <v>4</v>
      </c>
      <c r="Q9" s="2">
        <v>97.874799999999993</v>
      </c>
      <c r="R9" s="2">
        <v>78</v>
      </c>
      <c r="S9" s="2">
        <v>96.258899999999997</v>
      </c>
      <c r="T9" s="2">
        <v>59</v>
      </c>
      <c r="U9" s="2">
        <v>0.91738200000000003</v>
      </c>
      <c r="V9" s="2">
        <v>8</v>
      </c>
      <c r="W9" s="2">
        <v>2005</v>
      </c>
    </row>
    <row r="10" spans="1:23" ht="15.75" customHeight="1" x14ac:dyDescent="0.4">
      <c r="A10" s="2" t="s">
        <v>54</v>
      </c>
      <c r="B10" s="2">
        <v>2</v>
      </c>
      <c r="C10" s="3" t="s">
        <v>33</v>
      </c>
      <c r="D10" s="2"/>
      <c r="E10" s="2"/>
      <c r="F10" s="2"/>
      <c r="G10" s="2"/>
      <c r="H10" s="2"/>
      <c r="I10" s="2">
        <v>71.455600000000004</v>
      </c>
      <c r="J10" s="2">
        <v>35</v>
      </c>
      <c r="K10" s="2">
        <v>71.958100000000002</v>
      </c>
      <c r="L10" s="2">
        <v>26</v>
      </c>
      <c r="M10" s="2">
        <v>109.01649999999999</v>
      </c>
      <c r="N10" s="2">
        <v>43</v>
      </c>
      <c r="O10" s="2">
        <v>110.7366</v>
      </c>
      <c r="P10" s="2">
        <v>34</v>
      </c>
      <c r="Q10" s="2">
        <v>93.365200000000002</v>
      </c>
      <c r="R10" s="2">
        <v>22</v>
      </c>
      <c r="S10" s="2">
        <v>90.107500000000002</v>
      </c>
      <c r="T10" s="2">
        <v>8</v>
      </c>
      <c r="U10" s="2">
        <v>0.91456800000000005</v>
      </c>
      <c r="V10" s="2">
        <v>9</v>
      </c>
      <c r="W10" s="2">
        <v>2005</v>
      </c>
    </row>
    <row r="11" spans="1:23" ht="15.75" customHeight="1" x14ac:dyDescent="0.4">
      <c r="A11" s="2" t="s">
        <v>45</v>
      </c>
      <c r="B11" s="2">
        <v>2</v>
      </c>
      <c r="C11" s="3" t="s">
        <v>33</v>
      </c>
      <c r="D11" s="3" t="s">
        <v>33</v>
      </c>
      <c r="E11" s="3" t="s">
        <v>33</v>
      </c>
      <c r="F11" s="2"/>
      <c r="G11" s="2"/>
      <c r="H11" s="2"/>
      <c r="I11" s="2">
        <v>67.741</v>
      </c>
      <c r="J11" s="2">
        <v>146</v>
      </c>
      <c r="K11" s="2">
        <v>68.174999999999997</v>
      </c>
      <c r="L11" s="2">
        <v>120</v>
      </c>
      <c r="M11" s="2">
        <v>108.32680000000001</v>
      </c>
      <c r="N11" s="2">
        <v>50</v>
      </c>
      <c r="O11" s="2">
        <v>110.0217</v>
      </c>
      <c r="P11" s="2">
        <v>39</v>
      </c>
      <c r="Q11" s="2">
        <v>91.086200000000005</v>
      </c>
      <c r="R11" s="2">
        <v>8</v>
      </c>
      <c r="S11" s="2">
        <v>89.608900000000006</v>
      </c>
      <c r="T11" s="2">
        <v>5</v>
      </c>
      <c r="U11" s="2">
        <v>0.91373099999999996</v>
      </c>
      <c r="V11" s="2">
        <v>10</v>
      </c>
      <c r="W11" s="2">
        <v>2005</v>
      </c>
    </row>
    <row r="12" spans="1:23" ht="15.75" customHeight="1" x14ac:dyDescent="0.4">
      <c r="A12" s="2" t="s">
        <v>35</v>
      </c>
      <c r="B12" s="2">
        <v>3</v>
      </c>
      <c r="C12" s="2"/>
      <c r="D12" s="2"/>
      <c r="E12" s="2"/>
      <c r="F12" s="2"/>
      <c r="G12" s="2"/>
      <c r="H12" s="2"/>
      <c r="I12" s="2">
        <v>67.552300000000002</v>
      </c>
      <c r="J12" s="2">
        <v>151</v>
      </c>
      <c r="K12" s="2">
        <v>67.250900000000001</v>
      </c>
      <c r="L12" s="2">
        <v>163</v>
      </c>
      <c r="M12" s="2">
        <v>110.0578</v>
      </c>
      <c r="N12" s="2">
        <v>32</v>
      </c>
      <c r="O12" s="2">
        <v>114.3502</v>
      </c>
      <c r="P12" s="2">
        <v>14</v>
      </c>
      <c r="Q12" s="2">
        <v>95.756299999999996</v>
      </c>
      <c r="R12" s="2">
        <v>44</v>
      </c>
      <c r="S12" s="2">
        <v>93.648899999999998</v>
      </c>
      <c r="T12" s="2">
        <v>27</v>
      </c>
      <c r="U12" s="2">
        <v>0.90860300000000005</v>
      </c>
      <c r="V12" s="2">
        <v>11</v>
      </c>
      <c r="W12" s="2">
        <v>2005</v>
      </c>
    </row>
    <row r="13" spans="1:23" ht="15.75" customHeight="1" x14ac:dyDescent="0.4">
      <c r="A13" s="2" t="s">
        <v>38</v>
      </c>
      <c r="B13" s="2">
        <v>3</v>
      </c>
      <c r="C13" s="3" t="s">
        <v>33</v>
      </c>
      <c r="D13" s="2"/>
      <c r="E13" s="2"/>
      <c r="F13" s="2"/>
      <c r="G13" s="2"/>
      <c r="H13" s="2"/>
      <c r="I13" s="2">
        <v>67.179500000000004</v>
      </c>
      <c r="J13" s="2">
        <v>167</v>
      </c>
      <c r="K13" s="2">
        <v>66.044499999999999</v>
      </c>
      <c r="L13" s="2">
        <v>218</v>
      </c>
      <c r="M13" s="2">
        <v>111.94840000000001</v>
      </c>
      <c r="N13" s="2">
        <v>20</v>
      </c>
      <c r="O13" s="2">
        <v>113.6718</v>
      </c>
      <c r="P13" s="2">
        <v>19</v>
      </c>
      <c r="Q13" s="2">
        <v>93.7</v>
      </c>
      <c r="R13" s="2">
        <v>25</v>
      </c>
      <c r="S13" s="2">
        <v>93.301100000000005</v>
      </c>
      <c r="T13" s="2">
        <v>21</v>
      </c>
      <c r="U13" s="2">
        <v>0.90645200000000004</v>
      </c>
      <c r="V13" s="2">
        <v>12</v>
      </c>
      <c r="W13" s="2">
        <v>2005</v>
      </c>
    </row>
    <row r="14" spans="1:23" ht="15.75" customHeight="1" x14ac:dyDescent="0.4">
      <c r="A14" s="2" t="s">
        <v>86</v>
      </c>
      <c r="B14" s="2">
        <v>4</v>
      </c>
      <c r="C14" s="3" t="s">
        <v>33</v>
      </c>
      <c r="D14" s="3" t="s">
        <v>33</v>
      </c>
      <c r="E14" s="3" t="s">
        <v>33</v>
      </c>
      <c r="F14" s="3" t="s">
        <v>33</v>
      </c>
      <c r="G14" s="2"/>
      <c r="H14" s="2"/>
      <c r="I14" s="2">
        <v>70.565299999999993</v>
      </c>
      <c r="J14" s="2">
        <v>58</v>
      </c>
      <c r="K14" s="2">
        <v>69.810900000000004</v>
      </c>
      <c r="L14" s="2">
        <v>66</v>
      </c>
      <c r="M14" s="2">
        <v>113.8263</v>
      </c>
      <c r="N14" s="2">
        <v>13</v>
      </c>
      <c r="O14" s="2">
        <v>113.396</v>
      </c>
      <c r="P14" s="2">
        <v>20</v>
      </c>
      <c r="Q14" s="2">
        <v>89.668800000000005</v>
      </c>
      <c r="R14" s="2">
        <v>3</v>
      </c>
      <c r="S14" s="2">
        <v>93.3078</v>
      </c>
      <c r="T14" s="2">
        <v>22</v>
      </c>
      <c r="U14" s="2">
        <v>0.90398400000000001</v>
      </c>
      <c r="V14" s="2">
        <v>13</v>
      </c>
      <c r="W14" s="2">
        <v>2005</v>
      </c>
    </row>
    <row r="15" spans="1:23" ht="15.75" customHeight="1" x14ac:dyDescent="0.4">
      <c r="A15" s="2" t="s">
        <v>23</v>
      </c>
      <c r="B15" s="2">
        <v>4</v>
      </c>
      <c r="C15" s="2"/>
      <c r="D15" s="2"/>
      <c r="E15" s="2"/>
      <c r="F15" s="2"/>
      <c r="G15" s="2"/>
      <c r="H15" s="2"/>
      <c r="I15" s="2">
        <v>66.895600000000002</v>
      </c>
      <c r="J15" s="2">
        <v>174</v>
      </c>
      <c r="K15" s="2">
        <v>67.366399999999999</v>
      </c>
      <c r="L15" s="2">
        <v>155</v>
      </c>
      <c r="M15" s="2">
        <v>112.5575</v>
      </c>
      <c r="N15" s="2">
        <v>14</v>
      </c>
      <c r="O15" s="2">
        <v>115.0698</v>
      </c>
      <c r="P15" s="2">
        <v>10</v>
      </c>
      <c r="Q15" s="2">
        <v>96.821399999999997</v>
      </c>
      <c r="R15" s="2">
        <v>57</v>
      </c>
      <c r="S15" s="2">
        <v>94.744</v>
      </c>
      <c r="T15" s="2">
        <v>36</v>
      </c>
      <c r="U15" s="2">
        <v>0.903362</v>
      </c>
      <c r="V15" s="2">
        <v>14</v>
      </c>
      <c r="W15" s="2">
        <v>2005</v>
      </c>
    </row>
    <row r="16" spans="1:23" ht="15.75" customHeight="1" x14ac:dyDescent="0.4">
      <c r="A16" s="2" t="s">
        <v>131</v>
      </c>
      <c r="B16" s="2">
        <v>1</v>
      </c>
      <c r="C16" s="3" t="s">
        <v>33</v>
      </c>
      <c r="D16" s="3" t="s">
        <v>33</v>
      </c>
      <c r="E16" s="2"/>
      <c r="F16" s="2"/>
      <c r="G16" s="2"/>
      <c r="H16" s="2"/>
      <c r="I16" s="2">
        <v>73.931899999999999</v>
      </c>
      <c r="J16" s="2">
        <v>12</v>
      </c>
      <c r="K16" s="2">
        <v>73.020799999999994</v>
      </c>
      <c r="L16" s="2">
        <v>14</v>
      </c>
      <c r="M16" s="2">
        <v>115.4002</v>
      </c>
      <c r="N16" s="2">
        <v>9</v>
      </c>
      <c r="O16" s="2">
        <v>118.43</v>
      </c>
      <c r="P16" s="2">
        <v>5</v>
      </c>
      <c r="Q16" s="2">
        <v>98.916399999999996</v>
      </c>
      <c r="R16" s="2">
        <v>106</v>
      </c>
      <c r="S16" s="2">
        <v>97.949299999999994</v>
      </c>
      <c r="T16" s="2">
        <v>83</v>
      </c>
      <c r="U16" s="2">
        <v>0.89876100000000003</v>
      </c>
      <c r="V16" s="2">
        <v>15</v>
      </c>
      <c r="W16" s="2">
        <v>2005</v>
      </c>
    </row>
    <row r="17" spans="1:23" ht="15.75" customHeight="1" x14ac:dyDescent="0.4">
      <c r="A17" s="2" t="s">
        <v>70</v>
      </c>
      <c r="B17" s="2">
        <v>6</v>
      </c>
      <c r="C17" s="3" t="s">
        <v>33</v>
      </c>
      <c r="D17" s="2"/>
      <c r="E17" s="2"/>
      <c r="F17" s="2"/>
      <c r="G17" s="2"/>
      <c r="H17" s="2"/>
      <c r="I17" s="2">
        <v>60.104599999999998</v>
      </c>
      <c r="J17" s="2">
        <v>325</v>
      </c>
      <c r="K17" s="2">
        <v>59.976300000000002</v>
      </c>
      <c r="L17" s="2">
        <v>325</v>
      </c>
      <c r="M17" s="2">
        <v>112.01</v>
      </c>
      <c r="N17" s="2">
        <v>18</v>
      </c>
      <c r="O17" s="2">
        <v>112.54989999999999</v>
      </c>
      <c r="P17" s="2">
        <v>23</v>
      </c>
      <c r="Q17" s="2">
        <v>94.733800000000002</v>
      </c>
      <c r="R17" s="2">
        <v>37</v>
      </c>
      <c r="S17" s="2">
        <v>93.3459</v>
      </c>
      <c r="T17" s="2">
        <v>24</v>
      </c>
      <c r="U17" s="2">
        <v>0.89580700000000002</v>
      </c>
      <c r="V17" s="2">
        <v>16</v>
      </c>
      <c r="W17" s="2">
        <v>2005</v>
      </c>
    </row>
    <row r="18" spans="1:23" ht="15.75" customHeight="1" x14ac:dyDescent="0.4">
      <c r="A18" s="2" t="s">
        <v>49</v>
      </c>
      <c r="B18" s="2">
        <v>5</v>
      </c>
      <c r="C18" s="2"/>
      <c r="D18" s="2"/>
      <c r="E18" s="2"/>
      <c r="F18" s="2"/>
      <c r="G18" s="2"/>
      <c r="H18" s="2"/>
      <c r="I18" s="2">
        <v>65.007400000000004</v>
      </c>
      <c r="J18" s="2">
        <v>256</v>
      </c>
      <c r="K18" s="2">
        <v>64.434200000000004</v>
      </c>
      <c r="L18" s="2">
        <v>274</v>
      </c>
      <c r="M18" s="2">
        <v>114.414</v>
      </c>
      <c r="N18" s="2">
        <v>10</v>
      </c>
      <c r="O18" s="2">
        <v>115.93470000000001</v>
      </c>
      <c r="P18" s="2">
        <v>8</v>
      </c>
      <c r="Q18" s="2">
        <v>98.794600000000003</v>
      </c>
      <c r="R18" s="2">
        <v>103</v>
      </c>
      <c r="S18" s="2">
        <v>96.360299999999995</v>
      </c>
      <c r="T18" s="2">
        <v>61</v>
      </c>
      <c r="U18" s="2">
        <v>0.89347399999999999</v>
      </c>
      <c r="V18" s="2">
        <v>17</v>
      </c>
      <c r="W18" s="2">
        <v>2005</v>
      </c>
    </row>
    <row r="19" spans="1:23" ht="15.75" customHeight="1" x14ac:dyDescent="0.4">
      <c r="A19" s="2" t="s">
        <v>43</v>
      </c>
      <c r="B19" s="2">
        <v>3</v>
      </c>
      <c r="C19" s="3" t="s">
        <v>33</v>
      </c>
      <c r="D19" s="3" t="s">
        <v>33</v>
      </c>
      <c r="E19" s="3" t="s">
        <v>33</v>
      </c>
      <c r="F19" s="2"/>
      <c r="G19" s="2"/>
      <c r="H19" s="2"/>
      <c r="I19" s="2">
        <v>70.724199999999996</v>
      </c>
      <c r="J19" s="2">
        <v>53</v>
      </c>
      <c r="K19" s="2">
        <v>69.760400000000004</v>
      </c>
      <c r="L19" s="2">
        <v>69</v>
      </c>
      <c r="M19" s="2">
        <v>111.7366</v>
      </c>
      <c r="N19" s="2">
        <v>22</v>
      </c>
      <c r="O19" s="2">
        <v>114.0151</v>
      </c>
      <c r="P19" s="2">
        <v>16</v>
      </c>
      <c r="Q19" s="2">
        <v>97.710700000000003</v>
      </c>
      <c r="R19" s="2">
        <v>75</v>
      </c>
      <c r="S19" s="2">
        <v>95.345799999999997</v>
      </c>
      <c r="T19" s="2">
        <v>45</v>
      </c>
      <c r="U19" s="2">
        <v>0.88659600000000005</v>
      </c>
      <c r="V19" s="2">
        <v>18</v>
      </c>
      <c r="W19" s="2">
        <v>2005</v>
      </c>
    </row>
    <row r="20" spans="1:23" ht="15.75" customHeight="1" x14ac:dyDescent="0.4">
      <c r="A20" s="2" t="s">
        <v>76</v>
      </c>
      <c r="B20" s="2">
        <v>6</v>
      </c>
      <c r="C20" s="3" t="s">
        <v>33</v>
      </c>
      <c r="D20" s="3" t="s">
        <v>33</v>
      </c>
      <c r="E20" s="3" t="s">
        <v>33</v>
      </c>
      <c r="F20" s="2"/>
      <c r="G20" s="2"/>
      <c r="H20" s="2"/>
      <c r="I20" s="2">
        <v>63.467100000000002</v>
      </c>
      <c r="J20" s="2">
        <v>293</v>
      </c>
      <c r="K20" s="2">
        <v>63.684699999999999</v>
      </c>
      <c r="L20" s="2">
        <v>293</v>
      </c>
      <c r="M20" s="2">
        <v>105.86920000000001</v>
      </c>
      <c r="N20" s="2">
        <v>68</v>
      </c>
      <c r="O20" s="2">
        <v>108.8869</v>
      </c>
      <c r="P20" s="2">
        <v>50</v>
      </c>
      <c r="Q20" s="2">
        <v>94.531300000000002</v>
      </c>
      <c r="R20" s="2">
        <v>35</v>
      </c>
      <c r="S20" s="2">
        <v>91.066500000000005</v>
      </c>
      <c r="T20" s="2">
        <v>10</v>
      </c>
      <c r="U20" s="2">
        <v>0.88648000000000005</v>
      </c>
      <c r="V20" s="2">
        <v>19</v>
      </c>
      <c r="W20" s="2">
        <v>2005</v>
      </c>
    </row>
    <row r="21" spans="1:23" ht="15.75" customHeight="1" x14ac:dyDescent="0.4">
      <c r="A21" s="2" t="s">
        <v>98</v>
      </c>
      <c r="B21" s="2">
        <v>14</v>
      </c>
      <c r="C21" s="2"/>
      <c r="D21" s="2"/>
      <c r="E21" s="2"/>
      <c r="F21" s="2"/>
      <c r="G21" s="2"/>
      <c r="H21" s="2"/>
      <c r="I21" s="2">
        <v>61.947400000000002</v>
      </c>
      <c r="J21" s="2">
        <v>312</v>
      </c>
      <c r="K21" s="2">
        <v>62.818100000000001</v>
      </c>
      <c r="L21" s="2">
        <v>306</v>
      </c>
      <c r="M21" s="2">
        <v>117.06189999999999</v>
      </c>
      <c r="N21" s="2">
        <v>3</v>
      </c>
      <c r="O21" s="2">
        <v>114.39960000000001</v>
      </c>
      <c r="P21" s="2">
        <v>13</v>
      </c>
      <c r="Q21" s="2">
        <v>92.366299999999995</v>
      </c>
      <c r="R21" s="2">
        <v>17</v>
      </c>
      <c r="S21" s="2">
        <v>95.724900000000005</v>
      </c>
      <c r="T21" s="2">
        <v>49</v>
      </c>
      <c r="U21" s="2">
        <v>0.88589799999999996</v>
      </c>
      <c r="V21" s="2">
        <v>20</v>
      </c>
      <c r="W21" s="2">
        <v>2005</v>
      </c>
    </row>
    <row r="22" spans="1:23" ht="15.75" customHeight="1" x14ac:dyDescent="0.4">
      <c r="A22" s="2" t="s">
        <v>92</v>
      </c>
      <c r="B22" s="2">
        <v>5</v>
      </c>
      <c r="C22" s="3" t="s">
        <v>33</v>
      </c>
      <c r="D22" s="2"/>
      <c r="E22" s="2"/>
      <c r="F22" s="2"/>
      <c r="G22" s="2"/>
      <c r="H22" s="2"/>
      <c r="I22" s="2">
        <v>71.058999999999997</v>
      </c>
      <c r="J22" s="2">
        <v>42</v>
      </c>
      <c r="K22" s="2">
        <v>70.195599999999999</v>
      </c>
      <c r="L22" s="2">
        <v>55</v>
      </c>
      <c r="M22" s="2">
        <v>104.11539999999999</v>
      </c>
      <c r="N22" s="2">
        <v>109</v>
      </c>
      <c r="O22" s="2">
        <v>106.86709999999999</v>
      </c>
      <c r="P22" s="2">
        <v>69</v>
      </c>
      <c r="Q22" s="2">
        <v>92.221100000000007</v>
      </c>
      <c r="R22" s="2">
        <v>16</v>
      </c>
      <c r="S22" s="2">
        <v>89.422600000000003</v>
      </c>
      <c r="T22" s="2">
        <v>4</v>
      </c>
      <c r="U22" s="2">
        <v>0.88589200000000001</v>
      </c>
      <c r="V22" s="2">
        <v>21</v>
      </c>
      <c r="W22" s="2">
        <v>2005</v>
      </c>
    </row>
    <row r="23" spans="1:23" ht="15.75" customHeight="1" x14ac:dyDescent="0.4">
      <c r="A23" s="2" t="s">
        <v>46</v>
      </c>
      <c r="B23" s="2">
        <v>9</v>
      </c>
      <c r="C23" s="2"/>
      <c r="D23" s="2"/>
      <c r="E23" s="2"/>
      <c r="F23" s="2"/>
      <c r="G23" s="2"/>
      <c r="H23" s="2"/>
      <c r="I23" s="2">
        <v>64.418599999999998</v>
      </c>
      <c r="J23" s="2">
        <v>271</v>
      </c>
      <c r="K23" s="2">
        <v>64.873699999999999</v>
      </c>
      <c r="L23" s="2">
        <v>255</v>
      </c>
      <c r="M23" s="2">
        <v>111.5947</v>
      </c>
      <c r="N23" s="2">
        <v>23</v>
      </c>
      <c r="O23" s="2">
        <v>113.95440000000001</v>
      </c>
      <c r="P23" s="2">
        <v>17</v>
      </c>
      <c r="Q23" s="2">
        <v>97.265500000000003</v>
      </c>
      <c r="R23" s="2">
        <v>62</v>
      </c>
      <c r="S23" s="2">
        <v>95.787899999999993</v>
      </c>
      <c r="T23" s="2">
        <v>50</v>
      </c>
      <c r="U23" s="2">
        <v>0.880494</v>
      </c>
      <c r="V23" s="2">
        <v>22</v>
      </c>
      <c r="W23" s="2">
        <v>2005</v>
      </c>
    </row>
    <row r="24" spans="1:23" ht="15.75" customHeight="1" x14ac:dyDescent="0.4">
      <c r="A24" s="2" t="s">
        <v>55</v>
      </c>
      <c r="B24" s="2">
        <v>10</v>
      </c>
      <c r="C24" s="3" t="s">
        <v>33</v>
      </c>
      <c r="D24" s="3" t="s">
        <v>33</v>
      </c>
      <c r="E24" s="2"/>
      <c r="F24" s="2"/>
      <c r="G24" s="2"/>
      <c r="H24" s="2"/>
      <c r="I24" s="2">
        <v>65.905500000000004</v>
      </c>
      <c r="J24" s="2">
        <v>216</v>
      </c>
      <c r="K24" s="2">
        <v>63.6252</v>
      </c>
      <c r="L24" s="2">
        <v>295</v>
      </c>
      <c r="M24" s="2">
        <v>112.0655</v>
      </c>
      <c r="N24" s="2">
        <v>17</v>
      </c>
      <c r="O24" s="2">
        <v>114.1657</v>
      </c>
      <c r="P24" s="2">
        <v>15</v>
      </c>
      <c r="Q24" s="2">
        <v>100.84180000000001</v>
      </c>
      <c r="R24" s="2">
        <v>150</v>
      </c>
      <c r="S24" s="2">
        <v>96.755600000000001</v>
      </c>
      <c r="T24" s="2">
        <v>66</v>
      </c>
      <c r="U24" s="2">
        <v>0.87021099999999996</v>
      </c>
      <c r="V24" s="2">
        <v>23</v>
      </c>
      <c r="W24" s="2">
        <v>2005</v>
      </c>
    </row>
    <row r="25" spans="1:23" ht="15.75" customHeight="1" x14ac:dyDescent="0.4">
      <c r="A25" s="2" t="s">
        <v>34</v>
      </c>
      <c r="B25" s="2">
        <v>7</v>
      </c>
      <c r="C25" s="3" t="s">
        <v>33</v>
      </c>
      <c r="D25" s="2"/>
      <c r="E25" s="2"/>
      <c r="F25" s="2"/>
      <c r="G25" s="2"/>
      <c r="H25" s="2"/>
      <c r="I25" s="2">
        <v>69.004999999999995</v>
      </c>
      <c r="J25" s="2">
        <v>105</v>
      </c>
      <c r="K25" s="2">
        <v>69.338200000000001</v>
      </c>
      <c r="L25" s="2">
        <v>84</v>
      </c>
      <c r="M25" s="2">
        <v>109.8523</v>
      </c>
      <c r="N25" s="2">
        <v>34</v>
      </c>
      <c r="O25" s="2">
        <v>109.8964</v>
      </c>
      <c r="P25" s="2">
        <v>40</v>
      </c>
      <c r="Q25" s="2">
        <v>92.832300000000004</v>
      </c>
      <c r="R25" s="2">
        <v>18</v>
      </c>
      <c r="S25" s="2">
        <v>93.400300000000001</v>
      </c>
      <c r="T25" s="2">
        <v>26</v>
      </c>
      <c r="U25" s="2">
        <v>0.86650499999999997</v>
      </c>
      <c r="V25" s="2">
        <v>24</v>
      </c>
      <c r="W25" s="2">
        <v>2005</v>
      </c>
    </row>
    <row r="26" spans="1:23" ht="15.75" customHeight="1" x14ac:dyDescent="0.4">
      <c r="A26" s="2" t="s">
        <v>47</v>
      </c>
      <c r="B26" s="2">
        <v>3</v>
      </c>
      <c r="C26" s="3" t="s">
        <v>33</v>
      </c>
      <c r="D26" s="2"/>
      <c r="E26" s="2"/>
      <c r="F26" s="2"/>
      <c r="G26" s="2"/>
      <c r="H26" s="2"/>
      <c r="I26" s="2">
        <v>68.388400000000004</v>
      </c>
      <c r="J26" s="2">
        <v>123</v>
      </c>
      <c r="K26" s="2">
        <v>68.207899999999995</v>
      </c>
      <c r="L26" s="2">
        <v>119</v>
      </c>
      <c r="M26" s="2">
        <v>116.4325</v>
      </c>
      <c r="N26" s="2">
        <v>6</v>
      </c>
      <c r="O26" s="2">
        <v>117.93940000000001</v>
      </c>
      <c r="P26" s="2">
        <v>7</v>
      </c>
      <c r="Q26" s="2">
        <v>102.10250000000001</v>
      </c>
      <c r="R26" s="2">
        <v>188</v>
      </c>
      <c r="S26" s="2">
        <v>100.3467</v>
      </c>
      <c r="T26" s="2">
        <v>137</v>
      </c>
      <c r="U26" s="2">
        <v>0.86502900000000005</v>
      </c>
      <c r="V26" s="2">
        <v>25</v>
      </c>
      <c r="W26" s="2">
        <v>2005</v>
      </c>
    </row>
    <row r="27" spans="1:23" ht="15.75" customHeight="1" x14ac:dyDescent="0.4">
      <c r="A27" s="2" t="s">
        <v>95</v>
      </c>
      <c r="B27" s="2">
        <v>4</v>
      </c>
      <c r="C27" s="3" t="s">
        <v>33</v>
      </c>
      <c r="D27" s="2"/>
      <c r="E27" s="2"/>
      <c r="F27" s="2"/>
      <c r="G27" s="2"/>
      <c r="H27" s="2"/>
      <c r="I27" s="2">
        <v>64.899600000000007</v>
      </c>
      <c r="J27" s="2">
        <v>259</v>
      </c>
      <c r="K27" s="2">
        <v>65.185599999999994</v>
      </c>
      <c r="L27" s="2">
        <v>247</v>
      </c>
      <c r="M27" s="2">
        <v>109.54730000000001</v>
      </c>
      <c r="N27" s="2">
        <v>40</v>
      </c>
      <c r="O27" s="2">
        <v>112.0723</v>
      </c>
      <c r="P27" s="2">
        <v>25</v>
      </c>
      <c r="Q27" s="2">
        <v>97.370599999999996</v>
      </c>
      <c r="R27" s="2">
        <v>65</v>
      </c>
      <c r="S27" s="2">
        <v>95.647099999999995</v>
      </c>
      <c r="T27" s="2">
        <v>48</v>
      </c>
      <c r="U27" s="2">
        <v>0.86086600000000002</v>
      </c>
      <c r="V27" s="2">
        <v>26</v>
      </c>
      <c r="W27" s="2">
        <v>2005</v>
      </c>
    </row>
    <row r="28" spans="1:23" ht="15.75" customHeight="1" x14ac:dyDescent="0.4">
      <c r="A28" s="2" t="s">
        <v>84</v>
      </c>
      <c r="B28" s="2">
        <v>10</v>
      </c>
      <c r="C28" s="2"/>
      <c r="D28" s="2"/>
      <c r="E28" s="2"/>
      <c r="F28" s="2"/>
      <c r="G28" s="2"/>
      <c r="H28" s="2"/>
      <c r="I28" s="2">
        <v>68.472300000000004</v>
      </c>
      <c r="J28" s="2">
        <v>120</v>
      </c>
      <c r="K28" s="2">
        <v>68.790800000000004</v>
      </c>
      <c r="L28" s="2">
        <v>101</v>
      </c>
      <c r="M28" s="2">
        <v>105.9579</v>
      </c>
      <c r="N28" s="2">
        <v>65</v>
      </c>
      <c r="O28" s="2">
        <v>110.5638</v>
      </c>
      <c r="P28" s="2">
        <v>37</v>
      </c>
      <c r="Q28" s="2">
        <v>97.1935</v>
      </c>
      <c r="R28" s="2">
        <v>61</v>
      </c>
      <c r="S28" s="2">
        <v>94.792500000000004</v>
      </c>
      <c r="T28" s="2">
        <v>38</v>
      </c>
      <c r="U28" s="2">
        <v>0.85444200000000003</v>
      </c>
      <c r="V28" s="2">
        <v>27</v>
      </c>
      <c r="W28" s="2">
        <v>2005</v>
      </c>
    </row>
    <row r="29" spans="1:23" ht="12.3" x14ac:dyDescent="0.4">
      <c r="A29" s="2" t="s">
        <v>82</v>
      </c>
      <c r="B29" s="2">
        <v>7</v>
      </c>
      <c r="C29" s="3" t="s">
        <v>33</v>
      </c>
      <c r="D29" s="2"/>
      <c r="E29" s="2"/>
      <c r="F29" s="2"/>
      <c r="G29" s="2"/>
      <c r="H29" s="2"/>
      <c r="I29" s="2">
        <v>63.823</v>
      </c>
      <c r="J29" s="2">
        <v>284</v>
      </c>
      <c r="K29" s="2">
        <v>64.196899999999999</v>
      </c>
      <c r="L29" s="2">
        <v>284</v>
      </c>
      <c r="M29" s="2">
        <v>104.85469999999999</v>
      </c>
      <c r="N29" s="2">
        <v>92</v>
      </c>
      <c r="O29" s="2">
        <v>106.9693</v>
      </c>
      <c r="P29" s="2">
        <v>67</v>
      </c>
      <c r="Q29" s="2">
        <v>94.084699999999998</v>
      </c>
      <c r="R29" s="2">
        <v>30</v>
      </c>
      <c r="S29" s="2">
        <v>92.393699999999995</v>
      </c>
      <c r="T29" s="2">
        <v>15</v>
      </c>
      <c r="U29" s="2">
        <v>0.84350599999999998</v>
      </c>
      <c r="V29" s="2">
        <v>28</v>
      </c>
      <c r="W29" s="2">
        <v>2005</v>
      </c>
    </row>
    <row r="30" spans="1:23" ht="12.3" x14ac:dyDescent="0.4">
      <c r="A30" s="2" t="s">
        <v>115</v>
      </c>
      <c r="B30" s="2">
        <v>12</v>
      </c>
      <c r="C30" s="2"/>
      <c r="D30" s="2"/>
      <c r="E30" s="2"/>
      <c r="F30" s="2"/>
      <c r="G30" s="2"/>
      <c r="H30" s="2"/>
      <c r="I30" s="2">
        <v>66.519000000000005</v>
      </c>
      <c r="J30" s="2">
        <v>192</v>
      </c>
      <c r="K30" s="2">
        <v>66.275599999999997</v>
      </c>
      <c r="L30" s="2">
        <v>208</v>
      </c>
      <c r="M30" s="2">
        <v>113.89490000000001</v>
      </c>
      <c r="N30" s="2">
        <v>12</v>
      </c>
      <c r="O30" s="2">
        <v>112.06489999999999</v>
      </c>
      <c r="P30" s="2">
        <v>26</v>
      </c>
      <c r="Q30" s="2">
        <v>97.835999999999999</v>
      </c>
      <c r="R30" s="2">
        <v>77</v>
      </c>
      <c r="S30" s="2">
        <v>97.262200000000007</v>
      </c>
      <c r="T30" s="2">
        <v>73</v>
      </c>
      <c r="U30" s="2">
        <v>0.83605700000000005</v>
      </c>
      <c r="V30" s="2">
        <v>29</v>
      </c>
      <c r="W30" s="2">
        <v>2005</v>
      </c>
    </row>
    <row r="31" spans="1:23" ht="12.3" x14ac:dyDescent="0.4">
      <c r="A31" s="2" t="s">
        <v>21</v>
      </c>
      <c r="B31" s="2"/>
      <c r="C31" s="2"/>
      <c r="D31" s="2"/>
      <c r="E31" s="2"/>
      <c r="F31" s="2"/>
      <c r="G31" s="2"/>
      <c r="H31" s="2"/>
      <c r="I31" s="2">
        <v>66.096199999999996</v>
      </c>
      <c r="J31" s="2">
        <v>208</v>
      </c>
      <c r="K31" s="2">
        <v>66.511700000000005</v>
      </c>
      <c r="L31" s="2">
        <v>196</v>
      </c>
      <c r="M31" s="2">
        <v>105.6623</v>
      </c>
      <c r="N31" s="2">
        <v>73</v>
      </c>
      <c r="O31" s="2">
        <v>107.33369999999999</v>
      </c>
      <c r="P31" s="2">
        <v>64</v>
      </c>
      <c r="Q31" s="2">
        <v>95.382599999999996</v>
      </c>
      <c r="R31" s="2">
        <v>41</v>
      </c>
      <c r="S31" s="2">
        <v>93.160499999999999</v>
      </c>
      <c r="T31" s="2">
        <v>18</v>
      </c>
      <c r="U31" s="2">
        <v>0.83597900000000003</v>
      </c>
      <c r="V31" s="2">
        <v>30</v>
      </c>
      <c r="W31" s="2">
        <v>2005</v>
      </c>
    </row>
    <row r="32" spans="1:23" ht="12.3" x14ac:dyDescent="0.4">
      <c r="A32" s="2" t="s">
        <v>67</v>
      </c>
      <c r="B32" s="2">
        <v>8</v>
      </c>
      <c r="C32" s="2"/>
      <c r="D32" s="2"/>
      <c r="E32" s="2"/>
      <c r="F32" s="2"/>
      <c r="G32" s="2"/>
      <c r="H32" s="2"/>
      <c r="I32" s="2">
        <v>69.051500000000004</v>
      </c>
      <c r="J32" s="2">
        <v>102</v>
      </c>
      <c r="K32" s="2">
        <v>67.960400000000007</v>
      </c>
      <c r="L32" s="2">
        <v>125</v>
      </c>
      <c r="M32" s="2">
        <v>111.38039999999999</v>
      </c>
      <c r="N32" s="2">
        <v>26</v>
      </c>
      <c r="O32" s="2">
        <v>110.8698</v>
      </c>
      <c r="P32" s="2">
        <v>33</v>
      </c>
      <c r="Q32" s="2">
        <v>98.966800000000006</v>
      </c>
      <c r="R32" s="2">
        <v>108</v>
      </c>
      <c r="S32" s="2">
        <v>96.702500000000001</v>
      </c>
      <c r="T32" s="2">
        <v>65</v>
      </c>
      <c r="U32" s="2">
        <v>0.82810399999999995</v>
      </c>
      <c r="V32" s="2">
        <v>31</v>
      </c>
      <c r="W32" s="2">
        <v>2005</v>
      </c>
    </row>
    <row r="33" spans="1:23" ht="12.3" x14ac:dyDescent="0.4">
      <c r="A33" s="2" t="s">
        <v>75</v>
      </c>
      <c r="B33" s="2">
        <v>8</v>
      </c>
      <c r="C33" s="2"/>
      <c r="D33" s="2"/>
      <c r="E33" s="2"/>
      <c r="F33" s="2"/>
      <c r="G33" s="2"/>
      <c r="H33" s="2"/>
      <c r="I33" s="2">
        <v>67.285899999999998</v>
      </c>
      <c r="J33" s="2">
        <v>164</v>
      </c>
      <c r="K33" s="2">
        <v>68.7136</v>
      </c>
      <c r="L33" s="2">
        <v>107</v>
      </c>
      <c r="M33" s="2">
        <v>101.2773</v>
      </c>
      <c r="N33" s="2">
        <v>173</v>
      </c>
      <c r="O33" s="2">
        <v>101.1123</v>
      </c>
      <c r="P33" s="2">
        <v>167</v>
      </c>
      <c r="Q33" s="2">
        <v>93.218000000000004</v>
      </c>
      <c r="R33" s="2">
        <v>21</v>
      </c>
      <c r="S33" s="2">
        <v>88.239599999999996</v>
      </c>
      <c r="T33" s="2">
        <v>2</v>
      </c>
      <c r="U33" s="2">
        <v>0.82721599999999995</v>
      </c>
      <c r="V33" s="2">
        <v>32</v>
      </c>
      <c r="W33" s="2">
        <v>2005</v>
      </c>
    </row>
    <row r="34" spans="1:23" ht="12.3" x14ac:dyDescent="0.4">
      <c r="A34" s="2" t="s">
        <v>85</v>
      </c>
      <c r="B34" s="2">
        <v>6</v>
      </c>
      <c r="C34" s="2"/>
      <c r="D34" s="2"/>
      <c r="E34" s="2"/>
      <c r="F34" s="2"/>
      <c r="G34" s="2"/>
      <c r="H34" s="2"/>
      <c r="I34" s="2">
        <v>66.919899999999998</v>
      </c>
      <c r="J34" s="2">
        <v>173</v>
      </c>
      <c r="K34" s="2">
        <v>67.017399999999995</v>
      </c>
      <c r="L34" s="2">
        <v>173</v>
      </c>
      <c r="M34" s="2">
        <v>110.28230000000001</v>
      </c>
      <c r="N34" s="2">
        <v>30</v>
      </c>
      <c r="O34" s="2">
        <v>113.3772</v>
      </c>
      <c r="P34" s="2">
        <v>21</v>
      </c>
      <c r="Q34" s="2">
        <v>104.2854</v>
      </c>
      <c r="R34" s="2">
        <v>237</v>
      </c>
      <c r="S34" s="2">
        <v>99.493099999999998</v>
      </c>
      <c r="T34" s="2">
        <v>117</v>
      </c>
      <c r="U34" s="2">
        <v>0.81791199999999997</v>
      </c>
      <c r="V34" s="2">
        <v>33</v>
      </c>
      <c r="W34" s="2">
        <v>2005</v>
      </c>
    </row>
    <row r="35" spans="1:23" ht="12.3" x14ac:dyDescent="0.4">
      <c r="A35" s="2" t="s">
        <v>126</v>
      </c>
      <c r="B35" s="2">
        <v>8</v>
      </c>
      <c r="C35" s="3" t="s">
        <v>33</v>
      </c>
      <c r="D35" s="2"/>
      <c r="E35" s="2"/>
      <c r="F35" s="2"/>
      <c r="G35" s="2"/>
      <c r="H35" s="2"/>
      <c r="I35" s="2">
        <v>64.131299999999996</v>
      </c>
      <c r="J35" s="2">
        <v>281</v>
      </c>
      <c r="K35" s="2">
        <v>64.432000000000002</v>
      </c>
      <c r="L35" s="2">
        <v>275</v>
      </c>
      <c r="M35" s="2">
        <v>111.96639999999999</v>
      </c>
      <c r="N35" s="2">
        <v>19</v>
      </c>
      <c r="O35" s="2">
        <v>111.96</v>
      </c>
      <c r="P35" s="2">
        <v>27</v>
      </c>
      <c r="Q35" s="2">
        <v>98.072299999999998</v>
      </c>
      <c r="R35" s="2">
        <v>86</v>
      </c>
      <c r="S35" s="2">
        <v>98.343500000000006</v>
      </c>
      <c r="T35" s="2">
        <v>89</v>
      </c>
      <c r="U35" s="2">
        <v>0.81626900000000002</v>
      </c>
      <c r="V35" s="2">
        <v>34</v>
      </c>
      <c r="W35" s="2">
        <v>2005</v>
      </c>
    </row>
    <row r="36" spans="1:23" ht="12.3" x14ac:dyDescent="0.4">
      <c r="A36" s="2" t="s">
        <v>232</v>
      </c>
      <c r="B36" s="2">
        <v>12</v>
      </c>
      <c r="C36" s="2"/>
      <c r="D36" s="2"/>
      <c r="E36" s="2"/>
      <c r="F36" s="2"/>
      <c r="G36" s="2"/>
      <c r="H36" s="2"/>
      <c r="I36" s="2">
        <v>70.552000000000007</v>
      </c>
      <c r="J36" s="2">
        <v>59</v>
      </c>
      <c r="K36" s="2">
        <v>71.497100000000003</v>
      </c>
      <c r="L36" s="2">
        <v>32</v>
      </c>
      <c r="M36" s="2">
        <v>109.0921</v>
      </c>
      <c r="N36" s="2">
        <v>42</v>
      </c>
      <c r="O36" s="2">
        <v>108.32170000000001</v>
      </c>
      <c r="P36" s="2">
        <v>54</v>
      </c>
      <c r="Q36" s="2">
        <v>94.330200000000005</v>
      </c>
      <c r="R36" s="2">
        <v>32</v>
      </c>
      <c r="S36" s="2">
        <v>95.215699999999998</v>
      </c>
      <c r="T36" s="2">
        <v>41</v>
      </c>
      <c r="U36" s="2">
        <v>0.81503199999999998</v>
      </c>
      <c r="V36" s="2">
        <v>35</v>
      </c>
      <c r="W36" s="2">
        <v>2005</v>
      </c>
    </row>
    <row r="37" spans="1:23" ht="12.3" x14ac:dyDescent="0.4">
      <c r="A37" s="2" t="s">
        <v>111</v>
      </c>
      <c r="B37" s="2"/>
      <c r="C37" s="2"/>
      <c r="D37" s="2"/>
      <c r="E37" s="2"/>
      <c r="F37" s="2"/>
      <c r="G37" s="2"/>
      <c r="H37" s="2"/>
      <c r="I37" s="2">
        <v>66.805599999999998</v>
      </c>
      <c r="J37" s="2">
        <v>181</v>
      </c>
      <c r="K37" s="2">
        <v>66.450199999999995</v>
      </c>
      <c r="L37" s="2">
        <v>202</v>
      </c>
      <c r="M37" s="2">
        <v>107.1253</v>
      </c>
      <c r="N37" s="2">
        <v>57</v>
      </c>
      <c r="O37" s="2">
        <v>109.5067</v>
      </c>
      <c r="P37" s="2">
        <v>44</v>
      </c>
      <c r="Q37" s="2">
        <v>96.957899999999995</v>
      </c>
      <c r="R37" s="2">
        <v>60</v>
      </c>
      <c r="S37" s="2">
        <v>96.317300000000003</v>
      </c>
      <c r="T37" s="2">
        <v>60</v>
      </c>
      <c r="U37" s="2">
        <v>0.81394999999999995</v>
      </c>
      <c r="V37" s="2">
        <v>36</v>
      </c>
      <c r="W37" s="2">
        <v>2005</v>
      </c>
    </row>
    <row r="38" spans="1:23" ht="12.3" x14ac:dyDescent="0.4">
      <c r="A38" s="2" t="s">
        <v>229</v>
      </c>
      <c r="B38" s="2">
        <v>7</v>
      </c>
      <c r="C38" s="3" t="s">
        <v>33</v>
      </c>
      <c r="D38" s="3" t="s">
        <v>33</v>
      </c>
      <c r="E38" s="3" t="s">
        <v>33</v>
      </c>
      <c r="F38" s="2"/>
      <c r="G38" s="2"/>
      <c r="H38" s="2"/>
      <c r="I38" s="2">
        <v>64.240099999999998</v>
      </c>
      <c r="J38" s="2">
        <v>277</v>
      </c>
      <c r="K38" s="2">
        <v>64.682699999999997</v>
      </c>
      <c r="L38" s="2">
        <v>264</v>
      </c>
      <c r="M38" s="2">
        <v>108.9222</v>
      </c>
      <c r="N38" s="2">
        <v>45</v>
      </c>
      <c r="O38" s="2">
        <v>112.3967</v>
      </c>
      <c r="P38" s="2">
        <v>24</v>
      </c>
      <c r="Q38" s="2">
        <v>101.9979</v>
      </c>
      <c r="R38" s="2">
        <v>182</v>
      </c>
      <c r="S38" s="2">
        <v>98.949700000000007</v>
      </c>
      <c r="T38" s="2">
        <v>104</v>
      </c>
      <c r="U38" s="2">
        <v>0.81235199999999996</v>
      </c>
      <c r="V38" s="2">
        <v>37</v>
      </c>
      <c r="W38" s="2">
        <v>2005</v>
      </c>
    </row>
    <row r="39" spans="1:23" ht="12.3" x14ac:dyDescent="0.4">
      <c r="A39" s="2" t="s">
        <v>90</v>
      </c>
      <c r="B39" s="2">
        <v>10</v>
      </c>
      <c r="C39" s="2"/>
      <c r="D39" s="2"/>
      <c r="E39" s="2"/>
      <c r="F39" s="2"/>
      <c r="G39" s="2"/>
      <c r="H39" s="2"/>
      <c r="I39" s="2">
        <v>64.490899999999996</v>
      </c>
      <c r="J39" s="2">
        <v>269</v>
      </c>
      <c r="K39" s="2">
        <v>64.507199999999997</v>
      </c>
      <c r="L39" s="2">
        <v>271</v>
      </c>
      <c r="M39" s="2">
        <v>110.4606</v>
      </c>
      <c r="N39" s="2">
        <v>29</v>
      </c>
      <c r="O39" s="2">
        <v>113.12309999999999</v>
      </c>
      <c r="P39" s="2">
        <v>22</v>
      </c>
      <c r="Q39" s="2">
        <v>100.2475</v>
      </c>
      <c r="R39" s="2">
        <v>136</v>
      </c>
      <c r="S39" s="2">
        <v>99.631100000000004</v>
      </c>
      <c r="T39" s="2">
        <v>121</v>
      </c>
      <c r="U39" s="2">
        <v>0.81161300000000003</v>
      </c>
      <c r="V39" s="2">
        <v>38</v>
      </c>
      <c r="W39" s="2">
        <v>2005</v>
      </c>
    </row>
    <row r="40" spans="1:23" ht="12.3" x14ac:dyDescent="0.4">
      <c r="A40" s="2" t="s">
        <v>59</v>
      </c>
      <c r="B40" s="2">
        <v>6</v>
      </c>
      <c r="C40" s="3" t="s">
        <v>33</v>
      </c>
      <c r="D40" s="3" t="s">
        <v>33</v>
      </c>
      <c r="E40" s="2"/>
      <c r="F40" s="2"/>
      <c r="G40" s="2"/>
      <c r="H40" s="2"/>
      <c r="I40" s="2">
        <v>70.939499999999995</v>
      </c>
      <c r="J40" s="2">
        <v>46</v>
      </c>
      <c r="K40" s="2">
        <v>70.421599999999998</v>
      </c>
      <c r="L40" s="2">
        <v>51</v>
      </c>
      <c r="M40" s="2">
        <v>108.3214</v>
      </c>
      <c r="N40" s="2">
        <v>51</v>
      </c>
      <c r="O40" s="2">
        <v>107.81359999999999</v>
      </c>
      <c r="P40" s="2">
        <v>61</v>
      </c>
      <c r="Q40" s="2">
        <v>97.950299999999999</v>
      </c>
      <c r="R40" s="2">
        <v>80</v>
      </c>
      <c r="S40" s="2">
        <v>95.236000000000004</v>
      </c>
      <c r="T40" s="2">
        <v>42</v>
      </c>
      <c r="U40" s="2">
        <v>0.80635800000000002</v>
      </c>
      <c r="V40" s="2">
        <v>39</v>
      </c>
      <c r="W40" s="2">
        <v>2005</v>
      </c>
    </row>
    <row r="41" spans="1:23" ht="12.3" x14ac:dyDescent="0.4">
      <c r="A41" s="2" t="s">
        <v>48</v>
      </c>
      <c r="B41" s="2">
        <v>9</v>
      </c>
      <c r="C41" s="3" t="s">
        <v>33</v>
      </c>
      <c r="D41" s="2"/>
      <c r="E41" s="2"/>
      <c r="F41" s="2"/>
      <c r="G41" s="2"/>
      <c r="H41" s="2"/>
      <c r="I41" s="2">
        <v>68.984800000000007</v>
      </c>
      <c r="J41" s="2">
        <v>106</v>
      </c>
      <c r="K41" s="2">
        <v>70.145600000000002</v>
      </c>
      <c r="L41" s="2">
        <v>57</v>
      </c>
      <c r="M41" s="2">
        <v>104.6399</v>
      </c>
      <c r="N41" s="2">
        <v>101</v>
      </c>
      <c r="O41" s="2">
        <v>105.8001</v>
      </c>
      <c r="P41" s="2">
        <v>89</v>
      </c>
      <c r="Q41" s="2">
        <v>95.862700000000004</v>
      </c>
      <c r="R41" s="2">
        <v>45</v>
      </c>
      <c r="S41" s="2">
        <v>93.693600000000004</v>
      </c>
      <c r="T41" s="2">
        <v>28</v>
      </c>
      <c r="U41" s="2">
        <v>0.80178799999999995</v>
      </c>
      <c r="V41" s="2">
        <v>40</v>
      </c>
      <c r="W41" s="2">
        <v>2005</v>
      </c>
    </row>
    <row r="42" spans="1:23" ht="12.3" x14ac:dyDescent="0.4">
      <c r="A42" s="2" t="s">
        <v>36</v>
      </c>
      <c r="B42" s="2"/>
      <c r="C42" s="2"/>
      <c r="D42" s="2"/>
      <c r="E42" s="2"/>
      <c r="F42" s="2"/>
      <c r="G42" s="2"/>
      <c r="H42" s="2"/>
      <c r="I42" s="2">
        <v>76.869799999999998</v>
      </c>
      <c r="J42" s="2">
        <v>2</v>
      </c>
      <c r="K42" s="2">
        <v>74.939400000000006</v>
      </c>
      <c r="L42" s="2">
        <v>3</v>
      </c>
      <c r="M42" s="2">
        <v>104.9654</v>
      </c>
      <c r="N42" s="2">
        <v>89</v>
      </c>
      <c r="O42" s="2">
        <v>109.24460000000001</v>
      </c>
      <c r="P42" s="2">
        <v>45</v>
      </c>
      <c r="Q42" s="2">
        <v>98.011700000000005</v>
      </c>
      <c r="R42" s="2">
        <v>83</v>
      </c>
      <c r="S42" s="2">
        <v>96.760599999999997</v>
      </c>
      <c r="T42" s="2">
        <v>67</v>
      </c>
      <c r="U42" s="2">
        <v>0.80147199999999996</v>
      </c>
      <c r="V42" s="2">
        <v>41</v>
      </c>
      <c r="W42" s="2">
        <v>2005</v>
      </c>
    </row>
    <row r="43" spans="1:23" ht="12.3" x14ac:dyDescent="0.4">
      <c r="A43" s="2" t="s">
        <v>248</v>
      </c>
      <c r="B43" s="2"/>
      <c r="C43" s="2"/>
      <c r="D43" s="2"/>
      <c r="E43" s="2"/>
      <c r="F43" s="2"/>
      <c r="G43" s="2"/>
      <c r="H43" s="2"/>
      <c r="I43" s="2">
        <v>66.636499999999998</v>
      </c>
      <c r="J43" s="2">
        <v>188</v>
      </c>
      <c r="K43" s="2">
        <v>65.539500000000004</v>
      </c>
      <c r="L43" s="2">
        <v>236</v>
      </c>
      <c r="M43" s="2">
        <v>109.748</v>
      </c>
      <c r="N43" s="2">
        <v>36</v>
      </c>
      <c r="O43" s="2">
        <v>111.8985</v>
      </c>
      <c r="P43" s="2">
        <v>28</v>
      </c>
      <c r="Q43" s="2">
        <v>98.372799999999998</v>
      </c>
      <c r="R43" s="2">
        <v>91</v>
      </c>
      <c r="S43" s="2">
        <v>99.363500000000002</v>
      </c>
      <c r="T43" s="2">
        <v>113</v>
      </c>
      <c r="U43" s="2">
        <v>0.79678000000000004</v>
      </c>
      <c r="V43" s="2">
        <v>42</v>
      </c>
      <c r="W43" s="2">
        <v>2005</v>
      </c>
    </row>
    <row r="44" spans="1:23" ht="12.3" x14ac:dyDescent="0.4">
      <c r="A44" s="2" t="s">
        <v>146</v>
      </c>
      <c r="B44" s="2">
        <v>9</v>
      </c>
      <c r="C44" s="3" t="s">
        <v>33</v>
      </c>
      <c r="D44" s="2"/>
      <c r="E44" s="2"/>
      <c r="F44" s="2"/>
      <c r="G44" s="2"/>
      <c r="H44" s="2"/>
      <c r="I44" s="2">
        <v>67.289400000000001</v>
      </c>
      <c r="J44" s="2">
        <v>162</v>
      </c>
      <c r="K44" s="2">
        <v>67.611099999999993</v>
      </c>
      <c r="L44" s="2">
        <v>146</v>
      </c>
      <c r="M44" s="2">
        <v>100.2753</v>
      </c>
      <c r="N44" s="2">
        <v>194</v>
      </c>
      <c r="O44" s="2">
        <v>101.2715</v>
      </c>
      <c r="P44" s="2">
        <v>163</v>
      </c>
      <c r="Q44" s="2">
        <v>93.927999999999997</v>
      </c>
      <c r="R44" s="2">
        <v>29</v>
      </c>
      <c r="S44" s="2">
        <v>90.022499999999994</v>
      </c>
      <c r="T44" s="2">
        <v>7</v>
      </c>
      <c r="U44" s="2">
        <v>0.79479500000000003</v>
      </c>
      <c r="V44" s="2">
        <v>43</v>
      </c>
      <c r="W44" s="2">
        <v>2005</v>
      </c>
    </row>
    <row r="45" spans="1:23" ht="12.3" x14ac:dyDescent="0.4">
      <c r="A45" s="2" t="s">
        <v>122</v>
      </c>
      <c r="B45" s="2">
        <v>12</v>
      </c>
      <c r="C45" s="3" t="s">
        <v>33</v>
      </c>
      <c r="D45" s="3" t="s">
        <v>33</v>
      </c>
      <c r="E45" s="2"/>
      <c r="F45" s="2"/>
      <c r="G45" s="2"/>
      <c r="H45" s="2"/>
      <c r="I45" s="2">
        <v>67.756200000000007</v>
      </c>
      <c r="J45" s="2">
        <v>145</v>
      </c>
      <c r="K45" s="2">
        <v>70.499099999999999</v>
      </c>
      <c r="L45" s="2">
        <v>49</v>
      </c>
      <c r="M45" s="2">
        <v>107.479</v>
      </c>
      <c r="N45" s="2">
        <v>54</v>
      </c>
      <c r="O45" s="2">
        <v>106.187</v>
      </c>
      <c r="P45" s="2">
        <v>80</v>
      </c>
      <c r="Q45" s="2">
        <v>93.784099999999995</v>
      </c>
      <c r="R45" s="2">
        <v>27</v>
      </c>
      <c r="S45" s="2">
        <v>94.892600000000002</v>
      </c>
      <c r="T45" s="2">
        <v>39</v>
      </c>
      <c r="U45" s="2">
        <v>0.78469500000000003</v>
      </c>
      <c r="V45" s="2">
        <v>44</v>
      </c>
      <c r="W45" s="2">
        <v>2005</v>
      </c>
    </row>
    <row r="46" spans="1:23" ht="12.3" x14ac:dyDescent="0.4">
      <c r="A46" s="2" t="s">
        <v>204</v>
      </c>
      <c r="B46" s="2"/>
      <c r="C46" s="2"/>
      <c r="D46" s="2"/>
      <c r="E46" s="2"/>
      <c r="F46" s="2"/>
      <c r="G46" s="2"/>
      <c r="H46" s="2"/>
      <c r="I46" s="2">
        <v>55.540100000000002</v>
      </c>
      <c r="J46" s="2">
        <v>329</v>
      </c>
      <c r="K46" s="2">
        <v>55.778599999999997</v>
      </c>
      <c r="L46" s="2">
        <v>329</v>
      </c>
      <c r="M46" s="2">
        <v>109.9255</v>
      </c>
      <c r="N46" s="2">
        <v>33</v>
      </c>
      <c r="O46" s="2">
        <v>109.2276</v>
      </c>
      <c r="P46" s="2">
        <v>46</v>
      </c>
      <c r="Q46" s="2">
        <v>98.4024</v>
      </c>
      <c r="R46" s="2">
        <v>92</v>
      </c>
      <c r="S46" s="2">
        <v>97.639499999999998</v>
      </c>
      <c r="T46" s="2">
        <v>79</v>
      </c>
      <c r="U46" s="2">
        <v>0.78410299999999999</v>
      </c>
      <c r="V46" s="2">
        <v>45</v>
      </c>
      <c r="W46" s="2">
        <v>2005</v>
      </c>
    </row>
    <row r="47" spans="1:23" ht="12.3" x14ac:dyDescent="0.4">
      <c r="A47" s="2" t="s">
        <v>220</v>
      </c>
      <c r="B47" s="2">
        <v>13</v>
      </c>
      <c r="C47" s="3" t="s">
        <v>33</v>
      </c>
      <c r="D47" s="2"/>
      <c r="E47" s="2"/>
      <c r="F47" s="2"/>
      <c r="G47" s="2"/>
      <c r="H47" s="2"/>
      <c r="I47" s="2">
        <v>65.540000000000006</v>
      </c>
      <c r="J47" s="2">
        <v>234</v>
      </c>
      <c r="K47" s="2">
        <v>66.011499999999998</v>
      </c>
      <c r="L47" s="2">
        <v>219</v>
      </c>
      <c r="M47" s="2">
        <v>111.00109999999999</v>
      </c>
      <c r="N47" s="2">
        <v>27</v>
      </c>
      <c r="O47" s="2">
        <v>111.3507</v>
      </c>
      <c r="P47" s="2">
        <v>30</v>
      </c>
      <c r="Q47" s="2">
        <v>94.387699999999995</v>
      </c>
      <c r="R47" s="2">
        <v>33</v>
      </c>
      <c r="S47" s="2">
        <v>99.552300000000002</v>
      </c>
      <c r="T47" s="2">
        <v>118</v>
      </c>
      <c r="U47" s="2">
        <v>0.78381100000000004</v>
      </c>
      <c r="V47" s="2">
        <v>46</v>
      </c>
      <c r="W47" s="2">
        <v>2005</v>
      </c>
    </row>
    <row r="48" spans="1:23" ht="12.3" x14ac:dyDescent="0.4">
      <c r="A48" s="2" t="s">
        <v>91</v>
      </c>
      <c r="B48" s="2"/>
      <c r="C48" s="2"/>
      <c r="D48" s="2"/>
      <c r="E48" s="2"/>
      <c r="F48" s="2"/>
      <c r="G48" s="2"/>
      <c r="H48" s="2"/>
      <c r="I48" s="2">
        <v>62.563699999999997</v>
      </c>
      <c r="J48" s="2">
        <v>306</v>
      </c>
      <c r="K48" s="2">
        <v>63.1751</v>
      </c>
      <c r="L48" s="2">
        <v>299</v>
      </c>
      <c r="M48" s="2">
        <v>103.52379999999999</v>
      </c>
      <c r="N48" s="2">
        <v>122</v>
      </c>
      <c r="O48" s="2">
        <v>105.9088</v>
      </c>
      <c r="P48" s="2">
        <v>87</v>
      </c>
      <c r="Q48" s="2">
        <v>95.068200000000004</v>
      </c>
      <c r="R48" s="2">
        <v>38</v>
      </c>
      <c r="S48" s="2">
        <v>94.984999999999999</v>
      </c>
      <c r="T48" s="2">
        <v>40</v>
      </c>
      <c r="U48" s="2">
        <v>0.77762600000000004</v>
      </c>
      <c r="V48" s="2">
        <v>47</v>
      </c>
      <c r="W48" s="2">
        <v>2005</v>
      </c>
    </row>
    <row r="49" spans="1:23" ht="12.3" x14ac:dyDescent="0.4">
      <c r="A49" s="2" t="s">
        <v>145</v>
      </c>
      <c r="B49" s="2">
        <v>9</v>
      </c>
      <c r="C49" s="3" t="s">
        <v>33</v>
      </c>
      <c r="D49" s="2"/>
      <c r="E49" s="2"/>
      <c r="F49" s="2"/>
      <c r="G49" s="2"/>
      <c r="H49" s="2"/>
      <c r="I49" s="2">
        <v>67.555000000000007</v>
      </c>
      <c r="J49" s="2">
        <v>150</v>
      </c>
      <c r="K49" s="2">
        <v>66.902000000000001</v>
      </c>
      <c r="L49" s="2">
        <v>178</v>
      </c>
      <c r="M49" s="2">
        <v>102.86669999999999</v>
      </c>
      <c r="N49" s="2">
        <v>130</v>
      </c>
      <c r="O49" s="2">
        <v>102.25109999999999</v>
      </c>
      <c r="P49" s="2">
        <v>145</v>
      </c>
      <c r="Q49" s="2">
        <v>92.198999999999998</v>
      </c>
      <c r="R49" s="2">
        <v>14</v>
      </c>
      <c r="S49" s="2">
        <v>91.863500000000002</v>
      </c>
      <c r="T49" s="2">
        <v>12</v>
      </c>
      <c r="U49" s="2">
        <v>0.77416499999999999</v>
      </c>
      <c r="V49" s="2">
        <v>48</v>
      </c>
      <c r="W49" s="2">
        <v>2005</v>
      </c>
    </row>
    <row r="50" spans="1:23" ht="12.3" x14ac:dyDescent="0.4">
      <c r="A50" s="2" t="s">
        <v>52</v>
      </c>
      <c r="B50" s="2">
        <v>8</v>
      </c>
      <c r="C50" s="2"/>
      <c r="D50" s="2"/>
      <c r="E50" s="2"/>
      <c r="F50" s="2"/>
      <c r="G50" s="2"/>
      <c r="H50" s="2"/>
      <c r="I50" s="2">
        <v>68.920400000000001</v>
      </c>
      <c r="J50" s="2">
        <v>109</v>
      </c>
      <c r="K50" s="2">
        <v>68.0227</v>
      </c>
      <c r="L50" s="2">
        <v>123</v>
      </c>
      <c r="M50" s="2">
        <v>101.0188</v>
      </c>
      <c r="N50" s="2">
        <v>179</v>
      </c>
      <c r="O50" s="2">
        <v>104.6802</v>
      </c>
      <c r="P50" s="2">
        <v>106</v>
      </c>
      <c r="Q50" s="2">
        <v>98.339699999999993</v>
      </c>
      <c r="R50" s="2">
        <v>89</v>
      </c>
      <c r="S50" s="2">
        <v>94.071799999999996</v>
      </c>
      <c r="T50" s="2">
        <v>31</v>
      </c>
      <c r="U50" s="2">
        <v>0.77360600000000002</v>
      </c>
      <c r="V50" s="2">
        <v>49</v>
      </c>
      <c r="W50" s="2">
        <v>2005</v>
      </c>
    </row>
    <row r="51" spans="1:23" ht="12.3" x14ac:dyDescent="0.4">
      <c r="A51" s="2" t="s">
        <v>216</v>
      </c>
      <c r="B51" s="2">
        <v>11</v>
      </c>
      <c r="C51" s="2"/>
      <c r="D51" s="2"/>
      <c r="E51" s="2"/>
      <c r="F51" s="2"/>
      <c r="G51" s="2"/>
      <c r="H51" s="2"/>
      <c r="I51" s="2">
        <v>65.729299999999995</v>
      </c>
      <c r="J51" s="2">
        <v>223</v>
      </c>
      <c r="K51" s="2">
        <v>66.128200000000007</v>
      </c>
      <c r="L51" s="2">
        <v>214</v>
      </c>
      <c r="M51" s="2">
        <v>109.6499</v>
      </c>
      <c r="N51" s="2">
        <v>37</v>
      </c>
      <c r="O51" s="2">
        <v>109.6448</v>
      </c>
      <c r="P51" s="2">
        <v>41</v>
      </c>
      <c r="Q51" s="2">
        <v>100.8051</v>
      </c>
      <c r="R51" s="2">
        <v>149</v>
      </c>
      <c r="S51" s="2">
        <v>98.655699999999996</v>
      </c>
      <c r="T51" s="2">
        <v>95</v>
      </c>
      <c r="U51" s="2">
        <v>0.771096</v>
      </c>
      <c r="V51" s="2">
        <v>50</v>
      </c>
      <c r="W51" s="2">
        <v>2005</v>
      </c>
    </row>
    <row r="52" spans="1:23" ht="12.3" x14ac:dyDescent="0.4">
      <c r="A52" s="2" t="s">
        <v>56</v>
      </c>
      <c r="B52" s="2"/>
      <c r="C52" s="2"/>
      <c r="D52" s="2"/>
      <c r="E52" s="2"/>
      <c r="F52" s="2"/>
      <c r="G52" s="2"/>
      <c r="H52" s="2"/>
      <c r="I52" s="2">
        <v>63.512099999999997</v>
      </c>
      <c r="J52" s="2">
        <v>290</v>
      </c>
      <c r="K52" s="2">
        <v>65.189099999999996</v>
      </c>
      <c r="L52" s="2">
        <v>246</v>
      </c>
      <c r="M52" s="2">
        <v>105.56</v>
      </c>
      <c r="N52" s="2">
        <v>76</v>
      </c>
      <c r="O52" s="2">
        <v>108.2277</v>
      </c>
      <c r="P52" s="2">
        <v>55</v>
      </c>
      <c r="Q52" s="2">
        <v>99.775800000000004</v>
      </c>
      <c r="R52" s="2">
        <v>123</v>
      </c>
      <c r="S52" s="2">
        <v>97.386799999999994</v>
      </c>
      <c r="T52" s="2">
        <v>75</v>
      </c>
      <c r="U52" s="2">
        <v>0.77096799999999999</v>
      </c>
      <c r="V52" s="2">
        <v>51</v>
      </c>
      <c r="W52" s="2">
        <v>2005</v>
      </c>
    </row>
    <row r="53" spans="1:23" ht="12.3" x14ac:dyDescent="0.4">
      <c r="A53" s="2" t="s">
        <v>63</v>
      </c>
      <c r="B53" s="2">
        <v>7</v>
      </c>
      <c r="C53" s="2"/>
      <c r="D53" s="2"/>
      <c r="E53" s="2"/>
      <c r="F53" s="2"/>
      <c r="G53" s="2"/>
      <c r="H53" s="2"/>
      <c r="I53" s="2">
        <v>70.814099999999996</v>
      </c>
      <c r="J53" s="2">
        <v>49</v>
      </c>
      <c r="K53" s="2">
        <v>71.375200000000007</v>
      </c>
      <c r="L53" s="2">
        <v>36</v>
      </c>
      <c r="M53" s="2">
        <v>108.7615</v>
      </c>
      <c r="N53" s="2">
        <v>47</v>
      </c>
      <c r="O53" s="2">
        <v>111.2419</v>
      </c>
      <c r="P53" s="2">
        <v>32</v>
      </c>
      <c r="Q53" s="2">
        <v>99.874700000000004</v>
      </c>
      <c r="R53" s="2">
        <v>125</v>
      </c>
      <c r="S53" s="2">
        <v>100.18129999999999</v>
      </c>
      <c r="T53" s="2">
        <v>133</v>
      </c>
      <c r="U53" s="2">
        <v>0.76929700000000001</v>
      </c>
      <c r="V53" s="2">
        <v>52</v>
      </c>
      <c r="W53" s="2">
        <v>2005</v>
      </c>
    </row>
    <row r="54" spans="1:23" ht="12.3" x14ac:dyDescent="0.4">
      <c r="A54" s="2" t="s">
        <v>24</v>
      </c>
      <c r="B54" s="2"/>
      <c r="C54" s="2"/>
      <c r="D54" s="2"/>
      <c r="E54" s="2"/>
      <c r="F54" s="2"/>
      <c r="G54" s="2"/>
      <c r="H54" s="2"/>
      <c r="I54" s="2">
        <v>72.089399999999998</v>
      </c>
      <c r="J54" s="2">
        <v>29</v>
      </c>
      <c r="K54" s="2">
        <v>70.557500000000005</v>
      </c>
      <c r="L54" s="2">
        <v>47</v>
      </c>
      <c r="M54" s="2">
        <v>98.992800000000003</v>
      </c>
      <c r="N54" s="2">
        <v>216</v>
      </c>
      <c r="O54" s="2">
        <v>104.10169999999999</v>
      </c>
      <c r="P54" s="2">
        <v>111</v>
      </c>
      <c r="Q54" s="2">
        <v>95.347099999999998</v>
      </c>
      <c r="R54" s="2">
        <v>40</v>
      </c>
      <c r="S54" s="2">
        <v>93.872</v>
      </c>
      <c r="T54" s="2">
        <v>29</v>
      </c>
      <c r="U54" s="2">
        <v>0.766656</v>
      </c>
      <c r="V54" s="2">
        <v>53</v>
      </c>
      <c r="W54" s="2">
        <v>2005</v>
      </c>
    </row>
    <row r="55" spans="1:23" ht="12.3" x14ac:dyDescent="0.4">
      <c r="A55" s="2" t="s">
        <v>40</v>
      </c>
      <c r="B55" s="2"/>
      <c r="C55" s="2"/>
      <c r="D55" s="2"/>
      <c r="E55" s="2"/>
      <c r="F55" s="2"/>
      <c r="G55" s="2"/>
      <c r="H55" s="2"/>
      <c r="I55" s="2">
        <v>62.069299999999998</v>
      </c>
      <c r="J55" s="2">
        <v>311</v>
      </c>
      <c r="K55" s="2">
        <v>62.311399999999999</v>
      </c>
      <c r="L55" s="2">
        <v>310</v>
      </c>
      <c r="M55" s="2">
        <v>102.02200000000001</v>
      </c>
      <c r="N55" s="2">
        <v>146</v>
      </c>
      <c r="O55" s="2">
        <v>109.1936</v>
      </c>
      <c r="P55" s="2">
        <v>47</v>
      </c>
      <c r="Q55" s="2">
        <v>101.2771</v>
      </c>
      <c r="R55" s="2">
        <v>162</v>
      </c>
      <c r="S55" s="2">
        <v>98.520600000000002</v>
      </c>
      <c r="T55" s="2">
        <v>94</v>
      </c>
      <c r="U55" s="2">
        <v>0.76546099999999995</v>
      </c>
      <c r="V55" s="2">
        <v>54</v>
      </c>
      <c r="W55" s="2">
        <v>2005</v>
      </c>
    </row>
    <row r="56" spans="1:23" ht="12.3" x14ac:dyDescent="0.4">
      <c r="A56" s="2" t="s">
        <v>17</v>
      </c>
      <c r="B56" s="2"/>
      <c r="C56" s="2"/>
      <c r="D56" s="2"/>
      <c r="E56" s="2"/>
      <c r="F56" s="2"/>
      <c r="G56" s="2"/>
      <c r="H56" s="2"/>
      <c r="I56" s="2">
        <v>64.313500000000005</v>
      </c>
      <c r="J56" s="2">
        <v>273</v>
      </c>
      <c r="K56" s="2">
        <v>64.851600000000005</v>
      </c>
      <c r="L56" s="2">
        <v>258</v>
      </c>
      <c r="M56" s="2">
        <v>104.8886</v>
      </c>
      <c r="N56" s="2">
        <v>91</v>
      </c>
      <c r="O56" s="2">
        <v>108.0988</v>
      </c>
      <c r="P56" s="2">
        <v>57</v>
      </c>
      <c r="Q56" s="2">
        <v>99.569400000000002</v>
      </c>
      <c r="R56" s="2">
        <v>119</v>
      </c>
      <c r="S56" s="2">
        <v>97.5715</v>
      </c>
      <c r="T56" s="2">
        <v>77</v>
      </c>
      <c r="U56" s="2">
        <v>0.76464100000000002</v>
      </c>
      <c r="V56" s="2">
        <v>55</v>
      </c>
      <c r="W56" s="2">
        <v>2005</v>
      </c>
    </row>
    <row r="57" spans="1:23" ht="12.3" x14ac:dyDescent="0.4">
      <c r="A57" s="2" t="s">
        <v>192</v>
      </c>
      <c r="B57" s="2"/>
      <c r="C57" s="2"/>
      <c r="D57" s="2"/>
      <c r="E57" s="2"/>
      <c r="F57" s="2"/>
      <c r="G57" s="2"/>
      <c r="H57" s="2"/>
      <c r="I57" s="2">
        <v>65.139700000000005</v>
      </c>
      <c r="J57" s="2">
        <v>253</v>
      </c>
      <c r="K57" s="2">
        <v>64.972399999999993</v>
      </c>
      <c r="L57" s="2">
        <v>254</v>
      </c>
      <c r="M57" s="2">
        <v>109.6396</v>
      </c>
      <c r="N57" s="2">
        <v>38</v>
      </c>
      <c r="O57" s="2">
        <v>110.648</v>
      </c>
      <c r="P57" s="2">
        <v>36</v>
      </c>
      <c r="Q57" s="2">
        <v>101.8905</v>
      </c>
      <c r="R57" s="2">
        <v>181</v>
      </c>
      <c r="S57" s="2">
        <v>99.9482</v>
      </c>
      <c r="T57" s="2">
        <v>127</v>
      </c>
      <c r="U57" s="2">
        <v>0.76306700000000005</v>
      </c>
      <c r="V57" s="2">
        <v>56</v>
      </c>
      <c r="W57" s="2">
        <v>2005</v>
      </c>
    </row>
    <row r="58" spans="1:23" ht="12.3" x14ac:dyDescent="0.4">
      <c r="A58" s="2" t="s">
        <v>128</v>
      </c>
      <c r="B58" s="2">
        <v>11</v>
      </c>
      <c r="C58" s="3" t="s">
        <v>33</v>
      </c>
      <c r="D58" s="2"/>
      <c r="E58" s="2"/>
      <c r="F58" s="2"/>
      <c r="G58" s="2"/>
      <c r="H58" s="2"/>
      <c r="I58" s="2">
        <v>72.225800000000007</v>
      </c>
      <c r="J58" s="2">
        <v>27</v>
      </c>
      <c r="K58" s="2">
        <v>71.380099999999999</v>
      </c>
      <c r="L58" s="2">
        <v>35</v>
      </c>
      <c r="M58" s="2">
        <v>107.0809</v>
      </c>
      <c r="N58" s="2">
        <v>58</v>
      </c>
      <c r="O58" s="2">
        <v>108.0639</v>
      </c>
      <c r="P58" s="2">
        <v>59</v>
      </c>
      <c r="Q58" s="2">
        <v>98.575000000000003</v>
      </c>
      <c r="R58" s="2">
        <v>95</v>
      </c>
      <c r="S58" s="2">
        <v>97.668999999999997</v>
      </c>
      <c r="T58" s="2">
        <v>80</v>
      </c>
      <c r="U58" s="2">
        <v>0.76189499999999999</v>
      </c>
      <c r="V58" s="2">
        <v>57</v>
      </c>
      <c r="W58" s="2">
        <v>2005</v>
      </c>
    </row>
    <row r="59" spans="1:23" ht="12.3" x14ac:dyDescent="0.4">
      <c r="A59" s="2" t="s">
        <v>120</v>
      </c>
      <c r="B59" s="2"/>
      <c r="C59" s="2"/>
      <c r="D59" s="2"/>
      <c r="E59" s="2"/>
      <c r="F59" s="2"/>
      <c r="G59" s="2"/>
      <c r="H59" s="2"/>
      <c r="I59" s="2">
        <v>69.180199999999999</v>
      </c>
      <c r="J59" s="2">
        <v>96</v>
      </c>
      <c r="K59" s="2">
        <v>69.981899999999996</v>
      </c>
      <c r="L59" s="2">
        <v>61</v>
      </c>
      <c r="M59" s="2">
        <v>105.79</v>
      </c>
      <c r="N59" s="2">
        <v>69</v>
      </c>
      <c r="O59" s="2">
        <v>109.16379999999999</v>
      </c>
      <c r="P59" s="2">
        <v>48</v>
      </c>
      <c r="Q59" s="2">
        <v>104.41079999999999</v>
      </c>
      <c r="R59" s="2">
        <v>240</v>
      </c>
      <c r="S59" s="2">
        <v>98.783600000000007</v>
      </c>
      <c r="T59" s="2">
        <v>96</v>
      </c>
      <c r="U59" s="2">
        <v>0.75933799999999996</v>
      </c>
      <c r="V59" s="2">
        <v>58</v>
      </c>
      <c r="W59" s="2">
        <v>2005</v>
      </c>
    </row>
    <row r="60" spans="1:23" ht="12.3" x14ac:dyDescent="0.4">
      <c r="A60" s="2" t="s">
        <v>71</v>
      </c>
      <c r="B60" s="2"/>
      <c r="C60" s="2"/>
      <c r="D60" s="2"/>
      <c r="E60" s="2"/>
      <c r="F60" s="2"/>
      <c r="G60" s="2"/>
      <c r="H60" s="2"/>
      <c r="I60" s="2">
        <v>68.102599999999995</v>
      </c>
      <c r="J60" s="2">
        <v>132</v>
      </c>
      <c r="K60" s="2">
        <v>67.478399999999993</v>
      </c>
      <c r="L60" s="2">
        <v>150</v>
      </c>
      <c r="M60" s="2">
        <v>103.67619999999999</v>
      </c>
      <c r="N60" s="2">
        <v>117</v>
      </c>
      <c r="O60" s="2">
        <v>105.5595</v>
      </c>
      <c r="P60" s="2">
        <v>91</v>
      </c>
      <c r="Q60" s="2">
        <v>96.257099999999994</v>
      </c>
      <c r="R60" s="2">
        <v>51</v>
      </c>
      <c r="S60" s="2">
        <v>95.549499999999995</v>
      </c>
      <c r="T60" s="2">
        <v>47</v>
      </c>
      <c r="U60" s="2">
        <v>0.75873500000000005</v>
      </c>
      <c r="V60" s="2">
        <v>59</v>
      </c>
      <c r="W60" s="2">
        <v>2005</v>
      </c>
    </row>
    <row r="61" spans="1:23" ht="12.3" x14ac:dyDescent="0.4">
      <c r="A61" s="2" t="s">
        <v>77</v>
      </c>
      <c r="B61" s="2">
        <v>13</v>
      </c>
      <c r="C61" s="2"/>
      <c r="D61" s="2"/>
      <c r="E61" s="2"/>
      <c r="F61" s="2"/>
      <c r="G61" s="2"/>
      <c r="H61" s="2"/>
      <c r="I61" s="2">
        <v>67.050200000000004</v>
      </c>
      <c r="J61" s="2">
        <v>170</v>
      </c>
      <c r="K61" s="2">
        <v>68.869100000000003</v>
      </c>
      <c r="L61" s="2">
        <v>98</v>
      </c>
      <c r="M61" s="2">
        <v>101.41240000000001</v>
      </c>
      <c r="N61" s="2">
        <v>166</v>
      </c>
      <c r="O61" s="2">
        <v>100.87560000000001</v>
      </c>
      <c r="P61" s="2">
        <v>176</v>
      </c>
      <c r="Q61" s="2">
        <v>89.9084</v>
      </c>
      <c r="R61" s="2">
        <v>5</v>
      </c>
      <c r="S61" s="2">
        <v>91.325100000000006</v>
      </c>
      <c r="T61" s="2">
        <v>11</v>
      </c>
      <c r="U61" s="2">
        <v>0.75837900000000003</v>
      </c>
      <c r="V61" s="2">
        <v>60</v>
      </c>
      <c r="W61" s="2">
        <v>2005</v>
      </c>
    </row>
    <row r="62" spans="1:23" ht="12.3" x14ac:dyDescent="0.4">
      <c r="A62" s="2" t="s">
        <v>178</v>
      </c>
      <c r="B62" s="2"/>
      <c r="C62" s="2"/>
      <c r="D62" s="2"/>
      <c r="E62" s="2"/>
      <c r="F62" s="2"/>
      <c r="G62" s="2"/>
      <c r="H62" s="2"/>
      <c r="I62" s="2">
        <v>63.632100000000001</v>
      </c>
      <c r="J62" s="2">
        <v>288</v>
      </c>
      <c r="K62" s="2">
        <v>64.371099999999998</v>
      </c>
      <c r="L62" s="2">
        <v>276</v>
      </c>
      <c r="M62" s="2">
        <v>103.6798</v>
      </c>
      <c r="N62" s="2">
        <v>116</v>
      </c>
      <c r="O62" s="2">
        <v>101.4689</v>
      </c>
      <c r="P62" s="2">
        <v>159</v>
      </c>
      <c r="Q62" s="2">
        <v>86.663700000000006</v>
      </c>
      <c r="R62" s="2">
        <v>1</v>
      </c>
      <c r="S62" s="2">
        <v>91.872600000000006</v>
      </c>
      <c r="T62" s="2">
        <v>13</v>
      </c>
      <c r="U62" s="2">
        <v>0.75814199999999998</v>
      </c>
      <c r="V62" s="2">
        <v>61</v>
      </c>
      <c r="W62" s="2">
        <v>2005</v>
      </c>
    </row>
    <row r="63" spans="1:23" ht="12.3" x14ac:dyDescent="0.4">
      <c r="A63" s="2" t="s">
        <v>190</v>
      </c>
      <c r="B63" s="2">
        <v>12</v>
      </c>
      <c r="C63" s="2"/>
      <c r="D63" s="2"/>
      <c r="E63" s="2"/>
      <c r="F63" s="2"/>
      <c r="G63" s="2"/>
      <c r="H63" s="2"/>
      <c r="I63" s="2">
        <v>66.806299999999993</v>
      </c>
      <c r="J63" s="2">
        <v>179</v>
      </c>
      <c r="K63" s="2">
        <v>67.101200000000006</v>
      </c>
      <c r="L63" s="2">
        <v>168</v>
      </c>
      <c r="M63" s="2">
        <v>104.8468</v>
      </c>
      <c r="N63" s="2">
        <v>93</v>
      </c>
      <c r="O63" s="2">
        <v>102.89879999999999</v>
      </c>
      <c r="P63" s="2">
        <v>131</v>
      </c>
      <c r="Q63" s="2">
        <v>90.377399999999994</v>
      </c>
      <c r="R63" s="2">
        <v>6</v>
      </c>
      <c r="S63" s="2">
        <v>93.242599999999996</v>
      </c>
      <c r="T63" s="2">
        <v>19</v>
      </c>
      <c r="U63" s="2">
        <v>0.75643499999999997</v>
      </c>
      <c r="V63" s="2">
        <v>62</v>
      </c>
      <c r="W63" s="2">
        <v>2005</v>
      </c>
    </row>
    <row r="64" spans="1:23" ht="12.3" x14ac:dyDescent="0.4">
      <c r="A64" s="2" t="s">
        <v>65</v>
      </c>
      <c r="B64" s="2">
        <v>11</v>
      </c>
      <c r="C64" s="2"/>
      <c r="D64" s="2"/>
      <c r="E64" s="2"/>
      <c r="F64" s="2"/>
      <c r="G64" s="2"/>
      <c r="H64" s="2"/>
      <c r="I64" s="2">
        <v>70.571100000000001</v>
      </c>
      <c r="J64" s="2">
        <v>57</v>
      </c>
      <c r="K64" s="2">
        <v>70.139499999999998</v>
      </c>
      <c r="L64" s="2">
        <v>58</v>
      </c>
      <c r="M64" s="2">
        <v>103.89790000000001</v>
      </c>
      <c r="N64" s="2">
        <v>112</v>
      </c>
      <c r="O64" s="2">
        <v>106.0566</v>
      </c>
      <c r="P64" s="2">
        <v>85</v>
      </c>
      <c r="Q64" s="2">
        <v>99.9435</v>
      </c>
      <c r="R64" s="2">
        <v>129</v>
      </c>
      <c r="S64" s="2">
        <v>96.214500000000001</v>
      </c>
      <c r="T64" s="2">
        <v>57</v>
      </c>
      <c r="U64" s="2">
        <v>0.753992</v>
      </c>
      <c r="V64" s="2">
        <v>63</v>
      </c>
      <c r="W64" s="2">
        <v>2005</v>
      </c>
    </row>
    <row r="65" spans="1:23" ht="12.3" x14ac:dyDescent="0.4">
      <c r="A65" s="2" t="s">
        <v>141</v>
      </c>
      <c r="B65" s="2"/>
      <c r="C65" s="2"/>
      <c r="D65" s="2"/>
      <c r="E65" s="2"/>
      <c r="F65" s="2"/>
      <c r="G65" s="2"/>
      <c r="H65" s="2"/>
      <c r="I65" s="2">
        <v>68.249600000000001</v>
      </c>
      <c r="J65" s="2">
        <v>128</v>
      </c>
      <c r="K65" s="2">
        <v>68.775599999999997</v>
      </c>
      <c r="L65" s="2">
        <v>102</v>
      </c>
      <c r="M65" s="2">
        <v>104.96680000000001</v>
      </c>
      <c r="N65" s="2">
        <v>88</v>
      </c>
      <c r="O65" s="2">
        <v>107.03400000000001</v>
      </c>
      <c r="P65" s="2">
        <v>66</v>
      </c>
      <c r="Q65" s="2">
        <v>97.814899999999994</v>
      </c>
      <c r="R65" s="2">
        <v>76</v>
      </c>
      <c r="S65" s="2">
        <v>97.286100000000005</v>
      </c>
      <c r="T65" s="2">
        <v>74</v>
      </c>
      <c r="U65" s="2">
        <v>0.74990999999999997</v>
      </c>
      <c r="V65" s="2">
        <v>64</v>
      </c>
      <c r="W65" s="2">
        <v>2005</v>
      </c>
    </row>
    <row r="66" spans="1:23" ht="12.3" x14ac:dyDescent="0.4">
      <c r="A66" s="2" t="s">
        <v>167</v>
      </c>
      <c r="B66" s="2"/>
      <c r="C66" s="2"/>
      <c r="D66" s="2"/>
      <c r="E66" s="2"/>
      <c r="F66" s="2"/>
      <c r="G66" s="2"/>
      <c r="H66" s="2"/>
      <c r="I66" s="2">
        <v>61.477400000000003</v>
      </c>
      <c r="J66" s="2">
        <v>315</v>
      </c>
      <c r="K66" s="2">
        <v>61.731900000000003</v>
      </c>
      <c r="L66" s="2">
        <v>315</v>
      </c>
      <c r="M66" s="2">
        <v>104.3656</v>
      </c>
      <c r="N66" s="2">
        <v>105</v>
      </c>
      <c r="O66" s="2">
        <v>103.3258</v>
      </c>
      <c r="P66" s="2">
        <v>122</v>
      </c>
      <c r="Q66" s="2">
        <v>97.957899999999995</v>
      </c>
      <c r="R66" s="2">
        <v>81</v>
      </c>
      <c r="S66" s="2">
        <v>94.012600000000006</v>
      </c>
      <c r="T66" s="2">
        <v>30</v>
      </c>
      <c r="U66" s="2">
        <v>0.74767700000000004</v>
      </c>
      <c r="V66" s="2">
        <v>65</v>
      </c>
      <c r="W66" s="2">
        <v>2005</v>
      </c>
    </row>
    <row r="67" spans="1:23" ht="12.3" x14ac:dyDescent="0.4">
      <c r="A67" s="2" t="s">
        <v>207</v>
      </c>
      <c r="B67" s="2"/>
      <c r="C67" s="2"/>
      <c r="D67" s="2"/>
      <c r="E67" s="2"/>
      <c r="F67" s="2"/>
      <c r="G67" s="2"/>
      <c r="H67" s="2"/>
      <c r="I67" s="2">
        <v>63.1586</v>
      </c>
      <c r="J67" s="2">
        <v>298</v>
      </c>
      <c r="K67" s="2">
        <v>63.445500000000003</v>
      </c>
      <c r="L67" s="2">
        <v>297</v>
      </c>
      <c r="M67" s="2">
        <v>107.4611</v>
      </c>
      <c r="N67" s="2">
        <v>55</v>
      </c>
      <c r="O67" s="2">
        <v>108.63200000000001</v>
      </c>
      <c r="P67" s="2">
        <v>53</v>
      </c>
      <c r="Q67" s="2">
        <v>100.1233</v>
      </c>
      <c r="R67" s="2">
        <v>134</v>
      </c>
      <c r="S67" s="2">
        <v>98.846599999999995</v>
      </c>
      <c r="T67" s="2">
        <v>99</v>
      </c>
      <c r="U67" s="2">
        <v>0.74754600000000004</v>
      </c>
      <c r="V67" s="2">
        <v>66</v>
      </c>
      <c r="W67" s="2">
        <v>2005</v>
      </c>
    </row>
    <row r="68" spans="1:23" ht="12.3" x14ac:dyDescent="0.4">
      <c r="A68" s="2" t="s">
        <v>219</v>
      </c>
      <c r="B68" s="2">
        <v>11</v>
      </c>
      <c r="C68" s="2"/>
      <c r="D68" s="2"/>
      <c r="E68" s="2"/>
      <c r="F68" s="2"/>
      <c r="G68" s="2"/>
      <c r="H68" s="2"/>
      <c r="I68" s="2">
        <v>67.288499999999999</v>
      </c>
      <c r="J68" s="2">
        <v>163</v>
      </c>
      <c r="K68" s="2">
        <v>67.339600000000004</v>
      </c>
      <c r="L68" s="2">
        <v>159</v>
      </c>
      <c r="M68" s="2">
        <v>112.1421</v>
      </c>
      <c r="N68" s="2">
        <v>16</v>
      </c>
      <c r="O68" s="2">
        <v>111.2898</v>
      </c>
      <c r="P68" s="2">
        <v>31</v>
      </c>
      <c r="Q68" s="2">
        <v>98.731899999999996</v>
      </c>
      <c r="R68" s="2">
        <v>100</v>
      </c>
      <c r="S68" s="2">
        <v>101.36750000000001</v>
      </c>
      <c r="T68" s="2">
        <v>162</v>
      </c>
      <c r="U68" s="2">
        <v>0.74534400000000001</v>
      </c>
      <c r="V68" s="2">
        <v>67</v>
      </c>
      <c r="W68" s="2">
        <v>2005</v>
      </c>
    </row>
    <row r="69" spans="1:23" ht="12.3" x14ac:dyDescent="0.4">
      <c r="A69" s="2" t="s">
        <v>60</v>
      </c>
      <c r="B69" s="2"/>
      <c r="C69" s="2"/>
      <c r="D69" s="2"/>
      <c r="E69" s="2"/>
      <c r="F69" s="2"/>
      <c r="G69" s="2"/>
      <c r="H69" s="2"/>
      <c r="I69" s="2">
        <v>67.25</v>
      </c>
      <c r="J69" s="2">
        <v>165</v>
      </c>
      <c r="K69" s="2">
        <v>65.87</v>
      </c>
      <c r="L69" s="2">
        <v>228</v>
      </c>
      <c r="M69" s="2">
        <v>105.7139</v>
      </c>
      <c r="N69" s="2">
        <v>71</v>
      </c>
      <c r="O69" s="2">
        <v>108.795</v>
      </c>
      <c r="P69" s="2">
        <v>51</v>
      </c>
      <c r="Q69" s="2">
        <v>102.53019999999999</v>
      </c>
      <c r="R69" s="2">
        <v>202</v>
      </c>
      <c r="S69" s="2">
        <v>99.133300000000006</v>
      </c>
      <c r="T69" s="2">
        <v>109</v>
      </c>
      <c r="U69" s="2">
        <v>0.744502</v>
      </c>
      <c r="V69" s="2">
        <v>68</v>
      </c>
      <c r="W69" s="2">
        <v>2005</v>
      </c>
    </row>
    <row r="70" spans="1:23" ht="12.3" x14ac:dyDescent="0.4">
      <c r="A70" s="2" t="s">
        <v>117</v>
      </c>
      <c r="B70" s="2">
        <v>13</v>
      </c>
      <c r="C70" s="2"/>
      <c r="D70" s="2"/>
      <c r="E70" s="2"/>
      <c r="F70" s="2"/>
      <c r="G70" s="2"/>
      <c r="H70" s="2"/>
      <c r="I70" s="2">
        <v>69.137</v>
      </c>
      <c r="J70" s="2">
        <v>99</v>
      </c>
      <c r="K70" s="2">
        <v>68.635300000000001</v>
      </c>
      <c r="L70" s="2">
        <v>112</v>
      </c>
      <c r="M70" s="2">
        <v>104.2163</v>
      </c>
      <c r="N70" s="2">
        <v>107</v>
      </c>
      <c r="O70" s="2">
        <v>106.22069999999999</v>
      </c>
      <c r="P70" s="2">
        <v>78</v>
      </c>
      <c r="Q70" s="2">
        <v>97.942700000000002</v>
      </c>
      <c r="R70" s="2">
        <v>79</v>
      </c>
      <c r="S70" s="2">
        <v>96.808499999999995</v>
      </c>
      <c r="T70" s="2">
        <v>68</v>
      </c>
      <c r="U70" s="2">
        <v>0.74402900000000005</v>
      </c>
      <c r="V70" s="2">
        <v>69</v>
      </c>
      <c r="W70" s="2">
        <v>2005</v>
      </c>
    </row>
    <row r="71" spans="1:23" ht="12.3" x14ac:dyDescent="0.4">
      <c r="A71" s="2" t="s">
        <v>62</v>
      </c>
      <c r="B71" s="2"/>
      <c r="C71" s="2"/>
      <c r="D71" s="2"/>
      <c r="E71" s="2"/>
      <c r="F71" s="2"/>
      <c r="G71" s="2"/>
      <c r="H71" s="2"/>
      <c r="I71" s="2">
        <v>60.053100000000001</v>
      </c>
      <c r="J71" s="2">
        <v>326</v>
      </c>
      <c r="K71" s="2">
        <v>60.062899999999999</v>
      </c>
      <c r="L71" s="2">
        <v>324</v>
      </c>
      <c r="M71" s="2">
        <v>106.1827</v>
      </c>
      <c r="N71" s="2">
        <v>64</v>
      </c>
      <c r="O71" s="2">
        <v>110.36920000000001</v>
      </c>
      <c r="P71" s="2">
        <v>38</v>
      </c>
      <c r="Q71" s="2">
        <v>102.0395</v>
      </c>
      <c r="R71" s="2">
        <v>186</v>
      </c>
      <c r="S71" s="2">
        <v>100.5972</v>
      </c>
      <c r="T71" s="2">
        <v>140</v>
      </c>
      <c r="U71" s="2">
        <v>0.74385999999999997</v>
      </c>
      <c r="V71" s="2">
        <v>70</v>
      </c>
      <c r="W71" s="2">
        <v>2005</v>
      </c>
    </row>
    <row r="72" spans="1:23" ht="12.3" x14ac:dyDescent="0.4">
      <c r="A72" s="2" t="s">
        <v>213</v>
      </c>
      <c r="B72" s="2"/>
      <c r="C72" s="2"/>
      <c r="D72" s="2"/>
      <c r="E72" s="2"/>
      <c r="F72" s="2"/>
      <c r="G72" s="2"/>
      <c r="H72" s="2"/>
      <c r="I72" s="2">
        <v>69.456800000000001</v>
      </c>
      <c r="J72" s="2">
        <v>91</v>
      </c>
      <c r="K72" s="2">
        <v>69.739500000000007</v>
      </c>
      <c r="L72" s="2">
        <v>72</v>
      </c>
      <c r="M72" s="2">
        <v>105.4987</v>
      </c>
      <c r="N72" s="2">
        <v>78</v>
      </c>
      <c r="O72" s="2">
        <v>106.1306</v>
      </c>
      <c r="P72" s="2">
        <v>83</v>
      </c>
      <c r="Q72" s="2">
        <v>99.736099999999993</v>
      </c>
      <c r="R72" s="2">
        <v>122</v>
      </c>
      <c r="S72" s="2">
        <v>96.853300000000004</v>
      </c>
      <c r="T72" s="2">
        <v>69</v>
      </c>
      <c r="U72" s="2">
        <v>0.741147</v>
      </c>
      <c r="V72" s="2">
        <v>71</v>
      </c>
      <c r="W72" s="2">
        <v>2005</v>
      </c>
    </row>
    <row r="73" spans="1:23" ht="12.3" x14ac:dyDescent="0.4">
      <c r="A73" s="2" t="s">
        <v>99</v>
      </c>
      <c r="B73" s="2"/>
      <c r="C73" s="2"/>
      <c r="D73" s="2"/>
      <c r="E73" s="2"/>
      <c r="F73" s="2"/>
      <c r="G73" s="2"/>
      <c r="H73" s="2"/>
      <c r="I73" s="2">
        <v>70.424999999999997</v>
      </c>
      <c r="J73" s="2">
        <v>62</v>
      </c>
      <c r="K73" s="2">
        <v>69.391300000000001</v>
      </c>
      <c r="L73" s="2">
        <v>82</v>
      </c>
      <c r="M73" s="2">
        <v>107.4182</v>
      </c>
      <c r="N73" s="2">
        <v>56</v>
      </c>
      <c r="O73" s="2">
        <v>109.5077</v>
      </c>
      <c r="P73" s="2">
        <v>43</v>
      </c>
      <c r="Q73" s="2">
        <v>101.02889999999999</v>
      </c>
      <c r="R73" s="2">
        <v>152</v>
      </c>
      <c r="S73" s="2">
        <v>99.994900000000001</v>
      </c>
      <c r="T73" s="2">
        <v>128</v>
      </c>
      <c r="U73" s="2">
        <v>0.73982599999999998</v>
      </c>
      <c r="V73" s="2">
        <v>72</v>
      </c>
      <c r="W73" s="2">
        <v>2005</v>
      </c>
    </row>
    <row r="74" spans="1:23" ht="12.3" x14ac:dyDescent="0.4">
      <c r="A74" s="2" t="s">
        <v>148</v>
      </c>
      <c r="B74" s="2"/>
      <c r="C74" s="2"/>
      <c r="D74" s="2"/>
      <c r="E74" s="2"/>
      <c r="F74" s="2"/>
      <c r="G74" s="2"/>
      <c r="H74" s="2"/>
      <c r="I74" s="2">
        <v>64.677000000000007</v>
      </c>
      <c r="J74" s="2">
        <v>264</v>
      </c>
      <c r="K74" s="2">
        <v>64.709400000000002</v>
      </c>
      <c r="L74" s="2">
        <v>263</v>
      </c>
      <c r="M74" s="2">
        <v>104.68300000000001</v>
      </c>
      <c r="N74" s="2">
        <v>99</v>
      </c>
      <c r="O74" s="2">
        <v>108.04989999999999</v>
      </c>
      <c r="P74" s="2">
        <v>60</v>
      </c>
      <c r="Q74" s="2">
        <v>101.3665</v>
      </c>
      <c r="R74" s="2">
        <v>164</v>
      </c>
      <c r="S74" s="2">
        <v>98.878200000000007</v>
      </c>
      <c r="T74" s="2">
        <v>102</v>
      </c>
      <c r="U74" s="2">
        <v>0.73499300000000001</v>
      </c>
      <c r="V74" s="2">
        <v>73</v>
      </c>
      <c r="W74" s="2">
        <v>2005</v>
      </c>
    </row>
    <row r="75" spans="1:23" ht="12.3" x14ac:dyDescent="0.4">
      <c r="A75" s="2" t="s">
        <v>239</v>
      </c>
      <c r="B75" s="2"/>
      <c r="C75" s="2"/>
      <c r="D75" s="2"/>
      <c r="E75" s="2"/>
      <c r="F75" s="2"/>
      <c r="G75" s="2"/>
      <c r="H75" s="2"/>
      <c r="I75" s="2">
        <v>61.008899999999997</v>
      </c>
      <c r="J75" s="2">
        <v>321</v>
      </c>
      <c r="K75" s="2">
        <v>59.430399999999999</v>
      </c>
      <c r="L75" s="2">
        <v>326</v>
      </c>
      <c r="M75" s="2">
        <v>89.831999999999994</v>
      </c>
      <c r="N75" s="2">
        <v>318</v>
      </c>
      <c r="O75" s="2">
        <v>94.796800000000005</v>
      </c>
      <c r="P75" s="2">
        <v>270</v>
      </c>
      <c r="Q75" s="2">
        <v>91.046000000000006</v>
      </c>
      <c r="R75" s="2">
        <v>7</v>
      </c>
      <c r="S75" s="2">
        <v>86.921800000000005</v>
      </c>
      <c r="T75" s="2">
        <v>1</v>
      </c>
      <c r="U75" s="2">
        <v>0.73053999999999997</v>
      </c>
      <c r="V75" s="2">
        <v>74</v>
      </c>
      <c r="W75" s="2">
        <v>2005</v>
      </c>
    </row>
    <row r="76" spans="1:23" ht="12.3" x14ac:dyDescent="0.4">
      <c r="A76" s="2" t="s">
        <v>80</v>
      </c>
      <c r="B76" s="2"/>
      <c r="C76" s="2"/>
      <c r="D76" s="2"/>
      <c r="E76" s="2"/>
      <c r="F76" s="2"/>
      <c r="G76" s="2"/>
      <c r="H76" s="2"/>
      <c r="I76" s="2">
        <v>67.4602</v>
      </c>
      <c r="J76" s="2">
        <v>155</v>
      </c>
      <c r="K76" s="2">
        <v>66.810100000000006</v>
      </c>
      <c r="L76" s="2">
        <v>183</v>
      </c>
      <c r="M76" s="2">
        <v>105.217</v>
      </c>
      <c r="N76" s="2">
        <v>84</v>
      </c>
      <c r="O76" s="2">
        <v>103.0446</v>
      </c>
      <c r="P76" s="2">
        <v>127</v>
      </c>
      <c r="Q76" s="2">
        <v>93.547200000000004</v>
      </c>
      <c r="R76" s="2">
        <v>24</v>
      </c>
      <c r="S76" s="2">
        <v>94.656099999999995</v>
      </c>
      <c r="T76" s="2">
        <v>35</v>
      </c>
      <c r="U76" s="2">
        <v>0.72641100000000003</v>
      </c>
      <c r="V76" s="2">
        <v>75</v>
      </c>
      <c r="W76" s="2">
        <v>2005</v>
      </c>
    </row>
    <row r="77" spans="1:23" ht="12.3" x14ac:dyDescent="0.4">
      <c r="A77" s="2" t="s">
        <v>138</v>
      </c>
      <c r="B77" s="2"/>
      <c r="C77" s="2"/>
      <c r="D77" s="2"/>
      <c r="E77" s="2"/>
      <c r="F77" s="2"/>
      <c r="G77" s="2"/>
      <c r="H77" s="2"/>
      <c r="I77" s="2">
        <v>69.610500000000002</v>
      </c>
      <c r="J77" s="2">
        <v>88</v>
      </c>
      <c r="K77" s="2">
        <v>70.784099999999995</v>
      </c>
      <c r="L77" s="2">
        <v>44</v>
      </c>
      <c r="M77" s="2">
        <v>110.1768</v>
      </c>
      <c r="N77" s="2">
        <v>31</v>
      </c>
      <c r="O77" s="2">
        <v>105.5568</v>
      </c>
      <c r="P77" s="2">
        <v>92</v>
      </c>
      <c r="Q77" s="2">
        <v>96.549599999999998</v>
      </c>
      <c r="R77" s="2">
        <v>54</v>
      </c>
      <c r="S77" s="2">
        <v>96.977000000000004</v>
      </c>
      <c r="T77" s="2">
        <v>70</v>
      </c>
      <c r="U77" s="2">
        <v>0.72609800000000002</v>
      </c>
      <c r="V77" s="2">
        <v>76</v>
      </c>
      <c r="W77" s="2">
        <v>2005</v>
      </c>
    </row>
    <row r="78" spans="1:23" ht="12.3" x14ac:dyDescent="0.4">
      <c r="A78" s="2" t="s">
        <v>262</v>
      </c>
      <c r="B78" s="2">
        <v>10</v>
      </c>
      <c r="C78" s="2"/>
      <c r="D78" s="2"/>
      <c r="E78" s="2"/>
      <c r="F78" s="2"/>
      <c r="G78" s="2"/>
      <c r="H78" s="2"/>
      <c r="I78" s="2">
        <v>66.445700000000002</v>
      </c>
      <c r="J78" s="2">
        <v>195</v>
      </c>
      <c r="K78" s="2">
        <v>65.7821</v>
      </c>
      <c r="L78" s="2">
        <v>230</v>
      </c>
      <c r="M78" s="2">
        <v>104.2514</v>
      </c>
      <c r="N78" s="2">
        <v>106</v>
      </c>
      <c r="O78" s="2">
        <v>105.6669</v>
      </c>
      <c r="P78" s="2">
        <v>90</v>
      </c>
      <c r="Q78" s="2">
        <v>97.331999999999994</v>
      </c>
      <c r="R78" s="2">
        <v>63</v>
      </c>
      <c r="S78" s="2">
        <v>97.126199999999997</v>
      </c>
      <c r="T78" s="2">
        <v>71</v>
      </c>
      <c r="U78" s="2">
        <v>0.72496499999999997</v>
      </c>
      <c r="V78" s="2">
        <v>77</v>
      </c>
      <c r="W78" s="2">
        <v>2005</v>
      </c>
    </row>
    <row r="79" spans="1:23" ht="12.3" x14ac:dyDescent="0.4">
      <c r="A79" s="2" t="s">
        <v>162</v>
      </c>
      <c r="B79" s="2"/>
      <c r="C79" s="2"/>
      <c r="D79" s="2"/>
      <c r="E79" s="2"/>
      <c r="F79" s="2"/>
      <c r="G79" s="2"/>
      <c r="H79" s="2"/>
      <c r="I79" s="2">
        <v>66.243099999999998</v>
      </c>
      <c r="J79" s="2">
        <v>202</v>
      </c>
      <c r="K79" s="2">
        <v>66.499099999999999</v>
      </c>
      <c r="L79" s="2">
        <v>197</v>
      </c>
      <c r="M79" s="2">
        <v>109.5752</v>
      </c>
      <c r="N79" s="2">
        <v>39</v>
      </c>
      <c r="O79" s="2">
        <v>110.70189999999999</v>
      </c>
      <c r="P79" s="2">
        <v>35</v>
      </c>
      <c r="Q79" s="2">
        <v>101.4473</v>
      </c>
      <c r="R79" s="2">
        <v>166</v>
      </c>
      <c r="S79" s="2">
        <v>101.85899999999999</v>
      </c>
      <c r="T79" s="2">
        <v>173</v>
      </c>
      <c r="U79" s="2">
        <v>0.72259899999999999</v>
      </c>
      <c r="V79" s="2">
        <v>78</v>
      </c>
      <c r="W79" s="2">
        <v>2005</v>
      </c>
    </row>
    <row r="80" spans="1:23" ht="12.3" x14ac:dyDescent="0.4">
      <c r="A80" s="2" t="s">
        <v>256</v>
      </c>
      <c r="B80" s="2"/>
      <c r="C80" s="2"/>
      <c r="D80" s="2"/>
      <c r="E80" s="2"/>
      <c r="F80" s="2"/>
      <c r="G80" s="2"/>
      <c r="H80" s="2"/>
      <c r="I80" s="2">
        <v>67.071299999999994</v>
      </c>
      <c r="J80" s="2">
        <v>169</v>
      </c>
      <c r="K80" s="2">
        <v>67.197400000000002</v>
      </c>
      <c r="L80" s="2">
        <v>165</v>
      </c>
      <c r="M80" s="2">
        <v>105.4443</v>
      </c>
      <c r="N80" s="2">
        <v>79</v>
      </c>
      <c r="O80" s="2">
        <v>102.5609</v>
      </c>
      <c r="P80" s="2">
        <v>139</v>
      </c>
      <c r="Q80" s="2">
        <v>97.661900000000003</v>
      </c>
      <c r="R80" s="2">
        <v>72</v>
      </c>
      <c r="S80" s="2">
        <v>94.4619</v>
      </c>
      <c r="T80" s="2">
        <v>34</v>
      </c>
      <c r="U80" s="2">
        <v>0.72030899999999998</v>
      </c>
      <c r="V80" s="2">
        <v>79</v>
      </c>
      <c r="W80" s="2">
        <v>2005</v>
      </c>
    </row>
    <row r="81" spans="1:23" ht="12.3" x14ac:dyDescent="0.4">
      <c r="A81" s="2" t="s">
        <v>81</v>
      </c>
      <c r="B81" s="2"/>
      <c r="C81" s="2"/>
      <c r="D81" s="2"/>
      <c r="E81" s="2"/>
      <c r="F81" s="2"/>
      <c r="G81" s="2"/>
      <c r="H81" s="2"/>
      <c r="I81" s="2">
        <v>66.128399999999999</v>
      </c>
      <c r="J81" s="2">
        <v>206</v>
      </c>
      <c r="K81" s="2">
        <v>66.080600000000004</v>
      </c>
      <c r="L81" s="2">
        <v>216</v>
      </c>
      <c r="M81" s="2">
        <v>104.1429</v>
      </c>
      <c r="N81" s="2">
        <v>108</v>
      </c>
      <c r="O81" s="2">
        <v>108.93470000000001</v>
      </c>
      <c r="P81" s="2">
        <v>49</v>
      </c>
      <c r="Q81" s="2">
        <v>103.8963</v>
      </c>
      <c r="R81" s="2">
        <v>227</v>
      </c>
      <c r="S81" s="2">
        <v>100.6621</v>
      </c>
      <c r="T81" s="2">
        <v>141</v>
      </c>
      <c r="U81" s="2">
        <v>0.71264400000000006</v>
      </c>
      <c r="V81" s="2">
        <v>80</v>
      </c>
      <c r="W81" s="2">
        <v>2005</v>
      </c>
    </row>
    <row r="82" spans="1:23" ht="12.3" x14ac:dyDescent="0.4">
      <c r="A82" s="2" t="s">
        <v>136</v>
      </c>
      <c r="B82" s="2"/>
      <c r="C82" s="2"/>
      <c r="D82" s="2"/>
      <c r="E82" s="2"/>
      <c r="F82" s="2"/>
      <c r="G82" s="2"/>
      <c r="H82" s="2"/>
      <c r="I82" s="2">
        <v>66.052300000000002</v>
      </c>
      <c r="J82" s="2">
        <v>212</v>
      </c>
      <c r="K82" s="2">
        <v>66.344999999999999</v>
      </c>
      <c r="L82" s="2">
        <v>204</v>
      </c>
      <c r="M82" s="2">
        <v>102.11960000000001</v>
      </c>
      <c r="N82" s="2">
        <v>142</v>
      </c>
      <c r="O82" s="2">
        <v>103.41459999999999</v>
      </c>
      <c r="P82" s="2">
        <v>121</v>
      </c>
      <c r="Q82" s="2">
        <v>96.184299999999993</v>
      </c>
      <c r="R82" s="2">
        <v>49</v>
      </c>
      <c r="S82" s="2">
        <v>95.832800000000006</v>
      </c>
      <c r="T82" s="2">
        <v>51</v>
      </c>
      <c r="U82" s="2">
        <v>0.70591400000000004</v>
      </c>
      <c r="V82" s="2">
        <v>81</v>
      </c>
      <c r="W82" s="2">
        <v>2005</v>
      </c>
    </row>
    <row r="83" spans="1:23" ht="12.3" x14ac:dyDescent="0.4">
      <c r="A83" s="2" t="s">
        <v>50</v>
      </c>
      <c r="B83" s="2"/>
      <c r="C83" s="2"/>
      <c r="D83" s="2"/>
      <c r="E83" s="2"/>
      <c r="F83" s="2"/>
      <c r="G83" s="2"/>
      <c r="H83" s="2"/>
      <c r="I83" s="2">
        <v>62.801200000000001</v>
      </c>
      <c r="J83" s="2">
        <v>302</v>
      </c>
      <c r="K83" s="2">
        <v>63.997399999999999</v>
      </c>
      <c r="L83" s="2">
        <v>287</v>
      </c>
      <c r="M83" s="2">
        <v>109.3322</v>
      </c>
      <c r="N83" s="2">
        <v>41</v>
      </c>
      <c r="O83" s="2">
        <v>109.6322</v>
      </c>
      <c r="P83" s="2">
        <v>42</v>
      </c>
      <c r="Q83" s="2">
        <v>101.4422</v>
      </c>
      <c r="R83" s="2">
        <v>165</v>
      </c>
      <c r="S83" s="2">
        <v>101.63939999999999</v>
      </c>
      <c r="T83" s="2">
        <v>167</v>
      </c>
      <c r="U83" s="2">
        <v>0.70486000000000004</v>
      </c>
      <c r="V83" s="2">
        <v>82</v>
      </c>
      <c r="W83" s="2">
        <v>2005</v>
      </c>
    </row>
    <row r="84" spans="1:23" ht="12.3" x14ac:dyDescent="0.4">
      <c r="A84" s="2" t="s">
        <v>203</v>
      </c>
      <c r="B84" s="2"/>
      <c r="C84" s="2"/>
      <c r="D84" s="2"/>
      <c r="E84" s="2"/>
      <c r="F84" s="2"/>
      <c r="G84" s="2"/>
      <c r="H84" s="2"/>
      <c r="I84" s="2">
        <v>62.388300000000001</v>
      </c>
      <c r="J84" s="2">
        <v>308</v>
      </c>
      <c r="K84" s="2">
        <v>62.580100000000002</v>
      </c>
      <c r="L84" s="2">
        <v>307</v>
      </c>
      <c r="M84" s="2">
        <v>101.87820000000001</v>
      </c>
      <c r="N84" s="2">
        <v>149</v>
      </c>
      <c r="O84" s="2">
        <v>99.3155</v>
      </c>
      <c r="P84" s="2">
        <v>205</v>
      </c>
      <c r="Q84" s="2">
        <v>88.473600000000005</v>
      </c>
      <c r="R84" s="2">
        <v>2</v>
      </c>
      <c r="S84" s="2">
        <v>92.272999999999996</v>
      </c>
      <c r="T84" s="2">
        <v>14</v>
      </c>
      <c r="U84" s="2">
        <v>0.69969000000000003</v>
      </c>
      <c r="V84" s="2">
        <v>83</v>
      </c>
      <c r="W84" s="2">
        <v>2005</v>
      </c>
    </row>
    <row r="85" spans="1:23" ht="12.3" x14ac:dyDescent="0.4">
      <c r="A85" s="2" t="s">
        <v>53</v>
      </c>
      <c r="B85" s="2"/>
      <c r="C85" s="2"/>
      <c r="D85" s="2"/>
      <c r="E85" s="2"/>
      <c r="F85" s="2"/>
      <c r="G85" s="2"/>
      <c r="H85" s="2"/>
      <c r="I85" s="2">
        <v>65.6006</v>
      </c>
      <c r="J85" s="2">
        <v>232</v>
      </c>
      <c r="K85" s="2">
        <v>66.2774</v>
      </c>
      <c r="L85" s="2">
        <v>206</v>
      </c>
      <c r="M85" s="2">
        <v>104.4953</v>
      </c>
      <c r="N85" s="2">
        <v>103</v>
      </c>
      <c r="O85" s="2">
        <v>104.5403</v>
      </c>
      <c r="P85" s="2">
        <v>109</v>
      </c>
      <c r="Q85" s="2">
        <v>99.907799999999995</v>
      </c>
      <c r="R85" s="2">
        <v>126</v>
      </c>
      <c r="S85" s="2">
        <v>97.531599999999997</v>
      </c>
      <c r="T85" s="2">
        <v>76</v>
      </c>
      <c r="U85" s="2">
        <v>0.68955900000000003</v>
      </c>
      <c r="V85" s="2">
        <v>84</v>
      </c>
      <c r="W85" s="2">
        <v>2005</v>
      </c>
    </row>
    <row r="86" spans="1:23" ht="12.3" x14ac:dyDescent="0.4">
      <c r="A86" s="2" t="s">
        <v>286</v>
      </c>
      <c r="B86" s="2"/>
      <c r="C86" s="2"/>
      <c r="D86" s="2"/>
      <c r="E86" s="2"/>
      <c r="F86" s="2"/>
      <c r="G86" s="2"/>
      <c r="H86" s="2"/>
      <c r="I86" s="2">
        <v>68.794200000000004</v>
      </c>
      <c r="J86" s="2">
        <v>112</v>
      </c>
      <c r="K86" s="2">
        <v>67.896000000000001</v>
      </c>
      <c r="L86" s="2">
        <v>130</v>
      </c>
      <c r="M86" s="2">
        <v>105.655</v>
      </c>
      <c r="N86" s="2">
        <v>74</v>
      </c>
      <c r="O86" s="2">
        <v>105.33280000000001</v>
      </c>
      <c r="P86" s="2">
        <v>96</v>
      </c>
      <c r="Q86" s="2">
        <v>97.342100000000002</v>
      </c>
      <c r="R86" s="2">
        <v>64</v>
      </c>
      <c r="S86" s="2">
        <v>98.442899999999995</v>
      </c>
      <c r="T86" s="2">
        <v>93</v>
      </c>
      <c r="U86" s="2">
        <v>0.68523800000000001</v>
      </c>
      <c r="V86" s="2">
        <v>85</v>
      </c>
      <c r="W86" s="2">
        <v>2005</v>
      </c>
    </row>
    <row r="87" spans="1:23" ht="12.3" x14ac:dyDescent="0.4">
      <c r="A87" s="2" t="s">
        <v>88</v>
      </c>
      <c r="B87" s="2"/>
      <c r="C87" s="2"/>
      <c r="D87" s="2"/>
      <c r="E87" s="2"/>
      <c r="F87" s="2"/>
      <c r="G87" s="2"/>
      <c r="H87" s="2"/>
      <c r="I87" s="2">
        <v>61.034500000000001</v>
      </c>
      <c r="J87" s="2">
        <v>320</v>
      </c>
      <c r="K87" s="2">
        <v>61.762300000000003</v>
      </c>
      <c r="L87" s="2">
        <v>314</v>
      </c>
      <c r="M87" s="2">
        <v>105.5402</v>
      </c>
      <c r="N87" s="2">
        <v>77</v>
      </c>
      <c r="O87" s="2">
        <v>106.7046</v>
      </c>
      <c r="P87" s="2">
        <v>72</v>
      </c>
      <c r="Q87" s="2">
        <v>100.65300000000001</v>
      </c>
      <c r="R87" s="2">
        <v>145</v>
      </c>
      <c r="S87" s="2">
        <v>99.745699999999999</v>
      </c>
      <c r="T87" s="2">
        <v>123</v>
      </c>
      <c r="U87" s="2">
        <v>0.68472500000000003</v>
      </c>
      <c r="V87" s="2">
        <v>86</v>
      </c>
      <c r="W87" s="2">
        <v>2005</v>
      </c>
    </row>
    <row r="88" spans="1:23" ht="12.3" x14ac:dyDescent="0.4">
      <c r="A88" s="2" t="s">
        <v>151</v>
      </c>
      <c r="B88" s="2">
        <v>13</v>
      </c>
      <c r="C88" s="2"/>
      <c r="D88" s="2"/>
      <c r="E88" s="2"/>
      <c r="F88" s="2"/>
      <c r="G88" s="2"/>
      <c r="H88" s="2"/>
      <c r="I88" s="2">
        <v>65.641999999999996</v>
      </c>
      <c r="J88" s="2">
        <v>227</v>
      </c>
      <c r="K88" s="2">
        <v>66.482900000000001</v>
      </c>
      <c r="L88" s="2">
        <v>200</v>
      </c>
      <c r="M88" s="2">
        <v>108.3516</v>
      </c>
      <c r="N88" s="2">
        <v>48</v>
      </c>
      <c r="O88" s="2">
        <v>108.6439</v>
      </c>
      <c r="P88" s="2">
        <v>52</v>
      </c>
      <c r="Q88" s="2">
        <v>102.8064</v>
      </c>
      <c r="R88" s="2">
        <v>206</v>
      </c>
      <c r="S88" s="2">
        <v>101.6448</v>
      </c>
      <c r="T88" s="2">
        <v>168</v>
      </c>
      <c r="U88" s="2">
        <v>0.682612</v>
      </c>
      <c r="V88" s="2">
        <v>87</v>
      </c>
      <c r="W88" s="2">
        <v>2005</v>
      </c>
    </row>
    <row r="89" spans="1:23" ht="12.3" x14ac:dyDescent="0.4">
      <c r="A89" s="2" t="s">
        <v>231</v>
      </c>
      <c r="B89" s="2"/>
      <c r="C89" s="2"/>
      <c r="D89" s="2"/>
      <c r="E89" s="2"/>
      <c r="F89" s="2"/>
      <c r="G89" s="2"/>
      <c r="H89" s="2"/>
      <c r="I89" s="2">
        <v>68.365200000000002</v>
      </c>
      <c r="J89" s="2">
        <v>124</v>
      </c>
      <c r="K89" s="2">
        <v>67.262500000000003</v>
      </c>
      <c r="L89" s="2">
        <v>162</v>
      </c>
      <c r="M89" s="2">
        <v>105.33929999999999</v>
      </c>
      <c r="N89" s="2">
        <v>81</v>
      </c>
      <c r="O89" s="2">
        <v>105.044</v>
      </c>
      <c r="P89" s="2">
        <v>99</v>
      </c>
      <c r="Q89" s="2">
        <v>99.507199999999997</v>
      </c>
      <c r="R89" s="2">
        <v>117</v>
      </c>
      <c r="S89" s="2">
        <v>98.316400000000002</v>
      </c>
      <c r="T89" s="2">
        <v>87</v>
      </c>
      <c r="U89" s="2">
        <v>0.68160699999999996</v>
      </c>
      <c r="V89" s="2">
        <v>88</v>
      </c>
      <c r="W89" s="2">
        <v>2005</v>
      </c>
    </row>
    <row r="90" spans="1:23" ht="12.3" x14ac:dyDescent="0.4">
      <c r="A90" s="2" t="s">
        <v>159</v>
      </c>
      <c r="B90" s="2"/>
      <c r="C90" s="2"/>
      <c r="D90" s="2"/>
      <c r="E90" s="2"/>
      <c r="F90" s="2"/>
      <c r="G90" s="2"/>
      <c r="H90" s="2"/>
      <c r="I90" s="2">
        <v>69.372799999999998</v>
      </c>
      <c r="J90" s="2">
        <v>94</v>
      </c>
      <c r="K90" s="2">
        <v>67.389399999999995</v>
      </c>
      <c r="L90" s="2">
        <v>154</v>
      </c>
      <c r="M90" s="2">
        <v>99.49</v>
      </c>
      <c r="N90" s="2">
        <v>209</v>
      </c>
      <c r="O90" s="2">
        <v>103.2003</v>
      </c>
      <c r="P90" s="2">
        <v>125</v>
      </c>
      <c r="Q90" s="2">
        <v>99.337000000000003</v>
      </c>
      <c r="R90" s="2">
        <v>113</v>
      </c>
      <c r="S90" s="2">
        <v>96.615899999999996</v>
      </c>
      <c r="T90" s="2">
        <v>64</v>
      </c>
      <c r="U90" s="2">
        <v>0.68095600000000001</v>
      </c>
      <c r="V90" s="2">
        <v>89</v>
      </c>
      <c r="W90" s="2">
        <v>2005</v>
      </c>
    </row>
    <row r="91" spans="1:23" ht="12.3" x14ac:dyDescent="0.4">
      <c r="A91" s="2" t="s">
        <v>186</v>
      </c>
      <c r="B91" s="2"/>
      <c r="C91" s="2"/>
      <c r="D91" s="2"/>
      <c r="E91" s="2"/>
      <c r="F91" s="2"/>
      <c r="G91" s="2"/>
      <c r="H91" s="2"/>
      <c r="I91" s="2">
        <v>66.856499999999997</v>
      </c>
      <c r="J91" s="2">
        <v>176</v>
      </c>
      <c r="K91" s="2">
        <v>66.704499999999996</v>
      </c>
      <c r="L91" s="2">
        <v>191</v>
      </c>
      <c r="M91" s="2">
        <v>103.5988</v>
      </c>
      <c r="N91" s="2">
        <v>120</v>
      </c>
      <c r="O91" s="2">
        <v>105.3758</v>
      </c>
      <c r="P91" s="2">
        <v>95</v>
      </c>
      <c r="Q91" s="2">
        <v>100.9</v>
      </c>
      <c r="R91" s="2">
        <v>151</v>
      </c>
      <c r="S91" s="2">
        <v>98.793099999999995</v>
      </c>
      <c r="T91" s="2">
        <v>97</v>
      </c>
      <c r="U91" s="2">
        <v>0.67739300000000002</v>
      </c>
      <c r="V91" s="2">
        <v>90</v>
      </c>
      <c r="W91" s="2">
        <v>2005</v>
      </c>
    </row>
    <row r="92" spans="1:23" ht="12.3" x14ac:dyDescent="0.4">
      <c r="A92" s="2" t="s">
        <v>243</v>
      </c>
      <c r="B92" s="2"/>
      <c r="C92" s="2"/>
      <c r="D92" s="2"/>
      <c r="E92" s="2"/>
      <c r="F92" s="2"/>
      <c r="G92" s="2"/>
      <c r="H92" s="2"/>
      <c r="I92" s="2">
        <v>67.124499999999998</v>
      </c>
      <c r="J92" s="2">
        <v>168</v>
      </c>
      <c r="K92" s="2">
        <v>67.89</v>
      </c>
      <c r="L92" s="2">
        <v>131</v>
      </c>
      <c r="M92" s="2">
        <v>107.00320000000001</v>
      </c>
      <c r="N92" s="2">
        <v>60</v>
      </c>
      <c r="O92" s="2">
        <v>106.76430000000001</v>
      </c>
      <c r="P92" s="2">
        <v>71</v>
      </c>
      <c r="Q92" s="2">
        <v>97.608900000000006</v>
      </c>
      <c r="R92" s="2">
        <v>69</v>
      </c>
      <c r="S92" s="2">
        <v>100.19450000000001</v>
      </c>
      <c r="T92" s="2">
        <v>134</v>
      </c>
      <c r="U92" s="2">
        <v>0.67488599999999999</v>
      </c>
      <c r="V92" s="2">
        <v>91</v>
      </c>
      <c r="W92" s="2">
        <v>2005</v>
      </c>
    </row>
    <row r="93" spans="1:23" ht="12.3" x14ac:dyDescent="0.4">
      <c r="A93" s="2" t="s">
        <v>130</v>
      </c>
      <c r="B93" s="2"/>
      <c r="C93" s="2"/>
      <c r="D93" s="2"/>
      <c r="E93" s="2"/>
      <c r="F93" s="2"/>
      <c r="G93" s="2"/>
      <c r="H93" s="2"/>
      <c r="I93" s="2">
        <v>69.036299999999997</v>
      </c>
      <c r="J93" s="2">
        <v>103</v>
      </c>
      <c r="K93" s="2">
        <v>67.674999999999997</v>
      </c>
      <c r="L93" s="2">
        <v>141</v>
      </c>
      <c r="M93" s="2">
        <v>101.2931</v>
      </c>
      <c r="N93" s="2">
        <v>171</v>
      </c>
      <c r="O93" s="2">
        <v>103.4692</v>
      </c>
      <c r="P93" s="2">
        <v>120</v>
      </c>
      <c r="Q93" s="2">
        <v>98.844800000000006</v>
      </c>
      <c r="R93" s="2">
        <v>104</v>
      </c>
      <c r="S93" s="2">
        <v>97.189599999999999</v>
      </c>
      <c r="T93" s="2">
        <v>72</v>
      </c>
      <c r="U93" s="2">
        <v>0.67261099999999996</v>
      </c>
      <c r="V93" s="2">
        <v>92</v>
      </c>
      <c r="W93" s="2">
        <v>2005</v>
      </c>
    </row>
    <row r="94" spans="1:23" ht="12.3" x14ac:dyDescent="0.4">
      <c r="A94" s="2" t="s">
        <v>289</v>
      </c>
      <c r="B94" s="2">
        <v>14</v>
      </c>
      <c r="C94" s="3" t="s">
        <v>33</v>
      </c>
      <c r="D94" s="2"/>
      <c r="E94" s="2"/>
      <c r="F94" s="2"/>
      <c r="G94" s="2"/>
      <c r="H94" s="2"/>
      <c r="I94" s="2">
        <v>63.541400000000003</v>
      </c>
      <c r="J94" s="2">
        <v>289</v>
      </c>
      <c r="K94" s="2">
        <v>64.312700000000007</v>
      </c>
      <c r="L94" s="2">
        <v>282</v>
      </c>
      <c r="M94" s="2">
        <v>99.955399999999997</v>
      </c>
      <c r="N94" s="2">
        <v>201</v>
      </c>
      <c r="O94" s="2">
        <v>99.388199999999998</v>
      </c>
      <c r="P94" s="2">
        <v>202</v>
      </c>
      <c r="Q94" s="2">
        <v>91.5929</v>
      </c>
      <c r="R94" s="2">
        <v>9</v>
      </c>
      <c r="S94" s="2">
        <v>93.382300000000001</v>
      </c>
      <c r="T94" s="2">
        <v>25</v>
      </c>
      <c r="U94" s="2">
        <v>0.67190499999999997</v>
      </c>
      <c r="V94" s="2">
        <v>93</v>
      </c>
      <c r="W94" s="2">
        <v>2005</v>
      </c>
    </row>
    <row r="95" spans="1:23" ht="12.3" x14ac:dyDescent="0.4">
      <c r="A95" s="2" t="s">
        <v>198</v>
      </c>
      <c r="B95" s="2"/>
      <c r="C95" s="2"/>
      <c r="D95" s="2"/>
      <c r="E95" s="2"/>
      <c r="F95" s="2"/>
      <c r="G95" s="2"/>
      <c r="H95" s="2"/>
      <c r="I95" s="2">
        <v>69.212500000000006</v>
      </c>
      <c r="J95" s="2">
        <v>95</v>
      </c>
      <c r="K95" s="2">
        <v>69.246399999999994</v>
      </c>
      <c r="L95" s="2">
        <v>85</v>
      </c>
      <c r="M95" s="2">
        <v>102.57080000000001</v>
      </c>
      <c r="N95" s="2">
        <v>134</v>
      </c>
      <c r="O95" s="2">
        <v>101.9545</v>
      </c>
      <c r="P95" s="2">
        <v>149</v>
      </c>
      <c r="Q95" s="2">
        <v>96.162400000000005</v>
      </c>
      <c r="R95" s="2">
        <v>48</v>
      </c>
      <c r="S95" s="2">
        <v>96.000200000000007</v>
      </c>
      <c r="T95" s="2">
        <v>54</v>
      </c>
      <c r="U95" s="2">
        <v>0.66641799999999995</v>
      </c>
      <c r="V95" s="2">
        <v>94</v>
      </c>
      <c r="W95" s="2">
        <v>2005</v>
      </c>
    </row>
    <row r="96" spans="1:23" ht="12.3" x14ac:dyDescent="0.4">
      <c r="A96" s="2" t="s">
        <v>73</v>
      </c>
      <c r="B96" s="2"/>
      <c r="C96" s="2"/>
      <c r="D96" s="2"/>
      <c r="E96" s="2"/>
      <c r="F96" s="2"/>
      <c r="G96" s="2"/>
      <c r="H96" s="2"/>
      <c r="I96" s="2">
        <v>64.689099999999996</v>
      </c>
      <c r="J96" s="2">
        <v>263</v>
      </c>
      <c r="K96" s="2">
        <v>64.977999999999994</v>
      </c>
      <c r="L96" s="2">
        <v>253</v>
      </c>
      <c r="M96" s="2">
        <v>98.926100000000005</v>
      </c>
      <c r="N96" s="2">
        <v>218</v>
      </c>
      <c r="O96" s="2">
        <v>102.3008</v>
      </c>
      <c r="P96" s="2">
        <v>144</v>
      </c>
      <c r="Q96" s="2">
        <v>101.6185</v>
      </c>
      <c r="R96" s="2">
        <v>173</v>
      </c>
      <c r="S96" s="2">
        <v>96.419499999999999</v>
      </c>
      <c r="T96" s="2">
        <v>62</v>
      </c>
      <c r="U96" s="2">
        <v>0.663941</v>
      </c>
      <c r="V96" s="2">
        <v>95</v>
      </c>
      <c r="W96" s="2">
        <v>2005</v>
      </c>
    </row>
    <row r="97" spans="1:23" ht="12.3" x14ac:dyDescent="0.4">
      <c r="A97" s="2" t="s">
        <v>308</v>
      </c>
      <c r="B97" s="2"/>
      <c r="C97" s="2"/>
      <c r="D97" s="2"/>
      <c r="E97" s="2"/>
      <c r="F97" s="2"/>
      <c r="G97" s="2"/>
      <c r="H97" s="2"/>
      <c r="I97" s="2">
        <v>71.075000000000003</v>
      </c>
      <c r="J97" s="2">
        <v>41</v>
      </c>
      <c r="K97" s="2">
        <v>72.635999999999996</v>
      </c>
      <c r="L97" s="2">
        <v>16</v>
      </c>
      <c r="M97" s="2">
        <v>103.9169</v>
      </c>
      <c r="N97" s="2">
        <v>111</v>
      </c>
      <c r="O97" s="2">
        <v>104.3817</v>
      </c>
      <c r="P97" s="2">
        <v>110</v>
      </c>
      <c r="Q97" s="2">
        <v>97.5458</v>
      </c>
      <c r="R97" s="2">
        <v>67</v>
      </c>
      <c r="S97" s="2">
        <v>98.400099999999995</v>
      </c>
      <c r="T97" s="2">
        <v>91</v>
      </c>
      <c r="U97" s="2">
        <v>0.66343700000000005</v>
      </c>
      <c r="V97" s="2">
        <v>96</v>
      </c>
      <c r="W97" s="2">
        <v>2005</v>
      </c>
    </row>
    <row r="98" spans="1:23" ht="12.3" x14ac:dyDescent="0.4">
      <c r="A98" s="2" t="s">
        <v>240</v>
      </c>
      <c r="B98" s="2">
        <v>14</v>
      </c>
      <c r="C98" s="2"/>
      <c r="D98" s="2"/>
      <c r="E98" s="2"/>
      <c r="F98" s="2"/>
      <c r="G98" s="2"/>
      <c r="H98" s="2"/>
      <c r="I98" s="2">
        <v>63.475099999999998</v>
      </c>
      <c r="J98" s="2">
        <v>292</v>
      </c>
      <c r="K98" s="2">
        <v>63.685899999999997</v>
      </c>
      <c r="L98" s="2">
        <v>292</v>
      </c>
      <c r="M98" s="2">
        <v>104.51430000000001</v>
      </c>
      <c r="N98" s="2">
        <v>102</v>
      </c>
      <c r="O98" s="2">
        <v>101.04430000000001</v>
      </c>
      <c r="P98" s="2">
        <v>171</v>
      </c>
      <c r="Q98" s="2">
        <v>92.059899999999999</v>
      </c>
      <c r="R98" s="2">
        <v>13</v>
      </c>
      <c r="S98" s="2">
        <v>95.291300000000007</v>
      </c>
      <c r="T98" s="2">
        <v>43</v>
      </c>
      <c r="U98" s="2">
        <v>0.66242699999999999</v>
      </c>
      <c r="V98" s="2">
        <v>97</v>
      </c>
      <c r="W98" s="2">
        <v>2005</v>
      </c>
    </row>
    <row r="99" spans="1:23" ht="12.3" x14ac:dyDescent="0.4">
      <c r="A99" s="2" t="s">
        <v>87</v>
      </c>
      <c r="B99" s="2"/>
      <c r="C99" s="2"/>
      <c r="D99" s="2"/>
      <c r="E99" s="2"/>
      <c r="F99" s="2"/>
      <c r="G99" s="2"/>
      <c r="H99" s="2"/>
      <c r="I99" s="2">
        <v>70.369399999999999</v>
      </c>
      <c r="J99" s="2">
        <v>64</v>
      </c>
      <c r="K99" s="2">
        <v>68.701700000000002</v>
      </c>
      <c r="L99" s="2">
        <v>108</v>
      </c>
      <c r="M99" s="2">
        <v>101.4516</v>
      </c>
      <c r="N99" s="2">
        <v>162</v>
      </c>
      <c r="O99" s="2">
        <v>105.0095</v>
      </c>
      <c r="P99" s="2">
        <v>101</v>
      </c>
      <c r="Q99" s="2">
        <v>105.5106</v>
      </c>
      <c r="R99" s="2">
        <v>261</v>
      </c>
      <c r="S99" s="2">
        <v>99.084299999999999</v>
      </c>
      <c r="T99" s="2">
        <v>107</v>
      </c>
      <c r="U99" s="2">
        <v>0.66103699999999999</v>
      </c>
      <c r="V99" s="2">
        <v>98</v>
      </c>
      <c r="W99" s="2">
        <v>2005</v>
      </c>
    </row>
    <row r="100" spans="1:23" ht="12.3" x14ac:dyDescent="0.4">
      <c r="A100" s="2" t="s">
        <v>68</v>
      </c>
      <c r="B100" s="2"/>
      <c r="C100" s="2"/>
      <c r="D100" s="2"/>
      <c r="E100" s="2"/>
      <c r="F100" s="2"/>
      <c r="G100" s="2"/>
      <c r="H100" s="2"/>
      <c r="I100" s="2">
        <v>66.804500000000004</v>
      </c>
      <c r="J100" s="2">
        <v>182</v>
      </c>
      <c r="K100" s="2">
        <v>66.712500000000006</v>
      </c>
      <c r="L100" s="2">
        <v>190</v>
      </c>
      <c r="M100" s="2">
        <v>111.5945</v>
      </c>
      <c r="N100" s="2">
        <v>24</v>
      </c>
      <c r="O100" s="2">
        <v>111.5093</v>
      </c>
      <c r="P100" s="2">
        <v>29</v>
      </c>
      <c r="Q100" s="2">
        <v>102.9652</v>
      </c>
      <c r="R100" s="2">
        <v>213</v>
      </c>
      <c r="S100" s="2">
        <v>105.3711</v>
      </c>
      <c r="T100" s="2">
        <v>245</v>
      </c>
      <c r="U100" s="2">
        <v>0.65726300000000004</v>
      </c>
      <c r="V100" s="2">
        <v>99</v>
      </c>
      <c r="W100" s="2">
        <v>2005</v>
      </c>
    </row>
    <row r="101" spans="1:23" ht="12.3" x14ac:dyDescent="0.4">
      <c r="A101" s="2" t="s">
        <v>109</v>
      </c>
      <c r="B101" s="2"/>
      <c r="C101" s="2"/>
      <c r="D101" s="2"/>
      <c r="E101" s="2"/>
      <c r="F101" s="2"/>
      <c r="G101" s="2"/>
      <c r="H101" s="2"/>
      <c r="I101" s="2">
        <v>69.133899999999997</v>
      </c>
      <c r="J101" s="2">
        <v>100</v>
      </c>
      <c r="K101" s="2">
        <v>69.602699999999999</v>
      </c>
      <c r="L101" s="2">
        <v>75</v>
      </c>
      <c r="M101" s="2">
        <v>103.0202</v>
      </c>
      <c r="N101" s="2">
        <v>127</v>
      </c>
      <c r="O101" s="2">
        <v>105.4982</v>
      </c>
      <c r="P101" s="2">
        <v>94</v>
      </c>
      <c r="Q101" s="2">
        <v>102.82899999999999</v>
      </c>
      <c r="R101" s="2">
        <v>207</v>
      </c>
      <c r="S101" s="2">
        <v>99.749899999999997</v>
      </c>
      <c r="T101" s="2">
        <v>124</v>
      </c>
      <c r="U101" s="2">
        <v>0.65572699999999995</v>
      </c>
      <c r="V101" s="2">
        <v>100</v>
      </c>
      <c r="W101" s="2">
        <v>2005</v>
      </c>
    </row>
    <row r="102" spans="1:23" ht="12.3" x14ac:dyDescent="0.4">
      <c r="A102" s="2" t="s">
        <v>20</v>
      </c>
      <c r="B102" s="2"/>
      <c r="C102" s="2"/>
      <c r="D102" s="2"/>
      <c r="E102" s="2"/>
      <c r="F102" s="2"/>
      <c r="G102" s="2"/>
      <c r="H102" s="2"/>
      <c r="I102" s="2">
        <v>68.215699999999998</v>
      </c>
      <c r="J102" s="2">
        <v>129</v>
      </c>
      <c r="K102" s="2">
        <v>66.716899999999995</v>
      </c>
      <c r="L102" s="2">
        <v>189</v>
      </c>
      <c r="M102" s="2">
        <v>98.514899999999997</v>
      </c>
      <c r="N102" s="2">
        <v>224</v>
      </c>
      <c r="O102" s="2">
        <v>103.29940000000001</v>
      </c>
      <c r="P102" s="2">
        <v>123</v>
      </c>
      <c r="Q102" s="2">
        <v>102.31229999999999</v>
      </c>
      <c r="R102" s="2">
        <v>195</v>
      </c>
      <c r="S102" s="2">
        <v>97.678899999999999</v>
      </c>
      <c r="T102" s="2">
        <v>81</v>
      </c>
      <c r="U102" s="2">
        <v>0.65551499999999996</v>
      </c>
      <c r="V102" s="2">
        <v>101</v>
      </c>
      <c r="W102" s="2">
        <v>2005</v>
      </c>
    </row>
    <row r="103" spans="1:23" ht="12.3" x14ac:dyDescent="0.4">
      <c r="A103" s="2" t="s">
        <v>41</v>
      </c>
      <c r="B103" s="2"/>
      <c r="C103" s="2"/>
      <c r="D103" s="2"/>
      <c r="E103" s="2"/>
      <c r="F103" s="2"/>
      <c r="G103" s="2"/>
      <c r="H103" s="2"/>
      <c r="I103" s="2">
        <v>68.486800000000002</v>
      </c>
      <c r="J103" s="2">
        <v>119</v>
      </c>
      <c r="K103" s="2">
        <v>67.357399999999998</v>
      </c>
      <c r="L103" s="2">
        <v>156</v>
      </c>
      <c r="M103" s="2">
        <v>102.2081</v>
      </c>
      <c r="N103" s="2">
        <v>141</v>
      </c>
      <c r="O103" s="2">
        <v>104.8385</v>
      </c>
      <c r="P103" s="2">
        <v>103</v>
      </c>
      <c r="Q103" s="2">
        <v>102.58450000000001</v>
      </c>
      <c r="R103" s="2">
        <v>203</v>
      </c>
      <c r="S103" s="2">
        <v>99.323700000000002</v>
      </c>
      <c r="T103" s="2">
        <v>112</v>
      </c>
      <c r="U103" s="2">
        <v>0.65054400000000001</v>
      </c>
      <c r="V103" s="2">
        <v>102</v>
      </c>
      <c r="W103" s="2">
        <v>2005</v>
      </c>
    </row>
    <row r="104" spans="1:23" ht="12.3" x14ac:dyDescent="0.4">
      <c r="A104" s="2" t="s">
        <v>39</v>
      </c>
      <c r="B104" s="2"/>
      <c r="C104" s="2"/>
      <c r="D104" s="2"/>
      <c r="E104" s="2"/>
      <c r="F104" s="2"/>
      <c r="G104" s="2"/>
      <c r="H104" s="2"/>
      <c r="I104" s="2">
        <v>62.265500000000003</v>
      </c>
      <c r="J104" s="2">
        <v>309</v>
      </c>
      <c r="K104" s="2">
        <v>62.546900000000001</v>
      </c>
      <c r="L104" s="2">
        <v>308</v>
      </c>
      <c r="M104" s="2">
        <v>107.0326</v>
      </c>
      <c r="N104" s="2">
        <v>59</v>
      </c>
      <c r="O104" s="2">
        <v>107.62820000000001</v>
      </c>
      <c r="P104" s="2">
        <v>62</v>
      </c>
      <c r="Q104" s="2">
        <v>103.11450000000001</v>
      </c>
      <c r="R104" s="2">
        <v>216</v>
      </c>
      <c r="S104" s="2">
        <v>102.1267</v>
      </c>
      <c r="T104" s="2">
        <v>179</v>
      </c>
      <c r="U104" s="2">
        <v>0.64642900000000003</v>
      </c>
      <c r="V104" s="2">
        <v>103</v>
      </c>
      <c r="W104" s="2">
        <v>2005</v>
      </c>
    </row>
    <row r="105" spans="1:23" ht="12.3" x14ac:dyDescent="0.4">
      <c r="A105" s="2" t="s">
        <v>210</v>
      </c>
      <c r="B105" s="2"/>
      <c r="C105" s="2"/>
      <c r="D105" s="2"/>
      <c r="E105" s="2"/>
      <c r="F105" s="2"/>
      <c r="G105" s="2"/>
      <c r="H105" s="2"/>
      <c r="I105" s="2">
        <v>65.857100000000003</v>
      </c>
      <c r="J105" s="2">
        <v>217</v>
      </c>
      <c r="K105" s="2">
        <v>66.313199999999995</v>
      </c>
      <c r="L105" s="2">
        <v>205</v>
      </c>
      <c r="M105" s="2">
        <v>104.7334</v>
      </c>
      <c r="N105" s="2">
        <v>97</v>
      </c>
      <c r="O105" s="2">
        <v>105.0223</v>
      </c>
      <c r="P105" s="2">
        <v>100</v>
      </c>
      <c r="Q105" s="2">
        <v>98.511300000000006</v>
      </c>
      <c r="R105" s="2">
        <v>94</v>
      </c>
      <c r="S105" s="2">
        <v>99.805499999999995</v>
      </c>
      <c r="T105" s="2">
        <v>125</v>
      </c>
      <c r="U105" s="2">
        <v>0.642428</v>
      </c>
      <c r="V105" s="2">
        <v>104</v>
      </c>
      <c r="W105" s="2">
        <v>2005</v>
      </c>
    </row>
    <row r="106" spans="1:23" ht="12.3" x14ac:dyDescent="0.4">
      <c r="A106" s="2" t="s">
        <v>149</v>
      </c>
      <c r="B106" s="2"/>
      <c r="C106" s="2"/>
      <c r="D106" s="2"/>
      <c r="E106" s="2"/>
      <c r="F106" s="2"/>
      <c r="G106" s="2"/>
      <c r="H106" s="2"/>
      <c r="I106" s="2">
        <v>70.312200000000004</v>
      </c>
      <c r="J106" s="2">
        <v>67</v>
      </c>
      <c r="K106" s="2">
        <v>69.172700000000006</v>
      </c>
      <c r="L106" s="2">
        <v>89</v>
      </c>
      <c r="M106" s="2">
        <v>102.322</v>
      </c>
      <c r="N106" s="2">
        <v>138</v>
      </c>
      <c r="O106" s="2">
        <v>106.1339</v>
      </c>
      <c r="P106" s="2">
        <v>82</v>
      </c>
      <c r="Q106" s="2">
        <v>103.92959999999999</v>
      </c>
      <c r="R106" s="2">
        <v>228</v>
      </c>
      <c r="S106" s="2">
        <v>101.13420000000001</v>
      </c>
      <c r="T106" s="2">
        <v>156</v>
      </c>
      <c r="U106" s="2">
        <v>0.63527400000000001</v>
      </c>
      <c r="V106" s="2">
        <v>105</v>
      </c>
      <c r="W106" s="2">
        <v>2005</v>
      </c>
    </row>
    <row r="107" spans="1:23" ht="12.3" x14ac:dyDescent="0.4">
      <c r="A107" s="2" t="s">
        <v>129</v>
      </c>
      <c r="B107" s="2"/>
      <c r="C107" s="2"/>
      <c r="D107" s="2"/>
      <c r="E107" s="2"/>
      <c r="F107" s="2"/>
      <c r="G107" s="2"/>
      <c r="H107" s="2"/>
      <c r="I107" s="2">
        <v>69.922399999999996</v>
      </c>
      <c r="J107" s="2">
        <v>77</v>
      </c>
      <c r="K107" s="2">
        <v>70.561300000000003</v>
      </c>
      <c r="L107" s="2">
        <v>46</v>
      </c>
      <c r="M107" s="2">
        <v>101.00360000000001</v>
      </c>
      <c r="N107" s="2">
        <v>181</v>
      </c>
      <c r="O107" s="2">
        <v>106.1469</v>
      </c>
      <c r="P107" s="2">
        <v>81</v>
      </c>
      <c r="Q107" s="2">
        <v>106.4635</v>
      </c>
      <c r="R107" s="2">
        <v>268</v>
      </c>
      <c r="S107" s="2">
        <v>101.2868</v>
      </c>
      <c r="T107" s="2">
        <v>161</v>
      </c>
      <c r="U107" s="2">
        <v>0.631575</v>
      </c>
      <c r="V107" s="2">
        <v>106</v>
      </c>
      <c r="W107" s="2">
        <v>2005</v>
      </c>
    </row>
    <row r="108" spans="1:23" ht="12.3" x14ac:dyDescent="0.4">
      <c r="A108" s="2" t="s">
        <v>102</v>
      </c>
      <c r="B108" s="2"/>
      <c r="C108" s="2"/>
      <c r="D108" s="2"/>
      <c r="E108" s="2"/>
      <c r="F108" s="2"/>
      <c r="G108" s="2"/>
      <c r="H108" s="2"/>
      <c r="I108" s="2">
        <v>66.805999999999997</v>
      </c>
      <c r="J108" s="2">
        <v>180</v>
      </c>
      <c r="K108" s="2">
        <v>67.850499999999997</v>
      </c>
      <c r="L108" s="2">
        <v>134</v>
      </c>
      <c r="M108" s="2">
        <v>96.557000000000002</v>
      </c>
      <c r="N108" s="2">
        <v>243</v>
      </c>
      <c r="O108" s="2">
        <v>98.652000000000001</v>
      </c>
      <c r="P108" s="2">
        <v>214</v>
      </c>
      <c r="Q108" s="2">
        <v>100.0111</v>
      </c>
      <c r="R108" s="2">
        <v>130</v>
      </c>
      <c r="S108" s="2">
        <v>94.18</v>
      </c>
      <c r="T108" s="2">
        <v>32</v>
      </c>
      <c r="U108" s="2">
        <v>0.630297</v>
      </c>
      <c r="V108" s="2">
        <v>107</v>
      </c>
      <c r="W108" s="2">
        <v>2005</v>
      </c>
    </row>
    <row r="109" spans="1:23" ht="12.3" x14ac:dyDescent="0.4">
      <c r="A109" s="2" t="s">
        <v>101</v>
      </c>
      <c r="B109" s="2"/>
      <c r="C109" s="2"/>
      <c r="D109" s="2"/>
      <c r="E109" s="2"/>
      <c r="F109" s="2"/>
      <c r="G109" s="2"/>
      <c r="H109" s="2"/>
      <c r="I109" s="2">
        <v>65.190299999999993</v>
      </c>
      <c r="J109" s="2">
        <v>251</v>
      </c>
      <c r="K109" s="2">
        <v>66.687200000000004</v>
      </c>
      <c r="L109" s="2">
        <v>192</v>
      </c>
      <c r="M109" s="2">
        <v>106.4768</v>
      </c>
      <c r="N109" s="2">
        <v>62</v>
      </c>
      <c r="O109" s="2">
        <v>107.22920000000001</v>
      </c>
      <c r="P109" s="2">
        <v>65</v>
      </c>
      <c r="Q109" s="2">
        <v>105.1086</v>
      </c>
      <c r="R109" s="2">
        <v>254</v>
      </c>
      <c r="S109" s="2">
        <v>102.49079999999999</v>
      </c>
      <c r="T109" s="2">
        <v>185</v>
      </c>
      <c r="U109" s="2">
        <v>0.62708799999999998</v>
      </c>
      <c r="V109" s="2">
        <v>108</v>
      </c>
      <c r="W109" s="2">
        <v>2005</v>
      </c>
    </row>
    <row r="110" spans="1:23" ht="12.3" x14ac:dyDescent="0.4">
      <c r="A110" s="2" t="s">
        <v>142</v>
      </c>
      <c r="B110" s="2"/>
      <c r="C110" s="2"/>
      <c r="D110" s="2"/>
      <c r="E110" s="2"/>
      <c r="F110" s="2"/>
      <c r="G110" s="2"/>
      <c r="H110" s="2"/>
      <c r="I110" s="2">
        <v>70.3249</v>
      </c>
      <c r="J110" s="2">
        <v>65</v>
      </c>
      <c r="K110" s="2">
        <v>69.048900000000003</v>
      </c>
      <c r="L110" s="2">
        <v>93</v>
      </c>
      <c r="M110" s="2">
        <v>99.211799999999997</v>
      </c>
      <c r="N110" s="2">
        <v>213</v>
      </c>
      <c r="O110" s="2">
        <v>99.719300000000004</v>
      </c>
      <c r="P110" s="2">
        <v>196</v>
      </c>
      <c r="Q110" s="2">
        <v>96.525199999999998</v>
      </c>
      <c r="R110" s="2">
        <v>53</v>
      </c>
      <c r="S110" s="2">
        <v>95.438000000000002</v>
      </c>
      <c r="T110" s="2">
        <v>46</v>
      </c>
      <c r="U110" s="2">
        <v>0.623552</v>
      </c>
      <c r="V110" s="2">
        <v>109</v>
      </c>
      <c r="W110" s="2">
        <v>2005</v>
      </c>
    </row>
    <row r="111" spans="1:23" ht="12.3" x14ac:dyDescent="0.4">
      <c r="A111" s="2" t="s">
        <v>133</v>
      </c>
      <c r="B111" s="2"/>
      <c r="C111" s="2"/>
      <c r="D111" s="2"/>
      <c r="E111" s="2"/>
      <c r="F111" s="2"/>
      <c r="G111" s="2"/>
      <c r="H111" s="2"/>
      <c r="I111" s="2">
        <v>72.325500000000005</v>
      </c>
      <c r="J111" s="2">
        <v>26</v>
      </c>
      <c r="K111" s="2">
        <v>71.735399999999998</v>
      </c>
      <c r="L111" s="2">
        <v>29</v>
      </c>
      <c r="M111" s="2">
        <v>104.9267</v>
      </c>
      <c r="N111" s="2">
        <v>90</v>
      </c>
      <c r="O111" s="2">
        <v>106.7645</v>
      </c>
      <c r="P111" s="2">
        <v>70</v>
      </c>
      <c r="Q111" s="2">
        <v>104.0305</v>
      </c>
      <c r="R111" s="2">
        <v>231</v>
      </c>
      <c r="S111" s="2">
        <v>102.3599</v>
      </c>
      <c r="T111" s="2">
        <v>183</v>
      </c>
      <c r="U111" s="2">
        <v>0.61880800000000002</v>
      </c>
      <c r="V111" s="2">
        <v>110</v>
      </c>
      <c r="W111" s="2">
        <v>2005</v>
      </c>
    </row>
    <row r="112" spans="1:23" ht="12.3" x14ac:dyDescent="0.4">
      <c r="A112" s="2" t="s">
        <v>173</v>
      </c>
      <c r="B112" s="2"/>
      <c r="C112" s="2"/>
      <c r="D112" s="2"/>
      <c r="E112" s="2"/>
      <c r="F112" s="2"/>
      <c r="G112" s="2"/>
      <c r="H112" s="2"/>
      <c r="I112" s="2">
        <v>68.613</v>
      </c>
      <c r="J112" s="2">
        <v>114</v>
      </c>
      <c r="K112" s="2">
        <v>66.936599999999999</v>
      </c>
      <c r="L112" s="2">
        <v>177</v>
      </c>
      <c r="M112" s="2">
        <v>98.233400000000003</v>
      </c>
      <c r="N112" s="2">
        <v>228</v>
      </c>
      <c r="O112" s="2">
        <v>99.317400000000006</v>
      </c>
      <c r="P112" s="2">
        <v>204</v>
      </c>
      <c r="Q112" s="2">
        <v>97.525599999999997</v>
      </c>
      <c r="R112" s="2">
        <v>66</v>
      </c>
      <c r="S112" s="2">
        <v>95.291899999999998</v>
      </c>
      <c r="T112" s="2">
        <v>44</v>
      </c>
      <c r="U112" s="2">
        <v>0.61676200000000003</v>
      </c>
      <c r="V112" s="2">
        <v>111</v>
      </c>
      <c r="W112" s="2">
        <v>2005</v>
      </c>
    </row>
    <row r="113" spans="1:23" ht="12.3" x14ac:dyDescent="0.4">
      <c r="A113" s="2" t="s">
        <v>93</v>
      </c>
      <c r="B113" s="2"/>
      <c r="C113" s="2"/>
      <c r="D113" s="2"/>
      <c r="E113" s="2"/>
      <c r="F113" s="2"/>
      <c r="G113" s="2"/>
      <c r="H113" s="2"/>
      <c r="I113" s="2">
        <v>68.596699999999998</v>
      </c>
      <c r="J113" s="2">
        <v>115</v>
      </c>
      <c r="K113" s="2">
        <v>70.109800000000007</v>
      </c>
      <c r="L113" s="2">
        <v>59</v>
      </c>
      <c r="M113" s="2">
        <v>101.163</v>
      </c>
      <c r="N113" s="2">
        <v>177</v>
      </c>
      <c r="O113" s="2">
        <v>103.03230000000001</v>
      </c>
      <c r="P113" s="2">
        <v>128</v>
      </c>
      <c r="Q113" s="2">
        <v>101.5385</v>
      </c>
      <c r="R113" s="2">
        <v>170</v>
      </c>
      <c r="S113" s="2">
        <v>98.872299999999996</v>
      </c>
      <c r="T113" s="2">
        <v>101</v>
      </c>
      <c r="U113" s="2">
        <v>0.61631999999999998</v>
      </c>
      <c r="V113" s="2">
        <v>112</v>
      </c>
      <c r="W113" s="2">
        <v>2005</v>
      </c>
    </row>
    <row r="114" spans="1:23" ht="12.3" x14ac:dyDescent="0.4">
      <c r="A114" s="2" t="s">
        <v>64</v>
      </c>
      <c r="B114" s="2"/>
      <c r="C114" s="2"/>
      <c r="D114" s="2"/>
      <c r="E114" s="2"/>
      <c r="F114" s="2"/>
      <c r="G114" s="2"/>
      <c r="H114" s="2"/>
      <c r="I114" s="2">
        <v>63.124400000000001</v>
      </c>
      <c r="J114" s="2">
        <v>299</v>
      </c>
      <c r="K114" s="2">
        <v>64.169600000000003</v>
      </c>
      <c r="L114" s="2">
        <v>285</v>
      </c>
      <c r="M114" s="2">
        <v>101.43210000000001</v>
      </c>
      <c r="N114" s="2">
        <v>163</v>
      </c>
      <c r="O114" s="2">
        <v>100.0027</v>
      </c>
      <c r="P114" s="2">
        <v>188</v>
      </c>
      <c r="Q114" s="2">
        <v>96.251800000000003</v>
      </c>
      <c r="R114" s="2">
        <v>50</v>
      </c>
      <c r="S114" s="2">
        <v>96.099500000000006</v>
      </c>
      <c r="T114" s="2">
        <v>56</v>
      </c>
      <c r="U114" s="2">
        <v>0.61250599999999999</v>
      </c>
      <c r="V114" s="2">
        <v>113</v>
      </c>
      <c r="W114" s="2">
        <v>2005</v>
      </c>
    </row>
    <row r="115" spans="1:23" ht="12.3" x14ac:dyDescent="0.4">
      <c r="A115" s="2" t="s">
        <v>124</v>
      </c>
      <c r="B115" s="2"/>
      <c r="C115" s="2"/>
      <c r="D115" s="2"/>
      <c r="E115" s="2"/>
      <c r="F115" s="2"/>
      <c r="G115" s="2"/>
      <c r="H115" s="2"/>
      <c r="I115" s="2">
        <v>60.699399999999997</v>
      </c>
      <c r="J115" s="2">
        <v>323</v>
      </c>
      <c r="K115" s="2">
        <v>62.331400000000002</v>
      </c>
      <c r="L115" s="2">
        <v>309</v>
      </c>
      <c r="M115" s="2">
        <v>97.187399999999997</v>
      </c>
      <c r="N115" s="2">
        <v>238</v>
      </c>
      <c r="O115" s="2">
        <v>99.887</v>
      </c>
      <c r="P115" s="2">
        <v>190</v>
      </c>
      <c r="Q115" s="2">
        <v>102.0018</v>
      </c>
      <c r="R115" s="2">
        <v>183</v>
      </c>
      <c r="S115" s="2">
        <v>96.026700000000005</v>
      </c>
      <c r="T115" s="2">
        <v>55</v>
      </c>
      <c r="U115" s="2">
        <v>0.61141100000000004</v>
      </c>
      <c r="V115" s="2">
        <v>114</v>
      </c>
      <c r="W115" s="2">
        <v>2005</v>
      </c>
    </row>
    <row r="116" spans="1:23" ht="12.3" x14ac:dyDescent="0.4">
      <c r="A116" s="2" t="s">
        <v>137</v>
      </c>
      <c r="B116" s="2"/>
      <c r="C116" s="2"/>
      <c r="D116" s="2"/>
      <c r="E116" s="2"/>
      <c r="F116" s="2"/>
      <c r="G116" s="2"/>
      <c r="H116" s="2"/>
      <c r="I116" s="2">
        <v>66.248500000000007</v>
      </c>
      <c r="J116" s="2">
        <v>201</v>
      </c>
      <c r="K116" s="2">
        <v>66.265699999999995</v>
      </c>
      <c r="L116" s="2">
        <v>209</v>
      </c>
      <c r="M116" s="2">
        <v>104.82859999999999</v>
      </c>
      <c r="N116" s="2">
        <v>94</v>
      </c>
      <c r="O116" s="2">
        <v>104.79259999999999</v>
      </c>
      <c r="P116" s="2">
        <v>104</v>
      </c>
      <c r="Q116" s="2">
        <v>97.986500000000007</v>
      </c>
      <c r="R116" s="2">
        <v>82</v>
      </c>
      <c r="S116" s="2">
        <v>100.7435</v>
      </c>
      <c r="T116" s="2">
        <v>143</v>
      </c>
      <c r="U116" s="2">
        <v>0.61139100000000002</v>
      </c>
      <c r="V116" s="2">
        <v>115</v>
      </c>
      <c r="W116" s="2">
        <v>2005</v>
      </c>
    </row>
    <row r="117" spans="1:23" ht="12.3" x14ac:dyDescent="0.4">
      <c r="A117" s="2" t="s">
        <v>51</v>
      </c>
      <c r="B117" s="2"/>
      <c r="C117" s="2"/>
      <c r="D117" s="2"/>
      <c r="E117" s="2"/>
      <c r="F117" s="2"/>
      <c r="G117" s="2"/>
      <c r="H117" s="2"/>
      <c r="I117" s="2">
        <v>63.665900000000001</v>
      </c>
      <c r="J117" s="2">
        <v>286</v>
      </c>
      <c r="K117" s="2">
        <v>64.316000000000003</v>
      </c>
      <c r="L117" s="2">
        <v>281</v>
      </c>
      <c r="M117" s="2">
        <v>99.395200000000003</v>
      </c>
      <c r="N117" s="2">
        <v>210</v>
      </c>
      <c r="O117" s="2">
        <v>99.651600000000002</v>
      </c>
      <c r="P117" s="2">
        <v>197</v>
      </c>
      <c r="Q117" s="2">
        <v>100.7612</v>
      </c>
      <c r="R117" s="2">
        <v>148</v>
      </c>
      <c r="S117" s="2">
        <v>95.857200000000006</v>
      </c>
      <c r="T117" s="2">
        <v>52</v>
      </c>
      <c r="U117" s="2">
        <v>0.609792</v>
      </c>
      <c r="V117" s="2">
        <v>116</v>
      </c>
      <c r="W117" s="2">
        <v>2005</v>
      </c>
    </row>
    <row r="118" spans="1:23" ht="12.3" x14ac:dyDescent="0.4">
      <c r="A118" s="2" t="s">
        <v>42</v>
      </c>
      <c r="B118" s="2"/>
      <c r="C118" s="2"/>
      <c r="D118" s="2"/>
      <c r="E118" s="2"/>
      <c r="F118" s="2"/>
      <c r="G118" s="2"/>
      <c r="H118" s="2"/>
      <c r="I118" s="2">
        <v>72.843199999999996</v>
      </c>
      <c r="J118" s="2">
        <v>22</v>
      </c>
      <c r="K118" s="2">
        <v>71.509600000000006</v>
      </c>
      <c r="L118" s="2">
        <v>31</v>
      </c>
      <c r="M118" s="2">
        <v>101.62009999999999</v>
      </c>
      <c r="N118" s="2">
        <v>158</v>
      </c>
      <c r="O118" s="2">
        <v>106.0757</v>
      </c>
      <c r="P118" s="2">
        <v>84</v>
      </c>
      <c r="Q118" s="2">
        <v>105.0977</v>
      </c>
      <c r="R118" s="2">
        <v>253</v>
      </c>
      <c r="S118" s="2">
        <v>102.0928</v>
      </c>
      <c r="T118" s="2">
        <v>178</v>
      </c>
      <c r="U118" s="2">
        <v>0.60828700000000002</v>
      </c>
      <c r="V118" s="2">
        <v>117</v>
      </c>
      <c r="W118" s="2">
        <v>2005</v>
      </c>
    </row>
    <row r="119" spans="1:23" ht="12.3" x14ac:dyDescent="0.4">
      <c r="A119" s="2" t="s">
        <v>194</v>
      </c>
      <c r="B119" s="2">
        <v>14</v>
      </c>
      <c r="C119" s="2"/>
      <c r="D119" s="2"/>
      <c r="E119" s="2"/>
      <c r="F119" s="2"/>
      <c r="G119" s="2"/>
      <c r="H119" s="2"/>
      <c r="I119" s="2">
        <v>71.415000000000006</v>
      </c>
      <c r="J119" s="2">
        <v>37</v>
      </c>
      <c r="K119" s="2">
        <v>70.429900000000004</v>
      </c>
      <c r="L119" s="2">
        <v>50</v>
      </c>
      <c r="M119" s="2">
        <v>116.9511</v>
      </c>
      <c r="N119" s="2">
        <v>5</v>
      </c>
      <c r="O119" s="2">
        <v>113.7218</v>
      </c>
      <c r="P119" s="2">
        <v>18</v>
      </c>
      <c r="Q119" s="2">
        <v>107.05029999999999</v>
      </c>
      <c r="R119" s="2">
        <v>279</v>
      </c>
      <c r="S119" s="2">
        <v>109.56270000000001</v>
      </c>
      <c r="T119" s="2">
        <v>301</v>
      </c>
      <c r="U119" s="2">
        <v>0.60550700000000002</v>
      </c>
      <c r="V119" s="2">
        <v>118</v>
      </c>
      <c r="W119" s="2">
        <v>2005</v>
      </c>
    </row>
    <row r="120" spans="1:23" ht="12.3" x14ac:dyDescent="0.4">
      <c r="A120" s="2" t="s">
        <v>228</v>
      </c>
      <c r="B120" s="2"/>
      <c r="C120" s="2"/>
      <c r="D120" s="2"/>
      <c r="E120" s="2"/>
      <c r="F120" s="2"/>
      <c r="G120" s="2"/>
      <c r="H120" s="2"/>
      <c r="I120" s="2">
        <v>66.976799999999997</v>
      </c>
      <c r="J120" s="2">
        <v>172</v>
      </c>
      <c r="K120" s="2">
        <v>66.513900000000007</v>
      </c>
      <c r="L120" s="2">
        <v>195</v>
      </c>
      <c r="M120" s="2">
        <v>103.60120000000001</v>
      </c>
      <c r="N120" s="2">
        <v>119</v>
      </c>
      <c r="O120" s="2">
        <v>102.6965</v>
      </c>
      <c r="P120" s="2">
        <v>135</v>
      </c>
      <c r="Q120" s="2">
        <v>98.438599999999994</v>
      </c>
      <c r="R120" s="2">
        <v>93</v>
      </c>
      <c r="S120" s="2">
        <v>98.987499999999997</v>
      </c>
      <c r="T120" s="2">
        <v>105</v>
      </c>
      <c r="U120" s="2">
        <v>0.60420499999999999</v>
      </c>
      <c r="V120" s="2">
        <v>119</v>
      </c>
      <c r="W120" s="2">
        <v>2005</v>
      </c>
    </row>
    <row r="121" spans="1:23" ht="12.3" x14ac:dyDescent="0.4">
      <c r="A121" s="2" t="s">
        <v>328</v>
      </c>
      <c r="B121" s="2">
        <v>15</v>
      </c>
      <c r="C121" s="2"/>
      <c r="D121" s="2"/>
      <c r="E121" s="2"/>
      <c r="F121" s="2"/>
      <c r="G121" s="2"/>
      <c r="H121" s="2"/>
      <c r="I121" s="2">
        <v>62.609299999999998</v>
      </c>
      <c r="J121" s="2">
        <v>305</v>
      </c>
      <c r="K121" s="2">
        <v>61.0764</v>
      </c>
      <c r="L121" s="2">
        <v>319</v>
      </c>
      <c r="M121" s="2">
        <v>98.056100000000001</v>
      </c>
      <c r="N121" s="2">
        <v>230</v>
      </c>
      <c r="O121" s="2">
        <v>96.627200000000002</v>
      </c>
      <c r="P121" s="2">
        <v>243</v>
      </c>
      <c r="Q121" s="2">
        <v>89.710999999999999</v>
      </c>
      <c r="R121" s="2">
        <v>4</v>
      </c>
      <c r="S121" s="2">
        <v>93.325500000000005</v>
      </c>
      <c r="T121" s="2">
        <v>23</v>
      </c>
      <c r="U121" s="2">
        <v>0.59864499999999998</v>
      </c>
      <c r="V121" s="2">
        <v>120</v>
      </c>
      <c r="W121" s="2">
        <v>2005</v>
      </c>
    </row>
    <row r="122" spans="1:23" ht="12.3" x14ac:dyDescent="0.4">
      <c r="A122" s="2" t="s">
        <v>217</v>
      </c>
      <c r="B122" s="2"/>
      <c r="C122" s="2"/>
      <c r="D122" s="2"/>
      <c r="E122" s="2"/>
      <c r="F122" s="2"/>
      <c r="G122" s="2"/>
      <c r="H122" s="2"/>
      <c r="I122" s="2">
        <v>70.934200000000004</v>
      </c>
      <c r="J122" s="2">
        <v>47</v>
      </c>
      <c r="K122" s="2">
        <v>69.876900000000006</v>
      </c>
      <c r="L122" s="2">
        <v>64</v>
      </c>
      <c r="M122" s="2">
        <v>103.67010000000001</v>
      </c>
      <c r="N122" s="2">
        <v>118</v>
      </c>
      <c r="O122" s="2">
        <v>104.63590000000001</v>
      </c>
      <c r="P122" s="2">
        <v>107</v>
      </c>
      <c r="Q122" s="2">
        <v>102.84220000000001</v>
      </c>
      <c r="R122" s="2">
        <v>208</v>
      </c>
      <c r="S122" s="2">
        <v>101.1039</v>
      </c>
      <c r="T122" s="2">
        <v>155</v>
      </c>
      <c r="U122" s="2">
        <v>0.59745800000000004</v>
      </c>
      <c r="V122" s="2">
        <v>121</v>
      </c>
      <c r="W122" s="2">
        <v>2005</v>
      </c>
    </row>
    <row r="123" spans="1:23" ht="12.3" x14ac:dyDescent="0.4">
      <c r="A123" s="2" t="s">
        <v>119</v>
      </c>
      <c r="B123" s="2"/>
      <c r="C123" s="2"/>
      <c r="D123" s="2"/>
      <c r="E123" s="2"/>
      <c r="F123" s="2"/>
      <c r="G123" s="2"/>
      <c r="H123" s="2"/>
      <c r="I123" s="2">
        <v>64.616200000000006</v>
      </c>
      <c r="J123" s="2">
        <v>267</v>
      </c>
      <c r="K123" s="2">
        <v>65.272300000000001</v>
      </c>
      <c r="L123" s="2">
        <v>244</v>
      </c>
      <c r="M123" s="2">
        <v>96.412700000000001</v>
      </c>
      <c r="N123" s="2">
        <v>246</v>
      </c>
      <c r="O123" s="2">
        <v>98.041300000000007</v>
      </c>
      <c r="P123" s="2">
        <v>223</v>
      </c>
      <c r="Q123" s="2">
        <v>98.283600000000007</v>
      </c>
      <c r="R123" s="2">
        <v>88</v>
      </c>
      <c r="S123" s="2">
        <v>94.755499999999998</v>
      </c>
      <c r="T123" s="2">
        <v>37</v>
      </c>
      <c r="U123" s="2">
        <v>0.59677100000000005</v>
      </c>
      <c r="V123" s="2">
        <v>122</v>
      </c>
      <c r="W123" s="2">
        <v>2005</v>
      </c>
    </row>
    <row r="124" spans="1:23" ht="12.3" x14ac:dyDescent="0.4">
      <c r="A124" s="2" t="s">
        <v>79</v>
      </c>
      <c r="B124" s="2"/>
      <c r="C124" s="2"/>
      <c r="D124" s="2"/>
      <c r="E124" s="2"/>
      <c r="F124" s="2"/>
      <c r="G124" s="2"/>
      <c r="H124" s="2"/>
      <c r="I124" s="2">
        <v>70.948599999999999</v>
      </c>
      <c r="J124" s="2">
        <v>44</v>
      </c>
      <c r="K124" s="2">
        <v>69.799800000000005</v>
      </c>
      <c r="L124" s="2">
        <v>67</v>
      </c>
      <c r="M124" s="2">
        <v>104.7958</v>
      </c>
      <c r="N124" s="2">
        <v>95</v>
      </c>
      <c r="O124" s="2">
        <v>107.5992</v>
      </c>
      <c r="P124" s="2">
        <v>63</v>
      </c>
      <c r="Q124" s="2">
        <v>104.6561</v>
      </c>
      <c r="R124" s="2">
        <v>243</v>
      </c>
      <c r="S124" s="2">
        <v>104.1696</v>
      </c>
      <c r="T124" s="2">
        <v>222</v>
      </c>
      <c r="U124" s="2">
        <v>0.59206700000000001</v>
      </c>
      <c r="V124" s="2">
        <v>123</v>
      </c>
      <c r="W124" s="2">
        <v>2005</v>
      </c>
    </row>
    <row r="125" spans="1:23" ht="12.3" x14ac:dyDescent="0.4">
      <c r="A125" s="2" t="s">
        <v>311</v>
      </c>
      <c r="B125" s="2"/>
      <c r="C125" s="2"/>
      <c r="D125" s="2"/>
      <c r="E125" s="2"/>
      <c r="F125" s="2"/>
      <c r="G125" s="2"/>
      <c r="H125" s="2"/>
      <c r="I125" s="2">
        <v>69.4739</v>
      </c>
      <c r="J125" s="2">
        <v>90</v>
      </c>
      <c r="K125" s="2">
        <v>71.430999999999997</v>
      </c>
      <c r="L125" s="2">
        <v>33</v>
      </c>
      <c r="M125" s="2">
        <v>105.6939</v>
      </c>
      <c r="N125" s="2">
        <v>72</v>
      </c>
      <c r="O125" s="2">
        <v>105.08369999999999</v>
      </c>
      <c r="P125" s="2">
        <v>98</v>
      </c>
      <c r="Q125" s="2">
        <v>101.349</v>
      </c>
      <c r="R125" s="2">
        <v>163</v>
      </c>
      <c r="S125" s="2">
        <v>101.7641</v>
      </c>
      <c r="T125" s="2">
        <v>171</v>
      </c>
      <c r="U125" s="2">
        <v>0.591252</v>
      </c>
      <c r="V125" s="2">
        <v>124</v>
      </c>
      <c r="W125" s="2">
        <v>2005</v>
      </c>
    </row>
    <row r="126" spans="1:23" ht="12.3" x14ac:dyDescent="0.4">
      <c r="A126" s="2" t="s">
        <v>181</v>
      </c>
      <c r="B126" s="2"/>
      <c r="C126" s="2"/>
      <c r="D126" s="2"/>
      <c r="E126" s="2"/>
      <c r="F126" s="2"/>
      <c r="G126" s="2"/>
      <c r="H126" s="2"/>
      <c r="I126" s="2">
        <v>64.366699999999994</v>
      </c>
      <c r="J126" s="2">
        <v>272</v>
      </c>
      <c r="K126" s="2">
        <v>64.366</v>
      </c>
      <c r="L126" s="2">
        <v>277</v>
      </c>
      <c r="M126" s="2">
        <v>109.8177</v>
      </c>
      <c r="N126" s="2">
        <v>35</v>
      </c>
      <c r="O126" s="2">
        <v>106.6858</v>
      </c>
      <c r="P126" s="2">
        <v>73</v>
      </c>
      <c r="Q126" s="2">
        <v>102.4601</v>
      </c>
      <c r="R126" s="2">
        <v>199</v>
      </c>
      <c r="S126" s="2">
        <v>103.4066</v>
      </c>
      <c r="T126" s="2">
        <v>206</v>
      </c>
      <c r="U126" s="2">
        <v>0.58880299999999997</v>
      </c>
      <c r="V126" s="2">
        <v>125</v>
      </c>
      <c r="W126" s="2">
        <v>2005</v>
      </c>
    </row>
    <row r="127" spans="1:23" ht="12.3" x14ac:dyDescent="0.4">
      <c r="A127" s="2" t="s">
        <v>164</v>
      </c>
      <c r="B127" s="2"/>
      <c r="C127" s="2"/>
      <c r="D127" s="2"/>
      <c r="E127" s="2"/>
      <c r="F127" s="2"/>
      <c r="G127" s="2"/>
      <c r="H127" s="2"/>
      <c r="I127" s="2">
        <v>64.477199999999996</v>
      </c>
      <c r="J127" s="2">
        <v>270</v>
      </c>
      <c r="K127" s="2">
        <v>64.744600000000005</v>
      </c>
      <c r="L127" s="2">
        <v>262</v>
      </c>
      <c r="M127" s="2">
        <v>102.07080000000001</v>
      </c>
      <c r="N127" s="2">
        <v>143</v>
      </c>
      <c r="O127" s="2">
        <v>104.02760000000001</v>
      </c>
      <c r="P127" s="2">
        <v>113</v>
      </c>
      <c r="Q127" s="2">
        <v>102.34829999999999</v>
      </c>
      <c r="R127" s="2">
        <v>197</v>
      </c>
      <c r="S127" s="2">
        <v>101.1801</v>
      </c>
      <c r="T127" s="2">
        <v>157</v>
      </c>
      <c r="U127" s="2">
        <v>0.579121</v>
      </c>
      <c r="V127" s="2">
        <v>126</v>
      </c>
      <c r="W127" s="2">
        <v>2005</v>
      </c>
    </row>
    <row r="128" spans="1:23" ht="12.3" x14ac:dyDescent="0.4">
      <c r="A128" s="2" t="s">
        <v>121</v>
      </c>
      <c r="B128" s="2"/>
      <c r="C128" s="2"/>
      <c r="D128" s="2"/>
      <c r="E128" s="2"/>
      <c r="F128" s="2"/>
      <c r="G128" s="2"/>
      <c r="H128" s="2"/>
      <c r="I128" s="2">
        <v>63.404200000000003</v>
      </c>
      <c r="J128" s="2">
        <v>296</v>
      </c>
      <c r="K128" s="2">
        <v>64.363399999999999</v>
      </c>
      <c r="L128" s="2">
        <v>278</v>
      </c>
      <c r="M128" s="2">
        <v>98.700599999999994</v>
      </c>
      <c r="N128" s="2">
        <v>221</v>
      </c>
      <c r="O128" s="2">
        <v>103.7637</v>
      </c>
      <c r="P128" s="2">
        <v>118</v>
      </c>
      <c r="Q128" s="2">
        <v>106.89360000000001</v>
      </c>
      <c r="R128" s="2">
        <v>275</v>
      </c>
      <c r="S128" s="2">
        <v>101.0155</v>
      </c>
      <c r="T128" s="2">
        <v>152</v>
      </c>
      <c r="U128" s="2">
        <v>0.57656499999999999</v>
      </c>
      <c r="V128" s="2">
        <v>127</v>
      </c>
      <c r="W128" s="2">
        <v>2005</v>
      </c>
    </row>
    <row r="129" spans="1:23" ht="12.3" x14ac:dyDescent="0.4">
      <c r="A129" s="2" t="s">
        <v>103</v>
      </c>
      <c r="B129" s="2"/>
      <c r="C129" s="2"/>
      <c r="D129" s="2"/>
      <c r="E129" s="2"/>
      <c r="F129" s="2"/>
      <c r="G129" s="2"/>
      <c r="H129" s="2"/>
      <c r="I129" s="2">
        <v>67.524600000000007</v>
      </c>
      <c r="J129" s="2">
        <v>152</v>
      </c>
      <c r="K129" s="2">
        <v>67.354900000000001</v>
      </c>
      <c r="L129" s="2">
        <v>157</v>
      </c>
      <c r="M129" s="2">
        <v>100.5951</v>
      </c>
      <c r="N129" s="2">
        <v>189</v>
      </c>
      <c r="O129" s="2">
        <v>101.4529</v>
      </c>
      <c r="P129" s="2">
        <v>160</v>
      </c>
      <c r="Q129" s="2">
        <v>99.616600000000005</v>
      </c>
      <c r="R129" s="2">
        <v>120</v>
      </c>
      <c r="S129" s="2">
        <v>98.811499999999995</v>
      </c>
      <c r="T129" s="2">
        <v>98</v>
      </c>
      <c r="U129" s="2">
        <v>0.57526699999999997</v>
      </c>
      <c r="V129" s="2">
        <v>128</v>
      </c>
      <c r="W129" s="2">
        <v>2005</v>
      </c>
    </row>
    <row r="130" spans="1:23" ht="12.3" x14ac:dyDescent="0.4">
      <c r="A130" s="2" t="s">
        <v>132</v>
      </c>
      <c r="B130" s="2"/>
      <c r="C130" s="2"/>
      <c r="D130" s="2"/>
      <c r="E130" s="2"/>
      <c r="F130" s="2"/>
      <c r="G130" s="2"/>
      <c r="H130" s="2"/>
      <c r="I130" s="2">
        <v>60.116399999999999</v>
      </c>
      <c r="J130" s="2">
        <v>324</v>
      </c>
      <c r="K130" s="2">
        <v>60.294199999999996</v>
      </c>
      <c r="L130" s="2">
        <v>322</v>
      </c>
      <c r="M130" s="2">
        <v>102.04730000000001</v>
      </c>
      <c r="N130" s="2">
        <v>144</v>
      </c>
      <c r="O130" s="2">
        <v>101.4221</v>
      </c>
      <c r="P130" s="2">
        <v>161</v>
      </c>
      <c r="Q130" s="2">
        <v>101.0988</v>
      </c>
      <c r="R130" s="2">
        <v>155</v>
      </c>
      <c r="S130" s="2">
        <v>98.855599999999995</v>
      </c>
      <c r="T130" s="2">
        <v>100</v>
      </c>
      <c r="U130" s="2">
        <v>0.57316</v>
      </c>
      <c r="V130" s="2">
        <v>129</v>
      </c>
      <c r="W130" s="2">
        <v>2005</v>
      </c>
    </row>
    <row r="131" spans="1:23" ht="12.3" x14ac:dyDescent="0.4">
      <c r="A131" s="2" t="s">
        <v>140</v>
      </c>
      <c r="B131" s="2"/>
      <c r="C131" s="2"/>
      <c r="D131" s="2"/>
      <c r="E131" s="2"/>
      <c r="F131" s="2"/>
      <c r="G131" s="2"/>
      <c r="H131" s="2"/>
      <c r="I131" s="2">
        <v>65.725399999999993</v>
      </c>
      <c r="J131" s="2">
        <v>224</v>
      </c>
      <c r="K131" s="2">
        <v>65.012600000000006</v>
      </c>
      <c r="L131" s="2">
        <v>252</v>
      </c>
      <c r="M131" s="2">
        <v>102.7783</v>
      </c>
      <c r="N131" s="2">
        <v>131</v>
      </c>
      <c r="O131" s="2">
        <v>102.7989</v>
      </c>
      <c r="P131" s="2">
        <v>134</v>
      </c>
      <c r="Q131" s="2">
        <v>100.3788</v>
      </c>
      <c r="R131" s="2">
        <v>140</v>
      </c>
      <c r="S131" s="2">
        <v>100.5462</v>
      </c>
      <c r="T131" s="2">
        <v>138</v>
      </c>
      <c r="U131" s="2">
        <v>0.56335999999999997</v>
      </c>
      <c r="V131" s="2">
        <v>130</v>
      </c>
      <c r="W131" s="2">
        <v>2005</v>
      </c>
    </row>
    <row r="132" spans="1:23" ht="12.3" x14ac:dyDescent="0.4">
      <c r="A132" s="2" t="s">
        <v>154</v>
      </c>
      <c r="B132" s="2"/>
      <c r="C132" s="2"/>
      <c r="D132" s="2"/>
      <c r="E132" s="2"/>
      <c r="F132" s="2"/>
      <c r="G132" s="2"/>
      <c r="H132" s="2"/>
      <c r="I132" s="2">
        <v>62.646299999999997</v>
      </c>
      <c r="J132" s="2">
        <v>304</v>
      </c>
      <c r="K132" s="2">
        <v>63.1158</v>
      </c>
      <c r="L132" s="2">
        <v>302</v>
      </c>
      <c r="M132" s="2">
        <v>98.136499999999998</v>
      </c>
      <c r="N132" s="2">
        <v>229</v>
      </c>
      <c r="O132" s="2">
        <v>101.5852</v>
      </c>
      <c r="P132" s="2">
        <v>157</v>
      </c>
      <c r="Q132" s="2">
        <v>101.46120000000001</v>
      </c>
      <c r="R132" s="2">
        <v>167</v>
      </c>
      <c r="S132" s="2">
        <v>99.445400000000006</v>
      </c>
      <c r="T132" s="2">
        <v>116</v>
      </c>
      <c r="U132" s="2">
        <v>0.56090200000000001</v>
      </c>
      <c r="V132" s="2">
        <v>131</v>
      </c>
      <c r="W132" s="2">
        <v>2005</v>
      </c>
    </row>
    <row r="133" spans="1:23" ht="12.3" x14ac:dyDescent="0.4">
      <c r="A133" s="2" t="s">
        <v>134</v>
      </c>
      <c r="B133" s="2"/>
      <c r="C133" s="2"/>
      <c r="D133" s="2"/>
      <c r="E133" s="2"/>
      <c r="F133" s="2"/>
      <c r="G133" s="2"/>
      <c r="H133" s="2"/>
      <c r="I133" s="2">
        <v>66.525000000000006</v>
      </c>
      <c r="J133" s="2">
        <v>191</v>
      </c>
      <c r="K133" s="2">
        <v>66.066900000000004</v>
      </c>
      <c r="L133" s="2">
        <v>217</v>
      </c>
      <c r="M133" s="2">
        <v>105.2573</v>
      </c>
      <c r="N133" s="2">
        <v>83</v>
      </c>
      <c r="O133" s="2">
        <v>105.5311</v>
      </c>
      <c r="P133" s="2">
        <v>93</v>
      </c>
      <c r="Q133" s="2">
        <v>101.8541</v>
      </c>
      <c r="R133" s="2">
        <v>180</v>
      </c>
      <c r="S133" s="2">
        <v>103.4198</v>
      </c>
      <c r="T133" s="2">
        <v>207</v>
      </c>
      <c r="U133" s="2">
        <v>0.55784199999999995</v>
      </c>
      <c r="V133" s="2">
        <v>132</v>
      </c>
      <c r="W133" s="2">
        <v>2005</v>
      </c>
    </row>
    <row r="134" spans="1:23" ht="12.3" x14ac:dyDescent="0.4">
      <c r="A134" s="2" t="s">
        <v>66</v>
      </c>
      <c r="B134" s="2"/>
      <c r="C134" s="2"/>
      <c r="D134" s="2"/>
      <c r="E134" s="2"/>
      <c r="F134" s="2"/>
      <c r="G134" s="2"/>
      <c r="H134" s="2"/>
      <c r="I134" s="2">
        <v>66.089699999999993</v>
      </c>
      <c r="J134" s="2">
        <v>209</v>
      </c>
      <c r="K134" s="2">
        <v>65.879499999999993</v>
      </c>
      <c r="L134" s="2">
        <v>227</v>
      </c>
      <c r="M134" s="2">
        <v>103.4173</v>
      </c>
      <c r="N134" s="2">
        <v>123</v>
      </c>
      <c r="O134" s="2">
        <v>102.9996</v>
      </c>
      <c r="P134" s="2">
        <v>129</v>
      </c>
      <c r="Q134" s="2">
        <v>99.914400000000001</v>
      </c>
      <c r="R134" s="2">
        <v>127</v>
      </c>
      <c r="S134" s="2">
        <v>100.9877</v>
      </c>
      <c r="T134" s="2">
        <v>150</v>
      </c>
      <c r="U134" s="2">
        <v>0.556473</v>
      </c>
      <c r="V134" s="2">
        <v>133</v>
      </c>
      <c r="W134" s="2">
        <v>2005</v>
      </c>
    </row>
    <row r="135" spans="1:23" ht="12.3" x14ac:dyDescent="0.4">
      <c r="A135" s="2" t="s">
        <v>123</v>
      </c>
      <c r="B135" s="2"/>
      <c r="C135" s="2"/>
      <c r="D135" s="2"/>
      <c r="E135" s="2"/>
      <c r="F135" s="2"/>
      <c r="G135" s="2"/>
      <c r="H135" s="2"/>
      <c r="I135" s="2">
        <v>63.448799999999999</v>
      </c>
      <c r="J135" s="2">
        <v>294</v>
      </c>
      <c r="K135" s="2">
        <v>65.0535</v>
      </c>
      <c r="L135" s="2">
        <v>251</v>
      </c>
      <c r="M135" s="2">
        <v>100.44370000000001</v>
      </c>
      <c r="N135" s="2">
        <v>192</v>
      </c>
      <c r="O135" s="2">
        <v>104.6019</v>
      </c>
      <c r="P135" s="2">
        <v>108</v>
      </c>
      <c r="Q135" s="2">
        <v>109.3614</v>
      </c>
      <c r="R135" s="2">
        <v>309</v>
      </c>
      <c r="S135" s="2">
        <v>103.1049</v>
      </c>
      <c r="T135" s="2">
        <v>200</v>
      </c>
      <c r="U135" s="2">
        <v>0.54134800000000005</v>
      </c>
      <c r="V135" s="2">
        <v>134</v>
      </c>
      <c r="W135" s="2">
        <v>2005</v>
      </c>
    </row>
    <row r="136" spans="1:23" ht="12.3" x14ac:dyDescent="0.4">
      <c r="A136" s="2" t="s">
        <v>89</v>
      </c>
      <c r="B136" s="2"/>
      <c r="C136" s="2"/>
      <c r="D136" s="2"/>
      <c r="E136" s="2"/>
      <c r="F136" s="2"/>
      <c r="G136" s="2"/>
      <c r="H136" s="2"/>
      <c r="I136" s="2">
        <v>65.304500000000004</v>
      </c>
      <c r="J136" s="2">
        <v>242</v>
      </c>
      <c r="K136" s="2">
        <v>66.118899999999996</v>
      </c>
      <c r="L136" s="2">
        <v>215</v>
      </c>
      <c r="M136" s="2">
        <v>105.88679999999999</v>
      </c>
      <c r="N136" s="2">
        <v>67</v>
      </c>
      <c r="O136" s="2">
        <v>105.9866</v>
      </c>
      <c r="P136" s="2">
        <v>86</v>
      </c>
      <c r="Q136" s="2">
        <v>105.7495</v>
      </c>
      <c r="R136" s="2">
        <v>266</v>
      </c>
      <c r="S136" s="2">
        <v>104.4717</v>
      </c>
      <c r="T136" s="2">
        <v>227</v>
      </c>
      <c r="U136" s="2">
        <v>0.541296</v>
      </c>
      <c r="V136" s="2">
        <v>135</v>
      </c>
      <c r="W136" s="2">
        <v>2005</v>
      </c>
    </row>
    <row r="137" spans="1:23" ht="12.3" x14ac:dyDescent="0.4">
      <c r="A137" s="2" t="s">
        <v>245</v>
      </c>
      <c r="B137" s="2"/>
      <c r="C137" s="2"/>
      <c r="D137" s="2"/>
      <c r="E137" s="2"/>
      <c r="F137" s="2"/>
      <c r="G137" s="2"/>
      <c r="H137" s="2"/>
      <c r="I137" s="2">
        <v>69.8964</v>
      </c>
      <c r="J137" s="2">
        <v>79</v>
      </c>
      <c r="K137" s="2">
        <v>71.617599999999996</v>
      </c>
      <c r="L137" s="2">
        <v>30</v>
      </c>
      <c r="M137" s="2">
        <v>99.926599999999993</v>
      </c>
      <c r="N137" s="2">
        <v>202</v>
      </c>
      <c r="O137" s="2">
        <v>99.796800000000005</v>
      </c>
      <c r="P137" s="2">
        <v>194</v>
      </c>
      <c r="Q137" s="2">
        <v>101.7775</v>
      </c>
      <c r="R137" s="2">
        <v>178</v>
      </c>
      <c r="S137" s="2">
        <v>98.373500000000007</v>
      </c>
      <c r="T137" s="2">
        <v>90</v>
      </c>
      <c r="U137" s="2">
        <v>0.54120599999999996</v>
      </c>
      <c r="V137" s="2">
        <v>136</v>
      </c>
      <c r="W137" s="2">
        <v>2005</v>
      </c>
    </row>
    <row r="138" spans="1:23" ht="12.3" x14ac:dyDescent="0.4">
      <c r="A138" s="2" t="s">
        <v>113</v>
      </c>
      <c r="B138" s="2"/>
      <c r="C138" s="2"/>
      <c r="D138" s="2"/>
      <c r="E138" s="2"/>
      <c r="F138" s="2"/>
      <c r="G138" s="2"/>
      <c r="H138" s="2"/>
      <c r="I138" s="2">
        <v>68.590299999999999</v>
      </c>
      <c r="J138" s="2">
        <v>116</v>
      </c>
      <c r="K138" s="2">
        <v>68.674499999999995</v>
      </c>
      <c r="L138" s="2">
        <v>111</v>
      </c>
      <c r="M138" s="2">
        <v>101.6178</v>
      </c>
      <c r="N138" s="2">
        <v>159</v>
      </c>
      <c r="O138" s="2">
        <v>104.9541</v>
      </c>
      <c r="P138" s="2">
        <v>102</v>
      </c>
      <c r="Q138" s="2">
        <v>108.4286</v>
      </c>
      <c r="R138" s="2">
        <v>297</v>
      </c>
      <c r="S138" s="2">
        <v>103.4683</v>
      </c>
      <c r="T138" s="2">
        <v>210</v>
      </c>
      <c r="U138" s="2">
        <v>0.54090000000000005</v>
      </c>
      <c r="V138" s="2">
        <v>137</v>
      </c>
      <c r="W138" s="2">
        <v>2005</v>
      </c>
    </row>
    <row r="139" spans="1:23" ht="12.3" x14ac:dyDescent="0.4">
      <c r="A139" s="2" t="s">
        <v>57</v>
      </c>
      <c r="B139" s="2"/>
      <c r="C139" s="2"/>
      <c r="D139" s="2"/>
      <c r="E139" s="2"/>
      <c r="F139" s="2"/>
      <c r="G139" s="2"/>
      <c r="H139" s="2"/>
      <c r="I139" s="2">
        <v>68.926400000000001</v>
      </c>
      <c r="J139" s="2">
        <v>108</v>
      </c>
      <c r="K139" s="2">
        <v>67.606999999999999</v>
      </c>
      <c r="L139" s="2">
        <v>147</v>
      </c>
      <c r="M139" s="2">
        <v>97.497100000000003</v>
      </c>
      <c r="N139" s="2">
        <v>236</v>
      </c>
      <c r="O139" s="2">
        <v>99.841700000000003</v>
      </c>
      <c r="P139" s="2">
        <v>192</v>
      </c>
      <c r="Q139" s="2">
        <v>102.0025</v>
      </c>
      <c r="R139" s="2">
        <v>184</v>
      </c>
      <c r="S139" s="2">
        <v>98.430400000000006</v>
      </c>
      <c r="T139" s="2">
        <v>92</v>
      </c>
      <c r="U139" s="2">
        <v>0.54083899999999996</v>
      </c>
      <c r="V139" s="2">
        <v>138</v>
      </c>
      <c r="W139" s="2">
        <v>2005</v>
      </c>
    </row>
    <row r="140" spans="1:23" ht="12.3" x14ac:dyDescent="0.4">
      <c r="A140" s="2" t="s">
        <v>205</v>
      </c>
      <c r="B140" s="2"/>
      <c r="C140" s="2"/>
      <c r="D140" s="2"/>
      <c r="E140" s="2"/>
      <c r="F140" s="2"/>
      <c r="G140" s="2"/>
      <c r="H140" s="2"/>
      <c r="I140" s="2">
        <v>67.347700000000003</v>
      </c>
      <c r="J140" s="2">
        <v>159</v>
      </c>
      <c r="K140" s="2">
        <v>67.8964</v>
      </c>
      <c r="L140" s="2">
        <v>129</v>
      </c>
      <c r="M140" s="2">
        <v>101.77509999999999</v>
      </c>
      <c r="N140" s="2">
        <v>151</v>
      </c>
      <c r="O140" s="2">
        <v>103.7696</v>
      </c>
      <c r="P140" s="2">
        <v>117</v>
      </c>
      <c r="Q140" s="2">
        <v>105.3372</v>
      </c>
      <c r="R140" s="2">
        <v>257</v>
      </c>
      <c r="S140" s="2">
        <v>102.3296</v>
      </c>
      <c r="T140" s="2">
        <v>182</v>
      </c>
      <c r="U140" s="2">
        <v>0.54008800000000001</v>
      </c>
      <c r="V140" s="2">
        <v>139</v>
      </c>
      <c r="W140" s="2">
        <v>2005</v>
      </c>
    </row>
    <row r="141" spans="1:23" ht="12.3" x14ac:dyDescent="0.4">
      <c r="A141" s="2" t="s">
        <v>209</v>
      </c>
      <c r="B141" s="2"/>
      <c r="C141" s="2"/>
      <c r="D141" s="2"/>
      <c r="E141" s="2"/>
      <c r="F141" s="2"/>
      <c r="G141" s="2"/>
      <c r="H141" s="2"/>
      <c r="I141" s="2">
        <v>63.998899999999999</v>
      </c>
      <c r="J141" s="2">
        <v>282</v>
      </c>
      <c r="K141" s="2">
        <v>63.756599999999999</v>
      </c>
      <c r="L141" s="2">
        <v>290</v>
      </c>
      <c r="M141" s="2">
        <v>105.6284</v>
      </c>
      <c r="N141" s="2">
        <v>75</v>
      </c>
      <c r="O141" s="2">
        <v>106.2086</v>
      </c>
      <c r="P141" s="2">
        <v>79</v>
      </c>
      <c r="Q141" s="2">
        <v>107.11360000000001</v>
      </c>
      <c r="R141" s="2">
        <v>281</v>
      </c>
      <c r="S141" s="2">
        <v>104.74850000000001</v>
      </c>
      <c r="T141" s="2">
        <v>233</v>
      </c>
      <c r="U141" s="2">
        <v>0.53971599999999997</v>
      </c>
      <c r="V141" s="2">
        <v>140</v>
      </c>
      <c r="W141" s="2">
        <v>2005</v>
      </c>
    </row>
    <row r="142" spans="1:23" ht="12.3" x14ac:dyDescent="0.4">
      <c r="A142" s="2" t="s">
        <v>147</v>
      </c>
      <c r="B142" s="2"/>
      <c r="C142" s="2"/>
      <c r="D142" s="2"/>
      <c r="E142" s="2"/>
      <c r="F142" s="2"/>
      <c r="G142" s="2"/>
      <c r="H142" s="2"/>
      <c r="I142" s="2">
        <v>67.025199999999998</v>
      </c>
      <c r="J142" s="2">
        <v>171</v>
      </c>
      <c r="K142" s="2">
        <v>66.947699999999998</v>
      </c>
      <c r="L142" s="2">
        <v>176</v>
      </c>
      <c r="M142" s="2">
        <v>107.8699</v>
      </c>
      <c r="N142" s="2">
        <v>53</v>
      </c>
      <c r="O142" s="2">
        <v>106.5005</v>
      </c>
      <c r="P142" s="2">
        <v>75</v>
      </c>
      <c r="Q142" s="2">
        <v>102.4622</v>
      </c>
      <c r="R142" s="2">
        <v>200</v>
      </c>
      <c r="S142" s="2">
        <v>105.0866</v>
      </c>
      <c r="T142" s="2">
        <v>239</v>
      </c>
      <c r="U142" s="2">
        <v>0.53835</v>
      </c>
      <c r="V142" s="2">
        <v>141</v>
      </c>
      <c r="W142" s="2">
        <v>2005</v>
      </c>
    </row>
    <row r="143" spans="1:23" ht="12.3" x14ac:dyDescent="0.4">
      <c r="A143" s="2" t="s">
        <v>125</v>
      </c>
      <c r="B143" s="2"/>
      <c r="C143" s="2"/>
      <c r="D143" s="2"/>
      <c r="E143" s="2"/>
      <c r="F143" s="2"/>
      <c r="G143" s="2"/>
      <c r="H143" s="2"/>
      <c r="I143" s="2">
        <v>65.008200000000002</v>
      </c>
      <c r="J143" s="2">
        <v>255</v>
      </c>
      <c r="K143" s="2">
        <v>64.344200000000001</v>
      </c>
      <c r="L143" s="2">
        <v>279</v>
      </c>
      <c r="M143" s="2">
        <v>99.966499999999996</v>
      </c>
      <c r="N143" s="2">
        <v>200</v>
      </c>
      <c r="O143" s="2">
        <v>100.95650000000001</v>
      </c>
      <c r="P143" s="2">
        <v>173</v>
      </c>
      <c r="Q143" s="2">
        <v>101.58839999999999</v>
      </c>
      <c r="R143" s="2">
        <v>172</v>
      </c>
      <c r="S143" s="2">
        <v>99.666300000000007</v>
      </c>
      <c r="T143" s="2">
        <v>122</v>
      </c>
      <c r="U143" s="2">
        <v>0.53691100000000003</v>
      </c>
      <c r="V143" s="2">
        <v>142</v>
      </c>
      <c r="W143" s="2">
        <v>2005</v>
      </c>
    </row>
    <row r="144" spans="1:23" ht="12.3" x14ac:dyDescent="0.4">
      <c r="A144" s="2" t="s">
        <v>199</v>
      </c>
      <c r="B144" s="2"/>
      <c r="C144" s="2"/>
      <c r="D144" s="2"/>
      <c r="E144" s="2"/>
      <c r="F144" s="2"/>
      <c r="G144" s="2"/>
      <c r="H144" s="2"/>
      <c r="I144" s="2">
        <v>62.885800000000003</v>
      </c>
      <c r="J144" s="2">
        <v>301</v>
      </c>
      <c r="K144" s="2">
        <v>63.657899999999998</v>
      </c>
      <c r="L144" s="2">
        <v>294</v>
      </c>
      <c r="M144" s="2">
        <v>111.56399999999999</v>
      </c>
      <c r="N144" s="2">
        <v>25</v>
      </c>
      <c r="O144" s="2">
        <v>108.15519999999999</v>
      </c>
      <c r="P144" s="2">
        <v>56</v>
      </c>
      <c r="Q144" s="2">
        <v>108.58629999999999</v>
      </c>
      <c r="R144" s="2">
        <v>299</v>
      </c>
      <c r="S144" s="2">
        <v>106.96380000000001</v>
      </c>
      <c r="T144" s="2">
        <v>273</v>
      </c>
      <c r="U144" s="2">
        <v>0.53180499999999997</v>
      </c>
      <c r="V144" s="2">
        <v>143</v>
      </c>
      <c r="W144" s="2">
        <v>2005</v>
      </c>
    </row>
    <row r="145" spans="1:23" ht="12.3" x14ac:dyDescent="0.4">
      <c r="A145" s="2" t="s">
        <v>144</v>
      </c>
      <c r="B145" s="2"/>
      <c r="C145" s="2"/>
      <c r="D145" s="2"/>
      <c r="E145" s="2"/>
      <c r="F145" s="2"/>
      <c r="G145" s="2"/>
      <c r="H145" s="2"/>
      <c r="I145" s="2">
        <v>65.761200000000002</v>
      </c>
      <c r="J145" s="2">
        <v>221</v>
      </c>
      <c r="K145" s="2">
        <v>67.2256</v>
      </c>
      <c r="L145" s="2">
        <v>164</v>
      </c>
      <c r="M145" s="2">
        <v>105.033</v>
      </c>
      <c r="N145" s="2">
        <v>87</v>
      </c>
      <c r="O145" s="2">
        <v>106.34869999999999</v>
      </c>
      <c r="P145" s="2">
        <v>77</v>
      </c>
      <c r="Q145" s="2">
        <v>104.6465</v>
      </c>
      <c r="R145" s="2">
        <v>242</v>
      </c>
      <c r="S145" s="2">
        <v>105.2304</v>
      </c>
      <c r="T145" s="2">
        <v>243</v>
      </c>
      <c r="U145" s="2">
        <v>0.53035299999999996</v>
      </c>
      <c r="V145" s="2">
        <v>144</v>
      </c>
      <c r="W145" s="2">
        <v>2005</v>
      </c>
    </row>
    <row r="146" spans="1:23" ht="12.3" x14ac:dyDescent="0.4">
      <c r="A146" s="2" t="s">
        <v>324</v>
      </c>
      <c r="B146" s="2">
        <v>15</v>
      </c>
      <c r="C146" s="2"/>
      <c r="D146" s="2"/>
      <c r="E146" s="2"/>
      <c r="F146" s="2"/>
      <c r="G146" s="2"/>
      <c r="H146" s="2"/>
      <c r="I146" s="2">
        <v>66.597700000000003</v>
      </c>
      <c r="J146" s="2">
        <v>190</v>
      </c>
      <c r="K146" s="2">
        <v>66.765199999999993</v>
      </c>
      <c r="L146" s="2">
        <v>186</v>
      </c>
      <c r="M146" s="2">
        <v>105.208</v>
      </c>
      <c r="N146" s="2">
        <v>85</v>
      </c>
      <c r="O146" s="2">
        <v>101.0895</v>
      </c>
      <c r="P146" s="2">
        <v>169</v>
      </c>
      <c r="Q146" s="2">
        <v>100.41540000000001</v>
      </c>
      <c r="R146" s="2">
        <v>142</v>
      </c>
      <c r="S146" s="2">
        <v>100.1037</v>
      </c>
      <c r="T146" s="2">
        <v>130</v>
      </c>
      <c r="U146" s="2">
        <v>0.52814399999999995</v>
      </c>
      <c r="V146" s="2">
        <v>145</v>
      </c>
      <c r="W146" s="2">
        <v>2005</v>
      </c>
    </row>
    <row r="147" spans="1:23" ht="12.3" x14ac:dyDescent="0.4">
      <c r="A147" s="2" t="s">
        <v>176</v>
      </c>
      <c r="B147" s="2"/>
      <c r="C147" s="2"/>
      <c r="D147" s="2"/>
      <c r="E147" s="2"/>
      <c r="F147" s="2"/>
      <c r="G147" s="2"/>
      <c r="H147" s="2"/>
      <c r="I147" s="2">
        <v>53.728299999999997</v>
      </c>
      <c r="J147" s="2">
        <v>330</v>
      </c>
      <c r="K147" s="2">
        <v>54.2438</v>
      </c>
      <c r="L147" s="2">
        <v>330</v>
      </c>
      <c r="M147" s="2">
        <v>102.3439</v>
      </c>
      <c r="N147" s="2">
        <v>137</v>
      </c>
      <c r="O147" s="2">
        <v>104.00109999999999</v>
      </c>
      <c r="P147" s="2">
        <v>114</v>
      </c>
      <c r="Q147" s="2">
        <v>100.45</v>
      </c>
      <c r="R147" s="2">
        <v>143</v>
      </c>
      <c r="S147" s="2">
        <v>103.0012</v>
      </c>
      <c r="T147" s="2">
        <v>192</v>
      </c>
      <c r="U147" s="2">
        <v>0.52774600000000005</v>
      </c>
      <c r="V147" s="2">
        <v>146</v>
      </c>
      <c r="W147" s="2">
        <v>2005</v>
      </c>
    </row>
    <row r="148" spans="1:23" ht="12.3" x14ac:dyDescent="0.4">
      <c r="A148" s="2" t="s">
        <v>290</v>
      </c>
      <c r="B148" s="2"/>
      <c r="C148" s="2"/>
      <c r="D148" s="2"/>
      <c r="E148" s="2"/>
      <c r="F148" s="2"/>
      <c r="G148" s="2"/>
      <c r="H148" s="2"/>
      <c r="I148" s="2">
        <v>67.486500000000007</v>
      </c>
      <c r="J148" s="2">
        <v>154</v>
      </c>
      <c r="K148" s="2">
        <v>66.785200000000003</v>
      </c>
      <c r="L148" s="2">
        <v>185</v>
      </c>
      <c r="M148" s="2">
        <v>101.55970000000001</v>
      </c>
      <c r="N148" s="2">
        <v>161</v>
      </c>
      <c r="O148" s="2">
        <v>102.6671</v>
      </c>
      <c r="P148" s="2">
        <v>137</v>
      </c>
      <c r="Q148" s="2">
        <v>101.2764</v>
      </c>
      <c r="R148" s="2">
        <v>161</v>
      </c>
      <c r="S148" s="2">
        <v>101.68429999999999</v>
      </c>
      <c r="T148" s="2">
        <v>169</v>
      </c>
      <c r="U148" s="2">
        <v>0.52762799999999999</v>
      </c>
      <c r="V148" s="2">
        <v>147</v>
      </c>
      <c r="W148" s="2">
        <v>2005</v>
      </c>
    </row>
    <row r="149" spans="1:23" ht="12.3" x14ac:dyDescent="0.4">
      <c r="A149" s="2" t="s">
        <v>114</v>
      </c>
      <c r="B149" s="2"/>
      <c r="C149" s="2"/>
      <c r="D149" s="2"/>
      <c r="E149" s="2"/>
      <c r="F149" s="2"/>
      <c r="G149" s="2"/>
      <c r="H149" s="2"/>
      <c r="I149" s="2">
        <v>68.135300000000001</v>
      </c>
      <c r="J149" s="2">
        <v>131</v>
      </c>
      <c r="K149" s="2">
        <v>68.599100000000007</v>
      </c>
      <c r="L149" s="2">
        <v>115</v>
      </c>
      <c r="M149" s="2">
        <v>103.21259999999999</v>
      </c>
      <c r="N149" s="2">
        <v>124</v>
      </c>
      <c r="O149" s="2">
        <v>99.769099999999995</v>
      </c>
      <c r="P149" s="2">
        <v>195</v>
      </c>
      <c r="Q149" s="2">
        <v>100.02500000000001</v>
      </c>
      <c r="R149" s="2">
        <v>131</v>
      </c>
      <c r="S149" s="2">
        <v>99.123000000000005</v>
      </c>
      <c r="T149" s="2">
        <v>108</v>
      </c>
      <c r="U149" s="2">
        <v>0.51867099999999999</v>
      </c>
      <c r="V149" s="2">
        <v>148</v>
      </c>
      <c r="W149" s="2">
        <v>2005</v>
      </c>
    </row>
    <row r="150" spans="1:23" ht="12.3" x14ac:dyDescent="0.4">
      <c r="A150" s="2" t="s">
        <v>83</v>
      </c>
      <c r="B150" s="2"/>
      <c r="C150" s="2"/>
      <c r="D150" s="2"/>
      <c r="E150" s="2"/>
      <c r="F150" s="2"/>
      <c r="G150" s="2"/>
      <c r="H150" s="2"/>
      <c r="I150" s="2">
        <v>63.898899999999998</v>
      </c>
      <c r="J150" s="2">
        <v>283</v>
      </c>
      <c r="K150" s="2">
        <v>63.788800000000002</v>
      </c>
      <c r="L150" s="2">
        <v>289</v>
      </c>
      <c r="M150" s="2">
        <v>101.1324</v>
      </c>
      <c r="N150" s="2">
        <v>178</v>
      </c>
      <c r="O150" s="2">
        <v>98.473600000000005</v>
      </c>
      <c r="P150" s="2">
        <v>217</v>
      </c>
      <c r="Q150" s="2">
        <v>98.049099999999996</v>
      </c>
      <c r="R150" s="2">
        <v>85</v>
      </c>
      <c r="S150" s="2">
        <v>98.022800000000004</v>
      </c>
      <c r="T150" s="2">
        <v>84</v>
      </c>
      <c r="U150" s="2">
        <v>0.51319000000000004</v>
      </c>
      <c r="V150" s="2">
        <v>149</v>
      </c>
      <c r="W150" s="2">
        <v>2005</v>
      </c>
    </row>
    <row r="151" spans="1:23" ht="12.3" x14ac:dyDescent="0.4">
      <c r="A151" s="2" t="s">
        <v>225</v>
      </c>
      <c r="B151" s="2"/>
      <c r="C151" s="2"/>
      <c r="D151" s="2"/>
      <c r="E151" s="2"/>
      <c r="F151" s="2"/>
      <c r="G151" s="2"/>
      <c r="H151" s="2"/>
      <c r="I151" s="2">
        <v>72.601900000000001</v>
      </c>
      <c r="J151" s="2">
        <v>24</v>
      </c>
      <c r="K151" s="2">
        <v>71.951300000000003</v>
      </c>
      <c r="L151" s="2">
        <v>27</v>
      </c>
      <c r="M151" s="2">
        <v>96.709100000000007</v>
      </c>
      <c r="N151" s="2">
        <v>240</v>
      </c>
      <c r="O151" s="2">
        <v>96.275899999999993</v>
      </c>
      <c r="P151" s="2">
        <v>250</v>
      </c>
      <c r="Q151" s="2">
        <v>94.715400000000002</v>
      </c>
      <c r="R151" s="2">
        <v>36</v>
      </c>
      <c r="S151" s="2">
        <v>95.869200000000006</v>
      </c>
      <c r="T151" s="2">
        <v>53</v>
      </c>
      <c r="U151" s="2">
        <v>0.51216899999999999</v>
      </c>
      <c r="V151" s="2">
        <v>150</v>
      </c>
      <c r="W151" s="2">
        <v>2005</v>
      </c>
    </row>
    <row r="152" spans="1:23" ht="12.3" x14ac:dyDescent="0.4">
      <c r="A152" s="2" t="s">
        <v>94</v>
      </c>
      <c r="B152" s="2"/>
      <c r="C152" s="2"/>
      <c r="D152" s="2"/>
      <c r="E152" s="2"/>
      <c r="F152" s="2"/>
      <c r="G152" s="2"/>
      <c r="H152" s="2"/>
      <c r="I152" s="2">
        <v>69.676400000000001</v>
      </c>
      <c r="J152" s="2">
        <v>86</v>
      </c>
      <c r="K152" s="2">
        <v>68.628900000000002</v>
      </c>
      <c r="L152" s="2">
        <v>113</v>
      </c>
      <c r="M152" s="2">
        <v>100.04389999999999</v>
      </c>
      <c r="N152" s="2">
        <v>198</v>
      </c>
      <c r="O152" s="2">
        <v>101.0468</v>
      </c>
      <c r="P152" s="2">
        <v>170</v>
      </c>
      <c r="Q152" s="2">
        <v>100.3533</v>
      </c>
      <c r="R152" s="2">
        <v>139</v>
      </c>
      <c r="S152" s="2">
        <v>100.8081</v>
      </c>
      <c r="T152" s="2">
        <v>146</v>
      </c>
      <c r="U152" s="2">
        <v>0.50680000000000003</v>
      </c>
      <c r="V152" s="2">
        <v>151</v>
      </c>
      <c r="W152" s="2">
        <v>2005</v>
      </c>
    </row>
    <row r="153" spans="1:23" ht="12.3" x14ac:dyDescent="0.4">
      <c r="A153" s="2" t="s">
        <v>339</v>
      </c>
      <c r="B153" s="2"/>
      <c r="C153" s="2"/>
      <c r="D153" s="2"/>
      <c r="E153" s="2"/>
      <c r="F153" s="2"/>
      <c r="G153" s="2"/>
      <c r="H153" s="2"/>
      <c r="I153" s="2">
        <v>65.329400000000007</v>
      </c>
      <c r="J153" s="2">
        <v>239</v>
      </c>
      <c r="K153" s="2">
        <v>65.9786</v>
      </c>
      <c r="L153" s="2">
        <v>222</v>
      </c>
      <c r="M153" s="2">
        <v>102.3943</v>
      </c>
      <c r="N153" s="2">
        <v>135</v>
      </c>
      <c r="O153" s="2">
        <v>102.09520000000001</v>
      </c>
      <c r="P153" s="2">
        <v>147</v>
      </c>
      <c r="Q153" s="2">
        <v>98.139799999999994</v>
      </c>
      <c r="R153" s="2">
        <v>87</v>
      </c>
      <c r="S153" s="2">
        <v>101.99639999999999</v>
      </c>
      <c r="T153" s="2">
        <v>177</v>
      </c>
      <c r="U153" s="2">
        <v>0.50278199999999995</v>
      </c>
      <c r="V153" s="2">
        <v>152</v>
      </c>
      <c r="W153" s="2">
        <v>2005</v>
      </c>
    </row>
    <row r="154" spans="1:23" ht="12.3" x14ac:dyDescent="0.4">
      <c r="A154" s="2" t="s">
        <v>157</v>
      </c>
      <c r="B154" s="2"/>
      <c r="C154" s="2"/>
      <c r="D154" s="2"/>
      <c r="E154" s="2"/>
      <c r="F154" s="2"/>
      <c r="G154" s="2"/>
      <c r="H154" s="2"/>
      <c r="I154" s="2">
        <v>66.481800000000007</v>
      </c>
      <c r="J154" s="2">
        <v>193</v>
      </c>
      <c r="K154" s="2">
        <v>67.646100000000004</v>
      </c>
      <c r="L154" s="2">
        <v>143</v>
      </c>
      <c r="M154" s="2">
        <v>101.7328</v>
      </c>
      <c r="N154" s="2">
        <v>153</v>
      </c>
      <c r="O154" s="2">
        <v>101.5735</v>
      </c>
      <c r="P154" s="2">
        <v>158</v>
      </c>
      <c r="Q154" s="2">
        <v>104.18729999999999</v>
      </c>
      <c r="R154" s="2">
        <v>234</v>
      </c>
      <c r="S154" s="2">
        <v>101.53230000000001</v>
      </c>
      <c r="T154" s="2">
        <v>163</v>
      </c>
      <c r="U154" s="2">
        <v>0.50116799999999995</v>
      </c>
      <c r="V154" s="2">
        <v>153</v>
      </c>
      <c r="W154" s="2">
        <v>2005</v>
      </c>
    </row>
    <row r="155" spans="1:23" ht="12.3" x14ac:dyDescent="0.4">
      <c r="A155" s="2" t="s">
        <v>96</v>
      </c>
      <c r="B155" s="2"/>
      <c r="C155" s="2"/>
      <c r="D155" s="2"/>
      <c r="E155" s="2"/>
      <c r="F155" s="2"/>
      <c r="G155" s="2"/>
      <c r="H155" s="2"/>
      <c r="I155" s="2">
        <v>65.606200000000001</v>
      </c>
      <c r="J155" s="2">
        <v>231</v>
      </c>
      <c r="K155" s="2">
        <v>66.718699999999998</v>
      </c>
      <c r="L155" s="2">
        <v>188</v>
      </c>
      <c r="M155" s="2">
        <v>96.662099999999995</v>
      </c>
      <c r="N155" s="2">
        <v>241</v>
      </c>
      <c r="O155" s="2">
        <v>99.367400000000004</v>
      </c>
      <c r="P155" s="2">
        <v>203</v>
      </c>
      <c r="Q155" s="2">
        <v>105.23220000000001</v>
      </c>
      <c r="R155" s="2">
        <v>255</v>
      </c>
      <c r="S155" s="2">
        <v>99.372100000000003</v>
      </c>
      <c r="T155" s="2">
        <v>114</v>
      </c>
      <c r="U155" s="2">
        <v>0.499863</v>
      </c>
      <c r="V155" s="2">
        <v>154</v>
      </c>
      <c r="W155" s="2">
        <v>2005</v>
      </c>
    </row>
    <row r="156" spans="1:23" ht="12.3" x14ac:dyDescent="0.4">
      <c r="A156" s="2" t="s">
        <v>18</v>
      </c>
      <c r="B156" s="2"/>
      <c r="C156" s="2"/>
      <c r="D156" s="2"/>
      <c r="E156" s="2"/>
      <c r="F156" s="2"/>
      <c r="G156" s="2"/>
      <c r="H156" s="2"/>
      <c r="I156" s="2">
        <v>58.088799999999999</v>
      </c>
      <c r="J156" s="2">
        <v>327</v>
      </c>
      <c r="K156" s="2">
        <v>59.298900000000003</v>
      </c>
      <c r="L156" s="2">
        <v>327</v>
      </c>
      <c r="M156" s="2">
        <v>108.34139999999999</v>
      </c>
      <c r="N156" s="2">
        <v>49</v>
      </c>
      <c r="O156" s="2">
        <v>106.8969</v>
      </c>
      <c r="P156" s="2">
        <v>68</v>
      </c>
      <c r="Q156" s="2">
        <v>105.65770000000001</v>
      </c>
      <c r="R156" s="2">
        <v>263</v>
      </c>
      <c r="S156" s="2">
        <v>106.9552</v>
      </c>
      <c r="T156" s="2">
        <v>272</v>
      </c>
      <c r="U156" s="2">
        <v>0.49843199999999999</v>
      </c>
      <c r="V156" s="2">
        <v>155</v>
      </c>
      <c r="W156" s="2">
        <v>2005</v>
      </c>
    </row>
    <row r="157" spans="1:23" ht="12.3" x14ac:dyDescent="0.4">
      <c r="A157" s="2" t="s">
        <v>97</v>
      </c>
      <c r="B157" s="2"/>
      <c r="C157" s="2"/>
      <c r="D157" s="2"/>
      <c r="E157" s="2"/>
      <c r="F157" s="2"/>
      <c r="G157" s="2"/>
      <c r="H157" s="2"/>
      <c r="I157" s="2">
        <v>66.063999999999993</v>
      </c>
      <c r="J157" s="2">
        <v>211</v>
      </c>
      <c r="K157" s="2">
        <v>67.656000000000006</v>
      </c>
      <c r="L157" s="2">
        <v>142</v>
      </c>
      <c r="M157" s="2">
        <v>101.0187</v>
      </c>
      <c r="N157" s="2">
        <v>180</v>
      </c>
      <c r="O157" s="2">
        <v>104.7672</v>
      </c>
      <c r="P157" s="2">
        <v>105</v>
      </c>
      <c r="Q157" s="2">
        <v>107.8567</v>
      </c>
      <c r="R157" s="2">
        <v>289</v>
      </c>
      <c r="S157" s="2">
        <v>104.82899999999999</v>
      </c>
      <c r="T157" s="2">
        <v>236</v>
      </c>
      <c r="U157" s="2">
        <v>0.49830400000000002</v>
      </c>
      <c r="V157" s="2">
        <v>156</v>
      </c>
      <c r="W157" s="2">
        <v>2005</v>
      </c>
    </row>
    <row r="158" spans="1:23" ht="12.3" x14ac:dyDescent="0.4">
      <c r="A158" s="2" t="s">
        <v>291</v>
      </c>
      <c r="B158" s="2"/>
      <c r="C158" s="2"/>
      <c r="D158" s="2"/>
      <c r="E158" s="2"/>
      <c r="F158" s="2"/>
      <c r="G158" s="2"/>
      <c r="H158" s="2"/>
      <c r="I158" s="2">
        <v>69.820400000000006</v>
      </c>
      <c r="J158" s="2">
        <v>83</v>
      </c>
      <c r="K158" s="2">
        <v>69.0822</v>
      </c>
      <c r="L158" s="2">
        <v>92</v>
      </c>
      <c r="M158" s="2">
        <v>96.632999999999996</v>
      </c>
      <c r="N158" s="2">
        <v>242</v>
      </c>
      <c r="O158" s="2">
        <v>96.156199999999998</v>
      </c>
      <c r="P158" s="2">
        <v>252</v>
      </c>
      <c r="Q158" s="2">
        <v>100.39490000000001</v>
      </c>
      <c r="R158" s="2">
        <v>141</v>
      </c>
      <c r="S158" s="2">
        <v>96.230199999999996</v>
      </c>
      <c r="T158" s="2">
        <v>58</v>
      </c>
      <c r="U158" s="2">
        <v>0.49778800000000001</v>
      </c>
      <c r="V158" s="2">
        <v>157</v>
      </c>
      <c r="W158" s="2">
        <v>2005</v>
      </c>
    </row>
    <row r="159" spans="1:23" ht="12.3" x14ac:dyDescent="0.4">
      <c r="A159" s="2" t="s">
        <v>182</v>
      </c>
      <c r="B159" s="2"/>
      <c r="C159" s="2"/>
      <c r="D159" s="2"/>
      <c r="E159" s="2"/>
      <c r="F159" s="2"/>
      <c r="G159" s="2"/>
      <c r="H159" s="2"/>
      <c r="I159" s="2">
        <v>67.828400000000002</v>
      </c>
      <c r="J159" s="2">
        <v>139</v>
      </c>
      <c r="K159" s="2">
        <v>66.877099999999999</v>
      </c>
      <c r="L159" s="2">
        <v>179</v>
      </c>
      <c r="M159" s="2">
        <v>107.9543</v>
      </c>
      <c r="N159" s="2">
        <v>52</v>
      </c>
      <c r="O159" s="2">
        <v>106.5819</v>
      </c>
      <c r="P159" s="2">
        <v>74</v>
      </c>
      <c r="Q159" s="2">
        <v>104.6641</v>
      </c>
      <c r="R159" s="2">
        <v>244</v>
      </c>
      <c r="S159" s="2">
        <v>106.7127</v>
      </c>
      <c r="T159" s="2">
        <v>266</v>
      </c>
      <c r="U159" s="2">
        <v>0.49647200000000002</v>
      </c>
      <c r="V159" s="2">
        <v>158</v>
      </c>
      <c r="W159" s="2">
        <v>2005</v>
      </c>
    </row>
    <row r="160" spans="1:23" ht="12.3" x14ac:dyDescent="0.4">
      <c r="A160" s="2" t="s">
        <v>116</v>
      </c>
      <c r="B160" s="2"/>
      <c r="C160" s="2"/>
      <c r="D160" s="2"/>
      <c r="E160" s="2"/>
      <c r="F160" s="2"/>
      <c r="G160" s="2"/>
      <c r="H160" s="2"/>
      <c r="I160" s="2">
        <v>61.071399999999997</v>
      </c>
      <c r="J160" s="2">
        <v>319</v>
      </c>
      <c r="K160" s="2">
        <v>61.143700000000003</v>
      </c>
      <c r="L160" s="2">
        <v>317</v>
      </c>
      <c r="M160" s="2">
        <v>90.999899999999997</v>
      </c>
      <c r="N160" s="2">
        <v>308</v>
      </c>
      <c r="O160" s="2">
        <v>93.169700000000006</v>
      </c>
      <c r="P160" s="2">
        <v>292</v>
      </c>
      <c r="Q160" s="2">
        <v>98.034199999999998</v>
      </c>
      <c r="R160" s="2">
        <v>84</v>
      </c>
      <c r="S160" s="2">
        <v>93.296400000000006</v>
      </c>
      <c r="T160" s="2">
        <v>20</v>
      </c>
      <c r="U160" s="2">
        <v>0.49609300000000001</v>
      </c>
      <c r="V160" s="2">
        <v>159</v>
      </c>
      <c r="W160" s="2">
        <v>2005</v>
      </c>
    </row>
    <row r="161" spans="1:23" ht="12.3" x14ac:dyDescent="0.4">
      <c r="A161" s="2" t="s">
        <v>172</v>
      </c>
      <c r="B161" s="2"/>
      <c r="C161" s="2"/>
      <c r="D161" s="2"/>
      <c r="E161" s="2"/>
      <c r="F161" s="2"/>
      <c r="G161" s="2"/>
      <c r="H161" s="2"/>
      <c r="I161" s="2">
        <v>70.943799999999996</v>
      </c>
      <c r="J161" s="2">
        <v>45</v>
      </c>
      <c r="K161" s="2">
        <v>69.504000000000005</v>
      </c>
      <c r="L161" s="2">
        <v>77</v>
      </c>
      <c r="M161" s="2">
        <v>104.6754</v>
      </c>
      <c r="N161" s="2">
        <v>100</v>
      </c>
      <c r="O161" s="2">
        <v>103.81950000000001</v>
      </c>
      <c r="P161" s="2">
        <v>116</v>
      </c>
      <c r="Q161" s="2">
        <v>103.4336</v>
      </c>
      <c r="R161" s="2">
        <v>222</v>
      </c>
      <c r="S161" s="2">
        <v>103.98050000000001</v>
      </c>
      <c r="T161" s="2">
        <v>219</v>
      </c>
      <c r="U161" s="2">
        <v>0.49554599999999999</v>
      </c>
      <c r="V161" s="2">
        <v>160</v>
      </c>
      <c r="W161" s="2">
        <v>2005</v>
      </c>
    </row>
    <row r="162" spans="1:23" ht="12.3" x14ac:dyDescent="0.4">
      <c r="A162" s="2" t="s">
        <v>139</v>
      </c>
      <c r="B162" s="2"/>
      <c r="C162" s="2"/>
      <c r="D162" s="2"/>
      <c r="E162" s="2"/>
      <c r="F162" s="2"/>
      <c r="G162" s="2"/>
      <c r="H162" s="2"/>
      <c r="I162" s="2">
        <v>68.075199999999995</v>
      </c>
      <c r="J162" s="2">
        <v>133</v>
      </c>
      <c r="K162" s="2">
        <v>67.174999999999997</v>
      </c>
      <c r="L162" s="2">
        <v>166</v>
      </c>
      <c r="M162" s="2">
        <v>104.6892</v>
      </c>
      <c r="N162" s="2">
        <v>98</v>
      </c>
      <c r="O162" s="2">
        <v>101.87390000000001</v>
      </c>
      <c r="P162" s="2">
        <v>152</v>
      </c>
      <c r="Q162" s="2">
        <v>102.4851</v>
      </c>
      <c r="R162" s="2">
        <v>201</v>
      </c>
      <c r="S162" s="2">
        <v>102.23699999999999</v>
      </c>
      <c r="T162" s="2">
        <v>181</v>
      </c>
      <c r="U162" s="2">
        <v>0.48977300000000001</v>
      </c>
      <c r="V162" s="2">
        <v>161</v>
      </c>
      <c r="W162" s="2">
        <v>2005</v>
      </c>
    </row>
    <row r="163" spans="1:23" ht="12.3" x14ac:dyDescent="0.4">
      <c r="A163" s="2" t="s">
        <v>166</v>
      </c>
      <c r="B163" s="2">
        <v>15</v>
      </c>
      <c r="C163" s="2"/>
      <c r="D163" s="2"/>
      <c r="E163" s="2"/>
      <c r="F163" s="2"/>
      <c r="G163" s="2"/>
      <c r="H163" s="2"/>
      <c r="I163" s="2">
        <v>69.997699999999995</v>
      </c>
      <c r="J163" s="2">
        <v>75</v>
      </c>
      <c r="K163" s="2">
        <v>68.389899999999997</v>
      </c>
      <c r="L163" s="2">
        <v>117</v>
      </c>
      <c r="M163" s="2">
        <v>100.4572</v>
      </c>
      <c r="N163" s="2">
        <v>191</v>
      </c>
      <c r="O163" s="2">
        <v>97.890100000000004</v>
      </c>
      <c r="P163" s="2">
        <v>225</v>
      </c>
      <c r="Q163" s="2">
        <v>96.870800000000003</v>
      </c>
      <c r="R163" s="2">
        <v>58</v>
      </c>
      <c r="S163" s="2">
        <v>98.302199999999999</v>
      </c>
      <c r="T163" s="2">
        <v>86</v>
      </c>
      <c r="U163" s="2">
        <v>0.48792400000000002</v>
      </c>
      <c r="V163" s="2">
        <v>162</v>
      </c>
      <c r="W163" s="2">
        <v>2005</v>
      </c>
    </row>
    <row r="164" spans="1:23" ht="12.3" x14ac:dyDescent="0.4">
      <c r="A164" s="2" t="s">
        <v>105</v>
      </c>
      <c r="B164" s="2"/>
      <c r="C164" s="2"/>
      <c r="D164" s="2"/>
      <c r="E164" s="2"/>
      <c r="F164" s="2"/>
      <c r="G164" s="2"/>
      <c r="H164" s="2"/>
      <c r="I164" s="2">
        <v>70.266000000000005</v>
      </c>
      <c r="J164" s="2">
        <v>68</v>
      </c>
      <c r="K164" s="2">
        <v>68.746300000000005</v>
      </c>
      <c r="L164" s="2">
        <v>104</v>
      </c>
      <c r="M164" s="2">
        <v>101.7741</v>
      </c>
      <c r="N164" s="2">
        <v>152</v>
      </c>
      <c r="O164" s="2">
        <v>99.158199999999994</v>
      </c>
      <c r="P164" s="2">
        <v>207</v>
      </c>
      <c r="Q164" s="2">
        <v>95.518900000000002</v>
      </c>
      <c r="R164" s="2">
        <v>42</v>
      </c>
      <c r="S164" s="2">
        <v>99.609200000000001</v>
      </c>
      <c r="T164" s="2">
        <v>120</v>
      </c>
      <c r="U164" s="2">
        <v>0.48695500000000003</v>
      </c>
      <c r="V164" s="2">
        <v>163</v>
      </c>
      <c r="W164" s="2">
        <v>2005</v>
      </c>
    </row>
    <row r="165" spans="1:23" ht="12.3" x14ac:dyDescent="0.4">
      <c r="A165" s="2" t="s">
        <v>259</v>
      </c>
      <c r="B165" s="2"/>
      <c r="C165" s="2"/>
      <c r="D165" s="2"/>
      <c r="E165" s="2"/>
      <c r="F165" s="2"/>
      <c r="G165" s="2"/>
      <c r="H165" s="2"/>
      <c r="I165" s="2">
        <v>70.424599999999998</v>
      </c>
      <c r="J165" s="2">
        <v>63</v>
      </c>
      <c r="K165" s="2">
        <v>68.684600000000003</v>
      </c>
      <c r="L165" s="2">
        <v>109</v>
      </c>
      <c r="M165" s="2">
        <v>102.637</v>
      </c>
      <c r="N165" s="2">
        <v>132</v>
      </c>
      <c r="O165" s="2">
        <v>102.5014</v>
      </c>
      <c r="P165" s="2">
        <v>142</v>
      </c>
      <c r="Q165" s="2">
        <v>102.0745</v>
      </c>
      <c r="R165" s="2">
        <v>187</v>
      </c>
      <c r="S165" s="2">
        <v>103.056</v>
      </c>
      <c r="T165" s="2">
        <v>196</v>
      </c>
      <c r="U165" s="2">
        <v>0.484491</v>
      </c>
      <c r="V165" s="2">
        <v>164</v>
      </c>
      <c r="W165" s="2">
        <v>2005</v>
      </c>
    </row>
    <row r="166" spans="1:23" ht="12.3" x14ac:dyDescent="0.4">
      <c r="A166" s="2" t="s">
        <v>191</v>
      </c>
      <c r="B166" s="2"/>
      <c r="C166" s="2"/>
      <c r="D166" s="2"/>
      <c r="E166" s="2"/>
      <c r="F166" s="2"/>
      <c r="G166" s="2"/>
      <c r="H166" s="2"/>
      <c r="I166" s="2">
        <v>66.762</v>
      </c>
      <c r="J166" s="2">
        <v>184</v>
      </c>
      <c r="K166" s="2">
        <v>67.809200000000004</v>
      </c>
      <c r="L166" s="2">
        <v>136</v>
      </c>
      <c r="M166" s="2">
        <v>108.8156</v>
      </c>
      <c r="N166" s="2">
        <v>46</v>
      </c>
      <c r="O166" s="2">
        <v>105.8312</v>
      </c>
      <c r="P166" s="2">
        <v>88</v>
      </c>
      <c r="Q166" s="2">
        <v>108.3233</v>
      </c>
      <c r="R166" s="2">
        <v>295</v>
      </c>
      <c r="S166" s="2">
        <v>106.62560000000001</v>
      </c>
      <c r="T166" s="2">
        <v>262</v>
      </c>
      <c r="U166" s="2">
        <v>0.47851199999999999</v>
      </c>
      <c r="V166" s="2">
        <v>165</v>
      </c>
      <c r="W166" s="2">
        <v>2005</v>
      </c>
    </row>
    <row r="167" spans="1:23" ht="12.3" x14ac:dyDescent="0.4">
      <c r="A167" s="2" t="s">
        <v>292</v>
      </c>
      <c r="B167" s="2"/>
      <c r="C167" s="2"/>
      <c r="D167" s="2"/>
      <c r="E167" s="2"/>
      <c r="F167" s="2"/>
      <c r="G167" s="2"/>
      <c r="H167" s="2"/>
      <c r="I167" s="2">
        <v>67.447800000000001</v>
      </c>
      <c r="J167" s="2">
        <v>156</v>
      </c>
      <c r="K167" s="2">
        <v>67.804500000000004</v>
      </c>
      <c r="L167" s="2">
        <v>137</v>
      </c>
      <c r="M167" s="2">
        <v>104.7936</v>
      </c>
      <c r="N167" s="2">
        <v>96</v>
      </c>
      <c r="O167" s="2">
        <v>105.21729999999999</v>
      </c>
      <c r="P167" s="2">
        <v>97</v>
      </c>
      <c r="Q167" s="2">
        <v>108.0277</v>
      </c>
      <c r="R167" s="2">
        <v>293</v>
      </c>
      <c r="S167" s="2">
        <v>106.10680000000001</v>
      </c>
      <c r="T167" s="2">
        <v>254</v>
      </c>
      <c r="U167" s="2">
        <v>0.47581499999999999</v>
      </c>
      <c r="V167" s="2">
        <v>166</v>
      </c>
      <c r="W167" s="2">
        <v>2005</v>
      </c>
    </row>
    <row r="168" spans="1:23" ht="12.3" x14ac:dyDescent="0.4">
      <c r="A168" s="2" t="s">
        <v>303</v>
      </c>
      <c r="B168" s="2"/>
      <c r="C168" s="2"/>
      <c r="D168" s="2"/>
      <c r="E168" s="2"/>
      <c r="F168" s="2"/>
      <c r="G168" s="2"/>
      <c r="H168" s="2"/>
      <c r="I168" s="2">
        <v>65.230400000000003</v>
      </c>
      <c r="J168" s="2">
        <v>249</v>
      </c>
      <c r="K168" s="2">
        <v>65.347899999999996</v>
      </c>
      <c r="L168" s="2">
        <v>242</v>
      </c>
      <c r="M168" s="2">
        <v>103.6831</v>
      </c>
      <c r="N168" s="2">
        <v>115</v>
      </c>
      <c r="O168" s="2">
        <v>102.1938</v>
      </c>
      <c r="P168" s="2">
        <v>146</v>
      </c>
      <c r="Q168" s="2">
        <v>102.2795</v>
      </c>
      <c r="R168" s="2">
        <v>194</v>
      </c>
      <c r="S168" s="2">
        <v>103.0668</v>
      </c>
      <c r="T168" s="2">
        <v>198</v>
      </c>
      <c r="U168" s="2">
        <v>0.47556300000000001</v>
      </c>
      <c r="V168" s="2">
        <v>167</v>
      </c>
      <c r="W168" s="2">
        <v>2005</v>
      </c>
    </row>
    <row r="169" spans="1:23" ht="12.3" x14ac:dyDescent="0.4">
      <c r="A169" s="2" t="s">
        <v>153</v>
      </c>
      <c r="B169" s="2"/>
      <c r="C169" s="2"/>
      <c r="D169" s="2"/>
      <c r="E169" s="2"/>
      <c r="F169" s="2"/>
      <c r="G169" s="2"/>
      <c r="H169" s="2"/>
      <c r="I169" s="2">
        <v>77.025599999999997</v>
      </c>
      <c r="J169" s="2">
        <v>1</v>
      </c>
      <c r="K169" s="2">
        <v>76.004499999999993</v>
      </c>
      <c r="L169" s="2">
        <v>1</v>
      </c>
      <c r="M169" s="2">
        <v>101.214</v>
      </c>
      <c r="N169" s="2">
        <v>175</v>
      </c>
      <c r="O169" s="2">
        <v>99.253900000000002</v>
      </c>
      <c r="P169" s="2">
        <v>206</v>
      </c>
      <c r="Q169" s="2">
        <v>97.653199999999998</v>
      </c>
      <c r="R169" s="2">
        <v>70</v>
      </c>
      <c r="S169" s="2">
        <v>100.1378</v>
      </c>
      <c r="T169" s="2">
        <v>132</v>
      </c>
      <c r="U169" s="2">
        <v>0.47453099999999998</v>
      </c>
      <c r="V169" s="2">
        <v>168</v>
      </c>
      <c r="W169" s="2">
        <v>2005</v>
      </c>
    </row>
    <row r="170" spans="1:23" ht="12.3" x14ac:dyDescent="0.4">
      <c r="A170" s="2" t="s">
        <v>150</v>
      </c>
      <c r="B170" s="2"/>
      <c r="C170" s="2"/>
      <c r="D170" s="2"/>
      <c r="E170" s="2"/>
      <c r="F170" s="2"/>
      <c r="G170" s="2"/>
      <c r="H170" s="2"/>
      <c r="I170" s="2">
        <v>67.403999999999996</v>
      </c>
      <c r="J170" s="2">
        <v>157</v>
      </c>
      <c r="K170" s="2">
        <v>68.721900000000005</v>
      </c>
      <c r="L170" s="2">
        <v>106</v>
      </c>
      <c r="M170" s="2">
        <v>98.561000000000007</v>
      </c>
      <c r="N170" s="2">
        <v>223</v>
      </c>
      <c r="O170" s="2">
        <v>99.022599999999997</v>
      </c>
      <c r="P170" s="2">
        <v>209</v>
      </c>
      <c r="Q170" s="2">
        <v>102.598</v>
      </c>
      <c r="R170" s="2">
        <v>204</v>
      </c>
      <c r="S170" s="2">
        <v>99.918800000000005</v>
      </c>
      <c r="T170" s="2">
        <v>126</v>
      </c>
      <c r="U170" s="2">
        <v>0.47411799999999998</v>
      </c>
      <c r="V170" s="2">
        <v>169</v>
      </c>
      <c r="W170" s="2">
        <v>2005</v>
      </c>
    </row>
    <row r="171" spans="1:23" ht="12.3" x14ac:dyDescent="0.4">
      <c r="A171" s="2" t="s">
        <v>100</v>
      </c>
      <c r="B171" s="2"/>
      <c r="C171" s="2"/>
      <c r="D171" s="2"/>
      <c r="E171" s="2"/>
      <c r="F171" s="2"/>
      <c r="G171" s="2"/>
      <c r="H171" s="2"/>
      <c r="I171" s="2">
        <v>66.142700000000005</v>
      </c>
      <c r="J171" s="2">
        <v>204</v>
      </c>
      <c r="K171" s="2">
        <v>67.004800000000003</v>
      </c>
      <c r="L171" s="2">
        <v>174</v>
      </c>
      <c r="M171" s="2">
        <v>100.9597</v>
      </c>
      <c r="N171" s="2">
        <v>182</v>
      </c>
      <c r="O171" s="2">
        <v>101.69029999999999</v>
      </c>
      <c r="P171" s="2">
        <v>154</v>
      </c>
      <c r="Q171" s="2">
        <v>104.84139999999999</v>
      </c>
      <c r="R171" s="2">
        <v>248</v>
      </c>
      <c r="S171" s="2">
        <v>102.6272</v>
      </c>
      <c r="T171" s="2">
        <v>188</v>
      </c>
      <c r="U171" s="2">
        <v>0.47365699999999999</v>
      </c>
      <c r="V171" s="2">
        <v>170</v>
      </c>
      <c r="W171" s="2">
        <v>2005</v>
      </c>
    </row>
    <row r="172" spans="1:23" ht="12.3" x14ac:dyDescent="0.4">
      <c r="A172" s="2" t="s">
        <v>276</v>
      </c>
      <c r="B172" s="2"/>
      <c r="C172" s="2"/>
      <c r="D172" s="2"/>
      <c r="E172" s="2"/>
      <c r="F172" s="2"/>
      <c r="G172" s="2"/>
      <c r="H172" s="2"/>
      <c r="I172" s="2">
        <v>67.705699999999993</v>
      </c>
      <c r="J172" s="2">
        <v>147</v>
      </c>
      <c r="K172" s="2">
        <v>67.588099999999997</v>
      </c>
      <c r="L172" s="2">
        <v>148</v>
      </c>
      <c r="M172" s="2">
        <v>105.9534</v>
      </c>
      <c r="N172" s="2">
        <v>66</v>
      </c>
      <c r="O172" s="2">
        <v>102.55880000000001</v>
      </c>
      <c r="P172" s="2">
        <v>140</v>
      </c>
      <c r="Q172" s="2">
        <v>97.676500000000004</v>
      </c>
      <c r="R172" s="2">
        <v>73</v>
      </c>
      <c r="S172" s="2">
        <v>103.5111</v>
      </c>
      <c r="T172" s="2">
        <v>211</v>
      </c>
      <c r="U172" s="2">
        <v>0.47345399999999999</v>
      </c>
      <c r="V172" s="2">
        <v>171</v>
      </c>
      <c r="W172" s="2">
        <v>2005</v>
      </c>
    </row>
    <row r="173" spans="1:23" ht="12.3" x14ac:dyDescent="0.4">
      <c r="A173" s="2" t="s">
        <v>112</v>
      </c>
      <c r="B173" s="2"/>
      <c r="C173" s="2"/>
      <c r="D173" s="2"/>
      <c r="E173" s="2"/>
      <c r="F173" s="2"/>
      <c r="G173" s="2"/>
      <c r="H173" s="2"/>
      <c r="I173" s="2">
        <v>70.984999999999999</v>
      </c>
      <c r="J173" s="2">
        <v>43</v>
      </c>
      <c r="K173" s="2">
        <v>69.742400000000004</v>
      </c>
      <c r="L173" s="2">
        <v>71</v>
      </c>
      <c r="M173" s="2">
        <v>100.6507</v>
      </c>
      <c r="N173" s="2">
        <v>188</v>
      </c>
      <c r="O173" s="2">
        <v>99.856700000000004</v>
      </c>
      <c r="P173" s="2">
        <v>191</v>
      </c>
      <c r="Q173" s="2">
        <v>99.822900000000004</v>
      </c>
      <c r="R173" s="2">
        <v>124</v>
      </c>
      <c r="S173" s="2">
        <v>100.9186</v>
      </c>
      <c r="T173" s="2">
        <v>148</v>
      </c>
      <c r="U173" s="2">
        <v>0.46962500000000001</v>
      </c>
      <c r="V173" s="2">
        <v>172</v>
      </c>
      <c r="W173" s="2">
        <v>2005</v>
      </c>
    </row>
    <row r="174" spans="1:23" ht="12.3" x14ac:dyDescent="0.4">
      <c r="A174" s="2" t="s">
        <v>221</v>
      </c>
      <c r="B174" s="2"/>
      <c r="C174" s="2"/>
      <c r="D174" s="2"/>
      <c r="E174" s="2"/>
      <c r="F174" s="2"/>
      <c r="G174" s="2"/>
      <c r="H174" s="2"/>
      <c r="I174" s="2">
        <v>65.737700000000004</v>
      </c>
      <c r="J174" s="2">
        <v>222</v>
      </c>
      <c r="K174" s="2">
        <v>64.5124</v>
      </c>
      <c r="L174" s="2">
        <v>270</v>
      </c>
      <c r="M174" s="2">
        <v>101.6165</v>
      </c>
      <c r="N174" s="2">
        <v>160</v>
      </c>
      <c r="O174" s="2">
        <v>100.7715</v>
      </c>
      <c r="P174" s="2">
        <v>177</v>
      </c>
      <c r="Q174" s="2">
        <v>100.0488</v>
      </c>
      <c r="R174" s="2">
        <v>132</v>
      </c>
      <c r="S174" s="2">
        <v>101.86369999999999</v>
      </c>
      <c r="T174" s="2">
        <v>174</v>
      </c>
      <c r="U174" s="2">
        <v>0.46904699999999999</v>
      </c>
      <c r="V174" s="2">
        <v>173</v>
      </c>
      <c r="W174" s="2">
        <v>2005</v>
      </c>
    </row>
    <row r="175" spans="1:23" ht="12.3" x14ac:dyDescent="0.4">
      <c r="A175" s="2" t="s">
        <v>267</v>
      </c>
      <c r="B175" s="2"/>
      <c r="C175" s="2"/>
      <c r="D175" s="2"/>
      <c r="E175" s="2"/>
      <c r="F175" s="2"/>
      <c r="G175" s="2"/>
      <c r="H175" s="2"/>
      <c r="I175" s="2">
        <v>64.527500000000003</v>
      </c>
      <c r="J175" s="2">
        <v>268</v>
      </c>
      <c r="K175" s="2">
        <v>64.544799999999995</v>
      </c>
      <c r="L175" s="2">
        <v>268</v>
      </c>
      <c r="M175" s="2">
        <v>93.52</v>
      </c>
      <c r="N175" s="2">
        <v>282</v>
      </c>
      <c r="O175" s="2">
        <v>95.434200000000004</v>
      </c>
      <c r="P175" s="2">
        <v>263</v>
      </c>
      <c r="Q175" s="2">
        <v>99.395799999999994</v>
      </c>
      <c r="R175" s="2">
        <v>114</v>
      </c>
      <c r="S175" s="2">
        <v>96.5274</v>
      </c>
      <c r="T175" s="2">
        <v>63</v>
      </c>
      <c r="U175" s="2">
        <v>0.46729999999999999</v>
      </c>
      <c r="V175" s="2">
        <v>174</v>
      </c>
      <c r="W175" s="2">
        <v>2005</v>
      </c>
    </row>
    <row r="176" spans="1:23" ht="12.3" x14ac:dyDescent="0.4">
      <c r="A176" s="2" t="s">
        <v>266</v>
      </c>
      <c r="B176" s="2"/>
      <c r="C176" s="2"/>
      <c r="D176" s="2"/>
      <c r="E176" s="2"/>
      <c r="F176" s="2"/>
      <c r="G176" s="2"/>
      <c r="H176" s="2"/>
      <c r="I176" s="2">
        <v>75.697400000000002</v>
      </c>
      <c r="J176" s="2">
        <v>4</v>
      </c>
      <c r="K176" s="2">
        <v>75.084400000000002</v>
      </c>
      <c r="L176" s="2">
        <v>2</v>
      </c>
      <c r="M176" s="2">
        <v>102.3105</v>
      </c>
      <c r="N176" s="2">
        <v>139</v>
      </c>
      <c r="O176" s="2">
        <v>101.0415</v>
      </c>
      <c r="P176" s="2">
        <v>172</v>
      </c>
      <c r="Q176" s="2">
        <v>99.528599999999997</v>
      </c>
      <c r="R176" s="2">
        <v>118</v>
      </c>
      <c r="S176" s="2">
        <v>102.2167</v>
      </c>
      <c r="T176" s="2">
        <v>180</v>
      </c>
      <c r="U176" s="2">
        <v>0.46680199999999999</v>
      </c>
      <c r="V176" s="2">
        <v>175</v>
      </c>
      <c r="W176" s="2">
        <v>2005</v>
      </c>
    </row>
    <row r="177" spans="1:23" ht="12.3" x14ac:dyDescent="0.4">
      <c r="A177" s="2" t="s">
        <v>165</v>
      </c>
      <c r="B177" s="2">
        <v>16</v>
      </c>
      <c r="C177" s="2"/>
      <c r="D177" s="2"/>
      <c r="E177" s="2"/>
      <c r="F177" s="2"/>
      <c r="G177" s="2"/>
      <c r="H177" s="2"/>
      <c r="I177" s="2">
        <v>65.846599999999995</v>
      </c>
      <c r="J177" s="2">
        <v>218</v>
      </c>
      <c r="K177" s="2">
        <v>65.992500000000007</v>
      </c>
      <c r="L177" s="2">
        <v>221</v>
      </c>
      <c r="M177" s="2">
        <v>106.5184</v>
      </c>
      <c r="N177" s="2">
        <v>61</v>
      </c>
      <c r="O177" s="2">
        <v>106.3563</v>
      </c>
      <c r="P177" s="2">
        <v>76</v>
      </c>
      <c r="Q177" s="2">
        <v>110.8047</v>
      </c>
      <c r="R177" s="2">
        <v>321</v>
      </c>
      <c r="S177" s="2">
        <v>107.70480000000001</v>
      </c>
      <c r="T177" s="2">
        <v>281</v>
      </c>
      <c r="U177" s="2">
        <v>0.46384199999999998</v>
      </c>
      <c r="V177" s="2">
        <v>176</v>
      </c>
      <c r="W177" s="2">
        <v>2005</v>
      </c>
    </row>
    <row r="178" spans="1:23" ht="12.3" x14ac:dyDescent="0.4">
      <c r="A178" s="2" t="s">
        <v>315</v>
      </c>
      <c r="B178" s="2"/>
      <c r="C178" s="2"/>
      <c r="D178" s="2"/>
      <c r="E178" s="2"/>
      <c r="F178" s="2"/>
      <c r="G178" s="2"/>
      <c r="H178" s="2"/>
      <c r="I178" s="2">
        <v>64.168099999999995</v>
      </c>
      <c r="J178" s="2">
        <v>278</v>
      </c>
      <c r="K178" s="2">
        <v>64.341800000000006</v>
      </c>
      <c r="L178" s="2">
        <v>280</v>
      </c>
      <c r="M178" s="2">
        <v>96.473399999999998</v>
      </c>
      <c r="N178" s="2">
        <v>245</v>
      </c>
      <c r="O178" s="2">
        <v>97.998400000000004</v>
      </c>
      <c r="P178" s="2">
        <v>224</v>
      </c>
      <c r="Q178" s="2">
        <v>98.74</v>
      </c>
      <c r="R178" s="2">
        <v>101</v>
      </c>
      <c r="S178" s="2">
        <v>99.255899999999997</v>
      </c>
      <c r="T178" s="2">
        <v>111</v>
      </c>
      <c r="U178" s="2">
        <v>0.46340999999999999</v>
      </c>
      <c r="V178" s="2">
        <v>177</v>
      </c>
      <c r="W178" s="2">
        <v>2005</v>
      </c>
    </row>
    <row r="179" spans="1:23" ht="12.3" x14ac:dyDescent="0.4">
      <c r="A179" s="2" t="s">
        <v>335</v>
      </c>
      <c r="B179" s="2"/>
      <c r="C179" s="2"/>
      <c r="D179" s="2"/>
      <c r="E179" s="2"/>
      <c r="F179" s="2"/>
      <c r="G179" s="2"/>
      <c r="H179" s="2"/>
      <c r="I179" s="2">
        <v>74.201099999999997</v>
      </c>
      <c r="J179" s="2">
        <v>9</v>
      </c>
      <c r="K179" s="2">
        <v>73.857600000000005</v>
      </c>
      <c r="L179" s="2">
        <v>9</v>
      </c>
      <c r="M179" s="2">
        <v>105.4158</v>
      </c>
      <c r="N179" s="2">
        <v>80</v>
      </c>
      <c r="O179" s="2">
        <v>102.8777</v>
      </c>
      <c r="P179" s="2">
        <v>132</v>
      </c>
      <c r="Q179" s="2">
        <v>103.62090000000001</v>
      </c>
      <c r="R179" s="2">
        <v>224</v>
      </c>
      <c r="S179" s="2">
        <v>104.3651</v>
      </c>
      <c r="T179" s="2">
        <v>226</v>
      </c>
      <c r="U179" s="2">
        <v>0.45882499999999998</v>
      </c>
      <c r="V179" s="2">
        <v>178</v>
      </c>
      <c r="W179" s="2">
        <v>2005</v>
      </c>
    </row>
    <row r="180" spans="1:23" ht="12.3" x14ac:dyDescent="0.4">
      <c r="A180" s="2" t="s">
        <v>183</v>
      </c>
      <c r="B180" s="2"/>
      <c r="C180" s="2"/>
      <c r="D180" s="2"/>
      <c r="E180" s="2"/>
      <c r="F180" s="2"/>
      <c r="G180" s="2"/>
      <c r="H180" s="2"/>
      <c r="I180" s="2">
        <v>65.623800000000003</v>
      </c>
      <c r="J180" s="2">
        <v>230</v>
      </c>
      <c r="K180" s="2">
        <v>65.161000000000001</v>
      </c>
      <c r="L180" s="2">
        <v>250</v>
      </c>
      <c r="M180" s="2">
        <v>101.3035</v>
      </c>
      <c r="N180" s="2">
        <v>170</v>
      </c>
      <c r="O180" s="2">
        <v>101.84050000000001</v>
      </c>
      <c r="P180" s="2">
        <v>153</v>
      </c>
      <c r="Q180" s="2">
        <v>105.66719999999999</v>
      </c>
      <c r="R180" s="2">
        <v>264</v>
      </c>
      <c r="S180" s="2">
        <v>103.3609</v>
      </c>
      <c r="T180" s="2">
        <v>204</v>
      </c>
      <c r="U180" s="2">
        <v>0.45749899999999999</v>
      </c>
      <c r="V180" s="2">
        <v>179</v>
      </c>
      <c r="W180" s="2">
        <v>2005</v>
      </c>
    </row>
    <row r="181" spans="1:23" ht="12.3" x14ac:dyDescent="0.4">
      <c r="A181" s="2" t="s">
        <v>253</v>
      </c>
      <c r="B181" s="2"/>
      <c r="C181" s="2"/>
      <c r="D181" s="2"/>
      <c r="E181" s="2"/>
      <c r="F181" s="2"/>
      <c r="G181" s="2"/>
      <c r="H181" s="2"/>
      <c r="I181" s="2">
        <v>70.228700000000003</v>
      </c>
      <c r="J181" s="2">
        <v>71</v>
      </c>
      <c r="K181" s="2">
        <v>67.761300000000006</v>
      </c>
      <c r="L181" s="2">
        <v>138</v>
      </c>
      <c r="M181" s="2">
        <v>101.6242</v>
      </c>
      <c r="N181" s="2">
        <v>157</v>
      </c>
      <c r="O181" s="2">
        <v>100.63809999999999</v>
      </c>
      <c r="P181" s="2">
        <v>179</v>
      </c>
      <c r="Q181" s="2">
        <v>99.049000000000007</v>
      </c>
      <c r="R181" s="2">
        <v>109</v>
      </c>
      <c r="S181" s="2">
        <v>102.4547</v>
      </c>
      <c r="T181" s="2">
        <v>184</v>
      </c>
      <c r="U181" s="2">
        <v>0.44874799999999998</v>
      </c>
      <c r="V181" s="2">
        <v>180</v>
      </c>
      <c r="W181" s="2">
        <v>2005</v>
      </c>
    </row>
    <row r="182" spans="1:23" ht="12.3" x14ac:dyDescent="0.4">
      <c r="A182" s="2" t="s">
        <v>110</v>
      </c>
      <c r="B182" s="2"/>
      <c r="C182" s="2"/>
      <c r="D182" s="2"/>
      <c r="E182" s="2"/>
      <c r="F182" s="2"/>
      <c r="G182" s="2"/>
      <c r="H182" s="2"/>
      <c r="I182" s="2">
        <v>65.572800000000001</v>
      </c>
      <c r="J182" s="2">
        <v>233</v>
      </c>
      <c r="K182" s="2">
        <v>65.4559</v>
      </c>
      <c r="L182" s="2">
        <v>239</v>
      </c>
      <c r="M182" s="2">
        <v>101.97669999999999</v>
      </c>
      <c r="N182" s="2">
        <v>148</v>
      </c>
      <c r="O182" s="2">
        <v>102.0643</v>
      </c>
      <c r="P182" s="2">
        <v>148</v>
      </c>
      <c r="Q182" s="2">
        <v>103.0179</v>
      </c>
      <c r="R182" s="2">
        <v>215</v>
      </c>
      <c r="S182" s="2">
        <v>104.1099</v>
      </c>
      <c r="T182" s="2">
        <v>220</v>
      </c>
      <c r="U182" s="2">
        <v>0.443193</v>
      </c>
      <c r="V182" s="2">
        <v>181</v>
      </c>
      <c r="W182" s="2">
        <v>2005</v>
      </c>
    </row>
    <row r="183" spans="1:23" ht="12.3" x14ac:dyDescent="0.4">
      <c r="A183" s="2" t="s">
        <v>155</v>
      </c>
      <c r="B183" s="2"/>
      <c r="C183" s="2"/>
      <c r="D183" s="2"/>
      <c r="E183" s="2"/>
      <c r="F183" s="2"/>
      <c r="G183" s="2"/>
      <c r="H183" s="2"/>
      <c r="I183" s="2">
        <v>63.502600000000001</v>
      </c>
      <c r="J183" s="2">
        <v>291</v>
      </c>
      <c r="K183" s="2">
        <v>64.495199999999997</v>
      </c>
      <c r="L183" s="2">
        <v>272</v>
      </c>
      <c r="M183" s="2">
        <v>97.293099999999995</v>
      </c>
      <c r="N183" s="2">
        <v>237</v>
      </c>
      <c r="O183" s="2">
        <v>97.475800000000007</v>
      </c>
      <c r="P183" s="2">
        <v>233</v>
      </c>
      <c r="Q183" s="2">
        <v>100.06829999999999</v>
      </c>
      <c r="R183" s="2">
        <v>133</v>
      </c>
      <c r="S183" s="2">
        <v>99.438999999999993</v>
      </c>
      <c r="T183" s="2">
        <v>115</v>
      </c>
      <c r="U183" s="2">
        <v>0.44292199999999998</v>
      </c>
      <c r="V183" s="2">
        <v>182</v>
      </c>
      <c r="W183" s="2">
        <v>2005</v>
      </c>
    </row>
    <row r="184" spans="1:23" ht="12.3" x14ac:dyDescent="0.4">
      <c r="A184" s="2" t="s">
        <v>177</v>
      </c>
      <c r="B184" s="2">
        <v>15</v>
      </c>
      <c r="C184" s="2"/>
      <c r="D184" s="2"/>
      <c r="E184" s="2"/>
      <c r="F184" s="2"/>
      <c r="G184" s="2"/>
      <c r="H184" s="2"/>
      <c r="I184" s="2">
        <v>62.104199999999999</v>
      </c>
      <c r="J184" s="2">
        <v>310</v>
      </c>
      <c r="K184" s="2">
        <v>60.946399999999997</v>
      </c>
      <c r="L184" s="2">
        <v>320</v>
      </c>
      <c r="M184" s="2">
        <v>108.9913</v>
      </c>
      <c r="N184" s="2">
        <v>44</v>
      </c>
      <c r="O184" s="2">
        <v>103.82640000000001</v>
      </c>
      <c r="P184" s="2">
        <v>115</v>
      </c>
      <c r="Q184" s="2">
        <v>103.7912</v>
      </c>
      <c r="R184" s="2">
        <v>226</v>
      </c>
      <c r="S184" s="2">
        <v>105.9743</v>
      </c>
      <c r="T184" s="2">
        <v>252</v>
      </c>
      <c r="U184" s="2">
        <v>0.44140099999999999</v>
      </c>
      <c r="V184" s="2">
        <v>183</v>
      </c>
      <c r="W184" s="2">
        <v>2005</v>
      </c>
    </row>
    <row r="185" spans="1:23" ht="12.3" x14ac:dyDescent="0.4">
      <c r="A185" s="2" t="s">
        <v>241</v>
      </c>
      <c r="B185" s="2"/>
      <c r="C185" s="2"/>
      <c r="D185" s="2"/>
      <c r="E185" s="2"/>
      <c r="F185" s="2"/>
      <c r="G185" s="2"/>
      <c r="H185" s="2"/>
      <c r="I185" s="2">
        <v>69.844099999999997</v>
      </c>
      <c r="J185" s="2">
        <v>81</v>
      </c>
      <c r="K185" s="2">
        <v>68.743700000000004</v>
      </c>
      <c r="L185" s="2">
        <v>105</v>
      </c>
      <c r="M185" s="2">
        <v>101.3245</v>
      </c>
      <c r="N185" s="2">
        <v>169</v>
      </c>
      <c r="O185" s="2">
        <v>99.633399999999995</v>
      </c>
      <c r="P185" s="2">
        <v>198</v>
      </c>
      <c r="Q185" s="2">
        <v>101.145</v>
      </c>
      <c r="R185" s="2">
        <v>157</v>
      </c>
      <c r="S185" s="2">
        <v>101.7315</v>
      </c>
      <c r="T185" s="2">
        <v>170</v>
      </c>
      <c r="U185" s="2">
        <v>0.44037199999999999</v>
      </c>
      <c r="V185" s="2">
        <v>184</v>
      </c>
      <c r="W185" s="2">
        <v>2005</v>
      </c>
    </row>
    <row r="186" spans="1:23" ht="12.3" x14ac:dyDescent="0.4">
      <c r="A186" s="2" t="s">
        <v>227</v>
      </c>
      <c r="B186" s="2"/>
      <c r="C186" s="2"/>
      <c r="D186" s="2"/>
      <c r="E186" s="2"/>
      <c r="F186" s="2"/>
      <c r="G186" s="2"/>
      <c r="H186" s="2"/>
      <c r="I186" s="2">
        <v>64.643100000000004</v>
      </c>
      <c r="J186" s="2">
        <v>266</v>
      </c>
      <c r="K186" s="2">
        <v>65.600200000000001</v>
      </c>
      <c r="L186" s="2">
        <v>233</v>
      </c>
      <c r="M186" s="2">
        <v>99.283299999999997</v>
      </c>
      <c r="N186" s="2">
        <v>212</v>
      </c>
      <c r="O186" s="2">
        <v>98.6738</v>
      </c>
      <c r="P186" s="2">
        <v>211</v>
      </c>
      <c r="Q186" s="2">
        <v>102.0141</v>
      </c>
      <c r="R186" s="2">
        <v>185</v>
      </c>
      <c r="S186" s="2">
        <v>100.7567</v>
      </c>
      <c r="T186" s="2">
        <v>144</v>
      </c>
      <c r="U186" s="2">
        <v>0.44023000000000001</v>
      </c>
      <c r="V186" s="2">
        <v>185</v>
      </c>
      <c r="W186" s="2">
        <v>2005</v>
      </c>
    </row>
    <row r="187" spans="1:23" ht="12.3" x14ac:dyDescent="0.4">
      <c r="A187" s="2" t="s">
        <v>69</v>
      </c>
      <c r="B187" s="2"/>
      <c r="C187" s="2"/>
      <c r="D187" s="2"/>
      <c r="E187" s="2"/>
      <c r="F187" s="2"/>
      <c r="G187" s="2"/>
      <c r="H187" s="2"/>
      <c r="I187" s="2">
        <v>71.337500000000006</v>
      </c>
      <c r="J187" s="2">
        <v>38</v>
      </c>
      <c r="K187" s="2">
        <v>70.879199999999997</v>
      </c>
      <c r="L187" s="2">
        <v>42</v>
      </c>
      <c r="M187" s="2">
        <v>98.4238</v>
      </c>
      <c r="N187" s="2">
        <v>226</v>
      </c>
      <c r="O187" s="2">
        <v>97.410799999999995</v>
      </c>
      <c r="P187" s="2">
        <v>235</v>
      </c>
      <c r="Q187" s="2">
        <v>99.479900000000001</v>
      </c>
      <c r="R187" s="2">
        <v>116</v>
      </c>
      <c r="S187" s="2">
        <v>99.6006</v>
      </c>
      <c r="T187" s="2">
        <v>119</v>
      </c>
      <c r="U187" s="2">
        <v>0.43643300000000002</v>
      </c>
      <c r="V187" s="2">
        <v>186</v>
      </c>
      <c r="W187" s="2">
        <v>2005</v>
      </c>
    </row>
    <row r="188" spans="1:23" ht="12.3" x14ac:dyDescent="0.4">
      <c r="A188" s="2" t="s">
        <v>236</v>
      </c>
      <c r="B188" s="2"/>
      <c r="C188" s="2"/>
      <c r="D188" s="2"/>
      <c r="E188" s="2"/>
      <c r="F188" s="2"/>
      <c r="G188" s="2"/>
      <c r="H188" s="2"/>
      <c r="I188" s="2">
        <v>65.077600000000004</v>
      </c>
      <c r="J188" s="2">
        <v>254</v>
      </c>
      <c r="K188" s="2">
        <v>67.080200000000005</v>
      </c>
      <c r="L188" s="2">
        <v>170</v>
      </c>
      <c r="M188" s="2">
        <v>102.6071</v>
      </c>
      <c r="N188" s="2">
        <v>133</v>
      </c>
      <c r="O188" s="2">
        <v>102.3445</v>
      </c>
      <c r="P188" s="2">
        <v>143</v>
      </c>
      <c r="Q188" s="2">
        <v>105.4282</v>
      </c>
      <c r="R188" s="2">
        <v>260</v>
      </c>
      <c r="S188" s="2">
        <v>104.8998</v>
      </c>
      <c r="T188" s="2">
        <v>238</v>
      </c>
      <c r="U188" s="2">
        <v>0.42957099999999998</v>
      </c>
      <c r="V188" s="2">
        <v>187</v>
      </c>
      <c r="W188" s="2">
        <v>2005</v>
      </c>
    </row>
    <row r="189" spans="1:23" ht="12.3" x14ac:dyDescent="0.4">
      <c r="A189" s="2" t="s">
        <v>249</v>
      </c>
      <c r="B189" s="2"/>
      <c r="C189" s="2"/>
      <c r="D189" s="2"/>
      <c r="E189" s="2"/>
      <c r="F189" s="2"/>
      <c r="G189" s="2"/>
      <c r="H189" s="2"/>
      <c r="I189" s="2">
        <v>65.276200000000003</v>
      </c>
      <c r="J189" s="2">
        <v>245</v>
      </c>
      <c r="K189" s="2">
        <v>66.826899999999995</v>
      </c>
      <c r="L189" s="2">
        <v>182</v>
      </c>
      <c r="M189" s="2">
        <v>95.664500000000004</v>
      </c>
      <c r="N189" s="2">
        <v>261</v>
      </c>
      <c r="O189" s="2">
        <v>95.710400000000007</v>
      </c>
      <c r="P189" s="2">
        <v>260</v>
      </c>
      <c r="Q189" s="2">
        <v>98.607200000000006</v>
      </c>
      <c r="R189" s="2">
        <v>96</v>
      </c>
      <c r="S189" s="2">
        <v>98.294700000000006</v>
      </c>
      <c r="T189" s="2">
        <v>85</v>
      </c>
      <c r="U189" s="2">
        <v>0.42399500000000001</v>
      </c>
      <c r="V189" s="2">
        <v>188</v>
      </c>
      <c r="W189" s="2">
        <v>2005</v>
      </c>
    </row>
    <row r="190" spans="1:23" ht="12.3" x14ac:dyDescent="0.4">
      <c r="A190" s="2" t="s">
        <v>171</v>
      </c>
      <c r="B190" s="2"/>
      <c r="C190" s="2"/>
      <c r="D190" s="2"/>
      <c r="E190" s="2"/>
      <c r="F190" s="2"/>
      <c r="G190" s="2"/>
      <c r="H190" s="2"/>
      <c r="I190" s="2">
        <v>61.101399999999998</v>
      </c>
      <c r="J190" s="2">
        <v>318</v>
      </c>
      <c r="K190" s="2">
        <v>62.029699999999998</v>
      </c>
      <c r="L190" s="2">
        <v>312</v>
      </c>
      <c r="M190" s="2">
        <v>103.0099</v>
      </c>
      <c r="N190" s="2">
        <v>129</v>
      </c>
      <c r="O190" s="2">
        <v>102.6737</v>
      </c>
      <c r="P190" s="2">
        <v>136</v>
      </c>
      <c r="Q190" s="2">
        <v>104.21129999999999</v>
      </c>
      <c r="R190" s="2">
        <v>236</v>
      </c>
      <c r="S190" s="2">
        <v>105.53189999999999</v>
      </c>
      <c r="T190" s="2">
        <v>248</v>
      </c>
      <c r="U190" s="2">
        <v>0.421709</v>
      </c>
      <c r="V190" s="2">
        <v>189</v>
      </c>
      <c r="W190" s="2">
        <v>2005</v>
      </c>
    </row>
    <row r="191" spans="1:23" ht="12.3" x14ac:dyDescent="0.4">
      <c r="A191" s="2" t="s">
        <v>288</v>
      </c>
      <c r="B191" s="2"/>
      <c r="C191" s="2"/>
      <c r="D191" s="2"/>
      <c r="E191" s="2"/>
      <c r="F191" s="2"/>
      <c r="G191" s="2"/>
      <c r="H191" s="2"/>
      <c r="I191" s="2">
        <v>65.496099999999998</v>
      </c>
      <c r="J191" s="2">
        <v>236</v>
      </c>
      <c r="K191" s="2">
        <v>66.223299999999995</v>
      </c>
      <c r="L191" s="2">
        <v>210</v>
      </c>
      <c r="M191" s="2">
        <v>100.861</v>
      </c>
      <c r="N191" s="2">
        <v>185</v>
      </c>
      <c r="O191" s="2">
        <v>97.3309</v>
      </c>
      <c r="P191" s="2">
        <v>236</v>
      </c>
      <c r="Q191" s="2">
        <v>92.054199999999994</v>
      </c>
      <c r="R191" s="2">
        <v>12</v>
      </c>
      <c r="S191" s="2">
        <v>100.1219</v>
      </c>
      <c r="T191" s="2">
        <v>131</v>
      </c>
      <c r="U191" s="2">
        <v>0.41942800000000002</v>
      </c>
      <c r="V191" s="2">
        <v>190</v>
      </c>
      <c r="W191" s="2">
        <v>2005</v>
      </c>
    </row>
    <row r="192" spans="1:23" ht="12.3" x14ac:dyDescent="0.4">
      <c r="A192" s="2" t="s">
        <v>344</v>
      </c>
      <c r="B192" s="2">
        <v>16</v>
      </c>
      <c r="C192" s="2"/>
      <c r="D192" s="2"/>
      <c r="E192" s="2"/>
      <c r="F192" s="2"/>
      <c r="G192" s="2"/>
      <c r="H192" s="2"/>
      <c r="I192" s="2">
        <v>69.947400000000002</v>
      </c>
      <c r="J192" s="2">
        <v>76</v>
      </c>
      <c r="K192" s="2">
        <v>69.666499999999999</v>
      </c>
      <c r="L192" s="2">
        <v>74</v>
      </c>
      <c r="M192" s="2">
        <v>105.2655</v>
      </c>
      <c r="N192" s="2">
        <v>82</v>
      </c>
      <c r="O192" s="2">
        <v>100.8907</v>
      </c>
      <c r="P192" s="2">
        <v>175</v>
      </c>
      <c r="Q192" s="2">
        <v>100.3342</v>
      </c>
      <c r="R192" s="2">
        <v>138</v>
      </c>
      <c r="S192" s="2">
        <v>103.8184</v>
      </c>
      <c r="T192" s="2">
        <v>214</v>
      </c>
      <c r="U192" s="2">
        <v>0.41849199999999998</v>
      </c>
      <c r="V192" s="2">
        <v>191</v>
      </c>
      <c r="W192" s="2">
        <v>2005</v>
      </c>
    </row>
    <row r="193" spans="1:23" ht="12.3" x14ac:dyDescent="0.4">
      <c r="A193" s="2" t="s">
        <v>74</v>
      </c>
      <c r="B193" s="2"/>
      <c r="C193" s="2"/>
      <c r="D193" s="2"/>
      <c r="E193" s="2"/>
      <c r="F193" s="2"/>
      <c r="G193" s="2"/>
      <c r="H193" s="2"/>
      <c r="I193" s="2">
        <v>66.710300000000004</v>
      </c>
      <c r="J193" s="2">
        <v>185</v>
      </c>
      <c r="K193" s="2">
        <v>66.862399999999994</v>
      </c>
      <c r="L193" s="2">
        <v>180</v>
      </c>
      <c r="M193" s="2">
        <v>104.1041</v>
      </c>
      <c r="N193" s="2">
        <v>110</v>
      </c>
      <c r="O193" s="2">
        <v>103.1018</v>
      </c>
      <c r="P193" s="2">
        <v>126</v>
      </c>
      <c r="Q193" s="2">
        <v>108.2256</v>
      </c>
      <c r="R193" s="2">
        <v>294</v>
      </c>
      <c r="S193" s="2">
        <v>106.09439999999999</v>
      </c>
      <c r="T193" s="2">
        <v>253</v>
      </c>
      <c r="U193" s="2">
        <v>0.41847400000000001</v>
      </c>
      <c r="V193" s="2">
        <v>192</v>
      </c>
      <c r="W193" s="2">
        <v>2005</v>
      </c>
    </row>
    <row r="194" spans="1:23" ht="12.3" x14ac:dyDescent="0.4">
      <c r="A194" s="2" t="s">
        <v>226</v>
      </c>
      <c r="B194" s="2"/>
      <c r="C194" s="2"/>
      <c r="D194" s="2"/>
      <c r="E194" s="2"/>
      <c r="F194" s="2"/>
      <c r="G194" s="2"/>
      <c r="H194" s="2"/>
      <c r="I194" s="2">
        <v>65.284499999999994</v>
      </c>
      <c r="J194" s="2">
        <v>244</v>
      </c>
      <c r="K194" s="2">
        <v>65.379599999999996</v>
      </c>
      <c r="L194" s="2">
        <v>241</v>
      </c>
      <c r="M194" s="2">
        <v>100.9229</v>
      </c>
      <c r="N194" s="2">
        <v>184</v>
      </c>
      <c r="O194" s="2">
        <v>99.587900000000005</v>
      </c>
      <c r="P194" s="2">
        <v>199</v>
      </c>
      <c r="Q194" s="2">
        <v>99.199299999999994</v>
      </c>
      <c r="R194" s="2">
        <v>112</v>
      </c>
      <c r="S194" s="2">
        <v>102.542</v>
      </c>
      <c r="T194" s="2">
        <v>186</v>
      </c>
      <c r="U194" s="2">
        <v>0.41674299999999997</v>
      </c>
      <c r="V194" s="2">
        <v>193</v>
      </c>
      <c r="W194" s="2">
        <v>2005</v>
      </c>
    </row>
    <row r="195" spans="1:23" ht="12.3" x14ac:dyDescent="0.4">
      <c r="A195" s="2" t="s">
        <v>234</v>
      </c>
      <c r="B195" s="2">
        <v>16</v>
      </c>
      <c r="C195" s="2"/>
      <c r="D195" s="2"/>
      <c r="E195" s="2"/>
      <c r="F195" s="2"/>
      <c r="G195" s="2"/>
      <c r="H195" s="2"/>
      <c r="I195" s="2">
        <v>69.610699999999994</v>
      </c>
      <c r="J195" s="2">
        <v>87</v>
      </c>
      <c r="K195" s="2">
        <v>68.915499999999994</v>
      </c>
      <c r="L195" s="2">
        <v>96</v>
      </c>
      <c r="M195" s="2">
        <v>99.559100000000001</v>
      </c>
      <c r="N195" s="2">
        <v>208</v>
      </c>
      <c r="O195" s="2">
        <v>98.592200000000005</v>
      </c>
      <c r="P195" s="2">
        <v>215</v>
      </c>
      <c r="Q195" s="2">
        <v>98.957400000000007</v>
      </c>
      <c r="R195" s="2">
        <v>107</v>
      </c>
      <c r="S195" s="2">
        <v>101.63800000000001</v>
      </c>
      <c r="T195" s="2">
        <v>166</v>
      </c>
      <c r="U195" s="2">
        <v>0.41341</v>
      </c>
      <c r="V195" s="2">
        <v>194</v>
      </c>
      <c r="W195" s="2">
        <v>2005</v>
      </c>
    </row>
    <row r="196" spans="1:23" ht="12.3" x14ac:dyDescent="0.4">
      <c r="A196" s="2" t="s">
        <v>160</v>
      </c>
      <c r="B196" s="2"/>
      <c r="C196" s="2"/>
      <c r="D196" s="2"/>
      <c r="E196" s="2"/>
      <c r="F196" s="2"/>
      <c r="G196" s="2"/>
      <c r="H196" s="2"/>
      <c r="I196" s="2">
        <v>67.486699999999999</v>
      </c>
      <c r="J196" s="2">
        <v>153</v>
      </c>
      <c r="K196" s="2">
        <v>67.850399999999993</v>
      </c>
      <c r="L196" s="2">
        <v>135</v>
      </c>
      <c r="M196" s="2">
        <v>97.758700000000005</v>
      </c>
      <c r="N196" s="2">
        <v>232</v>
      </c>
      <c r="O196" s="2">
        <v>98.114999999999995</v>
      </c>
      <c r="P196" s="2">
        <v>221</v>
      </c>
      <c r="Q196" s="2">
        <v>101.196</v>
      </c>
      <c r="R196" s="2">
        <v>158</v>
      </c>
      <c r="S196" s="2">
        <v>101.2694</v>
      </c>
      <c r="T196" s="2">
        <v>159</v>
      </c>
      <c r="U196" s="2">
        <v>0.41001500000000002</v>
      </c>
      <c r="V196" s="2">
        <v>195</v>
      </c>
      <c r="W196" s="2">
        <v>2005</v>
      </c>
    </row>
    <row r="197" spans="1:23" ht="12.3" x14ac:dyDescent="0.4">
      <c r="A197" s="2" t="s">
        <v>206</v>
      </c>
      <c r="B197" s="2"/>
      <c r="C197" s="2"/>
      <c r="D197" s="2"/>
      <c r="E197" s="2"/>
      <c r="F197" s="2"/>
      <c r="G197" s="2"/>
      <c r="H197" s="2"/>
      <c r="I197" s="2">
        <v>68.352599999999995</v>
      </c>
      <c r="J197" s="2">
        <v>125</v>
      </c>
      <c r="K197" s="2">
        <v>67.924899999999994</v>
      </c>
      <c r="L197" s="2">
        <v>127</v>
      </c>
      <c r="M197" s="2">
        <v>91.047499999999999</v>
      </c>
      <c r="N197" s="2">
        <v>307</v>
      </c>
      <c r="O197" s="2">
        <v>95.166399999999996</v>
      </c>
      <c r="P197" s="2">
        <v>267</v>
      </c>
      <c r="Q197" s="2">
        <v>102.9817</v>
      </c>
      <c r="R197" s="2">
        <v>214</v>
      </c>
      <c r="S197" s="2">
        <v>98.325100000000006</v>
      </c>
      <c r="T197" s="2">
        <v>88</v>
      </c>
      <c r="U197" s="2">
        <v>0.40721000000000002</v>
      </c>
      <c r="V197" s="2">
        <v>196</v>
      </c>
      <c r="W197" s="2">
        <v>2005</v>
      </c>
    </row>
    <row r="198" spans="1:23" ht="12.3" x14ac:dyDescent="0.4">
      <c r="A198" s="2" t="s">
        <v>208</v>
      </c>
      <c r="B198" s="2"/>
      <c r="C198" s="2"/>
      <c r="D198" s="2"/>
      <c r="E198" s="2"/>
      <c r="F198" s="2"/>
      <c r="G198" s="2"/>
      <c r="H198" s="2"/>
      <c r="I198" s="2">
        <v>56.927999999999997</v>
      </c>
      <c r="J198" s="2">
        <v>328</v>
      </c>
      <c r="K198" s="2">
        <v>57.327399999999997</v>
      </c>
      <c r="L198" s="2">
        <v>328</v>
      </c>
      <c r="M198" s="2">
        <v>110.5133</v>
      </c>
      <c r="N198" s="2">
        <v>28</v>
      </c>
      <c r="O198" s="2">
        <v>108.0877</v>
      </c>
      <c r="P198" s="2">
        <v>58</v>
      </c>
      <c r="Q198" s="2">
        <v>109.53360000000001</v>
      </c>
      <c r="R198" s="2">
        <v>313</v>
      </c>
      <c r="S198" s="2">
        <v>111.75239999999999</v>
      </c>
      <c r="T198" s="2">
        <v>319</v>
      </c>
      <c r="U198" s="2">
        <v>0.40529599999999999</v>
      </c>
      <c r="V198" s="2">
        <v>197</v>
      </c>
      <c r="W198" s="2">
        <v>2005</v>
      </c>
    </row>
    <row r="199" spans="1:23" ht="12.3" x14ac:dyDescent="0.4">
      <c r="A199" s="2" t="s">
        <v>195</v>
      </c>
      <c r="B199" s="2"/>
      <c r="C199" s="2"/>
      <c r="D199" s="2"/>
      <c r="E199" s="2"/>
      <c r="F199" s="2"/>
      <c r="G199" s="2"/>
      <c r="H199" s="2"/>
      <c r="I199" s="2">
        <v>66.064099999999996</v>
      </c>
      <c r="J199" s="2">
        <v>210</v>
      </c>
      <c r="K199" s="2">
        <v>64.301699999999997</v>
      </c>
      <c r="L199" s="2">
        <v>283</v>
      </c>
      <c r="M199" s="2">
        <v>101.4294</v>
      </c>
      <c r="N199" s="2">
        <v>164</v>
      </c>
      <c r="O199" s="2">
        <v>99.992000000000004</v>
      </c>
      <c r="P199" s="2">
        <v>189</v>
      </c>
      <c r="Q199" s="2">
        <v>101.7604</v>
      </c>
      <c r="R199" s="2">
        <v>175</v>
      </c>
      <c r="S199" s="2">
        <v>103.40130000000001</v>
      </c>
      <c r="T199" s="2">
        <v>205</v>
      </c>
      <c r="U199" s="2">
        <v>0.40478700000000001</v>
      </c>
      <c r="V199" s="2">
        <v>198</v>
      </c>
      <c r="W199" s="2">
        <v>2005</v>
      </c>
    </row>
    <row r="200" spans="1:23" ht="12.3" x14ac:dyDescent="0.4">
      <c r="A200" s="2" t="s">
        <v>197</v>
      </c>
      <c r="B200" s="2"/>
      <c r="C200" s="2"/>
      <c r="D200" s="2"/>
      <c r="E200" s="2"/>
      <c r="F200" s="2"/>
      <c r="G200" s="2"/>
      <c r="H200" s="2"/>
      <c r="I200" s="2">
        <v>66.608900000000006</v>
      </c>
      <c r="J200" s="2">
        <v>189</v>
      </c>
      <c r="K200" s="2">
        <v>66.149100000000004</v>
      </c>
      <c r="L200" s="2">
        <v>213</v>
      </c>
      <c r="M200" s="2">
        <v>100.1279</v>
      </c>
      <c r="N200" s="2">
        <v>195</v>
      </c>
      <c r="O200" s="2">
        <v>102.8413</v>
      </c>
      <c r="P200" s="2">
        <v>133</v>
      </c>
      <c r="Q200" s="2">
        <v>110.89619999999999</v>
      </c>
      <c r="R200" s="2">
        <v>322</v>
      </c>
      <c r="S200" s="2">
        <v>106.74299999999999</v>
      </c>
      <c r="T200" s="2">
        <v>267</v>
      </c>
      <c r="U200" s="2">
        <v>0.39455000000000001</v>
      </c>
      <c r="V200" s="2">
        <v>199</v>
      </c>
      <c r="W200" s="2">
        <v>2005</v>
      </c>
    </row>
    <row r="201" spans="1:23" ht="12.3" x14ac:dyDescent="0.4">
      <c r="A201" s="2" t="s">
        <v>265</v>
      </c>
      <c r="B201" s="2">
        <v>16</v>
      </c>
      <c r="C201" s="2"/>
      <c r="D201" s="2"/>
      <c r="E201" s="2"/>
      <c r="F201" s="2"/>
      <c r="G201" s="2"/>
      <c r="H201" s="2"/>
      <c r="I201" s="2">
        <v>60.713000000000001</v>
      </c>
      <c r="J201" s="2">
        <v>322</v>
      </c>
      <c r="K201" s="2">
        <v>60.188000000000002</v>
      </c>
      <c r="L201" s="2">
        <v>323</v>
      </c>
      <c r="M201" s="2">
        <v>102.0196</v>
      </c>
      <c r="N201" s="2">
        <v>147</v>
      </c>
      <c r="O201" s="2">
        <v>102.5804</v>
      </c>
      <c r="P201" s="2">
        <v>138</v>
      </c>
      <c r="Q201" s="2">
        <v>101.5197</v>
      </c>
      <c r="R201" s="2">
        <v>169</v>
      </c>
      <c r="S201" s="2">
        <v>106.6371</v>
      </c>
      <c r="T201" s="2">
        <v>264</v>
      </c>
      <c r="U201" s="2">
        <v>0.39030700000000002</v>
      </c>
      <c r="V201" s="2">
        <v>200</v>
      </c>
      <c r="W201" s="2">
        <v>2005</v>
      </c>
    </row>
    <row r="202" spans="1:23" ht="12.3" x14ac:dyDescent="0.4">
      <c r="A202" s="2" t="s">
        <v>268</v>
      </c>
      <c r="B202" s="2"/>
      <c r="C202" s="2"/>
      <c r="D202" s="2"/>
      <c r="E202" s="2"/>
      <c r="F202" s="2"/>
      <c r="G202" s="2"/>
      <c r="H202" s="2"/>
      <c r="I202" s="2">
        <v>70.005200000000002</v>
      </c>
      <c r="J202" s="2">
        <v>74</v>
      </c>
      <c r="K202" s="2">
        <v>70.564400000000006</v>
      </c>
      <c r="L202" s="2">
        <v>45</v>
      </c>
      <c r="M202" s="2">
        <v>103.8381</v>
      </c>
      <c r="N202" s="2">
        <v>113</v>
      </c>
      <c r="O202" s="2">
        <v>102.9863</v>
      </c>
      <c r="P202" s="2">
        <v>130</v>
      </c>
      <c r="Q202" s="2">
        <v>108.8561</v>
      </c>
      <c r="R202" s="2">
        <v>302</v>
      </c>
      <c r="S202" s="2">
        <v>107.1125</v>
      </c>
      <c r="T202" s="2">
        <v>274</v>
      </c>
      <c r="U202" s="2">
        <v>0.38894099999999998</v>
      </c>
      <c r="V202" s="2">
        <v>201</v>
      </c>
      <c r="W202" s="2">
        <v>2005</v>
      </c>
    </row>
    <row r="203" spans="1:23" ht="12.3" x14ac:dyDescent="0.4">
      <c r="A203" s="2" t="s">
        <v>260</v>
      </c>
      <c r="B203" s="2"/>
      <c r="C203" s="2"/>
      <c r="D203" s="2"/>
      <c r="E203" s="2"/>
      <c r="F203" s="2"/>
      <c r="G203" s="2"/>
      <c r="H203" s="2"/>
      <c r="I203" s="2">
        <v>68.318899999999999</v>
      </c>
      <c r="J203" s="2">
        <v>126</v>
      </c>
      <c r="K203" s="2">
        <v>67.913600000000002</v>
      </c>
      <c r="L203" s="2">
        <v>128</v>
      </c>
      <c r="M203" s="2">
        <v>95.734399999999994</v>
      </c>
      <c r="N203" s="2">
        <v>260</v>
      </c>
      <c r="O203" s="2">
        <v>97.712100000000007</v>
      </c>
      <c r="P203" s="2">
        <v>229</v>
      </c>
      <c r="Q203" s="2">
        <v>101.5133</v>
      </c>
      <c r="R203" s="2">
        <v>168</v>
      </c>
      <c r="S203" s="2">
        <v>101.6332</v>
      </c>
      <c r="T203" s="2">
        <v>165</v>
      </c>
      <c r="U203" s="2">
        <v>0.38877400000000001</v>
      </c>
      <c r="V203" s="2">
        <v>202</v>
      </c>
      <c r="W203" s="2">
        <v>2005</v>
      </c>
    </row>
    <row r="204" spans="1:23" ht="12.3" x14ac:dyDescent="0.4">
      <c r="A204" s="2" t="s">
        <v>331</v>
      </c>
      <c r="B204" s="2"/>
      <c r="C204" s="2"/>
      <c r="D204" s="2"/>
      <c r="E204" s="2"/>
      <c r="F204" s="2"/>
      <c r="G204" s="2"/>
      <c r="H204" s="2"/>
      <c r="I204" s="2">
        <v>70.522099999999995</v>
      </c>
      <c r="J204" s="2">
        <v>60</v>
      </c>
      <c r="K204" s="2">
        <v>70.988600000000005</v>
      </c>
      <c r="L204" s="2">
        <v>39</v>
      </c>
      <c r="M204" s="2">
        <v>102.03230000000001</v>
      </c>
      <c r="N204" s="2">
        <v>145</v>
      </c>
      <c r="O204" s="2">
        <v>101.2343</v>
      </c>
      <c r="P204" s="2">
        <v>164</v>
      </c>
      <c r="Q204" s="2">
        <v>106.6712</v>
      </c>
      <c r="R204" s="2">
        <v>272</v>
      </c>
      <c r="S204" s="2">
        <v>105.4271</v>
      </c>
      <c r="T204" s="2">
        <v>246</v>
      </c>
      <c r="U204" s="2">
        <v>0.38539899999999999</v>
      </c>
      <c r="V204" s="2">
        <v>203</v>
      </c>
      <c r="W204" s="2">
        <v>2005</v>
      </c>
    </row>
    <row r="205" spans="1:23" ht="12.3" x14ac:dyDescent="0.4">
      <c r="A205" s="2" t="s">
        <v>185</v>
      </c>
      <c r="B205" s="2"/>
      <c r="C205" s="2"/>
      <c r="D205" s="2"/>
      <c r="E205" s="2"/>
      <c r="F205" s="2"/>
      <c r="G205" s="2"/>
      <c r="H205" s="2"/>
      <c r="I205" s="2">
        <v>74.867699999999999</v>
      </c>
      <c r="J205" s="2">
        <v>6</v>
      </c>
      <c r="K205" s="2">
        <v>73.827699999999993</v>
      </c>
      <c r="L205" s="2">
        <v>10</v>
      </c>
      <c r="M205" s="2">
        <v>100.657</v>
      </c>
      <c r="N205" s="2">
        <v>187</v>
      </c>
      <c r="O205" s="2">
        <v>99.0625</v>
      </c>
      <c r="P205" s="2">
        <v>208</v>
      </c>
      <c r="Q205" s="2">
        <v>101.128</v>
      </c>
      <c r="R205" s="2">
        <v>156</v>
      </c>
      <c r="S205" s="2">
        <v>103.3128</v>
      </c>
      <c r="T205" s="2">
        <v>202</v>
      </c>
      <c r="U205" s="2">
        <v>0.381517</v>
      </c>
      <c r="V205" s="2">
        <v>204</v>
      </c>
      <c r="W205" s="2">
        <v>2005</v>
      </c>
    </row>
    <row r="206" spans="1:23" ht="12.3" x14ac:dyDescent="0.4">
      <c r="A206" s="2" t="s">
        <v>127</v>
      </c>
      <c r="B206" s="2"/>
      <c r="C206" s="2"/>
      <c r="D206" s="2"/>
      <c r="E206" s="2"/>
      <c r="F206" s="2"/>
      <c r="G206" s="2"/>
      <c r="H206" s="2"/>
      <c r="I206" s="2">
        <v>72.674400000000006</v>
      </c>
      <c r="J206" s="2">
        <v>23</v>
      </c>
      <c r="K206" s="2">
        <v>70.797499999999999</v>
      </c>
      <c r="L206" s="2">
        <v>43</v>
      </c>
      <c r="M206" s="2">
        <v>95.912199999999999</v>
      </c>
      <c r="N206" s="2">
        <v>256</v>
      </c>
      <c r="O206" s="2">
        <v>97.608000000000004</v>
      </c>
      <c r="P206" s="2">
        <v>232</v>
      </c>
      <c r="Q206" s="2">
        <v>101.0617</v>
      </c>
      <c r="R206" s="2">
        <v>153</v>
      </c>
      <c r="S206" s="2">
        <v>101.9254</v>
      </c>
      <c r="T206" s="2">
        <v>175</v>
      </c>
      <c r="U206" s="2">
        <v>0.37807200000000002</v>
      </c>
      <c r="V206" s="2">
        <v>205</v>
      </c>
      <c r="W206" s="2">
        <v>2005</v>
      </c>
    </row>
    <row r="207" spans="1:23" ht="12.3" x14ac:dyDescent="0.4">
      <c r="A207" s="2" t="s">
        <v>285</v>
      </c>
      <c r="B207" s="2"/>
      <c r="C207" s="2"/>
      <c r="D207" s="2"/>
      <c r="E207" s="2"/>
      <c r="F207" s="2"/>
      <c r="G207" s="2"/>
      <c r="H207" s="2"/>
      <c r="I207" s="2">
        <v>65.229500000000002</v>
      </c>
      <c r="J207" s="2">
        <v>250</v>
      </c>
      <c r="K207" s="2">
        <v>65.471999999999994</v>
      </c>
      <c r="L207" s="2">
        <v>238</v>
      </c>
      <c r="M207" s="2">
        <v>100.09139999999999</v>
      </c>
      <c r="N207" s="2">
        <v>197</v>
      </c>
      <c r="O207" s="2">
        <v>98.533100000000005</v>
      </c>
      <c r="P207" s="2">
        <v>216</v>
      </c>
      <c r="Q207" s="2">
        <v>105.0142</v>
      </c>
      <c r="R207" s="2">
        <v>250</v>
      </c>
      <c r="S207" s="2">
        <v>103.07250000000001</v>
      </c>
      <c r="T207" s="2">
        <v>199</v>
      </c>
      <c r="U207" s="2">
        <v>0.37332900000000002</v>
      </c>
      <c r="V207" s="2">
        <v>206</v>
      </c>
      <c r="W207" s="2">
        <v>2005</v>
      </c>
    </row>
    <row r="208" spans="1:23" ht="12.3" x14ac:dyDescent="0.4">
      <c r="A208" s="2" t="s">
        <v>309</v>
      </c>
      <c r="B208" s="2"/>
      <c r="C208" s="2"/>
      <c r="D208" s="2"/>
      <c r="E208" s="2"/>
      <c r="F208" s="2"/>
      <c r="G208" s="2"/>
      <c r="H208" s="2"/>
      <c r="I208" s="2">
        <v>67.617800000000003</v>
      </c>
      <c r="J208" s="2">
        <v>149</v>
      </c>
      <c r="K208" s="2">
        <v>68.111800000000002</v>
      </c>
      <c r="L208" s="2">
        <v>122</v>
      </c>
      <c r="M208" s="2">
        <v>92.113</v>
      </c>
      <c r="N208" s="2">
        <v>301</v>
      </c>
      <c r="O208" s="2">
        <v>93.529300000000006</v>
      </c>
      <c r="P208" s="2">
        <v>290</v>
      </c>
      <c r="Q208" s="2">
        <v>96.0458</v>
      </c>
      <c r="R208" s="2">
        <v>47</v>
      </c>
      <c r="S208" s="2">
        <v>97.906999999999996</v>
      </c>
      <c r="T208" s="2">
        <v>82</v>
      </c>
      <c r="U208" s="2">
        <v>0.37143900000000002</v>
      </c>
      <c r="V208" s="2">
        <v>207</v>
      </c>
      <c r="W208" s="2">
        <v>2005</v>
      </c>
    </row>
    <row r="209" spans="1:23" ht="12.3" x14ac:dyDescent="0.4">
      <c r="A209" s="2" t="s">
        <v>326</v>
      </c>
      <c r="B209" s="2"/>
      <c r="C209" s="2"/>
      <c r="D209" s="2"/>
      <c r="E209" s="2"/>
      <c r="F209" s="2"/>
      <c r="G209" s="2"/>
      <c r="H209" s="2"/>
      <c r="I209" s="2">
        <v>64.729299999999995</v>
      </c>
      <c r="J209" s="2">
        <v>262</v>
      </c>
      <c r="K209" s="2">
        <v>65.248199999999997</v>
      </c>
      <c r="L209" s="2">
        <v>245</v>
      </c>
      <c r="M209" s="2">
        <v>94.696100000000001</v>
      </c>
      <c r="N209" s="2">
        <v>271</v>
      </c>
      <c r="O209" s="2">
        <v>94.442700000000002</v>
      </c>
      <c r="P209" s="2">
        <v>276</v>
      </c>
      <c r="Q209" s="2">
        <v>94.227000000000004</v>
      </c>
      <c r="R209" s="2">
        <v>31</v>
      </c>
      <c r="S209" s="2">
        <v>98.881900000000002</v>
      </c>
      <c r="T209" s="2">
        <v>103</v>
      </c>
      <c r="U209" s="2">
        <v>0.37092999999999998</v>
      </c>
      <c r="V209" s="2">
        <v>208</v>
      </c>
      <c r="W209" s="2">
        <v>2005</v>
      </c>
    </row>
    <row r="210" spans="1:23" ht="12.3" x14ac:dyDescent="0.4">
      <c r="A210" s="2" t="s">
        <v>211</v>
      </c>
      <c r="B210" s="2"/>
      <c r="C210" s="2"/>
      <c r="D210" s="2"/>
      <c r="E210" s="2"/>
      <c r="F210" s="2"/>
      <c r="G210" s="2"/>
      <c r="H210" s="2"/>
      <c r="I210" s="2">
        <v>69.897499999999994</v>
      </c>
      <c r="J210" s="2">
        <v>78</v>
      </c>
      <c r="K210" s="2">
        <v>68.613500000000002</v>
      </c>
      <c r="L210" s="2">
        <v>114</v>
      </c>
      <c r="M210" s="2">
        <v>101.64530000000001</v>
      </c>
      <c r="N210" s="2">
        <v>156</v>
      </c>
      <c r="O210" s="2">
        <v>96.647800000000004</v>
      </c>
      <c r="P210" s="2">
        <v>242</v>
      </c>
      <c r="Q210" s="2">
        <v>98.660200000000003</v>
      </c>
      <c r="R210" s="2">
        <v>97</v>
      </c>
      <c r="S210" s="2">
        <v>101.22450000000001</v>
      </c>
      <c r="T210" s="2">
        <v>158</v>
      </c>
      <c r="U210" s="2">
        <v>0.370033</v>
      </c>
      <c r="V210" s="2">
        <v>209</v>
      </c>
      <c r="W210" s="2">
        <v>2005</v>
      </c>
    </row>
    <row r="211" spans="1:23" ht="12.3" x14ac:dyDescent="0.4">
      <c r="A211" s="2" t="s">
        <v>251</v>
      </c>
      <c r="B211" s="2"/>
      <c r="C211" s="2"/>
      <c r="D211" s="2"/>
      <c r="E211" s="2"/>
      <c r="F211" s="2"/>
      <c r="G211" s="2"/>
      <c r="H211" s="2"/>
      <c r="I211" s="2">
        <v>63.422400000000003</v>
      </c>
      <c r="J211" s="2">
        <v>295</v>
      </c>
      <c r="K211" s="2">
        <v>62.973500000000001</v>
      </c>
      <c r="L211" s="2">
        <v>303</v>
      </c>
      <c r="M211" s="2">
        <v>100.4353</v>
      </c>
      <c r="N211" s="2">
        <v>193</v>
      </c>
      <c r="O211" s="2">
        <v>97.048599999999993</v>
      </c>
      <c r="P211" s="2">
        <v>239</v>
      </c>
      <c r="Q211" s="2">
        <v>99.925299999999993</v>
      </c>
      <c r="R211" s="2">
        <v>128</v>
      </c>
      <c r="S211" s="2">
        <v>101.82129999999999</v>
      </c>
      <c r="T211" s="2">
        <v>172</v>
      </c>
      <c r="U211" s="2">
        <v>0.36537900000000001</v>
      </c>
      <c r="V211" s="2">
        <v>210</v>
      </c>
      <c r="W211" s="2">
        <v>2005</v>
      </c>
    </row>
    <row r="212" spans="1:23" ht="12.3" x14ac:dyDescent="0.4">
      <c r="A212" s="2" t="s">
        <v>255</v>
      </c>
      <c r="B212" s="2"/>
      <c r="C212" s="2"/>
      <c r="D212" s="2"/>
      <c r="E212" s="2"/>
      <c r="F212" s="2"/>
      <c r="G212" s="2"/>
      <c r="H212" s="2"/>
      <c r="I212" s="2">
        <v>69.137699999999995</v>
      </c>
      <c r="J212" s="2">
        <v>98</v>
      </c>
      <c r="K212" s="2">
        <v>70.527699999999996</v>
      </c>
      <c r="L212" s="2">
        <v>48</v>
      </c>
      <c r="M212" s="2">
        <v>95.363399999999999</v>
      </c>
      <c r="N212" s="2">
        <v>264</v>
      </c>
      <c r="O212" s="2">
        <v>96.111900000000006</v>
      </c>
      <c r="P212" s="2">
        <v>253</v>
      </c>
      <c r="Q212" s="2">
        <v>98.903599999999997</v>
      </c>
      <c r="R212" s="2">
        <v>105</v>
      </c>
      <c r="S212" s="2">
        <v>100.8588</v>
      </c>
      <c r="T212" s="2">
        <v>147</v>
      </c>
      <c r="U212" s="2">
        <v>0.36484499999999997</v>
      </c>
      <c r="V212" s="2">
        <v>211</v>
      </c>
      <c r="W212" s="2">
        <v>2005</v>
      </c>
    </row>
    <row r="213" spans="1:23" ht="12.3" x14ac:dyDescent="0.4">
      <c r="A213" s="2" t="s">
        <v>104</v>
      </c>
      <c r="B213" s="2"/>
      <c r="C213" s="2"/>
      <c r="D213" s="2"/>
      <c r="E213" s="2"/>
      <c r="F213" s="2"/>
      <c r="G213" s="2"/>
      <c r="H213" s="2"/>
      <c r="I213" s="2">
        <v>61.548000000000002</v>
      </c>
      <c r="J213" s="2">
        <v>314</v>
      </c>
      <c r="K213" s="2">
        <v>61.444299999999998</v>
      </c>
      <c r="L213" s="2">
        <v>316</v>
      </c>
      <c r="M213" s="2">
        <v>95.8245</v>
      </c>
      <c r="N213" s="2">
        <v>259</v>
      </c>
      <c r="O213" s="2">
        <v>95.271100000000004</v>
      </c>
      <c r="P213" s="2">
        <v>265</v>
      </c>
      <c r="Q213" s="2">
        <v>101.8261</v>
      </c>
      <c r="R213" s="2">
        <v>179</v>
      </c>
      <c r="S213" s="2">
        <v>100.2411</v>
      </c>
      <c r="T213" s="2">
        <v>136</v>
      </c>
      <c r="U213" s="2">
        <v>0.35782999999999998</v>
      </c>
      <c r="V213" s="2">
        <v>212</v>
      </c>
      <c r="W213" s="2">
        <v>2005</v>
      </c>
    </row>
    <row r="214" spans="1:23" ht="12.3" x14ac:dyDescent="0.4">
      <c r="A214" s="2" t="s">
        <v>212</v>
      </c>
      <c r="B214" s="2"/>
      <c r="C214" s="2"/>
      <c r="D214" s="2"/>
      <c r="E214" s="2"/>
      <c r="F214" s="2"/>
      <c r="G214" s="2"/>
      <c r="H214" s="2"/>
      <c r="I214" s="2">
        <v>69.741699999999994</v>
      </c>
      <c r="J214" s="2">
        <v>85</v>
      </c>
      <c r="K214" s="2">
        <v>70.234499999999997</v>
      </c>
      <c r="L214" s="2">
        <v>52</v>
      </c>
      <c r="M214" s="2">
        <v>101.8061</v>
      </c>
      <c r="N214" s="2">
        <v>150</v>
      </c>
      <c r="O214" s="2">
        <v>103.2176</v>
      </c>
      <c r="P214" s="2">
        <v>124</v>
      </c>
      <c r="Q214" s="2">
        <v>107.37139999999999</v>
      </c>
      <c r="R214" s="2">
        <v>286</v>
      </c>
      <c r="S214" s="2">
        <v>108.62390000000001</v>
      </c>
      <c r="T214" s="2">
        <v>291</v>
      </c>
      <c r="U214" s="2">
        <v>0.35730000000000001</v>
      </c>
      <c r="V214" s="2">
        <v>213</v>
      </c>
      <c r="W214" s="2">
        <v>2005</v>
      </c>
    </row>
    <row r="215" spans="1:23" ht="12.3" x14ac:dyDescent="0.4">
      <c r="A215" s="2" t="s">
        <v>269</v>
      </c>
      <c r="B215" s="2"/>
      <c r="C215" s="2"/>
      <c r="D215" s="2"/>
      <c r="E215" s="2"/>
      <c r="F215" s="2"/>
      <c r="G215" s="2"/>
      <c r="H215" s="2"/>
      <c r="I215" s="2">
        <v>70.655799999999999</v>
      </c>
      <c r="J215" s="2">
        <v>54</v>
      </c>
      <c r="K215" s="2">
        <v>69.780100000000004</v>
      </c>
      <c r="L215" s="2">
        <v>68</v>
      </c>
      <c r="M215" s="2">
        <v>102.3871</v>
      </c>
      <c r="N215" s="2">
        <v>136</v>
      </c>
      <c r="O215" s="2">
        <v>97.738</v>
      </c>
      <c r="P215" s="2">
        <v>228</v>
      </c>
      <c r="Q215" s="2">
        <v>97.657200000000003</v>
      </c>
      <c r="R215" s="2">
        <v>71</v>
      </c>
      <c r="S215" s="2">
        <v>103.0578</v>
      </c>
      <c r="T215" s="2">
        <v>197</v>
      </c>
      <c r="U215" s="2">
        <v>0.35217500000000002</v>
      </c>
      <c r="V215" s="2">
        <v>214</v>
      </c>
      <c r="W215" s="2">
        <v>2005</v>
      </c>
    </row>
    <row r="216" spans="1:23" ht="12.3" x14ac:dyDescent="0.4">
      <c r="A216" s="2" t="s">
        <v>169</v>
      </c>
      <c r="B216" s="2"/>
      <c r="C216" s="2"/>
      <c r="D216" s="2"/>
      <c r="E216" s="2"/>
      <c r="F216" s="2"/>
      <c r="G216" s="2"/>
      <c r="H216" s="2"/>
      <c r="I216" s="2">
        <v>63.769199999999998</v>
      </c>
      <c r="J216" s="2">
        <v>285</v>
      </c>
      <c r="K216" s="2">
        <v>64.758899999999997</v>
      </c>
      <c r="L216" s="2">
        <v>261</v>
      </c>
      <c r="M216" s="2">
        <v>96.052999999999997</v>
      </c>
      <c r="N216" s="2">
        <v>254</v>
      </c>
      <c r="O216" s="2">
        <v>98.383300000000006</v>
      </c>
      <c r="P216" s="2">
        <v>219</v>
      </c>
      <c r="Q216" s="2">
        <v>104.80840000000001</v>
      </c>
      <c r="R216" s="2">
        <v>247</v>
      </c>
      <c r="S216" s="2">
        <v>103.749</v>
      </c>
      <c r="T216" s="2">
        <v>213</v>
      </c>
      <c r="U216" s="2">
        <v>0.35190100000000002</v>
      </c>
      <c r="V216" s="2">
        <v>215</v>
      </c>
      <c r="W216" s="2">
        <v>2005</v>
      </c>
    </row>
    <row r="217" spans="1:23" ht="12.3" x14ac:dyDescent="0.4">
      <c r="A217" s="2" t="s">
        <v>135</v>
      </c>
      <c r="B217" s="2"/>
      <c r="C217" s="2"/>
      <c r="D217" s="2"/>
      <c r="E217" s="2"/>
      <c r="F217" s="2"/>
      <c r="G217" s="2"/>
      <c r="H217" s="2"/>
      <c r="I217" s="2">
        <v>67.789400000000001</v>
      </c>
      <c r="J217" s="2">
        <v>140</v>
      </c>
      <c r="K217" s="2">
        <v>67.032600000000002</v>
      </c>
      <c r="L217" s="2">
        <v>172</v>
      </c>
      <c r="M217" s="2">
        <v>96.044200000000004</v>
      </c>
      <c r="N217" s="2">
        <v>255</v>
      </c>
      <c r="O217" s="2">
        <v>94.025899999999993</v>
      </c>
      <c r="P217" s="2">
        <v>281</v>
      </c>
      <c r="Q217" s="2">
        <v>93.745599999999996</v>
      </c>
      <c r="R217" s="2">
        <v>26</v>
      </c>
      <c r="S217" s="2">
        <v>99.221199999999996</v>
      </c>
      <c r="T217" s="2">
        <v>110</v>
      </c>
      <c r="U217" s="2">
        <v>0.35012599999999999</v>
      </c>
      <c r="V217" s="2">
        <v>216</v>
      </c>
      <c r="W217" s="2">
        <v>2005</v>
      </c>
    </row>
    <row r="218" spans="1:23" ht="12.3" x14ac:dyDescent="0.4">
      <c r="A218" s="2" t="s">
        <v>355</v>
      </c>
      <c r="B218" s="2"/>
      <c r="C218" s="2"/>
      <c r="D218" s="2"/>
      <c r="E218" s="2"/>
      <c r="F218" s="2"/>
      <c r="G218" s="2"/>
      <c r="H218" s="2"/>
      <c r="I218" s="2">
        <v>64.304299999999998</v>
      </c>
      <c r="J218" s="2">
        <v>274</v>
      </c>
      <c r="K218" s="2">
        <v>63.264299999999999</v>
      </c>
      <c r="L218" s="2">
        <v>298</v>
      </c>
      <c r="M218" s="2">
        <v>103.16889999999999</v>
      </c>
      <c r="N218" s="2">
        <v>125</v>
      </c>
      <c r="O218" s="2">
        <v>99.547799999999995</v>
      </c>
      <c r="P218" s="2">
        <v>200</v>
      </c>
      <c r="Q218" s="2">
        <v>103.31140000000001</v>
      </c>
      <c r="R218" s="2">
        <v>219</v>
      </c>
      <c r="S218" s="2">
        <v>105.0942</v>
      </c>
      <c r="T218" s="2">
        <v>240</v>
      </c>
      <c r="U218" s="2">
        <v>0.34898200000000001</v>
      </c>
      <c r="V218" s="2">
        <v>217</v>
      </c>
      <c r="W218" s="2">
        <v>2005</v>
      </c>
    </row>
    <row r="219" spans="1:23" ht="12.3" x14ac:dyDescent="0.4">
      <c r="A219" s="2" t="s">
        <v>244</v>
      </c>
      <c r="B219" s="2"/>
      <c r="C219" s="2"/>
      <c r="D219" s="2"/>
      <c r="E219" s="2"/>
      <c r="F219" s="2"/>
      <c r="G219" s="2"/>
      <c r="H219" s="2"/>
      <c r="I219" s="2">
        <v>68.177199999999999</v>
      </c>
      <c r="J219" s="2">
        <v>130</v>
      </c>
      <c r="K219" s="2">
        <v>66.584100000000007</v>
      </c>
      <c r="L219" s="2">
        <v>194</v>
      </c>
      <c r="M219" s="2">
        <v>101.4224</v>
      </c>
      <c r="N219" s="2">
        <v>165</v>
      </c>
      <c r="O219" s="2">
        <v>97.825599999999994</v>
      </c>
      <c r="P219" s="2">
        <v>227</v>
      </c>
      <c r="Q219" s="2">
        <v>100.712</v>
      </c>
      <c r="R219" s="2">
        <v>146</v>
      </c>
      <c r="S219" s="2">
        <v>103.31780000000001</v>
      </c>
      <c r="T219" s="2">
        <v>203</v>
      </c>
      <c r="U219" s="2">
        <v>0.34792600000000001</v>
      </c>
      <c r="V219" s="2">
        <v>218</v>
      </c>
      <c r="W219" s="2">
        <v>2005</v>
      </c>
    </row>
    <row r="220" spans="1:23" ht="12.3" x14ac:dyDescent="0.4">
      <c r="A220" s="2" t="s">
        <v>230</v>
      </c>
      <c r="B220" s="2"/>
      <c r="C220" s="2"/>
      <c r="D220" s="2"/>
      <c r="E220" s="2"/>
      <c r="F220" s="2"/>
      <c r="G220" s="2"/>
      <c r="H220" s="2"/>
      <c r="I220" s="2">
        <v>65.662499999999994</v>
      </c>
      <c r="J220" s="2">
        <v>226</v>
      </c>
      <c r="K220" s="2">
        <v>66.759900000000002</v>
      </c>
      <c r="L220" s="2">
        <v>187</v>
      </c>
      <c r="M220" s="2">
        <v>94.9084</v>
      </c>
      <c r="N220" s="2">
        <v>266</v>
      </c>
      <c r="O220" s="2">
        <v>98.663499999999999</v>
      </c>
      <c r="P220" s="2">
        <v>212</v>
      </c>
      <c r="Q220" s="2">
        <v>109.631</v>
      </c>
      <c r="R220" s="2">
        <v>314</v>
      </c>
      <c r="S220" s="2">
        <v>104.20480000000001</v>
      </c>
      <c r="T220" s="2">
        <v>224</v>
      </c>
      <c r="U220" s="2">
        <v>0.34787200000000001</v>
      </c>
      <c r="V220" s="2">
        <v>219</v>
      </c>
      <c r="W220" s="2">
        <v>2005</v>
      </c>
    </row>
    <row r="221" spans="1:23" ht="12.3" x14ac:dyDescent="0.4">
      <c r="A221" s="2" t="s">
        <v>222</v>
      </c>
      <c r="B221" s="2"/>
      <c r="C221" s="2"/>
      <c r="D221" s="2"/>
      <c r="E221" s="2"/>
      <c r="F221" s="2"/>
      <c r="G221" s="2"/>
      <c r="H221" s="2"/>
      <c r="I221" s="2">
        <v>68.486999999999995</v>
      </c>
      <c r="J221" s="2">
        <v>118</v>
      </c>
      <c r="K221" s="2">
        <v>69.472899999999996</v>
      </c>
      <c r="L221" s="2">
        <v>80</v>
      </c>
      <c r="M221" s="2">
        <v>98.644199999999998</v>
      </c>
      <c r="N221" s="2">
        <v>222</v>
      </c>
      <c r="O221" s="2">
        <v>98.094899999999996</v>
      </c>
      <c r="P221" s="2">
        <v>222</v>
      </c>
      <c r="Q221" s="2">
        <v>105.24639999999999</v>
      </c>
      <c r="R221" s="2">
        <v>256</v>
      </c>
      <c r="S221" s="2">
        <v>103.6591</v>
      </c>
      <c r="T221" s="2">
        <v>212</v>
      </c>
      <c r="U221" s="2">
        <v>0.34649400000000002</v>
      </c>
      <c r="V221" s="2">
        <v>220</v>
      </c>
      <c r="W221" s="2">
        <v>2005</v>
      </c>
    </row>
    <row r="222" spans="1:23" ht="12.3" x14ac:dyDescent="0.4">
      <c r="A222" s="2" t="s">
        <v>287</v>
      </c>
      <c r="B222" s="2"/>
      <c r="C222" s="2"/>
      <c r="D222" s="2"/>
      <c r="E222" s="2"/>
      <c r="F222" s="2"/>
      <c r="G222" s="2"/>
      <c r="H222" s="2"/>
      <c r="I222" s="2">
        <v>64.798100000000005</v>
      </c>
      <c r="J222" s="2">
        <v>260</v>
      </c>
      <c r="K222" s="2">
        <v>64.494600000000005</v>
      </c>
      <c r="L222" s="2">
        <v>273</v>
      </c>
      <c r="M222" s="2">
        <v>92.918899999999994</v>
      </c>
      <c r="N222" s="2">
        <v>289</v>
      </c>
      <c r="O222" s="2">
        <v>95.392099999999999</v>
      </c>
      <c r="P222" s="2">
        <v>264</v>
      </c>
      <c r="Q222" s="2">
        <v>102.1553</v>
      </c>
      <c r="R222" s="2">
        <v>193</v>
      </c>
      <c r="S222" s="2">
        <v>101.0367</v>
      </c>
      <c r="T222" s="2">
        <v>153</v>
      </c>
      <c r="U222" s="2">
        <v>0.34048800000000001</v>
      </c>
      <c r="V222" s="2">
        <v>221</v>
      </c>
      <c r="W222" s="2">
        <v>2005</v>
      </c>
    </row>
    <row r="223" spans="1:23" ht="12.3" x14ac:dyDescent="0.4">
      <c r="A223" s="2" t="s">
        <v>323</v>
      </c>
      <c r="B223" s="2"/>
      <c r="C223" s="2"/>
      <c r="D223" s="2"/>
      <c r="E223" s="2"/>
      <c r="F223" s="2"/>
      <c r="G223" s="2"/>
      <c r="H223" s="2"/>
      <c r="I223" s="2">
        <v>61.392699999999998</v>
      </c>
      <c r="J223" s="2">
        <v>316</v>
      </c>
      <c r="K223" s="2">
        <v>61.109099999999998</v>
      </c>
      <c r="L223" s="2">
        <v>318</v>
      </c>
      <c r="M223" s="2">
        <v>104.4311</v>
      </c>
      <c r="N223" s="2">
        <v>104</v>
      </c>
      <c r="O223" s="2">
        <v>101.6045</v>
      </c>
      <c r="P223" s="2">
        <v>156</v>
      </c>
      <c r="Q223" s="2">
        <v>102.8751</v>
      </c>
      <c r="R223" s="2">
        <v>209</v>
      </c>
      <c r="S223" s="2">
        <v>107.64</v>
      </c>
      <c r="T223" s="2">
        <v>280</v>
      </c>
      <c r="U223" s="2">
        <v>0.33993000000000001</v>
      </c>
      <c r="V223" s="2">
        <v>222</v>
      </c>
      <c r="W223" s="2">
        <v>2005</v>
      </c>
    </row>
    <row r="224" spans="1:23" ht="12.3" x14ac:dyDescent="0.4">
      <c r="A224" s="2" t="s">
        <v>333</v>
      </c>
      <c r="B224" s="2"/>
      <c r="C224" s="2"/>
      <c r="D224" s="2"/>
      <c r="E224" s="2"/>
      <c r="F224" s="2"/>
      <c r="G224" s="2"/>
      <c r="H224" s="2"/>
      <c r="I224" s="2">
        <v>62.556600000000003</v>
      </c>
      <c r="J224" s="2">
        <v>307</v>
      </c>
      <c r="K224" s="2">
        <v>63.6</v>
      </c>
      <c r="L224" s="2">
        <v>296</v>
      </c>
      <c r="M224" s="2">
        <v>101.2052</v>
      </c>
      <c r="N224" s="2">
        <v>176</v>
      </c>
      <c r="O224" s="2">
        <v>100.6375</v>
      </c>
      <c r="P224" s="2">
        <v>180</v>
      </c>
      <c r="Q224" s="2">
        <v>104.6675</v>
      </c>
      <c r="R224" s="2">
        <v>245</v>
      </c>
      <c r="S224" s="2">
        <v>106.7724</v>
      </c>
      <c r="T224" s="2">
        <v>269</v>
      </c>
      <c r="U224" s="2">
        <v>0.33614699999999997</v>
      </c>
      <c r="V224" s="2">
        <v>223</v>
      </c>
      <c r="W224" s="2">
        <v>2005</v>
      </c>
    </row>
    <row r="225" spans="1:23" ht="12.3" x14ac:dyDescent="0.4">
      <c r="A225" s="2" t="s">
        <v>184</v>
      </c>
      <c r="B225" s="2"/>
      <c r="C225" s="2"/>
      <c r="D225" s="2"/>
      <c r="E225" s="2"/>
      <c r="F225" s="2"/>
      <c r="G225" s="2"/>
      <c r="H225" s="2"/>
      <c r="I225" s="2">
        <v>72.963899999999995</v>
      </c>
      <c r="J225" s="2">
        <v>21</v>
      </c>
      <c r="K225" s="2">
        <v>72.415599999999998</v>
      </c>
      <c r="L225" s="2">
        <v>20</v>
      </c>
      <c r="M225" s="2">
        <v>98.961399999999998</v>
      </c>
      <c r="N225" s="2">
        <v>217</v>
      </c>
      <c r="O225" s="2">
        <v>99.470100000000002</v>
      </c>
      <c r="P225" s="2">
        <v>201</v>
      </c>
      <c r="Q225" s="2">
        <v>103.35509999999999</v>
      </c>
      <c r="R225" s="2">
        <v>221</v>
      </c>
      <c r="S225" s="2">
        <v>105.58459999999999</v>
      </c>
      <c r="T225" s="2">
        <v>250</v>
      </c>
      <c r="U225" s="2">
        <v>0.33491500000000002</v>
      </c>
      <c r="V225" s="2">
        <v>224</v>
      </c>
      <c r="W225" s="2">
        <v>2005</v>
      </c>
    </row>
    <row r="226" spans="1:23" ht="12.3" x14ac:dyDescent="0.4">
      <c r="A226" s="2" t="s">
        <v>107</v>
      </c>
      <c r="B226" s="2"/>
      <c r="C226" s="2"/>
      <c r="D226" s="2"/>
      <c r="E226" s="2"/>
      <c r="F226" s="2"/>
      <c r="G226" s="2"/>
      <c r="H226" s="2"/>
      <c r="I226" s="2">
        <v>75.054199999999994</v>
      </c>
      <c r="J226" s="2">
        <v>5</v>
      </c>
      <c r="K226" s="2">
        <v>74.726299999999995</v>
      </c>
      <c r="L226" s="2">
        <v>4</v>
      </c>
      <c r="M226" s="2">
        <v>97.602400000000003</v>
      </c>
      <c r="N226" s="2">
        <v>234</v>
      </c>
      <c r="O226" s="2">
        <v>97.012699999999995</v>
      </c>
      <c r="P226" s="2">
        <v>240</v>
      </c>
      <c r="Q226" s="2">
        <v>102.3193</v>
      </c>
      <c r="R226" s="2">
        <v>196</v>
      </c>
      <c r="S226" s="2">
        <v>103.02160000000001</v>
      </c>
      <c r="T226" s="2">
        <v>193</v>
      </c>
      <c r="U226" s="2">
        <v>0.333785</v>
      </c>
      <c r="V226" s="2">
        <v>225</v>
      </c>
      <c r="W226" s="2">
        <v>2005</v>
      </c>
    </row>
    <row r="227" spans="1:23" ht="12.3" x14ac:dyDescent="0.4">
      <c r="A227" s="2" t="s">
        <v>19</v>
      </c>
      <c r="B227" s="2"/>
      <c r="C227" s="2"/>
      <c r="D227" s="2"/>
      <c r="E227" s="2"/>
      <c r="F227" s="2"/>
      <c r="G227" s="2"/>
      <c r="H227" s="2"/>
      <c r="I227" s="2">
        <v>65.537800000000004</v>
      </c>
      <c r="J227" s="2">
        <v>235</v>
      </c>
      <c r="K227" s="2">
        <v>65.277100000000004</v>
      </c>
      <c r="L227" s="2">
        <v>243</v>
      </c>
      <c r="M227" s="2">
        <v>90.326899999999995</v>
      </c>
      <c r="N227" s="2">
        <v>316</v>
      </c>
      <c r="O227" s="2">
        <v>91.874200000000002</v>
      </c>
      <c r="P227" s="2">
        <v>301</v>
      </c>
      <c r="Q227" s="2">
        <v>102.44289999999999</v>
      </c>
      <c r="R227" s="2">
        <v>198</v>
      </c>
      <c r="S227" s="2">
        <v>97.613399999999999</v>
      </c>
      <c r="T227" s="2">
        <v>78</v>
      </c>
      <c r="U227" s="2">
        <v>0.332513</v>
      </c>
      <c r="V227" s="2">
        <v>226</v>
      </c>
      <c r="W227" s="2">
        <v>2005</v>
      </c>
    </row>
    <row r="228" spans="1:23" ht="12.3" x14ac:dyDescent="0.4">
      <c r="A228" s="2" t="s">
        <v>174</v>
      </c>
      <c r="B228" s="2"/>
      <c r="C228" s="2"/>
      <c r="D228" s="2"/>
      <c r="E228" s="2"/>
      <c r="F228" s="2"/>
      <c r="G228" s="2"/>
      <c r="H228" s="2"/>
      <c r="I228" s="2">
        <v>68.2911</v>
      </c>
      <c r="J228" s="2">
        <v>127</v>
      </c>
      <c r="K228" s="2">
        <v>69.374099999999999</v>
      </c>
      <c r="L228" s="2">
        <v>83</v>
      </c>
      <c r="M228" s="2">
        <v>94.727199999999996</v>
      </c>
      <c r="N228" s="2">
        <v>270</v>
      </c>
      <c r="O228" s="2">
        <v>94.526499999999999</v>
      </c>
      <c r="P228" s="2">
        <v>273</v>
      </c>
      <c r="Q228" s="2">
        <v>99.193799999999996</v>
      </c>
      <c r="R228" s="2">
        <v>111</v>
      </c>
      <c r="S228" s="2">
        <v>100.5467</v>
      </c>
      <c r="T228" s="2">
        <v>139</v>
      </c>
      <c r="U228" s="2">
        <v>0.32959300000000002</v>
      </c>
      <c r="V228" s="2">
        <v>227</v>
      </c>
      <c r="W228" s="2">
        <v>2005</v>
      </c>
    </row>
    <row r="229" spans="1:23" ht="12.3" x14ac:dyDescent="0.4">
      <c r="A229" s="2" t="s">
        <v>330</v>
      </c>
      <c r="B229" s="2"/>
      <c r="C229" s="2"/>
      <c r="D229" s="2"/>
      <c r="E229" s="2"/>
      <c r="F229" s="2"/>
      <c r="G229" s="2"/>
      <c r="H229" s="2"/>
      <c r="I229" s="2">
        <v>72.056799999999996</v>
      </c>
      <c r="J229" s="2">
        <v>30</v>
      </c>
      <c r="K229" s="2">
        <v>73.285700000000006</v>
      </c>
      <c r="L229" s="2">
        <v>12</v>
      </c>
      <c r="M229" s="2">
        <v>99.805300000000003</v>
      </c>
      <c r="N229" s="2">
        <v>203</v>
      </c>
      <c r="O229" s="2">
        <v>96.686199999999999</v>
      </c>
      <c r="P229" s="2">
        <v>241</v>
      </c>
      <c r="Q229" s="2">
        <v>99.180599999999998</v>
      </c>
      <c r="R229" s="2">
        <v>110</v>
      </c>
      <c r="S229" s="2">
        <v>103.0535</v>
      </c>
      <c r="T229" s="2">
        <v>195</v>
      </c>
      <c r="U229" s="2">
        <v>0.32444000000000001</v>
      </c>
      <c r="V229" s="2">
        <v>228</v>
      </c>
      <c r="W229" s="2">
        <v>2005</v>
      </c>
    </row>
    <row r="230" spans="1:23" ht="12.3" x14ac:dyDescent="0.4">
      <c r="A230" s="2" t="s">
        <v>264</v>
      </c>
      <c r="B230" s="2"/>
      <c r="C230" s="2"/>
      <c r="D230" s="2"/>
      <c r="E230" s="2"/>
      <c r="F230" s="2"/>
      <c r="G230" s="2"/>
      <c r="H230" s="2"/>
      <c r="I230" s="2">
        <v>66.423100000000005</v>
      </c>
      <c r="J230" s="2">
        <v>197</v>
      </c>
      <c r="K230" s="2">
        <v>67.265299999999996</v>
      </c>
      <c r="L230" s="2">
        <v>161</v>
      </c>
      <c r="M230" s="2">
        <v>101.3527</v>
      </c>
      <c r="N230" s="2">
        <v>167</v>
      </c>
      <c r="O230" s="2">
        <v>100.90170000000001</v>
      </c>
      <c r="P230" s="2">
        <v>174</v>
      </c>
      <c r="Q230" s="2">
        <v>107.9359</v>
      </c>
      <c r="R230" s="2">
        <v>291</v>
      </c>
      <c r="S230" s="2">
        <v>107.8296</v>
      </c>
      <c r="T230" s="2">
        <v>283</v>
      </c>
      <c r="U230" s="2">
        <v>0.31785200000000002</v>
      </c>
      <c r="V230" s="2">
        <v>229</v>
      </c>
      <c r="W230" s="2">
        <v>2005</v>
      </c>
    </row>
    <row r="231" spans="1:23" ht="12.3" x14ac:dyDescent="0.4">
      <c r="A231" s="2" t="s">
        <v>279</v>
      </c>
      <c r="B231" s="2"/>
      <c r="C231" s="2"/>
      <c r="D231" s="2"/>
      <c r="E231" s="2"/>
      <c r="F231" s="2"/>
      <c r="G231" s="2"/>
      <c r="H231" s="2"/>
      <c r="I231" s="2">
        <v>68.683999999999997</v>
      </c>
      <c r="J231" s="2">
        <v>113</v>
      </c>
      <c r="K231" s="2">
        <v>67.637200000000007</v>
      </c>
      <c r="L231" s="2">
        <v>145</v>
      </c>
      <c r="M231" s="2">
        <v>100.4658</v>
      </c>
      <c r="N231" s="2">
        <v>190</v>
      </c>
      <c r="O231" s="2">
        <v>101.1063</v>
      </c>
      <c r="P231" s="2">
        <v>168</v>
      </c>
      <c r="Q231" s="2">
        <v>104.70950000000001</v>
      </c>
      <c r="R231" s="2">
        <v>246</v>
      </c>
      <c r="S231" s="2">
        <v>108.16670000000001</v>
      </c>
      <c r="T231" s="2">
        <v>284</v>
      </c>
      <c r="U231" s="2">
        <v>0.31512600000000002</v>
      </c>
      <c r="V231" s="2">
        <v>230</v>
      </c>
      <c r="W231" s="2">
        <v>2005</v>
      </c>
    </row>
    <row r="232" spans="1:23" ht="12.3" x14ac:dyDescent="0.4">
      <c r="A232" s="2" t="s">
        <v>318</v>
      </c>
      <c r="B232" s="2"/>
      <c r="C232" s="2"/>
      <c r="D232" s="2"/>
      <c r="E232" s="2"/>
      <c r="F232" s="2"/>
      <c r="G232" s="2"/>
      <c r="H232" s="2"/>
      <c r="I232" s="2">
        <v>73.867000000000004</v>
      </c>
      <c r="J232" s="2">
        <v>13</v>
      </c>
      <c r="K232" s="2">
        <v>72.228899999999996</v>
      </c>
      <c r="L232" s="2">
        <v>23</v>
      </c>
      <c r="M232" s="2">
        <v>105.7739</v>
      </c>
      <c r="N232" s="2">
        <v>70</v>
      </c>
      <c r="O232" s="2">
        <v>101.6103</v>
      </c>
      <c r="P232" s="2">
        <v>155</v>
      </c>
      <c r="Q232" s="2">
        <v>104.3336</v>
      </c>
      <c r="R232" s="2">
        <v>238</v>
      </c>
      <c r="S232" s="2">
        <v>108.75490000000001</v>
      </c>
      <c r="T232" s="2">
        <v>294</v>
      </c>
      <c r="U232" s="2">
        <v>0.31400800000000001</v>
      </c>
      <c r="V232" s="2">
        <v>231</v>
      </c>
      <c r="W232" s="2">
        <v>2005</v>
      </c>
    </row>
    <row r="233" spans="1:23" ht="12.3" x14ac:dyDescent="0.4">
      <c r="A233" s="2" t="s">
        <v>152</v>
      </c>
      <c r="B233" s="2"/>
      <c r="C233" s="2"/>
      <c r="D233" s="2"/>
      <c r="E233" s="2"/>
      <c r="F233" s="2"/>
      <c r="G233" s="2"/>
      <c r="H233" s="2"/>
      <c r="I233" s="2">
        <v>67.330799999999996</v>
      </c>
      <c r="J233" s="2">
        <v>160</v>
      </c>
      <c r="K233" s="2">
        <v>66.276799999999994</v>
      </c>
      <c r="L233" s="2">
        <v>207</v>
      </c>
      <c r="M233" s="2">
        <v>103.086</v>
      </c>
      <c r="N233" s="2">
        <v>126</v>
      </c>
      <c r="O233" s="2">
        <v>101.1536</v>
      </c>
      <c r="P233" s="2">
        <v>166</v>
      </c>
      <c r="Q233" s="2">
        <v>106.77809999999999</v>
      </c>
      <c r="R233" s="2">
        <v>273</v>
      </c>
      <c r="S233" s="2">
        <v>108.43729999999999</v>
      </c>
      <c r="T233" s="2">
        <v>288</v>
      </c>
      <c r="U233" s="2">
        <v>0.31010900000000002</v>
      </c>
      <c r="V233" s="2">
        <v>232</v>
      </c>
      <c r="W233" s="2">
        <v>2005</v>
      </c>
    </row>
    <row r="234" spans="1:23" ht="12.3" x14ac:dyDescent="0.4">
      <c r="A234" s="2" t="s">
        <v>218</v>
      </c>
      <c r="B234" s="2"/>
      <c r="C234" s="2"/>
      <c r="D234" s="2"/>
      <c r="E234" s="2"/>
      <c r="F234" s="2"/>
      <c r="G234" s="2"/>
      <c r="H234" s="2"/>
      <c r="I234" s="2">
        <v>74.008700000000005</v>
      </c>
      <c r="J234" s="2">
        <v>11</v>
      </c>
      <c r="K234" s="2">
        <v>74.138000000000005</v>
      </c>
      <c r="L234" s="2">
        <v>8</v>
      </c>
      <c r="M234" s="2">
        <v>101.28579999999999</v>
      </c>
      <c r="N234" s="2">
        <v>172</v>
      </c>
      <c r="O234" s="2">
        <v>100.4687</v>
      </c>
      <c r="P234" s="2">
        <v>182</v>
      </c>
      <c r="Q234" s="2">
        <v>103.94759999999999</v>
      </c>
      <c r="R234" s="2">
        <v>229</v>
      </c>
      <c r="S234" s="2">
        <v>107.72239999999999</v>
      </c>
      <c r="T234" s="2">
        <v>282</v>
      </c>
      <c r="U234" s="2">
        <v>0.309666</v>
      </c>
      <c r="V234" s="2">
        <v>233</v>
      </c>
      <c r="W234" s="2">
        <v>2005</v>
      </c>
    </row>
    <row r="235" spans="1:23" ht="12.3" x14ac:dyDescent="0.4">
      <c r="A235" s="2" t="s">
        <v>143</v>
      </c>
      <c r="B235" s="2"/>
      <c r="C235" s="2"/>
      <c r="D235" s="2"/>
      <c r="E235" s="2"/>
      <c r="F235" s="2"/>
      <c r="G235" s="2"/>
      <c r="H235" s="2"/>
      <c r="I235" s="2">
        <v>67.770499999999998</v>
      </c>
      <c r="J235" s="2">
        <v>141</v>
      </c>
      <c r="K235" s="2">
        <v>66.792299999999997</v>
      </c>
      <c r="L235" s="2">
        <v>184</v>
      </c>
      <c r="M235" s="2">
        <v>103.0181</v>
      </c>
      <c r="N235" s="2">
        <v>128</v>
      </c>
      <c r="O235" s="2">
        <v>100.0577</v>
      </c>
      <c r="P235" s="2">
        <v>187</v>
      </c>
      <c r="Q235" s="2">
        <v>107.045</v>
      </c>
      <c r="R235" s="2">
        <v>278</v>
      </c>
      <c r="S235" s="2">
        <v>107.3403</v>
      </c>
      <c r="T235" s="2">
        <v>277</v>
      </c>
      <c r="U235" s="2">
        <v>0.30832500000000002</v>
      </c>
      <c r="V235" s="2">
        <v>234</v>
      </c>
      <c r="W235" s="2">
        <v>2005</v>
      </c>
    </row>
    <row r="236" spans="1:23" ht="12.3" x14ac:dyDescent="0.4">
      <c r="A236" s="2" t="s">
        <v>158</v>
      </c>
      <c r="B236" s="2"/>
      <c r="C236" s="2"/>
      <c r="D236" s="2"/>
      <c r="E236" s="2"/>
      <c r="F236" s="2"/>
      <c r="G236" s="2"/>
      <c r="H236" s="2"/>
      <c r="I236" s="2">
        <v>65.359300000000005</v>
      </c>
      <c r="J236" s="2">
        <v>238</v>
      </c>
      <c r="K236" s="2">
        <v>64.848699999999994</v>
      </c>
      <c r="L236" s="2">
        <v>259</v>
      </c>
      <c r="M236" s="2">
        <v>100.1129</v>
      </c>
      <c r="N236" s="2">
        <v>196</v>
      </c>
      <c r="O236" s="2">
        <v>102.5042</v>
      </c>
      <c r="P236" s="2">
        <v>141</v>
      </c>
      <c r="Q236" s="2">
        <v>111.49760000000001</v>
      </c>
      <c r="R236" s="2">
        <v>324</v>
      </c>
      <c r="S236" s="2">
        <v>109.9726</v>
      </c>
      <c r="T236" s="2">
        <v>305</v>
      </c>
      <c r="U236" s="2">
        <v>0.30815300000000001</v>
      </c>
      <c r="V236" s="2">
        <v>235</v>
      </c>
      <c r="W236" s="2">
        <v>2005</v>
      </c>
    </row>
    <row r="237" spans="1:23" ht="12.3" x14ac:dyDescent="0.4">
      <c r="A237" s="2" t="s">
        <v>188</v>
      </c>
      <c r="B237" s="2"/>
      <c r="C237" s="2"/>
      <c r="D237" s="2"/>
      <c r="E237" s="2"/>
      <c r="F237" s="2"/>
      <c r="G237" s="2"/>
      <c r="H237" s="2"/>
      <c r="I237" s="2">
        <v>64.954300000000003</v>
      </c>
      <c r="J237" s="2">
        <v>258</v>
      </c>
      <c r="K237" s="2">
        <v>65.179199999999994</v>
      </c>
      <c r="L237" s="2">
        <v>248</v>
      </c>
      <c r="M237" s="2">
        <v>92.494900000000001</v>
      </c>
      <c r="N237" s="2">
        <v>295</v>
      </c>
      <c r="O237" s="2">
        <v>93.097700000000003</v>
      </c>
      <c r="P237" s="2">
        <v>293</v>
      </c>
      <c r="Q237" s="2">
        <v>101.0855</v>
      </c>
      <c r="R237" s="2">
        <v>154</v>
      </c>
      <c r="S237" s="2">
        <v>100.0733</v>
      </c>
      <c r="T237" s="2">
        <v>129</v>
      </c>
      <c r="U237" s="2">
        <v>0.303452</v>
      </c>
      <c r="V237" s="2">
        <v>236</v>
      </c>
      <c r="W237" s="2">
        <v>2005</v>
      </c>
    </row>
    <row r="238" spans="1:23" ht="12.3" x14ac:dyDescent="0.4">
      <c r="A238" s="2" t="s">
        <v>175</v>
      </c>
      <c r="B238" s="2"/>
      <c r="C238" s="2"/>
      <c r="D238" s="2"/>
      <c r="E238" s="2"/>
      <c r="F238" s="2"/>
      <c r="G238" s="2"/>
      <c r="H238" s="2"/>
      <c r="I238" s="2">
        <v>66.331500000000005</v>
      </c>
      <c r="J238" s="2">
        <v>200</v>
      </c>
      <c r="K238" s="2">
        <v>65.688400000000001</v>
      </c>
      <c r="L238" s="2">
        <v>232</v>
      </c>
      <c r="M238" s="2">
        <v>99.149299999999997</v>
      </c>
      <c r="N238" s="2">
        <v>214</v>
      </c>
      <c r="O238" s="2">
        <v>101.9344</v>
      </c>
      <c r="P238" s="2">
        <v>151</v>
      </c>
      <c r="Q238" s="2">
        <v>109.0896</v>
      </c>
      <c r="R238" s="2">
        <v>304</v>
      </c>
      <c r="S238" s="2">
        <v>109.6129</v>
      </c>
      <c r="T238" s="2">
        <v>302</v>
      </c>
      <c r="U238" s="2">
        <v>0.30254799999999998</v>
      </c>
      <c r="V238" s="2">
        <v>237</v>
      </c>
      <c r="W238" s="2">
        <v>2005</v>
      </c>
    </row>
    <row r="239" spans="1:23" ht="12.3" x14ac:dyDescent="0.4">
      <c r="A239" s="2" t="s">
        <v>233</v>
      </c>
      <c r="B239" s="2"/>
      <c r="C239" s="2"/>
      <c r="D239" s="2"/>
      <c r="E239" s="2"/>
      <c r="F239" s="2"/>
      <c r="G239" s="2"/>
      <c r="H239" s="2"/>
      <c r="I239" s="2">
        <v>66.884200000000007</v>
      </c>
      <c r="J239" s="2">
        <v>175</v>
      </c>
      <c r="K239" s="2">
        <v>68.850200000000001</v>
      </c>
      <c r="L239" s="2">
        <v>99</v>
      </c>
      <c r="M239" s="2">
        <v>98.465800000000002</v>
      </c>
      <c r="N239" s="2">
        <v>225</v>
      </c>
      <c r="O239" s="2">
        <v>97.202600000000004</v>
      </c>
      <c r="P239" s="2">
        <v>237</v>
      </c>
      <c r="Q239" s="2">
        <v>101.2428</v>
      </c>
      <c r="R239" s="2">
        <v>160</v>
      </c>
      <c r="S239" s="2">
        <v>104.5868</v>
      </c>
      <c r="T239" s="2">
        <v>229</v>
      </c>
      <c r="U239" s="2">
        <v>0.30110599999999998</v>
      </c>
      <c r="V239" s="2">
        <v>238</v>
      </c>
      <c r="W239" s="2">
        <v>2005</v>
      </c>
    </row>
    <row r="240" spans="1:23" ht="12.3" x14ac:dyDescent="0.4">
      <c r="A240" s="2" t="s">
        <v>348</v>
      </c>
      <c r="B240" s="2"/>
      <c r="C240" s="2"/>
      <c r="D240" s="2"/>
      <c r="E240" s="2"/>
      <c r="F240" s="2"/>
      <c r="G240" s="2"/>
      <c r="H240" s="2"/>
      <c r="I240" s="2">
        <v>65.667400000000001</v>
      </c>
      <c r="J240" s="2">
        <v>225</v>
      </c>
      <c r="K240" s="2">
        <v>66.491900000000001</v>
      </c>
      <c r="L240" s="2">
        <v>199</v>
      </c>
      <c r="M240" s="2">
        <v>97.961799999999997</v>
      </c>
      <c r="N240" s="2">
        <v>231</v>
      </c>
      <c r="O240" s="2">
        <v>96.008399999999995</v>
      </c>
      <c r="P240" s="2">
        <v>254</v>
      </c>
      <c r="Q240" s="2">
        <v>107.2835</v>
      </c>
      <c r="R240" s="2">
        <v>285</v>
      </c>
      <c r="S240" s="2">
        <v>103.4391</v>
      </c>
      <c r="T240" s="2">
        <v>208</v>
      </c>
      <c r="U240" s="2">
        <v>0.297906</v>
      </c>
      <c r="V240" s="2">
        <v>239</v>
      </c>
      <c r="W240" s="2">
        <v>2005</v>
      </c>
    </row>
    <row r="241" spans="1:23" ht="12.3" x14ac:dyDescent="0.4">
      <c r="A241" s="2" t="s">
        <v>235</v>
      </c>
      <c r="B241" s="2"/>
      <c r="C241" s="2"/>
      <c r="D241" s="2"/>
      <c r="E241" s="2"/>
      <c r="F241" s="2"/>
      <c r="G241" s="2"/>
      <c r="H241" s="2"/>
      <c r="I241" s="2">
        <v>69.813500000000005</v>
      </c>
      <c r="J241" s="2">
        <v>84</v>
      </c>
      <c r="K241" s="2">
        <v>69.743200000000002</v>
      </c>
      <c r="L241" s="2">
        <v>70</v>
      </c>
      <c r="M241" s="2">
        <v>94.416300000000007</v>
      </c>
      <c r="N241" s="2">
        <v>274</v>
      </c>
      <c r="O241" s="2">
        <v>96.388000000000005</v>
      </c>
      <c r="P241" s="2">
        <v>247</v>
      </c>
      <c r="Q241" s="2">
        <v>109.3784</v>
      </c>
      <c r="R241" s="2">
        <v>310</v>
      </c>
      <c r="S241" s="2">
        <v>103.858</v>
      </c>
      <c r="T241" s="2">
        <v>216</v>
      </c>
      <c r="U241" s="2">
        <v>0.29767500000000002</v>
      </c>
      <c r="V241" s="2">
        <v>240</v>
      </c>
      <c r="W241" s="2">
        <v>2005</v>
      </c>
    </row>
    <row r="242" spans="1:23" ht="12.3" x14ac:dyDescent="0.4">
      <c r="A242" s="2" t="s">
        <v>341</v>
      </c>
      <c r="B242" s="2"/>
      <c r="C242" s="2"/>
      <c r="D242" s="2"/>
      <c r="E242" s="2"/>
      <c r="F242" s="2"/>
      <c r="G242" s="2"/>
      <c r="H242" s="2"/>
      <c r="I242" s="2">
        <v>65.329300000000003</v>
      </c>
      <c r="J242" s="2">
        <v>240</v>
      </c>
      <c r="K242" s="2">
        <v>65.577500000000001</v>
      </c>
      <c r="L242" s="2">
        <v>234</v>
      </c>
      <c r="M242" s="2">
        <v>91.325800000000001</v>
      </c>
      <c r="N242" s="2">
        <v>305</v>
      </c>
      <c r="O242" s="2">
        <v>91.859499999999997</v>
      </c>
      <c r="P242" s="2">
        <v>302</v>
      </c>
      <c r="Q242" s="2">
        <v>96.692999999999998</v>
      </c>
      <c r="R242" s="2">
        <v>56</v>
      </c>
      <c r="S242" s="2">
        <v>99.056799999999996</v>
      </c>
      <c r="T242" s="2">
        <v>106</v>
      </c>
      <c r="U242" s="2">
        <v>0.29577799999999999</v>
      </c>
      <c r="V242" s="2">
        <v>241</v>
      </c>
      <c r="W242" s="2">
        <v>2005</v>
      </c>
    </row>
    <row r="243" spans="1:23" ht="12.3" x14ac:dyDescent="0.4">
      <c r="A243" s="2" t="s">
        <v>156</v>
      </c>
      <c r="B243" s="2"/>
      <c r="C243" s="2"/>
      <c r="D243" s="2"/>
      <c r="E243" s="2"/>
      <c r="F243" s="2"/>
      <c r="G243" s="2"/>
      <c r="H243" s="2"/>
      <c r="I243" s="2">
        <v>65.004900000000006</v>
      </c>
      <c r="J243" s="2">
        <v>257</v>
      </c>
      <c r="K243" s="2">
        <v>64.678799999999995</v>
      </c>
      <c r="L243" s="2">
        <v>265</v>
      </c>
      <c r="M243" s="2">
        <v>105.11360000000001</v>
      </c>
      <c r="N243" s="2">
        <v>86</v>
      </c>
      <c r="O243" s="2">
        <v>101.2195</v>
      </c>
      <c r="P243" s="2">
        <v>165</v>
      </c>
      <c r="Q243" s="2">
        <v>106.6371</v>
      </c>
      <c r="R243" s="2">
        <v>270</v>
      </c>
      <c r="S243" s="2">
        <v>109.1537</v>
      </c>
      <c r="T243" s="2">
        <v>298</v>
      </c>
      <c r="U243" s="2">
        <v>0.29570000000000002</v>
      </c>
      <c r="V243" s="2">
        <v>242</v>
      </c>
      <c r="W243" s="2">
        <v>2005</v>
      </c>
    </row>
    <row r="244" spans="1:23" ht="12.3" x14ac:dyDescent="0.4">
      <c r="A244" s="2" t="s">
        <v>215</v>
      </c>
      <c r="B244" s="2"/>
      <c r="C244" s="2"/>
      <c r="D244" s="2"/>
      <c r="E244" s="2"/>
      <c r="F244" s="2"/>
      <c r="G244" s="2"/>
      <c r="H244" s="2"/>
      <c r="I244" s="2">
        <v>64.285700000000006</v>
      </c>
      <c r="J244" s="2">
        <v>276</v>
      </c>
      <c r="K244" s="2">
        <v>63.7211</v>
      </c>
      <c r="L244" s="2">
        <v>291</v>
      </c>
      <c r="M244" s="2">
        <v>96.058999999999997</v>
      </c>
      <c r="N244" s="2">
        <v>253</v>
      </c>
      <c r="O244" s="2">
        <v>93.581199999999995</v>
      </c>
      <c r="P244" s="2">
        <v>288</v>
      </c>
      <c r="Q244" s="2">
        <v>100.7525</v>
      </c>
      <c r="R244" s="2">
        <v>147</v>
      </c>
      <c r="S244" s="2">
        <v>100.979</v>
      </c>
      <c r="T244" s="2">
        <v>149</v>
      </c>
      <c r="U244" s="2">
        <v>0.29422300000000001</v>
      </c>
      <c r="V244" s="2">
        <v>243</v>
      </c>
      <c r="W244" s="2">
        <v>2005</v>
      </c>
    </row>
    <row r="245" spans="1:23" ht="12.3" x14ac:dyDescent="0.4">
      <c r="A245" s="2" t="s">
        <v>163</v>
      </c>
      <c r="B245" s="2"/>
      <c r="C245" s="2"/>
      <c r="D245" s="2"/>
      <c r="E245" s="2"/>
      <c r="F245" s="2"/>
      <c r="G245" s="2"/>
      <c r="H245" s="2"/>
      <c r="I245" s="2">
        <v>69.019099999999995</v>
      </c>
      <c r="J245" s="2">
        <v>104</v>
      </c>
      <c r="K245" s="2">
        <v>69.2273</v>
      </c>
      <c r="L245" s="2">
        <v>87</v>
      </c>
      <c r="M245" s="2">
        <v>95.442099999999996</v>
      </c>
      <c r="N245" s="2">
        <v>263</v>
      </c>
      <c r="O245" s="2">
        <v>93.987899999999996</v>
      </c>
      <c r="P245" s="2">
        <v>282</v>
      </c>
      <c r="Q245" s="2">
        <v>97.587800000000001</v>
      </c>
      <c r="R245" s="2">
        <v>68</v>
      </c>
      <c r="S245" s="2">
        <v>101.5615</v>
      </c>
      <c r="T245" s="2">
        <v>164</v>
      </c>
      <c r="U245" s="2">
        <v>0.290856</v>
      </c>
      <c r="V245" s="2">
        <v>244</v>
      </c>
      <c r="W245" s="2">
        <v>2005</v>
      </c>
    </row>
    <row r="246" spans="1:23" ht="12.3" x14ac:dyDescent="0.4">
      <c r="A246" s="2" t="s">
        <v>336</v>
      </c>
      <c r="B246" s="2"/>
      <c r="C246" s="2"/>
      <c r="D246" s="2"/>
      <c r="E246" s="2"/>
      <c r="F246" s="2"/>
      <c r="G246" s="2"/>
      <c r="H246" s="2"/>
      <c r="I246" s="2">
        <v>65.245000000000005</v>
      </c>
      <c r="J246" s="2">
        <v>246</v>
      </c>
      <c r="K246" s="2">
        <v>65.920199999999994</v>
      </c>
      <c r="L246" s="2">
        <v>224</v>
      </c>
      <c r="M246" s="2">
        <v>94.314099999999996</v>
      </c>
      <c r="N246" s="2">
        <v>277</v>
      </c>
      <c r="O246" s="2">
        <v>94.863900000000001</v>
      </c>
      <c r="P246" s="2">
        <v>268</v>
      </c>
      <c r="Q246" s="2">
        <v>100.1332</v>
      </c>
      <c r="R246" s="2">
        <v>135</v>
      </c>
      <c r="S246" s="2">
        <v>102.5581</v>
      </c>
      <c r="T246" s="2">
        <v>187</v>
      </c>
      <c r="U246" s="2">
        <v>0.28970099999999999</v>
      </c>
      <c r="V246" s="2">
        <v>245</v>
      </c>
      <c r="W246" s="2">
        <v>2005</v>
      </c>
    </row>
    <row r="247" spans="1:23" ht="12.3" x14ac:dyDescent="0.4">
      <c r="A247" s="2" t="s">
        <v>356</v>
      </c>
      <c r="B247" s="2"/>
      <c r="C247" s="2"/>
      <c r="D247" s="2"/>
      <c r="E247" s="2"/>
      <c r="F247" s="2"/>
      <c r="G247" s="2"/>
      <c r="H247" s="2"/>
      <c r="I247" s="2">
        <v>70.791799999999995</v>
      </c>
      <c r="J247" s="2">
        <v>50</v>
      </c>
      <c r="K247" s="2">
        <v>70.209599999999995</v>
      </c>
      <c r="L247" s="2">
        <v>54</v>
      </c>
      <c r="M247" s="2">
        <v>103.7795</v>
      </c>
      <c r="N247" s="2">
        <v>114</v>
      </c>
      <c r="O247" s="2">
        <v>103.71420000000001</v>
      </c>
      <c r="P247" s="2">
        <v>119</v>
      </c>
      <c r="Q247" s="2">
        <v>110.13549999999999</v>
      </c>
      <c r="R247" s="2">
        <v>318</v>
      </c>
      <c r="S247" s="2">
        <v>112.15860000000001</v>
      </c>
      <c r="T247" s="2">
        <v>321</v>
      </c>
      <c r="U247" s="2">
        <v>0.289018</v>
      </c>
      <c r="V247" s="2">
        <v>246</v>
      </c>
      <c r="W247" s="2">
        <v>2005</v>
      </c>
    </row>
    <row r="248" spans="1:23" ht="12.3" x14ac:dyDescent="0.4">
      <c r="A248" s="2" t="s">
        <v>277</v>
      </c>
      <c r="B248" s="2"/>
      <c r="C248" s="2"/>
      <c r="D248" s="2"/>
      <c r="E248" s="2"/>
      <c r="F248" s="2"/>
      <c r="G248" s="2"/>
      <c r="H248" s="2"/>
      <c r="I248" s="2">
        <v>70.207999999999998</v>
      </c>
      <c r="J248" s="2">
        <v>72</v>
      </c>
      <c r="K248" s="2">
        <v>70.990200000000002</v>
      </c>
      <c r="L248" s="2">
        <v>38</v>
      </c>
      <c r="M248" s="2">
        <v>99.382400000000004</v>
      </c>
      <c r="N248" s="2">
        <v>211</v>
      </c>
      <c r="O248" s="2">
        <v>96.236199999999997</v>
      </c>
      <c r="P248" s="2">
        <v>251</v>
      </c>
      <c r="Q248" s="2">
        <v>99.626900000000006</v>
      </c>
      <c r="R248" s="2">
        <v>121</v>
      </c>
      <c r="S248" s="2">
        <v>104.2118</v>
      </c>
      <c r="T248" s="2">
        <v>225</v>
      </c>
      <c r="U248" s="2">
        <v>0.28584900000000002</v>
      </c>
      <c r="V248" s="2">
        <v>247</v>
      </c>
      <c r="W248" s="2">
        <v>2005</v>
      </c>
    </row>
    <row r="249" spans="1:23" ht="12.3" x14ac:dyDescent="0.4">
      <c r="A249" s="2" t="s">
        <v>170</v>
      </c>
      <c r="B249" s="2"/>
      <c r="C249" s="2"/>
      <c r="D249" s="2"/>
      <c r="E249" s="2"/>
      <c r="F249" s="2"/>
      <c r="G249" s="2"/>
      <c r="H249" s="2"/>
      <c r="I249" s="2">
        <v>64.146600000000007</v>
      </c>
      <c r="J249" s="2">
        <v>280</v>
      </c>
      <c r="K249" s="2">
        <v>63.910600000000002</v>
      </c>
      <c r="L249" s="2">
        <v>288</v>
      </c>
      <c r="M249" s="2">
        <v>101.32859999999999</v>
      </c>
      <c r="N249" s="2">
        <v>168</v>
      </c>
      <c r="O249" s="2">
        <v>100.2632</v>
      </c>
      <c r="P249" s="2">
        <v>184</v>
      </c>
      <c r="Q249" s="2">
        <v>104.57940000000001</v>
      </c>
      <c r="R249" s="2">
        <v>241</v>
      </c>
      <c r="S249" s="2">
        <v>108.71259999999999</v>
      </c>
      <c r="T249" s="2">
        <v>292</v>
      </c>
      <c r="U249" s="2">
        <v>0.282833</v>
      </c>
      <c r="V249" s="2">
        <v>248</v>
      </c>
      <c r="W249" s="2">
        <v>2005</v>
      </c>
    </row>
    <row r="250" spans="1:23" ht="12.3" x14ac:dyDescent="0.4">
      <c r="A250" s="2" t="s">
        <v>247</v>
      </c>
      <c r="B250" s="2"/>
      <c r="C250" s="2"/>
      <c r="D250" s="2"/>
      <c r="E250" s="2"/>
      <c r="F250" s="2"/>
      <c r="G250" s="2"/>
      <c r="H250" s="2"/>
      <c r="I250" s="2">
        <v>65.238200000000006</v>
      </c>
      <c r="J250" s="2">
        <v>247</v>
      </c>
      <c r="K250" s="2">
        <v>65.417400000000001</v>
      </c>
      <c r="L250" s="2">
        <v>240</v>
      </c>
      <c r="M250" s="2">
        <v>98.744799999999998</v>
      </c>
      <c r="N250" s="2">
        <v>220</v>
      </c>
      <c r="O250" s="2">
        <v>98.422300000000007</v>
      </c>
      <c r="P250" s="2">
        <v>218</v>
      </c>
      <c r="Q250" s="2">
        <v>104.197</v>
      </c>
      <c r="R250" s="2">
        <v>235</v>
      </c>
      <c r="S250" s="2">
        <v>106.84229999999999</v>
      </c>
      <c r="T250" s="2">
        <v>271</v>
      </c>
      <c r="U250" s="2">
        <v>0.28009499999999998</v>
      </c>
      <c r="V250" s="2">
        <v>249</v>
      </c>
      <c r="W250" s="2">
        <v>2005</v>
      </c>
    </row>
    <row r="251" spans="1:23" ht="12.3" x14ac:dyDescent="0.4">
      <c r="A251" s="2" t="s">
        <v>254</v>
      </c>
      <c r="B251" s="2"/>
      <c r="C251" s="2"/>
      <c r="D251" s="2"/>
      <c r="E251" s="2"/>
      <c r="F251" s="2"/>
      <c r="G251" s="2"/>
      <c r="H251" s="2"/>
      <c r="I251" s="2">
        <v>73.8322</v>
      </c>
      <c r="J251" s="2">
        <v>14</v>
      </c>
      <c r="K251" s="2">
        <v>72.8142</v>
      </c>
      <c r="L251" s="2">
        <v>15</v>
      </c>
      <c r="M251" s="2">
        <v>101.7092</v>
      </c>
      <c r="N251" s="2">
        <v>154</v>
      </c>
      <c r="O251" s="2">
        <v>100.4028</v>
      </c>
      <c r="P251" s="2">
        <v>183</v>
      </c>
      <c r="Q251" s="2">
        <v>102.8809</v>
      </c>
      <c r="R251" s="2">
        <v>211</v>
      </c>
      <c r="S251" s="2">
        <v>109.05159999999999</v>
      </c>
      <c r="T251" s="2">
        <v>297</v>
      </c>
      <c r="U251" s="2">
        <v>0.278833</v>
      </c>
      <c r="V251" s="2">
        <v>250</v>
      </c>
      <c r="W251" s="2">
        <v>2005</v>
      </c>
    </row>
    <row r="252" spans="1:23" ht="12.3" x14ac:dyDescent="0.4">
      <c r="A252" s="2" t="s">
        <v>271</v>
      </c>
      <c r="B252" s="2"/>
      <c r="C252" s="2"/>
      <c r="D252" s="2"/>
      <c r="E252" s="2"/>
      <c r="F252" s="2"/>
      <c r="G252" s="2"/>
      <c r="H252" s="2"/>
      <c r="I252" s="2">
        <v>66.697699999999998</v>
      </c>
      <c r="J252" s="2">
        <v>186</v>
      </c>
      <c r="K252" s="2">
        <v>67.455399999999997</v>
      </c>
      <c r="L252" s="2">
        <v>153</v>
      </c>
      <c r="M252" s="2">
        <v>96.325800000000001</v>
      </c>
      <c r="N252" s="2">
        <v>247</v>
      </c>
      <c r="O252" s="2">
        <v>94.837100000000007</v>
      </c>
      <c r="P252" s="2">
        <v>269</v>
      </c>
      <c r="Q252" s="2">
        <v>98.364000000000004</v>
      </c>
      <c r="R252" s="2">
        <v>90</v>
      </c>
      <c r="S252" s="2">
        <v>103.0264</v>
      </c>
      <c r="T252" s="2">
        <v>194</v>
      </c>
      <c r="U252" s="2">
        <v>0.27838600000000002</v>
      </c>
      <c r="V252" s="2">
        <v>251</v>
      </c>
      <c r="W252" s="2">
        <v>2005</v>
      </c>
    </row>
    <row r="253" spans="1:23" ht="12.3" x14ac:dyDescent="0.4">
      <c r="A253" s="2" t="s">
        <v>161</v>
      </c>
      <c r="B253" s="2"/>
      <c r="C253" s="2"/>
      <c r="D253" s="2"/>
      <c r="E253" s="2"/>
      <c r="F253" s="2"/>
      <c r="G253" s="2"/>
      <c r="H253" s="2"/>
      <c r="I253" s="2">
        <v>68.863399999999999</v>
      </c>
      <c r="J253" s="2">
        <v>111</v>
      </c>
      <c r="K253" s="2">
        <v>69.146699999999996</v>
      </c>
      <c r="L253" s="2">
        <v>90</v>
      </c>
      <c r="M253" s="2">
        <v>96.13</v>
      </c>
      <c r="N253" s="2">
        <v>250</v>
      </c>
      <c r="O253" s="2">
        <v>97.684299999999993</v>
      </c>
      <c r="P253" s="2">
        <v>231</v>
      </c>
      <c r="Q253" s="2">
        <v>106.53579999999999</v>
      </c>
      <c r="R253" s="2">
        <v>269</v>
      </c>
      <c r="S253" s="2">
        <v>106.4255</v>
      </c>
      <c r="T253" s="2">
        <v>256</v>
      </c>
      <c r="U253" s="2">
        <v>0.271783</v>
      </c>
      <c r="V253" s="2">
        <v>252</v>
      </c>
      <c r="W253" s="2">
        <v>2005</v>
      </c>
    </row>
    <row r="254" spans="1:23" ht="12.3" x14ac:dyDescent="0.4">
      <c r="A254" s="2" t="s">
        <v>354</v>
      </c>
      <c r="B254" s="2"/>
      <c r="C254" s="2"/>
      <c r="D254" s="2"/>
      <c r="E254" s="2"/>
      <c r="F254" s="2"/>
      <c r="G254" s="2"/>
      <c r="H254" s="2"/>
      <c r="I254" s="2">
        <v>64.785799999999995</v>
      </c>
      <c r="J254" s="2">
        <v>261</v>
      </c>
      <c r="K254" s="2">
        <v>63.159500000000001</v>
      </c>
      <c r="L254" s="2">
        <v>300</v>
      </c>
      <c r="M254" s="2">
        <v>101.2754</v>
      </c>
      <c r="N254" s="2">
        <v>174</v>
      </c>
      <c r="O254" s="2">
        <v>100.7313</v>
      </c>
      <c r="P254" s="2">
        <v>178</v>
      </c>
      <c r="Q254" s="2">
        <v>107.02630000000001</v>
      </c>
      <c r="R254" s="2">
        <v>277</v>
      </c>
      <c r="S254" s="2">
        <v>110.0005</v>
      </c>
      <c r="T254" s="2">
        <v>306</v>
      </c>
      <c r="U254" s="2">
        <v>0.26652500000000001</v>
      </c>
      <c r="V254" s="2">
        <v>253</v>
      </c>
      <c r="W254" s="2">
        <v>2005</v>
      </c>
    </row>
    <row r="255" spans="1:23" ht="12.3" x14ac:dyDescent="0.4">
      <c r="A255" s="2" t="s">
        <v>304</v>
      </c>
      <c r="B255" s="2"/>
      <c r="C255" s="2"/>
      <c r="D255" s="2"/>
      <c r="E255" s="2"/>
      <c r="F255" s="2"/>
      <c r="G255" s="2"/>
      <c r="H255" s="2"/>
      <c r="I255" s="2">
        <v>63.648299999999999</v>
      </c>
      <c r="J255" s="2">
        <v>287</v>
      </c>
      <c r="K255" s="2">
        <v>64.516599999999997</v>
      </c>
      <c r="L255" s="2">
        <v>269</v>
      </c>
      <c r="M255" s="2">
        <v>94.6648</v>
      </c>
      <c r="N255" s="2">
        <v>272</v>
      </c>
      <c r="O255" s="2">
        <v>94.281099999999995</v>
      </c>
      <c r="P255" s="2">
        <v>278</v>
      </c>
      <c r="Q255" s="2">
        <v>103.3318</v>
      </c>
      <c r="R255" s="2">
        <v>220</v>
      </c>
      <c r="S255" s="2">
        <v>102.9854</v>
      </c>
      <c r="T255" s="2">
        <v>191</v>
      </c>
      <c r="U255" s="2">
        <v>0.26590000000000003</v>
      </c>
      <c r="V255" s="2">
        <v>254</v>
      </c>
      <c r="W255" s="2">
        <v>2005</v>
      </c>
    </row>
    <row r="256" spans="1:23" ht="12.3" x14ac:dyDescent="0.4">
      <c r="A256" s="2" t="s">
        <v>299</v>
      </c>
      <c r="B256" s="2"/>
      <c r="C256" s="2"/>
      <c r="D256" s="2"/>
      <c r="E256" s="2"/>
      <c r="F256" s="2"/>
      <c r="G256" s="2"/>
      <c r="H256" s="2"/>
      <c r="I256" s="2">
        <v>68.026799999999994</v>
      </c>
      <c r="J256" s="2">
        <v>136</v>
      </c>
      <c r="K256" s="2">
        <v>66.680700000000002</v>
      </c>
      <c r="L256" s="2">
        <v>193</v>
      </c>
      <c r="M256" s="2">
        <v>98.803700000000006</v>
      </c>
      <c r="N256" s="2">
        <v>219</v>
      </c>
      <c r="O256" s="2">
        <v>96.433800000000005</v>
      </c>
      <c r="P256" s="2">
        <v>246</v>
      </c>
      <c r="Q256" s="2">
        <v>96.344099999999997</v>
      </c>
      <c r="R256" s="2">
        <v>52</v>
      </c>
      <c r="S256" s="2">
        <v>105.33799999999999</v>
      </c>
      <c r="T256" s="2">
        <v>244</v>
      </c>
      <c r="U256" s="2">
        <v>0.265874</v>
      </c>
      <c r="V256" s="2">
        <v>255</v>
      </c>
      <c r="W256" s="2">
        <v>2005</v>
      </c>
    </row>
    <row r="257" spans="1:23" ht="12.3" x14ac:dyDescent="0.4">
      <c r="A257" s="2" t="s">
        <v>332</v>
      </c>
      <c r="B257" s="2"/>
      <c r="C257" s="2"/>
      <c r="D257" s="2"/>
      <c r="E257" s="2"/>
      <c r="F257" s="2"/>
      <c r="G257" s="2"/>
      <c r="H257" s="2"/>
      <c r="I257" s="2">
        <v>65.320400000000006</v>
      </c>
      <c r="J257" s="2">
        <v>241</v>
      </c>
      <c r="K257" s="2">
        <v>64.64</v>
      </c>
      <c r="L257" s="2">
        <v>266</v>
      </c>
      <c r="M257" s="2">
        <v>106.2257</v>
      </c>
      <c r="N257" s="2">
        <v>63</v>
      </c>
      <c r="O257" s="2">
        <v>104.0342</v>
      </c>
      <c r="P257" s="2">
        <v>112</v>
      </c>
      <c r="Q257" s="2">
        <v>109.24079999999999</v>
      </c>
      <c r="R257" s="2">
        <v>306</v>
      </c>
      <c r="S257" s="2">
        <v>113.7123</v>
      </c>
      <c r="T257" s="2">
        <v>327</v>
      </c>
      <c r="U257" s="2">
        <v>0.26445299999999999</v>
      </c>
      <c r="V257" s="2">
        <v>256</v>
      </c>
      <c r="W257" s="2">
        <v>2005</v>
      </c>
    </row>
    <row r="258" spans="1:23" ht="12.3" x14ac:dyDescent="0.4">
      <c r="A258" s="2" t="s">
        <v>307</v>
      </c>
      <c r="B258" s="2"/>
      <c r="C258" s="2"/>
      <c r="D258" s="2"/>
      <c r="E258" s="2"/>
      <c r="F258" s="2"/>
      <c r="G258" s="2"/>
      <c r="H258" s="2"/>
      <c r="I258" s="2">
        <v>65.939700000000002</v>
      </c>
      <c r="J258" s="2">
        <v>215</v>
      </c>
      <c r="K258" s="2">
        <v>66.452299999999994</v>
      </c>
      <c r="L258" s="2">
        <v>201</v>
      </c>
      <c r="M258" s="2">
        <v>103.5265</v>
      </c>
      <c r="N258" s="2">
        <v>121</v>
      </c>
      <c r="O258" s="2">
        <v>101.94580000000001</v>
      </c>
      <c r="P258" s="2">
        <v>150</v>
      </c>
      <c r="Q258" s="2">
        <v>107.72580000000001</v>
      </c>
      <c r="R258" s="2">
        <v>287</v>
      </c>
      <c r="S258" s="2">
        <v>111.4464</v>
      </c>
      <c r="T258" s="2">
        <v>317</v>
      </c>
      <c r="U258" s="2">
        <v>0.26411699999999999</v>
      </c>
      <c r="V258" s="2">
        <v>257</v>
      </c>
      <c r="W258" s="2">
        <v>2005</v>
      </c>
    </row>
    <row r="259" spans="1:23" ht="12.3" x14ac:dyDescent="0.4">
      <c r="A259" s="2" t="s">
        <v>108</v>
      </c>
      <c r="B259" s="2"/>
      <c r="C259" s="2"/>
      <c r="D259" s="2"/>
      <c r="E259" s="2"/>
      <c r="F259" s="2"/>
      <c r="G259" s="2"/>
      <c r="H259" s="2"/>
      <c r="I259" s="2">
        <v>74.315299999999993</v>
      </c>
      <c r="J259" s="2">
        <v>8</v>
      </c>
      <c r="K259" s="2">
        <v>73.533600000000007</v>
      </c>
      <c r="L259" s="2">
        <v>11</v>
      </c>
      <c r="M259" s="2">
        <v>100.0181</v>
      </c>
      <c r="N259" s="2">
        <v>199</v>
      </c>
      <c r="O259" s="2">
        <v>101.32429999999999</v>
      </c>
      <c r="P259" s="2">
        <v>162</v>
      </c>
      <c r="Q259" s="2">
        <v>108.6533</v>
      </c>
      <c r="R259" s="2">
        <v>300</v>
      </c>
      <c r="S259" s="2">
        <v>110.78319999999999</v>
      </c>
      <c r="T259" s="2">
        <v>313</v>
      </c>
      <c r="U259" s="2">
        <v>0.26379000000000002</v>
      </c>
      <c r="V259" s="2">
        <v>258</v>
      </c>
      <c r="W259" s="2">
        <v>2005</v>
      </c>
    </row>
    <row r="260" spans="1:23" ht="12.3" x14ac:dyDescent="0.4">
      <c r="A260" s="2" t="s">
        <v>310</v>
      </c>
      <c r="B260" s="2"/>
      <c r="C260" s="2"/>
      <c r="D260" s="2"/>
      <c r="E260" s="2"/>
      <c r="F260" s="2"/>
      <c r="G260" s="2"/>
      <c r="H260" s="2"/>
      <c r="I260" s="2">
        <v>66.463499999999996</v>
      </c>
      <c r="J260" s="2">
        <v>194</v>
      </c>
      <c r="K260" s="2">
        <v>67.638900000000007</v>
      </c>
      <c r="L260" s="2">
        <v>144</v>
      </c>
      <c r="M260" s="2">
        <v>95.881900000000002</v>
      </c>
      <c r="N260" s="2">
        <v>257</v>
      </c>
      <c r="O260" s="2">
        <v>97.691400000000002</v>
      </c>
      <c r="P260" s="2">
        <v>230</v>
      </c>
      <c r="Q260" s="2">
        <v>104.99250000000001</v>
      </c>
      <c r="R260" s="2">
        <v>249</v>
      </c>
      <c r="S260" s="2">
        <v>106.8253</v>
      </c>
      <c r="T260" s="2">
        <v>270</v>
      </c>
      <c r="U260" s="2">
        <v>0.26349499999999998</v>
      </c>
      <c r="V260" s="2">
        <v>259</v>
      </c>
      <c r="W260" s="2">
        <v>2005</v>
      </c>
    </row>
    <row r="261" spans="1:23" ht="12.3" x14ac:dyDescent="0.4">
      <c r="A261" s="2" t="s">
        <v>270</v>
      </c>
      <c r="B261" s="2"/>
      <c r="C261" s="2"/>
      <c r="D261" s="2"/>
      <c r="E261" s="2"/>
      <c r="F261" s="2"/>
      <c r="G261" s="2"/>
      <c r="H261" s="2"/>
      <c r="I261" s="2">
        <v>71.446899999999999</v>
      </c>
      <c r="J261" s="2">
        <v>36</v>
      </c>
      <c r="K261" s="2">
        <v>69.491600000000005</v>
      </c>
      <c r="L261" s="2">
        <v>79</v>
      </c>
      <c r="M261" s="2">
        <v>96.310100000000006</v>
      </c>
      <c r="N261" s="2">
        <v>248</v>
      </c>
      <c r="O261" s="2">
        <v>95.740600000000001</v>
      </c>
      <c r="P261" s="2">
        <v>259</v>
      </c>
      <c r="Q261" s="2">
        <v>102.9325</v>
      </c>
      <c r="R261" s="2">
        <v>212</v>
      </c>
      <c r="S261" s="2">
        <v>104.7552</v>
      </c>
      <c r="T261" s="2">
        <v>235</v>
      </c>
      <c r="U261" s="2">
        <v>0.26215100000000002</v>
      </c>
      <c r="V261" s="2">
        <v>260</v>
      </c>
      <c r="W261" s="2">
        <v>2005</v>
      </c>
    </row>
    <row r="262" spans="1:23" ht="12.3" x14ac:dyDescent="0.4">
      <c r="A262" s="2" t="s">
        <v>281</v>
      </c>
      <c r="B262" s="2"/>
      <c r="C262" s="2"/>
      <c r="D262" s="2"/>
      <c r="E262" s="2"/>
      <c r="F262" s="2"/>
      <c r="G262" s="2"/>
      <c r="H262" s="2"/>
      <c r="I262" s="2">
        <v>70.153899999999993</v>
      </c>
      <c r="J262" s="2">
        <v>73</v>
      </c>
      <c r="K262" s="2">
        <v>70.063999999999993</v>
      </c>
      <c r="L262" s="2">
        <v>60</v>
      </c>
      <c r="M262" s="2">
        <v>99.724900000000005</v>
      </c>
      <c r="N262" s="2">
        <v>205</v>
      </c>
      <c r="O262" s="2">
        <v>100.2105</v>
      </c>
      <c r="P262" s="2">
        <v>186</v>
      </c>
      <c r="Q262" s="2">
        <v>108.52079999999999</v>
      </c>
      <c r="R262" s="2">
        <v>298</v>
      </c>
      <c r="S262" s="2">
        <v>109.7559</v>
      </c>
      <c r="T262" s="2">
        <v>304</v>
      </c>
      <c r="U262" s="2">
        <v>0.25992999999999999</v>
      </c>
      <c r="V262" s="2">
        <v>261</v>
      </c>
      <c r="W262" s="2">
        <v>2005</v>
      </c>
    </row>
    <row r="263" spans="1:23" ht="12.3" x14ac:dyDescent="0.4">
      <c r="A263" s="2" t="s">
        <v>357</v>
      </c>
      <c r="B263" s="2"/>
      <c r="C263" s="2"/>
      <c r="D263" s="2"/>
      <c r="E263" s="2"/>
      <c r="F263" s="2"/>
      <c r="G263" s="2"/>
      <c r="H263" s="2"/>
      <c r="I263" s="2">
        <v>65.233999999999995</v>
      </c>
      <c r="J263" s="2">
        <v>248</v>
      </c>
      <c r="K263" s="2">
        <v>65.918300000000002</v>
      </c>
      <c r="L263" s="2">
        <v>225</v>
      </c>
      <c r="M263" s="2">
        <v>100.7837</v>
      </c>
      <c r="N263" s="2">
        <v>186</v>
      </c>
      <c r="O263" s="2">
        <v>99.806100000000001</v>
      </c>
      <c r="P263" s="2">
        <v>193</v>
      </c>
      <c r="Q263" s="2">
        <v>109.3105</v>
      </c>
      <c r="R263" s="2">
        <v>307</v>
      </c>
      <c r="S263" s="2">
        <v>109.4074</v>
      </c>
      <c r="T263" s="2">
        <v>299</v>
      </c>
      <c r="U263" s="2">
        <v>0.25802199999999997</v>
      </c>
      <c r="V263" s="2">
        <v>262</v>
      </c>
      <c r="W263" s="2">
        <v>2005</v>
      </c>
    </row>
    <row r="264" spans="1:23" ht="12.3" x14ac:dyDescent="0.4">
      <c r="A264" s="2" t="s">
        <v>283</v>
      </c>
      <c r="B264" s="2"/>
      <c r="C264" s="2"/>
      <c r="D264" s="2"/>
      <c r="E264" s="2"/>
      <c r="F264" s="2"/>
      <c r="G264" s="2"/>
      <c r="H264" s="2"/>
      <c r="I264" s="2">
        <v>68.908299999999997</v>
      </c>
      <c r="J264" s="2">
        <v>110</v>
      </c>
      <c r="K264" s="2">
        <v>67.878299999999996</v>
      </c>
      <c r="L264" s="2">
        <v>133</v>
      </c>
      <c r="M264" s="2">
        <v>100.9337</v>
      </c>
      <c r="N264" s="2">
        <v>183</v>
      </c>
      <c r="O264" s="2">
        <v>98.6614</v>
      </c>
      <c r="P264" s="2">
        <v>213</v>
      </c>
      <c r="Q264" s="2">
        <v>107.0861</v>
      </c>
      <c r="R264" s="2">
        <v>280</v>
      </c>
      <c r="S264" s="2">
        <v>108.1728</v>
      </c>
      <c r="T264" s="2">
        <v>285</v>
      </c>
      <c r="U264" s="2">
        <v>0.25761299999999998</v>
      </c>
      <c r="V264" s="2">
        <v>263</v>
      </c>
      <c r="W264" s="2">
        <v>2005</v>
      </c>
    </row>
    <row r="265" spans="1:23" ht="12.3" x14ac:dyDescent="0.4">
      <c r="A265" s="2" t="s">
        <v>250</v>
      </c>
      <c r="B265" s="2"/>
      <c r="C265" s="2"/>
      <c r="D265" s="2"/>
      <c r="E265" s="2"/>
      <c r="F265" s="2"/>
      <c r="G265" s="2"/>
      <c r="H265" s="2"/>
      <c r="I265" s="2">
        <v>66.671499999999995</v>
      </c>
      <c r="J265" s="2">
        <v>187</v>
      </c>
      <c r="K265" s="2">
        <v>67.464500000000001</v>
      </c>
      <c r="L265" s="2">
        <v>151</v>
      </c>
      <c r="M265" s="2">
        <v>99.791600000000003</v>
      </c>
      <c r="N265" s="2">
        <v>204</v>
      </c>
      <c r="O265" s="2">
        <v>100.52290000000001</v>
      </c>
      <c r="P265" s="2">
        <v>181</v>
      </c>
      <c r="Q265" s="2">
        <v>111.32940000000001</v>
      </c>
      <c r="R265" s="2">
        <v>323</v>
      </c>
      <c r="S265" s="2">
        <v>110.23090000000001</v>
      </c>
      <c r="T265" s="2">
        <v>308</v>
      </c>
      <c r="U265" s="2">
        <v>0.25727</v>
      </c>
      <c r="V265" s="2">
        <v>264</v>
      </c>
      <c r="W265" s="2">
        <v>2005</v>
      </c>
    </row>
    <row r="266" spans="1:23" ht="12.3" x14ac:dyDescent="0.4">
      <c r="A266" s="2" t="s">
        <v>346</v>
      </c>
      <c r="B266" s="2"/>
      <c r="C266" s="2"/>
      <c r="D266" s="2"/>
      <c r="E266" s="2"/>
      <c r="F266" s="2"/>
      <c r="G266" s="2"/>
      <c r="H266" s="2"/>
      <c r="I266" s="2">
        <v>69.820899999999995</v>
      </c>
      <c r="J266" s="2">
        <v>82</v>
      </c>
      <c r="K266" s="2">
        <v>70.183099999999996</v>
      </c>
      <c r="L266" s="2">
        <v>56</v>
      </c>
      <c r="M266" s="2">
        <v>96.2714</v>
      </c>
      <c r="N266" s="2">
        <v>249</v>
      </c>
      <c r="O266" s="2">
        <v>97.086100000000002</v>
      </c>
      <c r="P266" s="2">
        <v>238</v>
      </c>
      <c r="Q266" s="2">
        <v>105.5484</v>
      </c>
      <c r="R266" s="2">
        <v>262</v>
      </c>
      <c r="S266" s="2">
        <v>106.5471</v>
      </c>
      <c r="T266" s="2">
        <v>260</v>
      </c>
      <c r="U266" s="2">
        <v>0.255523</v>
      </c>
      <c r="V266" s="2">
        <v>265</v>
      </c>
      <c r="W266" s="2">
        <v>2005</v>
      </c>
    </row>
    <row r="267" spans="1:23" ht="12.3" x14ac:dyDescent="0.4">
      <c r="A267" s="2" t="s">
        <v>258</v>
      </c>
      <c r="B267" s="2"/>
      <c r="C267" s="2"/>
      <c r="D267" s="2"/>
      <c r="E267" s="2"/>
      <c r="F267" s="2"/>
      <c r="G267" s="2"/>
      <c r="H267" s="2"/>
      <c r="I267" s="2">
        <v>61.854700000000001</v>
      </c>
      <c r="J267" s="2">
        <v>313</v>
      </c>
      <c r="K267" s="2">
        <v>63.1509</v>
      </c>
      <c r="L267" s="2">
        <v>301</v>
      </c>
      <c r="M267" s="2">
        <v>92.715199999999996</v>
      </c>
      <c r="N267" s="2">
        <v>291</v>
      </c>
      <c r="O267" s="2">
        <v>94.156999999999996</v>
      </c>
      <c r="P267" s="2">
        <v>279</v>
      </c>
      <c r="Q267" s="2">
        <v>102.74420000000001</v>
      </c>
      <c r="R267" s="2">
        <v>205</v>
      </c>
      <c r="S267" s="2">
        <v>103.46769999999999</v>
      </c>
      <c r="T267" s="2">
        <v>209</v>
      </c>
      <c r="U267" s="2">
        <v>0.25267400000000001</v>
      </c>
      <c r="V267" s="2">
        <v>266</v>
      </c>
      <c r="W267" s="2">
        <v>2005</v>
      </c>
    </row>
    <row r="268" spans="1:23" ht="12.3" x14ac:dyDescent="0.4">
      <c r="A268" s="2" t="s">
        <v>237</v>
      </c>
      <c r="B268" s="2"/>
      <c r="C268" s="2"/>
      <c r="D268" s="2"/>
      <c r="E268" s="2"/>
      <c r="F268" s="2"/>
      <c r="G268" s="2"/>
      <c r="H268" s="2"/>
      <c r="I268" s="2">
        <v>66.379199999999997</v>
      </c>
      <c r="J268" s="2">
        <v>199</v>
      </c>
      <c r="K268" s="2">
        <v>66.853899999999996</v>
      </c>
      <c r="L268" s="2">
        <v>181</v>
      </c>
      <c r="M268" s="2">
        <v>101.6498</v>
      </c>
      <c r="N268" s="2">
        <v>155</v>
      </c>
      <c r="O268" s="2">
        <v>100.22410000000001</v>
      </c>
      <c r="P268" s="2">
        <v>185</v>
      </c>
      <c r="Q268" s="2">
        <v>109.95820000000001</v>
      </c>
      <c r="R268" s="2">
        <v>317</v>
      </c>
      <c r="S268" s="2">
        <v>110.438</v>
      </c>
      <c r="T268" s="2">
        <v>309</v>
      </c>
      <c r="U268" s="2">
        <v>0.24675</v>
      </c>
      <c r="V268" s="2">
        <v>267</v>
      </c>
      <c r="W268" s="2">
        <v>2005</v>
      </c>
    </row>
    <row r="269" spans="1:23" ht="12.3" x14ac:dyDescent="0.4">
      <c r="A269" s="2" t="s">
        <v>187</v>
      </c>
      <c r="B269" s="2"/>
      <c r="C269" s="2"/>
      <c r="D269" s="2"/>
      <c r="E269" s="2"/>
      <c r="F269" s="2"/>
      <c r="G269" s="2"/>
      <c r="H269" s="2"/>
      <c r="I269" s="2">
        <v>66.413600000000002</v>
      </c>
      <c r="J269" s="2">
        <v>198</v>
      </c>
      <c r="K269" s="2">
        <v>64.636600000000001</v>
      </c>
      <c r="L269" s="2">
        <v>267</v>
      </c>
      <c r="M269" s="2">
        <v>92.485100000000003</v>
      </c>
      <c r="N269" s="2">
        <v>296</v>
      </c>
      <c r="O269" s="2">
        <v>91.03</v>
      </c>
      <c r="P269" s="2">
        <v>306</v>
      </c>
      <c r="Q269" s="2">
        <v>101.2132</v>
      </c>
      <c r="R269" s="2">
        <v>159</v>
      </c>
      <c r="S269" s="2">
        <v>100.76220000000001</v>
      </c>
      <c r="T269" s="2">
        <v>145</v>
      </c>
      <c r="U269" s="2">
        <v>0.23719599999999999</v>
      </c>
      <c r="V269" s="2">
        <v>268</v>
      </c>
      <c r="W269" s="2">
        <v>2005</v>
      </c>
    </row>
    <row r="270" spans="1:23" ht="12.3" x14ac:dyDescent="0.4">
      <c r="A270" s="2" t="s">
        <v>282</v>
      </c>
      <c r="B270" s="2"/>
      <c r="C270" s="2"/>
      <c r="D270" s="2"/>
      <c r="E270" s="2"/>
      <c r="F270" s="2"/>
      <c r="G270" s="2"/>
      <c r="H270" s="2"/>
      <c r="I270" s="2">
        <v>62.674999999999997</v>
      </c>
      <c r="J270" s="2">
        <v>303</v>
      </c>
      <c r="K270" s="2">
        <v>60.5989</v>
      </c>
      <c r="L270" s="2">
        <v>321</v>
      </c>
      <c r="M270" s="2">
        <v>97.641800000000003</v>
      </c>
      <c r="N270" s="2">
        <v>233</v>
      </c>
      <c r="O270" s="2">
        <v>96.327500000000001</v>
      </c>
      <c r="P270" s="2">
        <v>249</v>
      </c>
      <c r="Q270" s="2">
        <v>101.574</v>
      </c>
      <c r="R270" s="2">
        <v>171</v>
      </c>
      <c r="S270" s="2">
        <v>106.7461</v>
      </c>
      <c r="T270" s="2">
        <v>268</v>
      </c>
      <c r="U270" s="2">
        <v>0.23486599999999999</v>
      </c>
      <c r="V270" s="2">
        <v>269</v>
      </c>
      <c r="W270" s="2">
        <v>2005</v>
      </c>
    </row>
    <row r="271" spans="1:23" ht="12.3" x14ac:dyDescent="0.4">
      <c r="A271" s="2" t="s">
        <v>337</v>
      </c>
      <c r="B271" s="2"/>
      <c r="C271" s="2"/>
      <c r="D271" s="2"/>
      <c r="E271" s="2"/>
      <c r="F271" s="2"/>
      <c r="G271" s="2"/>
      <c r="H271" s="2"/>
      <c r="I271" s="2">
        <v>66.826499999999996</v>
      </c>
      <c r="J271" s="2">
        <v>178</v>
      </c>
      <c r="K271" s="2">
        <v>64.775599999999997</v>
      </c>
      <c r="L271" s="2">
        <v>260</v>
      </c>
      <c r="M271" s="2">
        <v>99.669799999999995</v>
      </c>
      <c r="N271" s="2">
        <v>206</v>
      </c>
      <c r="O271" s="2">
        <v>95.784400000000005</v>
      </c>
      <c r="P271" s="2">
        <v>258</v>
      </c>
      <c r="Q271" s="2">
        <v>102.1125</v>
      </c>
      <c r="R271" s="2">
        <v>191</v>
      </c>
      <c r="S271" s="2">
        <v>106.36450000000001</v>
      </c>
      <c r="T271" s="2">
        <v>255</v>
      </c>
      <c r="U271" s="2">
        <v>0.23060900000000001</v>
      </c>
      <c r="V271" s="2">
        <v>270</v>
      </c>
      <c r="W271" s="2">
        <v>2005</v>
      </c>
    </row>
    <row r="272" spans="1:23" ht="12.3" x14ac:dyDescent="0.4">
      <c r="A272" s="2" t="s">
        <v>214</v>
      </c>
      <c r="B272" s="2"/>
      <c r="C272" s="2"/>
      <c r="D272" s="2"/>
      <c r="E272" s="2"/>
      <c r="F272" s="2"/>
      <c r="G272" s="2"/>
      <c r="H272" s="2"/>
      <c r="I272" s="2">
        <v>72.9709</v>
      </c>
      <c r="J272" s="2">
        <v>20</v>
      </c>
      <c r="K272" s="2">
        <v>72.104600000000005</v>
      </c>
      <c r="L272" s="2">
        <v>25</v>
      </c>
      <c r="M272" s="2">
        <v>95.877300000000005</v>
      </c>
      <c r="N272" s="2">
        <v>258</v>
      </c>
      <c r="O272" s="2">
        <v>93.555800000000005</v>
      </c>
      <c r="P272" s="2">
        <v>289</v>
      </c>
      <c r="Q272" s="2">
        <v>101.7765</v>
      </c>
      <c r="R272" s="2">
        <v>177</v>
      </c>
      <c r="S272" s="2">
        <v>103.9469</v>
      </c>
      <c r="T272" s="2">
        <v>218</v>
      </c>
      <c r="U272" s="2">
        <v>0.229487</v>
      </c>
      <c r="V272" s="2">
        <v>271</v>
      </c>
      <c r="W272" s="2">
        <v>2005</v>
      </c>
    </row>
    <row r="273" spans="1:23" ht="12.3" x14ac:dyDescent="0.4">
      <c r="A273" s="2" t="s">
        <v>298</v>
      </c>
      <c r="B273" s="2"/>
      <c r="C273" s="2"/>
      <c r="D273" s="2"/>
      <c r="E273" s="2"/>
      <c r="F273" s="2"/>
      <c r="G273" s="2"/>
      <c r="H273" s="2"/>
      <c r="I273" s="2">
        <v>68.064400000000006</v>
      </c>
      <c r="J273" s="2">
        <v>134</v>
      </c>
      <c r="K273" s="2">
        <v>67.504999999999995</v>
      </c>
      <c r="L273" s="2">
        <v>149</v>
      </c>
      <c r="M273" s="2">
        <v>97.537099999999995</v>
      </c>
      <c r="N273" s="2">
        <v>235</v>
      </c>
      <c r="O273" s="2">
        <v>95.825699999999998</v>
      </c>
      <c r="P273" s="2">
        <v>257</v>
      </c>
      <c r="Q273" s="2">
        <v>107.1793</v>
      </c>
      <c r="R273" s="2">
        <v>283</v>
      </c>
      <c r="S273" s="2">
        <v>106.5564</v>
      </c>
      <c r="T273" s="2">
        <v>261</v>
      </c>
      <c r="U273" s="2">
        <v>0.227822</v>
      </c>
      <c r="V273" s="2">
        <v>272</v>
      </c>
      <c r="W273" s="2">
        <v>2005</v>
      </c>
    </row>
    <row r="274" spans="1:23" ht="12.3" x14ac:dyDescent="0.4">
      <c r="A274" s="2" t="s">
        <v>272</v>
      </c>
      <c r="B274" s="2">
        <v>16</v>
      </c>
      <c r="C274" s="2"/>
      <c r="D274" s="2"/>
      <c r="E274" s="2"/>
      <c r="F274" s="2"/>
      <c r="G274" s="2"/>
      <c r="H274" s="2"/>
      <c r="I274" s="2">
        <v>73.287300000000002</v>
      </c>
      <c r="J274" s="2">
        <v>19</v>
      </c>
      <c r="K274" s="2">
        <v>73.141300000000001</v>
      </c>
      <c r="L274" s="2">
        <v>13</v>
      </c>
      <c r="M274" s="2">
        <v>92.703999999999994</v>
      </c>
      <c r="N274" s="2">
        <v>292</v>
      </c>
      <c r="O274" s="2">
        <v>90.820499999999996</v>
      </c>
      <c r="P274" s="2">
        <v>308</v>
      </c>
      <c r="Q274" s="2">
        <v>91.981999999999999</v>
      </c>
      <c r="R274" s="2">
        <v>10</v>
      </c>
      <c r="S274" s="2">
        <v>100.9975</v>
      </c>
      <c r="T274" s="2">
        <v>151</v>
      </c>
      <c r="U274" s="2">
        <v>0.227687</v>
      </c>
      <c r="V274" s="2">
        <v>273</v>
      </c>
      <c r="W274" s="2">
        <v>2005</v>
      </c>
    </row>
    <row r="275" spans="1:23" ht="12.3" x14ac:dyDescent="0.4">
      <c r="A275" s="2" t="s">
        <v>320</v>
      </c>
      <c r="B275" s="2"/>
      <c r="C275" s="2"/>
      <c r="D275" s="2"/>
      <c r="E275" s="2"/>
      <c r="F275" s="2"/>
      <c r="G275" s="2"/>
      <c r="H275" s="2"/>
      <c r="I275" s="2">
        <v>66.103999999999999</v>
      </c>
      <c r="J275" s="2">
        <v>207</v>
      </c>
      <c r="K275" s="2">
        <v>64.856200000000001</v>
      </c>
      <c r="L275" s="2">
        <v>257</v>
      </c>
      <c r="M275" s="2">
        <v>93.394800000000004</v>
      </c>
      <c r="N275" s="2">
        <v>285</v>
      </c>
      <c r="O275" s="2">
        <v>90.480400000000003</v>
      </c>
      <c r="P275" s="2">
        <v>312</v>
      </c>
      <c r="Q275" s="2">
        <v>92.954099999999997</v>
      </c>
      <c r="R275" s="2">
        <v>20</v>
      </c>
      <c r="S275" s="2">
        <v>100.7153</v>
      </c>
      <c r="T275" s="2">
        <v>142</v>
      </c>
      <c r="U275" s="2">
        <v>0.22576299999999999</v>
      </c>
      <c r="V275" s="2">
        <v>274</v>
      </c>
      <c r="W275" s="2">
        <v>2005</v>
      </c>
    </row>
    <row r="276" spans="1:23" ht="12.3" x14ac:dyDescent="0.4">
      <c r="A276" s="2" t="s">
        <v>334</v>
      </c>
      <c r="B276" s="2"/>
      <c r="C276" s="2"/>
      <c r="D276" s="2"/>
      <c r="E276" s="2"/>
      <c r="F276" s="2"/>
      <c r="G276" s="2"/>
      <c r="H276" s="2"/>
      <c r="I276" s="2">
        <v>68.417299999999997</v>
      </c>
      <c r="J276" s="2">
        <v>121</v>
      </c>
      <c r="K276" s="2">
        <v>68.581500000000005</v>
      </c>
      <c r="L276" s="2">
        <v>116</v>
      </c>
      <c r="M276" s="2">
        <v>99.603899999999996</v>
      </c>
      <c r="N276" s="2">
        <v>207</v>
      </c>
      <c r="O276" s="2">
        <v>98.375799999999998</v>
      </c>
      <c r="P276" s="2">
        <v>220</v>
      </c>
      <c r="Q276" s="2">
        <v>107.1584</v>
      </c>
      <c r="R276" s="2">
        <v>282</v>
      </c>
      <c r="S276" s="2">
        <v>109.5372</v>
      </c>
      <c r="T276" s="2">
        <v>300</v>
      </c>
      <c r="U276" s="2">
        <v>0.22514999999999999</v>
      </c>
      <c r="V276" s="2">
        <v>275</v>
      </c>
      <c r="W276" s="2">
        <v>2005</v>
      </c>
    </row>
    <row r="277" spans="1:23" ht="12.3" x14ac:dyDescent="0.4">
      <c r="A277" s="2" t="s">
        <v>343</v>
      </c>
      <c r="B277" s="2"/>
      <c r="C277" s="2"/>
      <c r="D277" s="2"/>
      <c r="E277" s="2"/>
      <c r="F277" s="2"/>
      <c r="G277" s="2"/>
      <c r="H277" s="2"/>
      <c r="I277" s="2">
        <v>69.863399999999999</v>
      </c>
      <c r="J277" s="2">
        <v>80</v>
      </c>
      <c r="K277" s="2">
        <v>69.731499999999997</v>
      </c>
      <c r="L277" s="2">
        <v>73</v>
      </c>
      <c r="M277" s="2">
        <v>96.093999999999994</v>
      </c>
      <c r="N277" s="2">
        <v>251</v>
      </c>
      <c r="O277" s="2">
        <v>93.927599999999998</v>
      </c>
      <c r="P277" s="2">
        <v>283</v>
      </c>
      <c r="Q277" s="2">
        <v>102.1511</v>
      </c>
      <c r="R277" s="2">
        <v>192</v>
      </c>
      <c r="S277" s="2">
        <v>104.62430000000001</v>
      </c>
      <c r="T277" s="2">
        <v>230</v>
      </c>
      <c r="U277" s="2">
        <v>0.224386</v>
      </c>
      <c r="V277" s="2">
        <v>276</v>
      </c>
      <c r="W277" s="2">
        <v>2005</v>
      </c>
    </row>
    <row r="278" spans="1:23" ht="12.3" x14ac:dyDescent="0.4">
      <c r="A278" s="2" t="s">
        <v>118</v>
      </c>
      <c r="B278" s="2"/>
      <c r="C278" s="2"/>
      <c r="D278" s="2"/>
      <c r="E278" s="2"/>
      <c r="F278" s="2"/>
      <c r="G278" s="2"/>
      <c r="H278" s="2"/>
      <c r="I278" s="2">
        <v>68.930599999999998</v>
      </c>
      <c r="J278" s="2">
        <v>107</v>
      </c>
      <c r="K278" s="2">
        <v>69.198300000000003</v>
      </c>
      <c r="L278" s="2">
        <v>88</v>
      </c>
      <c r="M278" s="2">
        <v>95.152600000000007</v>
      </c>
      <c r="N278" s="2">
        <v>265</v>
      </c>
      <c r="O278" s="2">
        <v>95.226200000000006</v>
      </c>
      <c r="P278" s="2">
        <v>266</v>
      </c>
      <c r="Q278" s="2">
        <v>109.4143</v>
      </c>
      <c r="R278" s="2">
        <v>311</v>
      </c>
      <c r="S278" s="2">
        <v>106.4542</v>
      </c>
      <c r="T278" s="2">
        <v>258</v>
      </c>
      <c r="U278" s="2">
        <v>0.217247</v>
      </c>
      <c r="V278" s="2">
        <v>277</v>
      </c>
      <c r="W278" s="2">
        <v>2005</v>
      </c>
    </row>
    <row r="279" spans="1:23" ht="12.3" x14ac:dyDescent="0.4">
      <c r="A279" s="2" t="s">
        <v>327</v>
      </c>
      <c r="B279" s="2"/>
      <c r="C279" s="2"/>
      <c r="D279" s="2"/>
      <c r="E279" s="2"/>
      <c r="F279" s="2"/>
      <c r="G279" s="2"/>
      <c r="H279" s="2"/>
      <c r="I279" s="2">
        <v>61.3917</v>
      </c>
      <c r="J279" s="2">
        <v>317</v>
      </c>
      <c r="K279" s="2">
        <v>61.783799999999999</v>
      </c>
      <c r="L279" s="2">
        <v>313</v>
      </c>
      <c r="M279" s="2">
        <v>93.121200000000002</v>
      </c>
      <c r="N279" s="2">
        <v>287</v>
      </c>
      <c r="O279" s="2">
        <v>93.3339</v>
      </c>
      <c r="P279" s="2">
        <v>291</v>
      </c>
      <c r="Q279" s="2">
        <v>104.15179999999999</v>
      </c>
      <c r="R279" s="2">
        <v>233</v>
      </c>
      <c r="S279" s="2">
        <v>104.5142</v>
      </c>
      <c r="T279" s="2">
        <v>228</v>
      </c>
      <c r="U279" s="2">
        <v>0.213979</v>
      </c>
      <c r="V279" s="2">
        <v>278</v>
      </c>
      <c r="W279" s="2">
        <v>2005</v>
      </c>
    </row>
    <row r="280" spans="1:23" ht="12.3" x14ac:dyDescent="0.4">
      <c r="A280" s="2" t="s">
        <v>284</v>
      </c>
      <c r="B280" s="2"/>
      <c r="C280" s="2"/>
      <c r="D280" s="2"/>
      <c r="E280" s="2"/>
      <c r="F280" s="2"/>
      <c r="G280" s="2"/>
      <c r="H280" s="2"/>
      <c r="I280" s="2">
        <v>65.787499999999994</v>
      </c>
      <c r="J280" s="2">
        <v>220</v>
      </c>
      <c r="K280" s="2">
        <v>65.566900000000004</v>
      </c>
      <c r="L280" s="2">
        <v>235</v>
      </c>
      <c r="M280" s="2">
        <v>92.587500000000006</v>
      </c>
      <c r="N280" s="2">
        <v>294</v>
      </c>
      <c r="O280" s="2">
        <v>92.6066</v>
      </c>
      <c r="P280" s="2">
        <v>297</v>
      </c>
      <c r="Q280" s="2">
        <v>102.10809999999999</v>
      </c>
      <c r="R280" s="2">
        <v>189</v>
      </c>
      <c r="S280" s="2">
        <v>103.8305</v>
      </c>
      <c r="T280" s="2">
        <v>215</v>
      </c>
      <c r="U280" s="2">
        <v>0.21155199999999999</v>
      </c>
      <c r="V280" s="2">
        <v>279</v>
      </c>
      <c r="W280" s="2">
        <v>2005</v>
      </c>
    </row>
    <row r="281" spans="1:23" ht="12.3" x14ac:dyDescent="0.4">
      <c r="A281" s="2" t="s">
        <v>252</v>
      </c>
      <c r="B281" s="2"/>
      <c r="C281" s="2"/>
      <c r="D281" s="2"/>
      <c r="E281" s="2"/>
      <c r="F281" s="2"/>
      <c r="G281" s="2"/>
      <c r="H281" s="2"/>
      <c r="I281" s="2">
        <v>64.670500000000004</v>
      </c>
      <c r="J281" s="2">
        <v>265</v>
      </c>
      <c r="K281" s="2">
        <v>64.860299999999995</v>
      </c>
      <c r="L281" s="2">
        <v>256</v>
      </c>
      <c r="M281" s="2">
        <v>93.386300000000006</v>
      </c>
      <c r="N281" s="2">
        <v>286</v>
      </c>
      <c r="O281" s="2">
        <v>93.705399999999997</v>
      </c>
      <c r="P281" s="2">
        <v>287</v>
      </c>
      <c r="Q281" s="2">
        <v>103.1555</v>
      </c>
      <c r="R281" s="2">
        <v>217</v>
      </c>
      <c r="S281" s="2">
        <v>105.18510000000001</v>
      </c>
      <c r="T281" s="2">
        <v>242</v>
      </c>
      <c r="U281" s="2">
        <v>0.20932200000000001</v>
      </c>
      <c r="V281" s="2">
        <v>280</v>
      </c>
      <c r="W281" s="2">
        <v>2005</v>
      </c>
    </row>
    <row r="282" spans="1:23" ht="12.3" x14ac:dyDescent="0.4">
      <c r="A282" s="2" t="s">
        <v>300</v>
      </c>
      <c r="B282" s="2"/>
      <c r="C282" s="2"/>
      <c r="D282" s="2"/>
      <c r="E282" s="2"/>
      <c r="F282" s="2"/>
      <c r="G282" s="2"/>
      <c r="H282" s="2"/>
      <c r="I282" s="2">
        <v>73.373099999999994</v>
      </c>
      <c r="J282" s="2">
        <v>18</v>
      </c>
      <c r="K282" s="2">
        <v>74.284599999999998</v>
      </c>
      <c r="L282" s="2">
        <v>6</v>
      </c>
      <c r="M282" s="2">
        <v>93.814899999999994</v>
      </c>
      <c r="N282" s="2">
        <v>281</v>
      </c>
      <c r="O282" s="2">
        <v>93.911600000000007</v>
      </c>
      <c r="P282" s="2">
        <v>285</v>
      </c>
      <c r="Q282" s="2">
        <v>101.76090000000001</v>
      </c>
      <c r="R282" s="2">
        <v>176</v>
      </c>
      <c r="S282" s="2">
        <v>105.4945</v>
      </c>
      <c r="T282" s="2">
        <v>247</v>
      </c>
      <c r="U282" s="2">
        <v>0.20791999999999999</v>
      </c>
      <c r="V282" s="2">
        <v>281</v>
      </c>
      <c r="W282" s="2">
        <v>2005</v>
      </c>
    </row>
    <row r="283" spans="1:23" ht="12.3" x14ac:dyDescent="0.4">
      <c r="A283" s="2" t="s">
        <v>201</v>
      </c>
      <c r="B283" s="2"/>
      <c r="C283" s="2"/>
      <c r="D283" s="2"/>
      <c r="E283" s="2"/>
      <c r="F283" s="2"/>
      <c r="G283" s="2"/>
      <c r="H283" s="2"/>
      <c r="I283" s="2">
        <v>65.636899999999997</v>
      </c>
      <c r="J283" s="2">
        <v>228</v>
      </c>
      <c r="K283" s="2">
        <v>66.218500000000006</v>
      </c>
      <c r="L283" s="2">
        <v>211</v>
      </c>
      <c r="M283" s="2">
        <v>94.128299999999996</v>
      </c>
      <c r="N283" s="2">
        <v>278</v>
      </c>
      <c r="O283" s="2">
        <v>96.574799999999996</v>
      </c>
      <c r="P283" s="2">
        <v>244</v>
      </c>
      <c r="Q283" s="2">
        <v>108.79130000000001</v>
      </c>
      <c r="R283" s="2">
        <v>301</v>
      </c>
      <c r="S283" s="2">
        <v>108.5744</v>
      </c>
      <c r="T283" s="2">
        <v>289</v>
      </c>
      <c r="U283" s="2">
        <v>0.20638500000000001</v>
      </c>
      <c r="V283" s="2">
        <v>282</v>
      </c>
      <c r="W283" s="2">
        <v>2005</v>
      </c>
    </row>
    <row r="284" spans="1:23" ht="12.3" x14ac:dyDescent="0.4">
      <c r="A284" s="2" t="s">
        <v>302</v>
      </c>
      <c r="B284" s="2"/>
      <c r="C284" s="2"/>
      <c r="D284" s="2"/>
      <c r="E284" s="2"/>
      <c r="F284" s="2"/>
      <c r="G284" s="2"/>
      <c r="H284" s="2"/>
      <c r="I284" s="2">
        <v>71.323400000000007</v>
      </c>
      <c r="J284" s="2">
        <v>39</v>
      </c>
      <c r="K284" s="2">
        <v>71.301199999999994</v>
      </c>
      <c r="L284" s="2">
        <v>37</v>
      </c>
      <c r="M284" s="2">
        <v>94.546300000000002</v>
      </c>
      <c r="N284" s="2">
        <v>273</v>
      </c>
      <c r="O284" s="2">
        <v>95.539000000000001</v>
      </c>
      <c r="P284" s="2">
        <v>261</v>
      </c>
      <c r="Q284" s="2">
        <v>102.8805</v>
      </c>
      <c r="R284" s="2">
        <v>210</v>
      </c>
      <c r="S284" s="2">
        <v>107.44710000000001</v>
      </c>
      <c r="T284" s="2">
        <v>278</v>
      </c>
      <c r="U284" s="2">
        <v>0.205733</v>
      </c>
      <c r="V284" s="2">
        <v>283</v>
      </c>
      <c r="W284" s="2">
        <v>2005</v>
      </c>
    </row>
    <row r="285" spans="1:23" ht="12.3" x14ac:dyDescent="0.4">
      <c r="A285" s="2" t="s">
        <v>273</v>
      </c>
      <c r="B285" s="2"/>
      <c r="C285" s="2"/>
      <c r="D285" s="2"/>
      <c r="E285" s="2"/>
      <c r="F285" s="2"/>
      <c r="G285" s="2"/>
      <c r="H285" s="2"/>
      <c r="I285" s="2">
        <v>71.890100000000004</v>
      </c>
      <c r="J285" s="2">
        <v>31</v>
      </c>
      <c r="K285" s="2">
        <v>72.495500000000007</v>
      </c>
      <c r="L285" s="2">
        <v>17</v>
      </c>
      <c r="M285" s="2">
        <v>91.929699999999997</v>
      </c>
      <c r="N285" s="2">
        <v>303</v>
      </c>
      <c r="O285" s="2">
        <v>94.737300000000005</v>
      </c>
      <c r="P285" s="2">
        <v>271</v>
      </c>
      <c r="Q285" s="2">
        <v>103.9777</v>
      </c>
      <c r="R285" s="2">
        <v>230</v>
      </c>
      <c r="S285" s="2">
        <v>106.6442</v>
      </c>
      <c r="T285" s="2">
        <v>265</v>
      </c>
      <c r="U285" s="2">
        <v>0.20399800000000001</v>
      </c>
      <c r="V285" s="2">
        <v>284</v>
      </c>
      <c r="W285" s="2">
        <v>2005</v>
      </c>
    </row>
    <row r="286" spans="1:23" ht="12.3" x14ac:dyDescent="0.4">
      <c r="A286" s="2" t="s">
        <v>202</v>
      </c>
      <c r="B286" s="2"/>
      <c r="C286" s="2"/>
      <c r="D286" s="2"/>
      <c r="E286" s="2"/>
      <c r="F286" s="2"/>
      <c r="G286" s="2"/>
      <c r="H286" s="2"/>
      <c r="I286" s="2">
        <v>68.404200000000003</v>
      </c>
      <c r="J286" s="2">
        <v>122</v>
      </c>
      <c r="K286" s="2">
        <v>68.981300000000005</v>
      </c>
      <c r="L286" s="2">
        <v>95</v>
      </c>
      <c r="M286" s="2">
        <v>97.170599999999993</v>
      </c>
      <c r="N286" s="2">
        <v>239</v>
      </c>
      <c r="O286" s="2">
        <v>96.378</v>
      </c>
      <c r="P286" s="2">
        <v>248</v>
      </c>
      <c r="Q286" s="2">
        <v>108.943</v>
      </c>
      <c r="R286" s="2">
        <v>303</v>
      </c>
      <c r="S286" s="2">
        <v>108.6105</v>
      </c>
      <c r="T286" s="2">
        <v>290</v>
      </c>
      <c r="U286" s="2">
        <v>0.20195099999999999</v>
      </c>
      <c r="V286" s="2">
        <v>285</v>
      </c>
      <c r="W286" s="2">
        <v>2005</v>
      </c>
    </row>
    <row r="287" spans="1:23" ht="12.3" x14ac:dyDescent="0.4">
      <c r="A287" s="2" t="s">
        <v>305</v>
      </c>
      <c r="B287" s="2"/>
      <c r="C287" s="2"/>
      <c r="D287" s="2"/>
      <c r="E287" s="2"/>
      <c r="F287" s="2"/>
      <c r="G287" s="2"/>
      <c r="H287" s="2"/>
      <c r="I287" s="2">
        <v>63.403700000000001</v>
      </c>
      <c r="J287" s="2">
        <v>297</v>
      </c>
      <c r="K287" s="2">
        <v>62.200699999999998</v>
      </c>
      <c r="L287" s="2">
        <v>311</v>
      </c>
      <c r="M287" s="2">
        <v>90.791899999999998</v>
      </c>
      <c r="N287" s="2">
        <v>311</v>
      </c>
      <c r="O287" s="2">
        <v>90.350499999999997</v>
      </c>
      <c r="P287" s="2">
        <v>313</v>
      </c>
      <c r="Q287" s="2">
        <v>100.33150000000001</v>
      </c>
      <c r="R287" s="2">
        <v>137</v>
      </c>
      <c r="S287" s="2">
        <v>101.9542</v>
      </c>
      <c r="T287" s="2">
        <v>176</v>
      </c>
      <c r="U287" s="2">
        <v>0.199487</v>
      </c>
      <c r="V287" s="2">
        <v>286</v>
      </c>
      <c r="W287" s="2">
        <v>2005</v>
      </c>
    </row>
    <row r="288" spans="1:23" ht="12.3" x14ac:dyDescent="0.4">
      <c r="A288" s="2" t="s">
        <v>322</v>
      </c>
      <c r="B288" s="2"/>
      <c r="C288" s="2"/>
      <c r="D288" s="2"/>
      <c r="E288" s="2"/>
      <c r="F288" s="2"/>
      <c r="G288" s="2"/>
      <c r="H288" s="2"/>
      <c r="I288" s="2">
        <v>65.625699999999995</v>
      </c>
      <c r="J288" s="2">
        <v>229</v>
      </c>
      <c r="K288" s="2">
        <v>66.971699999999998</v>
      </c>
      <c r="L288" s="2">
        <v>175</v>
      </c>
      <c r="M288" s="2">
        <v>93.115600000000001</v>
      </c>
      <c r="N288" s="2">
        <v>288</v>
      </c>
      <c r="O288" s="2">
        <v>94.328699999999998</v>
      </c>
      <c r="P288" s="2">
        <v>277</v>
      </c>
      <c r="Q288" s="2">
        <v>107.90389999999999</v>
      </c>
      <c r="R288" s="2">
        <v>290</v>
      </c>
      <c r="S288" s="2">
        <v>106.52160000000001</v>
      </c>
      <c r="T288" s="2">
        <v>259</v>
      </c>
      <c r="U288" s="2">
        <v>0.19813900000000001</v>
      </c>
      <c r="V288" s="2">
        <v>287</v>
      </c>
      <c r="W288" s="2">
        <v>2005</v>
      </c>
    </row>
    <row r="289" spans="1:23" ht="12.3" x14ac:dyDescent="0.4">
      <c r="A289" s="2" t="s">
        <v>275</v>
      </c>
      <c r="B289" s="2"/>
      <c r="C289" s="2"/>
      <c r="D289" s="2"/>
      <c r="E289" s="2"/>
      <c r="F289" s="2"/>
      <c r="G289" s="2"/>
      <c r="H289" s="2"/>
      <c r="I289" s="2">
        <v>67.297799999999995</v>
      </c>
      <c r="J289" s="2">
        <v>161</v>
      </c>
      <c r="K289" s="2">
        <v>67.755700000000004</v>
      </c>
      <c r="L289" s="2">
        <v>139</v>
      </c>
      <c r="M289" s="2">
        <v>98.362700000000004</v>
      </c>
      <c r="N289" s="2">
        <v>227</v>
      </c>
      <c r="O289" s="2">
        <v>97.862399999999994</v>
      </c>
      <c r="P289" s="2">
        <v>226</v>
      </c>
      <c r="Q289" s="2">
        <v>110.3109</v>
      </c>
      <c r="R289" s="2">
        <v>320</v>
      </c>
      <c r="S289" s="2">
        <v>110.6558</v>
      </c>
      <c r="T289" s="2">
        <v>312</v>
      </c>
      <c r="U289" s="2">
        <v>0.195775</v>
      </c>
      <c r="V289" s="2">
        <v>288</v>
      </c>
      <c r="W289" s="2">
        <v>2005</v>
      </c>
    </row>
    <row r="290" spans="1:23" ht="12.3" x14ac:dyDescent="0.4">
      <c r="A290" s="2" t="s">
        <v>257</v>
      </c>
      <c r="B290" s="2"/>
      <c r="C290" s="2"/>
      <c r="D290" s="2"/>
      <c r="E290" s="2"/>
      <c r="F290" s="2"/>
      <c r="G290" s="2"/>
      <c r="H290" s="2"/>
      <c r="I290" s="2">
        <v>67.835300000000004</v>
      </c>
      <c r="J290" s="2">
        <v>138</v>
      </c>
      <c r="K290" s="2">
        <v>67.750299999999996</v>
      </c>
      <c r="L290" s="2">
        <v>140</v>
      </c>
      <c r="M290" s="2">
        <v>93.834299999999999</v>
      </c>
      <c r="N290" s="2">
        <v>280</v>
      </c>
      <c r="O290" s="2">
        <v>93.012100000000004</v>
      </c>
      <c r="P290" s="2">
        <v>294</v>
      </c>
      <c r="Q290" s="2">
        <v>106.63760000000001</v>
      </c>
      <c r="R290" s="2">
        <v>271</v>
      </c>
      <c r="S290" s="2">
        <v>105.1716</v>
      </c>
      <c r="T290" s="2">
        <v>241</v>
      </c>
      <c r="U290" s="2">
        <v>0.195773</v>
      </c>
      <c r="V290" s="2">
        <v>289</v>
      </c>
      <c r="W290" s="2">
        <v>2005</v>
      </c>
    </row>
    <row r="291" spans="1:23" ht="12.3" x14ac:dyDescent="0.4">
      <c r="A291" s="2" t="s">
        <v>196</v>
      </c>
      <c r="B291" s="2"/>
      <c r="C291" s="2"/>
      <c r="D291" s="2"/>
      <c r="E291" s="2"/>
      <c r="F291" s="2"/>
      <c r="G291" s="2"/>
      <c r="H291" s="2"/>
      <c r="I291" s="2">
        <v>68.056100000000001</v>
      </c>
      <c r="J291" s="2">
        <v>135</v>
      </c>
      <c r="K291" s="2">
        <v>67.081199999999995</v>
      </c>
      <c r="L291" s="2">
        <v>169</v>
      </c>
      <c r="M291" s="2">
        <v>92.606700000000004</v>
      </c>
      <c r="N291" s="2">
        <v>293</v>
      </c>
      <c r="O291" s="2">
        <v>91.990099999999998</v>
      </c>
      <c r="P291" s="2">
        <v>298</v>
      </c>
      <c r="Q291" s="2">
        <v>105.4053</v>
      </c>
      <c r="R291" s="2">
        <v>258</v>
      </c>
      <c r="S291" s="2">
        <v>104.1961</v>
      </c>
      <c r="T291" s="2">
        <v>223</v>
      </c>
      <c r="U291" s="2">
        <v>0.192658</v>
      </c>
      <c r="V291" s="2">
        <v>290</v>
      </c>
      <c r="W291" s="2">
        <v>2005</v>
      </c>
    </row>
    <row r="292" spans="1:23" ht="12.3" x14ac:dyDescent="0.4">
      <c r="A292" s="2" t="s">
        <v>306</v>
      </c>
      <c r="B292" s="2"/>
      <c r="C292" s="2"/>
      <c r="D292" s="2"/>
      <c r="E292" s="2"/>
      <c r="F292" s="2"/>
      <c r="G292" s="2"/>
      <c r="H292" s="2"/>
      <c r="I292" s="2">
        <v>65.387900000000002</v>
      </c>
      <c r="J292" s="2">
        <v>237</v>
      </c>
      <c r="K292" s="2">
        <v>64.052199999999999</v>
      </c>
      <c r="L292" s="2">
        <v>286</v>
      </c>
      <c r="M292" s="2">
        <v>91.181299999999993</v>
      </c>
      <c r="N292" s="2">
        <v>306</v>
      </c>
      <c r="O292" s="2">
        <v>90.561300000000003</v>
      </c>
      <c r="P292" s="2">
        <v>311</v>
      </c>
      <c r="Q292" s="2">
        <v>103.5977</v>
      </c>
      <c r="R292" s="2">
        <v>223</v>
      </c>
      <c r="S292" s="2">
        <v>102.6491</v>
      </c>
      <c r="T292" s="2">
        <v>189</v>
      </c>
      <c r="U292" s="2">
        <v>0.191416</v>
      </c>
      <c r="V292" s="2">
        <v>291</v>
      </c>
      <c r="W292" s="2">
        <v>2005</v>
      </c>
    </row>
    <row r="293" spans="1:23" ht="12.3" x14ac:dyDescent="0.4">
      <c r="A293" s="2" t="s">
        <v>223</v>
      </c>
      <c r="B293" s="2"/>
      <c r="C293" s="2"/>
      <c r="D293" s="2"/>
      <c r="E293" s="2"/>
      <c r="F293" s="2"/>
      <c r="G293" s="2"/>
      <c r="H293" s="2"/>
      <c r="I293" s="2">
        <v>66.772199999999998</v>
      </c>
      <c r="J293" s="2">
        <v>183</v>
      </c>
      <c r="K293" s="2">
        <v>66.494100000000003</v>
      </c>
      <c r="L293" s="2">
        <v>198</v>
      </c>
      <c r="M293" s="2">
        <v>99.124300000000005</v>
      </c>
      <c r="N293" s="2">
        <v>215</v>
      </c>
      <c r="O293" s="2">
        <v>97.435500000000005</v>
      </c>
      <c r="P293" s="2">
        <v>234</v>
      </c>
      <c r="Q293" s="2">
        <v>106.9038</v>
      </c>
      <c r="R293" s="2">
        <v>276</v>
      </c>
      <c r="S293" s="2">
        <v>110.4455</v>
      </c>
      <c r="T293" s="2">
        <v>310</v>
      </c>
      <c r="U293" s="2">
        <v>0.19134200000000001</v>
      </c>
      <c r="V293" s="2">
        <v>292</v>
      </c>
      <c r="W293" s="2">
        <v>2005</v>
      </c>
    </row>
    <row r="294" spans="1:23" ht="12.3" x14ac:dyDescent="0.4">
      <c r="A294" s="2" t="s">
        <v>193</v>
      </c>
      <c r="B294" s="2"/>
      <c r="C294" s="2"/>
      <c r="D294" s="2"/>
      <c r="E294" s="2"/>
      <c r="F294" s="2"/>
      <c r="G294" s="2"/>
      <c r="H294" s="2"/>
      <c r="I294" s="2">
        <v>66.131</v>
      </c>
      <c r="J294" s="2">
        <v>205</v>
      </c>
      <c r="K294" s="2">
        <v>66.379099999999994</v>
      </c>
      <c r="L294" s="2">
        <v>203</v>
      </c>
      <c r="M294" s="2">
        <v>94.396000000000001</v>
      </c>
      <c r="N294" s="2">
        <v>275</v>
      </c>
      <c r="O294" s="2">
        <v>95.495999999999995</v>
      </c>
      <c r="P294" s="2">
        <v>262</v>
      </c>
      <c r="Q294" s="2">
        <v>106.8176</v>
      </c>
      <c r="R294" s="2">
        <v>274</v>
      </c>
      <c r="S294" s="2">
        <v>108.39490000000001</v>
      </c>
      <c r="T294" s="2">
        <v>287</v>
      </c>
      <c r="U294" s="2">
        <v>0.18892500000000001</v>
      </c>
      <c r="V294" s="2">
        <v>293</v>
      </c>
      <c r="W294" s="2">
        <v>2005</v>
      </c>
    </row>
    <row r="295" spans="1:23" ht="12.3" x14ac:dyDescent="0.4">
      <c r="A295" s="2" t="s">
        <v>278</v>
      </c>
      <c r="B295" s="2"/>
      <c r="C295" s="2"/>
      <c r="D295" s="2"/>
      <c r="E295" s="2"/>
      <c r="F295" s="2"/>
      <c r="G295" s="2"/>
      <c r="H295" s="2"/>
      <c r="I295" s="2">
        <v>66.016800000000003</v>
      </c>
      <c r="J295" s="2">
        <v>213</v>
      </c>
      <c r="K295" s="2">
        <v>65.164500000000004</v>
      </c>
      <c r="L295" s="2">
        <v>249</v>
      </c>
      <c r="M295" s="2">
        <v>92.024500000000003</v>
      </c>
      <c r="N295" s="2">
        <v>302</v>
      </c>
      <c r="O295" s="2">
        <v>94.483900000000006</v>
      </c>
      <c r="P295" s="2">
        <v>275</v>
      </c>
      <c r="Q295" s="2">
        <v>107.7967</v>
      </c>
      <c r="R295" s="2">
        <v>288</v>
      </c>
      <c r="S295" s="2">
        <v>107.616</v>
      </c>
      <c r="T295" s="2">
        <v>279</v>
      </c>
      <c r="U295" s="2">
        <v>0.18293100000000001</v>
      </c>
      <c r="V295" s="2">
        <v>294</v>
      </c>
      <c r="W295" s="2">
        <v>2005</v>
      </c>
    </row>
    <row r="296" spans="1:23" ht="12.3" x14ac:dyDescent="0.4">
      <c r="A296" s="2" t="s">
        <v>345</v>
      </c>
      <c r="B296" s="2"/>
      <c r="C296" s="2"/>
      <c r="D296" s="2"/>
      <c r="E296" s="2"/>
      <c r="F296" s="2"/>
      <c r="G296" s="2"/>
      <c r="H296" s="2"/>
      <c r="I296" s="2">
        <v>69.177599999999998</v>
      </c>
      <c r="J296" s="2">
        <v>97</v>
      </c>
      <c r="K296" s="2">
        <v>68.828100000000006</v>
      </c>
      <c r="L296" s="2">
        <v>100</v>
      </c>
      <c r="M296" s="2">
        <v>93.415899999999993</v>
      </c>
      <c r="N296" s="2">
        <v>284</v>
      </c>
      <c r="O296" s="2">
        <v>90.844200000000001</v>
      </c>
      <c r="P296" s="2">
        <v>307</v>
      </c>
      <c r="Q296" s="2">
        <v>96.919600000000003</v>
      </c>
      <c r="R296" s="2">
        <v>59</v>
      </c>
      <c r="S296" s="2">
        <v>103.9135</v>
      </c>
      <c r="T296" s="2">
        <v>217</v>
      </c>
      <c r="U296" s="2">
        <v>0.175701</v>
      </c>
      <c r="V296" s="2">
        <v>295</v>
      </c>
      <c r="W296" s="2">
        <v>2005</v>
      </c>
    </row>
    <row r="297" spans="1:23" ht="12.3" x14ac:dyDescent="0.4">
      <c r="A297" s="2" t="s">
        <v>274</v>
      </c>
      <c r="B297" s="2"/>
      <c r="C297" s="2"/>
      <c r="D297" s="2"/>
      <c r="E297" s="2"/>
      <c r="F297" s="2"/>
      <c r="G297" s="2"/>
      <c r="H297" s="2"/>
      <c r="I297" s="2">
        <v>71.549300000000002</v>
      </c>
      <c r="J297" s="2">
        <v>33</v>
      </c>
      <c r="K297" s="2">
        <v>71.424599999999998</v>
      </c>
      <c r="L297" s="2">
        <v>34</v>
      </c>
      <c r="M297" s="2">
        <v>102.2608</v>
      </c>
      <c r="N297" s="2">
        <v>140</v>
      </c>
      <c r="O297" s="2">
        <v>98.6785</v>
      </c>
      <c r="P297" s="2">
        <v>210</v>
      </c>
      <c r="Q297" s="2">
        <v>109.2225</v>
      </c>
      <c r="R297" s="2">
        <v>305</v>
      </c>
      <c r="S297" s="2">
        <v>113.0091</v>
      </c>
      <c r="T297" s="2">
        <v>325</v>
      </c>
      <c r="U297" s="2">
        <v>0.173731</v>
      </c>
      <c r="V297" s="2">
        <v>296</v>
      </c>
      <c r="W297" s="2">
        <v>2005</v>
      </c>
    </row>
    <row r="298" spans="1:23" ht="12.3" x14ac:dyDescent="0.4">
      <c r="A298" s="2" t="s">
        <v>329</v>
      </c>
      <c r="B298" s="2"/>
      <c r="C298" s="2"/>
      <c r="D298" s="2"/>
      <c r="E298" s="2"/>
      <c r="F298" s="2"/>
      <c r="G298" s="2"/>
      <c r="H298" s="2"/>
      <c r="I298" s="2">
        <v>71.078000000000003</v>
      </c>
      <c r="J298" s="2">
        <v>40</v>
      </c>
      <c r="K298" s="2">
        <v>69.888000000000005</v>
      </c>
      <c r="L298" s="2">
        <v>63</v>
      </c>
      <c r="M298" s="2">
        <v>93.926100000000005</v>
      </c>
      <c r="N298" s="2">
        <v>279</v>
      </c>
      <c r="O298" s="2">
        <v>92.921499999999995</v>
      </c>
      <c r="P298" s="2">
        <v>295</v>
      </c>
      <c r="Q298" s="2">
        <v>98.716800000000006</v>
      </c>
      <c r="R298" s="2">
        <v>99</v>
      </c>
      <c r="S298" s="2">
        <v>106.629</v>
      </c>
      <c r="T298" s="2">
        <v>263</v>
      </c>
      <c r="U298" s="2">
        <v>0.17045399999999999</v>
      </c>
      <c r="V298" s="2">
        <v>297</v>
      </c>
      <c r="W298" s="2">
        <v>2005</v>
      </c>
    </row>
    <row r="299" spans="1:23" ht="12.3" x14ac:dyDescent="0.4">
      <c r="A299" s="2" t="s">
        <v>312</v>
      </c>
      <c r="B299" s="2"/>
      <c r="C299" s="2"/>
      <c r="D299" s="2"/>
      <c r="E299" s="2"/>
      <c r="F299" s="2"/>
      <c r="G299" s="2"/>
      <c r="H299" s="2"/>
      <c r="I299" s="2">
        <v>72.118399999999994</v>
      </c>
      <c r="J299" s="2">
        <v>28</v>
      </c>
      <c r="K299" s="2">
        <v>70.930800000000005</v>
      </c>
      <c r="L299" s="2">
        <v>41</v>
      </c>
      <c r="M299" s="2">
        <v>89.476799999999997</v>
      </c>
      <c r="N299" s="2">
        <v>320</v>
      </c>
      <c r="O299" s="2">
        <v>89.745400000000004</v>
      </c>
      <c r="P299" s="2">
        <v>316</v>
      </c>
      <c r="Q299" s="2">
        <v>95.534000000000006</v>
      </c>
      <c r="R299" s="2">
        <v>43</v>
      </c>
      <c r="S299" s="2">
        <v>103.2264</v>
      </c>
      <c r="T299" s="2">
        <v>201</v>
      </c>
      <c r="U299" s="2">
        <v>0.16667299999999999</v>
      </c>
      <c r="V299" s="2">
        <v>298</v>
      </c>
      <c r="W299" s="2">
        <v>2005</v>
      </c>
    </row>
    <row r="300" spans="1:23" ht="12.3" x14ac:dyDescent="0.4">
      <c r="A300" s="2" t="s">
        <v>280</v>
      </c>
      <c r="B300" s="2"/>
      <c r="C300" s="2"/>
      <c r="D300" s="2"/>
      <c r="E300" s="2"/>
      <c r="F300" s="2"/>
      <c r="G300" s="2"/>
      <c r="H300" s="2"/>
      <c r="I300" s="2">
        <v>67.984099999999998</v>
      </c>
      <c r="J300" s="2">
        <v>137</v>
      </c>
      <c r="K300" s="2">
        <v>68.235600000000005</v>
      </c>
      <c r="L300" s="2">
        <v>118</v>
      </c>
      <c r="M300" s="2">
        <v>96.078999999999994</v>
      </c>
      <c r="N300" s="2">
        <v>252</v>
      </c>
      <c r="O300" s="2">
        <v>95.954300000000003</v>
      </c>
      <c r="P300" s="2">
        <v>255</v>
      </c>
      <c r="Q300" s="2">
        <v>113.2146</v>
      </c>
      <c r="R300" s="2">
        <v>327</v>
      </c>
      <c r="S300" s="2">
        <v>110.4586</v>
      </c>
      <c r="T300" s="2">
        <v>311</v>
      </c>
      <c r="U300" s="2">
        <v>0.16536500000000001</v>
      </c>
      <c r="V300" s="2">
        <v>299</v>
      </c>
      <c r="W300" s="2">
        <v>2005</v>
      </c>
    </row>
    <row r="301" spans="1:23" ht="12.3" x14ac:dyDescent="0.4">
      <c r="A301" s="2" t="s">
        <v>246</v>
      </c>
      <c r="B301" s="2"/>
      <c r="C301" s="2"/>
      <c r="D301" s="2"/>
      <c r="E301" s="2"/>
      <c r="F301" s="2"/>
      <c r="G301" s="2"/>
      <c r="H301" s="2"/>
      <c r="I301" s="2">
        <v>73.4649</v>
      </c>
      <c r="J301" s="2">
        <v>16</v>
      </c>
      <c r="K301" s="2">
        <v>71.947299999999998</v>
      </c>
      <c r="L301" s="2">
        <v>28</v>
      </c>
      <c r="M301" s="2">
        <v>90.452500000000001</v>
      </c>
      <c r="N301" s="2">
        <v>314</v>
      </c>
      <c r="O301" s="2">
        <v>90.725800000000007</v>
      </c>
      <c r="P301" s="2">
        <v>310</v>
      </c>
      <c r="Q301" s="2">
        <v>104.35809999999999</v>
      </c>
      <c r="R301" s="2">
        <v>239</v>
      </c>
      <c r="S301" s="2">
        <v>104.69370000000001</v>
      </c>
      <c r="T301" s="2">
        <v>231</v>
      </c>
      <c r="U301" s="2">
        <v>0.161548</v>
      </c>
      <c r="V301" s="2">
        <v>300</v>
      </c>
      <c r="W301" s="2">
        <v>2005</v>
      </c>
    </row>
    <row r="302" spans="1:23" ht="12.3" x14ac:dyDescent="0.4">
      <c r="A302" s="2" t="s">
        <v>338</v>
      </c>
      <c r="B302" s="2"/>
      <c r="C302" s="2"/>
      <c r="D302" s="2"/>
      <c r="E302" s="2"/>
      <c r="F302" s="2"/>
      <c r="G302" s="2"/>
      <c r="H302" s="2"/>
      <c r="I302" s="2">
        <v>70.244500000000002</v>
      </c>
      <c r="J302" s="2">
        <v>70</v>
      </c>
      <c r="K302" s="2">
        <v>68.891599999999997</v>
      </c>
      <c r="L302" s="2">
        <v>97</v>
      </c>
      <c r="M302" s="2">
        <v>92.184399999999997</v>
      </c>
      <c r="N302" s="2">
        <v>299</v>
      </c>
      <c r="O302" s="2">
        <v>89.997299999999996</v>
      </c>
      <c r="P302" s="2">
        <v>314</v>
      </c>
      <c r="Q302" s="2">
        <v>95.9876</v>
      </c>
      <c r="R302" s="2">
        <v>46</v>
      </c>
      <c r="S302" s="2">
        <v>104.1592</v>
      </c>
      <c r="T302" s="2">
        <v>221</v>
      </c>
      <c r="U302" s="2">
        <v>0.15701399999999999</v>
      </c>
      <c r="V302" s="2">
        <v>301</v>
      </c>
      <c r="W302" s="2">
        <v>2005</v>
      </c>
    </row>
    <row r="303" spans="1:23" ht="12.3" x14ac:dyDescent="0.4">
      <c r="A303" s="2" t="s">
        <v>293</v>
      </c>
      <c r="B303" s="2"/>
      <c r="C303" s="2"/>
      <c r="D303" s="2"/>
      <c r="E303" s="2"/>
      <c r="F303" s="2"/>
      <c r="G303" s="2"/>
      <c r="H303" s="2"/>
      <c r="I303" s="2">
        <v>65.1511</v>
      </c>
      <c r="J303" s="2">
        <v>252</v>
      </c>
      <c r="K303" s="2">
        <v>65.513599999999997</v>
      </c>
      <c r="L303" s="2">
        <v>237</v>
      </c>
      <c r="M303" s="2">
        <v>94.785600000000002</v>
      </c>
      <c r="N303" s="2">
        <v>269</v>
      </c>
      <c r="O303" s="2">
        <v>93.915899999999993</v>
      </c>
      <c r="P303" s="2">
        <v>284</v>
      </c>
      <c r="Q303" s="2">
        <v>107.2809</v>
      </c>
      <c r="R303" s="2">
        <v>284</v>
      </c>
      <c r="S303" s="2">
        <v>108.7201</v>
      </c>
      <c r="T303" s="2">
        <v>293</v>
      </c>
      <c r="U303" s="2">
        <v>0.15665399999999999</v>
      </c>
      <c r="V303" s="2">
        <v>302</v>
      </c>
      <c r="W303" s="2">
        <v>2005</v>
      </c>
    </row>
    <row r="304" spans="1:23" ht="12.3" x14ac:dyDescent="0.4">
      <c r="A304" s="2" t="s">
        <v>301</v>
      </c>
      <c r="B304" s="2"/>
      <c r="C304" s="2"/>
      <c r="D304" s="2"/>
      <c r="E304" s="2"/>
      <c r="F304" s="2"/>
      <c r="G304" s="2"/>
      <c r="H304" s="2"/>
      <c r="I304" s="2">
        <v>70.474500000000006</v>
      </c>
      <c r="J304" s="2">
        <v>61</v>
      </c>
      <c r="K304" s="2">
        <v>69.007300000000001</v>
      </c>
      <c r="L304" s="2">
        <v>94</v>
      </c>
      <c r="M304" s="2">
        <v>95.445800000000006</v>
      </c>
      <c r="N304" s="2">
        <v>262</v>
      </c>
      <c r="O304" s="2">
        <v>95.887600000000006</v>
      </c>
      <c r="P304" s="2">
        <v>256</v>
      </c>
      <c r="Q304" s="2">
        <v>103.6433</v>
      </c>
      <c r="R304" s="2">
        <v>225</v>
      </c>
      <c r="S304" s="2">
        <v>111.09650000000001</v>
      </c>
      <c r="T304" s="2">
        <v>314</v>
      </c>
      <c r="U304" s="2">
        <v>0.15537400000000001</v>
      </c>
      <c r="V304" s="2">
        <v>303</v>
      </c>
      <c r="W304" s="2">
        <v>2005</v>
      </c>
    </row>
    <row r="305" spans="1:23" ht="12.3" x14ac:dyDescent="0.4">
      <c r="A305" s="2" t="s">
        <v>297</v>
      </c>
      <c r="B305" s="2"/>
      <c r="C305" s="2"/>
      <c r="D305" s="2"/>
      <c r="E305" s="2"/>
      <c r="F305" s="2"/>
      <c r="G305" s="2"/>
      <c r="H305" s="2"/>
      <c r="I305" s="2">
        <v>64.289500000000004</v>
      </c>
      <c r="J305" s="2">
        <v>275</v>
      </c>
      <c r="K305" s="2">
        <v>62.8887</v>
      </c>
      <c r="L305" s="2">
        <v>304</v>
      </c>
      <c r="M305" s="2">
        <v>88.508899999999997</v>
      </c>
      <c r="N305" s="2">
        <v>322</v>
      </c>
      <c r="O305" s="2">
        <v>87.134100000000004</v>
      </c>
      <c r="P305" s="2">
        <v>323</v>
      </c>
      <c r="Q305" s="2">
        <v>93.854100000000003</v>
      </c>
      <c r="R305" s="2">
        <v>28</v>
      </c>
      <c r="S305" s="2">
        <v>101.102</v>
      </c>
      <c r="T305" s="2">
        <v>154</v>
      </c>
      <c r="U305" s="2">
        <v>0.15318399999999999</v>
      </c>
      <c r="V305" s="2">
        <v>304</v>
      </c>
      <c r="W305" s="2">
        <v>2005</v>
      </c>
    </row>
    <row r="306" spans="1:23" ht="12.3" x14ac:dyDescent="0.4">
      <c r="A306" s="2" t="s">
        <v>179</v>
      </c>
      <c r="B306" s="2"/>
      <c r="C306" s="2"/>
      <c r="D306" s="2"/>
      <c r="E306" s="2"/>
      <c r="F306" s="2"/>
      <c r="G306" s="2"/>
      <c r="H306" s="2"/>
      <c r="I306" s="2">
        <v>70.871399999999994</v>
      </c>
      <c r="J306" s="2">
        <v>48</v>
      </c>
      <c r="K306" s="2">
        <v>69.509600000000006</v>
      </c>
      <c r="L306" s="2">
        <v>76</v>
      </c>
      <c r="M306" s="2">
        <v>90.489199999999997</v>
      </c>
      <c r="N306" s="2">
        <v>313</v>
      </c>
      <c r="O306" s="2">
        <v>89.594999999999999</v>
      </c>
      <c r="P306" s="2">
        <v>317</v>
      </c>
      <c r="Q306" s="2">
        <v>101.62990000000001</v>
      </c>
      <c r="R306" s="2">
        <v>174</v>
      </c>
      <c r="S306" s="2">
        <v>104.71729999999999</v>
      </c>
      <c r="T306" s="2">
        <v>232</v>
      </c>
      <c r="U306" s="2">
        <v>0.14263300000000001</v>
      </c>
      <c r="V306" s="2">
        <v>305</v>
      </c>
      <c r="W306" s="2">
        <v>2005</v>
      </c>
    </row>
    <row r="307" spans="1:23" ht="12.3" x14ac:dyDescent="0.4">
      <c r="A307" s="2" t="s">
        <v>295</v>
      </c>
      <c r="B307" s="2"/>
      <c r="C307" s="2"/>
      <c r="D307" s="2"/>
      <c r="E307" s="2"/>
      <c r="F307" s="2"/>
      <c r="G307" s="2"/>
      <c r="H307" s="2"/>
      <c r="I307" s="2">
        <v>66.147300000000001</v>
      </c>
      <c r="J307" s="2">
        <v>203</v>
      </c>
      <c r="K307" s="2">
        <v>65.819599999999994</v>
      </c>
      <c r="L307" s="2">
        <v>229</v>
      </c>
      <c r="M307" s="2">
        <v>89.515199999999993</v>
      </c>
      <c r="N307" s="2">
        <v>319</v>
      </c>
      <c r="O307" s="2">
        <v>91.445700000000002</v>
      </c>
      <c r="P307" s="2">
        <v>304</v>
      </c>
      <c r="Q307" s="2">
        <v>105.7272</v>
      </c>
      <c r="R307" s="2">
        <v>265</v>
      </c>
      <c r="S307" s="2">
        <v>107.12949999999999</v>
      </c>
      <c r="T307" s="2">
        <v>275</v>
      </c>
      <c r="U307" s="2">
        <v>0.13938999999999999</v>
      </c>
      <c r="V307" s="2">
        <v>306</v>
      </c>
      <c r="W307" s="2">
        <v>2005</v>
      </c>
    </row>
    <row r="308" spans="1:23" ht="12.3" x14ac:dyDescent="0.4">
      <c r="A308" s="2" t="s">
        <v>340</v>
      </c>
      <c r="B308" s="2"/>
      <c r="C308" s="2"/>
      <c r="D308" s="2"/>
      <c r="E308" s="2"/>
      <c r="F308" s="2"/>
      <c r="G308" s="2"/>
      <c r="H308" s="2"/>
      <c r="I308" s="2">
        <v>71.539699999999996</v>
      </c>
      <c r="J308" s="2">
        <v>34</v>
      </c>
      <c r="K308" s="2">
        <v>70.961799999999997</v>
      </c>
      <c r="L308" s="2">
        <v>40</v>
      </c>
      <c r="M308" s="2">
        <v>91.759</v>
      </c>
      <c r="N308" s="2">
        <v>304</v>
      </c>
      <c r="O308" s="2">
        <v>89.752399999999994</v>
      </c>
      <c r="P308" s="2">
        <v>315</v>
      </c>
      <c r="Q308" s="2">
        <v>105.4075</v>
      </c>
      <c r="R308" s="2">
        <v>259</v>
      </c>
      <c r="S308" s="2">
        <v>105.57689999999999</v>
      </c>
      <c r="T308" s="2">
        <v>249</v>
      </c>
      <c r="U308" s="2">
        <v>0.13383999999999999</v>
      </c>
      <c r="V308" s="2">
        <v>307</v>
      </c>
      <c r="W308" s="2">
        <v>2005</v>
      </c>
    </row>
    <row r="309" spans="1:23" ht="12.3" x14ac:dyDescent="0.4">
      <c r="A309" s="2" t="s">
        <v>349</v>
      </c>
      <c r="B309" s="2"/>
      <c r="C309" s="2"/>
      <c r="D309" s="2"/>
      <c r="E309" s="2"/>
      <c r="F309" s="2"/>
      <c r="G309" s="2"/>
      <c r="H309" s="2"/>
      <c r="I309" s="2">
        <v>67.402100000000004</v>
      </c>
      <c r="J309" s="2">
        <v>158</v>
      </c>
      <c r="K309" s="2">
        <v>65.931899999999999</v>
      </c>
      <c r="L309" s="2">
        <v>223</v>
      </c>
      <c r="M309" s="2">
        <v>96.495400000000004</v>
      </c>
      <c r="N309" s="2">
        <v>244</v>
      </c>
      <c r="O309" s="2">
        <v>94.536500000000004</v>
      </c>
      <c r="P309" s="2">
        <v>272</v>
      </c>
      <c r="Q309" s="2">
        <v>105.92149999999999</v>
      </c>
      <c r="R309" s="2">
        <v>267</v>
      </c>
      <c r="S309" s="2">
        <v>111.2148</v>
      </c>
      <c r="T309" s="2">
        <v>315</v>
      </c>
      <c r="U309" s="2">
        <v>0.133716</v>
      </c>
      <c r="V309" s="2">
        <v>308</v>
      </c>
      <c r="W309" s="2">
        <v>2005</v>
      </c>
    </row>
    <row r="310" spans="1:23" ht="12.3" x14ac:dyDescent="0.4">
      <c r="A310" s="2" t="s">
        <v>263</v>
      </c>
      <c r="B310" s="2"/>
      <c r="C310" s="2"/>
      <c r="D310" s="2"/>
      <c r="E310" s="2"/>
      <c r="F310" s="2"/>
      <c r="G310" s="2"/>
      <c r="H310" s="2"/>
      <c r="I310" s="2">
        <v>68.505899999999997</v>
      </c>
      <c r="J310" s="2">
        <v>117</v>
      </c>
      <c r="K310" s="2">
        <v>67.352999999999994</v>
      </c>
      <c r="L310" s="2">
        <v>158</v>
      </c>
      <c r="M310" s="2">
        <v>92.7667</v>
      </c>
      <c r="N310" s="2">
        <v>290</v>
      </c>
      <c r="O310" s="2">
        <v>91.194999999999993</v>
      </c>
      <c r="P310" s="2">
        <v>305</v>
      </c>
      <c r="Q310" s="2">
        <v>104.04040000000001</v>
      </c>
      <c r="R310" s="2">
        <v>232</v>
      </c>
      <c r="S310" s="2">
        <v>107.3199</v>
      </c>
      <c r="T310" s="2">
        <v>276</v>
      </c>
      <c r="U310" s="2">
        <v>0.133268</v>
      </c>
      <c r="V310" s="2">
        <v>309</v>
      </c>
      <c r="W310" s="2">
        <v>2005</v>
      </c>
    </row>
    <row r="311" spans="1:23" ht="12.3" x14ac:dyDescent="0.4">
      <c r="A311" s="2" t="s">
        <v>189</v>
      </c>
      <c r="B311" s="2"/>
      <c r="C311" s="2"/>
      <c r="D311" s="2"/>
      <c r="E311" s="2"/>
      <c r="F311" s="2"/>
      <c r="G311" s="2"/>
      <c r="H311" s="2"/>
      <c r="I311" s="2">
        <v>70.748099999999994</v>
      </c>
      <c r="J311" s="2">
        <v>51</v>
      </c>
      <c r="K311" s="2">
        <v>72.112300000000005</v>
      </c>
      <c r="L311" s="2">
        <v>24</v>
      </c>
      <c r="M311" s="2">
        <v>94.809700000000007</v>
      </c>
      <c r="N311" s="2">
        <v>268</v>
      </c>
      <c r="O311" s="2">
        <v>96.551599999999993</v>
      </c>
      <c r="P311" s="2">
        <v>245</v>
      </c>
      <c r="Q311" s="2">
        <v>113.3387</v>
      </c>
      <c r="R311" s="2">
        <v>329</v>
      </c>
      <c r="S311" s="2">
        <v>113.8318</v>
      </c>
      <c r="T311" s="2">
        <v>328</v>
      </c>
      <c r="U311" s="2">
        <v>0.130856</v>
      </c>
      <c r="V311" s="2">
        <v>310</v>
      </c>
      <c r="W311" s="2">
        <v>2005</v>
      </c>
    </row>
    <row r="312" spans="1:23" ht="12.3" x14ac:dyDescent="0.4">
      <c r="A312" s="2" t="s">
        <v>294</v>
      </c>
      <c r="B312" s="2"/>
      <c r="C312" s="2"/>
      <c r="D312" s="2"/>
      <c r="E312" s="2"/>
      <c r="F312" s="2"/>
      <c r="G312" s="2"/>
      <c r="H312" s="2"/>
      <c r="I312" s="2">
        <v>67.761700000000005</v>
      </c>
      <c r="J312" s="2">
        <v>143</v>
      </c>
      <c r="K312" s="2">
        <v>67.461200000000005</v>
      </c>
      <c r="L312" s="2">
        <v>152</v>
      </c>
      <c r="M312" s="2">
        <v>90.958399999999997</v>
      </c>
      <c r="N312" s="2">
        <v>309</v>
      </c>
      <c r="O312" s="2">
        <v>89.434399999999997</v>
      </c>
      <c r="P312" s="2">
        <v>318</v>
      </c>
      <c r="Q312" s="2">
        <v>103.27079999999999</v>
      </c>
      <c r="R312" s="2">
        <v>218</v>
      </c>
      <c r="S312" s="2">
        <v>105.62139999999999</v>
      </c>
      <c r="T312" s="2">
        <v>251</v>
      </c>
      <c r="U312" s="2">
        <v>0.128635</v>
      </c>
      <c r="V312" s="2">
        <v>311</v>
      </c>
      <c r="W312" s="2">
        <v>2005</v>
      </c>
    </row>
    <row r="313" spans="1:23" ht="12.3" x14ac:dyDescent="0.4">
      <c r="A313" s="2" t="s">
        <v>200</v>
      </c>
      <c r="B313" s="2"/>
      <c r="C313" s="2"/>
      <c r="D313" s="2"/>
      <c r="E313" s="2"/>
      <c r="F313" s="2"/>
      <c r="G313" s="2"/>
      <c r="H313" s="2"/>
      <c r="I313" s="2">
        <v>65.969800000000006</v>
      </c>
      <c r="J313" s="2">
        <v>214</v>
      </c>
      <c r="K313" s="2">
        <v>65.896500000000003</v>
      </c>
      <c r="L313" s="2">
        <v>226</v>
      </c>
      <c r="M313" s="2">
        <v>90.518299999999996</v>
      </c>
      <c r="N313" s="2">
        <v>312</v>
      </c>
      <c r="O313" s="2">
        <v>91.911600000000007</v>
      </c>
      <c r="P313" s="2">
        <v>299</v>
      </c>
      <c r="Q313" s="2">
        <v>107.95740000000001</v>
      </c>
      <c r="R313" s="2">
        <v>292</v>
      </c>
      <c r="S313" s="2">
        <v>109.0248</v>
      </c>
      <c r="T313" s="2">
        <v>296</v>
      </c>
      <c r="U313" s="2">
        <v>0.12307700000000001</v>
      </c>
      <c r="V313" s="2">
        <v>312</v>
      </c>
      <c r="W313" s="2">
        <v>2005</v>
      </c>
    </row>
    <row r="314" spans="1:23" ht="12.3" x14ac:dyDescent="0.4">
      <c r="A314" s="2" t="s">
        <v>358</v>
      </c>
      <c r="B314" s="2"/>
      <c r="C314" s="2"/>
      <c r="D314" s="2"/>
      <c r="E314" s="2"/>
      <c r="F314" s="2"/>
      <c r="G314" s="2"/>
      <c r="H314" s="2"/>
      <c r="I314" s="2">
        <v>67.763999999999996</v>
      </c>
      <c r="J314" s="2">
        <v>142</v>
      </c>
      <c r="K314" s="2">
        <v>68.676000000000002</v>
      </c>
      <c r="L314" s="2">
        <v>110</v>
      </c>
      <c r="M314" s="2">
        <v>92.153300000000002</v>
      </c>
      <c r="N314" s="2">
        <v>300</v>
      </c>
      <c r="O314" s="2">
        <v>94.524900000000002</v>
      </c>
      <c r="P314" s="2">
        <v>274</v>
      </c>
      <c r="Q314" s="2">
        <v>112.24590000000001</v>
      </c>
      <c r="R314" s="2">
        <v>326</v>
      </c>
      <c r="S314" s="2">
        <v>112.163</v>
      </c>
      <c r="T314" s="2">
        <v>322</v>
      </c>
      <c r="U314" s="2">
        <v>0.122654</v>
      </c>
      <c r="V314" s="2">
        <v>313</v>
      </c>
      <c r="W314" s="2">
        <v>2005</v>
      </c>
    </row>
    <row r="315" spans="1:23" ht="12.3" x14ac:dyDescent="0.4">
      <c r="A315" s="2" t="s">
        <v>325</v>
      </c>
      <c r="B315" s="2"/>
      <c r="C315" s="2"/>
      <c r="D315" s="2"/>
      <c r="E315" s="2"/>
      <c r="F315" s="2"/>
      <c r="G315" s="2"/>
      <c r="H315" s="2"/>
      <c r="I315" s="2">
        <v>69.418000000000006</v>
      </c>
      <c r="J315" s="2">
        <v>92</v>
      </c>
      <c r="K315" s="2">
        <v>68.129900000000006</v>
      </c>
      <c r="L315" s="2">
        <v>121</v>
      </c>
      <c r="M315" s="2">
        <v>94.356099999999998</v>
      </c>
      <c r="N315" s="2">
        <v>276</v>
      </c>
      <c r="O315" s="2">
        <v>93.731499999999997</v>
      </c>
      <c r="P315" s="2">
        <v>286</v>
      </c>
      <c r="Q315" s="2">
        <v>99.437899999999999</v>
      </c>
      <c r="R315" s="2">
        <v>115</v>
      </c>
      <c r="S315" s="2">
        <v>111.29389999999999</v>
      </c>
      <c r="T315" s="2">
        <v>316</v>
      </c>
      <c r="U315" s="2">
        <v>0.121851</v>
      </c>
      <c r="V315" s="2">
        <v>314</v>
      </c>
      <c r="W315" s="2">
        <v>2005</v>
      </c>
    </row>
    <row r="316" spans="1:23" ht="12.3" x14ac:dyDescent="0.4">
      <c r="A316" s="2" t="s">
        <v>316</v>
      </c>
      <c r="B316" s="2"/>
      <c r="C316" s="2"/>
      <c r="D316" s="2"/>
      <c r="E316" s="2"/>
      <c r="F316" s="2"/>
      <c r="G316" s="2"/>
      <c r="H316" s="2"/>
      <c r="I316" s="2">
        <v>70.265600000000006</v>
      </c>
      <c r="J316" s="2">
        <v>69</v>
      </c>
      <c r="K316" s="2">
        <v>70.223100000000002</v>
      </c>
      <c r="L316" s="2">
        <v>53</v>
      </c>
      <c r="M316" s="2">
        <v>92.185400000000001</v>
      </c>
      <c r="N316" s="2">
        <v>298</v>
      </c>
      <c r="O316" s="2">
        <v>89.276799999999994</v>
      </c>
      <c r="P316" s="2">
        <v>319</v>
      </c>
      <c r="Q316" s="2">
        <v>105.06659999999999</v>
      </c>
      <c r="R316" s="2">
        <v>252</v>
      </c>
      <c r="S316" s="2">
        <v>106.4469</v>
      </c>
      <c r="T316" s="2">
        <v>257</v>
      </c>
      <c r="U316" s="2">
        <v>0.11681900000000001</v>
      </c>
      <c r="V316" s="2">
        <v>315</v>
      </c>
      <c r="W316" s="2">
        <v>2005</v>
      </c>
    </row>
    <row r="317" spans="1:23" ht="12.3" x14ac:dyDescent="0.4">
      <c r="A317" s="2" t="s">
        <v>347</v>
      </c>
      <c r="B317" s="2"/>
      <c r="C317" s="2"/>
      <c r="D317" s="2"/>
      <c r="E317" s="2"/>
      <c r="F317" s="2"/>
      <c r="G317" s="2"/>
      <c r="H317" s="2"/>
      <c r="I317" s="2">
        <v>74.094800000000006</v>
      </c>
      <c r="J317" s="2">
        <v>10</v>
      </c>
      <c r="K317" s="2">
        <v>72.302499999999995</v>
      </c>
      <c r="L317" s="2">
        <v>22</v>
      </c>
      <c r="M317" s="2">
        <v>94.902600000000007</v>
      </c>
      <c r="N317" s="2">
        <v>267</v>
      </c>
      <c r="O317" s="2">
        <v>94.0535</v>
      </c>
      <c r="P317" s="2">
        <v>280</v>
      </c>
      <c r="Q317" s="2">
        <v>109.9434</v>
      </c>
      <c r="R317" s="2">
        <v>315</v>
      </c>
      <c r="S317" s="2">
        <v>112.246</v>
      </c>
      <c r="T317" s="2">
        <v>323</v>
      </c>
      <c r="U317" s="2">
        <v>0.115727</v>
      </c>
      <c r="V317" s="2">
        <v>316</v>
      </c>
      <c r="W317" s="2">
        <v>2005</v>
      </c>
    </row>
    <row r="318" spans="1:23" ht="12.3" x14ac:dyDescent="0.4">
      <c r="A318" s="2" t="s">
        <v>313</v>
      </c>
      <c r="B318" s="2"/>
      <c r="C318" s="2"/>
      <c r="D318" s="2"/>
      <c r="E318" s="2"/>
      <c r="F318" s="2"/>
      <c r="G318" s="2"/>
      <c r="H318" s="2"/>
      <c r="I318" s="2">
        <v>69.114900000000006</v>
      </c>
      <c r="J318" s="2">
        <v>101</v>
      </c>
      <c r="K318" s="2">
        <v>67.932900000000004</v>
      </c>
      <c r="L318" s="2">
        <v>126</v>
      </c>
      <c r="M318" s="2">
        <v>92.239400000000003</v>
      </c>
      <c r="N318" s="2">
        <v>297</v>
      </c>
      <c r="O318" s="2">
        <v>90.762900000000002</v>
      </c>
      <c r="P318" s="2">
        <v>309</v>
      </c>
      <c r="Q318" s="2">
        <v>98.786600000000007</v>
      </c>
      <c r="R318" s="2">
        <v>102</v>
      </c>
      <c r="S318" s="2">
        <v>108.3463</v>
      </c>
      <c r="T318" s="2">
        <v>286</v>
      </c>
      <c r="U318" s="2">
        <v>0.11543</v>
      </c>
      <c r="V318" s="2">
        <v>317</v>
      </c>
      <c r="W318" s="2">
        <v>2005</v>
      </c>
    </row>
    <row r="319" spans="1:23" ht="12.3" x14ac:dyDescent="0.4">
      <c r="A319" s="2" t="s">
        <v>317</v>
      </c>
      <c r="B319" s="2"/>
      <c r="C319" s="2"/>
      <c r="D319" s="2"/>
      <c r="E319" s="2"/>
      <c r="F319" s="2"/>
      <c r="G319" s="2"/>
      <c r="H319" s="2"/>
      <c r="I319" s="2">
        <v>64.156199999999998</v>
      </c>
      <c r="J319" s="2">
        <v>279</v>
      </c>
      <c r="K319" s="2">
        <v>65.725700000000003</v>
      </c>
      <c r="L319" s="2">
        <v>231</v>
      </c>
      <c r="M319" s="2">
        <v>90.3352</v>
      </c>
      <c r="N319" s="2">
        <v>315</v>
      </c>
      <c r="O319" s="2">
        <v>91.607500000000002</v>
      </c>
      <c r="P319" s="2">
        <v>303</v>
      </c>
      <c r="Q319" s="2">
        <v>111.7373</v>
      </c>
      <c r="R319" s="2">
        <v>325</v>
      </c>
      <c r="S319" s="2">
        <v>109.63639999999999</v>
      </c>
      <c r="T319" s="2">
        <v>303</v>
      </c>
      <c r="U319" s="2">
        <v>0.112441</v>
      </c>
      <c r="V319" s="2">
        <v>318</v>
      </c>
      <c r="W319" s="2">
        <v>2005</v>
      </c>
    </row>
    <row r="320" spans="1:23" ht="12.3" x14ac:dyDescent="0.4">
      <c r="A320" s="2" t="s">
        <v>224</v>
      </c>
      <c r="B320" s="2"/>
      <c r="C320" s="2"/>
      <c r="D320" s="2"/>
      <c r="E320" s="2"/>
      <c r="F320" s="2"/>
      <c r="G320" s="2"/>
      <c r="H320" s="2"/>
      <c r="I320" s="2">
        <v>67.204499999999996</v>
      </c>
      <c r="J320" s="2">
        <v>166</v>
      </c>
      <c r="K320" s="2">
        <v>67.168199999999999</v>
      </c>
      <c r="L320" s="2">
        <v>167</v>
      </c>
      <c r="M320" s="2">
        <v>93.435699999999997</v>
      </c>
      <c r="N320" s="2">
        <v>283</v>
      </c>
      <c r="O320" s="2">
        <v>92.844300000000004</v>
      </c>
      <c r="P320" s="2">
        <v>296</v>
      </c>
      <c r="Q320" s="2">
        <v>114.9937</v>
      </c>
      <c r="R320" s="2">
        <v>330</v>
      </c>
      <c r="S320" s="2">
        <v>111.7296</v>
      </c>
      <c r="T320" s="2">
        <v>318</v>
      </c>
      <c r="U320" s="2">
        <v>0.10628</v>
      </c>
      <c r="V320" s="2">
        <v>319</v>
      </c>
      <c r="W320" s="2">
        <v>2005</v>
      </c>
    </row>
    <row r="321" spans="1:23" ht="12.3" x14ac:dyDescent="0.4">
      <c r="A321" s="2" t="s">
        <v>106</v>
      </c>
      <c r="B321" s="2"/>
      <c r="C321" s="2"/>
      <c r="D321" s="2"/>
      <c r="E321" s="2"/>
      <c r="F321" s="2"/>
      <c r="G321" s="2"/>
      <c r="H321" s="2"/>
      <c r="I321" s="2">
        <v>67.759500000000003</v>
      </c>
      <c r="J321" s="2">
        <v>144</v>
      </c>
      <c r="K321" s="2">
        <v>69.500299999999996</v>
      </c>
      <c r="L321" s="2">
        <v>78</v>
      </c>
      <c r="M321" s="2">
        <v>89.863500000000002</v>
      </c>
      <c r="N321" s="2">
        <v>317</v>
      </c>
      <c r="O321" s="2">
        <v>91.895399999999995</v>
      </c>
      <c r="P321" s="2">
        <v>300</v>
      </c>
      <c r="Q321" s="2">
        <v>113.3062</v>
      </c>
      <c r="R321" s="2">
        <v>328</v>
      </c>
      <c r="S321" s="2">
        <v>112.7923</v>
      </c>
      <c r="T321" s="2">
        <v>324</v>
      </c>
      <c r="U321" s="2">
        <v>8.6564000000000002E-2</v>
      </c>
      <c r="V321" s="2">
        <v>320</v>
      </c>
      <c r="W321" s="2">
        <v>2005</v>
      </c>
    </row>
    <row r="322" spans="1:23" ht="12.3" x14ac:dyDescent="0.4">
      <c r="A322" s="2" t="s">
        <v>296</v>
      </c>
      <c r="B322" s="2"/>
      <c r="C322" s="2"/>
      <c r="D322" s="2"/>
      <c r="E322" s="2"/>
      <c r="F322" s="2"/>
      <c r="G322" s="2"/>
      <c r="H322" s="2"/>
      <c r="I322" s="2">
        <v>74.845200000000006</v>
      </c>
      <c r="J322" s="2">
        <v>7</v>
      </c>
      <c r="K322" s="2">
        <v>74.193700000000007</v>
      </c>
      <c r="L322" s="2">
        <v>7</v>
      </c>
      <c r="M322" s="2">
        <v>83.926699999999997</v>
      </c>
      <c r="N322" s="2">
        <v>325</v>
      </c>
      <c r="O322" s="2">
        <v>82.209599999999995</v>
      </c>
      <c r="P322" s="2">
        <v>326</v>
      </c>
      <c r="Q322" s="2">
        <v>96.5762</v>
      </c>
      <c r="R322" s="2">
        <v>55</v>
      </c>
      <c r="S322" s="2">
        <v>101.2821</v>
      </c>
      <c r="T322" s="2">
        <v>160</v>
      </c>
      <c r="U322" s="2">
        <v>8.3224000000000006E-2</v>
      </c>
      <c r="V322" s="2">
        <v>321</v>
      </c>
      <c r="W322" s="2">
        <v>2005</v>
      </c>
    </row>
    <row r="323" spans="1:23" ht="12.3" x14ac:dyDescent="0.4">
      <c r="A323" s="2" t="s">
        <v>351</v>
      </c>
      <c r="B323" s="2"/>
      <c r="C323" s="2"/>
      <c r="D323" s="2"/>
      <c r="E323" s="2"/>
      <c r="F323" s="2"/>
      <c r="G323" s="2"/>
      <c r="H323" s="2"/>
      <c r="I323" s="2">
        <v>69.378200000000007</v>
      </c>
      <c r="J323" s="2">
        <v>93</v>
      </c>
      <c r="K323" s="2">
        <v>68.020499999999998</v>
      </c>
      <c r="L323" s="2">
        <v>124</v>
      </c>
      <c r="M323" s="2">
        <v>83.042299999999997</v>
      </c>
      <c r="N323" s="2">
        <v>326</v>
      </c>
      <c r="O323" s="2">
        <v>84.850099999999998</v>
      </c>
      <c r="P323" s="2">
        <v>324</v>
      </c>
      <c r="Q323" s="2">
        <v>98.667699999999996</v>
      </c>
      <c r="R323" s="2">
        <v>98</v>
      </c>
      <c r="S323" s="2">
        <v>104.75490000000001</v>
      </c>
      <c r="T323" s="2">
        <v>234</v>
      </c>
      <c r="U323" s="2">
        <v>8.14E-2</v>
      </c>
      <c r="V323" s="2">
        <v>322</v>
      </c>
      <c r="W323" s="2">
        <v>2005</v>
      </c>
    </row>
    <row r="324" spans="1:23" ht="12.3" x14ac:dyDescent="0.4">
      <c r="A324" s="2" t="s">
        <v>319</v>
      </c>
      <c r="B324" s="2"/>
      <c r="C324" s="2"/>
      <c r="D324" s="2"/>
      <c r="E324" s="2"/>
      <c r="F324" s="2"/>
      <c r="G324" s="2"/>
      <c r="H324" s="2"/>
      <c r="I324" s="2">
        <v>69.505099999999999</v>
      </c>
      <c r="J324" s="2">
        <v>89</v>
      </c>
      <c r="K324" s="2">
        <v>68.762699999999995</v>
      </c>
      <c r="L324" s="2">
        <v>103</v>
      </c>
      <c r="M324" s="2">
        <v>88.948999999999998</v>
      </c>
      <c r="N324" s="2">
        <v>321</v>
      </c>
      <c r="O324" s="2">
        <v>87.898499999999999</v>
      </c>
      <c r="P324" s="2">
        <v>322</v>
      </c>
      <c r="Q324" s="2">
        <v>109.4532</v>
      </c>
      <c r="R324" s="2">
        <v>312</v>
      </c>
      <c r="S324" s="2">
        <v>108.864</v>
      </c>
      <c r="T324" s="2">
        <v>295</v>
      </c>
      <c r="U324" s="2">
        <v>7.8706999999999999E-2</v>
      </c>
      <c r="V324" s="2">
        <v>323</v>
      </c>
      <c r="W324" s="2">
        <v>2005</v>
      </c>
    </row>
    <row r="325" spans="1:23" ht="12.3" x14ac:dyDescent="0.4">
      <c r="A325" s="2" t="s">
        <v>314</v>
      </c>
      <c r="B325" s="2"/>
      <c r="C325" s="2"/>
      <c r="D325" s="2"/>
      <c r="E325" s="2"/>
      <c r="F325" s="2"/>
      <c r="G325" s="2"/>
      <c r="H325" s="2"/>
      <c r="I325" s="2">
        <v>62.913499999999999</v>
      </c>
      <c r="J325" s="2">
        <v>300</v>
      </c>
      <c r="K325" s="2">
        <v>62.869799999999998</v>
      </c>
      <c r="L325" s="2">
        <v>305</v>
      </c>
      <c r="M325" s="2">
        <v>86.081100000000006</v>
      </c>
      <c r="N325" s="2">
        <v>323</v>
      </c>
      <c r="O325" s="2">
        <v>88.716800000000006</v>
      </c>
      <c r="P325" s="2">
        <v>321</v>
      </c>
      <c r="Q325" s="2">
        <v>109.9482</v>
      </c>
      <c r="R325" s="2">
        <v>316</v>
      </c>
      <c r="S325" s="2">
        <v>113.40689999999999</v>
      </c>
      <c r="T325" s="2">
        <v>326</v>
      </c>
      <c r="U325" s="2">
        <v>5.6061E-2</v>
      </c>
      <c r="V325" s="2">
        <v>324</v>
      </c>
      <c r="W325" s="2">
        <v>2005</v>
      </c>
    </row>
    <row r="326" spans="1:23" ht="12.3" x14ac:dyDescent="0.4">
      <c r="A326" s="2" t="s">
        <v>342</v>
      </c>
      <c r="B326" s="2"/>
      <c r="C326" s="2"/>
      <c r="D326" s="2"/>
      <c r="E326" s="2"/>
      <c r="F326" s="2"/>
      <c r="G326" s="2"/>
      <c r="H326" s="2"/>
      <c r="I326" s="2">
        <v>70.730900000000005</v>
      </c>
      <c r="J326" s="2">
        <v>52</v>
      </c>
      <c r="K326" s="2">
        <v>69.086500000000001</v>
      </c>
      <c r="L326" s="2">
        <v>91</v>
      </c>
      <c r="M326" s="2">
        <v>80.160799999999995</v>
      </c>
      <c r="N326" s="2">
        <v>327</v>
      </c>
      <c r="O326" s="2">
        <v>81.381399999999999</v>
      </c>
      <c r="P326" s="2">
        <v>327</v>
      </c>
      <c r="Q326" s="2">
        <v>100.5838</v>
      </c>
      <c r="R326" s="2">
        <v>144</v>
      </c>
      <c r="S326" s="2">
        <v>104.843</v>
      </c>
      <c r="T326" s="2">
        <v>237</v>
      </c>
      <c r="U326" s="2">
        <v>5.1506999999999997E-2</v>
      </c>
      <c r="V326" s="2">
        <v>325</v>
      </c>
      <c r="W326" s="2">
        <v>2005</v>
      </c>
    </row>
    <row r="327" spans="1:23" ht="12.3" x14ac:dyDescent="0.4">
      <c r="A327" s="2" t="s">
        <v>242</v>
      </c>
      <c r="B327" s="2"/>
      <c r="C327" s="2"/>
      <c r="D327" s="2"/>
      <c r="E327" s="2"/>
      <c r="F327" s="2"/>
      <c r="G327" s="2"/>
      <c r="H327" s="2"/>
      <c r="I327" s="2">
        <v>70.314700000000002</v>
      </c>
      <c r="J327" s="2">
        <v>66</v>
      </c>
      <c r="K327" s="2">
        <v>69.239099999999993</v>
      </c>
      <c r="L327" s="2">
        <v>86</v>
      </c>
      <c r="M327" s="2">
        <v>90.931799999999996</v>
      </c>
      <c r="N327" s="2">
        <v>310</v>
      </c>
      <c r="O327" s="2">
        <v>88.892899999999997</v>
      </c>
      <c r="P327" s="2">
        <v>320</v>
      </c>
      <c r="Q327" s="2">
        <v>105.0232</v>
      </c>
      <c r="R327" s="2">
        <v>251</v>
      </c>
      <c r="S327" s="2">
        <v>115.32980000000001</v>
      </c>
      <c r="T327" s="2">
        <v>330</v>
      </c>
      <c r="U327" s="2">
        <v>4.7689000000000002E-2</v>
      </c>
      <c r="V327" s="2">
        <v>326</v>
      </c>
      <c r="W327" s="2">
        <v>2005</v>
      </c>
    </row>
    <row r="328" spans="1:23" ht="12.3" x14ac:dyDescent="0.4">
      <c r="A328" s="2" t="s">
        <v>261</v>
      </c>
      <c r="B328" s="2"/>
      <c r="C328" s="2"/>
      <c r="D328" s="2"/>
      <c r="E328" s="2"/>
      <c r="F328" s="2"/>
      <c r="G328" s="2"/>
      <c r="H328" s="2"/>
      <c r="I328" s="2">
        <v>70.596599999999995</v>
      </c>
      <c r="J328" s="2">
        <v>56</v>
      </c>
      <c r="K328" s="2">
        <v>69.813400000000001</v>
      </c>
      <c r="L328" s="2">
        <v>65</v>
      </c>
      <c r="M328" s="2">
        <v>80.0107</v>
      </c>
      <c r="N328" s="2">
        <v>328</v>
      </c>
      <c r="O328" s="2">
        <v>79.117599999999996</v>
      </c>
      <c r="P328" s="2">
        <v>329</v>
      </c>
      <c r="Q328" s="2">
        <v>97.690299999999993</v>
      </c>
      <c r="R328" s="2">
        <v>74</v>
      </c>
      <c r="S328" s="2">
        <v>102.736</v>
      </c>
      <c r="T328" s="2">
        <v>190</v>
      </c>
      <c r="U328" s="2">
        <v>4.7239999999999997E-2</v>
      </c>
      <c r="V328" s="2">
        <v>327</v>
      </c>
      <c r="W328" s="2">
        <v>2005</v>
      </c>
    </row>
    <row r="329" spans="1:23" ht="12.3" x14ac:dyDescent="0.4">
      <c r="A329" s="2" t="s">
        <v>359</v>
      </c>
      <c r="B329" s="2" t="e">
        <v>#N/A</v>
      </c>
      <c r="C329" s="2"/>
      <c r="D329" s="2"/>
      <c r="E329" s="2"/>
      <c r="F329" s="2"/>
      <c r="G329" s="2"/>
      <c r="H329" s="2"/>
      <c r="I329" s="2">
        <v>73.385499999999993</v>
      </c>
      <c r="J329" s="2">
        <v>17</v>
      </c>
      <c r="K329" s="2">
        <v>72.4328</v>
      </c>
      <c r="L329" s="2">
        <v>19</v>
      </c>
      <c r="M329" s="2">
        <v>85.761399999999995</v>
      </c>
      <c r="N329" s="2">
        <v>324</v>
      </c>
      <c r="O329" s="2">
        <v>83.946799999999996</v>
      </c>
      <c r="P329" s="2">
        <v>325</v>
      </c>
      <c r="Q329" s="2">
        <v>108.3824</v>
      </c>
      <c r="R329" s="2">
        <v>296</v>
      </c>
      <c r="S329" s="2">
        <v>110.113</v>
      </c>
      <c r="T329" s="2">
        <v>307</v>
      </c>
      <c r="U329" s="2">
        <v>4.2280999999999999E-2</v>
      </c>
      <c r="V329" s="2">
        <v>328</v>
      </c>
      <c r="W329" s="2">
        <v>2005</v>
      </c>
    </row>
    <row r="330" spans="1:23" ht="12.3" x14ac:dyDescent="0.4">
      <c r="A330" s="2" t="s">
        <v>321</v>
      </c>
      <c r="B330" s="2" t="e">
        <v>#N/A</v>
      </c>
      <c r="C330" s="2"/>
      <c r="D330" s="2"/>
      <c r="E330" s="2"/>
      <c r="F330" s="2"/>
      <c r="G330" s="2"/>
      <c r="H330" s="2"/>
      <c r="I330" s="2">
        <v>72.4893</v>
      </c>
      <c r="J330" s="2">
        <v>25</v>
      </c>
      <c r="K330" s="2">
        <v>72.436099999999996</v>
      </c>
      <c r="L330" s="2">
        <v>18</v>
      </c>
      <c r="M330" s="2">
        <v>78.069900000000004</v>
      </c>
      <c r="N330" s="2">
        <v>330</v>
      </c>
      <c r="O330" s="2">
        <v>80.587999999999994</v>
      </c>
      <c r="P330" s="2">
        <v>328</v>
      </c>
      <c r="Q330" s="2">
        <v>109.3282</v>
      </c>
      <c r="R330" s="2">
        <v>308</v>
      </c>
      <c r="S330" s="2">
        <v>114.5784</v>
      </c>
      <c r="T330" s="2">
        <v>329</v>
      </c>
      <c r="U330" s="2">
        <v>1.7174999999999999E-2</v>
      </c>
      <c r="V330" s="2">
        <v>329</v>
      </c>
      <c r="W330" s="2">
        <v>2005</v>
      </c>
    </row>
    <row r="331" spans="1:23" ht="12.3" x14ac:dyDescent="0.4">
      <c r="A331" s="2" t="s">
        <v>352</v>
      </c>
      <c r="B331" s="2" t="e">
        <v>#N/A</v>
      </c>
      <c r="C331" s="2"/>
      <c r="D331" s="2"/>
      <c r="E331" s="2"/>
      <c r="F331" s="2"/>
      <c r="G331" s="2"/>
      <c r="H331" s="2"/>
      <c r="I331" s="2">
        <v>73.637500000000003</v>
      </c>
      <c r="J331" s="2">
        <v>15</v>
      </c>
      <c r="K331" s="2">
        <v>72.328900000000004</v>
      </c>
      <c r="L331" s="2">
        <v>21</v>
      </c>
      <c r="M331" s="2">
        <v>78.704700000000003</v>
      </c>
      <c r="N331" s="2">
        <v>329</v>
      </c>
      <c r="O331" s="2">
        <v>76.951300000000003</v>
      </c>
      <c r="P331" s="2">
        <v>330</v>
      </c>
      <c r="Q331" s="2">
        <v>110.14870000000001</v>
      </c>
      <c r="R331" s="2">
        <v>319</v>
      </c>
      <c r="S331" s="2">
        <v>111.8686</v>
      </c>
      <c r="T331" s="2">
        <v>320</v>
      </c>
      <c r="U331" s="2">
        <v>1.3351E-2</v>
      </c>
      <c r="V331" s="2">
        <v>330</v>
      </c>
      <c r="W331" s="2">
        <v>2005</v>
      </c>
    </row>
  </sheetData>
  <autoFilter ref="A1:V33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W335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32</v>
      </c>
      <c r="B2" s="2">
        <v>1</v>
      </c>
      <c r="C2" s="3" t="s">
        <v>33</v>
      </c>
      <c r="D2" s="3" t="s">
        <v>33</v>
      </c>
      <c r="E2" s="2"/>
      <c r="F2" s="2"/>
      <c r="G2" s="2"/>
      <c r="H2" s="2"/>
      <c r="I2" s="2">
        <v>71.308300000000003</v>
      </c>
      <c r="J2" s="2">
        <v>39</v>
      </c>
      <c r="K2" s="2">
        <v>71.882800000000003</v>
      </c>
      <c r="L2" s="2">
        <v>23</v>
      </c>
      <c r="M2" s="2">
        <v>115.4725</v>
      </c>
      <c r="N2" s="2">
        <v>1</v>
      </c>
      <c r="O2" s="2">
        <v>119.2993</v>
      </c>
      <c r="P2" s="2">
        <v>1</v>
      </c>
      <c r="Q2" s="2">
        <v>96.208200000000005</v>
      </c>
      <c r="R2" s="2">
        <v>56</v>
      </c>
      <c r="S2" s="2">
        <v>93.878399999999999</v>
      </c>
      <c r="T2" s="2">
        <v>31</v>
      </c>
      <c r="U2" s="2">
        <v>0.94023999999999996</v>
      </c>
      <c r="V2" s="2">
        <v>1</v>
      </c>
      <c r="W2" s="2">
        <v>2006</v>
      </c>
    </row>
    <row r="3" spans="1:23" ht="15.75" customHeight="1" x14ac:dyDescent="0.4">
      <c r="A3" s="2" t="s">
        <v>54</v>
      </c>
      <c r="B3" s="2">
        <v>1</v>
      </c>
      <c r="C3" s="3" t="s">
        <v>33</v>
      </c>
      <c r="D3" s="3" t="s">
        <v>33</v>
      </c>
      <c r="E3" s="3" t="s">
        <v>33</v>
      </c>
      <c r="F3" s="2"/>
      <c r="G3" s="2"/>
      <c r="H3" s="2"/>
      <c r="I3" s="2">
        <v>71.499499999999998</v>
      </c>
      <c r="J3" s="2">
        <v>35</v>
      </c>
      <c r="K3" s="2">
        <v>71.123000000000005</v>
      </c>
      <c r="L3" s="2">
        <v>38</v>
      </c>
      <c r="M3" s="2">
        <v>112.59990000000001</v>
      </c>
      <c r="N3" s="2">
        <v>9</v>
      </c>
      <c r="O3" s="2">
        <v>116.20140000000001</v>
      </c>
      <c r="P3" s="2">
        <v>6</v>
      </c>
      <c r="Q3" s="2">
        <v>91.0946</v>
      </c>
      <c r="R3" s="2">
        <v>13</v>
      </c>
      <c r="S3" s="2">
        <v>91.702699999999993</v>
      </c>
      <c r="T3" s="2">
        <v>16</v>
      </c>
      <c r="U3" s="2">
        <v>0.93836399999999998</v>
      </c>
      <c r="V3" s="2">
        <v>2</v>
      </c>
      <c r="W3" s="2">
        <v>2006</v>
      </c>
    </row>
    <row r="4" spans="1:23" ht="15.75" customHeight="1" x14ac:dyDescent="0.4">
      <c r="A4" s="2" t="s">
        <v>78</v>
      </c>
      <c r="B4" s="2">
        <v>1</v>
      </c>
      <c r="C4" s="3" t="s">
        <v>33</v>
      </c>
      <c r="D4" s="3" t="s">
        <v>33</v>
      </c>
      <c r="E4" s="3" t="s">
        <v>33</v>
      </c>
      <c r="F4" s="2"/>
      <c r="G4" s="2"/>
      <c r="H4" s="2"/>
      <c r="I4" s="2">
        <v>66.766800000000003</v>
      </c>
      <c r="J4" s="2">
        <v>178</v>
      </c>
      <c r="K4" s="2">
        <v>67.383200000000002</v>
      </c>
      <c r="L4" s="2">
        <v>141</v>
      </c>
      <c r="M4" s="2">
        <v>112.5262</v>
      </c>
      <c r="N4" s="2">
        <v>10</v>
      </c>
      <c r="O4" s="2">
        <v>115.8837</v>
      </c>
      <c r="P4" s="2">
        <v>7</v>
      </c>
      <c r="Q4" s="2">
        <v>95.116500000000002</v>
      </c>
      <c r="R4" s="2">
        <v>42</v>
      </c>
      <c r="S4" s="2">
        <v>92.431799999999996</v>
      </c>
      <c r="T4" s="2">
        <v>21</v>
      </c>
      <c r="U4" s="2">
        <v>0.93088300000000002</v>
      </c>
      <c r="V4" s="2">
        <v>3</v>
      </c>
      <c r="W4" s="2">
        <v>2006</v>
      </c>
    </row>
    <row r="5" spans="1:23" ht="15.75" customHeight="1" x14ac:dyDescent="0.4">
      <c r="A5" s="2" t="s">
        <v>35</v>
      </c>
      <c r="B5" s="2">
        <v>4</v>
      </c>
      <c r="C5" s="2"/>
      <c r="D5" s="2"/>
      <c r="E5" s="2"/>
      <c r="F5" s="2"/>
      <c r="G5" s="2"/>
      <c r="H5" s="2"/>
      <c r="I5" s="2">
        <v>69.375299999999996</v>
      </c>
      <c r="J5" s="2">
        <v>82</v>
      </c>
      <c r="K5" s="2">
        <v>69.159899999999993</v>
      </c>
      <c r="L5" s="2">
        <v>83</v>
      </c>
      <c r="M5" s="2">
        <v>106.61920000000001</v>
      </c>
      <c r="N5" s="2">
        <v>76</v>
      </c>
      <c r="O5" s="2">
        <v>108.8579</v>
      </c>
      <c r="P5" s="2">
        <v>53</v>
      </c>
      <c r="Q5" s="2">
        <v>87.937700000000007</v>
      </c>
      <c r="R5" s="2">
        <v>2</v>
      </c>
      <c r="S5" s="2">
        <v>87.126599999999996</v>
      </c>
      <c r="T5" s="2">
        <v>2</v>
      </c>
      <c r="U5" s="2">
        <v>0.92829799999999996</v>
      </c>
      <c r="V5" s="2">
        <v>4</v>
      </c>
      <c r="W5" s="2">
        <v>2006</v>
      </c>
    </row>
    <row r="6" spans="1:23" ht="15.75" customHeight="1" x14ac:dyDescent="0.4">
      <c r="A6" s="2" t="s">
        <v>67</v>
      </c>
      <c r="B6" s="2">
        <v>2</v>
      </c>
      <c r="C6" s="3" t="s">
        <v>33</v>
      </c>
      <c r="D6" s="3" t="s">
        <v>33</v>
      </c>
      <c r="E6" s="3" t="s">
        <v>33</v>
      </c>
      <c r="F6" s="2"/>
      <c r="G6" s="2"/>
      <c r="H6" s="2"/>
      <c r="I6" s="2">
        <v>66.7761</v>
      </c>
      <c r="J6" s="2">
        <v>177</v>
      </c>
      <c r="K6" s="2">
        <v>65.569199999999995</v>
      </c>
      <c r="L6" s="2">
        <v>231</v>
      </c>
      <c r="M6" s="2">
        <v>113.9547</v>
      </c>
      <c r="N6" s="2">
        <v>6</v>
      </c>
      <c r="O6" s="2">
        <v>117.1721</v>
      </c>
      <c r="P6" s="2">
        <v>3</v>
      </c>
      <c r="Q6" s="2">
        <v>90.458500000000001</v>
      </c>
      <c r="R6" s="2">
        <v>7</v>
      </c>
      <c r="S6" s="2">
        <v>94.367800000000003</v>
      </c>
      <c r="T6" s="2">
        <v>41</v>
      </c>
      <c r="U6" s="2">
        <v>0.92337400000000003</v>
      </c>
      <c r="V6" s="2">
        <v>5</v>
      </c>
      <c r="W6" s="2">
        <v>2006</v>
      </c>
    </row>
    <row r="7" spans="1:23" ht="15.75" customHeight="1" x14ac:dyDescent="0.4">
      <c r="A7" s="2" t="s">
        <v>44</v>
      </c>
      <c r="B7" s="2">
        <v>4</v>
      </c>
      <c r="C7" s="3" t="s">
        <v>33</v>
      </c>
      <c r="D7" s="2"/>
      <c r="E7" s="2"/>
      <c r="F7" s="2"/>
      <c r="G7" s="2"/>
      <c r="H7" s="2"/>
      <c r="I7" s="2">
        <v>63.590699999999998</v>
      </c>
      <c r="J7" s="2">
        <v>287</v>
      </c>
      <c r="K7" s="2">
        <v>63.753</v>
      </c>
      <c r="L7" s="2">
        <v>281</v>
      </c>
      <c r="M7" s="2">
        <v>109.9195</v>
      </c>
      <c r="N7" s="2">
        <v>32</v>
      </c>
      <c r="O7" s="2">
        <v>113.3377</v>
      </c>
      <c r="P7" s="2">
        <v>15</v>
      </c>
      <c r="Q7" s="2">
        <v>91.848799999999997</v>
      </c>
      <c r="R7" s="2">
        <v>17</v>
      </c>
      <c r="S7" s="2">
        <v>91.653300000000002</v>
      </c>
      <c r="T7" s="2">
        <v>14</v>
      </c>
      <c r="U7" s="2">
        <v>0.91998400000000002</v>
      </c>
      <c r="V7" s="2">
        <v>6</v>
      </c>
      <c r="W7" s="2">
        <v>2006</v>
      </c>
    </row>
    <row r="8" spans="1:23" ht="15.75" customHeight="1" x14ac:dyDescent="0.4">
      <c r="A8" s="2" t="s">
        <v>37</v>
      </c>
      <c r="B8" s="2">
        <v>3</v>
      </c>
      <c r="C8" s="3" t="s">
        <v>33</v>
      </c>
      <c r="D8" s="3" t="s">
        <v>33</v>
      </c>
      <c r="E8" s="3" t="s">
        <v>33</v>
      </c>
      <c r="F8" s="3" t="s">
        <v>33</v>
      </c>
      <c r="G8" s="3" t="s">
        <v>33</v>
      </c>
      <c r="H8" s="3" t="s">
        <v>33</v>
      </c>
      <c r="I8" s="2">
        <v>69.216999999999999</v>
      </c>
      <c r="J8" s="2">
        <v>87</v>
      </c>
      <c r="K8" s="2">
        <v>68.694500000000005</v>
      </c>
      <c r="L8" s="2">
        <v>97</v>
      </c>
      <c r="M8" s="2">
        <v>113.9862</v>
      </c>
      <c r="N8" s="2">
        <v>5</v>
      </c>
      <c r="O8" s="2">
        <v>113.8817</v>
      </c>
      <c r="P8" s="2">
        <v>14</v>
      </c>
      <c r="Q8" s="2">
        <v>93.253399999999999</v>
      </c>
      <c r="R8" s="2">
        <v>25</v>
      </c>
      <c r="S8" s="2">
        <v>92.112099999999998</v>
      </c>
      <c r="T8" s="2">
        <v>18</v>
      </c>
      <c r="U8" s="2">
        <v>0.91981000000000002</v>
      </c>
      <c r="V8" s="2">
        <v>7</v>
      </c>
      <c r="W8" s="2">
        <v>2006</v>
      </c>
    </row>
    <row r="9" spans="1:23" ht="15.75" customHeight="1" x14ac:dyDescent="0.4">
      <c r="A9" s="2" t="s">
        <v>65</v>
      </c>
      <c r="B9" s="2">
        <v>2</v>
      </c>
      <c r="C9" s="3" t="s">
        <v>33</v>
      </c>
      <c r="D9" s="3" t="s">
        <v>33</v>
      </c>
      <c r="E9" s="3" t="s">
        <v>33</v>
      </c>
      <c r="F9" s="3" t="s">
        <v>33</v>
      </c>
      <c r="G9" s="3" t="s">
        <v>33</v>
      </c>
      <c r="H9" s="2"/>
      <c r="I9" s="2">
        <v>62.642099999999999</v>
      </c>
      <c r="J9" s="2">
        <v>305</v>
      </c>
      <c r="K9" s="2">
        <v>62.884700000000002</v>
      </c>
      <c r="L9" s="2">
        <v>300</v>
      </c>
      <c r="M9" s="2">
        <v>109.3432</v>
      </c>
      <c r="N9" s="2">
        <v>36</v>
      </c>
      <c r="O9" s="2">
        <v>112.3334</v>
      </c>
      <c r="P9" s="2">
        <v>22</v>
      </c>
      <c r="Q9" s="2">
        <v>93.693299999999994</v>
      </c>
      <c r="R9" s="2">
        <v>29</v>
      </c>
      <c r="S9" s="2">
        <v>91.199200000000005</v>
      </c>
      <c r="T9" s="2">
        <v>10</v>
      </c>
      <c r="U9" s="2">
        <v>0.91659000000000002</v>
      </c>
      <c r="V9" s="2">
        <v>8</v>
      </c>
      <c r="W9" s="2">
        <v>2006</v>
      </c>
    </row>
    <row r="10" spans="1:23" ht="15.75" customHeight="1" x14ac:dyDescent="0.4">
      <c r="A10" s="2" t="s">
        <v>21</v>
      </c>
      <c r="B10" s="2">
        <v>2</v>
      </c>
      <c r="C10" s="3" t="s">
        <v>33</v>
      </c>
      <c r="D10" s="2"/>
      <c r="E10" s="2"/>
      <c r="F10" s="2"/>
      <c r="G10" s="2"/>
      <c r="H10" s="2"/>
      <c r="I10" s="2">
        <v>66.170900000000003</v>
      </c>
      <c r="J10" s="2">
        <v>205</v>
      </c>
      <c r="K10" s="2">
        <v>66.723500000000001</v>
      </c>
      <c r="L10" s="2">
        <v>173</v>
      </c>
      <c r="M10" s="2">
        <v>111.42400000000001</v>
      </c>
      <c r="N10" s="2">
        <v>18</v>
      </c>
      <c r="O10" s="2">
        <v>112.81010000000001</v>
      </c>
      <c r="P10" s="2">
        <v>17</v>
      </c>
      <c r="Q10" s="2">
        <v>94.879599999999996</v>
      </c>
      <c r="R10" s="2">
        <v>40</v>
      </c>
      <c r="S10" s="2">
        <v>91.872900000000001</v>
      </c>
      <c r="T10" s="2">
        <v>17</v>
      </c>
      <c r="U10" s="2">
        <v>0.91379999999999995</v>
      </c>
      <c r="V10" s="2">
        <v>9</v>
      </c>
      <c r="W10" s="2">
        <v>2006</v>
      </c>
    </row>
    <row r="11" spans="1:23" ht="15.75" customHeight="1" x14ac:dyDescent="0.4">
      <c r="A11" s="2" t="s">
        <v>168</v>
      </c>
      <c r="B11" s="2">
        <v>3</v>
      </c>
      <c r="C11" s="3" t="s">
        <v>33</v>
      </c>
      <c r="D11" s="2"/>
      <c r="E11" s="2"/>
      <c r="F11" s="2"/>
      <c r="G11" s="2"/>
      <c r="H11" s="2"/>
      <c r="I11" s="2">
        <v>72.674599999999998</v>
      </c>
      <c r="J11" s="2">
        <v>19</v>
      </c>
      <c r="K11" s="2">
        <v>72.287999999999997</v>
      </c>
      <c r="L11" s="2">
        <v>20</v>
      </c>
      <c r="M11" s="2">
        <v>111.0668</v>
      </c>
      <c r="N11" s="2">
        <v>24</v>
      </c>
      <c r="O11" s="2">
        <v>115.2469</v>
      </c>
      <c r="P11" s="2">
        <v>10</v>
      </c>
      <c r="Q11" s="2">
        <v>95.795299999999997</v>
      </c>
      <c r="R11" s="2">
        <v>50</v>
      </c>
      <c r="S11" s="2">
        <v>93.917599999999993</v>
      </c>
      <c r="T11" s="2">
        <v>32</v>
      </c>
      <c r="U11" s="2">
        <v>0.913219</v>
      </c>
      <c r="V11" s="2">
        <v>10</v>
      </c>
      <c r="W11" s="2">
        <v>2006</v>
      </c>
    </row>
    <row r="12" spans="1:23" ht="15.75" customHeight="1" x14ac:dyDescent="0.4">
      <c r="A12" s="2" t="s">
        <v>71</v>
      </c>
      <c r="B12" s="2">
        <v>1</v>
      </c>
      <c r="C12" s="3" t="s">
        <v>33</v>
      </c>
      <c r="D12" s="3" t="s">
        <v>33</v>
      </c>
      <c r="E12" s="3" t="s">
        <v>33</v>
      </c>
      <c r="F12" s="2"/>
      <c r="G12" s="2"/>
      <c r="H12" s="2"/>
      <c r="I12" s="2">
        <v>73.982600000000005</v>
      </c>
      <c r="J12" s="2">
        <v>9</v>
      </c>
      <c r="K12" s="2">
        <v>72.977999999999994</v>
      </c>
      <c r="L12" s="2">
        <v>13</v>
      </c>
      <c r="M12" s="2">
        <v>109.3103</v>
      </c>
      <c r="N12" s="2">
        <v>37</v>
      </c>
      <c r="O12" s="2">
        <v>109.6311</v>
      </c>
      <c r="P12" s="2">
        <v>41</v>
      </c>
      <c r="Q12" s="2">
        <v>88.944100000000006</v>
      </c>
      <c r="R12" s="2">
        <v>5</v>
      </c>
      <c r="S12" s="2">
        <v>89.612300000000005</v>
      </c>
      <c r="T12" s="2">
        <v>4</v>
      </c>
      <c r="U12" s="2">
        <v>0.910416</v>
      </c>
      <c r="V12" s="2">
        <v>11</v>
      </c>
      <c r="W12" s="2">
        <v>2006</v>
      </c>
    </row>
    <row r="13" spans="1:23" ht="15.75" customHeight="1" x14ac:dyDescent="0.4">
      <c r="A13" s="2" t="s">
        <v>46</v>
      </c>
      <c r="B13" s="2">
        <v>5</v>
      </c>
      <c r="C13" s="3" t="s">
        <v>33</v>
      </c>
      <c r="D13" s="2"/>
      <c r="E13" s="2"/>
      <c r="F13" s="2"/>
      <c r="G13" s="2"/>
      <c r="H13" s="2"/>
      <c r="I13" s="2">
        <v>66.075299999999999</v>
      </c>
      <c r="J13" s="2">
        <v>209</v>
      </c>
      <c r="K13" s="2">
        <v>66.022900000000007</v>
      </c>
      <c r="L13" s="2">
        <v>216</v>
      </c>
      <c r="M13" s="2">
        <v>108.5515</v>
      </c>
      <c r="N13" s="2">
        <v>45</v>
      </c>
      <c r="O13" s="2">
        <v>110.5509</v>
      </c>
      <c r="P13" s="2">
        <v>32</v>
      </c>
      <c r="Q13" s="2">
        <v>93.987899999999996</v>
      </c>
      <c r="R13" s="2">
        <v>32</v>
      </c>
      <c r="S13" s="2">
        <v>90.675200000000004</v>
      </c>
      <c r="T13" s="2">
        <v>8</v>
      </c>
      <c r="U13" s="2">
        <v>0.90714099999999998</v>
      </c>
      <c r="V13" s="2">
        <v>12</v>
      </c>
      <c r="W13" s="2">
        <v>2006</v>
      </c>
    </row>
    <row r="14" spans="1:23" ht="15.75" customHeight="1" x14ac:dyDescent="0.4">
      <c r="A14" s="2" t="s">
        <v>84</v>
      </c>
      <c r="B14" s="2">
        <v>3</v>
      </c>
      <c r="C14" s="2"/>
      <c r="D14" s="2"/>
      <c r="E14" s="2"/>
      <c r="F14" s="2"/>
      <c r="G14" s="2"/>
      <c r="H14" s="2"/>
      <c r="I14" s="2">
        <v>66.013499999999993</v>
      </c>
      <c r="J14" s="2">
        <v>211</v>
      </c>
      <c r="K14" s="2">
        <v>66.182500000000005</v>
      </c>
      <c r="L14" s="2">
        <v>212</v>
      </c>
      <c r="M14" s="2">
        <v>99.189700000000002</v>
      </c>
      <c r="N14" s="2">
        <v>208</v>
      </c>
      <c r="O14" s="2">
        <v>102.99769999999999</v>
      </c>
      <c r="P14" s="2">
        <v>141</v>
      </c>
      <c r="Q14" s="2">
        <v>87.980400000000003</v>
      </c>
      <c r="R14" s="2">
        <v>3</v>
      </c>
      <c r="S14" s="2">
        <v>85.888300000000001</v>
      </c>
      <c r="T14" s="2">
        <v>1</v>
      </c>
      <c r="U14" s="2">
        <v>0.88983699999999999</v>
      </c>
      <c r="V14" s="2">
        <v>13</v>
      </c>
      <c r="W14" s="2">
        <v>2006</v>
      </c>
    </row>
    <row r="15" spans="1:23" ht="15.75" customHeight="1" x14ac:dyDescent="0.4">
      <c r="A15" s="2" t="s">
        <v>85</v>
      </c>
      <c r="B15" s="2">
        <v>4</v>
      </c>
      <c r="C15" s="3" t="s">
        <v>33</v>
      </c>
      <c r="D15" s="3" t="s">
        <v>33</v>
      </c>
      <c r="E15" s="3" t="s">
        <v>33</v>
      </c>
      <c r="F15" s="3" t="s">
        <v>33</v>
      </c>
      <c r="G15" s="2"/>
      <c r="H15" s="2"/>
      <c r="I15" s="2">
        <v>69.476900000000001</v>
      </c>
      <c r="J15" s="2">
        <v>75</v>
      </c>
      <c r="K15" s="2">
        <v>69.048599999999993</v>
      </c>
      <c r="L15" s="2">
        <v>89</v>
      </c>
      <c r="M15" s="2">
        <v>107.0427</v>
      </c>
      <c r="N15" s="2">
        <v>65</v>
      </c>
      <c r="O15" s="2">
        <v>110.5226</v>
      </c>
      <c r="P15" s="2">
        <v>33</v>
      </c>
      <c r="Q15" s="2">
        <v>94.134200000000007</v>
      </c>
      <c r="R15" s="2">
        <v>34</v>
      </c>
      <c r="S15" s="2">
        <v>92.165199999999999</v>
      </c>
      <c r="T15" s="2">
        <v>19</v>
      </c>
      <c r="U15" s="2">
        <v>0.88981299999999997</v>
      </c>
      <c r="V15" s="2">
        <v>14</v>
      </c>
      <c r="W15" s="2">
        <v>2006</v>
      </c>
    </row>
    <row r="16" spans="1:23" ht="15.75" customHeight="1" x14ac:dyDescent="0.4">
      <c r="A16" s="2" t="s">
        <v>62</v>
      </c>
      <c r="B16" s="2">
        <v>7</v>
      </c>
      <c r="C16" s="3" t="s">
        <v>33</v>
      </c>
      <c r="D16" s="3" t="s">
        <v>33</v>
      </c>
      <c r="E16" s="2"/>
      <c r="F16" s="2"/>
      <c r="G16" s="2"/>
      <c r="H16" s="2"/>
      <c r="I16" s="2">
        <v>59.232900000000001</v>
      </c>
      <c r="J16" s="2">
        <v>328</v>
      </c>
      <c r="K16" s="2">
        <v>59.089399999999998</v>
      </c>
      <c r="L16" s="2">
        <v>329</v>
      </c>
      <c r="M16" s="2">
        <v>111.7182</v>
      </c>
      <c r="N16" s="2">
        <v>14</v>
      </c>
      <c r="O16" s="2">
        <v>114.961</v>
      </c>
      <c r="P16" s="2">
        <v>11</v>
      </c>
      <c r="Q16" s="2">
        <v>99.619200000000006</v>
      </c>
      <c r="R16" s="2">
        <v>119</v>
      </c>
      <c r="S16" s="2">
        <v>96.510400000000004</v>
      </c>
      <c r="T16" s="2">
        <v>66</v>
      </c>
      <c r="U16" s="2">
        <v>0.88203299999999996</v>
      </c>
      <c r="V16" s="2">
        <v>15</v>
      </c>
      <c r="W16" s="2">
        <v>2006</v>
      </c>
    </row>
    <row r="17" spans="1:23" ht="15.75" customHeight="1" x14ac:dyDescent="0.4">
      <c r="A17" s="2" t="s">
        <v>81</v>
      </c>
      <c r="B17" s="2">
        <v>2</v>
      </c>
      <c r="C17" s="3" t="s">
        <v>33</v>
      </c>
      <c r="D17" s="2"/>
      <c r="E17" s="2"/>
      <c r="F17" s="2"/>
      <c r="G17" s="2"/>
      <c r="H17" s="2"/>
      <c r="I17" s="2">
        <v>73.144599999999997</v>
      </c>
      <c r="J17" s="2">
        <v>15</v>
      </c>
      <c r="K17" s="2">
        <v>73.034599999999998</v>
      </c>
      <c r="L17" s="2">
        <v>12</v>
      </c>
      <c r="M17" s="2">
        <v>111.4581</v>
      </c>
      <c r="N17" s="2">
        <v>17</v>
      </c>
      <c r="O17" s="2">
        <v>115.4075</v>
      </c>
      <c r="P17" s="2">
        <v>8</v>
      </c>
      <c r="Q17" s="2">
        <v>100.884</v>
      </c>
      <c r="R17" s="2">
        <v>145</v>
      </c>
      <c r="S17" s="2">
        <v>97.404799999999994</v>
      </c>
      <c r="T17" s="2">
        <v>85</v>
      </c>
      <c r="U17" s="2">
        <v>0.87548300000000001</v>
      </c>
      <c r="V17" s="2">
        <v>16</v>
      </c>
      <c r="W17" s="2">
        <v>2006</v>
      </c>
    </row>
    <row r="18" spans="1:23" ht="15.75" customHeight="1" x14ac:dyDescent="0.4">
      <c r="A18" s="2" t="s">
        <v>80</v>
      </c>
      <c r="B18" s="2">
        <v>8</v>
      </c>
      <c r="C18" s="2"/>
      <c r="D18" s="2"/>
      <c r="E18" s="2"/>
      <c r="F18" s="2"/>
      <c r="G18" s="2"/>
      <c r="H18" s="2"/>
      <c r="I18" s="2">
        <v>68.545500000000004</v>
      </c>
      <c r="J18" s="2">
        <v>110</v>
      </c>
      <c r="K18" s="2">
        <v>67.830799999999996</v>
      </c>
      <c r="L18" s="2">
        <v>122</v>
      </c>
      <c r="M18" s="2">
        <v>107.9267</v>
      </c>
      <c r="N18" s="2">
        <v>55</v>
      </c>
      <c r="O18" s="2">
        <v>110.7842</v>
      </c>
      <c r="P18" s="2">
        <v>29</v>
      </c>
      <c r="Q18" s="2">
        <v>94.251999999999995</v>
      </c>
      <c r="R18" s="2">
        <v>36</v>
      </c>
      <c r="S18" s="2">
        <v>93.981099999999998</v>
      </c>
      <c r="T18" s="2">
        <v>33</v>
      </c>
      <c r="U18" s="2">
        <v>0.86894199999999999</v>
      </c>
      <c r="V18" s="2">
        <v>17</v>
      </c>
      <c r="W18" s="2">
        <v>2006</v>
      </c>
    </row>
    <row r="19" spans="1:23" ht="15.75" customHeight="1" x14ac:dyDescent="0.4">
      <c r="A19" s="2" t="s">
        <v>229</v>
      </c>
      <c r="B19" s="2">
        <v>6</v>
      </c>
      <c r="C19" s="3" t="s">
        <v>33</v>
      </c>
      <c r="D19" s="3" t="s">
        <v>33</v>
      </c>
      <c r="E19" s="2"/>
      <c r="F19" s="2"/>
      <c r="G19" s="2"/>
      <c r="H19" s="2"/>
      <c r="I19" s="2">
        <v>63.528300000000002</v>
      </c>
      <c r="J19" s="2">
        <v>290</v>
      </c>
      <c r="K19" s="2">
        <v>63.573099999999997</v>
      </c>
      <c r="L19" s="2">
        <v>288</v>
      </c>
      <c r="M19" s="2">
        <v>110.3706</v>
      </c>
      <c r="N19" s="2">
        <v>29</v>
      </c>
      <c r="O19" s="2">
        <v>115.3092</v>
      </c>
      <c r="P19" s="2">
        <v>9</v>
      </c>
      <c r="Q19" s="2">
        <v>102.0179</v>
      </c>
      <c r="R19" s="2">
        <v>169</v>
      </c>
      <c r="S19" s="2">
        <v>98.058700000000002</v>
      </c>
      <c r="T19" s="2">
        <v>95</v>
      </c>
      <c r="U19" s="2">
        <v>0.86571500000000001</v>
      </c>
      <c r="V19" s="2">
        <v>18</v>
      </c>
      <c r="W19" s="2">
        <v>2006</v>
      </c>
    </row>
    <row r="20" spans="1:23" ht="15.75" customHeight="1" x14ac:dyDescent="0.4">
      <c r="A20" s="2" t="s">
        <v>95</v>
      </c>
      <c r="B20" s="2">
        <v>4</v>
      </c>
      <c r="C20" s="3" t="s">
        <v>33</v>
      </c>
      <c r="D20" s="3" t="s">
        <v>33</v>
      </c>
      <c r="E20" s="2"/>
      <c r="F20" s="2"/>
      <c r="G20" s="2"/>
      <c r="H20" s="2"/>
      <c r="I20" s="2">
        <v>64.7624</v>
      </c>
      <c r="J20" s="2">
        <v>255</v>
      </c>
      <c r="K20" s="2">
        <v>63.119399999999999</v>
      </c>
      <c r="L20" s="2">
        <v>298</v>
      </c>
      <c r="M20" s="2">
        <v>114.1845</v>
      </c>
      <c r="N20" s="2">
        <v>2</v>
      </c>
      <c r="O20" s="2">
        <v>117.2871</v>
      </c>
      <c r="P20" s="2">
        <v>2</v>
      </c>
      <c r="Q20" s="2">
        <v>102.89870000000001</v>
      </c>
      <c r="R20" s="2">
        <v>193</v>
      </c>
      <c r="S20" s="2">
        <v>100.2366</v>
      </c>
      <c r="T20" s="2">
        <v>131</v>
      </c>
      <c r="U20" s="2">
        <v>0.85894400000000004</v>
      </c>
      <c r="V20" s="2">
        <v>19</v>
      </c>
      <c r="W20" s="2">
        <v>2006</v>
      </c>
    </row>
    <row r="21" spans="1:23" ht="15.75" customHeight="1" x14ac:dyDescent="0.4">
      <c r="A21" s="2" t="s">
        <v>131</v>
      </c>
      <c r="B21" s="2">
        <v>5</v>
      </c>
      <c r="C21" s="3" t="s">
        <v>33</v>
      </c>
      <c r="D21" s="3" t="s">
        <v>33</v>
      </c>
      <c r="E21" s="2"/>
      <c r="F21" s="2"/>
      <c r="G21" s="2"/>
      <c r="H21" s="2"/>
      <c r="I21" s="2">
        <v>72.388900000000007</v>
      </c>
      <c r="J21" s="2">
        <v>23</v>
      </c>
      <c r="K21" s="2">
        <v>73.116799999999998</v>
      </c>
      <c r="L21" s="2">
        <v>11</v>
      </c>
      <c r="M21" s="2">
        <v>112.41379999999999</v>
      </c>
      <c r="N21" s="2">
        <v>11</v>
      </c>
      <c r="O21" s="2">
        <v>113.10120000000001</v>
      </c>
      <c r="P21" s="2">
        <v>16</v>
      </c>
      <c r="Q21" s="2">
        <v>95.194800000000001</v>
      </c>
      <c r="R21" s="2">
        <v>44</v>
      </c>
      <c r="S21" s="2">
        <v>96.715999999999994</v>
      </c>
      <c r="T21" s="2">
        <v>75</v>
      </c>
      <c r="U21" s="2">
        <v>0.85812299999999997</v>
      </c>
      <c r="V21" s="2">
        <v>20</v>
      </c>
      <c r="W21" s="2">
        <v>2006</v>
      </c>
    </row>
    <row r="22" spans="1:23" ht="15.75" customHeight="1" x14ac:dyDescent="0.4">
      <c r="A22" s="2" t="s">
        <v>145</v>
      </c>
      <c r="B22" s="2">
        <v>5</v>
      </c>
      <c r="C22" s="2"/>
      <c r="D22" s="2"/>
      <c r="E22" s="2"/>
      <c r="F22" s="2"/>
      <c r="G22" s="2"/>
      <c r="H22" s="2"/>
      <c r="I22" s="2">
        <v>67.146900000000002</v>
      </c>
      <c r="J22" s="2">
        <v>160</v>
      </c>
      <c r="K22" s="2">
        <v>67.170500000000004</v>
      </c>
      <c r="L22" s="2">
        <v>149</v>
      </c>
      <c r="M22" s="2">
        <v>106.8085</v>
      </c>
      <c r="N22" s="2">
        <v>72</v>
      </c>
      <c r="O22" s="2">
        <v>108.3347</v>
      </c>
      <c r="P22" s="2">
        <v>59</v>
      </c>
      <c r="Q22" s="2">
        <v>93.122100000000003</v>
      </c>
      <c r="R22" s="2">
        <v>24</v>
      </c>
      <c r="S22" s="2">
        <v>92.8583</v>
      </c>
      <c r="T22" s="2">
        <v>25</v>
      </c>
      <c r="U22" s="2">
        <v>0.85479700000000003</v>
      </c>
      <c r="V22" s="2">
        <v>21</v>
      </c>
      <c r="W22" s="2">
        <v>2006</v>
      </c>
    </row>
    <row r="23" spans="1:23" ht="15.75" customHeight="1" x14ac:dyDescent="0.4">
      <c r="A23" s="2" t="s">
        <v>147</v>
      </c>
      <c r="B23" s="2">
        <v>11</v>
      </c>
      <c r="C23" s="3" t="s">
        <v>33</v>
      </c>
      <c r="D23" s="3" t="s">
        <v>33</v>
      </c>
      <c r="E23" s="3" t="s">
        <v>33</v>
      </c>
      <c r="F23" s="3" t="s">
        <v>33</v>
      </c>
      <c r="G23" s="2"/>
      <c r="H23" s="2"/>
      <c r="I23" s="2">
        <v>64.144999999999996</v>
      </c>
      <c r="J23" s="2">
        <v>271</v>
      </c>
      <c r="K23" s="2">
        <v>64.037499999999994</v>
      </c>
      <c r="L23" s="2">
        <v>276</v>
      </c>
      <c r="M23" s="2">
        <v>107.2718</v>
      </c>
      <c r="N23" s="2">
        <v>63</v>
      </c>
      <c r="O23" s="2">
        <v>106.43989999999999</v>
      </c>
      <c r="P23" s="2">
        <v>78</v>
      </c>
      <c r="Q23" s="2">
        <v>90.8172</v>
      </c>
      <c r="R23" s="2">
        <v>11</v>
      </c>
      <c r="S23" s="2">
        <v>91.572000000000003</v>
      </c>
      <c r="T23" s="2">
        <v>12</v>
      </c>
      <c r="U23" s="2">
        <v>0.84944200000000003</v>
      </c>
      <c r="V23" s="2">
        <v>22</v>
      </c>
      <c r="W23" s="2">
        <v>2006</v>
      </c>
    </row>
    <row r="24" spans="1:23" ht="15.75" customHeight="1" x14ac:dyDescent="0.4">
      <c r="A24" s="2" t="s">
        <v>245</v>
      </c>
      <c r="B24" s="2">
        <v>13</v>
      </c>
      <c r="C24" s="3" t="s">
        <v>33</v>
      </c>
      <c r="D24" s="3" t="s">
        <v>33</v>
      </c>
      <c r="E24" s="2"/>
      <c r="F24" s="2"/>
      <c r="G24" s="2"/>
      <c r="H24" s="2"/>
      <c r="I24" s="2">
        <v>69.053700000000006</v>
      </c>
      <c r="J24" s="2">
        <v>95</v>
      </c>
      <c r="K24" s="2">
        <v>71.121399999999994</v>
      </c>
      <c r="L24" s="2">
        <v>39</v>
      </c>
      <c r="M24" s="2">
        <v>102.36790000000001</v>
      </c>
      <c r="N24" s="2">
        <v>156</v>
      </c>
      <c r="O24" s="2">
        <v>104.9757</v>
      </c>
      <c r="P24" s="2">
        <v>105</v>
      </c>
      <c r="Q24" s="2">
        <v>91.790599999999998</v>
      </c>
      <c r="R24" s="2">
        <v>16</v>
      </c>
      <c r="S24" s="2">
        <v>90.327600000000004</v>
      </c>
      <c r="T24" s="2">
        <v>7</v>
      </c>
      <c r="U24" s="2">
        <v>0.849194</v>
      </c>
      <c r="V24" s="2">
        <v>23</v>
      </c>
      <c r="W24" s="2">
        <v>2006</v>
      </c>
    </row>
    <row r="25" spans="1:23" ht="15.75" customHeight="1" x14ac:dyDescent="0.4">
      <c r="A25" s="2" t="s">
        <v>58</v>
      </c>
      <c r="B25" s="2">
        <v>6</v>
      </c>
      <c r="C25" s="2"/>
      <c r="D25" s="2"/>
      <c r="E25" s="2"/>
      <c r="F25" s="2"/>
      <c r="G25" s="2"/>
      <c r="H25" s="2"/>
      <c r="I25" s="2">
        <v>65.553399999999996</v>
      </c>
      <c r="J25" s="2">
        <v>230</v>
      </c>
      <c r="K25" s="2">
        <v>65.9071</v>
      </c>
      <c r="L25" s="2">
        <v>221</v>
      </c>
      <c r="M25" s="2">
        <v>110.0973</v>
      </c>
      <c r="N25" s="2">
        <v>30</v>
      </c>
      <c r="O25" s="2">
        <v>114.0908</v>
      </c>
      <c r="P25" s="2">
        <v>13</v>
      </c>
      <c r="Q25" s="2">
        <v>102.14109999999999</v>
      </c>
      <c r="R25" s="2">
        <v>173</v>
      </c>
      <c r="S25" s="2">
        <v>98.360900000000001</v>
      </c>
      <c r="T25" s="2">
        <v>99</v>
      </c>
      <c r="U25" s="2">
        <v>0.84632300000000005</v>
      </c>
      <c r="V25" s="2">
        <v>24</v>
      </c>
      <c r="W25" s="2">
        <v>2006</v>
      </c>
    </row>
    <row r="26" spans="1:23" ht="15.75" customHeight="1" x14ac:dyDescent="0.4">
      <c r="A26" s="2" t="s">
        <v>248</v>
      </c>
      <c r="B26" s="2">
        <v>12</v>
      </c>
      <c r="C26" s="3" t="s">
        <v>33</v>
      </c>
      <c r="D26" s="2"/>
      <c r="E26" s="2"/>
      <c r="F26" s="2"/>
      <c r="G26" s="2"/>
      <c r="H26" s="2"/>
      <c r="I26" s="2">
        <v>65.709699999999998</v>
      </c>
      <c r="J26" s="2">
        <v>223</v>
      </c>
      <c r="K26" s="2">
        <v>64.945700000000002</v>
      </c>
      <c r="L26" s="2">
        <v>252</v>
      </c>
      <c r="M26" s="2">
        <v>104.483</v>
      </c>
      <c r="N26" s="2">
        <v>121</v>
      </c>
      <c r="O26" s="2">
        <v>104.3199</v>
      </c>
      <c r="P26" s="2">
        <v>118</v>
      </c>
      <c r="Q26" s="2">
        <v>91.471199999999996</v>
      </c>
      <c r="R26" s="2">
        <v>14</v>
      </c>
      <c r="S26" s="2">
        <v>89.994299999999996</v>
      </c>
      <c r="T26" s="2">
        <v>5</v>
      </c>
      <c r="U26" s="2">
        <v>0.84536900000000004</v>
      </c>
      <c r="V26" s="2">
        <v>25</v>
      </c>
      <c r="W26" s="2">
        <v>2006</v>
      </c>
    </row>
    <row r="27" spans="1:23" ht="15.75" customHeight="1" x14ac:dyDescent="0.4">
      <c r="A27" s="2" t="s">
        <v>39</v>
      </c>
      <c r="B27" s="2">
        <v>7</v>
      </c>
      <c r="C27" s="2"/>
      <c r="D27" s="2"/>
      <c r="E27" s="2"/>
      <c r="F27" s="2"/>
      <c r="G27" s="2"/>
      <c r="H27" s="2"/>
      <c r="I27" s="2">
        <v>68.750699999999995</v>
      </c>
      <c r="J27" s="2">
        <v>104</v>
      </c>
      <c r="K27" s="2">
        <v>69.898799999999994</v>
      </c>
      <c r="L27" s="2">
        <v>61</v>
      </c>
      <c r="M27" s="2">
        <v>106.9834</v>
      </c>
      <c r="N27" s="2">
        <v>67</v>
      </c>
      <c r="O27" s="2">
        <v>110.51179999999999</v>
      </c>
      <c r="P27" s="2">
        <v>34</v>
      </c>
      <c r="Q27" s="2">
        <v>100.23560000000001</v>
      </c>
      <c r="R27" s="2">
        <v>133</v>
      </c>
      <c r="S27" s="2">
        <v>95.525999999999996</v>
      </c>
      <c r="T27" s="2">
        <v>48</v>
      </c>
      <c r="U27" s="2">
        <v>0.84235099999999996</v>
      </c>
      <c r="V27" s="2">
        <v>26</v>
      </c>
      <c r="W27" s="2">
        <v>2006</v>
      </c>
    </row>
    <row r="28" spans="1:23" ht="15.75" customHeight="1" x14ac:dyDescent="0.4">
      <c r="A28" s="2" t="s">
        <v>45</v>
      </c>
      <c r="B28" s="2">
        <v>8</v>
      </c>
      <c r="C28" s="3" t="s">
        <v>33</v>
      </c>
      <c r="D28" s="2"/>
      <c r="E28" s="2"/>
      <c r="F28" s="2"/>
      <c r="G28" s="2"/>
      <c r="H28" s="2"/>
      <c r="I28" s="2">
        <v>65.629199999999997</v>
      </c>
      <c r="J28" s="2">
        <v>226</v>
      </c>
      <c r="K28" s="2">
        <v>65.694199999999995</v>
      </c>
      <c r="L28" s="2">
        <v>225</v>
      </c>
      <c r="M28" s="2">
        <v>107.7504</v>
      </c>
      <c r="N28" s="2">
        <v>57</v>
      </c>
      <c r="O28" s="2">
        <v>112.72920000000001</v>
      </c>
      <c r="P28" s="2">
        <v>19</v>
      </c>
      <c r="Q28" s="2">
        <v>100.095</v>
      </c>
      <c r="R28" s="2">
        <v>128</v>
      </c>
      <c r="S28" s="2">
        <v>97.733400000000003</v>
      </c>
      <c r="T28" s="2">
        <v>89</v>
      </c>
      <c r="U28" s="2">
        <v>0.83774700000000002</v>
      </c>
      <c r="V28" s="2">
        <v>27</v>
      </c>
      <c r="W28" s="2">
        <v>2006</v>
      </c>
    </row>
    <row r="29" spans="1:23" ht="12.3" x14ac:dyDescent="0.4">
      <c r="A29" s="2" t="s">
        <v>22</v>
      </c>
      <c r="B29" s="2"/>
      <c r="C29" s="2"/>
      <c r="D29" s="2"/>
      <c r="E29" s="2"/>
      <c r="F29" s="2"/>
      <c r="G29" s="2"/>
      <c r="H29" s="2"/>
      <c r="I29" s="2">
        <v>69.525400000000005</v>
      </c>
      <c r="J29" s="2">
        <v>73</v>
      </c>
      <c r="K29" s="2">
        <v>69.765199999999993</v>
      </c>
      <c r="L29" s="2">
        <v>65</v>
      </c>
      <c r="M29" s="2">
        <v>107.9456</v>
      </c>
      <c r="N29" s="2">
        <v>54</v>
      </c>
      <c r="O29" s="2">
        <v>110.50320000000001</v>
      </c>
      <c r="P29" s="2">
        <v>35</v>
      </c>
      <c r="Q29" s="2">
        <v>96.089200000000005</v>
      </c>
      <c r="R29" s="2">
        <v>52</v>
      </c>
      <c r="S29" s="2">
        <v>95.826800000000006</v>
      </c>
      <c r="T29" s="2">
        <v>50</v>
      </c>
      <c r="U29" s="2">
        <v>0.83736900000000003</v>
      </c>
      <c r="V29" s="2">
        <v>28</v>
      </c>
      <c r="W29" s="2">
        <v>2006</v>
      </c>
    </row>
    <row r="30" spans="1:23" ht="12.3" x14ac:dyDescent="0.4">
      <c r="A30" s="2" t="s">
        <v>40</v>
      </c>
      <c r="B30" s="2">
        <v>6</v>
      </c>
      <c r="C30" s="3" t="s">
        <v>33</v>
      </c>
      <c r="D30" s="2"/>
      <c r="E30" s="2"/>
      <c r="F30" s="2"/>
      <c r="G30" s="2"/>
      <c r="H30" s="2"/>
      <c r="I30" s="2">
        <v>67.728399999999993</v>
      </c>
      <c r="J30" s="2">
        <v>139</v>
      </c>
      <c r="K30" s="2">
        <v>67.868700000000004</v>
      </c>
      <c r="L30" s="2">
        <v>119</v>
      </c>
      <c r="M30" s="2">
        <v>104.79640000000001</v>
      </c>
      <c r="N30" s="2">
        <v>110</v>
      </c>
      <c r="O30" s="2">
        <v>106.3565</v>
      </c>
      <c r="P30" s="2">
        <v>79</v>
      </c>
      <c r="Q30" s="2">
        <v>97.434799999999996</v>
      </c>
      <c r="R30" s="2">
        <v>70</v>
      </c>
      <c r="S30" s="2">
        <v>92.323499999999996</v>
      </c>
      <c r="T30" s="2">
        <v>20</v>
      </c>
      <c r="U30" s="2">
        <v>0.83578799999999998</v>
      </c>
      <c r="V30" s="2">
        <v>29</v>
      </c>
      <c r="W30" s="2">
        <v>2006</v>
      </c>
    </row>
    <row r="31" spans="1:23" ht="12.3" x14ac:dyDescent="0.4">
      <c r="A31" s="2" t="s">
        <v>83</v>
      </c>
      <c r="B31" s="2">
        <v>9</v>
      </c>
      <c r="C31" s="2"/>
      <c r="D31" s="2"/>
      <c r="E31" s="2"/>
      <c r="F31" s="2"/>
      <c r="G31" s="2"/>
      <c r="H31" s="2"/>
      <c r="I31" s="2">
        <v>64.416499999999999</v>
      </c>
      <c r="J31" s="2">
        <v>265</v>
      </c>
      <c r="K31" s="2">
        <v>64.971400000000003</v>
      </c>
      <c r="L31" s="2">
        <v>250</v>
      </c>
      <c r="M31" s="2">
        <v>103.3147</v>
      </c>
      <c r="N31" s="2">
        <v>141</v>
      </c>
      <c r="O31" s="2">
        <v>104.5585</v>
      </c>
      <c r="P31" s="2">
        <v>112</v>
      </c>
      <c r="Q31" s="2">
        <v>89.717699999999994</v>
      </c>
      <c r="R31" s="2">
        <v>6</v>
      </c>
      <c r="S31" s="2">
        <v>90.995599999999996</v>
      </c>
      <c r="T31" s="2">
        <v>9</v>
      </c>
      <c r="U31" s="2">
        <v>0.83170500000000003</v>
      </c>
      <c r="V31" s="2">
        <v>30</v>
      </c>
      <c r="W31" s="2">
        <v>2006</v>
      </c>
    </row>
    <row r="32" spans="1:23" ht="12.3" x14ac:dyDescent="0.4">
      <c r="A32" s="2" t="s">
        <v>216</v>
      </c>
      <c r="B32" s="2">
        <v>10</v>
      </c>
      <c r="C32" s="2"/>
      <c r="D32" s="2"/>
      <c r="E32" s="2"/>
      <c r="F32" s="2"/>
      <c r="G32" s="2"/>
      <c r="H32" s="2"/>
      <c r="I32" s="2">
        <v>60.872500000000002</v>
      </c>
      <c r="J32" s="2">
        <v>322</v>
      </c>
      <c r="K32" s="2">
        <v>61.042700000000004</v>
      </c>
      <c r="L32" s="2">
        <v>322</v>
      </c>
      <c r="M32" s="2">
        <v>104.4641</v>
      </c>
      <c r="N32" s="2">
        <v>122</v>
      </c>
      <c r="O32" s="2">
        <v>106.7564</v>
      </c>
      <c r="P32" s="2">
        <v>76</v>
      </c>
      <c r="Q32" s="2">
        <v>94.004199999999997</v>
      </c>
      <c r="R32" s="2">
        <v>33</v>
      </c>
      <c r="S32" s="2">
        <v>92.937899999999999</v>
      </c>
      <c r="T32" s="2">
        <v>26</v>
      </c>
      <c r="U32" s="2">
        <v>0.83119399999999999</v>
      </c>
      <c r="V32" s="2">
        <v>31</v>
      </c>
      <c r="W32" s="2">
        <v>2006</v>
      </c>
    </row>
    <row r="33" spans="1:23" ht="12.3" x14ac:dyDescent="0.4">
      <c r="A33" s="2" t="s">
        <v>91</v>
      </c>
      <c r="B33" s="2"/>
      <c r="C33" s="2"/>
      <c r="D33" s="2"/>
      <c r="E33" s="2"/>
      <c r="F33" s="2"/>
      <c r="G33" s="2"/>
      <c r="H33" s="2"/>
      <c r="I33" s="2">
        <v>61.898299999999999</v>
      </c>
      <c r="J33" s="2">
        <v>314</v>
      </c>
      <c r="K33" s="2">
        <v>63.122599999999998</v>
      </c>
      <c r="L33" s="2">
        <v>297</v>
      </c>
      <c r="M33" s="2">
        <v>105.5371</v>
      </c>
      <c r="N33" s="2">
        <v>95</v>
      </c>
      <c r="O33" s="2">
        <v>107.66459999999999</v>
      </c>
      <c r="P33" s="2">
        <v>67</v>
      </c>
      <c r="Q33" s="2">
        <v>97.565100000000001</v>
      </c>
      <c r="R33" s="2">
        <v>74</v>
      </c>
      <c r="S33" s="2">
        <v>93.775999999999996</v>
      </c>
      <c r="T33" s="2">
        <v>30</v>
      </c>
      <c r="U33" s="2">
        <v>0.83037499999999997</v>
      </c>
      <c r="V33" s="2">
        <v>32</v>
      </c>
      <c r="W33" s="2">
        <v>2006</v>
      </c>
    </row>
    <row r="34" spans="1:23" ht="12.3" x14ac:dyDescent="0.4">
      <c r="A34" s="2" t="s">
        <v>56</v>
      </c>
      <c r="B34" s="2"/>
      <c r="C34" s="2"/>
      <c r="D34" s="2"/>
      <c r="E34" s="2"/>
      <c r="F34" s="2"/>
      <c r="G34" s="2"/>
      <c r="H34" s="2"/>
      <c r="I34" s="2">
        <v>65.2256</v>
      </c>
      <c r="J34" s="2">
        <v>241</v>
      </c>
      <c r="K34" s="2">
        <v>65.890100000000004</v>
      </c>
      <c r="L34" s="2">
        <v>223</v>
      </c>
      <c r="M34" s="2">
        <v>113.5125</v>
      </c>
      <c r="N34" s="2">
        <v>8</v>
      </c>
      <c r="O34" s="2">
        <v>116.8814</v>
      </c>
      <c r="P34" s="2">
        <v>4</v>
      </c>
      <c r="Q34" s="2">
        <v>104.7278</v>
      </c>
      <c r="R34" s="2">
        <v>233</v>
      </c>
      <c r="S34" s="2">
        <v>101.8048</v>
      </c>
      <c r="T34" s="2">
        <v>159</v>
      </c>
      <c r="U34" s="2">
        <v>0.83035999999999999</v>
      </c>
      <c r="V34" s="2">
        <v>33</v>
      </c>
      <c r="W34" s="2">
        <v>2006</v>
      </c>
    </row>
    <row r="35" spans="1:23" ht="12.3" x14ac:dyDescent="0.4">
      <c r="A35" s="2" t="s">
        <v>76</v>
      </c>
      <c r="B35" s="2">
        <v>9</v>
      </c>
      <c r="C35" s="2"/>
      <c r="D35" s="2"/>
      <c r="E35" s="2"/>
      <c r="F35" s="2"/>
      <c r="G35" s="2"/>
      <c r="H35" s="2"/>
      <c r="I35" s="2">
        <v>66.172700000000006</v>
      </c>
      <c r="J35" s="2">
        <v>204</v>
      </c>
      <c r="K35" s="2">
        <v>66.721400000000003</v>
      </c>
      <c r="L35" s="2">
        <v>174</v>
      </c>
      <c r="M35" s="2">
        <v>106.15949999999999</v>
      </c>
      <c r="N35" s="2">
        <v>85</v>
      </c>
      <c r="O35" s="2">
        <v>108.91840000000001</v>
      </c>
      <c r="P35" s="2">
        <v>52</v>
      </c>
      <c r="Q35" s="2">
        <v>96.905000000000001</v>
      </c>
      <c r="R35" s="2">
        <v>66</v>
      </c>
      <c r="S35" s="2">
        <v>94.998000000000005</v>
      </c>
      <c r="T35" s="2">
        <v>45</v>
      </c>
      <c r="U35" s="2">
        <v>0.828148</v>
      </c>
      <c r="V35" s="2">
        <v>34</v>
      </c>
      <c r="W35" s="2">
        <v>2006</v>
      </c>
    </row>
    <row r="36" spans="1:23" ht="12.3" x14ac:dyDescent="0.4">
      <c r="A36" s="2" t="s">
        <v>82</v>
      </c>
      <c r="B36" s="2">
        <v>11</v>
      </c>
      <c r="C36" s="2"/>
      <c r="D36" s="2"/>
      <c r="E36" s="2"/>
      <c r="F36" s="2"/>
      <c r="G36" s="2"/>
      <c r="H36" s="2"/>
      <c r="I36" s="2">
        <v>61.6404</v>
      </c>
      <c r="J36" s="2">
        <v>318</v>
      </c>
      <c r="K36" s="2">
        <v>61.677399999999999</v>
      </c>
      <c r="L36" s="2">
        <v>318</v>
      </c>
      <c r="M36" s="2">
        <v>97.26</v>
      </c>
      <c r="N36" s="2">
        <v>242</v>
      </c>
      <c r="O36" s="2">
        <v>102.11920000000001</v>
      </c>
      <c r="P36" s="2">
        <v>159</v>
      </c>
      <c r="Q36" s="2">
        <v>88.567700000000002</v>
      </c>
      <c r="R36" s="2">
        <v>4</v>
      </c>
      <c r="S36" s="2">
        <v>89.158000000000001</v>
      </c>
      <c r="T36" s="2">
        <v>3</v>
      </c>
      <c r="U36" s="2">
        <v>0.82648299999999997</v>
      </c>
      <c r="V36" s="2">
        <v>35</v>
      </c>
      <c r="W36" s="2">
        <v>2006</v>
      </c>
    </row>
    <row r="37" spans="1:23" ht="12.3" x14ac:dyDescent="0.4">
      <c r="A37" s="2" t="s">
        <v>17</v>
      </c>
      <c r="B37" s="2"/>
      <c r="C37" s="2"/>
      <c r="D37" s="2"/>
      <c r="E37" s="2"/>
      <c r="F37" s="2"/>
      <c r="G37" s="2"/>
      <c r="H37" s="2"/>
      <c r="I37" s="2">
        <v>61.106000000000002</v>
      </c>
      <c r="J37" s="2">
        <v>320</v>
      </c>
      <c r="K37" s="2">
        <v>60.447299999999998</v>
      </c>
      <c r="L37" s="2">
        <v>324</v>
      </c>
      <c r="M37" s="2">
        <v>108.6341</v>
      </c>
      <c r="N37" s="2">
        <v>44</v>
      </c>
      <c r="O37" s="2">
        <v>110.68389999999999</v>
      </c>
      <c r="P37" s="2">
        <v>30</v>
      </c>
      <c r="Q37" s="2">
        <v>101.1268</v>
      </c>
      <c r="R37" s="2">
        <v>152</v>
      </c>
      <c r="S37" s="2">
        <v>96.667100000000005</v>
      </c>
      <c r="T37" s="2">
        <v>73</v>
      </c>
      <c r="U37" s="2">
        <v>0.82594599999999996</v>
      </c>
      <c r="V37" s="2">
        <v>36</v>
      </c>
      <c r="W37" s="2">
        <v>2006</v>
      </c>
    </row>
    <row r="38" spans="1:23" ht="12.3" x14ac:dyDescent="0.4">
      <c r="A38" s="2" t="s">
        <v>192</v>
      </c>
      <c r="B38" s="2">
        <v>7</v>
      </c>
      <c r="C38" s="3" t="s">
        <v>33</v>
      </c>
      <c r="D38" s="3" t="s">
        <v>33</v>
      </c>
      <c r="E38" s="2"/>
      <c r="F38" s="2"/>
      <c r="G38" s="2"/>
      <c r="H38" s="2"/>
      <c r="I38" s="2">
        <v>63.146700000000003</v>
      </c>
      <c r="J38" s="2">
        <v>297</v>
      </c>
      <c r="K38" s="2">
        <v>63.698999999999998</v>
      </c>
      <c r="L38" s="2">
        <v>283</v>
      </c>
      <c r="M38" s="2">
        <v>106.6939</v>
      </c>
      <c r="N38" s="2">
        <v>75</v>
      </c>
      <c r="O38" s="2">
        <v>110.1734</v>
      </c>
      <c r="P38" s="2">
        <v>37</v>
      </c>
      <c r="Q38" s="2">
        <v>96.319199999999995</v>
      </c>
      <c r="R38" s="2">
        <v>58</v>
      </c>
      <c r="S38" s="2">
        <v>96.306100000000001</v>
      </c>
      <c r="T38" s="2">
        <v>60</v>
      </c>
      <c r="U38" s="2">
        <v>0.82448399999999999</v>
      </c>
      <c r="V38" s="2">
        <v>37</v>
      </c>
      <c r="W38" s="2">
        <v>2006</v>
      </c>
    </row>
    <row r="39" spans="1:23" ht="12.3" x14ac:dyDescent="0.4">
      <c r="A39" s="2" t="s">
        <v>232</v>
      </c>
      <c r="B39" s="2">
        <v>8</v>
      </c>
      <c r="C39" s="3" t="s">
        <v>33</v>
      </c>
      <c r="D39" s="2"/>
      <c r="E39" s="2"/>
      <c r="F39" s="2"/>
      <c r="G39" s="2"/>
      <c r="H39" s="2"/>
      <c r="I39" s="2">
        <v>71.292500000000004</v>
      </c>
      <c r="J39" s="2">
        <v>40</v>
      </c>
      <c r="K39" s="2">
        <v>73.337999999999994</v>
      </c>
      <c r="L39" s="2">
        <v>9</v>
      </c>
      <c r="M39" s="2">
        <v>109.6585</v>
      </c>
      <c r="N39" s="2">
        <v>35</v>
      </c>
      <c r="O39" s="2">
        <v>107.92310000000001</v>
      </c>
      <c r="P39" s="2">
        <v>63</v>
      </c>
      <c r="Q39" s="2">
        <v>92.320700000000002</v>
      </c>
      <c r="R39" s="2">
        <v>19</v>
      </c>
      <c r="S39" s="2">
        <v>94.341399999999993</v>
      </c>
      <c r="T39" s="2">
        <v>40</v>
      </c>
      <c r="U39" s="2">
        <v>0.82444099999999998</v>
      </c>
      <c r="V39" s="2">
        <v>38</v>
      </c>
      <c r="W39" s="2">
        <v>2006</v>
      </c>
    </row>
    <row r="40" spans="1:23" ht="12.3" x14ac:dyDescent="0.4">
      <c r="A40" s="2" t="s">
        <v>43</v>
      </c>
      <c r="B40" s="2">
        <v>8</v>
      </c>
      <c r="C40" s="3" t="s">
        <v>33</v>
      </c>
      <c r="D40" s="2"/>
      <c r="E40" s="2"/>
      <c r="F40" s="2"/>
      <c r="G40" s="2"/>
      <c r="H40" s="2"/>
      <c r="I40" s="2">
        <v>69.292599999999993</v>
      </c>
      <c r="J40" s="2">
        <v>85</v>
      </c>
      <c r="K40" s="2">
        <v>69.635400000000004</v>
      </c>
      <c r="L40" s="2">
        <v>70</v>
      </c>
      <c r="M40" s="2">
        <v>103.136</v>
      </c>
      <c r="N40" s="2">
        <v>146</v>
      </c>
      <c r="O40" s="2">
        <v>107.7834</v>
      </c>
      <c r="P40" s="2">
        <v>66</v>
      </c>
      <c r="Q40" s="2">
        <v>96.416499999999999</v>
      </c>
      <c r="R40" s="2">
        <v>60</v>
      </c>
      <c r="S40" s="2">
        <v>94.305000000000007</v>
      </c>
      <c r="T40" s="2">
        <v>39</v>
      </c>
      <c r="U40" s="2">
        <v>0.82292200000000004</v>
      </c>
      <c r="V40" s="2">
        <v>39</v>
      </c>
      <c r="W40" s="2">
        <v>2006</v>
      </c>
    </row>
    <row r="41" spans="1:23" ht="12.3" x14ac:dyDescent="0.4">
      <c r="A41" s="2" t="s">
        <v>55</v>
      </c>
      <c r="B41" s="2">
        <v>10</v>
      </c>
      <c r="C41" s="3" t="s">
        <v>33</v>
      </c>
      <c r="D41" s="2"/>
      <c r="E41" s="2"/>
      <c r="F41" s="2"/>
      <c r="G41" s="2"/>
      <c r="H41" s="2"/>
      <c r="I41" s="2">
        <v>67.0334</v>
      </c>
      <c r="J41" s="2">
        <v>164</v>
      </c>
      <c r="K41" s="2">
        <v>66.235699999999994</v>
      </c>
      <c r="L41" s="2">
        <v>205</v>
      </c>
      <c r="M41" s="2">
        <v>110.7269</v>
      </c>
      <c r="N41" s="2">
        <v>27</v>
      </c>
      <c r="O41" s="2">
        <v>111.1627</v>
      </c>
      <c r="P41" s="2">
        <v>27</v>
      </c>
      <c r="Q41" s="2">
        <v>98.840400000000002</v>
      </c>
      <c r="R41" s="2">
        <v>98</v>
      </c>
      <c r="S41" s="2">
        <v>97.337500000000006</v>
      </c>
      <c r="T41" s="2">
        <v>84</v>
      </c>
      <c r="U41" s="2">
        <v>0.82161600000000001</v>
      </c>
      <c r="V41" s="2">
        <v>40</v>
      </c>
      <c r="W41" s="2">
        <v>2006</v>
      </c>
    </row>
    <row r="42" spans="1:23" ht="12.3" x14ac:dyDescent="0.4">
      <c r="A42" s="2" t="s">
        <v>154</v>
      </c>
      <c r="B42" s="2"/>
      <c r="C42" s="2"/>
      <c r="D42" s="2"/>
      <c r="E42" s="2"/>
      <c r="F42" s="2"/>
      <c r="G42" s="2"/>
      <c r="H42" s="2"/>
      <c r="I42" s="2">
        <v>66.1768</v>
      </c>
      <c r="J42" s="2">
        <v>203</v>
      </c>
      <c r="K42" s="2">
        <v>68.497500000000002</v>
      </c>
      <c r="L42" s="2">
        <v>105</v>
      </c>
      <c r="M42" s="2">
        <v>108.2411</v>
      </c>
      <c r="N42" s="2">
        <v>49</v>
      </c>
      <c r="O42" s="2">
        <v>111.2745</v>
      </c>
      <c r="P42" s="2">
        <v>26</v>
      </c>
      <c r="Q42" s="2">
        <v>100.3734</v>
      </c>
      <c r="R42" s="2">
        <v>136</v>
      </c>
      <c r="S42" s="2">
        <v>97.537000000000006</v>
      </c>
      <c r="T42" s="2">
        <v>86</v>
      </c>
      <c r="U42" s="2">
        <v>0.819851</v>
      </c>
      <c r="V42" s="2">
        <v>41</v>
      </c>
      <c r="W42" s="2">
        <v>2006</v>
      </c>
    </row>
    <row r="43" spans="1:23" ht="12.3" x14ac:dyDescent="0.4">
      <c r="A43" s="2" t="s">
        <v>20</v>
      </c>
      <c r="B43" s="2"/>
      <c r="C43" s="2"/>
      <c r="D43" s="2"/>
      <c r="E43" s="2"/>
      <c r="F43" s="2"/>
      <c r="G43" s="2"/>
      <c r="H43" s="2"/>
      <c r="I43" s="2">
        <v>71.143199999999993</v>
      </c>
      <c r="J43" s="2">
        <v>43</v>
      </c>
      <c r="K43" s="2">
        <v>69.670199999999994</v>
      </c>
      <c r="L43" s="2">
        <v>69</v>
      </c>
      <c r="M43" s="2">
        <v>107.3866</v>
      </c>
      <c r="N43" s="2">
        <v>62</v>
      </c>
      <c r="O43" s="2">
        <v>109.12090000000001</v>
      </c>
      <c r="P43" s="2">
        <v>47</v>
      </c>
      <c r="Q43" s="2">
        <v>96.655000000000001</v>
      </c>
      <c r="R43" s="2">
        <v>61</v>
      </c>
      <c r="S43" s="2">
        <v>95.702500000000001</v>
      </c>
      <c r="T43" s="2">
        <v>49</v>
      </c>
      <c r="U43" s="2">
        <v>0.81890399999999997</v>
      </c>
      <c r="V43" s="2">
        <v>42</v>
      </c>
      <c r="W43" s="2">
        <v>2006</v>
      </c>
    </row>
    <row r="44" spans="1:23" ht="12.3" x14ac:dyDescent="0.4">
      <c r="A44" s="2" t="s">
        <v>38</v>
      </c>
      <c r="B44" s="2">
        <v>6</v>
      </c>
      <c r="C44" s="2"/>
      <c r="D44" s="2"/>
      <c r="E44" s="2"/>
      <c r="F44" s="2"/>
      <c r="G44" s="2"/>
      <c r="H44" s="2"/>
      <c r="I44" s="2">
        <v>63.174100000000003</v>
      </c>
      <c r="J44" s="2">
        <v>296</v>
      </c>
      <c r="K44" s="2">
        <v>63.613</v>
      </c>
      <c r="L44" s="2">
        <v>286</v>
      </c>
      <c r="M44" s="2">
        <v>108.23399999999999</v>
      </c>
      <c r="N44" s="2">
        <v>50</v>
      </c>
      <c r="O44" s="2">
        <v>112.2929</v>
      </c>
      <c r="P44" s="2">
        <v>23</v>
      </c>
      <c r="Q44" s="2">
        <v>99.773399999999995</v>
      </c>
      <c r="R44" s="2">
        <v>122</v>
      </c>
      <c r="S44" s="2">
        <v>99.075699999999998</v>
      </c>
      <c r="T44" s="2">
        <v>111</v>
      </c>
      <c r="U44" s="2">
        <v>0.80847100000000005</v>
      </c>
      <c r="V44" s="2">
        <v>43</v>
      </c>
      <c r="W44" s="2">
        <v>2006</v>
      </c>
    </row>
    <row r="45" spans="1:23" ht="12.3" x14ac:dyDescent="0.4">
      <c r="A45" s="2" t="s">
        <v>86</v>
      </c>
      <c r="B45" s="2"/>
      <c r="C45" s="2"/>
      <c r="D45" s="2"/>
      <c r="E45" s="2"/>
      <c r="F45" s="2"/>
      <c r="G45" s="2"/>
      <c r="H45" s="2"/>
      <c r="I45" s="2">
        <v>66.236900000000006</v>
      </c>
      <c r="J45" s="2">
        <v>201</v>
      </c>
      <c r="K45" s="2">
        <v>65.999700000000004</v>
      </c>
      <c r="L45" s="2">
        <v>217</v>
      </c>
      <c r="M45" s="2">
        <v>104.38079999999999</v>
      </c>
      <c r="N45" s="2">
        <v>124</v>
      </c>
      <c r="O45" s="2">
        <v>105.3784</v>
      </c>
      <c r="P45" s="2">
        <v>99</v>
      </c>
      <c r="Q45" s="2">
        <v>96.802800000000005</v>
      </c>
      <c r="R45" s="2">
        <v>62</v>
      </c>
      <c r="S45" s="2">
        <v>93.016599999999997</v>
      </c>
      <c r="T45" s="2">
        <v>27</v>
      </c>
      <c r="U45" s="2">
        <v>0.80767299999999997</v>
      </c>
      <c r="V45" s="2">
        <v>44</v>
      </c>
      <c r="W45" s="2">
        <v>2006</v>
      </c>
    </row>
    <row r="46" spans="1:23" ht="12.3" x14ac:dyDescent="0.4">
      <c r="A46" s="2" t="s">
        <v>289</v>
      </c>
      <c r="B46" s="2">
        <v>9</v>
      </c>
      <c r="C46" s="3" t="s">
        <v>33</v>
      </c>
      <c r="D46" s="2"/>
      <c r="E46" s="2"/>
      <c r="F46" s="2"/>
      <c r="G46" s="2"/>
      <c r="H46" s="2"/>
      <c r="I46" s="2">
        <v>63.104399999999998</v>
      </c>
      <c r="J46" s="2">
        <v>299</v>
      </c>
      <c r="K46" s="2">
        <v>63.7286</v>
      </c>
      <c r="L46" s="2">
        <v>282</v>
      </c>
      <c r="M46" s="2">
        <v>104.6627</v>
      </c>
      <c r="N46" s="2">
        <v>114</v>
      </c>
      <c r="O46" s="2">
        <v>104.5399</v>
      </c>
      <c r="P46" s="2">
        <v>113</v>
      </c>
      <c r="Q46" s="2">
        <v>87.608000000000004</v>
      </c>
      <c r="R46" s="2">
        <v>1</v>
      </c>
      <c r="S46" s="2">
        <v>92.448899999999995</v>
      </c>
      <c r="T46" s="2">
        <v>22</v>
      </c>
      <c r="U46" s="2">
        <v>0.80431699999999995</v>
      </c>
      <c r="V46" s="2">
        <v>45</v>
      </c>
      <c r="W46" s="2">
        <v>2006</v>
      </c>
    </row>
    <row r="47" spans="1:23" ht="12.3" x14ac:dyDescent="0.4">
      <c r="A47" s="2" t="s">
        <v>204</v>
      </c>
      <c r="B47" s="2">
        <v>13</v>
      </c>
      <c r="C47" s="2"/>
      <c r="D47" s="2"/>
      <c r="E47" s="2"/>
      <c r="F47" s="2"/>
      <c r="G47" s="2"/>
      <c r="H47" s="2"/>
      <c r="I47" s="2">
        <v>57.043799999999997</v>
      </c>
      <c r="J47" s="2">
        <v>332</v>
      </c>
      <c r="K47" s="2">
        <v>55.973199999999999</v>
      </c>
      <c r="L47" s="2">
        <v>333</v>
      </c>
      <c r="M47" s="2">
        <v>111.56699999999999</v>
      </c>
      <c r="N47" s="2">
        <v>15</v>
      </c>
      <c r="O47" s="2">
        <v>109.8233</v>
      </c>
      <c r="P47" s="2">
        <v>40</v>
      </c>
      <c r="Q47" s="2">
        <v>95.624099999999999</v>
      </c>
      <c r="R47" s="2">
        <v>47</v>
      </c>
      <c r="S47" s="2">
        <v>97.1721</v>
      </c>
      <c r="T47" s="2">
        <v>81</v>
      </c>
      <c r="U47" s="2">
        <v>0.80336799999999997</v>
      </c>
      <c r="V47" s="2">
        <v>46</v>
      </c>
      <c r="W47" s="2">
        <v>2006</v>
      </c>
    </row>
    <row r="48" spans="1:23" ht="12.3" x14ac:dyDescent="0.4">
      <c r="A48" s="2" t="s">
        <v>47</v>
      </c>
      <c r="B48" s="2">
        <v>3</v>
      </c>
      <c r="C48" s="3" t="s">
        <v>33</v>
      </c>
      <c r="D48" s="3" t="s">
        <v>33</v>
      </c>
      <c r="E48" s="2"/>
      <c r="F48" s="2"/>
      <c r="G48" s="2"/>
      <c r="H48" s="2"/>
      <c r="I48" s="2">
        <v>68.882400000000004</v>
      </c>
      <c r="J48" s="2">
        <v>99</v>
      </c>
      <c r="K48" s="2">
        <v>67.734399999999994</v>
      </c>
      <c r="L48" s="2">
        <v>127</v>
      </c>
      <c r="M48" s="2">
        <v>114.09650000000001</v>
      </c>
      <c r="N48" s="2">
        <v>3</v>
      </c>
      <c r="O48" s="2">
        <v>116.2731</v>
      </c>
      <c r="P48" s="2">
        <v>5</v>
      </c>
      <c r="Q48" s="2">
        <v>103.1721</v>
      </c>
      <c r="R48" s="2">
        <v>200</v>
      </c>
      <c r="S48" s="2">
        <v>103.0651</v>
      </c>
      <c r="T48" s="2">
        <v>186</v>
      </c>
      <c r="U48" s="2">
        <v>0.80006100000000002</v>
      </c>
      <c r="V48" s="2">
        <v>47</v>
      </c>
      <c r="W48" s="2">
        <v>2006</v>
      </c>
    </row>
    <row r="49" spans="1:23" ht="12.3" x14ac:dyDescent="0.4">
      <c r="A49" s="2" t="s">
        <v>34</v>
      </c>
      <c r="B49" s="2"/>
      <c r="C49" s="2"/>
      <c r="D49" s="2"/>
      <c r="E49" s="2"/>
      <c r="F49" s="2"/>
      <c r="G49" s="2"/>
      <c r="H49" s="2"/>
      <c r="I49" s="2">
        <v>70.034700000000001</v>
      </c>
      <c r="J49" s="2">
        <v>59</v>
      </c>
      <c r="K49" s="2">
        <v>70.186499999999995</v>
      </c>
      <c r="L49" s="2">
        <v>54</v>
      </c>
      <c r="M49" s="2">
        <v>104.94459999999999</v>
      </c>
      <c r="N49" s="2">
        <v>108</v>
      </c>
      <c r="O49" s="2">
        <v>108.1605</v>
      </c>
      <c r="P49" s="2">
        <v>61</v>
      </c>
      <c r="Q49" s="2">
        <v>99.308999999999997</v>
      </c>
      <c r="R49" s="2">
        <v>110</v>
      </c>
      <c r="S49" s="2">
        <v>96.0535</v>
      </c>
      <c r="T49" s="2">
        <v>56</v>
      </c>
      <c r="U49" s="2">
        <v>0.79659899999999995</v>
      </c>
      <c r="V49" s="2">
        <v>48</v>
      </c>
      <c r="W49" s="2">
        <v>2006</v>
      </c>
    </row>
    <row r="50" spans="1:23" ht="12.3" x14ac:dyDescent="0.4">
      <c r="A50" s="2" t="s">
        <v>23</v>
      </c>
      <c r="B50" s="2">
        <v>5</v>
      </c>
      <c r="C50" s="2"/>
      <c r="D50" s="2"/>
      <c r="E50" s="2"/>
      <c r="F50" s="2"/>
      <c r="G50" s="2"/>
      <c r="H50" s="2"/>
      <c r="I50" s="2">
        <v>69.603200000000001</v>
      </c>
      <c r="J50" s="2">
        <v>71</v>
      </c>
      <c r="K50" s="2">
        <v>69.593400000000003</v>
      </c>
      <c r="L50" s="2">
        <v>73</v>
      </c>
      <c r="M50" s="2">
        <v>103.4564</v>
      </c>
      <c r="N50" s="2">
        <v>140</v>
      </c>
      <c r="O50" s="2">
        <v>108.6802</v>
      </c>
      <c r="P50" s="2">
        <v>54</v>
      </c>
      <c r="Q50" s="2">
        <v>98.109800000000007</v>
      </c>
      <c r="R50" s="2">
        <v>87</v>
      </c>
      <c r="S50" s="2">
        <v>96.563599999999994</v>
      </c>
      <c r="T50" s="2">
        <v>68</v>
      </c>
      <c r="U50" s="2">
        <v>0.79566000000000003</v>
      </c>
      <c r="V50" s="2">
        <v>49</v>
      </c>
      <c r="W50" s="2">
        <v>2006</v>
      </c>
    </row>
    <row r="51" spans="1:23" ht="12.3" x14ac:dyDescent="0.4">
      <c r="A51" s="2" t="s">
        <v>243</v>
      </c>
      <c r="B51" s="2"/>
      <c r="C51" s="2"/>
      <c r="D51" s="2"/>
      <c r="E51" s="2"/>
      <c r="F51" s="2"/>
      <c r="G51" s="2"/>
      <c r="H51" s="2"/>
      <c r="I51" s="2">
        <v>66.850499999999997</v>
      </c>
      <c r="J51" s="2">
        <v>173</v>
      </c>
      <c r="K51" s="2">
        <v>67.314499999999995</v>
      </c>
      <c r="L51" s="2">
        <v>144</v>
      </c>
      <c r="M51" s="2">
        <v>108.37179999999999</v>
      </c>
      <c r="N51" s="2">
        <v>48</v>
      </c>
      <c r="O51" s="2">
        <v>112.7047</v>
      </c>
      <c r="P51" s="2">
        <v>20</v>
      </c>
      <c r="Q51" s="2">
        <v>98.904799999999994</v>
      </c>
      <c r="R51" s="2">
        <v>100</v>
      </c>
      <c r="S51" s="2">
        <v>100.38939999999999</v>
      </c>
      <c r="T51" s="2">
        <v>137</v>
      </c>
      <c r="U51" s="2">
        <v>0.79095899999999997</v>
      </c>
      <c r="V51" s="2">
        <v>50</v>
      </c>
      <c r="W51" s="2">
        <v>2006</v>
      </c>
    </row>
    <row r="52" spans="1:23" ht="12.3" x14ac:dyDescent="0.4">
      <c r="A52" s="2" t="s">
        <v>90</v>
      </c>
      <c r="B52" s="2"/>
      <c r="C52" s="2"/>
      <c r="D52" s="2"/>
      <c r="E52" s="2"/>
      <c r="F52" s="2"/>
      <c r="G52" s="2"/>
      <c r="H52" s="2"/>
      <c r="I52" s="2">
        <v>64.133200000000002</v>
      </c>
      <c r="J52" s="2">
        <v>272</v>
      </c>
      <c r="K52" s="2">
        <v>64.191900000000004</v>
      </c>
      <c r="L52" s="2">
        <v>269</v>
      </c>
      <c r="M52" s="2">
        <v>101.7349</v>
      </c>
      <c r="N52" s="2">
        <v>167</v>
      </c>
      <c r="O52" s="2">
        <v>105.5273</v>
      </c>
      <c r="P52" s="2">
        <v>96</v>
      </c>
      <c r="Q52" s="2">
        <v>93.912999999999997</v>
      </c>
      <c r="R52" s="2">
        <v>31</v>
      </c>
      <c r="S52" s="2">
        <v>94.013499999999993</v>
      </c>
      <c r="T52" s="2">
        <v>34</v>
      </c>
      <c r="U52" s="2">
        <v>0.79061000000000003</v>
      </c>
      <c r="V52" s="2">
        <v>51</v>
      </c>
      <c r="W52" s="2">
        <v>2006</v>
      </c>
    </row>
    <row r="53" spans="1:23" ht="12.3" x14ac:dyDescent="0.4">
      <c r="A53" s="2" t="s">
        <v>57</v>
      </c>
      <c r="B53" s="2">
        <v>7</v>
      </c>
      <c r="C53" s="2"/>
      <c r="D53" s="2"/>
      <c r="E53" s="2"/>
      <c r="F53" s="2"/>
      <c r="G53" s="2"/>
      <c r="H53" s="2"/>
      <c r="I53" s="2">
        <v>64.066100000000006</v>
      </c>
      <c r="J53" s="2">
        <v>277</v>
      </c>
      <c r="K53" s="2">
        <v>63.334600000000002</v>
      </c>
      <c r="L53" s="2">
        <v>292</v>
      </c>
      <c r="M53" s="2">
        <v>105.6388</v>
      </c>
      <c r="N53" s="2">
        <v>94</v>
      </c>
      <c r="O53" s="2">
        <v>108.6733</v>
      </c>
      <c r="P53" s="2">
        <v>55</v>
      </c>
      <c r="Q53" s="2">
        <v>99.454499999999996</v>
      </c>
      <c r="R53" s="2">
        <v>115</v>
      </c>
      <c r="S53" s="2">
        <v>97.045500000000004</v>
      </c>
      <c r="T53" s="2">
        <v>80</v>
      </c>
      <c r="U53" s="2">
        <v>0.78607400000000005</v>
      </c>
      <c r="V53" s="2">
        <v>52</v>
      </c>
      <c r="W53" s="2">
        <v>2006</v>
      </c>
    </row>
    <row r="54" spans="1:23" ht="12.3" x14ac:dyDescent="0.4">
      <c r="A54" s="2" t="s">
        <v>128</v>
      </c>
      <c r="B54" s="2">
        <v>9</v>
      </c>
      <c r="C54" s="2"/>
      <c r="D54" s="2"/>
      <c r="E54" s="2"/>
      <c r="F54" s="2"/>
      <c r="G54" s="2"/>
      <c r="H54" s="2"/>
      <c r="I54" s="2">
        <v>70.249099999999999</v>
      </c>
      <c r="J54" s="2">
        <v>55</v>
      </c>
      <c r="K54" s="2">
        <v>70.1858</v>
      </c>
      <c r="L54" s="2">
        <v>55</v>
      </c>
      <c r="M54" s="2">
        <v>105.26609999999999</v>
      </c>
      <c r="N54" s="2">
        <v>101</v>
      </c>
      <c r="O54" s="2">
        <v>107.881</v>
      </c>
      <c r="P54" s="2">
        <v>64</v>
      </c>
      <c r="Q54" s="2">
        <v>93.385599999999997</v>
      </c>
      <c r="R54" s="2">
        <v>26</v>
      </c>
      <c r="S54" s="2">
        <v>96.568299999999994</v>
      </c>
      <c r="T54" s="2">
        <v>69</v>
      </c>
      <c r="U54" s="2">
        <v>0.78142</v>
      </c>
      <c r="V54" s="2">
        <v>53</v>
      </c>
      <c r="W54" s="2">
        <v>2006</v>
      </c>
    </row>
    <row r="55" spans="1:23" ht="12.3" x14ac:dyDescent="0.4">
      <c r="A55" s="2" t="s">
        <v>72</v>
      </c>
      <c r="B55" s="2"/>
      <c r="C55" s="2"/>
      <c r="D55" s="2"/>
      <c r="E55" s="2"/>
      <c r="F55" s="2"/>
      <c r="G55" s="2"/>
      <c r="H55" s="2"/>
      <c r="I55" s="2">
        <v>67.029600000000002</v>
      </c>
      <c r="J55" s="2">
        <v>165</v>
      </c>
      <c r="K55" s="2">
        <v>66.584100000000007</v>
      </c>
      <c r="L55" s="2">
        <v>181</v>
      </c>
      <c r="M55" s="2">
        <v>104.61199999999999</v>
      </c>
      <c r="N55" s="2">
        <v>117</v>
      </c>
      <c r="O55" s="2">
        <v>105.2431</v>
      </c>
      <c r="P55" s="2">
        <v>101</v>
      </c>
      <c r="Q55" s="2">
        <v>97.624799999999993</v>
      </c>
      <c r="R55" s="2">
        <v>77</v>
      </c>
      <c r="S55" s="2">
        <v>94.218299999999999</v>
      </c>
      <c r="T55" s="2">
        <v>37</v>
      </c>
      <c r="U55" s="2">
        <v>0.78118200000000004</v>
      </c>
      <c r="V55" s="2">
        <v>54</v>
      </c>
      <c r="W55" s="2">
        <v>2006</v>
      </c>
    </row>
    <row r="56" spans="1:23" ht="12.3" x14ac:dyDescent="0.4">
      <c r="A56" s="2" t="s">
        <v>60</v>
      </c>
      <c r="B56" s="2"/>
      <c r="C56" s="2"/>
      <c r="D56" s="2"/>
      <c r="E56" s="2"/>
      <c r="F56" s="2"/>
      <c r="G56" s="2"/>
      <c r="H56" s="2"/>
      <c r="I56" s="2">
        <v>63.4574</v>
      </c>
      <c r="J56" s="2">
        <v>292</v>
      </c>
      <c r="K56" s="2">
        <v>62.700800000000001</v>
      </c>
      <c r="L56" s="2">
        <v>306</v>
      </c>
      <c r="M56" s="2">
        <v>106.8749</v>
      </c>
      <c r="N56" s="2">
        <v>71</v>
      </c>
      <c r="O56" s="2">
        <v>110.13500000000001</v>
      </c>
      <c r="P56" s="2">
        <v>39</v>
      </c>
      <c r="Q56" s="2">
        <v>102.20650000000001</v>
      </c>
      <c r="R56" s="2">
        <v>175</v>
      </c>
      <c r="S56" s="2">
        <v>98.613600000000005</v>
      </c>
      <c r="T56" s="2">
        <v>103</v>
      </c>
      <c r="U56" s="2">
        <v>0.78086699999999998</v>
      </c>
      <c r="V56" s="2">
        <v>55</v>
      </c>
      <c r="W56" s="2">
        <v>2006</v>
      </c>
    </row>
    <row r="57" spans="1:23" ht="12.3" x14ac:dyDescent="0.4">
      <c r="A57" s="2" t="s">
        <v>36</v>
      </c>
      <c r="B57" s="2"/>
      <c r="C57" s="2"/>
      <c r="D57" s="2"/>
      <c r="E57" s="2"/>
      <c r="F57" s="2"/>
      <c r="G57" s="2"/>
      <c r="H57" s="2"/>
      <c r="I57" s="2">
        <v>74.306399999999996</v>
      </c>
      <c r="J57" s="2">
        <v>8</v>
      </c>
      <c r="K57" s="2">
        <v>73.579599999999999</v>
      </c>
      <c r="L57" s="2">
        <v>7</v>
      </c>
      <c r="M57" s="2">
        <v>103.9242</v>
      </c>
      <c r="N57" s="2">
        <v>134</v>
      </c>
      <c r="O57" s="2">
        <v>104.8557</v>
      </c>
      <c r="P57" s="2">
        <v>107</v>
      </c>
      <c r="Q57" s="2">
        <v>97.915000000000006</v>
      </c>
      <c r="R57" s="2">
        <v>83</v>
      </c>
      <c r="S57" s="2">
        <v>94.057299999999998</v>
      </c>
      <c r="T57" s="2">
        <v>35</v>
      </c>
      <c r="U57" s="2">
        <v>0.77727100000000005</v>
      </c>
      <c r="V57" s="2">
        <v>56</v>
      </c>
      <c r="W57" s="2">
        <v>2006</v>
      </c>
    </row>
    <row r="58" spans="1:23" ht="12.3" x14ac:dyDescent="0.4">
      <c r="A58" s="2" t="s">
        <v>97</v>
      </c>
      <c r="B58" s="2">
        <v>11</v>
      </c>
      <c r="C58" s="2"/>
      <c r="D58" s="2"/>
      <c r="E58" s="2"/>
      <c r="F58" s="2"/>
      <c r="G58" s="2"/>
      <c r="H58" s="2"/>
      <c r="I58" s="2">
        <v>67.023200000000003</v>
      </c>
      <c r="J58" s="2">
        <v>166</v>
      </c>
      <c r="K58" s="2">
        <v>67.432000000000002</v>
      </c>
      <c r="L58" s="2">
        <v>136</v>
      </c>
      <c r="M58" s="2">
        <v>109.8188</v>
      </c>
      <c r="N58" s="2">
        <v>33</v>
      </c>
      <c r="O58" s="2">
        <v>110.1537</v>
      </c>
      <c r="P58" s="2">
        <v>38</v>
      </c>
      <c r="Q58" s="2">
        <v>98.840400000000002</v>
      </c>
      <c r="R58" s="2">
        <v>99</v>
      </c>
      <c r="S58" s="2">
        <v>98.811300000000003</v>
      </c>
      <c r="T58" s="2">
        <v>106</v>
      </c>
      <c r="U58" s="2">
        <v>0.77723900000000001</v>
      </c>
      <c r="V58" s="2">
        <v>57</v>
      </c>
      <c r="W58" s="2">
        <v>2006</v>
      </c>
    </row>
    <row r="59" spans="1:23" ht="12.3" x14ac:dyDescent="0.4">
      <c r="A59" s="2" t="s">
        <v>24</v>
      </c>
      <c r="B59" s="2"/>
      <c r="C59" s="2"/>
      <c r="D59" s="2"/>
      <c r="E59" s="2"/>
      <c r="F59" s="2"/>
      <c r="G59" s="2"/>
      <c r="H59" s="2"/>
      <c r="I59" s="2">
        <v>70.670400000000001</v>
      </c>
      <c r="J59" s="2">
        <v>51</v>
      </c>
      <c r="K59" s="2">
        <v>70.175600000000003</v>
      </c>
      <c r="L59" s="2">
        <v>56</v>
      </c>
      <c r="M59" s="2">
        <v>101.9949</v>
      </c>
      <c r="N59" s="2">
        <v>165</v>
      </c>
      <c r="O59" s="2">
        <v>104.4564</v>
      </c>
      <c r="P59" s="2">
        <v>116</v>
      </c>
      <c r="Q59" s="2">
        <v>95.184700000000007</v>
      </c>
      <c r="R59" s="2">
        <v>43</v>
      </c>
      <c r="S59" s="2">
        <v>94.072999999999993</v>
      </c>
      <c r="T59" s="2">
        <v>36</v>
      </c>
      <c r="U59" s="2">
        <v>0.76924000000000003</v>
      </c>
      <c r="V59" s="2">
        <v>58</v>
      </c>
      <c r="W59" s="2">
        <v>2006</v>
      </c>
    </row>
    <row r="60" spans="1:23" ht="12.3" x14ac:dyDescent="0.4">
      <c r="A60" s="2" t="s">
        <v>111</v>
      </c>
      <c r="B60" s="2"/>
      <c r="C60" s="2"/>
      <c r="D60" s="2"/>
      <c r="E60" s="2"/>
      <c r="F60" s="2"/>
      <c r="G60" s="2"/>
      <c r="H60" s="2"/>
      <c r="I60" s="2">
        <v>63.560499999999998</v>
      </c>
      <c r="J60" s="2">
        <v>288</v>
      </c>
      <c r="K60" s="2">
        <v>63.433199999999999</v>
      </c>
      <c r="L60" s="2">
        <v>290</v>
      </c>
      <c r="M60" s="2">
        <v>109.7304</v>
      </c>
      <c r="N60" s="2">
        <v>34</v>
      </c>
      <c r="O60" s="2">
        <v>112.5175</v>
      </c>
      <c r="P60" s="2">
        <v>21</v>
      </c>
      <c r="Q60" s="2">
        <v>103.82089999999999</v>
      </c>
      <c r="R60" s="2">
        <v>218</v>
      </c>
      <c r="S60" s="2">
        <v>101.5009</v>
      </c>
      <c r="T60" s="2">
        <v>153</v>
      </c>
      <c r="U60" s="2">
        <v>0.76583999999999997</v>
      </c>
      <c r="V60" s="2">
        <v>59</v>
      </c>
      <c r="W60" s="2">
        <v>2006</v>
      </c>
    </row>
    <row r="61" spans="1:23" ht="12.3" x14ac:dyDescent="0.4">
      <c r="A61" s="2" t="s">
        <v>122</v>
      </c>
      <c r="B61" s="2">
        <v>11</v>
      </c>
      <c r="C61" s="3" t="s">
        <v>33</v>
      </c>
      <c r="D61" s="2"/>
      <c r="E61" s="2"/>
      <c r="F61" s="2"/>
      <c r="G61" s="2"/>
      <c r="H61" s="2"/>
      <c r="I61" s="2">
        <v>67.977800000000002</v>
      </c>
      <c r="J61" s="2">
        <v>130</v>
      </c>
      <c r="K61" s="2">
        <v>69.346199999999996</v>
      </c>
      <c r="L61" s="2">
        <v>78</v>
      </c>
      <c r="M61" s="2">
        <v>107.6327</v>
      </c>
      <c r="N61" s="2">
        <v>59</v>
      </c>
      <c r="O61" s="2">
        <v>106.28189999999999</v>
      </c>
      <c r="P61" s="2">
        <v>84</v>
      </c>
      <c r="Q61" s="2">
        <v>96.125299999999996</v>
      </c>
      <c r="R61" s="2">
        <v>54</v>
      </c>
      <c r="S61" s="2">
        <v>95.999300000000005</v>
      </c>
      <c r="T61" s="2">
        <v>55</v>
      </c>
      <c r="U61" s="2">
        <v>0.76317599999999997</v>
      </c>
      <c r="V61" s="2">
        <v>60</v>
      </c>
      <c r="W61" s="2">
        <v>2006</v>
      </c>
    </row>
    <row r="62" spans="1:23" ht="12.3" x14ac:dyDescent="0.4">
      <c r="A62" s="2" t="s">
        <v>18</v>
      </c>
      <c r="B62" s="2"/>
      <c r="C62" s="2"/>
      <c r="D62" s="2"/>
      <c r="E62" s="2"/>
      <c r="F62" s="2"/>
      <c r="G62" s="2"/>
      <c r="H62" s="2"/>
      <c r="I62" s="2">
        <v>59.288400000000003</v>
      </c>
      <c r="J62" s="2">
        <v>327</v>
      </c>
      <c r="K62" s="2">
        <v>59.636899999999997</v>
      </c>
      <c r="L62" s="2">
        <v>328</v>
      </c>
      <c r="M62" s="2">
        <v>114.06</v>
      </c>
      <c r="N62" s="2">
        <v>4</v>
      </c>
      <c r="O62" s="2">
        <v>114.09529999999999</v>
      </c>
      <c r="P62" s="2">
        <v>12</v>
      </c>
      <c r="Q62" s="2">
        <v>101.23560000000001</v>
      </c>
      <c r="R62" s="2">
        <v>156</v>
      </c>
      <c r="S62" s="2">
        <v>103.1186</v>
      </c>
      <c r="T62" s="2">
        <v>188</v>
      </c>
      <c r="U62" s="2">
        <v>0.76192700000000002</v>
      </c>
      <c r="V62" s="2">
        <v>61</v>
      </c>
      <c r="W62" s="2">
        <v>2006</v>
      </c>
    </row>
    <row r="63" spans="1:23" ht="12.3" x14ac:dyDescent="0.4">
      <c r="A63" s="2" t="s">
        <v>50</v>
      </c>
      <c r="B63" s="2">
        <v>14</v>
      </c>
      <c r="C63" s="2"/>
      <c r="D63" s="2"/>
      <c r="E63" s="2"/>
      <c r="F63" s="2"/>
      <c r="G63" s="2"/>
      <c r="H63" s="2"/>
      <c r="I63" s="2">
        <v>65.255099999999999</v>
      </c>
      <c r="J63" s="2">
        <v>237</v>
      </c>
      <c r="K63" s="2">
        <v>67.002799999999993</v>
      </c>
      <c r="L63" s="2">
        <v>158</v>
      </c>
      <c r="M63" s="2">
        <v>108.8965</v>
      </c>
      <c r="N63" s="2">
        <v>42</v>
      </c>
      <c r="O63" s="2">
        <v>108.18980000000001</v>
      </c>
      <c r="P63" s="2">
        <v>60</v>
      </c>
      <c r="Q63" s="2">
        <v>96.049599999999998</v>
      </c>
      <c r="R63" s="2">
        <v>51</v>
      </c>
      <c r="S63" s="2">
        <v>97.923100000000005</v>
      </c>
      <c r="T63" s="2">
        <v>91</v>
      </c>
      <c r="U63" s="2">
        <v>0.75889099999999998</v>
      </c>
      <c r="V63" s="2">
        <v>62</v>
      </c>
      <c r="W63" s="2">
        <v>2006</v>
      </c>
    </row>
    <row r="64" spans="1:23" ht="12.3" x14ac:dyDescent="0.4">
      <c r="A64" s="2" t="s">
        <v>123</v>
      </c>
      <c r="B64" s="2"/>
      <c r="C64" s="2"/>
      <c r="D64" s="2"/>
      <c r="E64" s="2"/>
      <c r="F64" s="2"/>
      <c r="G64" s="2"/>
      <c r="H64" s="2"/>
      <c r="I64" s="2">
        <v>63.92</v>
      </c>
      <c r="J64" s="2">
        <v>279</v>
      </c>
      <c r="K64" s="2">
        <v>65.155000000000001</v>
      </c>
      <c r="L64" s="2">
        <v>244</v>
      </c>
      <c r="M64" s="2">
        <v>104.6237</v>
      </c>
      <c r="N64" s="2">
        <v>116</v>
      </c>
      <c r="O64" s="2">
        <v>109.2183</v>
      </c>
      <c r="P64" s="2">
        <v>45</v>
      </c>
      <c r="Q64" s="2">
        <v>100.1324</v>
      </c>
      <c r="R64" s="2">
        <v>129</v>
      </c>
      <c r="S64" s="2">
        <v>98.877399999999994</v>
      </c>
      <c r="T64" s="2">
        <v>109</v>
      </c>
      <c r="U64" s="2">
        <v>0.75839199999999996</v>
      </c>
      <c r="V64" s="2">
        <v>63</v>
      </c>
      <c r="W64" s="2">
        <v>2006</v>
      </c>
    </row>
    <row r="65" spans="1:23" ht="12.3" x14ac:dyDescent="0.4">
      <c r="A65" s="2" t="s">
        <v>53</v>
      </c>
      <c r="B65" s="2">
        <v>12</v>
      </c>
      <c r="C65" s="2"/>
      <c r="D65" s="2"/>
      <c r="E65" s="2"/>
      <c r="F65" s="2"/>
      <c r="G65" s="2"/>
      <c r="H65" s="2"/>
      <c r="I65" s="2">
        <v>66.752899999999997</v>
      </c>
      <c r="J65" s="2">
        <v>179</v>
      </c>
      <c r="K65" s="2">
        <v>67.412199999999999</v>
      </c>
      <c r="L65" s="2">
        <v>137</v>
      </c>
      <c r="M65" s="2">
        <v>106.3043</v>
      </c>
      <c r="N65" s="2">
        <v>83</v>
      </c>
      <c r="O65" s="2">
        <v>106.3486</v>
      </c>
      <c r="P65" s="2">
        <v>82</v>
      </c>
      <c r="Q65" s="2">
        <v>96.244600000000005</v>
      </c>
      <c r="R65" s="2">
        <v>57</v>
      </c>
      <c r="S65" s="2">
        <v>96.482799999999997</v>
      </c>
      <c r="T65" s="2">
        <v>63</v>
      </c>
      <c r="U65" s="2">
        <v>0.75391600000000003</v>
      </c>
      <c r="V65" s="2">
        <v>64</v>
      </c>
      <c r="W65" s="2">
        <v>2006</v>
      </c>
    </row>
    <row r="66" spans="1:23" ht="12.3" x14ac:dyDescent="0.4">
      <c r="A66" s="2" t="s">
        <v>41</v>
      </c>
      <c r="B66" s="2"/>
      <c r="C66" s="2"/>
      <c r="D66" s="2"/>
      <c r="E66" s="2"/>
      <c r="F66" s="2"/>
      <c r="G66" s="2"/>
      <c r="H66" s="2"/>
      <c r="I66" s="2">
        <v>64.563299999999998</v>
      </c>
      <c r="J66" s="2">
        <v>259</v>
      </c>
      <c r="K66" s="2">
        <v>65.003100000000003</v>
      </c>
      <c r="L66" s="2">
        <v>247</v>
      </c>
      <c r="M66" s="2">
        <v>106.3219</v>
      </c>
      <c r="N66" s="2">
        <v>82</v>
      </c>
      <c r="O66" s="2">
        <v>110.7852</v>
      </c>
      <c r="P66" s="2">
        <v>28</v>
      </c>
      <c r="Q66" s="2">
        <v>100.96939999999999</v>
      </c>
      <c r="R66" s="2">
        <v>148</v>
      </c>
      <c r="S66" s="2">
        <v>100.59650000000001</v>
      </c>
      <c r="T66" s="2">
        <v>140</v>
      </c>
      <c r="U66" s="2">
        <v>0.75202899999999995</v>
      </c>
      <c r="V66" s="2">
        <v>65</v>
      </c>
      <c r="W66" s="2">
        <v>2006</v>
      </c>
    </row>
    <row r="67" spans="1:23" ht="12.3" x14ac:dyDescent="0.4">
      <c r="A67" s="2" t="s">
        <v>88</v>
      </c>
      <c r="B67" s="2"/>
      <c r="C67" s="2"/>
      <c r="D67" s="2"/>
      <c r="E67" s="2"/>
      <c r="F67" s="2"/>
      <c r="G67" s="2"/>
      <c r="H67" s="2"/>
      <c r="I67" s="2">
        <v>59.625399999999999</v>
      </c>
      <c r="J67" s="2">
        <v>326</v>
      </c>
      <c r="K67" s="2">
        <v>61.269300000000001</v>
      </c>
      <c r="L67" s="2">
        <v>321</v>
      </c>
      <c r="M67" s="2">
        <v>105.1623</v>
      </c>
      <c r="N67" s="2">
        <v>104</v>
      </c>
      <c r="O67" s="2">
        <v>106.3506</v>
      </c>
      <c r="P67" s="2">
        <v>81</v>
      </c>
      <c r="Q67" s="2">
        <v>98.474100000000007</v>
      </c>
      <c r="R67" s="2">
        <v>91</v>
      </c>
      <c r="S67" s="2">
        <v>96.686800000000005</v>
      </c>
      <c r="T67" s="2">
        <v>74</v>
      </c>
      <c r="U67" s="2">
        <v>0.74942299999999995</v>
      </c>
      <c r="V67" s="2">
        <v>66</v>
      </c>
      <c r="W67" s="2">
        <v>2006</v>
      </c>
    </row>
    <row r="68" spans="1:23" ht="12.3" x14ac:dyDescent="0.4">
      <c r="A68" s="2" t="s">
        <v>241</v>
      </c>
      <c r="B68" s="2">
        <v>13</v>
      </c>
      <c r="C68" s="2"/>
      <c r="D68" s="2"/>
      <c r="E68" s="2"/>
      <c r="F68" s="2"/>
      <c r="G68" s="2"/>
      <c r="H68" s="2"/>
      <c r="I68" s="2">
        <v>71.936499999999995</v>
      </c>
      <c r="J68" s="2">
        <v>27</v>
      </c>
      <c r="K68" s="2">
        <v>71.164100000000005</v>
      </c>
      <c r="L68" s="2">
        <v>34</v>
      </c>
      <c r="M68" s="2">
        <v>111.55540000000001</v>
      </c>
      <c r="N68" s="2">
        <v>16</v>
      </c>
      <c r="O68" s="2">
        <v>108.66719999999999</v>
      </c>
      <c r="P68" s="2">
        <v>56</v>
      </c>
      <c r="Q68" s="2">
        <v>99.9358</v>
      </c>
      <c r="R68" s="2">
        <v>124</v>
      </c>
      <c r="S68" s="2">
        <v>98.809899999999999</v>
      </c>
      <c r="T68" s="2">
        <v>105</v>
      </c>
      <c r="U68" s="2">
        <v>0.74905100000000002</v>
      </c>
      <c r="V68" s="2">
        <v>67</v>
      </c>
      <c r="W68" s="2">
        <v>2006</v>
      </c>
    </row>
    <row r="69" spans="1:23" ht="12.3" x14ac:dyDescent="0.4">
      <c r="A69" s="2" t="s">
        <v>119</v>
      </c>
      <c r="B69" s="2">
        <v>10</v>
      </c>
      <c r="C69" s="2"/>
      <c r="D69" s="2"/>
      <c r="E69" s="2"/>
      <c r="F69" s="2"/>
      <c r="G69" s="2"/>
      <c r="H69" s="2"/>
      <c r="I69" s="2">
        <v>66.443100000000001</v>
      </c>
      <c r="J69" s="2">
        <v>192</v>
      </c>
      <c r="K69" s="2">
        <v>66.983900000000006</v>
      </c>
      <c r="L69" s="2">
        <v>159</v>
      </c>
      <c r="M69" s="2">
        <v>101.07850000000001</v>
      </c>
      <c r="N69" s="2">
        <v>176</v>
      </c>
      <c r="O69" s="2">
        <v>105.55670000000001</v>
      </c>
      <c r="P69" s="2">
        <v>95</v>
      </c>
      <c r="Q69" s="2">
        <v>99.154499999999999</v>
      </c>
      <c r="R69" s="2">
        <v>108</v>
      </c>
      <c r="S69" s="2">
        <v>95.984899999999996</v>
      </c>
      <c r="T69" s="2">
        <v>54</v>
      </c>
      <c r="U69" s="2">
        <v>0.748977</v>
      </c>
      <c r="V69" s="2">
        <v>68</v>
      </c>
      <c r="W69" s="2">
        <v>2006</v>
      </c>
    </row>
    <row r="70" spans="1:23" ht="12.3" x14ac:dyDescent="0.4">
      <c r="A70" s="2" t="s">
        <v>49</v>
      </c>
      <c r="B70" s="2">
        <v>10</v>
      </c>
      <c r="C70" s="3" t="s">
        <v>33</v>
      </c>
      <c r="D70" s="2"/>
      <c r="E70" s="2"/>
      <c r="F70" s="2"/>
      <c r="G70" s="2"/>
      <c r="H70" s="2"/>
      <c r="I70" s="2">
        <v>64.725700000000003</v>
      </c>
      <c r="J70" s="2">
        <v>256</v>
      </c>
      <c r="K70" s="2">
        <v>64.844200000000001</v>
      </c>
      <c r="L70" s="2">
        <v>257</v>
      </c>
      <c r="M70" s="2">
        <v>106.9003</v>
      </c>
      <c r="N70" s="2">
        <v>69</v>
      </c>
      <c r="O70" s="2">
        <v>109.1016</v>
      </c>
      <c r="P70" s="2">
        <v>49</v>
      </c>
      <c r="Q70" s="2">
        <v>103.1665</v>
      </c>
      <c r="R70" s="2">
        <v>198</v>
      </c>
      <c r="S70" s="2">
        <v>99.343500000000006</v>
      </c>
      <c r="T70" s="2">
        <v>117</v>
      </c>
      <c r="U70" s="2">
        <v>0.74602000000000002</v>
      </c>
      <c r="V70" s="2">
        <v>69</v>
      </c>
      <c r="W70" s="2">
        <v>2006</v>
      </c>
    </row>
    <row r="71" spans="1:23" ht="12.3" x14ac:dyDescent="0.4">
      <c r="A71" s="2" t="s">
        <v>98</v>
      </c>
      <c r="B71" s="2">
        <v>12</v>
      </c>
      <c r="C71" s="2"/>
      <c r="D71" s="2"/>
      <c r="E71" s="2"/>
      <c r="F71" s="2"/>
      <c r="G71" s="2"/>
      <c r="H71" s="2"/>
      <c r="I71" s="2">
        <v>63.2575</v>
      </c>
      <c r="J71" s="2">
        <v>294</v>
      </c>
      <c r="K71" s="2">
        <v>62.517600000000002</v>
      </c>
      <c r="L71" s="2">
        <v>309</v>
      </c>
      <c r="M71" s="2">
        <v>111.23180000000001</v>
      </c>
      <c r="N71" s="2">
        <v>19</v>
      </c>
      <c r="O71" s="2">
        <v>112.7478</v>
      </c>
      <c r="P71" s="2">
        <v>18</v>
      </c>
      <c r="Q71" s="2">
        <v>99.929500000000004</v>
      </c>
      <c r="R71" s="2">
        <v>123</v>
      </c>
      <c r="S71" s="2">
        <v>102.6657</v>
      </c>
      <c r="T71" s="2">
        <v>177</v>
      </c>
      <c r="U71" s="2">
        <v>0.74597500000000005</v>
      </c>
      <c r="V71" s="2">
        <v>70</v>
      </c>
      <c r="W71" s="2">
        <v>2006</v>
      </c>
    </row>
    <row r="72" spans="1:23" ht="12.3" x14ac:dyDescent="0.4">
      <c r="A72" s="2" t="s">
        <v>287</v>
      </c>
      <c r="B72" s="2">
        <v>14</v>
      </c>
      <c r="C72" s="2"/>
      <c r="D72" s="2"/>
      <c r="E72" s="2"/>
      <c r="F72" s="2"/>
      <c r="G72" s="2"/>
      <c r="H72" s="2"/>
      <c r="I72" s="2">
        <v>67.6935</v>
      </c>
      <c r="J72" s="2">
        <v>141</v>
      </c>
      <c r="K72" s="2">
        <v>67.328699999999998</v>
      </c>
      <c r="L72" s="2">
        <v>143</v>
      </c>
      <c r="M72" s="2">
        <v>109.2165</v>
      </c>
      <c r="N72" s="2">
        <v>38</v>
      </c>
      <c r="O72" s="2">
        <v>107.98690000000001</v>
      </c>
      <c r="P72" s="2">
        <v>62</v>
      </c>
      <c r="Q72" s="2">
        <v>96.8977</v>
      </c>
      <c r="R72" s="2">
        <v>65</v>
      </c>
      <c r="S72" s="2">
        <v>98.346199999999996</v>
      </c>
      <c r="T72" s="2">
        <v>98</v>
      </c>
      <c r="U72" s="2">
        <v>0.74562899999999999</v>
      </c>
      <c r="V72" s="2">
        <v>71</v>
      </c>
      <c r="W72" s="2">
        <v>2006</v>
      </c>
    </row>
    <row r="73" spans="1:23" ht="12.3" x14ac:dyDescent="0.4">
      <c r="A73" s="2" t="s">
        <v>61</v>
      </c>
      <c r="B73" s="2"/>
      <c r="C73" s="2"/>
      <c r="D73" s="2"/>
      <c r="E73" s="2"/>
      <c r="F73" s="2"/>
      <c r="G73" s="2"/>
      <c r="H73" s="2"/>
      <c r="I73" s="2">
        <v>68.304199999999994</v>
      </c>
      <c r="J73" s="2">
        <v>121</v>
      </c>
      <c r="K73" s="2">
        <v>68.100099999999998</v>
      </c>
      <c r="L73" s="2">
        <v>112</v>
      </c>
      <c r="M73" s="2">
        <v>105.7099</v>
      </c>
      <c r="N73" s="2">
        <v>91</v>
      </c>
      <c r="O73" s="2">
        <v>108.61199999999999</v>
      </c>
      <c r="P73" s="2">
        <v>57</v>
      </c>
      <c r="Q73" s="2">
        <v>103.2556</v>
      </c>
      <c r="R73" s="2">
        <v>202</v>
      </c>
      <c r="S73" s="2">
        <v>99.211399999999998</v>
      </c>
      <c r="T73" s="2">
        <v>114</v>
      </c>
      <c r="U73" s="2">
        <v>0.73906000000000005</v>
      </c>
      <c r="V73" s="2">
        <v>72</v>
      </c>
      <c r="W73" s="2">
        <v>2006</v>
      </c>
    </row>
    <row r="74" spans="1:23" ht="12.3" x14ac:dyDescent="0.4">
      <c r="A74" s="2" t="s">
        <v>129</v>
      </c>
      <c r="B74" s="2"/>
      <c r="C74" s="2"/>
      <c r="D74" s="2"/>
      <c r="E74" s="2"/>
      <c r="F74" s="2"/>
      <c r="G74" s="2"/>
      <c r="H74" s="2"/>
      <c r="I74" s="2">
        <v>71.617999999999995</v>
      </c>
      <c r="J74" s="2">
        <v>32</v>
      </c>
      <c r="K74" s="2">
        <v>71.742000000000004</v>
      </c>
      <c r="L74" s="2">
        <v>27</v>
      </c>
      <c r="M74" s="2">
        <v>107.4049</v>
      </c>
      <c r="N74" s="2">
        <v>61</v>
      </c>
      <c r="O74" s="2">
        <v>107.2086</v>
      </c>
      <c r="P74" s="2">
        <v>71</v>
      </c>
      <c r="Q74" s="2">
        <v>97.591899999999995</v>
      </c>
      <c r="R74" s="2">
        <v>75</v>
      </c>
      <c r="S74" s="2">
        <v>97.962199999999996</v>
      </c>
      <c r="T74" s="2">
        <v>93</v>
      </c>
      <c r="U74" s="2">
        <v>0.738317</v>
      </c>
      <c r="V74" s="2">
        <v>73</v>
      </c>
      <c r="W74" s="2">
        <v>2006</v>
      </c>
    </row>
    <row r="75" spans="1:23" ht="12.3" x14ac:dyDescent="0.4">
      <c r="A75" s="2" t="s">
        <v>190</v>
      </c>
      <c r="B75" s="2"/>
      <c r="C75" s="2"/>
      <c r="D75" s="2"/>
      <c r="E75" s="2"/>
      <c r="F75" s="2"/>
      <c r="G75" s="2"/>
      <c r="H75" s="2"/>
      <c r="I75" s="2">
        <v>66.597099999999998</v>
      </c>
      <c r="J75" s="2">
        <v>185</v>
      </c>
      <c r="K75" s="2">
        <v>67.134</v>
      </c>
      <c r="L75" s="2">
        <v>151</v>
      </c>
      <c r="M75" s="2">
        <v>105.8485</v>
      </c>
      <c r="N75" s="2">
        <v>89</v>
      </c>
      <c r="O75" s="2">
        <v>105.7539</v>
      </c>
      <c r="P75" s="2">
        <v>89</v>
      </c>
      <c r="Q75" s="2">
        <v>96.177400000000006</v>
      </c>
      <c r="R75" s="2">
        <v>55</v>
      </c>
      <c r="S75" s="2">
        <v>96.650499999999994</v>
      </c>
      <c r="T75" s="2">
        <v>72</v>
      </c>
      <c r="U75" s="2">
        <v>0.73791399999999996</v>
      </c>
      <c r="V75" s="2">
        <v>74</v>
      </c>
      <c r="W75" s="2">
        <v>2006</v>
      </c>
    </row>
    <row r="76" spans="1:23" ht="12.3" x14ac:dyDescent="0.4">
      <c r="A76" s="2" t="s">
        <v>75</v>
      </c>
      <c r="B76" s="2"/>
      <c r="C76" s="2"/>
      <c r="D76" s="2"/>
      <c r="E76" s="2"/>
      <c r="F76" s="2"/>
      <c r="G76" s="2"/>
      <c r="H76" s="2"/>
      <c r="I76" s="2">
        <v>65.719499999999996</v>
      </c>
      <c r="J76" s="2">
        <v>221</v>
      </c>
      <c r="K76" s="2">
        <v>65.434700000000007</v>
      </c>
      <c r="L76" s="2">
        <v>234</v>
      </c>
      <c r="M76" s="2">
        <v>98.928700000000006</v>
      </c>
      <c r="N76" s="2">
        <v>214</v>
      </c>
      <c r="O76" s="2">
        <v>103.7167</v>
      </c>
      <c r="P76" s="2">
        <v>130</v>
      </c>
      <c r="Q76" s="2">
        <v>97.161799999999999</v>
      </c>
      <c r="R76" s="2">
        <v>68</v>
      </c>
      <c r="S76" s="2">
        <v>94.803899999999999</v>
      </c>
      <c r="T76" s="2">
        <v>44</v>
      </c>
      <c r="U76" s="2">
        <v>0.73755700000000002</v>
      </c>
      <c r="V76" s="2">
        <v>75</v>
      </c>
      <c r="W76" s="2">
        <v>2006</v>
      </c>
    </row>
    <row r="77" spans="1:23" ht="12.3" x14ac:dyDescent="0.4">
      <c r="A77" s="2" t="s">
        <v>130</v>
      </c>
      <c r="B77" s="2"/>
      <c r="C77" s="2"/>
      <c r="D77" s="2"/>
      <c r="E77" s="2"/>
      <c r="F77" s="2"/>
      <c r="G77" s="2"/>
      <c r="H77" s="2"/>
      <c r="I77" s="2">
        <v>69.144199999999998</v>
      </c>
      <c r="J77" s="2">
        <v>91</v>
      </c>
      <c r="K77" s="2">
        <v>68.739999999999995</v>
      </c>
      <c r="L77" s="2">
        <v>96</v>
      </c>
      <c r="M77" s="2">
        <v>100.90049999999999</v>
      </c>
      <c r="N77" s="2">
        <v>180</v>
      </c>
      <c r="O77" s="2">
        <v>103.0224</v>
      </c>
      <c r="P77" s="2">
        <v>140</v>
      </c>
      <c r="Q77" s="2">
        <v>92.925200000000004</v>
      </c>
      <c r="R77" s="2">
        <v>22</v>
      </c>
      <c r="S77" s="2">
        <v>94.266499999999994</v>
      </c>
      <c r="T77" s="2">
        <v>38</v>
      </c>
      <c r="U77" s="2">
        <v>0.73525200000000002</v>
      </c>
      <c r="V77" s="2">
        <v>76</v>
      </c>
      <c r="W77" s="2">
        <v>2006</v>
      </c>
    </row>
    <row r="78" spans="1:23" ht="12.3" x14ac:dyDescent="0.4">
      <c r="A78" s="2" t="s">
        <v>126</v>
      </c>
      <c r="B78" s="2">
        <v>13</v>
      </c>
      <c r="C78" s="2"/>
      <c r="D78" s="2"/>
      <c r="E78" s="2"/>
      <c r="F78" s="2"/>
      <c r="G78" s="2"/>
      <c r="H78" s="2"/>
      <c r="I78" s="2">
        <v>65.556100000000001</v>
      </c>
      <c r="J78" s="2">
        <v>229</v>
      </c>
      <c r="K78" s="2">
        <v>64.415400000000005</v>
      </c>
      <c r="L78" s="2">
        <v>265</v>
      </c>
      <c r="M78" s="2">
        <v>111.2239</v>
      </c>
      <c r="N78" s="2">
        <v>20</v>
      </c>
      <c r="O78" s="2">
        <v>107.664</v>
      </c>
      <c r="P78" s="2">
        <v>68</v>
      </c>
      <c r="Q78" s="2">
        <v>95.744500000000002</v>
      </c>
      <c r="R78" s="2">
        <v>49</v>
      </c>
      <c r="S78" s="2">
        <v>98.812600000000003</v>
      </c>
      <c r="T78" s="2">
        <v>107</v>
      </c>
      <c r="U78" s="2">
        <v>0.72841199999999995</v>
      </c>
      <c r="V78" s="2">
        <v>77</v>
      </c>
      <c r="W78" s="2">
        <v>2006</v>
      </c>
    </row>
    <row r="79" spans="1:23" ht="12.3" x14ac:dyDescent="0.4">
      <c r="A79" s="2" t="s">
        <v>87</v>
      </c>
      <c r="B79" s="2"/>
      <c r="C79" s="2"/>
      <c r="D79" s="2"/>
      <c r="E79" s="2"/>
      <c r="F79" s="2"/>
      <c r="G79" s="2"/>
      <c r="H79" s="2"/>
      <c r="I79" s="2">
        <v>66.673599999999993</v>
      </c>
      <c r="J79" s="2">
        <v>181</v>
      </c>
      <c r="K79" s="2">
        <v>65.612399999999994</v>
      </c>
      <c r="L79" s="2">
        <v>229</v>
      </c>
      <c r="M79" s="2">
        <v>102.4027</v>
      </c>
      <c r="N79" s="2">
        <v>155</v>
      </c>
      <c r="O79" s="2">
        <v>105.1157</v>
      </c>
      <c r="P79" s="2">
        <v>102</v>
      </c>
      <c r="Q79" s="2">
        <v>100.61279999999999</v>
      </c>
      <c r="R79" s="2">
        <v>139</v>
      </c>
      <c r="S79" s="2">
        <v>96.501599999999996</v>
      </c>
      <c r="T79" s="2">
        <v>65</v>
      </c>
      <c r="U79" s="2">
        <v>0.72775599999999996</v>
      </c>
      <c r="V79" s="2">
        <v>78</v>
      </c>
      <c r="W79" s="2">
        <v>2006</v>
      </c>
    </row>
    <row r="80" spans="1:23" ht="12.3" x14ac:dyDescent="0.4">
      <c r="A80" s="2" t="s">
        <v>159</v>
      </c>
      <c r="B80" s="2"/>
      <c r="C80" s="2"/>
      <c r="D80" s="2"/>
      <c r="E80" s="2"/>
      <c r="F80" s="2"/>
      <c r="G80" s="2"/>
      <c r="H80" s="2"/>
      <c r="I80" s="2">
        <v>65.607799999999997</v>
      </c>
      <c r="J80" s="2">
        <v>228</v>
      </c>
      <c r="K80" s="2">
        <v>64.896500000000003</v>
      </c>
      <c r="L80" s="2">
        <v>255</v>
      </c>
      <c r="M80" s="2">
        <v>103.71559999999999</v>
      </c>
      <c r="N80" s="2">
        <v>135</v>
      </c>
      <c r="O80" s="2">
        <v>105.9438</v>
      </c>
      <c r="P80" s="2">
        <v>86</v>
      </c>
      <c r="Q80" s="2">
        <v>98.466499999999996</v>
      </c>
      <c r="R80" s="2">
        <v>90</v>
      </c>
      <c r="S80" s="2">
        <v>97.304500000000004</v>
      </c>
      <c r="T80" s="2">
        <v>82</v>
      </c>
      <c r="U80" s="2">
        <v>0.72675699999999999</v>
      </c>
      <c r="V80" s="2">
        <v>79</v>
      </c>
      <c r="W80" s="2">
        <v>2006</v>
      </c>
    </row>
    <row r="81" spans="1:23" ht="12.3" x14ac:dyDescent="0.4">
      <c r="A81" s="2" t="s">
        <v>146</v>
      </c>
      <c r="B81" s="2"/>
      <c r="C81" s="2"/>
      <c r="D81" s="2"/>
      <c r="E81" s="2"/>
      <c r="F81" s="2"/>
      <c r="G81" s="2"/>
      <c r="H81" s="2"/>
      <c r="I81" s="2">
        <v>71.566400000000002</v>
      </c>
      <c r="J81" s="2">
        <v>33</v>
      </c>
      <c r="K81" s="2">
        <v>71.773399999999995</v>
      </c>
      <c r="L81" s="2">
        <v>24</v>
      </c>
      <c r="M81" s="2">
        <v>105.75190000000001</v>
      </c>
      <c r="N81" s="2">
        <v>90</v>
      </c>
      <c r="O81" s="2">
        <v>109.5686</v>
      </c>
      <c r="P81" s="2">
        <v>42</v>
      </c>
      <c r="Q81" s="2">
        <v>102.6861</v>
      </c>
      <c r="R81" s="2">
        <v>187</v>
      </c>
      <c r="S81" s="2">
        <v>100.6596</v>
      </c>
      <c r="T81" s="2">
        <v>142</v>
      </c>
      <c r="U81" s="2">
        <v>0.72616999999999998</v>
      </c>
      <c r="V81" s="2">
        <v>80</v>
      </c>
      <c r="W81" s="2">
        <v>2006</v>
      </c>
    </row>
    <row r="82" spans="1:23" ht="12.3" x14ac:dyDescent="0.4">
      <c r="A82" s="2" t="s">
        <v>219</v>
      </c>
      <c r="B82" s="2"/>
      <c r="C82" s="2"/>
      <c r="D82" s="2"/>
      <c r="E82" s="2"/>
      <c r="F82" s="2"/>
      <c r="G82" s="2"/>
      <c r="H82" s="2"/>
      <c r="I82" s="2">
        <v>63.462699999999998</v>
      </c>
      <c r="J82" s="2">
        <v>291</v>
      </c>
      <c r="K82" s="2">
        <v>63.0901</v>
      </c>
      <c r="L82" s="2">
        <v>299</v>
      </c>
      <c r="M82" s="2">
        <v>100.26309999999999</v>
      </c>
      <c r="N82" s="2">
        <v>189</v>
      </c>
      <c r="O82" s="2">
        <v>100.62269999999999</v>
      </c>
      <c r="P82" s="2">
        <v>182</v>
      </c>
      <c r="Q82" s="2">
        <v>90.905500000000004</v>
      </c>
      <c r="R82" s="2">
        <v>12</v>
      </c>
      <c r="S82" s="2">
        <v>92.460599999999999</v>
      </c>
      <c r="T82" s="2">
        <v>23</v>
      </c>
      <c r="U82" s="2">
        <v>0.72568600000000005</v>
      </c>
      <c r="V82" s="2">
        <v>81</v>
      </c>
      <c r="W82" s="2">
        <v>2006</v>
      </c>
    </row>
    <row r="83" spans="1:23" ht="12.3" x14ac:dyDescent="0.4">
      <c r="A83" s="2" t="s">
        <v>120</v>
      </c>
      <c r="B83" s="2"/>
      <c r="C83" s="2"/>
      <c r="D83" s="2"/>
      <c r="E83" s="2"/>
      <c r="F83" s="2"/>
      <c r="G83" s="2"/>
      <c r="H83" s="2"/>
      <c r="I83" s="2">
        <v>70.009699999999995</v>
      </c>
      <c r="J83" s="2">
        <v>61</v>
      </c>
      <c r="K83" s="2">
        <v>70.447900000000004</v>
      </c>
      <c r="L83" s="2">
        <v>47</v>
      </c>
      <c r="M83" s="2">
        <v>106.9152</v>
      </c>
      <c r="N83" s="2">
        <v>68</v>
      </c>
      <c r="O83" s="2">
        <v>110.6568</v>
      </c>
      <c r="P83" s="2">
        <v>31</v>
      </c>
      <c r="Q83" s="2">
        <v>106.8171</v>
      </c>
      <c r="R83" s="2">
        <v>275</v>
      </c>
      <c r="S83" s="2">
        <v>102.0822</v>
      </c>
      <c r="T83" s="2">
        <v>165</v>
      </c>
      <c r="U83" s="2">
        <v>0.71657400000000004</v>
      </c>
      <c r="V83" s="2">
        <v>82</v>
      </c>
      <c r="W83" s="2">
        <v>2006</v>
      </c>
    </row>
    <row r="84" spans="1:23" ht="12.3" x14ac:dyDescent="0.4">
      <c r="A84" s="2" t="s">
        <v>207</v>
      </c>
      <c r="B84" s="2"/>
      <c r="C84" s="2"/>
      <c r="D84" s="2"/>
      <c r="E84" s="2"/>
      <c r="F84" s="2"/>
      <c r="G84" s="2"/>
      <c r="H84" s="2"/>
      <c r="I84" s="2">
        <v>62.718699999999998</v>
      </c>
      <c r="J84" s="2">
        <v>304</v>
      </c>
      <c r="K84" s="2">
        <v>62.873800000000003</v>
      </c>
      <c r="L84" s="2">
        <v>302</v>
      </c>
      <c r="M84" s="2">
        <v>102.89230000000001</v>
      </c>
      <c r="N84" s="2">
        <v>147</v>
      </c>
      <c r="O84" s="2">
        <v>109.0102</v>
      </c>
      <c r="P84" s="2">
        <v>50</v>
      </c>
      <c r="Q84" s="2">
        <v>106.4755</v>
      </c>
      <c r="R84" s="2">
        <v>267</v>
      </c>
      <c r="S84" s="2">
        <v>100.61360000000001</v>
      </c>
      <c r="T84" s="2">
        <v>141</v>
      </c>
      <c r="U84" s="2">
        <v>0.71540300000000001</v>
      </c>
      <c r="V84" s="2">
        <v>83</v>
      </c>
      <c r="W84" s="2">
        <v>2006</v>
      </c>
    </row>
    <row r="85" spans="1:23" ht="12.3" x14ac:dyDescent="0.4">
      <c r="A85" s="2" t="s">
        <v>94</v>
      </c>
      <c r="B85" s="2"/>
      <c r="C85" s="2"/>
      <c r="D85" s="2"/>
      <c r="E85" s="2"/>
      <c r="F85" s="2"/>
      <c r="G85" s="2"/>
      <c r="H85" s="2"/>
      <c r="I85" s="2">
        <v>67.179599999999994</v>
      </c>
      <c r="J85" s="2">
        <v>156</v>
      </c>
      <c r="K85" s="2">
        <v>66.7958</v>
      </c>
      <c r="L85" s="2">
        <v>169</v>
      </c>
      <c r="M85" s="2">
        <v>97.499399999999994</v>
      </c>
      <c r="N85" s="2">
        <v>239</v>
      </c>
      <c r="O85" s="2">
        <v>99.193700000000007</v>
      </c>
      <c r="P85" s="2">
        <v>211</v>
      </c>
      <c r="Q85" s="2">
        <v>93.833500000000001</v>
      </c>
      <c r="R85" s="2">
        <v>30</v>
      </c>
      <c r="S85" s="2">
        <v>91.672300000000007</v>
      </c>
      <c r="T85" s="2">
        <v>15</v>
      </c>
      <c r="U85" s="2">
        <v>0.71235099999999996</v>
      </c>
      <c r="V85" s="2">
        <v>84</v>
      </c>
      <c r="W85" s="2">
        <v>2006</v>
      </c>
    </row>
    <row r="86" spans="1:23" ht="12.3" x14ac:dyDescent="0.4">
      <c r="A86" s="2" t="s">
        <v>148</v>
      </c>
      <c r="B86" s="2"/>
      <c r="C86" s="2"/>
      <c r="D86" s="2"/>
      <c r="E86" s="2"/>
      <c r="F86" s="2"/>
      <c r="G86" s="2"/>
      <c r="H86" s="2"/>
      <c r="I86" s="2">
        <v>65.910499999999999</v>
      </c>
      <c r="J86" s="2">
        <v>215</v>
      </c>
      <c r="K86" s="2">
        <v>64.857500000000002</v>
      </c>
      <c r="L86" s="2">
        <v>256</v>
      </c>
      <c r="M86" s="2">
        <v>102.78570000000001</v>
      </c>
      <c r="N86" s="2">
        <v>149</v>
      </c>
      <c r="O86" s="2">
        <v>103.989</v>
      </c>
      <c r="P86" s="2">
        <v>124</v>
      </c>
      <c r="Q86" s="2">
        <v>96.850300000000004</v>
      </c>
      <c r="R86" s="2">
        <v>63</v>
      </c>
      <c r="S86" s="2">
        <v>96.179900000000004</v>
      </c>
      <c r="T86" s="2">
        <v>58</v>
      </c>
      <c r="U86" s="2">
        <v>0.71048599999999995</v>
      </c>
      <c r="V86" s="2">
        <v>85</v>
      </c>
      <c r="W86" s="2">
        <v>2006</v>
      </c>
    </row>
    <row r="87" spans="1:23" ht="12.3" x14ac:dyDescent="0.4">
      <c r="A87" s="2" t="s">
        <v>256</v>
      </c>
      <c r="B87" s="2"/>
      <c r="C87" s="2"/>
      <c r="D87" s="2"/>
      <c r="E87" s="2"/>
      <c r="F87" s="2"/>
      <c r="G87" s="2"/>
      <c r="H87" s="2"/>
      <c r="I87" s="2">
        <v>65.046800000000005</v>
      </c>
      <c r="J87" s="2">
        <v>246</v>
      </c>
      <c r="K87" s="2">
        <v>65.427199999999999</v>
      </c>
      <c r="L87" s="2">
        <v>235</v>
      </c>
      <c r="M87" s="2">
        <v>109.0697</v>
      </c>
      <c r="N87" s="2">
        <v>39</v>
      </c>
      <c r="O87" s="2">
        <v>109.28700000000001</v>
      </c>
      <c r="P87" s="2">
        <v>44</v>
      </c>
      <c r="Q87" s="2">
        <v>100.5963</v>
      </c>
      <c r="R87" s="2">
        <v>138</v>
      </c>
      <c r="S87" s="2">
        <v>101.1951</v>
      </c>
      <c r="T87" s="2">
        <v>150</v>
      </c>
      <c r="U87" s="2">
        <v>0.70778600000000003</v>
      </c>
      <c r="V87" s="2">
        <v>86</v>
      </c>
      <c r="W87" s="2">
        <v>2006</v>
      </c>
    </row>
    <row r="88" spans="1:23" ht="12.3" x14ac:dyDescent="0.4">
      <c r="A88" s="2" t="s">
        <v>240</v>
      </c>
      <c r="B88" s="2">
        <v>15</v>
      </c>
      <c r="C88" s="2"/>
      <c r="D88" s="2"/>
      <c r="E88" s="2"/>
      <c r="F88" s="2"/>
      <c r="G88" s="2"/>
      <c r="H88" s="2"/>
      <c r="I88" s="2">
        <v>65.9529</v>
      </c>
      <c r="J88" s="2">
        <v>212</v>
      </c>
      <c r="K88" s="2">
        <v>66.257400000000004</v>
      </c>
      <c r="L88" s="2">
        <v>201</v>
      </c>
      <c r="M88" s="2">
        <v>108.7847</v>
      </c>
      <c r="N88" s="2">
        <v>43</v>
      </c>
      <c r="O88" s="2">
        <v>102.0475</v>
      </c>
      <c r="P88" s="2">
        <v>160</v>
      </c>
      <c r="Q88" s="2">
        <v>91.735600000000005</v>
      </c>
      <c r="R88" s="2">
        <v>15</v>
      </c>
      <c r="S88" s="2">
        <v>94.593400000000003</v>
      </c>
      <c r="T88" s="2">
        <v>43</v>
      </c>
      <c r="U88" s="2">
        <v>0.70522099999999999</v>
      </c>
      <c r="V88" s="2">
        <v>87</v>
      </c>
      <c r="W88" s="2">
        <v>2006</v>
      </c>
    </row>
    <row r="89" spans="1:23" ht="12.3" x14ac:dyDescent="0.4">
      <c r="A89" s="2" t="s">
        <v>169</v>
      </c>
      <c r="B89" s="2"/>
      <c r="C89" s="2"/>
      <c r="D89" s="2"/>
      <c r="E89" s="2"/>
      <c r="F89" s="2"/>
      <c r="G89" s="2"/>
      <c r="H89" s="2"/>
      <c r="I89" s="2">
        <v>64.802800000000005</v>
      </c>
      <c r="J89" s="2">
        <v>254</v>
      </c>
      <c r="K89" s="2">
        <v>65.938299999999998</v>
      </c>
      <c r="L89" s="2">
        <v>219</v>
      </c>
      <c r="M89" s="2">
        <v>104.8533</v>
      </c>
      <c r="N89" s="2">
        <v>109</v>
      </c>
      <c r="O89" s="2">
        <v>107.21429999999999</v>
      </c>
      <c r="P89" s="2">
        <v>70</v>
      </c>
      <c r="Q89" s="2">
        <v>98.988799999999998</v>
      </c>
      <c r="R89" s="2">
        <v>106</v>
      </c>
      <c r="S89" s="2">
        <v>99.595600000000005</v>
      </c>
      <c r="T89" s="2">
        <v>119</v>
      </c>
      <c r="U89" s="2">
        <v>0.70008199999999998</v>
      </c>
      <c r="V89" s="2">
        <v>88</v>
      </c>
      <c r="W89" s="2">
        <v>2006</v>
      </c>
    </row>
    <row r="90" spans="1:23" ht="12.3" x14ac:dyDescent="0.4">
      <c r="A90" s="2" t="s">
        <v>181</v>
      </c>
      <c r="B90" s="2">
        <v>14</v>
      </c>
      <c r="C90" s="2"/>
      <c r="D90" s="2"/>
      <c r="E90" s="2"/>
      <c r="F90" s="2"/>
      <c r="G90" s="2"/>
      <c r="H90" s="2"/>
      <c r="I90" s="2">
        <v>64.530199999999994</v>
      </c>
      <c r="J90" s="2">
        <v>261</v>
      </c>
      <c r="K90" s="2">
        <v>65.0017</v>
      </c>
      <c r="L90" s="2">
        <v>248</v>
      </c>
      <c r="M90" s="2">
        <v>108.9603</v>
      </c>
      <c r="N90" s="2">
        <v>41</v>
      </c>
      <c r="O90" s="2">
        <v>102.73560000000001</v>
      </c>
      <c r="P90" s="2">
        <v>149</v>
      </c>
      <c r="Q90" s="2">
        <v>94.208500000000001</v>
      </c>
      <c r="R90" s="2">
        <v>35</v>
      </c>
      <c r="S90" s="2">
        <v>95.452699999999993</v>
      </c>
      <c r="T90" s="2">
        <v>47</v>
      </c>
      <c r="U90" s="2">
        <v>0.69963600000000004</v>
      </c>
      <c r="V90" s="2">
        <v>89</v>
      </c>
      <c r="W90" s="2">
        <v>2006</v>
      </c>
    </row>
    <row r="91" spans="1:23" ht="12.3" x14ac:dyDescent="0.4">
      <c r="A91" s="2" t="s">
        <v>234</v>
      </c>
      <c r="B91" s="2">
        <v>12</v>
      </c>
      <c r="C91" s="3" t="s">
        <v>33</v>
      </c>
      <c r="D91" s="2"/>
      <c r="E91" s="2"/>
      <c r="F91" s="2"/>
      <c r="G91" s="2"/>
      <c r="H91" s="2"/>
      <c r="I91" s="2">
        <v>69.058300000000003</v>
      </c>
      <c r="J91" s="2">
        <v>94</v>
      </c>
      <c r="K91" s="2">
        <v>67.601900000000001</v>
      </c>
      <c r="L91" s="2">
        <v>130</v>
      </c>
      <c r="M91" s="2">
        <v>111.8723</v>
      </c>
      <c r="N91" s="2">
        <v>13</v>
      </c>
      <c r="O91" s="2">
        <v>109.1174</v>
      </c>
      <c r="P91" s="2">
        <v>48</v>
      </c>
      <c r="Q91" s="2">
        <v>101.62739999999999</v>
      </c>
      <c r="R91" s="2">
        <v>161</v>
      </c>
      <c r="S91" s="2">
        <v>101.6682</v>
      </c>
      <c r="T91" s="2">
        <v>157</v>
      </c>
      <c r="U91" s="2">
        <v>0.69278300000000004</v>
      </c>
      <c r="V91" s="2">
        <v>90</v>
      </c>
      <c r="W91" s="2">
        <v>2006</v>
      </c>
    </row>
    <row r="92" spans="1:23" ht="12.3" x14ac:dyDescent="0.4">
      <c r="A92" s="2" t="s">
        <v>52</v>
      </c>
      <c r="B92" s="2"/>
      <c r="C92" s="2"/>
      <c r="D92" s="2"/>
      <c r="E92" s="2"/>
      <c r="F92" s="2"/>
      <c r="G92" s="2"/>
      <c r="H92" s="2"/>
      <c r="I92" s="2">
        <v>64.873500000000007</v>
      </c>
      <c r="J92" s="2">
        <v>251</v>
      </c>
      <c r="K92" s="2">
        <v>65.570700000000002</v>
      </c>
      <c r="L92" s="2">
        <v>230</v>
      </c>
      <c r="M92" s="2">
        <v>101.29770000000001</v>
      </c>
      <c r="N92" s="2">
        <v>175</v>
      </c>
      <c r="O92" s="2">
        <v>103.94710000000001</v>
      </c>
      <c r="P92" s="2">
        <v>126</v>
      </c>
      <c r="Q92" s="2">
        <v>100.2029</v>
      </c>
      <c r="R92" s="2">
        <v>132</v>
      </c>
      <c r="S92" s="2">
        <v>96.9649</v>
      </c>
      <c r="T92" s="2">
        <v>78</v>
      </c>
      <c r="U92" s="2">
        <v>0.68989699999999998</v>
      </c>
      <c r="V92" s="2">
        <v>91</v>
      </c>
      <c r="W92" s="2">
        <v>2006</v>
      </c>
    </row>
    <row r="93" spans="1:23" ht="12.3" x14ac:dyDescent="0.4">
      <c r="A93" s="2" t="s">
        <v>109</v>
      </c>
      <c r="B93" s="2"/>
      <c r="C93" s="2"/>
      <c r="D93" s="2"/>
      <c r="E93" s="2"/>
      <c r="F93" s="2"/>
      <c r="G93" s="2"/>
      <c r="H93" s="2"/>
      <c r="I93" s="2">
        <v>67.984200000000001</v>
      </c>
      <c r="J93" s="2">
        <v>129</v>
      </c>
      <c r="K93" s="2">
        <v>67.863299999999995</v>
      </c>
      <c r="L93" s="2">
        <v>120</v>
      </c>
      <c r="M93" s="2">
        <v>102.0959</v>
      </c>
      <c r="N93" s="2">
        <v>163</v>
      </c>
      <c r="O93" s="2">
        <v>102.8223</v>
      </c>
      <c r="P93" s="2">
        <v>146</v>
      </c>
      <c r="Q93" s="2">
        <v>97.871300000000005</v>
      </c>
      <c r="R93" s="2">
        <v>82</v>
      </c>
      <c r="S93" s="2">
        <v>96.326499999999996</v>
      </c>
      <c r="T93" s="2">
        <v>62</v>
      </c>
      <c r="U93" s="2">
        <v>0.67928299999999997</v>
      </c>
      <c r="V93" s="2">
        <v>92</v>
      </c>
      <c r="W93" s="2">
        <v>2006</v>
      </c>
    </row>
    <row r="94" spans="1:23" ht="12.3" x14ac:dyDescent="0.4">
      <c r="A94" s="2" t="s">
        <v>259</v>
      </c>
      <c r="B94" s="2">
        <v>14</v>
      </c>
      <c r="C94" s="3" t="s">
        <v>33</v>
      </c>
      <c r="D94" s="2"/>
      <c r="E94" s="2"/>
      <c r="F94" s="2"/>
      <c r="G94" s="2"/>
      <c r="H94" s="2"/>
      <c r="I94" s="2">
        <v>70.110399999999998</v>
      </c>
      <c r="J94" s="2">
        <v>58</v>
      </c>
      <c r="K94" s="2">
        <v>69.218299999999999</v>
      </c>
      <c r="L94" s="2">
        <v>81</v>
      </c>
      <c r="M94" s="2">
        <v>106.8762</v>
      </c>
      <c r="N94" s="2">
        <v>70</v>
      </c>
      <c r="O94" s="2">
        <v>105.88200000000001</v>
      </c>
      <c r="P94" s="2">
        <v>88</v>
      </c>
      <c r="Q94" s="2">
        <v>98.167199999999994</v>
      </c>
      <c r="R94" s="2">
        <v>88</v>
      </c>
      <c r="S94" s="2">
        <v>99.325999999999993</v>
      </c>
      <c r="T94" s="2">
        <v>116</v>
      </c>
      <c r="U94" s="2">
        <v>0.67591500000000004</v>
      </c>
      <c r="V94" s="2">
        <v>93</v>
      </c>
      <c r="W94" s="2">
        <v>2006</v>
      </c>
    </row>
    <row r="95" spans="1:23" ht="12.3" x14ac:dyDescent="0.4">
      <c r="A95" s="2" t="s">
        <v>230</v>
      </c>
      <c r="B95" s="2"/>
      <c r="C95" s="2"/>
      <c r="D95" s="2"/>
      <c r="E95" s="2"/>
      <c r="F95" s="2"/>
      <c r="G95" s="2"/>
      <c r="H95" s="2"/>
      <c r="I95" s="2">
        <v>64.491399999999999</v>
      </c>
      <c r="J95" s="2">
        <v>264</v>
      </c>
      <c r="K95" s="2">
        <v>65.008899999999997</v>
      </c>
      <c r="L95" s="2">
        <v>246</v>
      </c>
      <c r="M95" s="2">
        <v>104.1127</v>
      </c>
      <c r="N95" s="2">
        <v>128</v>
      </c>
      <c r="O95" s="2">
        <v>109.56359999999999</v>
      </c>
      <c r="P95" s="2">
        <v>43</v>
      </c>
      <c r="Q95" s="2">
        <v>104.94970000000001</v>
      </c>
      <c r="R95" s="2">
        <v>237</v>
      </c>
      <c r="S95" s="2">
        <v>102.8128</v>
      </c>
      <c r="T95" s="2">
        <v>180</v>
      </c>
      <c r="U95" s="2">
        <v>0.67510099999999995</v>
      </c>
      <c r="V95" s="2">
        <v>94</v>
      </c>
      <c r="W95" s="2">
        <v>2006</v>
      </c>
    </row>
    <row r="96" spans="1:23" ht="12.3" x14ac:dyDescent="0.4">
      <c r="A96" s="2" t="s">
        <v>63</v>
      </c>
      <c r="B96" s="2"/>
      <c r="C96" s="2"/>
      <c r="D96" s="2"/>
      <c r="E96" s="2"/>
      <c r="F96" s="2"/>
      <c r="G96" s="2"/>
      <c r="H96" s="2"/>
      <c r="I96" s="2">
        <v>65.647000000000006</v>
      </c>
      <c r="J96" s="2">
        <v>225</v>
      </c>
      <c r="K96" s="2">
        <v>66.374099999999999</v>
      </c>
      <c r="L96" s="2">
        <v>192</v>
      </c>
      <c r="M96" s="2">
        <v>104.4862</v>
      </c>
      <c r="N96" s="2">
        <v>120</v>
      </c>
      <c r="O96" s="2">
        <v>106.444</v>
      </c>
      <c r="P96" s="2">
        <v>77</v>
      </c>
      <c r="Q96" s="2">
        <v>100.19670000000001</v>
      </c>
      <c r="R96" s="2">
        <v>131</v>
      </c>
      <c r="S96" s="2">
        <v>99.9495</v>
      </c>
      <c r="T96" s="2">
        <v>127</v>
      </c>
      <c r="U96" s="2">
        <v>0.67348300000000005</v>
      </c>
      <c r="V96" s="2">
        <v>95</v>
      </c>
      <c r="W96" s="2">
        <v>2006</v>
      </c>
    </row>
    <row r="97" spans="1:23" ht="12.3" x14ac:dyDescent="0.4">
      <c r="A97" s="2" t="s">
        <v>68</v>
      </c>
      <c r="B97" s="2"/>
      <c r="C97" s="2"/>
      <c r="D97" s="2"/>
      <c r="E97" s="2"/>
      <c r="F97" s="2"/>
      <c r="G97" s="2"/>
      <c r="H97" s="2"/>
      <c r="I97" s="2">
        <v>70.151499999999999</v>
      </c>
      <c r="J97" s="2">
        <v>57</v>
      </c>
      <c r="K97" s="2">
        <v>69.604699999999994</v>
      </c>
      <c r="L97" s="2">
        <v>72</v>
      </c>
      <c r="M97" s="2">
        <v>111.0964</v>
      </c>
      <c r="N97" s="2">
        <v>23</v>
      </c>
      <c r="O97" s="2">
        <v>110.29649999999999</v>
      </c>
      <c r="P97" s="2">
        <v>36</v>
      </c>
      <c r="Q97" s="2">
        <v>101.36620000000001</v>
      </c>
      <c r="R97" s="2">
        <v>157</v>
      </c>
      <c r="S97" s="2">
        <v>103.5822</v>
      </c>
      <c r="T97" s="2">
        <v>197</v>
      </c>
      <c r="U97" s="2">
        <v>0.67310899999999996</v>
      </c>
      <c r="V97" s="2">
        <v>96</v>
      </c>
      <c r="W97" s="2">
        <v>2006</v>
      </c>
    </row>
    <row r="98" spans="1:23" ht="12.3" x14ac:dyDescent="0.4">
      <c r="A98" s="2" t="s">
        <v>210</v>
      </c>
      <c r="B98" s="2"/>
      <c r="C98" s="2"/>
      <c r="D98" s="2"/>
      <c r="E98" s="2"/>
      <c r="F98" s="2"/>
      <c r="G98" s="2"/>
      <c r="H98" s="2"/>
      <c r="I98" s="2">
        <v>64.095500000000001</v>
      </c>
      <c r="J98" s="2">
        <v>275</v>
      </c>
      <c r="K98" s="2">
        <v>64.670400000000001</v>
      </c>
      <c r="L98" s="2">
        <v>261</v>
      </c>
      <c r="M98" s="2">
        <v>96.790899999999993</v>
      </c>
      <c r="N98" s="2">
        <v>249</v>
      </c>
      <c r="O98" s="2">
        <v>97.313000000000002</v>
      </c>
      <c r="P98" s="2">
        <v>240</v>
      </c>
      <c r="Q98" s="2">
        <v>92.456699999999998</v>
      </c>
      <c r="R98" s="2">
        <v>21</v>
      </c>
      <c r="S98" s="2">
        <v>91.504199999999997</v>
      </c>
      <c r="T98" s="2">
        <v>11</v>
      </c>
      <c r="U98" s="2">
        <v>0.66991599999999996</v>
      </c>
      <c r="V98" s="2">
        <v>97</v>
      </c>
      <c r="W98" s="2">
        <v>2006</v>
      </c>
    </row>
    <row r="99" spans="1:23" ht="12.3" x14ac:dyDescent="0.4">
      <c r="A99" s="2" t="s">
        <v>96</v>
      </c>
      <c r="B99" s="2"/>
      <c r="C99" s="2"/>
      <c r="D99" s="2"/>
      <c r="E99" s="2"/>
      <c r="F99" s="2"/>
      <c r="G99" s="2"/>
      <c r="H99" s="2"/>
      <c r="I99" s="2">
        <v>71.1785</v>
      </c>
      <c r="J99" s="2">
        <v>42</v>
      </c>
      <c r="K99" s="2">
        <v>72.163200000000003</v>
      </c>
      <c r="L99" s="2">
        <v>22</v>
      </c>
      <c r="M99" s="2">
        <v>107.482</v>
      </c>
      <c r="N99" s="2">
        <v>60</v>
      </c>
      <c r="O99" s="2">
        <v>109.1512</v>
      </c>
      <c r="P99" s="2">
        <v>46</v>
      </c>
      <c r="Q99" s="2">
        <v>101.51909999999999</v>
      </c>
      <c r="R99" s="2">
        <v>159</v>
      </c>
      <c r="S99" s="2">
        <v>102.67140000000001</v>
      </c>
      <c r="T99" s="2">
        <v>178</v>
      </c>
      <c r="U99" s="2">
        <v>0.66902899999999998</v>
      </c>
      <c r="V99" s="2">
        <v>98</v>
      </c>
      <c r="W99" s="2">
        <v>2006</v>
      </c>
    </row>
    <row r="100" spans="1:23" ht="12.3" x14ac:dyDescent="0.4">
      <c r="A100" s="2" t="s">
        <v>136</v>
      </c>
      <c r="B100" s="2"/>
      <c r="C100" s="2"/>
      <c r="D100" s="2"/>
      <c r="E100" s="2"/>
      <c r="F100" s="2"/>
      <c r="G100" s="2"/>
      <c r="H100" s="2"/>
      <c r="I100" s="2">
        <v>67.543400000000005</v>
      </c>
      <c r="J100" s="2">
        <v>145</v>
      </c>
      <c r="K100" s="2">
        <v>66.055400000000006</v>
      </c>
      <c r="L100" s="2">
        <v>214</v>
      </c>
      <c r="M100" s="2">
        <v>99.148399999999995</v>
      </c>
      <c r="N100" s="2">
        <v>210</v>
      </c>
      <c r="O100" s="2">
        <v>102.1878</v>
      </c>
      <c r="P100" s="2">
        <v>158</v>
      </c>
      <c r="Q100" s="2">
        <v>97.444999999999993</v>
      </c>
      <c r="R100" s="2">
        <v>71</v>
      </c>
      <c r="S100" s="2">
        <v>96.144000000000005</v>
      </c>
      <c r="T100" s="2">
        <v>57</v>
      </c>
      <c r="U100" s="2">
        <v>0.668431</v>
      </c>
      <c r="V100" s="2">
        <v>99</v>
      </c>
      <c r="W100" s="2">
        <v>2006</v>
      </c>
    </row>
    <row r="101" spans="1:23" ht="12.3" x14ac:dyDescent="0.4">
      <c r="A101" s="2" t="s">
        <v>66</v>
      </c>
      <c r="B101" s="2"/>
      <c r="C101" s="2"/>
      <c r="D101" s="2"/>
      <c r="E101" s="2"/>
      <c r="F101" s="2"/>
      <c r="G101" s="2"/>
      <c r="H101" s="2"/>
      <c r="I101" s="2">
        <v>65.149299999999997</v>
      </c>
      <c r="J101" s="2">
        <v>244</v>
      </c>
      <c r="K101" s="2">
        <v>63.669600000000003</v>
      </c>
      <c r="L101" s="2">
        <v>285</v>
      </c>
      <c r="M101" s="2">
        <v>103.5902</v>
      </c>
      <c r="N101" s="2">
        <v>138</v>
      </c>
      <c r="O101" s="2">
        <v>104.97620000000001</v>
      </c>
      <c r="P101" s="2">
        <v>104</v>
      </c>
      <c r="Q101" s="2">
        <v>98.625799999999998</v>
      </c>
      <c r="R101" s="2">
        <v>95</v>
      </c>
      <c r="S101" s="2">
        <v>98.936400000000006</v>
      </c>
      <c r="T101" s="2">
        <v>110</v>
      </c>
      <c r="U101" s="2">
        <v>0.66405999999999998</v>
      </c>
      <c r="V101" s="2">
        <v>100</v>
      </c>
      <c r="W101" s="2">
        <v>2006</v>
      </c>
    </row>
    <row r="102" spans="1:23" ht="12.3" x14ac:dyDescent="0.4">
      <c r="A102" s="2" t="s">
        <v>77</v>
      </c>
      <c r="B102" s="2">
        <v>15</v>
      </c>
      <c r="C102" s="2"/>
      <c r="D102" s="2"/>
      <c r="E102" s="2"/>
      <c r="F102" s="2"/>
      <c r="G102" s="2"/>
      <c r="H102" s="2"/>
      <c r="I102" s="2">
        <v>65.292400000000001</v>
      </c>
      <c r="J102" s="2">
        <v>235</v>
      </c>
      <c r="K102" s="2">
        <v>66.189300000000003</v>
      </c>
      <c r="L102" s="2">
        <v>210</v>
      </c>
      <c r="M102" s="2">
        <v>103.949</v>
      </c>
      <c r="N102" s="2">
        <v>132</v>
      </c>
      <c r="O102" s="2">
        <v>99.131</v>
      </c>
      <c r="P102" s="2">
        <v>214</v>
      </c>
      <c r="Q102" s="2">
        <v>90.461799999999997</v>
      </c>
      <c r="R102" s="2">
        <v>8</v>
      </c>
      <c r="S102" s="2">
        <v>93.626000000000005</v>
      </c>
      <c r="T102" s="2">
        <v>29</v>
      </c>
      <c r="U102" s="2">
        <v>0.65859400000000001</v>
      </c>
      <c r="V102" s="2">
        <v>101</v>
      </c>
      <c r="W102" s="2">
        <v>2006</v>
      </c>
    </row>
    <row r="103" spans="1:23" ht="12.3" x14ac:dyDescent="0.4">
      <c r="A103" s="2" t="s">
        <v>137</v>
      </c>
      <c r="B103" s="2"/>
      <c r="C103" s="2"/>
      <c r="D103" s="2"/>
      <c r="E103" s="2"/>
      <c r="F103" s="2"/>
      <c r="G103" s="2"/>
      <c r="H103" s="2"/>
      <c r="I103" s="2">
        <v>63.822200000000002</v>
      </c>
      <c r="J103" s="2">
        <v>281</v>
      </c>
      <c r="K103" s="2">
        <v>63.427700000000002</v>
      </c>
      <c r="L103" s="2">
        <v>291</v>
      </c>
      <c r="M103" s="2">
        <v>105.27930000000001</v>
      </c>
      <c r="N103" s="2">
        <v>100</v>
      </c>
      <c r="O103" s="2">
        <v>106.32899999999999</v>
      </c>
      <c r="P103" s="2">
        <v>83</v>
      </c>
      <c r="Q103" s="2">
        <v>97.600800000000007</v>
      </c>
      <c r="R103" s="2">
        <v>76</v>
      </c>
      <c r="S103" s="2">
        <v>100.6716</v>
      </c>
      <c r="T103" s="2">
        <v>143</v>
      </c>
      <c r="U103" s="2">
        <v>0.65220699999999998</v>
      </c>
      <c r="V103" s="2">
        <v>102</v>
      </c>
      <c r="W103" s="2">
        <v>2006</v>
      </c>
    </row>
    <row r="104" spans="1:23" ht="12.3" x14ac:dyDescent="0.4">
      <c r="A104" s="2" t="s">
        <v>308</v>
      </c>
      <c r="B104" s="2"/>
      <c r="C104" s="2"/>
      <c r="D104" s="2"/>
      <c r="E104" s="2"/>
      <c r="F104" s="2"/>
      <c r="G104" s="2"/>
      <c r="H104" s="2"/>
      <c r="I104" s="2">
        <v>70.492199999999997</v>
      </c>
      <c r="J104" s="2">
        <v>53</v>
      </c>
      <c r="K104" s="2">
        <v>70.61</v>
      </c>
      <c r="L104" s="2">
        <v>45</v>
      </c>
      <c r="M104" s="2">
        <v>104.5932</v>
      </c>
      <c r="N104" s="2">
        <v>118</v>
      </c>
      <c r="O104" s="2">
        <v>104.8877</v>
      </c>
      <c r="P104" s="2">
        <v>106</v>
      </c>
      <c r="Q104" s="2">
        <v>100.19580000000001</v>
      </c>
      <c r="R104" s="2">
        <v>130</v>
      </c>
      <c r="S104" s="2">
        <v>99.662899999999993</v>
      </c>
      <c r="T104" s="2">
        <v>121</v>
      </c>
      <c r="U104" s="2">
        <v>0.642818</v>
      </c>
      <c r="V104" s="2">
        <v>103</v>
      </c>
      <c r="W104" s="2">
        <v>2006</v>
      </c>
    </row>
    <row r="105" spans="1:23" ht="12.3" x14ac:dyDescent="0.4">
      <c r="A105" s="2" t="s">
        <v>143</v>
      </c>
      <c r="B105" s="2"/>
      <c r="C105" s="2"/>
      <c r="D105" s="2"/>
      <c r="E105" s="2"/>
      <c r="F105" s="2"/>
      <c r="G105" s="2"/>
      <c r="H105" s="2"/>
      <c r="I105" s="2">
        <v>67.733599999999996</v>
      </c>
      <c r="J105" s="2">
        <v>138</v>
      </c>
      <c r="K105" s="2">
        <v>66.747900000000001</v>
      </c>
      <c r="L105" s="2">
        <v>172</v>
      </c>
      <c r="M105" s="2">
        <v>113.6357</v>
      </c>
      <c r="N105" s="2">
        <v>7</v>
      </c>
      <c r="O105" s="2">
        <v>111.61920000000001</v>
      </c>
      <c r="P105" s="2">
        <v>25</v>
      </c>
      <c r="Q105" s="2">
        <v>107.0498</v>
      </c>
      <c r="R105" s="2">
        <v>279</v>
      </c>
      <c r="S105" s="2">
        <v>106.07389999999999</v>
      </c>
      <c r="T105" s="2">
        <v>247</v>
      </c>
      <c r="U105" s="2">
        <v>0.64244900000000005</v>
      </c>
      <c r="V105" s="2">
        <v>104</v>
      </c>
      <c r="W105" s="2">
        <v>2006</v>
      </c>
    </row>
    <row r="106" spans="1:23" ht="12.3" x14ac:dyDescent="0.4">
      <c r="A106" s="2" t="s">
        <v>167</v>
      </c>
      <c r="B106" s="2"/>
      <c r="C106" s="2"/>
      <c r="D106" s="2"/>
      <c r="E106" s="2"/>
      <c r="F106" s="2"/>
      <c r="G106" s="2"/>
      <c r="H106" s="2"/>
      <c r="I106" s="2">
        <v>61.098300000000002</v>
      </c>
      <c r="J106" s="2">
        <v>321</v>
      </c>
      <c r="K106" s="2">
        <v>61.433599999999998</v>
      </c>
      <c r="L106" s="2">
        <v>319</v>
      </c>
      <c r="M106" s="2">
        <v>102.1643</v>
      </c>
      <c r="N106" s="2">
        <v>159</v>
      </c>
      <c r="O106" s="2">
        <v>103.0575</v>
      </c>
      <c r="P106" s="2">
        <v>139</v>
      </c>
      <c r="Q106" s="2">
        <v>97.926400000000001</v>
      </c>
      <c r="R106" s="2">
        <v>85</v>
      </c>
      <c r="S106" s="2">
        <v>97.957700000000003</v>
      </c>
      <c r="T106" s="2">
        <v>92</v>
      </c>
      <c r="U106" s="2">
        <v>0.64190499999999995</v>
      </c>
      <c r="V106" s="2">
        <v>105</v>
      </c>
      <c r="W106" s="2">
        <v>2006</v>
      </c>
    </row>
    <row r="107" spans="1:23" ht="12.3" x14ac:dyDescent="0.4">
      <c r="A107" s="2" t="s">
        <v>262</v>
      </c>
      <c r="B107" s="2"/>
      <c r="C107" s="2"/>
      <c r="D107" s="2"/>
      <c r="E107" s="2"/>
      <c r="F107" s="2"/>
      <c r="G107" s="2"/>
      <c r="H107" s="2"/>
      <c r="I107" s="2">
        <v>66.328999999999994</v>
      </c>
      <c r="J107" s="2">
        <v>196</v>
      </c>
      <c r="K107" s="2">
        <v>65.680499999999995</v>
      </c>
      <c r="L107" s="2">
        <v>226</v>
      </c>
      <c r="M107" s="2">
        <v>103.6798</v>
      </c>
      <c r="N107" s="2">
        <v>137</v>
      </c>
      <c r="O107" s="2">
        <v>104.672</v>
      </c>
      <c r="P107" s="2">
        <v>110</v>
      </c>
      <c r="Q107" s="2">
        <v>99.312100000000001</v>
      </c>
      <c r="R107" s="2">
        <v>111</v>
      </c>
      <c r="S107" s="2">
        <v>99.518100000000004</v>
      </c>
      <c r="T107" s="2">
        <v>118</v>
      </c>
      <c r="U107" s="2">
        <v>0.64122100000000004</v>
      </c>
      <c r="V107" s="2">
        <v>106</v>
      </c>
      <c r="W107" s="2">
        <v>2006</v>
      </c>
    </row>
    <row r="108" spans="1:23" ht="12.3" x14ac:dyDescent="0.4">
      <c r="A108" s="2" t="s">
        <v>92</v>
      </c>
      <c r="B108" s="2"/>
      <c r="C108" s="2"/>
      <c r="D108" s="2"/>
      <c r="E108" s="2"/>
      <c r="F108" s="2"/>
      <c r="G108" s="2"/>
      <c r="H108" s="2"/>
      <c r="I108" s="2">
        <v>70.857699999999994</v>
      </c>
      <c r="J108" s="2">
        <v>48</v>
      </c>
      <c r="K108" s="2">
        <v>69.733800000000002</v>
      </c>
      <c r="L108" s="2">
        <v>66</v>
      </c>
      <c r="M108" s="2">
        <v>100.8754</v>
      </c>
      <c r="N108" s="2">
        <v>181</v>
      </c>
      <c r="O108" s="2">
        <v>102.86620000000001</v>
      </c>
      <c r="P108" s="2">
        <v>145</v>
      </c>
      <c r="Q108" s="2">
        <v>101.3771</v>
      </c>
      <c r="R108" s="2">
        <v>158</v>
      </c>
      <c r="S108" s="2">
        <v>97.921000000000006</v>
      </c>
      <c r="T108" s="2">
        <v>90</v>
      </c>
      <c r="U108" s="2">
        <v>0.63797300000000001</v>
      </c>
      <c r="V108" s="2">
        <v>107</v>
      </c>
      <c r="W108" s="2">
        <v>2006</v>
      </c>
    </row>
    <row r="109" spans="1:23" ht="12.3" x14ac:dyDescent="0.4">
      <c r="A109" s="2" t="s">
        <v>186</v>
      </c>
      <c r="B109" s="2"/>
      <c r="C109" s="2"/>
      <c r="D109" s="2"/>
      <c r="E109" s="2"/>
      <c r="F109" s="2"/>
      <c r="G109" s="2"/>
      <c r="H109" s="2"/>
      <c r="I109" s="2">
        <v>67.809600000000003</v>
      </c>
      <c r="J109" s="2">
        <v>136</v>
      </c>
      <c r="K109" s="2">
        <v>68.684200000000004</v>
      </c>
      <c r="L109" s="2">
        <v>98</v>
      </c>
      <c r="M109" s="2">
        <v>102.52030000000001</v>
      </c>
      <c r="N109" s="2">
        <v>153</v>
      </c>
      <c r="O109" s="2">
        <v>100.6494</v>
      </c>
      <c r="P109" s="2">
        <v>181</v>
      </c>
      <c r="Q109" s="2">
        <v>95.087400000000002</v>
      </c>
      <c r="R109" s="2">
        <v>41</v>
      </c>
      <c r="S109" s="2">
        <v>95.844099999999997</v>
      </c>
      <c r="T109" s="2">
        <v>51</v>
      </c>
      <c r="U109" s="2">
        <v>0.63705000000000001</v>
      </c>
      <c r="V109" s="2">
        <v>108</v>
      </c>
      <c r="W109" s="2">
        <v>2006</v>
      </c>
    </row>
    <row r="110" spans="1:23" ht="12.3" x14ac:dyDescent="0.4">
      <c r="A110" s="2" t="s">
        <v>155</v>
      </c>
      <c r="B110" s="2"/>
      <c r="C110" s="2"/>
      <c r="D110" s="2"/>
      <c r="E110" s="2"/>
      <c r="F110" s="2"/>
      <c r="G110" s="2"/>
      <c r="H110" s="2"/>
      <c r="I110" s="2">
        <v>66.138400000000004</v>
      </c>
      <c r="J110" s="2">
        <v>206</v>
      </c>
      <c r="K110" s="2">
        <v>67.132000000000005</v>
      </c>
      <c r="L110" s="2">
        <v>152</v>
      </c>
      <c r="M110" s="2">
        <v>98.167900000000003</v>
      </c>
      <c r="N110" s="2">
        <v>227</v>
      </c>
      <c r="O110" s="2">
        <v>99.0976</v>
      </c>
      <c r="P110" s="2">
        <v>216</v>
      </c>
      <c r="Q110" s="2">
        <v>96.116100000000003</v>
      </c>
      <c r="R110" s="2">
        <v>53</v>
      </c>
      <c r="S110" s="2">
        <v>94.550299999999993</v>
      </c>
      <c r="T110" s="2">
        <v>42</v>
      </c>
      <c r="U110" s="2">
        <v>0.63185500000000006</v>
      </c>
      <c r="V110" s="2">
        <v>109</v>
      </c>
      <c r="W110" s="2">
        <v>2006</v>
      </c>
    </row>
    <row r="111" spans="1:23" ht="12.3" x14ac:dyDescent="0.4">
      <c r="A111" s="2" t="s">
        <v>118</v>
      </c>
      <c r="B111" s="2"/>
      <c r="C111" s="2"/>
      <c r="D111" s="2"/>
      <c r="E111" s="2"/>
      <c r="F111" s="2"/>
      <c r="G111" s="2"/>
      <c r="H111" s="2"/>
      <c r="I111" s="2">
        <v>68.090900000000005</v>
      </c>
      <c r="J111" s="2">
        <v>126</v>
      </c>
      <c r="K111" s="2">
        <v>68.460999999999999</v>
      </c>
      <c r="L111" s="2">
        <v>107</v>
      </c>
      <c r="M111" s="2">
        <v>101.0628</v>
      </c>
      <c r="N111" s="2">
        <v>177</v>
      </c>
      <c r="O111" s="2">
        <v>104.45610000000001</v>
      </c>
      <c r="P111" s="2">
        <v>117</v>
      </c>
      <c r="Q111" s="2">
        <v>101.97709999999999</v>
      </c>
      <c r="R111" s="2">
        <v>168</v>
      </c>
      <c r="S111" s="2">
        <v>99.744200000000006</v>
      </c>
      <c r="T111" s="2">
        <v>125</v>
      </c>
      <c r="U111" s="2">
        <v>0.62967200000000001</v>
      </c>
      <c r="V111" s="2">
        <v>110</v>
      </c>
      <c r="W111" s="2">
        <v>2006</v>
      </c>
    </row>
    <row r="112" spans="1:23" ht="12.3" x14ac:dyDescent="0.4">
      <c r="A112" s="2" t="s">
        <v>42</v>
      </c>
      <c r="B112" s="2"/>
      <c r="C112" s="2"/>
      <c r="D112" s="2"/>
      <c r="E112" s="2"/>
      <c r="F112" s="2"/>
      <c r="G112" s="2"/>
      <c r="H112" s="2"/>
      <c r="I112" s="2">
        <v>68.861800000000002</v>
      </c>
      <c r="J112" s="2">
        <v>101</v>
      </c>
      <c r="K112" s="2">
        <v>68.428299999999993</v>
      </c>
      <c r="L112" s="2">
        <v>108</v>
      </c>
      <c r="M112" s="2">
        <v>99.286600000000007</v>
      </c>
      <c r="N112" s="2">
        <v>202</v>
      </c>
      <c r="O112" s="2">
        <v>103.4119</v>
      </c>
      <c r="P112" s="2">
        <v>133</v>
      </c>
      <c r="Q112" s="2">
        <v>97.716200000000001</v>
      </c>
      <c r="R112" s="2">
        <v>80</v>
      </c>
      <c r="S112" s="2">
        <v>98.830699999999993</v>
      </c>
      <c r="T112" s="2">
        <v>108</v>
      </c>
      <c r="U112" s="2">
        <v>0.62740099999999999</v>
      </c>
      <c r="V112" s="2">
        <v>111</v>
      </c>
      <c r="W112" s="2">
        <v>2006</v>
      </c>
    </row>
    <row r="113" spans="1:23" ht="12.3" x14ac:dyDescent="0.4">
      <c r="A113" s="2" t="s">
        <v>102</v>
      </c>
      <c r="B113" s="2"/>
      <c r="C113" s="2"/>
      <c r="D113" s="2"/>
      <c r="E113" s="2"/>
      <c r="F113" s="2"/>
      <c r="G113" s="2"/>
      <c r="H113" s="2"/>
      <c r="I113" s="2">
        <v>63.815199999999997</v>
      </c>
      <c r="J113" s="2">
        <v>282</v>
      </c>
      <c r="K113" s="2">
        <v>64.314099999999996</v>
      </c>
      <c r="L113" s="2">
        <v>267</v>
      </c>
      <c r="M113" s="2">
        <v>93.542000000000002</v>
      </c>
      <c r="N113" s="2">
        <v>293</v>
      </c>
      <c r="O113" s="2">
        <v>95.803100000000001</v>
      </c>
      <c r="P113" s="2">
        <v>262</v>
      </c>
      <c r="Q113" s="2">
        <v>94.4559</v>
      </c>
      <c r="R113" s="2">
        <v>37</v>
      </c>
      <c r="S113" s="2">
        <v>91.594800000000006</v>
      </c>
      <c r="T113" s="2">
        <v>13</v>
      </c>
      <c r="U113" s="2">
        <v>0.62634800000000002</v>
      </c>
      <c r="V113" s="2">
        <v>112</v>
      </c>
      <c r="W113" s="2">
        <v>2006</v>
      </c>
    </row>
    <row r="114" spans="1:23" ht="12.3" x14ac:dyDescent="0.4">
      <c r="A114" s="2" t="s">
        <v>124</v>
      </c>
      <c r="B114" s="2"/>
      <c r="C114" s="2"/>
      <c r="D114" s="2"/>
      <c r="E114" s="2"/>
      <c r="F114" s="2"/>
      <c r="G114" s="2"/>
      <c r="H114" s="2"/>
      <c r="I114" s="2">
        <v>58.767499999999998</v>
      </c>
      <c r="J114" s="2">
        <v>329</v>
      </c>
      <c r="K114" s="2">
        <v>59.747500000000002</v>
      </c>
      <c r="L114" s="2">
        <v>327</v>
      </c>
      <c r="M114" s="2">
        <v>98.062100000000001</v>
      </c>
      <c r="N114" s="2">
        <v>230</v>
      </c>
      <c r="O114" s="2">
        <v>100.88760000000001</v>
      </c>
      <c r="P114" s="2">
        <v>177</v>
      </c>
      <c r="Q114" s="2">
        <v>100.2565</v>
      </c>
      <c r="R114" s="2">
        <v>134</v>
      </c>
      <c r="S114" s="2">
        <v>96.487799999999993</v>
      </c>
      <c r="T114" s="2">
        <v>64</v>
      </c>
      <c r="U114" s="2">
        <v>0.62545899999999999</v>
      </c>
      <c r="V114" s="2">
        <v>113</v>
      </c>
      <c r="W114" s="2">
        <v>2006</v>
      </c>
    </row>
    <row r="115" spans="1:23" ht="12.3" x14ac:dyDescent="0.4">
      <c r="A115" s="2" t="s">
        <v>59</v>
      </c>
      <c r="B115" s="2"/>
      <c r="C115" s="2"/>
      <c r="D115" s="2"/>
      <c r="E115" s="2"/>
      <c r="F115" s="2"/>
      <c r="G115" s="2"/>
      <c r="H115" s="2"/>
      <c r="I115" s="2">
        <v>68.010400000000004</v>
      </c>
      <c r="J115" s="2">
        <v>128</v>
      </c>
      <c r="K115" s="2">
        <v>67.918800000000005</v>
      </c>
      <c r="L115" s="2">
        <v>117</v>
      </c>
      <c r="M115" s="2">
        <v>99.212100000000007</v>
      </c>
      <c r="N115" s="2">
        <v>206</v>
      </c>
      <c r="O115" s="2">
        <v>104.20820000000001</v>
      </c>
      <c r="P115" s="2">
        <v>119</v>
      </c>
      <c r="Q115" s="2">
        <v>100.625</v>
      </c>
      <c r="R115" s="2">
        <v>140</v>
      </c>
      <c r="S115" s="2">
        <v>99.664400000000001</v>
      </c>
      <c r="T115" s="2">
        <v>122</v>
      </c>
      <c r="U115" s="2">
        <v>0.62543700000000002</v>
      </c>
      <c r="V115" s="2">
        <v>114</v>
      </c>
      <c r="W115" s="2">
        <v>2006</v>
      </c>
    </row>
    <row r="116" spans="1:23" ht="12.3" x14ac:dyDescent="0.4">
      <c r="A116" s="2" t="s">
        <v>209</v>
      </c>
      <c r="B116" s="2"/>
      <c r="C116" s="2"/>
      <c r="D116" s="2"/>
      <c r="E116" s="2"/>
      <c r="F116" s="2"/>
      <c r="G116" s="2"/>
      <c r="H116" s="2"/>
      <c r="I116" s="2">
        <v>63.0122</v>
      </c>
      <c r="J116" s="2">
        <v>300</v>
      </c>
      <c r="K116" s="2">
        <v>63.878999999999998</v>
      </c>
      <c r="L116" s="2">
        <v>278</v>
      </c>
      <c r="M116" s="2">
        <v>109.9688</v>
      </c>
      <c r="N116" s="2">
        <v>31</v>
      </c>
      <c r="O116" s="2">
        <v>112.20310000000001</v>
      </c>
      <c r="P116" s="2">
        <v>24</v>
      </c>
      <c r="Q116" s="2">
        <v>105.81310000000001</v>
      </c>
      <c r="R116" s="2">
        <v>252</v>
      </c>
      <c r="S116" s="2">
        <v>107.3141</v>
      </c>
      <c r="T116" s="2">
        <v>268</v>
      </c>
      <c r="U116" s="2">
        <v>0.62535300000000005</v>
      </c>
      <c r="V116" s="2">
        <v>115</v>
      </c>
      <c r="W116" s="2">
        <v>2006</v>
      </c>
    </row>
    <row r="117" spans="1:23" ht="12.3" x14ac:dyDescent="0.4">
      <c r="A117" s="2" t="s">
        <v>239</v>
      </c>
      <c r="B117" s="2"/>
      <c r="C117" s="2"/>
      <c r="D117" s="2"/>
      <c r="E117" s="2"/>
      <c r="F117" s="2"/>
      <c r="G117" s="2"/>
      <c r="H117" s="2"/>
      <c r="I117" s="2">
        <v>62.200400000000002</v>
      </c>
      <c r="J117" s="2">
        <v>311</v>
      </c>
      <c r="K117" s="2">
        <v>61.912799999999997</v>
      </c>
      <c r="L117" s="2">
        <v>315</v>
      </c>
      <c r="M117" s="2">
        <v>93.096199999999996</v>
      </c>
      <c r="N117" s="2">
        <v>299</v>
      </c>
      <c r="O117" s="2">
        <v>94.229299999999995</v>
      </c>
      <c r="P117" s="2">
        <v>284</v>
      </c>
      <c r="Q117" s="2">
        <v>92.978099999999998</v>
      </c>
      <c r="R117" s="2">
        <v>23</v>
      </c>
      <c r="S117" s="2">
        <v>90.145600000000002</v>
      </c>
      <c r="T117" s="2">
        <v>6</v>
      </c>
      <c r="U117" s="2">
        <v>0.624691</v>
      </c>
      <c r="V117" s="2">
        <v>116</v>
      </c>
      <c r="W117" s="2">
        <v>2006</v>
      </c>
    </row>
    <row r="118" spans="1:23" ht="12.3" x14ac:dyDescent="0.4">
      <c r="A118" s="2" t="s">
        <v>249</v>
      </c>
      <c r="B118" s="2"/>
      <c r="C118" s="2"/>
      <c r="D118" s="2"/>
      <c r="E118" s="2"/>
      <c r="F118" s="2"/>
      <c r="G118" s="2"/>
      <c r="H118" s="2"/>
      <c r="I118" s="2">
        <v>63.618899999999996</v>
      </c>
      <c r="J118" s="2">
        <v>285</v>
      </c>
      <c r="K118" s="2">
        <v>64.170699999999997</v>
      </c>
      <c r="L118" s="2">
        <v>270</v>
      </c>
      <c r="M118" s="2">
        <v>104.20950000000001</v>
      </c>
      <c r="N118" s="2">
        <v>126</v>
      </c>
      <c r="O118" s="2">
        <v>106.35080000000001</v>
      </c>
      <c r="P118" s="2">
        <v>80</v>
      </c>
      <c r="Q118" s="2">
        <v>103.44240000000001</v>
      </c>
      <c r="R118" s="2">
        <v>206</v>
      </c>
      <c r="S118" s="2">
        <v>101.8325</v>
      </c>
      <c r="T118" s="2">
        <v>160</v>
      </c>
      <c r="U118" s="2">
        <v>0.62228399999999995</v>
      </c>
      <c r="V118" s="2">
        <v>117</v>
      </c>
      <c r="W118" s="2">
        <v>2006</v>
      </c>
    </row>
    <row r="119" spans="1:23" ht="12.3" x14ac:dyDescent="0.4">
      <c r="A119" s="2" t="s">
        <v>138</v>
      </c>
      <c r="B119" s="2">
        <v>16</v>
      </c>
      <c r="C119" s="2"/>
      <c r="D119" s="2"/>
      <c r="E119" s="2"/>
      <c r="F119" s="2"/>
      <c r="G119" s="2"/>
      <c r="H119" s="2"/>
      <c r="I119" s="2">
        <v>68.654399999999995</v>
      </c>
      <c r="J119" s="2">
        <v>108</v>
      </c>
      <c r="K119" s="2">
        <v>68.482100000000003</v>
      </c>
      <c r="L119" s="2">
        <v>106</v>
      </c>
      <c r="M119" s="2">
        <v>108.4927</v>
      </c>
      <c r="N119" s="2">
        <v>46</v>
      </c>
      <c r="O119" s="2">
        <v>104.7593</v>
      </c>
      <c r="P119" s="2">
        <v>109</v>
      </c>
      <c r="Q119" s="2">
        <v>98.620500000000007</v>
      </c>
      <c r="R119" s="2">
        <v>94</v>
      </c>
      <c r="S119" s="2">
        <v>100.3129</v>
      </c>
      <c r="T119" s="2">
        <v>132</v>
      </c>
      <c r="U119" s="2">
        <v>0.62217100000000003</v>
      </c>
      <c r="V119" s="2">
        <v>118</v>
      </c>
      <c r="W119" s="2">
        <v>2006</v>
      </c>
    </row>
    <row r="120" spans="1:23" ht="12.3" x14ac:dyDescent="0.4">
      <c r="A120" s="2" t="s">
        <v>116</v>
      </c>
      <c r="B120" s="2"/>
      <c r="C120" s="2"/>
      <c r="D120" s="2"/>
      <c r="E120" s="2"/>
      <c r="F120" s="2"/>
      <c r="G120" s="2"/>
      <c r="H120" s="2"/>
      <c r="I120" s="2">
        <v>61.867400000000004</v>
      </c>
      <c r="J120" s="2">
        <v>315</v>
      </c>
      <c r="K120" s="2">
        <v>62.7288</v>
      </c>
      <c r="L120" s="2">
        <v>304</v>
      </c>
      <c r="M120" s="2">
        <v>96.508799999999994</v>
      </c>
      <c r="N120" s="2">
        <v>252</v>
      </c>
      <c r="O120" s="2">
        <v>97.3904</v>
      </c>
      <c r="P120" s="2">
        <v>237</v>
      </c>
      <c r="Q120" s="2">
        <v>95.430400000000006</v>
      </c>
      <c r="R120" s="2">
        <v>45</v>
      </c>
      <c r="S120" s="2">
        <v>93.458600000000004</v>
      </c>
      <c r="T120" s="2">
        <v>28</v>
      </c>
      <c r="U120" s="2">
        <v>0.61630700000000005</v>
      </c>
      <c r="V120" s="2">
        <v>119</v>
      </c>
      <c r="W120" s="2">
        <v>2006</v>
      </c>
    </row>
    <row r="121" spans="1:23" ht="12.3" x14ac:dyDescent="0.4">
      <c r="A121" s="2" t="s">
        <v>151</v>
      </c>
      <c r="B121" s="2"/>
      <c r="C121" s="2"/>
      <c r="D121" s="2"/>
      <c r="E121" s="2"/>
      <c r="F121" s="2"/>
      <c r="G121" s="2"/>
      <c r="H121" s="2"/>
      <c r="I121" s="2">
        <v>64.079099999999997</v>
      </c>
      <c r="J121" s="2">
        <v>276</v>
      </c>
      <c r="K121" s="2">
        <v>65.335499999999996</v>
      </c>
      <c r="L121" s="2">
        <v>237</v>
      </c>
      <c r="M121" s="2">
        <v>107.0728</v>
      </c>
      <c r="N121" s="2">
        <v>64</v>
      </c>
      <c r="O121" s="2">
        <v>105.0081</v>
      </c>
      <c r="P121" s="2">
        <v>103</v>
      </c>
      <c r="Q121" s="2">
        <v>100.27760000000001</v>
      </c>
      <c r="R121" s="2">
        <v>135</v>
      </c>
      <c r="S121" s="2">
        <v>100.776</v>
      </c>
      <c r="T121" s="2">
        <v>145</v>
      </c>
      <c r="U121" s="2">
        <v>0.61611099999999996</v>
      </c>
      <c r="V121" s="2">
        <v>120</v>
      </c>
      <c r="W121" s="2">
        <v>2006</v>
      </c>
    </row>
    <row r="122" spans="1:23" ht="12.3" x14ac:dyDescent="0.4">
      <c r="A122" s="2" t="s">
        <v>48</v>
      </c>
      <c r="B122" s="2"/>
      <c r="C122" s="2"/>
      <c r="D122" s="2"/>
      <c r="E122" s="2"/>
      <c r="F122" s="2"/>
      <c r="G122" s="2"/>
      <c r="H122" s="2"/>
      <c r="I122" s="2">
        <v>68.332599999999999</v>
      </c>
      <c r="J122" s="2">
        <v>120</v>
      </c>
      <c r="K122" s="2">
        <v>68.597099999999998</v>
      </c>
      <c r="L122" s="2">
        <v>102</v>
      </c>
      <c r="M122" s="2">
        <v>98.169499999999999</v>
      </c>
      <c r="N122" s="2">
        <v>226</v>
      </c>
      <c r="O122" s="2">
        <v>100.85169999999999</v>
      </c>
      <c r="P122" s="2">
        <v>180</v>
      </c>
      <c r="Q122" s="2">
        <v>99.601100000000002</v>
      </c>
      <c r="R122" s="2">
        <v>117</v>
      </c>
      <c r="S122" s="2">
        <v>96.886399999999995</v>
      </c>
      <c r="T122" s="2">
        <v>77</v>
      </c>
      <c r="U122" s="2">
        <v>0.61331800000000003</v>
      </c>
      <c r="V122" s="2">
        <v>121</v>
      </c>
      <c r="W122" s="2">
        <v>2006</v>
      </c>
    </row>
    <row r="123" spans="1:23" ht="12.3" x14ac:dyDescent="0.4">
      <c r="A123" s="2" t="s">
        <v>113</v>
      </c>
      <c r="B123" s="2"/>
      <c r="C123" s="2"/>
      <c r="D123" s="2"/>
      <c r="E123" s="2"/>
      <c r="F123" s="2"/>
      <c r="G123" s="2"/>
      <c r="H123" s="2"/>
      <c r="I123" s="2">
        <v>66.261600000000001</v>
      </c>
      <c r="J123" s="2">
        <v>199</v>
      </c>
      <c r="K123" s="2">
        <v>66.436300000000003</v>
      </c>
      <c r="L123" s="2">
        <v>188</v>
      </c>
      <c r="M123" s="2">
        <v>99.098500000000001</v>
      </c>
      <c r="N123" s="2">
        <v>211</v>
      </c>
      <c r="O123" s="2">
        <v>102.19280000000001</v>
      </c>
      <c r="P123" s="2">
        <v>157</v>
      </c>
      <c r="Q123" s="2">
        <v>102.4393</v>
      </c>
      <c r="R123" s="2">
        <v>180</v>
      </c>
      <c r="S123" s="2">
        <v>98.183800000000005</v>
      </c>
      <c r="T123" s="2">
        <v>97</v>
      </c>
      <c r="U123" s="2">
        <v>0.61307</v>
      </c>
      <c r="V123" s="2">
        <v>122</v>
      </c>
      <c r="W123" s="2">
        <v>2006</v>
      </c>
    </row>
    <row r="124" spans="1:23" ht="12.3" x14ac:dyDescent="0.4">
      <c r="A124" s="2" t="s">
        <v>19</v>
      </c>
      <c r="B124" s="2"/>
      <c r="C124" s="2"/>
      <c r="D124" s="2"/>
      <c r="E124" s="2"/>
      <c r="F124" s="2"/>
      <c r="G124" s="2"/>
      <c r="H124" s="2"/>
      <c r="I124" s="2">
        <v>70.468699999999998</v>
      </c>
      <c r="J124" s="2">
        <v>54</v>
      </c>
      <c r="K124" s="2">
        <v>70.259900000000002</v>
      </c>
      <c r="L124" s="2">
        <v>49</v>
      </c>
      <c r="M124" s="2">
        <v>99.320099999999996</v>
      </c>
      <c r="N124" s="2">
        <v>199</v>
      </c>
      <c r="O124" s="2">
        <v>100.24379999999999</v>
      </c>
      <c r="P124" s="2">
        <v>194</v>
      </c>
      <c r="Q124" s="2">
        <v>100.53740000000001</v>
      </c>
      <c r="R124" s="2">
        <v>137</v>
      </c>
      <c r="S124" s="2">
        <v>96.580399999999997</v>
      </c>
      <c r="T124" s="2">
        <v>70</v>
      </c>
      <c r="U124" s="2">
        <v>0.60542899999999999</v>
      </c>
      <c r="V124" s="2">
        <v>123</v>
      </c>
      <c r="W124" s="2">
        <v>2006</v>
      </c>
    </row>
    <row r="125" spans="1:23" ht="12.3" x14ac:dyDescent="0.4">
      <c r="A125" s="2" t="s">
        <v>276</v>
      </c>
      <c r="B125" s="2"/>
      <c r="C125" s="2"/>
      <c r="D125" s="2"/>
      <c r="E125" s="2"/>
      <c r="F125" s="2"/>
      <c r="G125" s="2"/>
      <c r="H125" s="2"/>
      <c r="I125" s="2">
        <v>72.404399999999995</v>
      </c>
      <c r="J125" s="2">
        <v>22</v>
      </c>
      <c r="K125" s="2">
        <v>72.227199999999996</v>
      </c>
      <c r="L125" s="2">
        <v>21</v>
      </c>
      <c r="M125" s="2">
        <v>106.4307</v>
      </c>
      <c r="N125" s="2">
        <v>80</v>
      </c>
      <c r="O125" s="2">
        <v>101.8053</v>
      </c>
      <c r="P125" s="2">
        <v>166</v>
      </c>
      <c r="Q125" s="2">
        <v>92.363200000000006</v>
      </c>
      <c r="R125" s="2">
        <v>20</v>
      </c>
      <c r="S125" s="2">
        <v>98.116399999999999</v>
      </c>
      <c r="T125" s="2">
        <v>96</v>
      </c>
      <c r="U125" s="2">
        <v>0.60454600000000003</v>
      </c>
      <c r="V125" s="2">
        <v>124</v>
      </c>
      <c r="W125" s="2">
        <v>2006</v>
      </c>
    </row>
    <row r="126" spans="1:23" ht="12.3" x14ac:dyDescent="0.4">
      <c r="A126" s="2" t="s">
        <v>115</v>
      </c>
      <c r="B126" s="2"/>
      <c r="C126" s="2"/>
      <c r="D126" s="2"/>
      <c r="E126" s="2"/>
      <c r="F126" s="2"/>
      <c r="G126" s="2"/>
      <c r="H126" s="2"/>
      <c r="I126" s="2">
        <v>62.222299999999997</v>
      </c>
      <c r="J126" s="2">
        <v>310</v>
      </c>
      <c r="K126" s="2">
        <v>62.249299999999998</v>
      </c>
      <c r="L126" s="2">
        <v>313</v>
      </c>
      <c r="M126" s="2">
        <v>103.1615</v>
      </c>
      <c r="N126" s="2">
        <v>145</v>
      </c>
      <c r="O126" s="2">
        <v>102.24760000000001</v>
      </c>
      <c r="P126" s="2">
        <v>156</v>
      </c>
      <c r="Q126" s="2">
        <v>99.606899999999996</v>
      </c>
      <c r="R126" s="2">
        <v>118</v>
      </c>
      <c r="S126" s="2">
        <v>98.560599999999994</v>
      </c>
      <c r="T126" s="2">
        <v>102</v>
      </c>
      <c r="U126" s="2">
        <v>0.604043</v>
      </c>
      <c r="V126" s="2">
        <v>125</v>
      </c>
      <c r="W126" s="2">
        <v>2006</v>
      </c>
    </row>
    <row r="127" spans="1:23" ht="12.3" x14ac:dyDescent="0.4">
      <c r="A127" s="2" t="s">
        <v>134</v>
      </c>
      <c r="B127" s="2">
        <v>15</v>
      </c>
      <c r="C127" s="2"/>
      <c r="D127" s="2"/>
      <c r="E127" s="2"/>
      <c r="F127" s="2"/>
      <c r="G127" s="2"/>
      <c r="H127" s="2"/>
      <c r="I127" s="2">
        <v>67.540000000000006</v>
      </c>
      <c r="J127" s="2">
        <v>146</v>
      </c>
      <c r="K127" s="2">
        <v>67.165300000000002</v>
      </c>
      <c r="L127" s="2">
        <v>150</v>
      </c>
      <c r="M127" s="2">
        <v>110.9961</v>
      </c>
      <c r="N127" s="2">
        <v>25</v>
      </c>
      <c r="O127" s="2">
        <v>108.9734</v>
      </c>
      <c r="P127" s="2">
        <v>51</v>
      </c>
      <c r="Q127" s="2">
        <v>102.4421</v>
      </c>
      <c r="R127" s="2">
        <v>181</v>
      </c>
      <c r="S127" s="2">
        <v>105.248</v>
      </c>
      <c r="T127" s="2">
        <v>227</v>
      </c>
      <c r="U127" s="2">
        <v>0.598692</v>
      </c>
      <c r="V127" s="2">
        <v>126</v>
      </c>
      <c r="W127" s="2">
        <v>2006</v>
      </c>
    </row>
    <row r="128" spans="1:23" ht="12.3" x14ac:dyDescent="0.4">
      <c r="A128" s="2" t="s">
        <v>178</v>
      </c>
      <c r="B128" s="2"/>
      <c r="C128" s="2"/>
      <c r="D128" s="2"/>
      <c r="E128" s="2"/>
      <c r="F128" s="2"/>
      <c r="G128" s="2"/>
      <c r="H128" s="2"/>
      <c r="I128" s="2">
        <v>66.263599999999997</v>
      </c>
      <c r="J128" s="2">
        <v>198</v>
      </c>
      <c r="K128" s="2">
        <v>66.558599999999998</v>
      </c>
      <c r="L128" s="2">
        <v>182</v>
      </c>
      <c r="M128" s="2">
        <v>99.3142</v>
      </c>
      <c r="N128" s="2">
        <v>200</v>
      </c>
      <c r="O128" s="2">
        <v>98.463099999999997</v>
      </c>
      <c r="P128" s="2">
        <v>226</v>
      </c>
      <c r="Q128" s="2">
        <v>90.719899999999996</v>
      </c>
      <c r="R128" s="2">
        <v>10</v>
      </c>
      <c r="S128" s="2">
        <v>95.118300000000005</v>
      </c>
      <c r="T128" s="2">
        <v>46</v>
      </c>
      <c r="U128" s="2">
        <v>0.59807399999999999</v>
      </c>
      <c r="V128" s="2">
        <v>127</v>
      </c>
      <c r="W128" s="2">
        <v>2006</v>
      </c>
    </row>
    <row r="129" spans="1:23" ht="12.3" x14ac:dyDescent="0.4">
      <c r="A129" s="2" t="s">
        <v>133</v>
      </c>
      <c r="B129" s="2"/>
      <c r="C129" s="2"/>
      <c r="D129" s="2"/>
      <c r="E129" s="2"/>
      <c r="F129" s="2"/>
      <c r="G129" s="2"/>
      <c r="H129" s="2"/>
      <c r="I129" s="2">
        <v>72.347800000000007</v>
      </c>
      <c r="J129" s="2">
        <v>24</v>
      </c>
      <c r="K129" s="2">
        <v>70.897000000000006</v>
      </c>
      <c r="L129" s="2">
        <v>40</v>
      </c>
      <c r="M129" s="2">
        <v>105.85209999999999</v>
      </c>
      <c r="N129" s="2">
        <v>88</v>
      </c>
      <c r="O129" s="2">
        <v>105.32769999999999</v>
      </c>
      <c r="P129" s="2">
        <v>100</v>
      </c>
      <c r="Q129" s="2">
        <v>100.64400000000001</v>
      </c>
      <c r="R129" s="2">
        <v>142</v>
      </c>
      <c r="S129" s="2">
        <v>101.8623</v>
      </c>
      <c r="T129" s="2">
        <v>161</v>
      </c>
      <c r="U129" s="2">
        <v>0.59501199999999999</v>
      </c>
      <c r="V129" s="2">
        <v>128</v>
      </c>
      <c r="W129" s="2">
        <v>2006</v>
      </c>
    </row>
    <row r="130" spans="1:23" ht="12.3" x14ac:dyDescent="0.4">
      <c r="A130" s="2" t="s">
        <v>196</v>
      </c>
      <c r="B130" s="2"/>
      <c r="C130" s="2"/>
      <c r="D130" s="2"/>
      <c r="E130" s="2"/>
      <c r="F130" s="2"/>
      <c r="G130" s="2"/>
      <c r="H130" s="2"/>
      <c r="I130" s="2">
        <v>69.629400000000004</v>
      </c>
      <c r="J130" s="2">
        <v>70</v>
      </c>
      <c r="K130" s="2">
        <v>68.635000000000005</v>
      </c>
      <c r="L130" s="2">
        <v>101</v>
      </c>
      <c r="M130" s="2">
        <v>105.2908</v>
      </c>
      <c r="N130" s="2">
        <v>99</v>
      </c>
      <c r="O130" s="2">
        <v>103.36450000000001</v>
      </c>
      <c r="P130" s="2">
        <v>134</v>
      </c>
      <c r="Q130" s="2">
        <v>103.43300000000001</v>
      </c>
      <c r="R130" s="2">
        <v>204</v>
      </c>
      <c r="S130" s="2">
        <v>100.37090000000001</v>
      </c>
      <c r="T130" s="2">
        <v>135</v>
      </c>
      <c r="U130" s="2">
        <v>0.58369599999999999</v>
      </c>
      <c r="V130" s="2">
        <v>129</v>
      </c>
      <c r="W130" s="2">
        <v>2006</v>
      </c>
    </row>
    <row r="131" spans="1:23" ht="12.3" x14ac:dyDescent="0.4">
      <c r="A131" s="2" t="s">
        <v>112</v>
      </c>
      <c r="B131" s="2"/>
      <c r="C131" s="2"/>
      <c r="D131" s="2"/>
      <c r="E131" s="2"/>
      <c r="F131" s="2"/>
      <c r="G131" s="2"/>
      <c r="H131" s="2"/>
      <c r="I131" s="2">
        <v>71.137299999999996</v>
      </c>
      <c r="J131" s="2">
        <v>44</v>
      </c>
      <c r="K131" s="2">
        <v>70.746200000000002</v>
      </c>
      <c r="L131" s="2">
        <v>43</v>
      </c>
      <c r="M131" s="2">
        <v>102.6353</v>
      </c>
      <c r="N131" s="2">
        <v>152</v>
      </c>
      <c r="O131" s="2">
        <v>104.4731</v>
      </c>
      <c r="P131" s="2">
        <v>115</v>
      </c>
      <c r="Q131" s="2">
        <v>102.7796</v>
      </c>
      <c r="R131" s="2">
        <v>190</v>
      </c>
      <c r="S131" s="2">
        <v>101.9303</v>
      </c>
      <c r="T131" s="2">
        <v>163</v>
      </c>
      <c r="U131" s="2">
        <v>0.57037099999999996</v>
      </c>
      <c r="V131" s="2">
        <v>130</v>
      </c>
      <c r="W131" s="2">
        <v>2006</v>
      </c>
    </row>
    <row r="132" spans="1:23" ht="12.3" x14ac:dyDescent="0.4">
      <c r="A132" s="2" t="s">
        <v>291</v>
      </c>
      <c r="B132" s="2"/>
      <c r="C132" s="2"/>
      <c r="D132" s="2"/>
      <c r="E132" s="2"/>
      <c r="F132" s="2"/>
      <c r="G132" s="2"/>
      <c r="H132" s="2"/>
      <c r="I132" s="2">
        <v>73.294200000000004</v>
      </c>
      <c r="J132" s="2">
        <v>14</v>
      </c>
      <c r="K132" s="2">
        <v>72.438800000000001</v>
      </c>
      <c r="L132" s="2">
        <v>17</v>
      </c>
      <c r="M132" s="2">
        <v>97.466899999999995</v>
      </c>
      <c r="N132" s="2">
        <v>240</v>
      </c>
      <c r="O132" s="2">
        <v>98.412400000000005</v>
      </c>
      <c r="P132" s="2">
        <v>227</v>
      </c>
      <c r="Q132" s="2">
        <v>99.983599999999996</v>
      </c>
      <c r="R132" s="2">
        <v>126</v>
      </c>
      <c r="S132" s="2">
        <v>96.321399999999997</v>
      </c>
      <c r="T132" s="2">
        <v>61</v>
      </c>
      <c r="U132" s="2">
        <v>0.56143200000000004</v>
      </c>
      <c r="V132" s="2">
        <v>131</v>
      </c>
      <c r="W132" s="2">
        <v>2006</v>
      </c>
    </row>
    <row r="133" spans="1:23" ht="12.3" x14ac:dyDescent="0.4">
      <c r="A133" s="2" t="s">
        <v>339</v>
      </c>
      <c r="B133" s="2">
        <v>16</v>
      </c>
      <c r="C133" s="2"/>
      <c r="D133" s="2"/>
      <c r="E133" s="2"/>
      <c r="F133" s="2"/>
      <c r="G133" s="2"/>
      <c r="H133" s="2"/>
      <c r="I133" s="2">
        <v>64.127600000000001</v>
      </c>
      <c r="J133" s="2">
        <v>273</v>
      </c>
      <c r="K133" s="2">
        <v>65.224900000000005</v>
      </c>
      <c r="L133" s="2">
        <v>241</v>
      </c>
      <c r="M133" s="2">
        <v>106.4503</v>
      </c>
      <c r="N133" s="2">
        <v>78</v>
      </c>
      <c r="O133" s="2">
        <v>104.5827</v>
      </c>
      <c r="P133" s="2">
        <v>111</v>
      </c>
      <c r="Q133" s="2">
        <v>99.312600000000003</v>
      </c>
      <c r="R133" s="2">
        <v>112</v>
      </c>
      <c r="S133" s="2">
        <v>102.5629</v>
      </c>
      <c r="T133" s="2">
        <v>176</v>
      </c>
      <c r="U133" s="2">
        <v>0.55583499999999997</v>
      </c>
      <c r="V133" s="2">
        <v>132</v>
      </c>
      <c r="W133" s="2">
        <v>2006</v>
      </c>
    </row>
    <row r="134" spans="1:23" ht="12.3" x14ac:dyDescent="0.4">
      <c r="A134" s="2" t="s">
        <v>110</v>
      </c>
      <c r="B134" s="2"/>
      <c r="C134" s="2"/>
      <c r="D134" s="2"/>
      <c r="E134" s="2"/>
      <c r="F134" s="2"/>
      <c r="G134" s="2"/>
      <c r="H134" s="2"/>
      <c r="I134" s="2">
        <v>64.3245</v>
      </c>
      <c r="J134" s="2">
        <v>267</v>
      </c>
      <c r="K134" s="2">
        <v>63.217100000000002</v>
      </c>
      <c r="L134" s="2">
        <v>296</v>
      </c>
      <c r="M134" s="2">
        <v>110.9636</v>
      </c>
      <c r="N134" s="2">
        <v>26</v>
      </c>
      <c r="O134" s="2">
        <v>107.8289</v>
      </c>
      <c r="P134" s="2">
        <v>65</v>
      </c>
      <c r="Q134" s="2">
        <v>103.72920000000001</v>
      </c>
      <c r="R134" s="2">
        <v>216</v>
      </c>
      <c r="S134" s="2">
        <v>105.8342</v>
      </c>
      <c r="T134" s="2">
        <v>242</v>
      </c>
      <c r="U134" s="2">
        <v>0.55347599999999997</v>
      </c>
      <c r="V134" s="2">
        <v>133</v>
      </c>
      <c r="W134" s="2">
        <v>2006</v>
      </c>
    </row>
    <row r="135" spans="1:23" ht="12.3" x14ac:dyDescent="0.4">
      <c r="A135" s="2" t="s">
        <v>188</v>
      </c>
      <c r="B135" s="2"/>
      <c r="C135" s="2"/>
      <c r="D135" s="2"/>
      <c r="E135" s="2"/>
      <c r="F135" s="2"/>
      <c r="G135" s="2"/>
      <c r="H135" s="2"/>
      <c r="I135" s="2">
        <v>75.432699999999997</v>
      </c>
      <c r="J135" s="2">
        <v>5</v>
      </c>
      <c r="K135" s="2">
        <v>75.238799999999998</v>
      </c>
      <c r="L135" s="2">
        <v>2</v>
      </c>
      <c r="M135" s="2">
        <v>107.91079999999999</v>
      </c>
      <c r="N135" s="2">
        <v>56</v>
      </c>
      <c r="O135" s="2">
        <v>106.9562</v>
      </c>
      <c r="P135" s="2">
        <v>75</v>
      </c>
      <c r="Q135" s="2">
        <v>105.3005</v>
      </c>
      <c r="R135" s="2">
        <v>243</v>
      </c>
      <c r="S135" s="2">
        <v>105.00279999999999</v>
      </c>
      <c r="T135" s="2">
        <v>222</v>
      </c>
      <c r="U135" s="2">
        <v>0.55279500000000004</v>
      </c>
      <c r="V135" s="2">
        <v>134</v>
      </c>
      <c r="W135" s="2">
        <v>2006</v>
      </c>
    </row>
    <row r="136" spans="1:23" ht="12.3" x14ac:dyDescent="0.4">
      <c r="A136" s="2" t="s">
        <v>64</v>
      </c>
      <c r="B136" s="2"/>
      <c r="C136" s="2"/>
      <c r="D136" s="2"/>
      <c r="E136" s="2"/>
      <c r="F136" s="2"/>
      <c r="G136" s="2"/>
      <c r="H136" s="2"/>
      <c r="I136" s="2">
        <v>62.890700000000002</v>
      </c>
      <c r="J136" s="2">
        <v>302</v>
      </c>
      <c r="K136" s="2">
        <v>63.759399999999999</v>
      </c>
      <c r="L136" s="2">
        <v>280</v>
      </c>
      <c r="M136" s="2">
        <v>99.296199999999999</v>
      </c>
      <c r="N136" s="2">
        <v>201</v>
      </c>
      <c r="O136" s="2">
        <v>101.5493</v>
      </c>
      <c r="P136" s="2">
        <v>167</v>
      </c>
      <c r="Q136" s="2">
        <v>97.918199999999999</v>
      </c>
      <c r="R136" s="2">
        <v>84</v>
      </c>
      <c r="S136" s="2">
        <v>99.735699999999994</v>
      </c>
      <c r="T136" s="2">
        <v>124</v>
      </c>
      <c r="U136" s="2">
        <v>0.551624</v>
      </c>
      <c r="V136" s="2">
        <v>135</v>
      </c>
      <c r="W136" s="2">
        <v>2006</v>
      </c>
    </row>
    <row r="137" spans="1:23" ht="12.3" x14ac:dyDescent="0.4">
      <c r="A137" s="2" t="s">
        <v>205</v>
      </c>
      <c r="B137" s="2"/>
      <c r="C137" s="2"/>
      <c r="D137" s="2"/>
      <c r="E137" s="2"/>
      <c r="F137" s="2"/>
      <c r="G137" s="2"/>
      <c r="H137" s="2"/>
      <c r="I137" s="2">
        <v>65.227699999999999</v>
      </c>
      <c r="J137" s="2">
        <v>240</v>
      </c>
      <c r="K137" s="2">
        <v>66.233699999999999</v>
      </c>
      <c r="L137" s="2">
        <v>206</v>
      </c>
      <c r="M137" s="2">
        <v>101.5955</v>
      </c>
      <c r="N137" s="2">
        <v>170</v>
      </c>
      <c r="O137" s="2">
        <v>104.15089999999999</v>
      </c>
      <c r="P137" s="2">
        <v>120</v>
      </c>
      <c r="Q137" s="2">
        <v>105.6144</v>
      </c>
      <c r="R137" s="2">
        <v>247</v>
      </c>
      <c r="S137" s="2">
        <v>102.3129</v>
      </c>
      <c r="T137" s="2">
        <v>170</v>
      </c>
      <c r="U137" s="2">
        <v>0.55101100000000003</v>
      </c>
      <c r="V137" s="2">
        <v>136</v>
      </c>
      <c r="W137" s="2">
        <v>2006</v>
      </c>
    </row>
    <row r="138" spans="1:23" ht="12.3" x14ac:dyDescent="0.4">
      <c r="A138" s="2" t="s">
        <v>157</v>
      </c>
      <c r="B138" s="2"/>
      <c r="C138" s="2"/>
      <c r="D138" s="2"/>
      <c r="E138" s="2"/>
      <c r="F138" s="2"/>
      <c r="G138" s="2"/>
      <c r="H138" s="2"/>
      <c r="I138" s="2">
        <v>69.307199999999995</v>
      </c>
      <c r="J138" s="2">
        <v>84</v>
      </c>
      <c r="K138" s="2">
        <v>69.613799999999998</v>
      </c>
      <c r="L138" s="2">
        <v>71</v>
      </c>
      <c r="M138" s="2">
        <v>104.4109</v>
      </c>
      <c r="N138" s="2">
        <v>123</v>
      </c>
      <c r="O138" s="2">
        <v>105.499</v>
      </c>
      <c r="P138" s="2">
        <v>97</v>
      </c>
      <c r="Q138" s="2">
        <v>103.5146</v>
      </c>
      <c r="R138" s="2">
        <v>207</v>
      </c>
      <c r="S138" s="2">
        <v>103.7026</v>
      </c>
      <c r="T138" s="2">
        <v>198</v>
      </c>
      <c r="U138" s="2">
        <v>0.54921699999999996</v>
      </c>
      <c r="V138" s="2">
        <v>137</v>
      </c>
      <c r="W138" s="2">
        <v>2006</v>
      </c>
    </row>
    <row r="139" spans="1:23" ht="12.3" x14ac:dyDescent="0.4">
      <c r="A139" s="2" t="s">
        <v>213</v>
      </c>
      <c r="B139" s="2"/>
      <c r="C139" s="2"/>
      <c r="D139" s="2"/>
      <c r="E139" s="2"/>
      <c r="F139" s="2"/>
      <c r="G139" s="2"/>
      <c r="H139" s="2"/>
      <c r="I139" s="2">
        <v>68.023899999999998</v>
      </c>
      <c r="J139" s="2">
        <v>127</v>
      </c>
      <c r="K139" s="2">
        <v>69.581199999999995</v>
      </c>
      <c r="L139" s="2">
        <v>74</v>
      </c>
      <c r="M139" s="2">
        <v>104.1422</v>
      </c>
      <c r="N139" s="2">
        <v>127</v>
      </c>
      <c r="O139" s="2">
        <v>104.1007</v>
      </c>
      <c r="P139" s="2">
        <v>121</v>
      </c>
      <c r="Q139" s="2">
        <v>101.8869</v>
      </c>
      <c r="R139" s="2">
        <v>166</v>
      </c>
      <c r="S139" s="2">
        <v>102.8583</v>
      </c>
      <c r="T139" s="2">
        <v>181</v>
      </c>
      <c r="U139" s="2">
        <v>0.53446199999999999</v>
      </c>
      <c r="V139" s="2">
        <v>138</v>
      </c>
      <c r="W139" s="2">
        <v>2006</v>
      </c>
    </row>
    <row r="140" spans="1:23" ht="12.3" x14ac:dyDescent="0.4">
      <c r="A140" s="2" t="s">
        <v>150</v>
      </c>
      <c r="B140" s="2"/>
      <c r="C140" s="2"/>
      <c r="D140" s="2"/>
      <c r="E140" s="2"/>
      <c r="F140" s="2"/>
      <c r="G140" s="2"/>
      <c r="H140" s="2"/>
      <c r="I140" s="2">
        <v>66.286000000000001</v>
      </c>
      <c r="J140" s="2">
        <v>197</v>
      </c>
      <c r="K140" s="2">
        <v>67.3827</v>
      </c>
      <c r="L140" s="2">
        <v>142</v>
      </c>
      <c r="M140" s="2">
        <v>107.0377</v>
      </c>
      <c r="N140" s="2">
        <v>66</v>
      </c>
      <c r="O140" s="2">
        <v>106.0539</v>
      </c>
      <c r="P140" s="2">
        <v>85</v>
      </c>
      <c r="Q140" s="2">
        <v>105.7599</v>
      </c>
      <c r="R140" s="2">
        <v>251</v>
      </c>
      <c r="S140" s="2">
        <v>104.818</v>
      </c>
      <c r="T140" s="2">
        <v>218</v>
      </c>
      <c r="U140" s="2">
        <v>0.53365200000000002</v>
      </c>
      <c r="V140" s="2">
        <v>139</v>
      </c>
      <c r="W140" s="2">
        <v>2006</v>
      </c>
    </row>
    <row r="141" spans="1:23" ht="12.3" x14ac:dyDescent="0.4">
      <c r="A141" s="2" t="s">
        <v>158</v>
      </c>
      <c r="B141" s="2"/>
      <c r="C141" s="2"/>
      <c r="D141" s="2"/>
      <c r="E141" s="2"/>
      <c r="F141" s="2"/>
      <c r="G141" s="2"/>
      <c r="H141" s="2"/>
      <c r="I141" s="2">
        <v>65.9178</v>
      </c>
      <c r="J141" s="2">
        <v>214</v>
      </c>
      <c r="K141" s="2">
        <v>66.313500000000005</v>
      </c>
      <c r="L141" s="2">
        <v>195</v>
      </c>
      <c r="M141" s="2">
        <v>95.268100000000004</v>
      </c>
      <c r="N141" s="2">
        <v>279</v>
      </c>
      <c r="O141" s="2">
        <v>103.2454</v>
      </c>
      <c r="P141" s="2">
        <v>138</v>
      </c>
      <c r="Q141" s="2">
        <v>109.95269999999999</v>
      </c>
      <c r="R141" s="2">
        <v>310</v>
      </c>
      <c r="S141" s="2">
        <v>102.0976</v>
      </c>
      <c r="T141" s="2">
        <v>166</v>
      </c>
      <c r="U141" s="2">
        <v>0.53209600000000001</v>
      </c>
      <c r="V141" s="2">
        <v>140</v>
      </c>
      <c r="W141" s="2">
        <v>2006</v>
      </c>
    </row>
    <row r="142" spans="1:23" ht="12.3" x14ac:dyDescent="0.4">
      <c r="A142" s="2" t="s">
        <v>139</v>
      </c>
      <c r="B142" s="2"/>
      <c r="C142" s="2"/>
      <c r="D142" s="2"/>
      <c r="E142" s="2"/>
      <c r="F142" s="2"/>
      <c r="G142" s="2"/>
      <c r="H142" s="2"/>
      <c r="I142" s="2">
        <v>70.226500000000001</v>
      </c>
      <c r="J142" s="2">
        <v>56</v>
      </c>
      <c r="K142" s="2">
        <v>69.097700000000003</v>
      </c>
      <c r="L142" s="2">
        <v>86</v>
      </c>
      <c r="M142" s="2">
        <v>107.71559999999999</v>
      </c>
      <c r="N142" s="2">
        <v>58</v>
      </c>
      <c r="O142" s="2">
        <v>105.58629999999999</v>
      </c>
      <c r="P142" s="2">
        <v>92</v>
      </c>
      <c r="Q142" s="2">
        <v>106.10590000000001</v>
      </c>
      <c r="R142" s="2">
        <v>257</v>
      </c>
      <c r="S142" s="2">
        <v>104.4384</v>
      </c>
      <c r="T142" s="2">
        <v>210</v>
      </c>
      <c r="U142" s="2">
        <v>0.53138799999999997</v>
      </c>
      <c r="V142" s="2">
        <v>141</v>
      </c>
      <c r="W142" s="2">
        <v>2006</v>
      </c>
    </row>
    <row r="143" spans="1:23" ht="12.3" x14ac:dyDescent="0.4">
      <c r="A143" s="2" t="s">
        <v>208</v>
      </c>
      <c r="B143" s="2"/>
      <c r="C143" s="2"/>
      <c r="D143" s="2"/>
      <c r="E143" s="2"/>
      <c r="F143" s="2"/>
      <c r="G143" s="2"/>
      <c r="H143" s="2"/>
      <c r="I143" s="2">
        <v>56.831200000000003</v>
      </c>
      <c r="J143" s="2">
        <v>333</v>
      </c>
      <c r="K143" s="2">
        <v>57.247300000000003</v>
      </c>
      <c r="L143" s="2">
        <v>331</v>
      </c>
      <c r="M143" s="2">
        <v>111.1272</v>
      </c>
      <c r="N143" s="2">
        <v>22</v>
      </c>
      <c r="O143" s="2">
        <v>108.52079999999999</v>
      </c>
      <c r="P143" s="2">
        <v>58</v>
      </c>
      <c r="Q143" s="2">
        <v>105.4931</v>
      </c>
      <c r="R143" s="2">
        <v>245</v>
      </c>
      <c r="S143" s="2">
        <v>107.3586</v>
      </c>
      <c r="T143" s="2">
        <v>270</v>
      </c>
      <c r="U143" s="2">
        <v>0.530918</v>
      </c>
      <c r="V143" s="2">
        <v>142</v>
      </c>
      <c r="W143" s="2">
        <v>2006</v>
      </c>
    </row>
    <row r="144" spans="1:23" ht="12.3" x14ac:dyDescent="0.4">
      <c r="A144" s="2" t="s">
        <v>70</v>
      </c>
      <c r="B144" s="2"/>
      <c r="C144" s="2"/>
      <c r="D144" s="2"/>
      <c r="E144" s="2"/>
      <c r="F144" s="2"/>
      <c r="G144" s="2"/>
      <c r="H144" s="2"/>
      <c r="I144" s="2">
        <v>62.124299999999998</v>
      </c>
      <c r="J144" s="2">
        <v>312</v>
      </c>
      <c r="K144" s="2">
        <v>61.927199999999999</v>
      </c>
      <c r="L144" s="2">
        <v>314</v>
      </c>
      <c r="M144" s="2">
        <v>101.6146</v>
      </c>
      <c r="N144" s="2">
        <v>169</v>
      </c>
      <c r="O144" s="2">
        <v>103.2787</v>
      </c>
      <c r="P144" s="2">
        <v>137</v>
      </c>
      <c r="Q144" s="2">
        <v>102.2741</v>
      </c>
      <c r="R144" s="2">
        <v>178</v>
      </c>
      <c r="S144" s="2">
        <v>102.3087</v>
      </c>
      <c r="T144" s="2">
        <v>169</v>
      </c>
      <c r="U144" s="2">
        <v>0.52710199999999996</v>
      </c>
      <c r="V144" s="2">
        <v>143</v>
      </c>
      <c r="W144" s="2">
        <v>2006</v>
      </c>
    </row>
    <row r="145" spans="1:23" ht="12.3" x14ac:dyDescent="0.4">
      <c r="A145" s="2" t="s">
        <v>212</v>
      </c>
      <c r="B145" s="2"/>
      <c r="C145" s="2"/>
      <c r="D145" s="2"/>
      <c r="E145" s="2"/>
      <c r="F145" s="2"/>
      <c r="G145" s="2"/>
      <c r="H145" s="2"/>
      <c r="I145" s="2">
        <v>71.383600000000001</v>
      </c>
      <c r="J145" s="2">
        <v>37</v>
      </c>
      <c r="K145" s="2">
        <v>71.2881</v>
      </c>
      <c r="L145" s="2">
        <v>33</v>
      </c>
      <c r="M145" s="2">
        <v>100.1099</v>
      </c>
      <c r="N145" s="2">
        <v>192</v>
      </c>
      <c r="O145" s="2">
        <v>100.5354</v>
      </c>
      <c r="P145" s="2">
        <v>189</v>
      </c>
      <c r="Q145" s="2">
        <v>99.624200000000002</v>
      </c>
      <c r="R145" s="2">
        <v>120</v>
      </c>
      <c r="S145" s="2">
        <v>99.665300000000002</v>
      </c>
      <c r="T145" s="2">
        <v>123</v>
      </c>
      <c r="U145" s="2">
        <v>0.52497000000000005</v>
      </c>
      <c r="V145" s="2">
        <v>144</v>
      </c>
      <c r="W145" s="2">
        <v>2006</v>
      </c>
    </row>
    <row r="146" spans="1:23" ht="12.3" x14ac:dyDescent="0.4">
      <c r="A146" s="2" t="s">
        <v>335</v>
      </c>
      <c r="B146" s="2"/>
      <c r="C146" s="2"/>
      <c r="D146" s="2"/>
      <c r="E146" s="2"/>
      <c r="F146" s="2"/>
      <c r="G146" s="2"/>
      <c r="H146" s="2"/>
      <c r="I146" s="2">
        <v>69.467399999999998</v>
      </c>
      <c r="J146" s="2">
        <v>76</v>
      </c>
      <c r="K146" s="2">
        <v>67.590599999999995</v>
      </c>
      <c r="L146" s="2">
        <v>132</v>
      </c>
      <c r="M146" s="2">
        <v>105.9307</v>
      </c>
      <c r="N146" s="2">
        <v>86</v>
      </c>
      <c r="O146" s="2">
        <v>105.5611</v>
      </c>
      <c r="P146" s="2">
        <v>94</v>
      </c>
      <c r="Q146" s="2">
        <v>106.3621</v>
      </c>
      <c r="R146" s="2">
        <v>265</v>
      </c>
      <c r="S146" s="2">
        <v>104.70099999999999</v>
      </c>
      <c r="T146" s="2">
        <v>213</v>
      </c>
      <c r="U146" s="2">
        <v>0.52350600000000003</v>
      </c>
      <c r="V146" s="2">
        <v>145</v>
      </c>
      <c r="W146" s="2">
        <v>2006</v>
      </c>
    </row>
    <row r="147" spans="1:23" ht="12.3" x14ac:dyDescent="0.4">
      <c r="A147" s="2" t="s">
        <v>121</v>
      </c>
      <c r="B147" s="2"/>
      <c r="C147" s="2"/>
      <c r="D147" s="2"/>
      <c r="E147" s="2"/>
      <c r="F147" s="2"/>
      <c r="G147" s="2"/>
      <c r="H147" s="2"/>
      <c r="I147" s="2">
        <v>67.312299999999993</v>
      </c>
      <c r="J147" s="2">
        <v>151</v>
      </c>
      <c r="K147" s="2">
        <v>67.399500000000003</v>
      </c>
      <c r="L147" s="2">
        <v>139</v>
      </c>
      <c r="M147" s="2">
        <v>95.656899999999993</v>
      </c>
      <c r="N147" s="2">
        <v>270</v>
      </c>
      <c r="O147" s="2">
        <v>100.8591</v>
      </c>
      <c r="P147" s="2">
        <v>179</v>
      </c>
      <c r="Q147" s="2">
        <v>105.0415</v>
      </c>
      <c r="R147" s="2">
        <v>240</v>
      </c>
      <c r="S147" s="2">
        <v>100.126</v>
      </c>
      <c r="T147" s="2">
        <v>130</v>
      </c>
      <c r="U147" s="2">
        <v>0.52096100000000001</v>
      </c>
      <c r="V147" s="2">
        <v>146</v>
      </c>
      <c r="W147" s="2">
        <v>2006</v>
      </c>
    </row>
    <row r="148" spans="1:23" ht="12.3" x14ac:dyDescent="0.4">
      <c r="A148" s="2" t="s">
        <v>99</v>
      </c>
      <c r="B148" s="2"/>
      <c r="C148" s="2"/>
      <c r="D148" s="2"/>
      <c r="E148" s="2"/>
      <c r="F148" s="2"/>
      <c r="G148" s="2"/>
      <c r="H148" s="2"/>
      <c r="I148" s="2">
        <v>66.390600000000006</v>
      </c>
      <c r="J148" s="2">
        <v>195</v>
      </c>
      <c r="K148" s="2">
        <v>66.548299999999998</v>
      </c>
      <c r="L148" s="2">
        <v>183</v>
      </c>
      <c r="M148" s="2">
        <v>99.352099999999993</v>
      </c>
      <c r="N148" s="2">
        <v>198</v>
      </c>
      <c r="O148" s="2">
        <v>102.7052</v>
      </c>
      <c r="P148" s="2">
        <v>150</v>
      </c>
      <c r="Q148" s="2">
        <v>103.6983</v>
      </c>
      <c r="R148" s="2">
        <v>213</v>
      </c>
      <c r="S148" s="2">
        <v>101.9624</v>
      </c>
      <c r="T148" s="2">
        <v>164</v>
      </c>
      <c r="U148" s="2">
        <v>0.52085800000000004</v>
      </c>
      <c r="V148" s="2">
        <v>147</v>
      </c>
      <c r="W148" s="2">
        <v>2006</v>
      </c>
    </row>
    <row r="149" spans="1:23" ht="12.3" x14ac:dyDescent="0.4">
      <c r="A149" s="2" t="s">
        <v>153</v>
      </c>
      <c r="B149" s="2"/>
      <c r="C149" s="2"/>
      <c r="D149" s="2"/>
      <c r="E149" s="2"/>
      <c r="F149" s="2"/>
      <c r="G149" s="2"/>
      <c r="H149" s="2"/>
      <c r="I149" s="2">
        <v>73.934200000000004</v>
      </c>
      <c r="J149" s="2">
        <v>10</v>
      </c>
      <c r="K149" s="2">
        <v>73.703699999999998</v>
      </c>
      <c r="L149" s="2">
        <v>6</v>
      </c>
      <c r="M149" s="2">
        <v>103.22799999999999</v>
      </c>
      <c r="N149" s="2">
        <v>143</v>
      </c>
      <c r="O149" s="2">
        <v>100.4678</v>
      </c>
      <c r="P149" s="2">
        <v>192</v>
      </c>
      <c r="Q149" s="2">
        <v>98.438199999999995</v>
      </c>
      <c r="R149" s="2">
        <v>89</v>
      </c>
      <c r="S149" s="2">
        <v>99.746399999999994</v>
      </c>
      <c r="T149" s="2">
        <v>126</v>
      </c>
      <c r="U149" s="2">
        <v>0.52070499999999997</v>
      </c>
      <c r="V149" s="2">
        <v>148</v>
      </c>
      <c r="W149" s="2">
        <v>2006</v>
      </c>
    </row>
    <row r="150" spans="1:23" ht="12.3" x14ac:dyDescent="0.4">
      <c r="A150" s="2" t="s">
        <v>93</v>
      </c>
      <c r="B150" s="2"/>
      <c r="C150" s="2"/>
      <c r="D150" s="2"/>
      <c r="E150" s="2"/>
      <c r="F150" s="2"/>
      <c r="G150" s="2"/>
      <c r="H150" s="2"/>
      <c r="I150" s="2">
        <v>68.247299999999996</v>
      </c>
      <c r="J150" s="2">
        <v>124</v>
      </c>
      <c r="K150" s="2">
        <v>70.081800000000001</v>
      </c>
      <c r="L150" s="2">
        <v>57</v>
      </c>
      <c r="M150" s="2">
        <v>95.640199999999993</v>
      </c>
      <c r="N150" s="2">
        <v>271</v>
      </c>
      <c r="O150" s="2">
        <v>96.860299999999995</v>
      </c>
      <c r="P150" s="2">
        <v>249</v>
      </c>
      <c r="Q150" s="2">
        <v>97.341800000000006</v>
      </c>
      <c r="R150" s="2">
        <v>69</v>
      </c>
      <c r="S150" s="2">
        <v>96.186999999999998</v>
      </c>
      <c r="T150" s="2">
        <v>59</v>
      </c>
      <c r="U150" s="2">
        <v>0.52004399999999995</v>
      </c>
      <c r="V150" s="2">
        <v>149</v>
      </c>
      <c r="W150" s="2">
        <v>2006</v>
      </c>
    </row>
    <row r="151" spans="1:23" ht="12.3" x14ac:dyDescent="0.4">
      <c r="A151" s="2" t="s">
        <v>334</v>
      </c>
      <c r="B151" s="2"/>
      <c r="C151" s="2"/>
      <c r="D151" s="2"/>
      <c r="E151" s="2"/>
      <c r="F151" s="2"/>
      <c r="G151" s="2"/>
      <c r="H151" s="2"/>
      <c r="I151" s="2">
        <v>63.921700000000001</v>
      </c>
      <c r="J151" s="2">
        <v>278</v>
      </c>
      <c r="K151" s="2">
        <v>62.625999999999998</v>
      </c>
      <c r="L151" s="2">
        <v>308</v>
      </c>
      <c r="M151" s="2">
        <v>108.4387</v>
      </c>
      <c r="N151" s="2">
        <v>47</v>
      </c>
      <c r="O151" s="2">
        <v>107.0517</v>
      </c>
      <c r="P151" s="2">
        <v>74</v>
      </c>
      <c r="Q151" s="2">
        <v>105.72069999999999</v>
      </c>
      <c r="R151" s="2">
        <v>250</v>
      </c>
      <c r="S151" s="2">
        <v>106.3267</v>
      </c>
      <c r="T151" s="2">
        <v>253</v>
      </c>
      <c r="U151" s="2">
        <v>0.51952699999999996</v>
      </c>
      <c r="V151" s="2">
        <v>150</v>
      </c>
      <c r="W151" s="2">
        <v>2006</v>
      </c>
    </row>
    <row r="152" spans="1:23" ht="12.3" x14ac:dyDescent="0.4">
      <c r="A152" s="2" t="s">
        <v>254</v>
      </c>
      <c r="B152" s="2"/>
      <c r="C152" s="2"/>
      <c r="D152" s="2"/>
      <c r="E152" s="2"/>
      <c r="F152" s="2"/>
      <c r="G152" s="2"/>
      <c r="H152" s="2"/>
      <c r="I152" s="2">
        <v>71.315600000000003</v>
      </c>
      <c r="J152" s="2">
        <v>38</v>
      </c>
      <c r="K152" s="2">
        <v>70.878399999999999</v>
      </c>
      <c r="L152" s="2">
        <v>41</v>
      </c>
      <c r="M152" s="2">
        <v>104.7808</v>
      </c>
      <c r="N152" s="2">
        <v>111</v>
      </c>
      <c r="O152" s="2">
        <v>103.45529999999999</v>
      </c>
      <c r="P152" s="2">
        <v>132</v>
      </c>
      <c r="Q152" s="2">
        <v>102.5731</v>
      </c>
      <c r="R152" s="2">
        <v>184</v>
      </c>
      <c r="S152" s="2">
        <v>102.9598</v>
      </c>
      <c r="T152" s="2">
        <v>183</v>
      </c>
      <c r="U152" s="2">
        <v>0.51380099999999995</v>
      </c>
      <c r="V152" s="2">
        <v>151</v>
      </c>
      <c r="W152" s="2">
        <v>2006</v>
      </c>
    </row>
    <row r="153" spans="1:23" ht="12.3" x14ac:dyDescent="0.4">
      <c r="A153" s="2" t="s">
        <v>258</v>
      </c>
      <c r="B153" s="2"/>
      <c r="C153" s="2"/>
      <c r="D153" s="2"/>
      <c r="E153" s="2"/>
      <c r="F153" s="2"/>
      <c r="G153" s="2"/>
      <c r="H153" s="2"/>
      <c r="I153" s="2">
        <v>62.576500000000003</v>
      </c>
      <c r="J153" s="2">
        <v>306</v>
      </c>
      <c r="K153" s="2">
        <v>64.169300000000007</v>
      </c>
      <c r="L153" s="2">
        <v>271</v>
      </c>
      <c r="M153" s="2">
        <v>100.575</v>
      </c>
      <c r="N153" s="2">
        <v>184</v>
      </c>
      <c r="O153" s="2">
        <v>102.78870000000001</v>
      </c>
      <c r="P153" s="2">
        <v>147</v>
      </c>
      <c r="Q153" s="2">
        <v>102.7591</v>
      </c>
      <c r="R153" s="2">
        <v>189</v>
      </c>
      <c r="S153" s="2">
        <v>102.42449999999999</v>
      </c>
      <c r="T153" s="2">
        <v>172</v>
      </c>
      <c r="U153" s="2">
        <v>0.51020200000000004</v>
      </c>
      <c r="V153" s="2">
        <v>152</v>
      </c>
      <c r="W153" s="2">
        <v>2006</v>
      </c>
    </row>
    <row r="154" spans="1:23" ht="12.3" x14ac:dyDescent="0.4">
      <c r="A154" s="2" t="s">
        <v>244</v>
      </c>
      <c r="B154" s="2">
        <v>15</v>
      </c>
      <c r="C154" s="2"/>
      <c r="D154" s="2"/>
      <c r="E154" s="2"/>
      <c r="F154" s="2"/>
      <c r="G154" s="2"/>
      <c r="H154" s="2"/>
      <c r="I154" s="2">
        <v>71.881100000000004</v>
      </c>
      <c r="J154" s="2">
        <v>29</v>
      </c>
      <c r="K154" s="2">
        <v>69.950100000000006</v>
      </c>
      <c r="L154" s="2">
        <v>58</v>
      </c>
      <c r="M154" s="2">
        <v>112.11920000000001</v>
      </c>
      <c r="N154" s="2">
        <v>12</v>
      </c>
      <c r="O154" s="2">
        <v>107.0975</v>
      </c>
      <c r="P154" s="2">
        <v>73</v>
      </c>
      <c r="Q154" s="2">
        <v>103.8058</v>
      </c>
      <c r="R154" s="2">
        <v>217</v>
      </c>
      <c r="S154" s="2">
        <v>106.8052</v>
      </c>
      <c r="T154" s="2">
        <v>260</v>
      </c>
      <c r="U154" s="2">
        <v>0.50785899999999995</v>
      </c>
      <c r="V154" s="2">
        <v>153</v>
      </c>
      <c r="W154" s="2">
        <v>2006</v>
      </c>
    </row>
    <row r="155" spans="1:23" ht="12.3" x14ac:dyDescent="0.4">
      <c r="A155" s="2" t="s">
        <v>187</v>
      </c>
      <c r="B155" s="2"/>
      <c r="C155" s="2"/>
      <c r="D155" s="2"/>
      <c r="E155" s="2"/>
      <c r="F155" s="2"/>
      <c r="G155" s="2"/>
      <c r="H155" s="2"/>
      <c r="I155" s="2">
        <v>69.395600000000002</v>
      </c>
      <c r="J155" s="2">
        <v>80</v>
      </c>
      <c r="K155" s="2">
        <v>66.869399999999999</v>
      </c>
      <c r="L155" s="2">
        <v>165</v>
      </c>
      <c r="M155" s="2">
        <v>105.6738</v>
      </c>
      <c r="N155" s="2">
        <v>93</v>
      </c>
      <c r="O155" s="2">
        <v>105.9294</v>
      </c>
      <c r="P155" s="2">
        <v>87</v>
      </c>
      <c r="Q155" s="2">
        <v>106.33369999999999</v>
      </c>
      <c r="R155" s="2">
        <v>264</v>
      </c>
      <c r="S155" s="2">
        <v>105.6965</v>
      </c>
      <c r="T155" s="2">
        <v>238</v>
      </c>
      <c r="U155" s="2">
        <v>0.50632699999999997</v>
      </c>
      <c r="V155" s="2">
        <v>154</v>
      </c>
      <c r="W155" s="2">
        <v>2006</v>
      </c>
    </row>
    <row r="156" spans="1:23" ht="12.3" x14ac:dyDescent="0.4">
      <c r="A156" s="2" t="s">
        <v>149</v>
      </c>
      <c r="B156" s="2"/>
      <c r="C156" s="2"/>
      <c r="D156" s="2"/>
      <c r="E156" s="2"/>
      <c r="F156" s="2"/>
      <c r="G156" s="2"/>
      <c r="H156" s="2"/>
      <c r="I156" s="2">
        <v>66.505899999999997</v>
      </c>
      <c r="J156" s="2">
        <v>189</v>
      </c>
      <c r="K156" s="2">
        <v>66.448300000000003</v>
      </c>
      <c r="L156" s="2">
        <v>186</v>
      </c>
      <c r="M156" s="2">
        <v>98.456199999999995</v>
      </c>
      <c r="N156" s="2">
        <v>221</v>
      </c>
      <c r="O156" s="2">
        <v>102.5727</v>
      </c>
      <c r="P156" s="2">
        <v>153</v>
      </c>
      <c r="Q156" s="2">
        <v>104.6283</v>
      </c>
      <c r="R156" s="2">
        <v>232</v>
      </c>
      <c r="S156" s="2">
        <v>102.5558</v>
      </c>
      <c r="T156" s="2">
        <v>175</v>
      </c>
      <c r="U156" s="2">
        <v>0.500475</v>
      </c>
      <c r="V156" s="2">
        <v>155</v>
      </c>
      <c r="W156" s="2">
        <v>2006</v>
      </c>
    </row>
    <row r="157" spans="1:23" ht="12.3" x14ac:dyDescent="0.4">
      <c r="A157" s="2" t="s">
        <v>117</v>
      </c>
      <c r="B157" s="2"/>
      <c r="C157" s="2"/>
      <c r="D157" s="2"/>
      <c r="E157" s="2"/>
      <c r="F157" s="2"/>
      <c r="G157" s="2"/>
      <c r="H157" s="2"/>
      <c r="I157" s="2">
        <v>68.376400000000004</v>
      </c>
      <c r="J157" s="2">
        <v>116</v>
      </c>
      <c r="K157" s="2">
        <v>67.646799999999999</v>
      </c>
      <c r="L157" s="2">
        <v>128</v>
      </c>
      <c r="M157" s="2">
        <v>95.909800000000004</v>
      </c>
      <c r="N157" s="2">
        <v>267</v>
      </c>
      <c r="O157" s="2">
        <v>96.450100000000006</v>
      </c>
      <c r="P157" s="2">
        <v>255</v>
      </c>
      <c r="Q157" s="2">
        <v>98.965000000000003</v>
      </c>
      <c r="R157" s="2">
        <v>101</v>
      </c>
      <c r="S157" s="2">
        <v>96.530900000000003</v>
      </c>
      <c r="T157" s="2">
        <v>67</v>
      </c>
      <c r="U157" s="2">
        <v>0.49759399999999998</v>
      </c>
      <c r="V157" s="2">
        <v>156</v>
      </c>
      <c r="W157" s="2">
        <v>2006</v>
      </c>
    </row>
    <row r="158" spans="1:23" ht="12.3" x14ac:dyDescent="0.4">
      <c r="A158" s="2" t="s">
        <v>73</v>
      </c>
      <c r="B158" s="2"/>
      <c r="C158" s="2"/>
      <c r="D158" s="2"/>
      <c r="E158" s="2"/>
      <c r="F158" s="2"/>
      <c r="G158" s="2"/>
      <c r="H158" s="2"/>
      <c r="I158" s="2">
        <v>66.716899999999995</v>
      </c>
      <c r="J158" s="2">
        <v>180</v>
      </c>
      <c r="K158" s="2">
        <v>66.1828</v>
      </c>
      <c r="L158" s="2">
        <v>211</v>
      </c>
      <c r="M158" s="2">
        <v>99.047399999999996</v>
      </c>
      <c r="N158" s="2">
        <v>212</v>
      </c>
      <c r="O158" s="2">
        <v>102.9432</v>
      </c>
      <c r="P158" s="2">
        <v>144</v>
      </c>
      <c r="Q158" s="2">
        <v>104.98869999999999</v>
      </c>
      <c r="R158" s="2">
        <v>239</v>
      </c>
      <c r="S158" s="2">
        <v>103.15949999999999</v>
      </c>
      <c r="T158" s="2">
        <v>189</v>
      </c>
      <c r="U158" s="2">
        <v>0.49396699999999999</v>
      </c>
      <c r="V158" s="2">
        <v>157</v>
      </c>
      <c r="W158" s="2">
        <v>2006</v>
      </c>
    </row>
    <row r="159" spans="1:23" ht="12.3" x14ac:dyDescent="0.4">
      <c r="A159" s="2" t="s">
        <v>51</v>
      </c>
      <c r="B159" s="2"/>
      <c r="C159" s="2"/>
      <c r="D159" s="2"/>
      <c r="E159" s="2"/>
      <c r="F159" s="2"/>
      <c r="G159" s="2"/>
      <c r="H159" s="2"/>
      <c r="I159" s="2">
        <v>66.019099999999995</v>
      </c>
      <c r="J159" s="2">
        <v>210</v>
      </c>
      <c r="K159" s="2">
        <v>65.496399999999994</v>
      </c>
      <c r="L159" s="2">
        <v>233</v>
      </c>
      <c r="M159" s="2">
        <v>97.8035</v>
      </c>
      <c r="N159" s="2">
        <v>235</v>
      </c>
      <c r="O159" s="2">
        <v>99.855900000000005</v>
      </c>
      <c r="P159" s="2">
        <v>204</v>
      </c>
      <c r="Q159" s="2">
        <v>102.3642</v>
      </c>
      <c r="R159" s="2">
        <v>179</v>
      </c>
      <c r="S159" s="2">
        <v>100.1075</v>
      </c>
      <c r="T159" s="2">
        <v>129</v>
      </c>
      <c r="U159" s="2">
        <v>0.49276599999999998</v>
      </c>
      <c r="V159" s="2">
        <v>158</v>
      </c>
      <c r="W159" s="2">
        <v>2006</v>
      </c>
    </row>
    <row r="160" spans="1:23" ht="12.3" x14ac:dyDescent="0.4">
      <c r="A160" s="2" t="s">
        <v>228</v>
      </c>
      <c r="B160" s="2"/>
      <c r="C160" s="2"/>
      <c r="D160" s="2"/>
      <c r="E160" s="2"/>
      <c r="F160" s="2"/>
      <c r="G160" s="2"/>
      <c r="H160" s="2"/>
      <c r="I160" s="2">
        <v>66.630899999999997</v>
      </c>
      <c r="J160" s="2">
        <v>182</v>
      </c>
      <c r="K160" s="2">
        <v>65.807900000000004</v>
      </c>
      <c r="L160" s="2">
        <v>224</v>
      </c>
      <c r="M160" s="2">
        <v>103.94540000000001</v>
      </c>
      <c r="N160" s="2">
        <v>133</v>
      </c>
      <c r="O160" s="2">
        <v>104.02200000000001</v>
      </c>
      <c r="P160" s="2">
        <v>123</v>
      </c>
      <c r="Q160" s="2">
        <v>104.44029999999999</v>
      </c>
      <c r="R160" s="2">
        <v>229</v>
      </c>
      <c r="S160" s="2">
        <v>104.3972</v>
      </c>
      <c r="T160" s="2">
        <v>207</v>
      </c>
      <c r="U160" s="2">
        <v>0.48964800000000003</v>
      </c>
      <c r="V160" s="2">
        <v>159</v>
      </c>
      <c r="W160" s="2">
        <v>2006</v>
      </c>
    </row>
    <row r="161" spans="1:23" ht="12.3" x14ac:dyDescent="0.4">
      <c r="A161" s="2" t="s">
        <v>337</v>
      </c>
      <c r="B161" s="2"/>
      <c r="C161" s="2"/>
      <c r="D161" s="2"/>
      <c r="E161" s="2"/>
      <c r="F161" s="2"/>
      <c r="G161" s="2"/>
      <c r="H161" s="2"/>
      <c r="I161" s="2">
        <v>68.374899999999997</v>
      </c>
      <c r="J161" s="2">
        <v>117</v>
      </c>
      <c r="K161" s="2">
        <v>66.421099999999996</v>
      </c>
      <c r="L161" s="2">
        <v>189</v>
      </c>
      <c r="M161" s="2">
        <v>105.4693</v>
      </c>
      <c r="N161" s="2">
        <v>96</v>
      </c>
      <c r="O161" s="2">
        <v>98.649199999999993</v>
      </c>
      <c r="P161" s="2">
        <v>221</v>
      </c>
      <c r="Q161" s="2">
        <v>96.889600000000002</v>
      </c>
      <c r="R161" s="2">
        <v>64</v>
      </c>
      <c r="S161" s="2">
        <v>99.104299999999995</v>
      </c>
      <c r="T161" s="2">
        <v>113</v>
      </c>
      <c r="U161" s="2">
        <v>0.48677100000000001</v>
      </c>
      <c r="V161" s="2">
        <v>160</v>
      </c>
      <c r="W161" s="2">
        <v>2006</v>
      </c>
    </row>
    <row r="162" spans="1:23" ht="12.3" x14ac:dyDescent="0.4">
      <c r="A162" s="2" t="s">
        <v>173</v>
      </c>
      <c r="B162" s="2"/>
      <c r="C162" s="2"/>
      <c r="D162" s="2"/>
      <c r="E162" s="2"/>
      <c r="F162" s="2"/>
      <c r="G162" s="2"/>
      <c r="H162" s="2"/>
      <c r="I162" s="2">
        <v>67.180800000000005</v>
      </c>
      <c r="J162" s="2">
        <v>155</v>
      </c>
      <c r="K162" s="2">
        <v>65.921899999999994</v>
      </c>
      <c r="L162" s="2">
        <v>220</v>
      </c>
      <c r="M162" s="2">
        <v>100.72539999999999</v>
      </c>
      <c r="N162" s="2">
        <v>183</v>
      </c>
      <c r="O162" s="2">
        <v>101.3275</v>
      </c>
      <c r="P162" s="2">
        <v>171</v>
      </c>
      <c r="Q162" s="2">
        <v>104.0788</v>
      </c>
      <c r="R162" s="2">
        <v>224</v>
      </c>
      <c r="S162" s="2">
        <v>101.8627</v>
      </c>
      <c r="T162" s="2">
        <v>162</v>
      </c>
      <c r="U162" s="2">
        <v>0.48486000000000001</v>
      </c>
      <c r="V162" s="2">
        <v>161</v>
      </c>
      <c r="W162" s="2">
        <v>2006</v>
      </c>
    </row>
    <row r="163" spans="1:23" ht="12.3" x14ac:dyDescent="0.4">
      <c r="A163" s="2" t="s">
        <v>144</v>
      </c>
      <c r="B163" s="2"/>
      <c r="C163" s="2"/>
      <c r="D163" s="2"/>
      <c r="E163" s="2"/>
      <c r="F163" s="2"/>
      <c r="G163" s="2"/>
      <c r="H163" s="2"/>
      <c r="I163" s="2">
        <v>64.375600000000006</v>
      </c>
      <c r="J163" s="2">
        <v>266</v>
      </c>
      <c r="K163" s="2">
        <v>65.278300000000002</v>
      </c>
      <c r="L163" s="2">
        <v>240</v>
      </c>
      <c r="M163" s="2">
        <v>103.5573</v>
      </c>
      <c r="N163" s="2">
        <v>139</v>
      </c>
      <c r="O163" s="2">
        <v>104.7603</v>
      </c>
      <c r="P163" s="2">
        <v>108</v>
      </c>
      <c r="Q163" s="2">
        <v>106.1956</v>
      </c>
      <c r="R163" s="2">
        <v>259</v>
      </c>
      <c r="S163" s="2">
        <v>105.43680000000001</v>
      </c>
      <c r="T163" s="2">
        <v>232</v>
      </c>
      <c r="U163" s="2">
        <v>0.48150199999999999</v>
      </c>
      <c r="V163" s="2">
        <v>162</v>
      </c>
      <c r="W163" s="2">
        <v>2006</v>
      </c>
    </row>
    <row r="164" spans="1:23" ht="12.3" x14ac:dyDescent="0.4">
      <c r="A164" s="2" t="s">
        <v>344</v>
      </c>
      <c r="B164" s="2"/>
      <c r="C164" s="2"/>
      <c r="D164" s="2"/>
      <c r="E164" s="2"/>
      <c r="F164" s="2"/>
      <c r="G164" s="2"/>
      <c r="H164" s="2"/>
      <c r="I164" s="2">
        <v>70.821700000000007</v>
      </c>
      <c r="J164" s="2">
        <v>49</v>
      </c>
      <c r="K164" s="2">
        <v>70.582400000000007</v>
      </c>
      <c r="L164" s="2">
        <v>46</v>
      </c>
      <c r="M164" s="2">
        <v>102.14190000000001</v>
      </c>
      <c r="N164" s="2">
        <v>160</v>
      </c>
      <c r="O164" s="2">
        <v>99.967500000000001</v>
      </c>
      <c r="P164" s="2">
        <v>198</v>
      </c>
      <c r="Q164" s="2">
        <v>98.566400000000002</v>
      </c>
      <c r="R164" s="2">
        <v>93</v>
      </c>
      <c r="S164" s="2">
        <v>100.8503</v>
      </c>
      <c r="T164" s="2">
        <v>146</v>
      </c>
      <c r="U164" s="2">
        <v>0.474742</v>
      </c>
      <c r="V164" s="2">
        <v>163</v>
      </c>
      <c r="W164" s="2">
        <v>2006</v>
      </c>
    </row>
    <row r="165" spans="1:23" ht="12.3" x14ac:dyDescent="0.4">
      <c r="A165" s="2" t="s">
        <v>217</v>
      </c>
      <c r="B165" s="2"/>
      <c r="C165" s="2"/>
      <c r="D165" s="2"/>
      <c r="E165" s="2"/>
      <c r="F165" s="2"/>
      <c r="G165" s="2"/>
      <c r="H165" s="2"/>
      <c r="I165" s="2">
        <v>66.936300000000003</v>
      </c>
      <c r="J165" s="2">
        <v>170</v>
      </c>
      <c r="K165" s="2">
        <v>66.339500000000001</v>
      </c>
      <c r="L165" s="2">
        <v>194</v>
      </c>
      <c r="M165" s="2">
        <v>98.244799999999998</v>
      </c>
      <c r="N165" s="2">
        <v>224</v>
      </c>
      <c r="O165" s="2">
        <v>99.898600000000002</v>
      </c>
      <c r="P165" s="2">
        <v>202</v>
      </c>
      <c r="Q165" s="2">
        <v>102.60809999999999</v>
      </c>
      <c r="R165" s="2">
        <v>185</v>
      </c>
      <c r="S165" s="2">
        <v>100.8591</v>
      </c>
      <c r="T165" s="2">
        <v>147</v>
      </c>
      <c r="U165" s="2">
        <v>0.47251799999999999</v>
      </c>
      <c r="V165" s="2">
        <v>164</v>
      </c>
      <c r="W165" s="2">
        <v>2006</v>
      </c>
    </row>
    <row r="166" spans="1:23" ht="12.3" x14ac:dyDescent="0.4">
      <c r="A166" s="2" t="s">
        <v>356</v>
      </c>
      <c r="B166" s="2"/>
      <c r="C166" s="2"/>
      <c r="D166" s="2"/>
      <c r="E166" s="2"/>
      <c r="F166" s="2"/>
      <c r="G166" s="2"/>
      <c r="H166" s="2"/>
      <c r="I166" s="2">
        <v>67.121600000000001</v>
      </c>
      <c r="J166" s="2">
        <v>161</v>
      </c>
      <c r="K166" s="2">
        <v>66.293999999999997</v>
      </c>
      <c r="L166" s="2">
        <v>196</v>
      </c>
      <c r="M166" s="2">
        <v>105.0949</v>
      </c>
      <c r="N166" s="2">
        <v>106</v>
      </c>
      <c r="O166" s="2">
        <v>103.8963</v>
      </c>
      <c r="P166" s="2">
        <v>127</v>
      </c>
      <c r="Q166" s="2">
        <v>103.5403</v>
      </c>
      <c r="R166" s="2">
        <v>208</v>
      </c>
      <c r="S166" s="2">
        <v>104.9802</v>
      </c>
      <c r="T166" s="2">
        <v>221</v>
      </c>
      <c r="U166" s="2">
        <v>0.47019499999999997</v>
      </c>
      <c r="V166" s="2">
        <v>165</v>
      </c>
      <c r="W166" s="2">
        <v>2006</v>
      </c>
    </row>
    <row r="167" spans="1:23" ht="12.3" x14ac:dyDescent="0.4">
      <c r="A167" s="2" t="s">
        <v>132</v>
      </c>
      <c r="B167" s="2"/>
      <c r="C167" s="2"/>
      <c r="D167" s="2"/>
      <c r="E167" s="2"/>
      <c r="F167" s="2"/>
      <c r="G167" s="2"/>
      <c r="H167" s="2"/>
      <c r="I167" s="2">
        <v>61.231699999999996</v>
      </c>
      <c r="J167" s="2">
        <v>319</v>
      </c>
      <c r="K167" s="2">
        <v>61.781700000000001</v>
      </c>
      <c r="L167" s="2">
        <v>316</v>
      </c>
      <c r="M167" s="2">
        <v>102.134</v>
      </c>
      <c r="N167" s="2">
        <v>161</v>
      </c>
      <c r="O167" s="2">
        <v>102.9924</v>
      </c>
      <c r="P167" s="2">
        <v>142</v>
      </c>
      <c r="Q167" s="2">
        <v>106.2723</v>
      </c>
      <c r="R167" s="2">
        <v>261</v>
      </c>
      <c r="S167" s="2">
        <v>104.1251</v>
      </c>
      <c r="T167" s="2">
        <v>206</v>
      </c>
      <c r="U167" s="2">
        <v>0.46859699999999999</v>
      </c>
      <c r="V167" s="2">
        <v>166</v>
      </c>
      <c r="W167" s="2">
        <v>2006</v>
      </c>
    </row>
    <row r="168" spans="1:23" ht="12.3" x14ac:dyDescent="0.4">
      <c r="A168" s="2" t="s">
        <v>105</v>
      </c>
      <c r="B168" s="2"/>
      <c r="C168" s="2"/>
      <c r="D168" s="2"/>
      <c r="E168" s="2"/>
      <c r="F168" s="2"/>
      <c r="G168" s="2"/>
      <c r="H168" s="2"/>
      <c r="I168" s="2">
        <v>70.003399999999999</v>
      </c>
      <c r="J168" s="2">
        <v>63</v>
      </c>
      <c r="K168" s="2">
        <v>69.298900000000003</v>
      </c>
      <c r="L168" s="2">
        <v>79</v>
      </c>
      <c r="M168" s="2">
        <v>102.4089</v>
      </c>
      <c r="N168" s="2">
        <v>154</v>
      </c>
      <c r="O168" s="2">
        <v>99.245599999999996</v>
      </c>
      <c r="P168" s="2">
        <v>209</v>
      </c>
      <c r="Q168" s="2">
        <v>97.642600000000002</v>
      </c>
      <c r="R168" s="2">
        <v>78</v>
      </c>
      <c r="S168" s="2">
        <v>100.3536</v>
      </c>
      <c r="T168" s="2">
        <v>134</v>
      </c>
      <c r="U168" s="2">
        <v>0.46812500000000001</v>
      </c>
      <c r="V168" s="2">
        <v>167</v>
      </c>
      <c r="W168" s="2">
        <v>2006</v>
      </c>
    </row>
    <row r="169" spans="1:23" ht="12.3" x14ac:dyDescent="0.4">
      <c r="A169" s="2" t="s">
        <v>156</v>
      </c>
      <c r="B169" s="2"/>
      <c r="C169" s="2"/>
      <c r="D169" s="2"/>
      <c r="E169" s="2"/>
      <c r="F169" s="2"/>
      <c r="G169" s="2"/>
      <c r="H169" s="2"/>
      <c r="I169" s="2">
        <v>63.866199999999999</v>
      </c>
      <c r="J169" s="2">
        <v>280</v>
      </c>
      <c r="K169" s="2">
        <v>63.253799999999998</v>
      </c>
      <c r="L169" s="2">
        <v>295</v>
      </c>
      <c r="M169" s="2">
        <v>110.71850000000001</v>
      </c>
      <c r="N169" s="2">
        <v>28</v>
      </c>
      <c r="O169" s="2">
        <v>107.11409999999999</v>
      </c>
      <c r="P169" s="2">
        <v>72</v>
      </c>
      <c r="Q169" s="2">
        <v>103.2778</v>
      </c>
      <c r="R169" s="2">
        <v>203</v>
      </c>
      <c r="S169" s="2">
        <v>108.3377</v>
      </c>
      <c r="T169" s="2">
        <v>283</v>
      </c>
      <c r="U169" s="2">
        <v>0.467391</v>
      </c>
      <c r="V169" s="2">
        <v>168</v>
      </c>
      <c r="W169" s="2">
        <v>2006</v>
      </c>
    </row>
    <row r="170" spans="1:23" ht="12.3" x14ac:dyDescent="0.4">
      <c r="A170" s="2" t="s">
        <v>269</v>
      </c>
      <c r="B170" s="2"/>
      <c r="C170" s="2"/>
      <c r="D170" s="2"/>
      <c r="E170" s="2"/>
      <c r="F170" s="2"/>
      <c r="G170" s="2"/>
      <c r="H170" s="2"/>
      <c r="I170" s="2">
        <v>68.785399999999996</v>
      </c>
      <c r="J170" s="2">
        <v>103</v>
      </c>
      <c r="K170" s="2">
        <v>67.392899999999997</v>
      </c>
      <c r="L170" s="2">
        <v>140</v>
      </c>
      <c r="M170" s="2">
        <v>102.6716</v>
      </c>
      <c r="N170" s="2">
        <v>150</v>
      </c>
      <c r="O170" s="2">
        <v>100.4542</v>
      </c>
      <c r="P170" s="2">
        <v>193</v>
      </c>
      <c r="Q170" s="2">
        <v>103.8939</v>
      </c>
      <c r="R170" s="2">
        <v>219</v>
      </c>
      <c r="S170" s="2">
        <v>101.6041</v>
      </c>
      <c r="T170" s="2">
        <v>155</v>
      </c>
      <c r="U170" s="2">
        <v>0.46732400000000002</v>
      </c>
      <c r="V170" s="2">
        <v>169</v>
      </c>
      <c r="W170" s="2">
        <v>2006</v>
      </c>
    </row>
    <row r="171" spans="1:23" ht="12.3" x14ac:dyDescent="0.4">
      <c r="A171" s="2" t="s">
        <v>311</v>
      </c>
      <c r="B171" s="2"/>
      <c r="C171" s="2"/>
      <c r="D171" s="2"/>
      <c r="E171" s="2"/>
      <c r="F171" s="2"/>
      <c r="G171" s="2"/>
      <c r="H171" s="2"/>
      <c r="I171" s="2">
        <v>70.794300000000007</v>
      </c>
      <c r="J171" s="2">
        <v>50</v>
      </c>
      <c r="K171" s="2">
        <v>69.886399999999995</v>
      </c>
      <c r="L171" s="2">
        <v>62</v>
      </c>
      <c r="M171" s="2">
        <v>108.0142</v>
      </c>
      <c r="N171" s="2">
        <v>53</v>
      </c>
      <c r="O171" s="2">
        <v>105.6922</v>
      </c>
      <c r="P171" s="2">
        <v>90</v>
      </c>
      <c r="Q171" s="2">
        <v>104.8317</v>
      </c>
      <c r="R171" s="2">
        <v>235</v>
      </c>
      <c r="S171" s="2">
        <v>106.9434</v>
      </c>
      <c r="T171" s="2">
        <v>262</v>
      </c>
      <c r="U171" s="2">
        <v>0.46621699999999999</v>
      </c>
      <c r="V171" s="2">
        <v>170</v>
      </c>
      <c r="W171" s="2">
        <v>2006</v>
      </c>
    </row>
    <row r="172" spans="1:23" ht="12.3" x14ac:dyDescent="0.4">
      <c r="A172" s="2" t="s">
        <v>302</v>
      </c>
      <c r="B172" s="2"/>
      <c r="C172" s="2"/>
      <c r="D172" s="2"/>
      <c r="E172" s="2"/>
      <c r="F172" s="2"/>
      <c r="G172" s="2"/>
      <c r="H172" s="2"/>
      <c r="I172" s="2">
        <v>70.018799999999999</v>
      </c>
      <c r="J172" s="2">
        <v>60</v>
      </c>
      <c r="K172" s="2">
        <v>69.698400000000007</v>
      </c>
      <c r="L172" s="2">
        <v>68</v>
      </c>
      <c r="M172" s="2">
        <v>106.22150000000001</v>
      </c>
      <c r="N172" s="2">
        <v>84</v>
      </c>
      <c r="O172" s="2">
        <v>104.4746</v>
      </c>
      <c r="P172" s="2">
        <v>114</v>
      </c>
      <c r="Q172" s="2">
        <v>106.4196</v>
      </c>
      <c r="R172" s="2">
        <v>266</v>
      </c>
      <c r="S172" s="2">
        <v>105.7611</v>
      </c>
      <c r="T172" s="2">
        <v>239</v>
      </c>
      <c r="U172" s="2">
        <v>0.46487099999999998</v>
      </c>
      <c r="V172" s="2">
        <v>171</v>
      </c>
      <c r="W172" s="2">
        <v>2006</v>
      </c>
    </row>
    <row r="173" spans="1:23" ht="12.3" x14ac:dyDescent="0.4">
      <c r="A173" s="2" t="s">
        <v>286</v>
      </c>
      <c r="B173" s="2"/>
      <c r="C173" s="2"/>
      <c r="D173" s="2"/>
      <c r="E173" s="2"/>
      <c r="F173" s="2"/>
      <c r="G173" s="2"/>
      <c r="H173" s="2"/>
      <c r="I173" s="2">
        <v>66.470100000000002</v>
      </c>
      <c r="J173" s="2">
        <v>190</v>
      </c>
      <c r="K173" s="2">
        <v>66.086200000000005</v>
      </c>
      <c r="L173" s="2">
        <v>213</v>
      </c>
      <c r="M173" s="2">
        <v>98.875900000000001</v>
      </c>
      <c r="N173" s="2">
        <v>216</v>
      </c>
      <c r="O173" s="2">
        <v>97.02</v>
      </c>
      <c r="P173" s="2">
        <v>247</v>
      </c>
      <c r="Q173" s="2">
        <v>97.794799999999995</v>
      </c>
      <c r="R173" s="2">
        <v>81</v>
      </c>
      <c r="S173" s="2">
        <v>98.362799999999993</v>
      </c>
      <c r="T173" s="2">
        <v>100</v>
      </c>
      <c r="U173" s="2">
        <v>0.460563</v>
      </c>
      <c r="V173" s="2">
        <v>172</v>
      </c>
      <c r="W173" s="2">
        <v>2006</v>
      </c>
    </row>
    <row r="174" spans="1:23" ht="12.3" x14ac:dyDescent="0.4">
      <c r="A174" s="2" t="s">
        <v>251</v>
      </c>
      <c r="B174" s="2">
        <v>16</v>
      </c>
      <c r="C174" s="2"/>
      <c r="D174" s="2"/>
      <c r="E174" s="2"/>
      <c r="F174" s="2"/>
      <c r="G174" s="2"/>
      <c r="H174" s="2"/>
      <c r="I174" s="2">
        <v>65.804299999999998</v>
      </c>
      <c r="J174" s="2">
        <v>220</v>
      </c>
      <c r="K174" s="2">
        <v>66.266900000000007</v>
      </c>
      <c r="L174" s="2">
        <v>198</v>
      </c>
      <c r="M174" s="2">
        <v>96.303100000000001</v>
      </c>
      <c r="N174" s="2">
        <v>255</v>
      </c>
      <c r="O174" s="2">
        <v>95.327200000000005</v>
      </c>
      <c r="P174" s="2">
        <v>271</v>
      </c>
      <c r="Q174" s="2">
        <v>94.760999999999996</v>
      </c>
      <c r="R174" s="2">
        <v>39</v>
      </c>
      <c r="S174" s="2">
        <v>96.851500000000001</v>
      </c>
      <c r="T174" s="2">
        <v>76</v>
      </c>
      <c r="U174" s="2">
        <v>0.45451799999999998</v>
      </c>
      <c r="V174" s="2">
        <v>173</v>
      </c>
      <c r="W174" s="2">
        <v>2006</v>
      </c>
    </row>
    <row r="175" spans="1:23" ht="12.3" x14ac:dyDescent="0.4">
      <c r="A175" s="2" t="s">
        <v>267</v>
      </c>
      <c r="B175" s="2"/>
      <c r="C175" s="2"/>
      <c r="D175" s="2"/>
      <c r="E175" s="2"/>
      <c r="F175" s="2"/>
      <c r="G175" s="2"/>
      <c r="H175" s="2"/>
      <c r="I175" s="2">
        <v>65.020600000000002</v>
      </c>
      <c r="J175" s="2">
        <v>247</v>
      </c>
      <c r="K175" s="2">
        <v>66.413799999999995</v>
      </c>
      <c r="L175" s="2">
        <v>190</v>
      </c>
      <c r="M175" s="2">
        <v>96.140900000000002</v>
      </c>
      <c r="N175" s="2">
        <v>261</v>
      </c>
      <c r="O175" s="2">
        <v>100.6189</v>
      </c>
      <c r="P175" s="2">
        <v>183</v>
      </c>
      <c r="Q175" s="2">
        <v>104.5896</v>
      </c>
      <c r="R175" s="2">
        <v>231</v>
      </c>
      <c r="S175" s="2">
        <v>102.28279999999999</v>
      </c>
      <c r="T175" s="2">
        <v>168</v>
      </c>
      <c r="U175" s="2">
        <v>0.452986</v>
      </c>
      <c r="V175" s="2">
        <v>174</v>
      </c>
      <c r="W175" s="2">
        <v>2006</v>
      </c>
    </row>
    <row r="176" spans="1:23" ht="12.3" x14ac:dyDescent="0.4">
      <c r="A176" s="2" t="s">
        <v>194</v>
      </c>
      <c r="B176" s="2"/>
      <c r="C176" s="2"/>
      <c r="D176" s="2"/>
      <c r="E176" s="2"/>
      <c r="F176" s="2"/>
      <c r="G176" s="2"/>
      <c r="H176" s="2"/>
      <c r="I176" s="2">
        <v>67.890199999999993</v>
      </c>
      <c r="J176" s="2">
        <v>133</v>
      </c>
      <c r="K176" s="2">
        <v>66.615399999999994</v>
      </c>
      <c r="L176" s="2">
        <v>179</v>
      </c>
      <c r="M176" s="2">
        <v>106.43429999999999</v>
      </c>
      <c r="N176" s="2">
        <v>79</v>
      </c>
      <c r="O176" s="2">
        <v>105.57259999999999</v>
      </c>
      <c r="P176" s="2">
        <v>93</v>
      </c>
      <c r="Q176" s="2">
        <v>110.09139999999999</v>
      </c>
      <c r="R176" s="2">
        <v>312</v>
      </c>
      <c r="S176" s="2">
        <v>107.4392</v>
      </c>
      <c r="T176" s="2">
        <v>272</v>
      </c>
      <c r="U176" s="2">
        <v>0.44978400000000002</v>
      </c>
      <c r="V176" s="2">
        <v>175</v>
      </c>
      <c r="W176" s="2">
        <v>2006</v>
      </c>
    </row>
    <row r="177" spans="1:23" ht="12.3" x14ac:dyDescent="0.4">
      <c r="A177" s="2" t="s">
        <v>225</v>
      </c>
      <c r="B177" s="2"/>
      <c r="C177" s="2"/>
      <c r="D177" s="2"/>
      <c r="E177" s="2"/>
      <c r="F177" s="2"/>
      <c r="G177" s="2"/>
      <c r="H177" s="2"/>
      <c r="I177" s="2">
        <v>70.007999999999996</v>
      </c>
      <c r="J177" s="2">
        <v>62</v>
      </c>
      <c r="K177" s="2">
        <v>69.427899999999994</v>
      </c>
      <c r="L177" s="2">
        <v>77</v>
      </c>
      <c r="M177" s="2">
        <v>100.9199</v>
      </c>
      <c r="N177" s="2">
        <v>179</v>
      </c>
      <c r="O177" s="2">
        <v>101.1502</v>
      </c>
      <c r="P177" s="2">
        <v>175</v>
      </c>
      <c r="Q177" s="2">
        <v>100.6254</v>
      </c>
      <c r="R177" s="2">
        <v>141</v>
      </c>
      <c r="S177" s="2">
        <v>102.9402</v>
      </c>
      <c r="T177" s="2">
        <v>182</v>
      </c>
      <c r="U177" s="2">
        <v>0.44973800000000003</v>
      </c>
      <c r="V177" s="2">
        <v>176</v>
      </c>
      <c r="W177" s="2">
        <v>2006</v>
      </c>
    </row>
    <row r="178" spans="1:23" ht="12.3" x14ac:dyDescent="0.4">
      <c r="A178" s="2" t="s">
        <v>360</v>
      </c>
      <c r="B178" s="2"/>
      <c r="C178" s="2"/>
      <c r="D178" s="2"/>
      <c r="E178" s="2"/>
      <c r="F178" s="2"/>
      <c r="G178" s="2"/>
      <c r="H178" s="2"/>
      <c r="I178" s="2">
        <v>66.425899999999999</v>
      </c>
      <c r="J178" s="2">
        <v>194</v>
      </c>
      <c r="K178" s="2">
        <v>66.838899999999995</v>
      </c>
      <c r="L178" s="2">
        <v>166</v>
      </c>
      <c r="M178" s="2">
        <v>105.2013</v>
      </c>
      <c r="N178" s="2">
        <v>102</v>
      </c>
      <c r="O178" s="2">
        <v>101.5316</v>
      </c>
      <c r="P178" s="2">
        <v>168</v>
      </c>
      <c r="Q178" s="2">
        <v>101.73220000000001</v>
      </c>
      <c r="R178" s="2">
        <v>164</v>
      </c>
      <c r="S178" s="2">
        <v>103.3857</v>
      </c>
      <c r="T178" s="2">
        <v>192</v>
      </c>
      <c r="U178" s="2">
        <v>0.448158</v>
      </c>
      <c r="V178" s="2">
        <v>177</v>
      </c>
      <c r="W178" s="2">
        <v>2006</v>
      </c>
    </row>
    <row r="179" spans="1:23" ht="12.3" x14ac:dyDescent="0.4">
      <c r="A179" s="2" t="s">
        <v>104</v>
      </c>
      <c r="B179" s="2"/>
      <c r="C179" s="2"/>
      <c r="D179" s="2"/>
      <c r="E179" s="2"/>
      <c r="F179" s="2"/>
      <c r="G179" s="2"/>
      <c r="H179" s="2"/>
      <c r="I179" s="2">
        <v>64.914699999999996</v>
      </c>
      <c r="J179" s="2">
        <v>250</v>
      </c>
      <c r="K179" s="2">
        <v>63.587200000000003</v>
      </c>
      <c r="L179" s="2">
        <v>287</v>
      </c>
      <c r="M179" s="2">
        <v>102.6604</v>
      </c>
      <c r="N179" s="2">
        <v>151</v>
      </c>
      <c r="O179" s="2">
        <v>100.54770000000001</v>
      </c>
      <c r="P179" s="2">
        <v>188</v>
      </c>
      <c r="Q179" s="2">
        <v>101.68340000000001</v>
      </c>
      <c r="R179" s="2">
        <v>162</v>
      </c>
      <c r="S179" s="2">
        <v>102.5106</v>
      </c>
      <c r="T179" s="2">
        <v>173</v>
      </c>
      <c r="U179" s="2">
        <v>0.44464399999999998</v>
      </c>
      <c r="V179" s="2">
        <v>178</v>
      </c>
      <c r="W179" s="2">
        <v>2006</v>
      </c>
    </row>
    <row r="180" spans="1:23" ht="12.3" x14ac:dyDescent="0.4">
      <c r="A180" s="2" t="s">
        <v>340</v>
      </c>
      <c r="B180" s="2"/>
      <c r="C180" s="2"/>
      <c r="D180" s="2"/>
      <c r="E180" s="2"/>
      <c r="F180" s="2"/>
      <c r="G180" s="2"/>
      <c r="H180" s="2"/>
      <c r="I180" s="2">
        <v>71.787800000000004</v>
      </c>
      <c r="J180" s="2">
        <v>30</v>
      </c>
      <c r="K180" s="2">
        <v>70.317400000000006</v>
      </c>
      <c r="L180" s="2">
        <v>48</v>
      </c>
      <c r="M180" s="2">
        <v>106.7226</v>
      </c>
      <c r="N180" s="2">
        <v>74</v>
      </c>
      <c r="O180" s="2">
        <v>104.08029999999999</v>
      </c>
      <c r="P180" s="2">
        <v>122</v>
      </c>
      <c r="Q180" s="2">
        <v>108.4853</v>
      </c>
      <c r="R180" s="2">
        <v>301</v>
      </c>
      <c r="S180" s="2">
        <v>106.1225</v>
      </c>
      <c r="T180" s="2">
        <v>250</v>
      </c>
      <c r="U180" s="2">
        <v>0.44436599999999998</v>
      </c>
      <c r="V180" s="2">
        <v>179</v>
      </c>
      <c r="W180" s="2">
        <v>2006</v>
      </c>
    </row>
    <row r="181" spans="1:23" ht="12.3" x14ac:dyDescent="0.4">
      <c r="A181" s="2" t="s">
        <v>103</v>
      </c>
      <c r="B181" s="2"/>
      <c r="C181" s="2"/>
      <c r="D181" s="2"/>
      <c r="E181" s="2"/>
      <c r="F181" s="2"/>
      <c r="G181" s="2"/>
      <c r="H181" s="2"/>
      <c r="I181" s="2">
        <v>64.221599999999995</v>
      </c>
      <c r="J181" s="2">
        <v>269</v>
      </c>
      <c r="K181" s="2">
        <v>63.479700000000001</v>
      </c>
      <c r="L181" s="2">
        <v>289</v>
      </c>
      <c r="M181" s="2">
        <v>91.409300000000002</v>
      </c>
      <c r="N181" s="2">
        <v>314</v>
      </c>
      <c r="O181" s="2">
        <v>94.0535</v>
      </c>
      <c r="P181" s="2">
        <v>286</v>
      </c>
      <c r="Q181" s="2">
        <v>98.488399999999999</v>
      </c>
      <c r="R181" s="2">
        <v>92</v>
      </c>
      <c r="S181" s="2">
        <v>95.967299999999994</v>
      </c>
      <c r="T181" s="2">
        <v>52</v>
      </c>
      <c r="U181" s="2">
        <v>0.44234600000000002</v>
      </c>
      <c r="V181" s="2">
        <v>180</v>
      </c>
      <c r="W181" s="2">
        <v>2006</v>
      </c>
    </row>
    <row r="182" spans="1:23" ht="12.3" x14ac:dyDescent="0.4">
      <c r="A182" s="2" t="s">
        <v>177</v>
      </c>
      <c r="B182" s="2"/>
      <c r="C182" s="2"/>
      <c r="D182" s="2"/>
      <c r="E182" s="2"/>
      <c r="F182" s="2"/>
      <c r="G182" s="2"/>
      <c r="H182" s="2"/>
      <c r="I182" s="2">
        <v>63.617100000000001</v>
      </c>
      <c r="J182" s="2">
        <v>286</v>
      </c>
      <c r="K182" s="2">
        <v>63.697600000000001</v>
      </c>
      <c r="L182" s="2">
        <v>284</v>
      </c>
      <c r="M182" s="2">
        <v>98.064700000000002</v>
      </c>
      <c r="N182" s="2">
        <v>229</v>
      </c>
      <c r="O182" s="2">
        <v>99.598100000000002</v>
      </c>
      <c r="P182" s="2">
        <v>207</v>
      </c>
      <c r="Q182" s="2">
        <v>99.625500000000002</v>
      </c>
      <c r="R182" s="2">
        <v>121</v>
      </c>
      <c r="S182" s="2">
        <v>101.6502</v>
      </c>
      <c r="T182" s="2">
        <v>156</v>
      </c>
      <c r="U182" s="2">
        <v>0.441633</v>
      </c>
      <c r="V182" s="2">
        <v>181</v>
      </c>
      <c r="W182" s="2">
        <v>2006</v>
      </c>
    </row>
    <row r="183" spans="1:23" ht="12.3" x14ac:dyDescent="0.4">
      <c r="A183" s="2" t="s">
        <v>171</v>
      </c>
      <c r="B183" s="2"/>
      <c r="C183" s="2"/>
      <c r="D183" s="2"/>
      <c r="E183" s="2"/>
      <c r="F183" s="2"/>
      <c r="G183" s="2"/>
      <c r="H183" s="2"/>
      <c r="I183" s="2">
        <v>61.787199999999999</v>
      </c>
      <c r="J183" s="2">
        <v>316</v>
      </c>
      <c r="K183" s="2">
        <v>62.689700000000002</v>
      </c>
      <c r="L183" s="2">
        <v>307</v>
      </c>
      <c r="M183" s="2">
        <v>100.1742</v>
      </c>
      <c r="N183" s="2">
        <v>191</v>
      </c>
      <c r="O183" s="2">
        <v>99.415999999999997</v>
      </c>
      <c r="P183" s="2">
        <v>208</v>
      </c>
      <c r="Q183" s="2">
        <v>103.65949999999999</v>
      </c>
      <c r="R183" s="2">
        <v>211</v>
      </c>
      <c r="S183" s="2">
        <v>101.4815</v>
      </c>
      <c r="T183" s="2">
        <v>152</v>
      </c>
      <c r="U183" s="2">
        <v>0.44115399999999999</v>
      </c>
      <c r="V183" s="2">
        <v>182</v>
      </c>
      <c r="W183" s="2">
        <v>2006</v>
      </c>
    </row>
    <row r="184" spans="1:23" ht="12.3" x14ac:dyDescent="0.4">
      <c r="A184" s="2" t="s">
        <v>164</v>
      </c>
      <c r="B184" s="2"/>
      <c r="C184" s="2"/>
      <c r="D184" s="2"/>
      <c r="E184" s="2"/>
      <c r="F184" s="2"/>
      <c r="G184" s="2"/>
      <c r="H184" s="2"/>
      <c r="I184" s="2">
        <v>62.911799999999999</v>
      </c>
      <c r="J184" s="2">
        <v>301</v>
      </c>
      <c r="K184" s="2">
        <v>62.878399999999999</v>
      </c>
      <c r="L184" s="2">
        <v>301</v>
      </c>
      <c r="M184" s="2">
        <v>87.677899999999994</v>
      </c>
      <c r="N184" s="2">
        <v>328</v>
      </c>
      <c r="O184" s="2">
        <v>90.715699999999998</v>
      </c>
      <c r="P184" s="2">
        <v>322</v>
      </c>
      <c r="Q184" s="2">
        <v>93.563400000000001</v>
      </c>
      <c r="R184" s="2">
        <v>27</v>
      </c>
      <c r="S184" s="2">
        <v>92.734999999999999</v>
      </c>
      <c r="T184" s="2">
        <v>24</v>
      </c>
      <c r="U184" s="2">
        <v>0.43704100000000001</v>
      </c>
      <c r="V184" s="2">
        <v>183</v>
      </c>
      <c r="W184" s="2">
        <v>2006</v>
      </c>
    </row>
    <row r="185" spans="1:23" ht="12.3" x14ac:dyDescent="0.4">
      <c r="A185" s="2" t="s">
        <v>292</v>
      </c>
      <c r="B185" s="2"/>
      <c r="C185" s="2"/>
      <c r="D185" s="2"/>
      <c r="E185" s="2"/>
      <c r="F185" s="2"/>
      <c r="G185" s="2"/>
      <c r="H185" s="2"/>
      <c r="I185" s="2">
        <v>68.597399999999993</v>
      </c>
      <c r="J185" s="2">
        <v>109</v>
      </c>
      <c r="K185" s="2">
        <v>68.991600000000005</v>
      </c>
      <c r="L185" s="2">
        <v>90</v>
      </c>
      <c r="M185" s="2">
        <v>94.579700000000003</v>
      </c>
      <c r="N185" s="2">
        <v>287</v>
      </c>
      <c r="O185" s="2">
        <v>98.568700000000007</v>
      </c>
      <c r="P185" s="2">
        <v>222</v>
      </c>
      <c r="Q185" s="2">
        <v>103.0247</v>
      </c>
      <c r="R185" s="2">
        <v>196</v>
      </c>
      <c r="S185" s="2">
        <v>100.7747</v>
      </c>
      <c r="T185" s="2">
        <v>144</v>
      </c>
      <c r="U185" s="2">
        <v>0.43670500000000001</v>
      </c>
      <c r="V185" s="2">
        <v>184</v>
      </c>
      <c r="W185" s="2">
        <v>2006</v>
      </c>
    </row>
    <row r="186" spans="1:23" ht="12.3" x14ac:dyDescent="0.4">
      <c r="A186" s="2" t="s">
        <v>326</v>
      </c>
      <c r="B186" s="2"/>
      <c r="C186" s="2"/>
      <c r="D186" s="2"/>
      <c r="E186" s="2"/>
      <c r="F186" s="2"/>
      <c r="G186" s="2"/>
      <c r="H186" s="2"/>
      <c r="I186" s="2">
        <v>64.096599999999995</v>
      </c>
      <c r="J186" s="2">
        <v>274</v>
      </c>
      <c r="K186" s="2">
        <v>65.285200000000003</v>
      </c>
      <c r="L186" s="2">
        <v>239</v>
      </c>
      <c r="M186" s="2">
        <v>95.821200000000005</v>
      </c>
      <c r="N186" s="2">
        <v>268</v>
      </c>
      <c r="O186" s="2">
        <v>95.555300000000003</v>
      </c>
      <c r="P186" s="2">
        <v>268</v>
      </c>
      <c r="Q186" s="2">
        <v>94.578900000000004</v>
      </c>
      <c r="R186" s="2">
        <v>38</v>
      </c>
      <c r="S186" s="2">
        <v>97.713200000000001</v>
      </c>
      <c r="T186" s="2">
        <v>88</v>
      </c>
      <c r="U186" s="2">
        <v>0.43614700000000001</v>
      </c>
      <c r="V186" s="2">
        <v>185</v>
      </c>
      <c r="W186" s="2">
        <v>2006</v>
      </c>
    </row>
    <row r="187" spans="1:23" ht="12.3" x14ac:dyDescent="0.4">
      <c r="A187" s="2" t="s">
        <v>328</v>
      </c>
      <c r="B187" s="2"/>
      <c r="C187" s="2"/>
      <c r="D187" s="2"/>
      <c r="E187" s="2"/>
      <c r="F187" s="2"/>
      <c r="G187" s="2"/>
      <c r="H187" s="2"/>
      <c r="I187" s="2">
        <v>64.496799999999993</v>
      </c>
      <c r="J187" s="2">
        <v>263</v>
      </c>
      <c r="K187" s="2">
        <v>63.267699999999998</v>
      </c>
      <c r="L187" s="2">
        <v>294</v>
      </c>
      <c r="M187" s="2">
        <v>102.3258</v>
      </c>
      <c r="N187" s="2">
        <v>157</v>
      </c>
      <c r="O187" s="2">
        <v>99.930199999999999</v>
      </c>
      <c r="P187" s="2">
        <v>200</v>
      </c>
      <c r="Q187" s="2">
        <v>100.8884</v>
      </c>
      <c r="R187" s="2">
        <v>146</v>
      </c>
      <c r="S187" s="2">
        <v>102.2307</v>
      </c>
      <c r="T187" s="2">
        <v>167</v>
      </c>
      <c r="U187" s="2">
        <v>0.43493700000000002</v>
      </c>
      <c r="V187" s="2">
        <v>186</v>
      </c>
      <c r="W187" s="2">
        <v>2006</v>
      </c>
    </row>
    <row r="188" spans="1:23" ht="12.3" x14ac:dyDescent="0.4">
      <c r="A188" s="2" t="s">
        <v>338</v>
      </c>
      <c r="B188" s="2">
        <v>16</v>
      </c>
      <c r="C188" s="2"/>
      <c r="D188" s="2"/>
      <c r="E188" s="2"/>
      <c r="F188" s="2"/>
      <c r="G188" s="2"/>
      <c r="H188" s="2"/>
      <c r="I188" s="2">
        <v>68.303200000000004</v>
      </c>
      <c r="J188" s="2">
        <v>122</v>
      </c>
      <c r="K188" s="2">
        <v>66.913799999999995</v>
      </c>
      <c r="L188" s="2">
        <v>163</v>
      </c>
      <c r="M188" s="2">
        <v>95.180899999999994</v>
      </c>
      <c r="N188" s="2">
        <v>280</v>
      </c>
      <c r="O188" s="2">
        <v>95.065399999999997</v>
      </c>
      <c r="P188" s="2">
        <v>275</v>
      </c>
      <c r="Q188" s="2">
        <v>93.650400000000005</v>
      </c>
      <c r="R188" s="2">
        <v>28</v>
      </c>
      <c r="S188" s="2">
        <v>97.325100000000006</v>
      </c>
      <c r="T188" s="2">
        <v>83</v>
      </c>
      <c r="U188" s="2">
        <v>0.432869</v>
      </c>
      <c r="V188" s="2">
        <v>187</v>
      </c>
      <c r="W188" s="2">
        <v>2006</v>
      </c>
    </row>
    <row r="189" spans="1:23" ht="12.3" x14ac:dyDescent="0.4">
      <c r="A189" s="2" t="s">
        <v>74</v>
      </c>
      <c r="B189" s="2"/>
      <c r="C189" s="2"/>
      <c r="D189" s="2"/>
      <c r="E189" s="2"/>
      <c r="F189" s="2"/>
      <c r="G189" s="2"/>
      <c r="H189" s="2"/>
      <c r="I189" s="2">
        <v>71.453900000000004</v>
      </c>
      <c r="J189" s="2">
        <v>36</v>
      </c>
      <c r="K189" s="2">
        <v>70.671499999999995</v>
      </c>
      <c r="L189" s="2">
        <v>44</v>
      </c>
      <c r="M189" s="2">
        <v>108.1006</v>
      </c>
      <c r="N189" s="2">
        <v>52</v>
      </c>
      <c r="O189" s="2">
        <v>102.9593</v>
      </c>
      <c r="P189" s="2">
        <v>143</v>
      </c>
      <c r="Q189" s="2">
        <v>104.4794</v>
      </c>
      <c r="R189" s="2">
        <v>230</v>
      </c>
      <c r="S189" s="2">
        <v>105.44540000000001</v>
      </c>
      <c r="T189" s="2">
        <v>233</v>
      </c>
      <c r="U189" s="2">
        <v>0.43183100000000002</v>
      </c>
      <c r="V189" s="2">
        <v>188</v>
      </c>
      <c r="W189" s="2">
        <v>2006</v>
      </c>
    </row>
    <row r="190" spans="1:23" ht="12.3" x14ac:dyDescent="0.4">
      <c r="A190" s="2" t="s">
        <v>199</v>
      </c>
      <c r="B190" s="2"/>
      <c r="C190" s="2"/>
      <c r="D190" s="2"/>
      <c r="E190" s="2"/>
      <c r="F190" s="2"/>
      <c r="G190" s="2"/>
      <c r="H190" s="2"/>
      <c r="I190" s="2">
        <v>63.104399999999998</v>
      </c>
      <c r="J190" s="2">
        <v>298</v>
      </c>
      <c r="K190" s="2">
        <v>62.31</v>
      </c>
      <c r="L190" s="2">
        <v>311</v>
      </c>
      <c r="M190" s="2">
        <v>108.1972</v>
      </c>
      <c r="N190" s="2">
        <v>51</v>
      </c>
      <c r="O190" s="2">
        <v>103.5164</v>
      </c>
      <c r="P190" s="2">
        <v>131</v>
      </c>
      <c r="Q190" s="2">
        <v>104.9841</v>
      </c>
      <c r="R190" s="2">
        <v>238</v>
      </c>
      <c r="S190" s="2">
        <v>106.0825</v>
      </c>
      <c r="T190" s="2">
        <v>248</v>
      </c>
      <c r="U190" s="2">
        <v>0.43006</v>
      </c>
      <c r="V190" s="2">
        <v>189</v>
      </c>
      <c r="W190" s="2">
        <v>2006</v>
      </c>
    </row>
    <row r="191" spans="1:23" ht="12.3" x14ac:dyDescent="0.4">
      <c r="A191" s="2" t="s">
        <v>282</v>
      </c>
      <c r="B191" s="2"/>
      <c r="C191" s="2"/>
      <c r="D191" s="2"/>
      <c r="E191" s="2"/>
      <c r="F191" s="2"/>
      <c r="G191" s="2"/>
      <c r="H191" s="2"/>
      <c r="I191" s="2">
        <v>67.182199999999995</v>
      </c>
      <c r="J191" s="2">
        <v>154</v>
      </c>
      <c r="K191" s="2">
        <v>64.673199999999994</v>
      </c>
      <c r="L191" s="2">
        <v>260</v>
      </c>
      <c r="M191" s="2">
        <v>105.1497</v>
      </c>
      <c r="N191" s="2">
        <v>105</v>
      </c>
      <c r="O191" s="2">
        <v>101.9242</v>
      </c>
      <c r="P191" s="2">
        <v>163</v>
      </c>
      <c r="Q191" s="2">
        <v>99.432699999999997</v>
      </c>
      <c r="R191" s="2">
        <v>114</v>
      </c>
      <c r="S191" s="2">
        <v>104.49630000000001</v>
      </c>
      <c r="T191" s="2">
        <v>211</v>
      </c>
      <c r="U191" s="2">
        <v>0.42883500000000002</v>
      </c>
      <c r="V191" s="2">
        <v>190</v>
      </c>
      <c r="W191" s="2">
        <v>2006</v>
      </c>
    </row>
    <row r="192" spans="1:23" ht="12.3" x14ac:dyDescent="0.4">
      <c r="A192" s="2" t="s">
        <v>236</v>
      </c>
      <c r="B192" s="2"/>
      <c r="C192" s="2"/>
      <c r="D192" s="2"/>
      <c r="E192" s="2"/>
      <c r="F192" s="2"/>
      <c r="G192" s="2"/>
      <c r="H192" s="2"/>
      <c r="I192" s="2">
        <v>63.630600000000001</v>
      </c>
      <c r="J192" s="2">
        <v>284</v>
      </c>
      <c r="K192" s="2">
        <v>64.824100000000001</v>
      </c>
      <c r="L192" s="2">
        <v>258</v>
      </c>
      <c r="M192" s="2">
        <v>101.5886</v>
      </c>
      <c r="N192" s="2">
        <v>171</v>
      </c>
      <c r="O192" s="2">
        <v>101.37609999999999</v>
      </c>
      <c r="P192" s="2">
        <v>170</v>
      </c>
      <c r="Q192" s="2">
        <v>106.7291</v>
      </c>
      <c r="R192" s="2">
        <v>272</v>
      </c>
      <c r="S192" s="2">
        <v>103.9418</v>
      </c>
      <c r="T192" s="2">
        <v>203</v>
      </c>
      <c r="U192" s="2">
        <v>0.42863200000000001</v>
      </c>
      <c r="V192" s="2">
        <v>191</v>
      </c>
      <c r="W192" s="2">
        <v>2006</v>
      </c>
    </row>
    <row r="193" spans="1:23" ht="12.3" x14ac:dyDescent="0.4">
      <c r="A193" s="2" t="s">
        <v>227</v>
      </c>
      <c r="B193" s="2"/>
      <c r="C193" s="2"/>
      <c r="D193" s="2"/>
      <c r="E193" s="2"/>
      <c r="F193" s="2"/>
      <c r="G193" s="2"/>
      <c r="H193" s="2"/>
      <c r="I193" s="2">
        <v>67.817700000000002</v>
      </c>
      <c r="J193" s="2">
        <v>135</v>
      </c>
      <c r="K193" s="2">
        <v>68.327500000000001</v>
      </c>
      <c r="L193" s="2">
        <v>109</v>
      </c>
      <c r="M193" s="2">
        <v>104.76600000000001</v>
      </c>
      <c r="N193" s="2">
        <v>112</v>
      </c>
      <c r="O193" s="2">
        <v>101.8223</v>
      </c>
      <c r="P193" s="2">
        <v>165</v>
      </c>
      <c r="Q193" s="2">
        <v>103.94580000000001</v>
      </c>
      <c r="R193" s="2">
        <v>222</v>
      </c>
      <c r="S193" s="2">
        <v>104.419</v>
      </c>
      <c r="T193" s="2">
        <v>208</v>
      </c>
      <c r="U193" s="2">
        <v>0.42810100000000001</v>
      </c>
      <c r="V193" s="2">
        <v>192</v>
      </c>
      <c r="W193" s="2">
        <v>2006</v>
      </c>
    </row>
    <row r="194" spans="1:23" ht="12.3" x14ac:dyDescent="0.4">
      <c r="A194" s="2" t="s">
        <v>323</v>
      </c>
      <c r="B194" s="2"/>
      <c r="C194" s="2"/>
      <c r="D194" s="2"/>
      <c r="E194" s="2"/>
      <c r="F194" s="2"/>
      <c r="G194" s="2"/>
      <c r="H194" s="2"/>
      <c r="I194" s="2">
        <v>60.3538</v>
      </c>
      <c r="J194" s="2">
        <v>324</v>
      </c>
      <c r="K194" s="2">
        <v>59.8626</v>
      </c>
      <c r="L194" s="2">
        <v>326</v>
      </c>
      <c r="M194" s="2">
        <v>111.1574</v>
      </c>
      <c r="N194" s="2">
        <v>21</v>
      </c>
      <c r="O194" s="2">
        <v>107.3767</v>
      </c>
      <c r="P194" s="2">
        <v>69</v>
      </c>
      <c r="Q194" s="2">
        <v>107.1096</v>
      </c>
      <c r="R194" s="2">
        <v>281</v>
      </c>
      <c r="S194" s="2">
        <v>110.337</v>
      </c>
      <c r="T194" s="2">
        <v>303</v>
      </c>
      <c r="U194" s="2">
        <v>0.42244300000000001</v>
      </c>
      <c r="V194" s="2">
        <v>193</v>
      </c>
      <c r="W194" s="2">
        <v>2006</v>
      </c>
    </row>
    <row r="195" spans="1:23" ht="12.3" x14ac:dyDescent="0.4">
      <c r="A195" s="2" t="s">
        <v>315</v>
      </c>
      <c r="B195" s="2"/>
      <c r="C195" s="2"/>
      <c r="D195" s="2"/>
      <c r="E195" s="2"/>
      <c r="F195" s="2"/>
      <c r="G195" s="2"/>
      <c r="H195" s="2"/>
      <c r="I195" s="2">
        <v>63.7395</v>
      </c>
      <c r="J195" s="2">
        <v>283</v>
      </c>
      <c r="K195" s="2">
        <v>65.124600000000001</v>
      </c>
      <c r="L195" s="2">
        <v>245</v>
      </c>
      <c r="M195" s="2">
        <v>97.633200000000002</v>
      </c>
      <c r="N195" s="2">
        <v>236</v>
      </c>
      <c r="O195" s="2">
        <v>94.001199999999997</v>
      </c>
      <c r="P195" s="2">
        <v>287</v>
      </c>
      <c r="Q195" s="2">
        <v>95.718400000000003</v>
      </c>
      <c r="R195" s="2">
        <v>48</v>
      </c>
      <c r="S195" s="2">
        <v>96.640199999999993</v>
      </c>
      <c r="T195" s="2">
        <v>71</v>
      </c>
      <c r="U195" s="2">
        <v>0.42106500000000002</v>
      </c>
      <c r="V195" s="2">
        <v>194</v>
      </c>
      <c r="W195" s="2">
        <v>2006</v>
      </c>
    </row>
    <row r="196" spans="1:23" ht="12.3" x14ac:dyDescent="0.4">
      <c r="A196" s="2" t="s">
        <v>270</v>
      </c>
      <c r="B196" s="2"/>
      <c r="C196" s="2"/>
      <c r="D196" s="2"/>
      <c r="E196" s="2"/>
      <c r="F196" s="2"/>
      <c r="G196" s="2"/>
      <c r="H196" s="2"/>
      <c r="I196" s="2">
        <v>69.430599999999998</v>
      </c>
      <c r="J196" s="2">
        <v>78</v>
      </c>
      <c r="K196" s="2">
        <v>67.598100000000002</v>
      </c>
      <c r="L196" s="2">
        <v>131</v>
      </c>
      <c r="M196" s="2">
        <v>101.3201</v>
      </c>
      <c r="N196" s="2">
        <v>174</v>
      </c>
      <c r="O196" s="2">
        <v>101.2102</v>
      </c>
      <c r="P196" s="2">
        <v>174</v>
      </c>
      <c r="Q196" s="2">
        <v>103.4345</v>
      </c>
      <c r="R196" s="2">
        <v>205</v>
      </c>
      <c r="S196" s="2">
        <v>104.7505</v>
      </c>
      <c r="T196" s="2">
        <v>216</v>
      </c>
      <c r="U196" s="2">
        <v>0.40242</v>
      </c>
      <c r="V196" s="2">
        <v>195</v>
      </c>
      <c r="W196" s="2">
        <v>2006</v>
      </c>
    </row>
    <row r="197" spans="1:23" ht="12.3" x14ac:dyDescent="0.4">
      <c r="A197" s="2" t="s">
        <v>140</v>
      </c>
      <c r="B197" s="2"/>
      <c r="C197" s="2"/>
      <c r="D197" s="2"/>
      <c r="E197" s="2"/>
      <c r="F197" s="2"/>
      <c r="G197" s="2"/>
      <c r="H197" s="2"/>
      <c r="I197" s="2">
        <v>66.2547</v>
      </c>
      <c r="J197" s="2">
        <v>200</v>
      </c>
      <c r="K197" s="2">
        <v>66.351100000000002</v>
      </c>
      <c r="L197" s="2">
        <v>193</v>
      </c>
      <c r="M197" s="2">
        <v>97.869299999999996</v>
      </c>
      <c r="N197" s="2">
        <v>233</v>
      </c>
      <c r="O197" s="2">
        <v>95.350300000000004</v>
      </c>
      <c r="P197" s="2">
        <v>270</v>
      </c>
      <c r="Q197" s="2">
        <v>95.479399999999998</v>
      </c>
      <c r="R197" s="2">
        <v>46</v>
      </c>
      <c r="S197" s="2">
        <v>98.686800000000005</v>
      </c>
      <c r="T197" s="2">
        <v>104</v>
      </c>
      <c r="U197" s="2">
        <v>0.40238699999999999</v>
      </c>
      <c r="V197" s="2">
        <v>196</v>
      </c>
      <c r="W197" s="2">
        <v>2006</v>
      </c>
    </row>
    <row r="198" spans="1:23" ht="12.3" x14ac:dyDescent="0.4">
      <c r="A198" s="2" t="s">
        <v>265</v>
      </c>
      <c r="B198" s="2"/>
      <c r="C198" s="2"/>
      <c r="D198" s="2"/>
      <c r="E198" s="2"/>
      <c r="F198" s="2"/>
      <c r="G198" s="2"/>
      <c r="H198" s="2"/>
      <c r="I198" s="2">
        <v>57.145699999999998</v>
      </c>
      <c r="J198" s="2">
        <v>330</v>
      </c>
      <c r="K198" s="2">
        <v>56.482700000000001</v>
      </c>
      <c r="L198" s="2">
        <v>332</v>
      </c>
      <c r="M198" s="2">
        <v>100.3888</v>
      </c>
      <c r="N198" s="2">
        <v>187</v>
      </c>
      <c r="O198" s="2">
        <v>100.88200000000001</v>
      </c>
      <c r="P198" s="2">
        <v>178</v>
      </c>
      <c r="Q198" s="2">
        <v>99.9953</v>
      </c>
      <c r="R198" s="2">
        <v>127</v>
      </c>
      <c r="S198" s="2">
        <v>104.8202</v>
      </c>
      <c r="T198" s="2">
        <v>219</v>
      </c>
      <c r="U198" s="2">
        <v>0.39164599999999999</v>
      </c>
      <c r="V198" s="2">
        <v>197</v>
      </c>
      <c r="W198" s="2">
        <v>2006</v>
      </c>
    </row>
    <row r="199" spans="1:23" ht="12.3" x14ac:dyDescent="0.4">
      <c r="A199" s="2" t="s">
        <v>114</v>
      </c>
      <c r="B199" s="2"/>
      <c r="C199" s="2"/>
      <c r="D199" s="2"/>
      <c r="E199" s="2"/>
      <c r="F199" s="2"/>
      <c r="G199" s="2"/>
      <c r="H199" s="2"/>
      <c r="I199" s="2">
        <v>69.190200000000004</v>
      </c>
      <c r="J199" s="2">
        <v>89</v>
      </c>
      <c r="K199" s="2">
        <v>70.195499999999996</v>
      </c>
      <c r="L199" s="2">
        <v>53</v>
      </c>
      <c r="M199" s="2">
        <v>102.2072</v>
      </c>
      <c r="N199" s="2">
        <v>158</v>
      </c>
      <c r="O199" s="2">
        <v>99.0989</v>
      </c>
      <c r="P199" s="2">
        <v>215</v>
      </c>
      <c r="Q199" s="2">
        <v>103.16889999999999</v>
      </c>
      <c r="R199" s="2">
        <v>199</v>
      </c>
      <c r="S199" s="2">
        <v>102.9914</v>
      </c>
      <c r="T199" s="2">
        <v>184</v>
      </c>
      <c r="U199" s="2">
        <v>0.39101200000000003</v>
      </c>
      <c r="V199" s="2">
        <v>198</v>
      </c>
      <c r="W199" s="2">
        <v>2006</v>
      </c>
    </row>
    <row r="200" spans="1:23" ht="12.3" x14ac:dyDescent="0.4">
      <c r="A200" s="2" t="s">
        <v>161</v>
      </c>
      <c r="B200" s="2"/>
      <c r="C200" s="2"/>
      <c r="D200" s="2"/>
      <c r="E200" s="2"/>
      <c r="F200" s="2"/>
      <c r="G200" s="2"/>
      <c r="H200" s="2"/>
      <c r="I200" s="2">
        <v>66.847700000000003</v>
      </c>
      <c r="J200" s="2">
        <v>174</v>
      </c>
      <c r="K200" s="2">
        <v>67.297700000000006</v>
      </c>
      <c r="L200" s="2">
        <v>146</v>
      </c>
      <c r="M200" s="2">
        <v>92.440799999999996</v>
      </c>
      <c r="N200" s="2">
        <v>305</v>
      </c>
      <c r="O200" s="2">
        <v>93.302199999999999</v>
      </c>
      <c r="P200" s="2">
        <v>296</v>
      </c>
      <c r="Q200" s="2">
        <v>98.835599999999999</v>
      </c>
      <c r="R200" s="2">
        <v>97</v>
      </c>
      <c r="S200" s="2">
        <v>96.980599999999995</v>
      </c>
      <c r="T200" s="2">
        <v>79</v>
      </c>
      <c r="U200" s="2">
        <v>0.390629</v>
      </c>
      <c r="V200" s="2">
        <v>199</v>
      </c>
      <c r="W200" s="2">
        <v>2006</v>
      </c>
    </row>
    <row r="201" spans="1:23" ht="12.3" x14ac:dyDescent="0.4">
      <c r="A201" s="2" t="s">
        <v>278</v>
      </c>
      <c r="B201" s="2"/>
      <c r="C201" s="2"/>
      <c r="D201" s="2"/>
      <c r="E201" s="2"/>
      <c r="F201" s="2"/>
      <c r="G201" s="2"/>
      <c r="H201" s="2"/>
      <c r="I201" s="2">
        <v>69.312799999999996</v>
      </c>
      <c r="J201" s="2">
        <v>83</v>
      </c>
      <c r="K201" s="2">
        <v>70.225999999999999</v>
      </c>
      <c r="L201" s="2">
        <v>52</v>
      </c>
      <c r="M201" s="2">
        <v>93.3733</v>
      </c>
      <c r="N201" s="2">
        <v>297</v>
      </c>
      <c r="O201" s="2">
        <v>93.8964</v>
      </c>
      <c r="P201" s="2">
        <v>288</v>
      </c>
      <c r="Q201" s="2">
        <v>101.12479999999999</v>
      </c>
      <c r="R201" s="2">
        <v>151</v>
      </c>
      <c r="S201" s="2">
        <v>97.685100000000006</v>
      </c>
      <c r="T201" s="2">
        <v>87</v>
      </c>
      <c r="U201" s="2">
        <v>0.38819500000000001</v>
      </c>
      <c r="V201" s="2">
        <v>200</v>
      </c>
      <c r="W201" s="2">
        <v>2006</v>
      </c>
    </row>
    <row r="202" spans="1:23" ht="12.3" x14ac:dyDescent="0.4">
      <c r="A202" s="2" t="s">
        <v>294</v>
      </c>
      <c r="B202" s="2"/>
      <c r="C202" s="2"/>
      <c r="D202" s="2"/>
      <c r="E202" s="2"/>
      <c r="F202" s="2"/>
      <c r="G202" s="2"/>
      <c r="H202" s="2"/>
      <c r="I202" s="2">
        <v>72.593299999999999</v>
      </c>
      <c r="J202" s="2">
        <v>21</v>
      </c>
      <c r="K202" s="2">
        <v>72.401499999999999</v>
      </c>
      <c r="L202" s="2">
        <v>18</v>
      </c>
      <c r="M202" s="2">
        <v>105.16249999999999</v>
      </c>
      <c r="N202" s="2">
        <v>103</v>
      </c>
      <c r="O202" s="2">
        <v>103.9584</v>
      </c>
      <c r="P202" s="2">
        <v>125</v>
      </c>
      <c r="Q202" s="2">
        <v>106.9456</v>
      </c>
      <c r="R202" s="2">
        <v>277</v>
      </c>
      <c r="S202" s="2">
        <v>108.17789999999999</v>
      </c>
      <c r="T202" s="2">
        <v>281</v>
      </c>
      <c r="U202" s="2">
        <v>0.38757000000000003</v>
      </c>
      <c r="V202" s="2">
        <v>201</v>
      </c>
      <c r="W202" s="2">
        <v>2006</v>
      </c>
    </row>
    <row r="203" spans="1:23" ht="12.3" x14ac:dyDescent="0.4">
      <c r="A203" s="2" t="s">
        <v>275</v>
      </c>
      <c r="B203" s="2"/>
      <c r="C203" s="2"/>
      <c r="D203" s="2"/>
      <c r="E203" s="2"/>
      <c r="F203" s="2"/>
      <c r="G203" s="2"/>
      <c r="H203" s="2"/>
      <c r="I203" s="2">
        <v>69.6875</v>
      </c>
      <c r="J203" s="2">
        <v>68</v>
      </c>
      <c r="K203" s="2">
        <v>71.304400000000001</v>
      </c>
      <c r="L203" s="2">
        <v>32</v>
      </c>
      <c r="M203" s="2">
        <v>108.9654</v>
      </c>
      <c r="N203" s="2">
        <v>40</v>
      </c>
      <c r="O203" s="2">
        <v>105.4585</v>
      </c>
      <c r="P203" s="2">
        <v>98</v>
      </c>
      <c r="Q203" s="2">
        <v>108.8626</v>
      </c>
      <c r="R203" s="2">
        <v>302</v>
      </c>
      <c r="S203" s="2">
        <v>109.7856</v>
      </c>
      <c r="T203" s="2">
        <v>297</v>
      </c>
      <c r="U203" s="2">
        <v>0.38640600000000003</v>
      </c>
      <c r="V203" s="2">
        <v>202</v>
      </c>
      <c r="W203" s="2">
        <v>2006</v>
      </c>
    </row>
    <row r="204" spans="1:23" ht="12.3" x14ac:dyDescent="0.4">
      <c r="A204" s="2" t="s">
        <v>220</v>
      </c>
      <c r="B204" s="2"/>
      <c r="C204" s="2"/>
      <c r="D204" s="2"/>
      <c r="E204" s="2"/>
      <c r="F204" s="2"/>
      <c r="G204" s="2"/>
      <c r="H204" s="2"/>
      <c r="I204" s="2">
        <v>64.985100000000003</v>
      </c>
      <c r="J204" s="2">
        <v>248</v>
      </c>
      <c r="K204" s="2">
        <v>66.245999999999995</v>
      </c>
      <c r="L204" s="2">
        <v>203</v>
      </c>
      <c r="M204" s="2">
        <v>98.015000000000001</v>
      </c>
      <c r="N204" s="2">
        <v>231</v>
      </c>
      <c r="O204" s="2">
        <v>97.388900000000007</v>
      </c>
      <c r="P204" s="2">
        <v>238</v>
      </c>
      <c r="Q204" s="2">
        <v>98.016499999999994</v>
      </c>
      <c r="R204" s="2">
        <v>86</v>
      </c>
      <c r="S204" s="2">
        <v>101.5484</v>
      </c>
      <c r="T204" s="2">
        <v>154</v>
      </c>
      <c r="U204" s="2">
        <v>0.38202399999999997</v>
      </c>
      <c r="V204" s="2">
        <v>203</v>
      </c>
      <c r="W204" s="2">
        <v>2006</v>
      </c>
    </row>
    <row r="205" spans="1:23" ht="12.3" x14ac:dyDescent="0.4">
      <c r="A205" s="2" t="s">
        <v>203</v>
      </c>
      <c r="B205" s="2"/>
      <c r="C205" s="2"/>
      <c r="D205" s="2"/>
      <c r="E205" s="2"/>
      <c r="F205" s="2"/>
      <c r="G205" s="2"/>
      <c r="H205" s="2"/>
      <c r="I205" s="2">
        <v>60.768700000000003</v>
      </c>
      <c r="J205" s="2">
        <v>323</v>
      </c>
      <c r="K205" s="2">
        <v>61.362099999999998</v>
      </c>
      <c r="L205" s="2">
        <v>320</v>
      </c>
      <c r="M205" s="2">
        <v>95.798699999999997</v>
      </c>
      <c r="N205" s="2">
        <v>269</v>
      </c>
      <c r="O205" s="2">
        <v>95.522999999999996</v>
      </c>
      <c r="P205" s="2">
        <v>269</v>
      </c>
      <c r="Q205" s="2">
        <v>97.069299999999998</v>
      </c>
      <c r="R205" s="2">
        <v>67</v>
      </c>
      <c r="S205" s="2">
        <v>99.608800000000002</v>
      </c>
      <c r="T205" s="2">
        <v>120</v>
      </c>
      <c r="U205" s="2">
        <v>0.38186199999999998</v>
      </c>
      <c r="V205" s="2">
        <v>204</v>
      </c>
      <c r="W205" s="2">
        <v>2006</v>
      </c>
    </row>
    <row r="206" spans="1:23" ht="12.3" x14ac:dyDescent="0.4">
      <c r="A206" s="2" t="s">
        <v>101</v>
      </c>
      <c r="B206" s="2"/>
      <c r="C206" s="2"/>
      <c r="D206" s="2"/>
      <c r="E206" s="2"/>
      <c r="F206" s="2"/>
      <c r="G206" s="2"/>
      <c r="H206" s="2"/>
      <c r="I206" s="2">
        <v>63.531700000000001</v>
      </c>
      <c r="J206" s="2">
        <v>289</v>
      </c>
      <c r="K206" s="2">
        <v>64.466800000000006</v>
      </c>
      <c r="L206" s="2">
        <v>263</v>
      </c>
      <c r="M206" s="2">
        <v>97.070099999999996</v>
      </c>
      <c r="N206" s="2">
        <v>245</v>
      </c>
      <c r="O206" s="2">
        <v>97.456999999999994</v>
      </c>
      <c r="P206" s="2">
        <v>235</v>
      </c>
      <c r="Q206" s="2">
        <v>101.73399999999999</v>
      </c>
      <c r="R206" s="2">
        <v>165</v>
      </c>
      <c r="S206" s="2">
        <v>101.6742</v>
      </c>
      <c r="T206" s="2">
        <v>158</v>
      </c>
      <c r="U206" s="2">
        <v>0.38056200000000001</v>
      </c>
      <c r="V206" s="2">
        <v>205</v>
      </c>
      <c r="W206" s="2">
        <v>2006</v>
      </c>
    </row>
    <row r="207" spans="1:23" ht="12.3" x14ac:dyDescent="0.4">
      <c r="A207" s="2" t="s">
        <v>330</v>
      </c>
      <c r="B207" s="2"/>
      <c r="C207" s="2"/>
      <c r="D207" s="2"/>
      <c r="E207" s="2"/>
      <c r="F207" s="2"/>
      <c r="G207" s="2"/>
      <c r="H207" s="2"/>
      <c r="I207" s="2">
        <v>71.932400000000001</v>
      </c>
      <c r="J207" s="2">
        <v>28</v>
      </c>
      <c r="K207" s="2">
        <v>72.346100000000007</v>
      </c>
      <c r="L207" s="2">
        <v>19</v>
      </c>
      <c r="M207" s="2">
        <v>101.76909999999999</v>
      </c>
      <c r="N207" s="2">
        <v>166</v>
      </c>
      <c r="O207" s="2">
        <v>99.648899999999998</v>
      </c>
      <c r="P207" s="2">
        <v>205</v>
      </c>
      <c r="Q207" s="2">
        <v>103.0239</v>
      </c>
      <c r="R207" s="2">
        <v>195</v>
      </c>
      <c r="S207" s="2">
        <v>104.10899999999999</v>
      </c>
      <c r="T207" s="2">
        <v>204</v>
      </c>
      <c r="U207" s="2">
        <v>0.37671199999999999</v>
      </c>
      <c r="V207" s="2">
        <v>206</v>
      </c>
      <c r="W207" s="2">
        <v>2006</v>
      </c>
    </row>
    <row r="208" spans="1:23" ht="12.3" x14ac:dyDescent="0.4">
      <c r="A208" s="2" t="s">
        <v>184</v>
      </c>
      <c r="B208" s="2"/>
      <c r="C208" s="2"/>
      <c r="D208" s="2"/>
      <c r="E208" s="2"/>
      <c r="F208" s="2"/>
      <c r="G208" s="2"/>
      <c r="H208" s="2"/>
      <c r="I208" s="2">
        <v>73.413499999999999</v>
      </c>
      <c r="J208" s="2">
        <v>13</v>
      </c>
      <c r="K208" s="2">
        <v>73.178399999999996</v>
      </c>
      <c r="L208" s="2">
        <v>10</v>
      </c>
      <c r="M208" s="2">
        <v>100.5746</v>
      </c>
      <c r="N208" s="2">
        <v>185</v>
      </c>
      <c r="O208" s="2">
        <v>101.02070000000001</v>
      </c>
      <c r="P208" s="2">
        <v>176</v>
      </c>
      <c r="Q208" s="2">
        <v>103.7291</v>
      </c>
      <c r="R208" s="2">
        <v>215</v>
      </c>
      <c r="S208" s="2">
        <v>105.6172</v>
      </c>
      <c r="T208" s="2">
        <v>237</v>
      </c>
      <c r="U208" s="2">
        <v>0.37479499999999999</v>
      </c>
      <c r="V208" s="2">
        <v>207</v>
      </c>
      <c r="W208" s="2">
        <v>2006</v>
      </c>
    </row>
    <row r="209" spans="1:23" ht="12.3" x14ac:dyDescent="0.4">
      <c r="A209" s="2" t="s">
        <v>268</v>
      </c>
      <c r="B209" s="2"/>
      <c r="C209" s="2"/>
      <c r="D209" s="2"/>
      <c r="E209" s="2"/>
      <c r="F209" s="2"/>
      <c r="G209" s="2"/>
      <c r="H209" s="2"/>
      <c r="I209" s="2">
        <v>65.256</v>
      </c>
      <c r="J209" s="2">
        <v>236</v>
      </c>
      <c r="K209" s="2">
        <v>66.197900000000004</v>
      </c>
      <c r="L209" s="2">
        <v>209</v>
      </c>
      <c r="M209" s="2">
        <v>106.37730000000001</v>
      </c>
      <c r="N209" s="2">
        <v>81</v>
      </c>
      <c r="O209" s="2">
        <v>103.3231</v>
      </c>
      <c r="P209" s="2">
        <v>136</v>
      </c>
      <c r="Q209" s="2">
        <v>107.5723</v>
      </c>
      <c r="R209" s="2">
        <v>290</v>
      </c>
      <c r="S209" s="2">
        <v>108.09229999999999</v>
      </c>
      <c r="T209" s="2">
        <v>280</v>
      </c>
      <c r="U209" s="2">
        <v>0.37310199999999999</v>
      </c>
      <c r="V209" s="2">
        <v>208</v>
      </c>
      <c r="W209" s="2">
        <v>2006</v>
      </c>
    </row>
    <row r="210" spans="1:23" ht="12.3" x14ac:dyDescent="0.4">
      <c r="A210" s="2" t="s">
        <v>283</v>
      </c>
      <c r="B210" s="2"/>
      <c r="C210" s="2"/>
      <c r="D210" s="2"/>
      <c r="E210" s="2"/>
      <c r="F210" s="2"/>
      <c r="G210" s="2"/>
      <c r="H210" s="2"/>
      <c r="I210" s="2">
        <v>67.068299999999994</v>
      </c>
      <c r="J210" s="2">
        <v>162</v>
      </c>
      <c r="K210" s="2">
        <v>66.276799999999994</v>
      </c>
      <c r="L210" s="2">
        <v>197</v>
      </c>
      <c r="M210" s="2">
        <v>104.63639999999999</v>
      </c>
      <c r="N210" s="2">
        <v>115</v>
      </c>
      <c r="O210" s="2">
        <v>102.506</v>
      </c>
      <c r="P210" s="2">
        <v>154</v>
      </c>
      <c r="Q210" s="2">
        <v>110.3627</v>
      </c>
      <c r="R210" s="2">
        <v>315</v>
      </c>
      <c r="S210" s="2">
        <v>107.34350000000001</v>
      </c>
      <c r="T210" s="2">
        <v>269</v>
      </c>
      <c r="U210" s="2">
        <v>0.37044700000000003</v>
      </c>
      <c r="V210" s="2">
        <v>209</v>
      </c>
      <c r="W210" s="2">
        <v>2006</v>
      </c>
    </row>
    <row r="211" spans="1:23" ht="12.3" x14ac:dyDescent="0.4">
      <c r="A211" s="2" t="s">
        <v>306</v>
      </c>
      <c r="B211" s="2"/>
      <c r="C211" s="2"/>
      <c r="D211" s="2"/>
      <c r="E211" s="2"/>
      <c r="F211" s="2"/>
      <c r="G211" s="2"/>
      <c r="H211" s="2"/>
      <c r="I211" s="2">
        <v>65.879099999999994</v>
      </c>
      <c r="J211" s="2">
        <v>216</v>
      </c>
      <c r="K211" s="2">
        <v>65.634799999999998</v>
      </c>
      <c r="L211" s="2">
        <v>228</v>
      </c>
      <c r="M211" s="2">
        <v>97.040899999999993</v>
      </c>
      <c r="N211" s="2">
        <v>246</v>
      </c>
      <c r="O211" s="2">
        <v>97.772400000000005</v>
      </c>
      <c r="P211" s="2">
        <v>233</v>
      </c>
      <c r="Q211" s="2">
        <v>103.01</v>
      </c>
      <c r="R211" s="2">
        <v>194</v>
      </c>
      <c r="S211" s="2">
        <v>102.4066</v>
      </c>
      <c r="T211" s="2">
        <v>171</v>
      </c>
      <c r="U211" s="2">
        <v>0.369923</v>
      </c>
      <c r="V211" s="2">
        <v>210</v>
      </c>
      <c r="W211" s="2">
        <v>2006</v>
      </c>
    </row>
    <row r="212" spans="1:23" ht="12.3" x14ac:dyDescent="0.4">
      <c r="A212" s="2" t="s">
        <v>290</v>
      </c>
      <c r="B212" s="2"/>
      <c r="C212" s="2"/>
      <c r="D212" s="2"/>
      <c r="E212" s="2"/>
      <c r="F212" s="2"/>
      <c r="G212" s="2"/>
      <c r="H212" s="2"/>
      <c r="I212" s="2">
        <v>68.424999999999997</v>
      </c>
      <c r="J212" s="2">
        <v>114</v>
      </c>
      <c r="K212" s="2">
        <v>67.401700000000005</v>
      </c>
      <c r="L212" s="2">
        <v>138</v>
      </c>
      <c r="M212" s="2">
        <v>98.7744</v>
      </c>
      <c r="N212" s="2">
        <v>217</v>
      </c>
      <c r="O212" s="2">
        <v>101.2841</v>
      </c>
      <c r="P212" s="2">
        <v>172</v>
      </c>
      <c r="Q212" s="2">
        <v>107.0763</v>
      </c>
      <c r="R212" s="2">
        <v>280</v>
      </c>
      <c r="S212" s="2">
        <v>106.1794</v>
      </c>
      <c r="T212" s="2">
        <v>251</v>
      </c>
      <c r="U212" s="2">
        <v>0.36753400000000003</v>
      </c>
      <c r="V212" s="2">
        <v>211</v>
      </c>
      <c r="W212" s="2">
        <v>2006</v>
      </c>
    </row>
    <row r="213" spans="1:23" ht="12.3" x14ac:dyDescent="0.4">
      <c r="A213" s="2" t="s">
        <v>79</v>
      </c>
      <c r="B213" s="2"/>
      <c r="C213" s="2"/>
      <c r="D213" s="2"/>
      <c r="E213" s="2"/>
      <c r="F213" s="2"/>
      <c r="G213" s="2"/>
      <c r="H213" s="2"/>
      <c r="I213" s="2">
        <v>69.729799999999997</v>
      </c>
      <c r="J213" s="2">
        <v>67</v>
      </c>
      <c r="K213" s="2">
        <v>68.574100000000001</v>
      </c>
      <c r="L213" s="2">
        <v>103</v>
      </c>
      <c r="M213" s="2">
        <v>93.258700000000005</v>
      </c>
      <c r="N213" s="2">
        <v>298</v>
      </c>
      <c r="O213" s="2">
        <v>95.660399999999996</v>
      </c>
      <c r="P213" s="2">
        <v>266</v>
      </c>
      <c r="Q213" s="2">
        <v>103.6335</v>
      </c>
      <c r="R213" s="2">
        <v>210</v>
      </c>
      <c r="S213" s="2">
        <v>100.3781</v>
      </c>
      <c r="T213" s="2">
        <v>136</v>
      </c>
      <c r="U213" s="2">
        <v>0.36502800000000002</v>
      </c>
      <c r="V213" s="2">
        <v>212</v>
      </c>
      <c r="W213" s="2">
        <v>2006</v>
      </c>
    </row>
    <row r="214" spans="1:23" ht="12.3" x14ac:dyDescent="0.4">
      <c r="A214" s="2" t="s">
        <v>266</v>
      </c>
      <c r="B214" s="2"/>
      <c r="C214" s="2"/>
      <c r="D214" s="2"/>
      <c r="E214" s="2"/>
      <c r="F214" s="2"/>
      <c r="G214" s="2"/>
      <c r="H214" s="2"/>
      <c r="I214" s="2">
        <v>74.759699999999995</v>
      </c>
      <c r="J214" s="2">
        <v>7</v>
      </c>
      <c r="K214" s="2">
        <v>73.846400000000003</v>
      </c>
      <c r="L214" s="2">
        <v>4</v>
      </c>
      <c r="M214" s="2">
        <v>104.7021</v>
      </c>
      <c r="N214" s="2">
        <v>113</v>
      </c>
      <c r="O214" s="2">
        <v>102.00069999999999</v>
      </c>
      <c r="P214" s="2">
        <v>161</v>
      </c>
      <c r="Q214" s="2">
        <v>103.9425</v>
      </c>
      <c r="R214" s="2">
        <v>221</v>
      </c>
      <c r="S214" s="2">
        <v>107.227</v>
      </c>
      <c r="T214" s="2">
        <v>266</v>
      </c>
      <c r="U214" s="2">
        <v>0.36016900000000002</v>
      </c>
      <c r="V214" s="2">
        <v>213</v>
      </c>
      <c r="W214" s="2">
        <v>2006</v>
      </c>
    </row>
    <row r="215" spans="1:23" ht="12.3" x14ac:dyDescent="0.4">
      <c r="A215" s="2" t="s">
        <v>125</v>
      </c>
      <c r="B215" s="2"/>
      <c r="C215" s="2"/>
      <c r="D215" s="2"/>
      <c r="E215" s="2"/>
      <c r="F215" s="2"/>
      <c r="G215" s="2"/>
      <c r="H215" s="2"/>
      <c r="I215" s="2">
        <v>66.629499999999993</v>
      </c>
      <c r="J215" s="2">
        <v>183</v>
      </c>
      <c r="K215" s="2">
        <v>65.95</v>
      </c>
      <c r="L215" s="2">
        <v>218</v>
      </c>
      <c r="M215" s="2">
        <v>96.202799999999996</v>
      </c>
      <c r="N215" s="2">
        <v>260</v>
      </c>
      <c r="O215" s="2">
        <v>94.256100000000004</v>
      </c>
      <c r="P215" s="2">
        <v>282</v>
      </c>
      <c r="Q215" s="2">
        <v>98.979100000000003</v>
      </c>
      <c r="R215" s="2">
        <v>104</v>
      </c>
      <c r="S215" s="2">
        <v>99.102999999999994</v>
      </c>
      <c r="T215" s="2">
        <v>112</v>
      </c>
      <c r="U215" s="2">
        <v>0.35970299999999999</v>
      </c>
      <c r="V215" s="2">
        <v>214</v>
      </c>
      <c r="W215" s="2">
        <v>2006</v>
      </c>
    </row>
    <row r="216" spans="1:23" ht="12.3" x14ac:dyDescent="0.4">
      <c r="A216" s="2" t="s">
        <v>172</v>
      </c>
      <c r="B216" s="2"/>
      <c r="C216" s="2"/>
      <c r="D216" s="2"/>
      <c r="E216" s="2"/>
      <c r="F216" s="2"/>
      <c r="G216" s="2"/>
      <c r="H216" s="2"/>
      <c r="I216" s="2">
        <v>69.768299999999996</v>
      </c>
      <c r="J216" s="2">
        <v>66</v>
      </c>
      <c r="K216" s="2">
        <v>69.165199999999999</v>
      </c>
      <c r="L216" s="2">
        <v>82</v>
      </c>
      <c r="M216" s="2">
        <v>102.04040000000001</v>
      </c>
      <c r="N216" s="2">
        <v>164</v>
      </c>
      <c r="O216" s="2">
        <v>103.7265</v>
      </c>
      <c r="P216" s="2">
        <v>129</v>
      </c>
      <c r="Q216" s="2">
        <v>107.6952</v>
      </c>
      <c r="R216" s="2">
        <v>291</v>
      </c>
      <c r="S216" s="2">
        <v>109.2189</v>
      </c>
      <c r="T216" s="2">
        <v>293</v>
      </c>
      <c r="U216" s="2">
        <v>0.35586400000000001</v>
      </c>
      <c r="V216" s="2">
        <v>215</v>
      </c>
      <c r="W216" s="2">
        <v>2006</v>
      </c>
    </row>
    <row r="217" spans="1:23" ht="12.3" x14ac:dyDescent="0.4">
      <c r="A217" s="2" t="s">
        <v>221</v>
      </c>
      <c r="B217" s="2"/>
      <c r="C217" s="2"/>
      <c r="D217" s="2"/>
      <c r="E217" s="2"/>
      <c r="F217" s="2"/>
      <c r="G217" s="2"/>
      <c r="H217" s="2"/>
      <c r="I217" s="2">
        <v>67.4589</v>
      </c>
      <c r="J217" s="2">
        <v>148</v>
      </c>
      <c r="K217" s="2">
        <v>66.835099999999997</v>
      </c>
      <c r="L217" s="2">
        <v>167</v>
      </c>
      <c r="M217" s="2">
        <v>105.7032</v>
      </c>
      <c r="N217" s="2">
        <v>92</v>
      </c>
      <c r="O217" s="2">
        <v>105.6892</v>
      </c>
      <c r="P217" s="2">
        <v>91</v>
      </c>
      <c r="Q217" s="2">
        <v>115.2727</v>
      </c>
      <c r="R217" s="2">
        <v>332</v>
      </c>
      <c r="S217" s="2">
        <v>111.3244</v>
      </c>
      <c r="T217" s="2">
        <v>312</v>
      </c>
      <c r="U217" s="2">
        <v>0.35494399999999998</v>
      </c>
      <c r="V217" s="2">
        <v>216</v>
      </c>
      <c r="W217" s="2">
        <v>2006</v>
      </c>
    </row>
    <row r="218" spans="1:23" ht="12.3" x14ac:dyDescent="0.4">
      <c r="A218" s="2" t="s">
        <v>280</v>
      </c>
      <c r="B218" s="2"/>
      <c r="C218" s="2"/>
      <c r="D218" s="2"/>
      <c r="E218" s="2"/>
      <c r="F218" s="2"/>
      <c r="G218" s="2"/>
      <c r="H218" s="2"/>
      <c r="I218" s="2">
        <v>68.366500000000002</v>
      </c>
      <c r="J218" s="2">
        <v>119</v>
      </c>
      <c r="K218" s="2">
        <v>69.458100000000002</v>
      </c>
      <c r="L218" s="2">
        <v>76</v>
      </c>
      <c r="M218" s="2">
        <v>104.0459</v>
      </c>
      <c r="N218" s="2">
        <v>130</v>
      </c>
      <c r="O218" s="2">
        <v>101.92570000000001</v>
      </c>
      <c r="P218" s="2">
        <v>162</v>
      </c>
      <c r="Q218" s="2">
        <v>107.54859999999999</v>
      </c>
      <c r="R218" s="2">
        <v>288</v>
      </c>
      <c r="S218" s="2">
        <v>107.3742</v>
      </c>
      <c r="T218" s="2">
        <v>271</v>
      </c>
      <c r="U218" s="2">
        <v>0.35460000000000003</v>
      </c>
      <c r="V218" s="2">
        <v>217</v>
      </c>
      <c r="W218" s="2">
        <v>2006</v>
      </c>
    </row>
    <row r="219" spans="1:23" ht="12.3" x14ac:dyDescent="0.4">
      <c r="A219" s="2" t="s">
        <v>69</v>
      </c>
      <c r="B219" s="2"/>
      <c r="C219" s="2"/>
      <c r="D219" s="2"/>
      <c r="E219" s="2"/>
      <c r="F219" s="2"/>
      <c r="G219" s="2"/>
      <c r="H219" s="2"/>
      <c r="I219" s="2">
        <v>66.965999999999994</v>
      </c>
      <c r="J219" s="2">
        <v>168</v>
      </c>
      <c r="K219" s="2">
        <v>65.900099999999995</v>
      </c>
      <c r="L219" s="2">
        <v>222</v>
      </c>
      <c r="M219" s="2">
        <v>91.198800000000006</v>
      </c>
      <c r="N219" s="2">
        <v>316</v>
      </c>
      <c r="O219" s="2">
        <v>93.484399999999994</v>
      </c>
      <c r="P219" s="2">
        <v>292</v>
      </c>
      <c r="Q219" s="2">
        <v>97.506</v>
      </c>
      <c r="R219" s="2">
        <v>73</v>
      </c>
      <c r="S219" s="2">
        <v>98.543400000000005</v>
      </c>
      <c r="T219" s="2">
        <v>101</v>
      </c>
      <c r="U219" s="2">
        <v>0.35295399999999999</v>
      </c>
      <c r="V219" s="2">
        <v>218</v>
      </c>
      <c r="W219" s="2">
        <v>2006</v>
      </c>
    </row>
    <row r="220" spans="1:23" ht="12.3" x14ac:dyDescent="0.4">
      <c r="A220" s="2" t="s">
        <v>108</v>
      </c>
      <c r="B220" s="2"/>
      <c r="C220" s="2"/>
      <c r="D220" s="2"/>
      <c r="E220" s="2"/>
      <c r="F220" s="2"/>
      <c r="G220" s="2"/>
      <c r="H220" s="2"/>
      <c r="I220" s="2">
        <v>76.168099999999995</v>
      </c>
      <c r="J220" s="2">
        <v>2</v>
      </c>
      <c r="K220" s="2">
        <v>74.460499999999996</v>
      </c>
      <c r="L220" s="2">
        <v>3</v>
      </c>
      <c r="M220" s="2">
        <v>105.9061</v>
      </c>
      <c r="N220" s="2">
        <v>87</v>
      </c>
      <c r="O220" s="2">
        <v>98.505700000000004</v>
      </c>
      <c r="P220" s="2">
        <v>224</v>
      </c>
      <c r="Q220" s="2">
        <v>100.9374</v>
      </c>
      <c r="R220" s="2">
        <v>147</v>
      </c>
      <c r="S220" s="2">
        <v>103.852</v>
      </c>
      <c r="T220" s="2">
        <v>201</v>
      </c>
      <c r="U220" s="2">
        <v>0.35255999999999998</v>
      </c>
      <c r="V220" s="2">
        <v>219</v>
      </c>
      <c r="W220" s="2">
        <v>2006</v>
      </c>
    </row>
    <row r="221" spans="1:23" ht="12.3" x14ac:dyDescent="0.4">
      <c r="A221" s="2" t="s">
        <v>195</v>
      </c>
      <c r="B221" s="2"/>
      <c r="C221" s="2"/>
      <c r="D221" s="2"/>
      <c r="E221" s="2"/>
      <c r="F221" s="2"/>
      <c r="G221" s="2"/>
      <c r="H221" s="2"/>
      <c r="I221" s="2">
        <v>65.233599999999996</v>
      </c>
      <c r="J221" s="2">
        <v>239</v>
      </c>
      <c r="K221" s="2">
        <v>64.214699999999993</v>
      </c>
      <c r="L221" s="2">
        <v>268</v>
      </c>
      <c r="M221" s="2">
        <v>105.3503</v>
      </c>
      <c r="N221" s="2">
        <v>97</v>
      </c>
      <c r="O221" s="2">
        <v>101.4276</v>
      </c>
      <c r="P221" s="2">
        <v>169</v>
      </c>
      <c r="Q221" s="2">
        <v>105.59310000000001</v>
      </c>
      <c r="R221" s="2">
        <v>246</v>
      </c>
      <c r="S221" s="2">
        <v>107.06529999999999</v>
      </c>
      <c r="T221" s="2">
        <v>265</v>
      </c>
      <c r="U221" s="2">
        <v>0.34930800000000001</v>
      </c>
      <c r="V221" s="2">
        <v>220</v>
      </c>
      <c r="W221" s="2">
        <v>2006</v>
      </c>
    </row>
    <row r="222" spans="1:23" ht="12.3" x14ac:dyDescent="0.4">
      <c r="A222" s="2" t="s">
        <v>231</v>
      </c>
      <c r="B222" s="2"/>
      <c r="C222" s="2"/>
      <c r="D222" s="2"/>
      <c r="E222" s="2"/>
      <c r="F222" s="2"/>
      <c r="G222" s="2"/>
      <c r="H222" s="2"/>
      <c r="I222" s="2">
        <v>66.581599999999995</v>
      </c>
      <c r="J222" s="2">
        <v>186</v>
      </c>
      <c r="K222" s="2">
        <v>67.072599999999994</v>
      </c>
      <c r="L222" s="2">
        <v>154</v>
      </c>
      <c r="M222" s="2">
        <v>96.552099999999996</v>
      </c>
      <c r="N222" s="2">
        <v>250</v>
      </c>
      <c r="O222" s="2">
        <v>99.164500000000004</v>
      </c>
      <c r="P222" s="2">
        <v>212</v>
      </c>
      <c r="Q222" s="2">
        <v>102.8373</v>
      </c>
      <c r="R222" s="2">
        <v>191</v>
      </c>
      <c r="S222" s="2">
        <v>104.70740000000001</v>
      </c>
      <c r="T222" s="2">
        <v>214</v>
      </c>
      <c r="U222" s="2">
        <v>0.34853600000000001</v>
      </c>
      <c r="V222" s="2">
        <v>221</v>
      </c>
      <c r="W222" s="2">
        <v>2006</v>
      </c>
    </row>
    <row r="223" spans="1:23" ht="12.3" x14ac:dyDescent="0.4">
      <c r="A223" s="2" t="s">
        <v>163</v>
      </c>
      <c r="B223" s="2"/>
      <c r="C223" s="2"/>
      <c r="D223" s="2"/>
      <c r="E223" s="2"/>
      <c r="F223" s="2"/>
      <c r="G223" s="2"/>
      <c r="H223" s="2"/>
      <c r="I223" s="2">
        <v>69.127899999999997</v>
      </c>
      <c r="J223" s="2">
        <v>92</v>
      </c>
      <c r="K223" s="2">
        <v>67.775199999999998</v>
      </c>
      <c r="L223" s="2">
        <v>125</v>
      </c>
      <c r="M223" s="2">
        <v>105.0399</v>
      </c>
      <c r="N223" s="2">
        <v>107</v>
      </c>
      <c r="O223" s="2">
        <v>101.8998</v>
      </c>
      <c r="P223" s="2">
        <v>164</v>
      </c>
      <c r="Q223" s="2">
        <v>107.3985</v>
      </c>
      <c r="R223" s="2">
        <v>287</v>
      </c>
      <c r="S223" s="2">
        <v>107.6576</v>
      </c>
      <c r="T223" s="2">
        <v>276</v>
      </c>
      <c r="U223" s="2">
        <v>0.34703200000000001</v>
      </c>
      <c r="V223" s="2">
        <v>222</v>
      </c>
      <c r="W223" s="2">
        <v>2006</v>
      </c>
    </row>
    <row r="224" spans="1:23" ht="12.3" x14ac:dyDescent="0.4">
      <c r="A224" s="2" t="s">
        <v>107</v>
      </c>
      <c r="B224" s="2"/>
      <c r="C224" s="2"/>
      <c r="D224" s="2"/>
      <c r="E224" s="2"/>
      <c r="F224" s="2"/>
      <c r="G224" s="2"/>
      <c r="H224" s="2"/>
      <c r="I224" s="2">
        <v>72.334999999999994</v>
      </c>
      <c r="J224" s="2">
        <v>25</v>
      </c>
      <c r="K224" s="2">
        <v>71.416399999999996</v>
      </c>
      <c r="L224" s="2">
        <v>31</v>
      </c>
      <c r="M224" s="2">
        <v>97.589500000000001</v>
      </c>
      <c r="N224" s="2">
        <v>237</v>
      </c>
      <c r="O224" s="2">
        <v>97.008600000000001</v>
      </c>
      <c r="P224" s="2">
        <v>248</v>
      </c>
      <c r="Q224" s="2">
        <v>101.15989999999999</v>
      </c>
      <c r="R224" s="2">
        <v>154</v>
      </c>
      <c r="S224" s="2">
        <v>102.52589999999999</v>
      </c>
      <c r="T224" s="2">
        <v>174</v>
      </c>
      <c r="U224" s="2">
        <v>0.34612199999999999</v>
      </c>
      <c r="V224" s="2">
        <v>223</v>
      </c>
      <c r="W224" s="2">
        <v>2006</v>
      </c>
    </row>
    <row r="225" spans="1:23" ht="12.3" x14ac:dyDescent="0.4">
      <c r="A225" s="2" t="s">
        <v>197</v>
      </c>
      <c r="B225" s="2"/>
      <c r="C225" s="2"/>
      <c r="D225" s="2"/>
      <c r="E225" s="2"/>
      <c r="F225" s="2"/>
      <c r="G225" s="2"/>
      <c r="H225" s="2"/>
      <c r="I225" s="2">
        <v>67.179400000000001</v>
      </c>
      <c r="J225" s="2">
        <v>157</v>
      </c>
      <c r="K225" s="2">
        <v>66.691400000000002</v>
      </c>
      <c r="L225" s="2">
        <v>175</v>
      </c>
      <c r="M225" s="2">
        <v>96.310500000000005</v>
      </c>
      <c r="N225" s="2">
        <v>254</v>
      </c>
      <c r="O225" s="2">
        <v>97.189499999999995</v>
      </c>
      <c r="P225" s="2">
        <v>244</v>
      </c>
      <c r="Q225" s="2">
        <v>101.0365</v>
      </c>
      <c r="R225" s="2">
        <v>149</v>
      </c>
      <c r="S225" s="2">
        <v>102.7702</v>
      </c>
      <c r="T225" s="2">
        <v>179</v>
      </c>
      <c r="U225" s="2">
        <v>0.34477600000000003</v>
      </c>
      <c r="V225" s="2">
        <v>224</v>
      </c>
      <c r="W225" s="2">
        <v>2006</v>
      </c>
    </row>
    <row r="226" spans="1:23" ht="12.3" x14ac:dyDescent="0.4">
      <c r="A226" s="2" t="s">
        <v>152</v>
      </c>
      <c r="B226" s="2"/>
      <c r="C226" s="2"/>
      <c r="D226" s="2"/>
      <c r="E226" s="2"/>
      <c r="F226" s="2"/>
      <c r="G226" s="2"/>
      <c r="H226" s="2"/>
      <c r="I226" s="2">
        <v>65.679699999999997</v>
      </c>
      <c r="J226" s="2">
        <v>224</v>
      </c>
      <c r="K226" s="2">
        <v>65.423699999999997</v>
      </c>
      <c r="L226" s="2">
        <v>236</v>
      </c>
      <c r="M226" s="2">
        <v>98.558999999999997</v>
      </c>
      <c r="N226" s="2">
        <v>220</v>
      </c>
      <c r="O226" s="2">
        <v>100.61409999999999</v>
      </c>
      <c r="P226" s="2">
        <v>184</v>
      </c>
      <c r="Q226" s="2">
        <v>107.9631</v>
      </c>
      <c r="R226" s="2">
        <v>296</v>
      </c>
      <c r="S226" s="2">
        <v>106.4645</v>
      </c>
      <c r="T226" s="2">
        <v>255</v>
      </c>
      <c r="U226" s="2">
        <v>0.34299600000000002</v>
      </c>
      <c r="V226" s="2">
        <v>225</v>
      </c>
      <c r="W226" s="2">
        <v>2006</v>
      </c>
    </row>
    <row r="227" spans="1:23" ht="12.3" x14ac:dyDescent="0.4">
      <c r="A227" s="2" t="s">
        <v>253</v>
      </c>
      <c r="B227" s="2"/>
      <c r="C227" s="2"/>
      <c r="D227" s="2"/>
      <c r="E227" s="2"/>
      <c r="F227" s="2"/>
      <c r="G227" s="2"/>
      <c r="H227" s="2"/>
      <c r="I227" s="2">
        <v>66.438100000000006</v>
      </c>
      <c r="J227" s="2">
        <v>193</v>
      </c>
      <c r="K227" s="2">
        <v>65.527600000000007</v>
      </c>
      <c r="L227" s="2">
        <v>232</v>
      </c>
      <c r="M227" s="2">
        <v>101.4948</v>
      </c>
      <c r="N227" s="2">
        <v>172</v>
      </c>
      <c r="O227" s="2">
        <v>100.0106</v>
      </c>
      <c r="P227" s="2">
        <v>197</v>
      </c>
      <c r="Q227" s="2">
        <v>105.4605</v>
      </c>
      <c r="R227" s="2">
        <v>244</v>
      </c>
      <c r="S227" s="2">
        <v>106.0308</v>
      </c>
      <c r="T227" s="2">
        <v>245</v>
      </c>
      <c r="U227" s="2">
        <v>0.33800200000000002</v>
      </c>
      <c r="V227" s="2">
        <v>226</v>
      </c>
      <c r="W227" s="2">
        <v>2006</v>
      </c>
    </row>
    <row r="228" spans="1:23" ht="12.3" x14ac:dyDescent="0.4">
      <c r="A228" s="2" t="s">
        <v>183</v>
      </c>
      <c r="B228" s="2"/>
      <c r="C228" s="2"/>
      <c r="D228" s="2"/>
      <c r="E228" s="2"/>
      <c r="F228" s="2"/>
      <c r="G228" s="2"/>
      <c r="H228" s="2"/>
      <c r="I228" s="2">
        <v>65.8523</v>
      </c>
      <c r="J228" s="2">
        <v>218</v>
      </c>
      <c r="K228" s="2">
        <v>64.729900000000001</v>
      </c>
      <c r="L228" s="2">
        <v>259</v>
      </c>
      <c r="M228" s="2">
        <v>95.323899999999995</v>
      </c>
      <c r="N228" s="2">
        <v>278</v>
      </c>
      <c r="O228" s="2">
        <v>98.549899999999994</v>
      </c>
      <c r="P228" s="2">
        <v>223</v>
      </c>
      <c r="Q228" s="2">
        <v>104.8976</v>
      </c>
      <c r="R228" s="2">
        <v>236</v>
      </c>
      <c r="S228" s="2">
        <v>104.6716</v>
      </c>
      <c r="T228" s="2">
        <v>212</v>
      </c>
      <c r="U228" s="2">
        <v>0.33335599999999999</v>
      </c>
      <c r="V228" s="2">
        <v>227</v>
      </c>
      <c r="W228" s="2">
        <v>2006</v>
      </c>
    </row>
    <row r="229" spans="1:23" ht="12.3" x14ac:dyDescent="0.4">
      <c r="A229" s="2" t="s">
        <v>166</v>
      </c>
      <c r="B229" s="2"/>
      <c r="C229" s="2"/>
      <c r="D229" s="2"/>
      <c r="E229" s="2"/>
      <c r="F229" s="2"/>
      <c r="G229" s="2"/>
      <c r="H229" s="2"/>
      <c r="I229" s="2">
        <v>68.974800000000002</v>
      </c>
      <c r="J229" s="2">
        <v>97</v>
      </c>
      <c r="K229" s="2">
        <v>68.794700000000006</v>
      </c>
      <c r="L229" s="2">
        <v>94</v>
      </c>
      <c r="M229" s="2">
        <v>99.675200000000004</v>
      </c>
      <c r="N229" s="2">
        <v>195</v>
      </c>
      <c r="O229" s="2">
        <v>97.977199999999996</v>
      </c>
      <c r="P229" s="2">
        <v>230</v>
      </c>
      <c r="Q229" s="2">
        <v>103.0515</v>
      </c>
      <c r="R229" s="2">
        <v>197</v>
      </c>
      <c r="S229" s="2">
        <v>104.1153</v>
      </c>
      <c r="T229" s="2">
        <v>205</v>
      </c>
      <c r="U229" s="2">
        <v>0.33208100000000002</v>
      </c>
      <c r="V229" s="2">
        <v>228</v>
      </c>
      <c r="W229" s="2">
        <v>2006</v>
      </c>
    </row>
    <row r="230" spans="1:23" ht="12.3" x14ac:dyDescent="0.4">
      <c r="A230" s="2" t="s">
        <v>223</v>
      </c>
      <c r="B230" s="2"/>
      <c r="C230" s="2"/>
      <c r="D230" s="2"/>
      <c r="E230" s="2"/>
      <c r="F230" s="2"/>
      <c r="G230" s="2"/>
      <c r="H230" s="2"/>
      <c r="I230" s="2">
        <v>69.287599999999998</v>
      </c>
      <c r="J230" s="2">
        <v>86</v>
      </c>
      <c r="K230" s="2">
        <v>68.531400000000005</v>
      </c>
      <c r="L230" s="2">
        <v>104</v>
      </c>
      <c r="M230" s="2">
        <v>104.50660000000001</v>
      </c>
      <c r="N230" s="2">
        <v>119</v>
      </c>
      <c r="O230" s="2">
        <v>102.6632</v>
      </c>
      <c r="P230" s="2">
        <v>151</v>
      </c>
      <c r="Q230" s="2">
        <v>105.9757</v>
      </c>
      <c r="R230" s="2">
        <v>253</v>
      </c>
      <c r="S230" s="2">
        <v>109.1506</v>
      </c>
      <c r="T230" s="2">
        <v>292</v>
      </c>
      <c r="U230" s="2">
        <v>0.33077899999999999</v>
      </c>
      <c r="V230" s="2">
        <v>229</v>
      </c>
      <c r="W230" s="2">
        <v>2006</v>
      </c>
    </row>
    <row r="231" spans="1:23" ht="12.3" x14ac:dyDescent="0.4">
      <c r="A231" s="2" t="s">
        <v>182</v>
      </c>
      <c r="B231" s="2"/>
      <c r="C231" s="2"/>
      <c r="D231" s="2"/>
      <c r="E231" s="2"/>
      <c r="F231" s="2"/>
      <c r="G231" s="2"/>
      <c r="H231" s="2"/>
      <c r="I231" s="2">
        <v>69.816400000000002</v>
      </c>
      <c r="J231" s="2">
        <v>65</v>
      </c>
      <c r="K231" s="2">
        <v>68.984099999999998</v>
      </c>
      <c r="L231" s="2">
        <v>91</v>
      </c>
      <c r="M231" s="2">
        <v>100.4676</v>
      </c>
      <c r="N231" s="2">
        <v>186</v>
      </c>
      <c r="O231" s="2">
        <v>99.642300000000006</v>
      </c>
      <c r="P231" s="2">
        <v>206</v>
      </c>
      <c r="Q231" s="2">
        <v>109.0462</v>
      </c>
      <c r="R231" s="2">
        <v>303</v>
      </c>
      <c r="S231" s="2">
        <v>106.0939</v>
      </c>
      <c r="T231" s="2">
        <v>249</v>
      </c>
      <c r="U231" s="2">
        <v>0.32706600000000002</v>
      </c>
      <c r="V231" s="2">
        <v>230</v>
      </c>
      <c r="W231" s="2">
        <v>2006</v>
      </c>
    </row>
    <row r="232" spans="1:23" ht="12.3" x14ac:dyDescent="0.4">
      <c r="A232" s="2" t="s">
        <v>162</v>
      </c>
      <c r="B232" s="2"/>
      <c r="C232" s="2"/>
      <c r="D232" s="2"/>
      <c r="E232" s="2"/>
      <c r="F232" s="2"/>
      <c r="G232" s="2"/>
      <c r="H232" s="2"/>
      <c r="I232" s="2">
        <v>65.711200000000005</v>
      </c>
      <c r="J232" s="2">
        <v>222</v>
      </c>
      <c r="K232" s="2">
        <v>66.229600000000005</v>
      </c>
      <c r="L232" s="2">
        <v>207</v>
      </c>
      <c r="M232" s="2">
        <v>94.799899999999994</v>
      </c>
      <c r="N232" s="2">
        <v>284</v>
      </c>
      <c r="O232" s="2">
        <v>94.795299999999997</v>
      </c>
      <c r="P232" s="2">
        <v>277</v>
      </c>
      <c r="Q232" s="2">
        <v>103.5729</v>
      </c>
      <c r="R232" s="2">
        <v>209</v>
      </c>
      <c r="S232" s="2">
        <v>101.0014</v>
      </c>
      <c r="T232" s="2">
        <v>148</v>
      </c>
      <c r="U232" s="2">
        <v>0.32535700000000001</v>
      </c>
      <c r="V232" s="2">
        <v>231</v>
      </c>
      <c r="W232" s="2">
        <v>2006</v>
      </c>
    </row>
    <row r="233" spans="1:23" ht="12.3" x14ac:dyDescent="0.4">
      <c r="A233" s="2" t="s">
        <v>174</v>
      </c>
      <c r="B233" s="2"/>
      <c r="C233" s="2"/>
      <c r="D233" s="2"/>
      <c r="E233" s="2"/>
      <c r="F233" s="2"/>
      <c r="G233" s="2"/>
      <c r="H233" s="2"/>
      <c r="I233" s="2">
        <v>69.209900000000005</v>
      </c>
      <c r="J233" s="2">
        <v>88</v>
      </c>
      <c r="K233" s="2">
        <v>69.094399999999993</v>
      </c>
      <c r="L233" s="2">
        <v>87</v>
      </c>
      <c r="M233" s="2">
        <v>94.689899999999994</v>
      </c>
      <c r="N233" s="2">
        <v>286</v>
      </c>
      <c r="O233" s="2">
        <v>94.143699999999995</v>
      </c>
      <c r="P233" s="2">
        <v>285</v>
      </c>
      <c r="Q233" s="2">
        <v>102.10380000000001</v>
      </c>
      <c r="R233" s="2">
        <v>172</v>
      </c>
      <c r="S233" s="2">
        <v>100.3467</v>
      </c>
      <c r="T233" s="2">
        <v>133</v>
      </c>
      <c r="U233" s="2">
        <v>0.32436300000000001</v>
      </c>
      <c r="V233" s="2">
        <v>232</v>
      </c>
      <c r="W233" s="2">
        <v>2006</v>
      </c>
    </row>
    <row r="234" spans="1:23" ht="12.3" x14ac:dyDescent="0.4">
      <c r="A234" s="2" t="s">
        <v>355</v>
      </c>
      <c r="B234" s="2"/>
      <c r="C234" s="2"/>
      <c r="D234" s="2"/>
      <c r="E234" s="2"/>
      <c r="F234" s="2"/>
      <c r="G234" s="2"/>
      <c r="H234" s="2"/>
      <c r="I234" s="2">
        <v>62.7926</v>
      </c>
      <c r="J234" s="2">
        <v>303</v>
      </c>
      <c r="K234" s="2">
        <v>60.887900000000002</v>
      </c>
      <c r="L234" s="2">
        <v>323</v>
      </c>
      <c r="M234" s="2">
        <v>103.6913</v>
      </c>
      <c r="N234" s="2">
        <v>136</v>
      </c>
      <c r="O234" s="2">
        <v>99.936899999999994</v>
      </c>
      <c r="P234" s="2">
        <v>199</v>
      </c>
      <c r="Q234" s="2">
        <v>102.247</v>
      </c>
      <c r="R234" s="2">
        <v>177</v>
      </c>
      <c r="S234" s="2">
        <v>106.53279999999999</v>
      </c>
      <c r="T234" s="2">
        <v>257</v>
      </c>
      <c r="U234" s="2">
        <v>0.324098</v>
      </c>
      <c r="V234" s="2">
        <v>233</v>
      </c>
      <c r="W234" s="2">
        <v>2006</v>
      </c>
    </row>
    <row r="235" spans="1:23" ht="12.3" x14ac:dyDescent="0.4">
      <c r="A235" s="2" t="s">
        <v>305</v>
      </c>
      <c r="B235" s="2"/>
      <c r="C235" s="2"/>
      <c r="D235" s="2"/>
      <c r="E235" s="2"/>
      <c r="F235" s="2"/>
      <c r="G235" s="2"/>
      <c r="H235" s="2"/>
      <c r="I235" s="2">
        <v>67.320499999999996</v>
      </c>
      <c r="J235" s="2">
        <v>150</v>
      </c>
      <c r="K235" s="2">
        <v>67.083699999999993</v>
      </c>
      <c r="L235" s="2">
        <v>153</v>
      </c>
      <c r="M235" s="2">
        <v>100.22539999999999</v>
      </c>
      <c r="N235" s="2">
        <v>190</v>
      </c>
      <c r="O235" s="2">
        <v>100.0883</v>
      </c>
      <c r="P235" s="2">
        <v>196</v>
      </c>
      <c r="Q235" s="2">
        <v>106.2555</v>
      </c>
      <c r="R235" s="2">
        <v>260</v>
      </c>
      <c r="S235" s="2">
        <v>106.7075</v>
      </c>
      <c r="T235" s="2">
        <v>258</v>
      </c>
      <c r="U235" s="2">
        <v>0.32378299999999999</v>
      </c>
      <c r="V235" s="2">
        <v>234</v>
      </c>
      <c r="W235" s="2">
        <v>2006</v>
      </c>
    </row>
    <row r="236" spans="1:23" ht="12.3" x14ac:dyDescent="0.4">
      <c r="A236" s="2" t="s">
        <v>348</v>
      </c>
      <c r="B236" s="2"/>
      <c r="C236" s="2"/>
      <c r="D236" s="2"/>
      <c r="E236" s="2"/>
      <c r="F236" s="2"/>
      <c r="G236" s="2"/>
      <c r="H236" s="2"/>
      <c r="I236" s="2">
        <v>66.893500000000003</v>
      </c>
      <c r="J236" s="2">
        <v>172</v>
      </c>
      <c r="K236" s="2">
        <v>66.753799999999998</v>
      </c>
      <c r="L236" s="2">
        <v>171</v>
      </c>
      <c r="M236" s="2">
        <v>101.4388</v>
      </c>
      <c r="N236" s="2">
        <v>173</v>
      </c>
      <c r="O236" s="2">
        <v>100.1373</v>
      </c>
      <c r="P236" s="2">
        <v>195</v>
      </c>
      <c r="Q236" s="2">
        <v>109.11450000000001</v>
      </c>
      <c r="R236" s="2">
        <v>304</v>
      </c>
      <c r="S236" s="2">
        <v>106.7829</v>
      </c>
      <c r="T236" s="2">
        <v>259</v>
      </c>
      <c r="U236" s="2">
        <v>0.32323800000000003</v>
      </c>
      <c r="V236" s="2">
        <v>235</v>
      </c>
      <c r="W236" s="2">
        <v>2006</v>
      </c>
    </row>
    <row r="237" spans="1:23" ht="12.3" x14ac:dyDescent="0.4">
      <c r="A237" s="2" t="s">
        <v>218</v>
      </c>
      <c r="B237" s="2"/>
      <c r="C237" s="2"/>
      <c r="D237" s="2"/>
      <c r="E237" s="2"/>
      <c r="F237" s="2"/>
      <c r="G237" s="2"/>
      <c r="H237" s="2"/>
      <c r="I237" s="2">
        <v>67.895399999999995</v>
      </c>
      <c r="J237" s="2">
        <v>132</v>
      </c>
      <c r="K237" s="2">
        <v>66.686700000000002</v>
      </c>
      <c r="L237" s="2">
        <v>177</v>
      </c>
      <c r="M237" s="2">
        <v>106.74809999999999</v>
      </c>
      <c r="N237" s="2">
        <v>73</v>
      </c>
      <c r="O237" s="2">
        <v>100.5802</v>
      </c>
      <c r="P237" s="2">
        <v>185</v>
      </c>
      <c r="Q237" s="2">
        <v>105.63809999999999</v>
      </c>
      <c r="R237" s="2">
        <v>248</v>
      </c>
      <c r="S237" s="2">
        <v>107.3064</v>
      </c>
      <c r="T237" s="2">
        <v>267</v>
      </c>
      <c r="U237" s="2">
        <v>0.32203700000000002</v>
      </c>
      <c r="V237" s="2">
        <v>236</v>
      </c>
      <c r="W237" s="2">
        <v>2006</v>
      </c>
    </row>
    <row r="238" spans="1:23" ht="12.3" x14ac:dyDescent="0.4">
      <c r="A238" s="2" t="s">
        <v>333</v>
      </c>
      <c r="B238" s="2"/>
      <c r="C238" s="2"/>
      <c r="D238" s="2"/>
      <c r="E238" s="2"/>
      <c r="F238" s="2"/>
      <c r="G238" s="2"/>
      <c r="H238" s="2"/>
      <c r="I238" s="2">
        <v>63.191699999999997</v>
      </c>
      <c r="J238" s="2">
        <v>295</v>
      </c>
      <c r="K238" s="2">
        <v>64.041899999999998</v>
      </c>
      <c r="L238" s="2">
        <v>275</v>
      </c>
      <c r="M238" s="2">
        <v>98.19</v>
      </c>
      <c r="N238" s="2">
        <v>225</v>
      </c>
      <c r="O238" s="2">
        <v>97.210499999999996</v>
      </c>
      <c r="P238" s="2">
        <v>243</v>
      </c>
      <c r="Q238" s="2">
        <v>99.971500000000006</v>
      </c>
      <c r="R238" s="2">
        <v>125</v>
      </c>
      <c r="S238" s="2">
        <v>103.733</v>
      </c>
      <c r="T238" s="2">
        <v>199</v>
      </c>
      <c r="U238" s="2">
        <v>0.32151400000000002</v>
      </c>
      <c r="V238" s="2">
        <v>237</v>
      </c>
      <c r="W238" s="2">
        <v>2006</v>
      </c>
    </row>
    <row r="239" spans="1:23" ht="12.3" x14ac:dyDescent="0.4">
      <c r="A239" s="2" t="s">
        <v>307</v>
      </c>
      <c r="B239" s="2"/>
      <c r="C239" s="2"/>
      <c r="D239" s="2"/>
      <c r="E239" s="2"/>
      <c r="F239" s="2"/>
      <c r="G239" s="2"/>
      <c r="H239" s="2"/>
      <c r="I239" s="2">
        <v>68.369799999999998</v>
      </c>
      <c r="J239" s="2">
        <v>118</v>
      </c>
      <c r="K239" s="2">
        <v>67.878399999999999</v>
      </c>
      <c r="L239" s="2">
        <v>118</v>
      </c>
      <c r="M239" s="2">
        <v>104.22069999999999</v>
      </c>
      <c r="N239" s="2">
        <v>125</v>
      </c>
      <c r="O239" s="2">
        <v>103.3404</v>
      </c>
      <c r="P239" s="2">
        <v>135</v>
      </c>
      <c r="Q239" s="2">
        <v>106.5441</v>
      </c>
      <c r="R239" s="2">
        <v>268</v>
      </c>
      <c r="S239" s="2">
        <v>110.4843</v>
      </c>
      <c r="T239" s="2">
        <v>304</v>
      </c>
      <c r="U239" s="2">
        <v>0.31675599999999998</v>
      </c>
      <c r="V239" s="2">
        <v>238</v>
      </c>
      <c r="W239" s="2">
        <v>2006</v>
      </c>
    </row>
    <row r="240" spans="1:23" ht="12.3" x14ac:dyDescent="0.4">
      <c r="A240" s="2" t="s">
        <v>185</v>
      </c>
      <c r="B240" s="2"/>
      <c r="C240" s="2"/>
      <c r="D240" s="2"/>
      <c r="E240" s="2"/>
      <c r="F240" s="2"/>
      <c r="G240" s="2"/>
      <c r="H240" s="2"/>
      <c r="I240" s="2">
        <v>72.915899999999993</v>
      </c>
      <c r="J240" s="2">
        <v>16</v>
      </c>
      <c r="K240" s="2">
        <v>71.152199999999993</v>
      </c>
      <c r="L240" s="2">
        <v>35</v>
      </c>
      <c r="M240" s="2">
        <v>99.194000000000003</v>
      </c>
      <c r="N240" s="2">
        <v>207</v>
      </c>
      <c r="O240" s="2">
        <v>98.941299999999998</v>
      </c>
      <c r="P240" s="2">
        <v>219</v>
      </c>
      <c r="Q240" s="2">
        <v>102.8646</v>
      </c>
      <c r="R240" s="2">
        <v>192</v>
      </c>
      <c r="S240" s="2">
        <v>105.9773</v>
      </c>
      <c r="T240" s="2">
        <v>244</v>
      </c>
      <c r="U240" s="2">
        <v>0.312162</v>
      </c>
      <c r="V240" s="2">
        <v>239</v>
      </c>
      <c r="W240" s="2">
        <v>2006</v>
      </c>
    </row>
    <row r="241" spans="1:23" ht="12.3" x14ac:dyDescent="0.4">
      <c r="A241" s="2" t="s">
        <v>246</v>
      </c>
      <c r="B241" s="2"/>
      <c r="C241" s="2"/>
      <c r="D241" s="2"/>
      <c r="E241" s="2"/>
      <c r="F241" s="2"/>
      <c r="G241" s="2"/>
      <c r="H241" s="2"/>
      <c r="I241" s="2">
        <v>65.251999999999995</v>
      </c>
      <c r="J241" s="2">
        <v>238</v>
      </c>
      <c r="K241" s="2">
        <v>65.635000000000005</v>
      </c>
      <c r="L241" s="2">
        <v>227</v>
      </c>
      <c r="M241" s="2">
        <v>99.425899999999999</v>
      </c>
      <c r="N241" s="2">
        <v>197</v>
      </c>
      <c r="O241" s="2">
        <v>98.083699999999993</v>
      </c>
      <c r="P241" s="2">
        <v>228</v>
      </c>
      <c r="Q241" s="2">
        <v>104.7859</v>
      </c>
      <c r="R241" s="2">
        <v>234</v>
      </c>
      <c r="S241" s="2">
        <v>105.1469</v>
      </c>
      <c r="T241" s="2">
        <v>224</v>
      </c>
      <c r="U241" s="2">
        <v>0.31009500000000001</v>
      </c>
      <c r="V241" s="2">
        <v>240</v>
      </c>
      <c r="W241" s="2">
        <v>2006</v>
      </c>
    </row>
    <row r="242" spans="1:23" ht="12.3" x14ac:dyDescent="0.4">
      <c r="A242" s="2" t="s">
        <v>189</v>
      </c>
      <c r="B242" s="2"/>
      <c r="C242" s="2"/>
      <c r="D242" s="2"/>
      <c r="E242" s="2"/>
      <c r="F242" s="2"/>
      <c r="G242" s="2"/>
      <c r="H242" s="2"/>
      <c r="I242" s="2">
        <v>65.168400000000005</v>
      </c>
      <c r="J242" s="2">
        <v>242</v>
      </c>
      <c r="K242" s="2">
        <v>64.071899999999999</v>
      </c>
      <c r="L242" s="2">
        <v>274</v>
      </c>
      <c r="M242" s="2">
        <v>99.247200000000007</v>
      </c>
      <c r="N242" s="2">
        <v>205</v>
      </c>
      <c r="O242" s="2">
        <v>99.150899999999993</v>
      </c>
      <c r="P242" s="2">
        <v>213</v>
      </c>
      <c r="Q242" s="2">
        <v>108.07129999999999</v>
      </c>
      <c r="R242" s="2">
        <v>298</v>
      </c>
      <c r="S242" s="2">
        <v>106.4084</v>
      </c>
      <c r="T242" s="2">
        <v>254</v>
      </c>
      <c r="U242" s="2">
        <v>0.30738500000000002</v>
      </c>
      <c r="V242" s="2">
        <v>241</v>
      </c>
      <c r="W242" s="2">
        <v>2006</v>
      </c>
    </row>
    <row r="243" spans="1:23" ht="12.3" x14ac:dyDescent="0.4">
      <c r="A243" s="2" t="s">
        <v>222</v>
      </c>
      <c r="B243" s="2"/>
      <c r="C243" s="2"/>
      <c r="D243" s="2"/>
      <c r="E243" s="2"/>
      <c r="F243" s="2"/>
      <c r="G243" s="2"/>
      <c r="H243" s="2"/>
      <c r="I243" s="2">
        <v>68.416300000000007</v>
      </c>
      <c r="J243" s="2">
        <v>115</v>
      </c>
      <c r="K243" s="2">
        <v>69.927499999999995</v>
      </c>
      <c r="L243" s="2">
        <v>59</v>
      </c>
      <c r="M243" s="2">
        <v>91.429000000000002</v>
      </c>
      <c r="N243" s="2">
        <v>313</v>
      </c>
      <c r="O243" s="2">
        <v>91.158100000000005</v>
      </c>
      <c r="P243" s="2">
        <v>317</v>
      </c>
      <c r="Q243" s="2">
        <v>101.8995</v>
      </c>
      <c r="R243" s="2">
        <v>167</v>
      </c>
      <c r="S243" s="2">
        <v>97.965100000000007</v>
      </c>
      <c r="T243" s="2">
        <v>94</v>
      </c>
      <c r="U243" s="2">
        <v>0.30403000000000002</v>
      </c>
      <c r="V243" s="2">
        <v>242</v>
      </c>
      <c r="W243" s="2">
        <v>2006</v>
      </c>
    </row>
    <row r="244" spans="1:23" ht="12.3" x14ac:dyDescent="0.4">
      <c r="A244" s="2" t="s">
        <v>295</v>
      </c>
      <c r="B244" s="2"/>
      <c r="C244" s="2"/>
      <c r="D244" s="2"/>
      <c r="E244" s="2"/>
      <c r="F244" s="2"/>
      <c r="G244" s="2"/>
      <c r="H244" s="2"/>
      <c r="I244" s="2">
        <v>65.610900000000001</v>
      </c>
      <c r="J244" s="2">
        <v>227</v>
      </c>
      <c r="K244" s="2">
        <v>66.770200000000003</v>
      </c>
      <c r="L244" s="2">
        <v>170</v>
      </c>
      <c r="M244" s="2">
        <v>101.67829999999999</v>
      </c>
      <c r="N244" s="2">
        <v>168</v>
      </c>
      <c r="O244" s="2">
        <v>99.874799999999993</v>
      </c>
      <c r="P244" s="2">
        <v>203</v>
      </c>
      <c r="Q244" s="2">
        <v>102.62520000000001</v>
      </c>
      <c r="R244" s="2">
        <v>186</v>
      </c>
      <c r="S244" s="2">
        <v>107.4884</v>
      </c>
      <c r="T244" s="2">
        <v>273</v>
      </c>
      <c r="U244" s="2">
        <v>0.30051499999999998</v>
      </c>
      <c r="V244" s="2">
        <v>243</v>
      </c>
      <c r="W244" s="2">
        <v>2006</v>
      </c>
    </row>
    <row r="245" spans="1:23" ht="12.3" x14ac:dyDescent="0.4">
      <c r="A245" s="2" t="s">
        <v>279</v>
      </c>
      <c r="B245" s="2"/>
      <c r="C245" s="2"/>
      <c r="D245" s="2"/>
      <c r="E245" s="2"/>
      <c r="F245" s="2"/>
      <c r="G245" s="2"/>
      <c r="H245" s="2"/>
      <c r="I245" s="2">
        <v>64.964600000000004</v>
      </c>
      <c r="J245" s="2">
        <v>249</v>
      </c>
      <c r="K245" s="2">
        <v>64.960400000000007</v>
      </c>
      <c r="L245" s="2">
        <v>251</v>
      </c>
      <c r="M245" s="2">
        <v>98.150199999999998</v>
      </c>
      <c r="N245" s="2">
        <v>228</v>
      </c>
      <c r="O245" s="2">
        <v>98.9649</v>
      </c>
      <c r="P245" s="2">
        <v>218</v>
      </c>
      <c r="Q245" s="2">
        <v>106.28360000000001</v>
      </c>
      <c r="R245" s="2">
        <v>262</v>
      </c>
      <c r="S245" s="2">
        <v>106.51049999999999</v>
      </c>
      <c r="T245" s="2">
        <v>256</v>
      </c>
      <c r="U245" s="2">
        <v>0.300483</v>
      </c>
      <c r="V245" s="2">
        <v>244</v>
      </c>
      <c r="W245" s="2">
        <v>2006</v>
      </c>
    </row>
    <row r="246" spans="1:23" ht="12.3" x14ac:dyDescent="0.4">
      <c r="A246" s="2" t="s">
        <v>100</v>
      </c>
      <c r="B246" s="2"/>
      <c r="C246" s="2"/>
      <c r="D246" s="2"/>
      <c r="E246" s="2"/>
      <c r="F246" s="2"/>
      <c r="G246" s="2"/>
      <c r="H246" s="2"/>
      <c r="I246" s="2">
        <v>57.106200000000001</v>
      </c>
      <c r="J246" s="2">
        <v>331</v>
      </c>
      <c r="K246" s="2">
        <v>57.340800000000002</v>
      </c>
      <c r="L246" s="2">
        <v>330</v>
      </c>
      <c r="M246" s="2">
        <v>90.601200000000006</v>
      </c>
      <c r="N246" s="2">
        <v>317</v>
      </c>
      <c r="O246" s="2">
        <v>93.385599999999997</v>
      </c>
      <c r="P246" s="2">
        <v>294</v>
      </c>
      <c r="Q246" s="2">
        <v>100.8749</v>
      </c>
      <c r="R246" s="2">
        <v>144</v>
      </c>
      <c r="S246" s="2">
        <v>100.5204</v>
      </c>
      <c r="T246" s="2">
        <v>139</v>
      </c>
      <c r="U246" s="2">
        <v>0.30013099999999998</v>
      </c>
      <c r="V246" s="2">
        <v>245</v>
      </c>
      <c r="W246" s="2">
        <v>2006</v>
      </c>
    </row>
    <row r="247" spans="1:23" ht="12.3" x14ac:dyDescent="0.4">
      <c r="A247" s="2" t="s">
        <v>106</v>
      </c>
      <c r="B247" s="2"/>
      <c r="C247" s="2"/>
      <c r="D247" s="2"/>
      <c r="E247" s="2"/>
      <c r="F247" s="2"/>
      <c r="G247" s="2"/>
      <c r="H247" s="2"/>
      <c r="I247" s="2">
        <v>67.544300000000007</v>
      </c>
      <c r="J247" s="2">
        <v>144</v>
      </c>
      <c r="K247" s="2">
        <v>69.528400000000005</v>
      </c>
      <c r="L247" s="2">
        <v>75</v>
      </c>
      <c r="M247" s="2">
        <v>99.533500000000004</v>
      </c>
      <c r="N247" s="2">
        <v>196</v>
      </c>
      <c r="O247" s="2">
        <v>98.498699999999999</v>
      </c>
      <c r="P247" s="2">
        <v>225</v>
      </c>
      <c r="Q247" s="2">
        <v>107.3074</v>
      </c>
      <c r="R247" s="2">
        <v>286</v>
      </c>
      <c r="S247" s="2">
        <v>106.05889999999999</v>
      </c>
      <c r="T247" s="2">
        <v>246</v>
      </c>
      <c r="U247" s="2">
        <v>0.29934100000000002</v>
      </c>
      <c r="V247" s="2">
        <v>246</v>
      </c>
      <c r="W247" s="2">
        <v>2006</v>
      </c>
    </row>
    <row r="248" spans="1:23" ht="12.3" x14ac:dyDescent="0.4">
      <c r="A248" s="2" t="s">
        <v>349</v>
      </c>
      <c r="B248" s="2"/>
      <c r="C248" s="2"/>
      <c r="D248" s="2"/>
      <c r="E248" s="2"/>
      <c r="F248" s="2"/>
      <c r="G248" s="2"/>
      <c r="H248" s="2"/>
      <c r="I248" s="2">
        <v>65.347200000000001</v>
      </c>
      <c r="J248" s="2">
        <v>233</v>
      </c>
      <c r="K248" s="2">
        <v>64.992800000000003</v>
      </c>
      <c r="L248" s="2">
        <v>249</v>
      </c>
      <c r="M248" s="2">
        <v>98.368399999999994</v>
      </c>
      <c r="N248" s="2">
        <v>222</v>
      </c>
      <c r="O248" s="2">
        <v>95.990600000000001</v>
      </c>
      <c r="P248" s="2">
        <v>259</v>
      </c>
      <c r="Q248" s="2">
        <v>101.1399</v>
      </c>
      <c r="R248" s="2">
        <v>153</v>
      </c>
      <c r="S248" s="2">
        <v>103.414</v>
      </c>
      <c r="T248" s="2">
        <v>193</v>
      </c>
      <c r="U248" s="2">
        <v>0.298043</v>
      </c>
      <c r="V248" s="2">
        <v>247</v>
      </c>
      <c r="W248" s="2">
        <v>2006</v>
      </c>
    </row>
    <row r="249" spans="1:23" ht="12.3" x14ac:dyDescent="0.4">
      <c r="A249" s="2" t="s">
        <v>257</v>
      </c>
      <c r="B249" s="2"/>
      <c r="C249" s="2"/>
      <c r="D249" s="2"/>
      <c r="E249" s="2"/>
      <c r="F249" s="2"/>
      <c r="G249" s="2"/>
      <c r="H249" s="2"/>
      <c r="I249" s="2">
        <v>66.605699999999999</v>
      </c>
      <c r="J249" s="2">
        <v>184</v>
      </c>
      <c r="K249" s="2">
        <v>66.690399999999997</v>
      </c>
      <c r="L249" s="2">
        <v>176</v>
      </c>
      <c r="M249" s="2">
        <v>96.518900000000002</v>
      </c>
      <c r="N249" s="2">
        <v>251</v>
      </c>
      <c r="O249" s="2">
        <v>96.393600000000006</v>
      </c>
      <c r="P249" s="2">
        <v>257</v>
      </c>
      <c r="Q249" s="2">
        <v>104.4241</v>
      </c>
      <c r="R249" s="2">
        <v>228</v>
      </c>
      <c r="S249" s="2">
        <v>103.8552</v>
      </c>
      <c r="T249" s="2">
        <v>202</v>
      </c>
      <c r="U249" s="2">
        <v>0.29787999999999998</v>
      </c>
      <c r="V249" s="2">
        <v>248</v>
      </c>
      <c r="W249" s="2">
        <v>2006</v>
      </c>
    </row>
    <row r="250" spans="1:23" ht="12.3" x14ac:dyDescent="0.4">
      <c r="A250" s="2" t="s">
        <v>237</v>
      </c>
      <c r="B250" s="2"/>
      <c r="C250" s="2"/>
      <c r="D250" s="2"/>
      <c r="E250" s="2"/>
      <c r="F250" s="2"/>
      <c r="G250" s="2"/>
      <c r="H250" s="2"/>
      <c r="I250" s="2">
        <v>66.177599999999998</v>
      </c>
      <c r="J250" s="2">
        <v>202</v>
      </c>
      <c r="K250" s="2">
        <v>66.262299999999996</v>
      </c>
      <c r="L250" s="2">
        <v>199</v>
      </c>
      <c r="M250" s="2">
        <v>102.87690000000001</v>
      </c>
      <c r="N250" s="2">
        <v>148</v>
      </c>
      <c r="O250" s="2">
        <v>100.5252</v>
      </c>
      <c r="P250" s="2">
        <v>190</v>
      </c>
      <c r="Q250" s="2">
        <v>108.0737</v>
      </c>
      <c r="R250" s="2">
        <v>299</v>
      </c>
      <c r="S250" s="2">
        <v>108.4843</v>
      </c>
      <c r="T250" s="2">
        <v>284</v>
      </c>
      <c r="U250" s="2">
        <v>0.29395199999999999</v>
      </c>
      <c r="V250" s="2">
        <v>249</v>
      </c>
      <c r="W250" s="2">
        <v>2006</v>
      </c>
    </row>
    <row r="251" spans="1:23" ht="12.3" x14ac:dyDescent="0.4">
      <c r="A251" s="2" t="s">
        <v>317</v>
      </c>
      <c r="B251" s="2"/>
      <c r="C251" s="2"/>
      <c r="D251" s="2"/>
      <c r="E251" s="2"/>
      <c r="F251" s="2"/>
      <c r="G251" s="2"/>
      <c r="H251" s="2"/>
      <c r="I251" s="2">
        <v>64.563299999999998</v>
      </c>
      <c r="J251" s="2">
        <v>258</v>
      </c>
      <c r="K251" s="2">
        <v>65.303100000000001</v>
      </c>
      <c r="L251" s="2">
        <v>238</v>
      </c>
      <c r="M251" s="2">
        <v>103.2915</v>
      </c>
      <c r="N251" s="2">
        <v>142</v>
      </c>
      <c r="O251" s="2">
        <v>102.4315</v>
      </c>
      <c r="P251" s="2">
        <v>155</v>
      </c>
      <c r="Q251" s="2">
        <v>111.4945</v>
      </c>
      <c r="R251" s="2">
        <v>321</v>
      </c>
      <c r="S251" s="2">
        <v>110.5771</v>
      </c>
      <c r="T251" s="2">
        <v>307</v>
      </c>
      <c r="U251" s="2">
        <v>0.293186</v>
      </c>
      <c r="V251" s="2">
        <v>250</v>
      </c>
      <c r="W251" s="2">
        <v>2006</v>
      </c>
    </row>
    <row r="252" spans="1:23" ht="12.3" x14ac:dyDescent="0.4">
      <c r="A252" s="2" t="s">
        <v>293</v>
      </c>
      <c r="B252" s="2"/>
      <c r="C252" s="2"/>
      <c r="D252" s="2"/>
      <c r="E252" s="2"/>
      <c r="F252" s="2"/>
      <c r="G252" s="2"/>
      <c r="H252" s="2"/>
      <c r="I252" s="2">
        <v>69.538799999999995</v>
      </c>
      <c r="J252" s="2">
        <v>72</v>
      </c>
      <c r="K252" s="2">
        <v>69.092299999999994</v>
      </c>
      <c r="L252" s="2">
        <v>88</v>
      </c>
      <c r="M252" s="2">
        <v>100.3659</v>
      </c>
      <c r="N252" s="2">
        <v>188</v>
      </c>
      <c r="O252" s="2">
        <v>102.7574</v>
      </c>
      <c r="P252" s="2">
        <v>148</v>
      </c>
      <c r="Q252" s="2">
        <v>107.7534</v>
      </c>
      <c r="R252" s="2">
        <v>292</v>
      </c>
      <c r="S252" s="2">
        <v>110.95610000000001</v>
      </c>
      <c r="T252" s="2">
        <v>309</v>
      </c>
      <c r="U252" s="2">
        <v>0.292603</v>
      </c>
      <c r="V252" s="2">
        <v>251</v>
      </c>
      <c r="W252" s="2">
        <v>2006</v>
      </c>
    </row>
    <row r="253" spans="1:23" ht="12.3" x14ac:dyDescent="0.4">
      <c r="A253" s="2" t="s">
        <v>170</v>
      </c>
      <c r="B253" s="2"/>
      <c r="C253" s="2"/>
      <c r="D253" s="2"/>
      <c r="E253" s="2"/>
      <c r="F253" s="2"/>
      <c r="G253" s="2"/>
      <c r="H253" s="2"/>
      <c r="I253" s="2">
        <v>65.328800000000001</v>
      </c>
      <c r="J253" s="2">
        <v>234</v>
      </c>
      <c r="K253" s="2">
        <v>64.452100000000002</v>
      </c>
      <c r="L253" s="2">
        <v>264</v>
      </c>
      <c r="M253" s="2">
        <v>98.9251</v>
      </c>
      <c r="N253" s="2">
        <v>215</v>
      </c>
      <c r="O253" s="2">
        <v>97.942300000000003</v>
      </c>
      <c r="P253" s="2">
        <v>231</v>
      </c>
      <c r="Q253" s="2">
        <v>107.1885</v>
      </c>
      <c r="R253" s="2">
        <v>283</v>
      </c>
      <c r="S253" s="2">
        <v>105.8844</v>
      </c>
      <c r="T253" s="2">
        <v>243</v>
      </c>
      <c r="U253" s="2">
        <v>0.28974100000000003</v>
      </c>
      <c r="V253" s="2">
        <v>252</v>
      </c>
      <c r="W253" s="2">
        <v>2006</v>
      </c>
    </row>
    <row r="254" spans="1:23" ht="12.3" x14ac:dyDescent="0.4">
      <c r="A254" s="2" t="s">
        <v>226</v>
      </c>
      <c r="B254" s="2"/>
      <c r="C254" s="2"/>
      <c r="D254" s="2"/>
      <c r="E254" s="2"/>
      <c r="F254" s="2"/>
      <c r="G254" s="2"/>
      <c r="H254" s="2"/>
      <c r="I254" s="2">
        <v>65.490300000000005</v>
      </c>
      <c r="J254" s="2">
        <v>231</v>
      </c>
      <c r="K254" s="2">
        <v>65.224100000000007</v>
      </c>
      <c r="L254" s="2">
        <v>242</v>
      </c>
      <c r="M254" s="2">
        <v>96.852000000000004</v>
      </c>
      <c r="N254" s="2">
        <v>248</v>
      </c>
      <c r="O254" s="2">
        <v>97.326800000000006</v>
      </c>
      <c r="P254" s="2">
        <v>239</v>
      </c>
      <c r="Q254" s="2">
        <v>103.1863</v>
      </c>
      <c r="R254" s="2">
        <v>201</v>
      </c>
      <c r="S254" s="2">
        <v>105.2209</v>
      </c>
      <c r="T254" s="2">
        <v>226</v>
      </c>
      <c r="U254" s="2">
        <v>0.28969600000000001</v>
      </c>
      <c r="V254" s="2">
        <v>253</v>
      </c>
      <c r="W254" s="2">
        <v>2006</v>
      </c>
    </row>
    <row r="255" spans="1:23" ht="12.3" x14ac:dyDescent="0.4">
      <c r="A255" s="2" t="s">
        <v>274</v>
      </c>
      <c r="B255" s="2"/>
      <c r="C255" s="2"/>
      <c r="D255" s="2"/>
      <c r="E255" s="2"/>
      <c r="F255" s="2"/>
      <c r="G255" s="2"/>
      <c r="H255" s="2"/>
      <c r="I255" s="2">
        <v>71.116699999999994</v>
      </c>
      <c r="J255" s="2">
        <v>45</v>
      </c>
      <c r="K255" s="2">
        <v>71.5124</v>
      </c>
      <c r="L255" s="2">
        <v>29</v>
      </c>
      <c r="M255" s="2">
        <v>99.956100000000006</v>
      </c>
      <c r="N255" s="2">
        <v>193</v>
      </c>
      <c r="O255" s="2">
        <v>97.470500000000001</v>
      </c>
      <c r="P255" s="2">
        <v>234</v>
      </c>
      <c r="Q255" s="2">
        <v>102.7045</v>
      </c>
      <c r="R255" s="2">
        <v>188</v>
      </c>
      <c r="S255" s="2">
        <v>105.4787</v>
      </c>
      <c r="T255" s="2">
        <v>235</v>
      </c>
      <c r="U255" s="2">
        <v>0.28740399999999999</v>
      </c>
      <c r="V255" s="2">
        <v>254</v>
      </c>
      <c r="W255" s="2">
        <v>2006</v>
      </c>
    </row>
    <row r="256" spans="1:23" ht="12.3" x14ac:dyDescent="0.4">
      <c r="A256" s="2" t="s">
        <v>211</v>
      </c>
      <c r="B256" s="2"/>
      <c r="C256" s="2"/>
      <c r="D256" s="2"/>
      <c r="E256" s="2"/>
      <c r="F256" s="2"/>
      <c r="G256" s="2"/>
      <c r="H256" s="2"/>
      <c r="I256" s="2">
        <v>66.526600000000002</v>
      </c>
      <c r="J256" s="2">
        <v>187</v>
      </c>
      <c r="K256" s="2">
        <v>64.073700000000002</v>
      </c>
      <c r="L256" s="2">
        <v>273</v>
      </c>
      <c r="M256" s="2">
        <v>103.1994</v>
      </c>
      <c r="N256" s="2">
        <v>144</v>
      </c>
      <c r="O256" s="2">
        <v>100.57859999999999</v>
      </c>
      <c r="P256" s="2">
        <v>186</v>
      </c>
      <c r="Q256" s="2">
        <v>106.76600000000001</v>
      </c>
      <c r="R256" s="2">
        <v>274</v>
      </c>
      <c r="S256" s="2">
        <v>108.96939999999999</v>
      </c>
      <c r="T256" s="2">
        <v>291</v>
      </c>
      <c r="U256" s="2">
        <v>0.28466000000000002</v>
      </c>
      <c r="V256" s="2">
        <v>255</v>
      </c>
      <c r="W256" s="2">
        <v>2006</v>
      </c>
    </row>
    <row r="257" spans="1:23" ht="12.3" x14ac:dyDescent="0.4">
      <c r="A257" s="2" t="s">
        <v>142</v>
      </c>
      <c r="B257" s="2"/>
      <c r="C257" s="2"/>
      <c r="D257" s="2"/>
      <c r="E257" s="2"/>
      <c r="F257" s="2"/>
      <c r="G257" s="2"/>
      <c r="H257" s="2"/>
      <c r="I257" s="2">
        <v>68.531899999999993</v>
      </c>
      <c r="J257" s="2">
        <v>111</v>
      </c>
      <c r="K257" s="2">
        <v>68.1815</v>
      </c>
      <c r="L257" s="2">
        <v>110</v>
      </c>
      <c r="M257" s="2">
        <v>90.5167</v>
      </c>
      <c r="N257" s="2">
        <v>319</v>
      </c>
      <c r="O257" s="2">
        <v>92.254300000000001</v>
      </c>
      <c r="P257" s="2">
        <v>305</v>
      </c>
      <c r="Q257" s="2">
        <v>102.1412</v>
      </c>
      <c r="R257" s="2">
        <v>174</v>
      </c>
      <c r="S257" s="2">
        <v>100.0502</v>
      </c>
      <c r="T257" s="2">
        <v>128</v>
      </c>
      <c r="U257" s="2">
        <v>0.282335</v>
      </c>
      <c r="V257" s="2">
        <v>256</v>
      </c>
      <c r="W257" s="2">
        <v>2006</v>
      </c>
    </row>
    <row r="258" spans="1:23" ht="12.3" x14ac:dyDescent="0.4">
      <c r="A258" s="2" t="s">
        <v>198</v>
      </c>
      <c r="B258" s="2"/>
      <c r="C258" s="2"/>
      <c r="D258" s="2"/>
      <c r="E258" s="2"/>
      <c r="F258" s="2"/>
      <c r="G258" s="2"/>
      <c r="H258" s="2"/>
      <c r="I258" s="2">
        <v>71.541499999999999</v>
      </c>
      <c r="J258" s="2">
        <v>34</v>
      </c>
      <c r="K258" s="2">
        <v>70.254199999999997</v>
      </c>
      <c r="L258" s="2">
        <v>50</v>
      </c>
      <c r="M258" s="2">
        <v>95.9833</v>
      </c>
      <c r="N258" s="2">
        <v>263</v>
      </c>
      <c r="O258" s="2">
        <v>95.288700000000006</v>
      </c>
      <c r="P258" s="2">
        <v>272</v>
      </c>
      <c r="Q258" s="2">
        <v>103.91070000000001</v>
      </c>
      <c r="R258" s="2">
        <v>220</v>
      </c>
      <c r="S258" s="2">
        <v>103.5553</v>
      </c>
      <c r="T258" s="2">
        <v>195</v>
      </c>
      <c r="U258" s="2">
        <v>0.27753299999999997</v>
      </c>
      <c r="V258" s="2">
        <v>257</v>
      </c>
      <c r="W258" s="2">
        <v>2006</v>
      </c>
    </row>
    <row r="259" spans="1:23" ht="12.3" x14ac:dyDescent="0.4">
      <c r="A259" s="2" t="s">
        <v>160</v>
      </c>
      <c r="B259" s="2"/>
      <c r="C259" s="2"/>
      <c r="D259" s="2"/>
      <c r="E259" s="2"/>
      <c r="F259" s="2"/>
      <c r="G259" s="2"/>
      <c r="H259" s="2"/>
      <c r="I259" s="2">
        <v>69.503</v>
      </c>
      <c r="J259" s="2">
        <v>74</v>
      </c>
      <c r="K259" s="2">
        <v>69.709199999999996</v>
      </c>
      <c r="L259" s="2">
        <v>67</v>
      </c>
      <c r="M259" s="2">
        <v>96.229100000000003</v>
      </c>
      <c r="N259" s="2">
        <v>258</v>
      </c>
      <c r="O259" s="2">
        <v>94.6374</v>
      </c>
      <c r="P259" s="2">
        <v>279</v>
      </c>
      <c r="Q259" s="2">
        <v>98.972800000000007</v>
      </c>
      <c r="R259" s="2">
        <v>103</v>
      </c>
      <c r="S259" s="2">
        <v>103.04559999999999</v>
      </c>
      <c r="T259" s="2">
        <v>185</v>
      </c>
      <c r="U259" s="2">
        <v>0.27311800000000003</v>
      </c>
      <c r="V259" s="2">
        <v>258</v>
      </c>
      <c r="W259" s="2">
        <v>2006</v>
      </c>
    </row>
    <row r="260" spans="1:23" ht="12.3" x14ac:dyDescent="0.4">
      <c r="A260" s="2" t="s">
        <v>176</v>
      </c>
      <c r="B260" s="2"/>
      <c r="C260" s="2"/>
      <c r="D260" s="2"/>
      <c r="E260" s="2"/>
      <c r="F260" s="2"/>
      <c r="G260" s="2"/>
      <c r="H260" s="2"/>
      <c r="I260" s="2">
        <v>53.677599999999998</v>
      </c>
      <c r="J260" s="2">
        <v>334</v>
      </c>
      <c r="K260" s="2">
        <v>54.260800000000003</v>
      </c>
      <c r="L260" s="2">
        <v>334</v>
      </c>
      <c r="M260" s="2">
        <v>95.366</v>
      </c>
      <c r="N260" s="2">
        <v>276</v>
      </c>
      <c r="O260" s="2">
        <v>96.840100000000007</v>
      </c>
      <c r="P260" s="2">
        <v>250</v>
      </c>
      <c r="Q260" s="2">
        <v>102.083</v>
      </c>
      <c r="R260" s="2">
        <v>171</v>
      </c>
      <c r="S260" s="2">
        <v>105.4481</v>
      </c>
      <c r="T260" s="2">
        <v>234</v>
      </c>
      <c r="U260" s="2">
        <v>0.27302700000000002</v>
      </c>
      <c r="V260" s="2">
        <v>259</v>
      </c>
      <c r="W260" s="2">
        <v>2006</v>
      </c>
    </row>
    <row r="261" spans="1:23" ht="12.3" x14ac:dyDescent="0.4">
      <c r="A261" s="2" t="s">
        <v>324</v>
      </c>
      <c r="B261" s="2"/>
      <c r="C261" s="2"/>
      <c r="D261" s="2"/>
      <c r="E261" s="2"/>
      <c r="F261" s="2"/>
      <c r="G261" s="2"/>
      <c r="H261" s="2"/>
      <c r="I261" s="2">
        <v>64.8489</v>
      </c>
      <c r="J261" s="2">
        <v>253</v>
      </c>
      <c r="K261" s="2">
        <v>64.598299999999995</v>
      </c>
      <c r="L261" s="2">
        <v>262</v>
      </c>
      <c r="M261" s="2">
        <v>106.4755</v>
      </c>
      <c r="N261" s="2">
        <v>77</v>
      </c>
      <c r="O261" s="2">
        <v>103.8338</v>
      </c>
      <c r="P261" s="2">
        <v>128</v>
      </c>
      <c r="Q261" s="2">
        <v>112.2317</v>
      </c>
      <c r="R261" s="2">
        <v>326</v>
      </c>
      <c r="S261" s="2">
        <v>113.2732</v>
      </c>
      <c r="T261" s="2">
        <v>325</v>
      </c>
      <c r="U261" s="2">
        <v>0.268818</v>
      </c>
      <c r="V261" s="2">
        <v>260</v>
      </c>
      <c r="W261" s="2">
        <v>2006</v>
      </c>
    </row>
    <row r="262" spans="1:23" ht="12.3" x14ac:dyDescent="0.4">
      <c r="A262" s="2" t="s">
        <v>331</v>
      </c>
      <c r="B262" s="2"/>
      <c r="C262" s="2"/>
      <c r="D262" s="2"/>
      <c r="E262" s="2"/>
      <c r="F262" s="2"/>
      <c r="G262" s="2"/>
      <c r="H262" s="2"/>
      <c r="I262" s="2">
        <v>66.078199999999995</v>
      </c>
      <c r="J262" s="2">
        <v>208</v>
      </c>
      <c r="K262" s="2">
        <v>67.212000000000003</v>
      </c>
      <c r="L262" s="2">
        <v>147</v>
      </c>
      <c r="M262" s="2">
        <v>98.559799999999996</v>
      </c>
      <c r="N262" s="2">
        <v>219</v>
      </c>
      <c r="O262" s="2">
        <v>98.726699999999994</v>
      </c>
      <c r="P262" s="2">
        <v>220</v>
      </c>
      <c r="Q262" s="2">
        <v>107.842</v>
      </c>
      <c r="R262" s="2">
        <v>294</v>
      </c>
      <c r="S262" s="2">
        <v>107.7821</v>
      </c>
      <c r="T262" s="2">
        <v>278</v>
      </c>
      <c r="U262" s="2">
        <v>0.26713799999999999</v>
      </c>
      <c r="V262" s="2">
        <v>261</v>
      </c>
      <c r="W262" s="2">
        <v>2006</v>
      </c>
    </row>
    <row r="263" spans="1:23" ht="12.3" x14ac:dyDescent="0.4">
      <c r="A263" s="2" t="s">
        <v>89</v>
      </c>
      <c r="B263" s="2"/>
      <c r="C263" s="2"/>
      <c r="D263" s="2"/>
      <c r="E263" s="2"/>
      <c r="F263" s="2"/>
      <c r="G263" s="2"/>
      <c r="H263" s="2"/>
      <c r="I263" s="2">
        <v>67.415300000000002</v>
      </c>
      <c r="J263" s="2">
        <v>149</v>
      </c>
      <c r="K263" s="2">
        <v>67.778000000000006</v>
      </c>
      <c r="L263" s="2">
        <v>124</v>
      </c>
      <c r="M263" s="2">
        <v>94.893000000000001</v>
      </c>
      <c r="N263" s="2">
        <v>283</v>
      </c>
      <c r="O263" s="2">
        <v>96.490499999999997</v>
      </c>
      <c r="P263" s="2">
        <v>253</v>
      </c>
      <c r="Q263" s="2">
        <v>107.0125</v>
      </c>
      <c r="R263" s="2">
        <v>278</v>
      </c>
      <c r="S263" s="2">
        <v>105.34399999999999</v>
      </c>
      <c r="T263" s="2">
        <v>230</v>
      </c>
      <c r="U263" s="2">
        <v>0.267067</v>
      </c>
      <c r="V263" s="2">
        <v>262</v>
      </c>
      <c r="W263" s="2">
        <v>2006</v>
      </c>
    </row>
    <row r="264" spans="1:23" ht="12.3" x14ac:dyDescent="0.4">
      <c r="A264" s="2" t="s">
        <v>135</v>
      </c>
      <c r="B264" s="2">
        <v>16</v>
      </c>
      <c r="C264" s="2"/>
      <c r="D264" s="2"/>
      <c r="E264" s="2"/>
      <c r="F264" s="2"/>
      <c r="G264" s="2"/>
      <c r="H264" s="2"/>
      <c r="I264" s="2">
        <v>69.427000000000007</v>
      </c>
      <c r="J264" s="2">
        <v>79</v>
      </c>
      <c r="K264" s="2">
        <v>70.230500000000006</v>
      </c>
      <c r="L264" s="2">
        <v>51</v>
      </c>
      <c r="M264" s="2">
        <v>96.286600000000007</v>
      </c>
      <c r="N264" s="2">
        <v>257</v>
      </c>
      <c r="O264" s="2">
        <v>91.748900000000006</v>
      </c>
      <c r="P264" s="2">
        <v>312</v>
      </c>
      <c r="Q264" s="2">
        <v>91.850300000000004</v>
      </c>
      <c r="R264" s="2">
        <v>18</v>
      </c>
      <c r="S264" s="2">
        <v>100.4858</v>
      </c>
      <c r="T264" s="2">
        <v>138</v>
      </c>
      <c r="U264" s="2">
        <v>0.25998399999999999</v>
      </c>
      <c r="V264" s="2">
        <v>263</v>
      </c>
      <c r="W264" s="2">
        <v>2006</v>
      </c>
    </row>
    <row r="265" spans="1:23" ht="12.3" x14ac:dyDescent="0.4">
      <c r="A265" s="2" t="s">
        <v>215</v>
      </c>
      <c r="B265" s="2"/>
      <c r="C265" s="2"/>
      <c r="D265" s="2"/>
      <c r="E265" s="2"/>
      <c r="F265" s="2"/>
      <c r="G265" s="2"/>
      <c r="H265" s="2"/>
      <c r="I265" s="2">
        <v>66.821200000000005</v>
      </c>
      <c r="J265" s="2">
        <v>176</v>
      </c>
      <c r="K265" s="2">
        <v>66.828699999999998</v>
      </c>
      <c r="L265" s="2">
        <v>168</v>
      </c>
      <c r="M265" s="2">
        <v>99.169499999999999</v>
      </c>
      <c r="N265" s="2">
        <v>209</v>
      </c>
      <c r="O265" s="2">
        <v>96.0107</v>
      </c>
      <c r="P265" s="2">
        <v>258</v>
      </c>
      <c r="Q265" s="2">
        <v>101.1854</v>
      </c>
      <c r="R265" s="2">
        <v>155</v>
      </c>
      <c r="S265" s="2">
        <v>105.2663</v>
      </c>
      <c r="T265" s="2">
        <v>229</v>
      </c>
      <c r="U265" s="2">
        <v>0.25761699999999998</v>
      </c>
      <c r="V265" s="2">
        <v>264</v>
      </c>
      <c r="W265" s="2">
        <v>2006</v>
      </c>
    </row>
    <row r="266" spans="1:23" ht="12.3" x14ac:dyDescent="0.4">
      <c r="A266" s="2" t="s">
        <v>316</v>
      </c>
      <c r="B266" s="2"/>
      <c r="C266" s="2"/>
      <c r="D266" s="2"/>
      <c r="E266" s="2"/>
      <c r="F266" s="2"/>
      <c r="G266" s="2"/>
      <c r="H266" s="2"/>
      <c r="I266" s="2">
        <v>66.841499999999996</v>
      </c>
      <c r="J266" s="2">
        <v>175</v>
      </c>
      <c r="K266" s="2">
        <v>67.467299999999994</v>
      </c>
      <c r="L266" s="2">
        <v>135</v>
      </c>
      <c r="M266" s="2">
        <v>99.2697</v>
      </c>
      <c r="N266" s="2">
        <v>204</v>
      </c>
      <c r="O266" s="2">
        <v>95.783500000000004</v>
      </c>
      <c r="P266" s="2">
        <v>263</v>
      </c>
      <c r="Q266" s="2">
        <v>101.7051</v>
      </c>
      <c r="R266" s="2">
        <v>163</v>
      </c>
      <c r="S266" s="2">
        <v>105.254</v>
      </c>
      <c r="T266" s="2">
        <v>228</v>
      </c>
      <c r="U266" s="2">
        <v>0.25269599999999998</v>
      </c>
      <c r="V266" s="2">
        <v>265</v>
      </c>
      <c r="W266" s="2">
        <v>2006</v>
      </c>
    </row>
    <row r="267" spans="1:23" ht="12.3" x14ac:dyDescent="0.4">
      <c r="A267" s="2" t="s">
        <v>277</v>
      </c>
      <c r="B267" s="2"/>
      <c r="C267" s="2"/>
      <c r="D267" s="2"/>
      <c r="E267" s="2"/>
      <c r="F267" s="2"/>
      <c r="G267" s="2"/>
      <c r="H267" s="2"/>
      <c r="I267" s="2">
        <v>66.508799999999994</v>
      </c>
      <c r="J267" s="2">
        <v>188</v>
      </c>
      <c r="K267" s="2">
        <v>66.3917</v>
      </c>
      <c r="L267" s="2">
        <v>191</v>
      </c>
      <c r="M267" s="2">
        <v>94.562399999999997</v>
      </c>
      <c r="N267" s="2">
        <v>288</v>
      </c>
      <c r="O267" s="2">
        <v>92.318899999999999</v>
      </c>
      <c r="P267" s="2">
        <v>304</v>
      </c>
      <c r="Q267" s="2">
        <v>99.381600000000006</v>
      </c>
      <c r="R267" s="2">
        <v>113</v>
      </c>
      <c r="S267" s="2">
        <v>101.4654</v>
      </c>
      <c r="T267" s="2">
        <v>151</v>
      </c>
      <c r="U267" s="2">
        <v>0.25229699999999999</v>
      </c>
      <c r="V267" s="2">
        <v>266</v>
      </c>
      <c r="W267" s="2">
        <v>2006</v>
      </c>
    </row>
    <row r="268" spans="1:23" ht="12.3" x14ac:dyDescent="0.4">
      <c r="A268" s="2" t="s">
        <v>127</v>
      </c>
      <c r="B268" s="2"/>
      <c r="C268" s="2"/>
      <c r="D268" s="2"/>
      <c r="E268" s="2"/>
      <c r="F268" s="2"/>
      <c r="G268" s="2"/>
      <c r="H268" s="2"/>
      <c r="I268" s="2">
        <v>67.308599999999998</v>
      </c>
      <c r="J268" s="2">
        <v>152</v>
      </c>
      <c r="K268" s="2">
        <v>67.047700000000006</v>
      </c>
      <c r="L268" s="2">
        <v>157</v>
      </c>
      <c r="M268" s="2">
        <v>98.702699999999993</v>
      </c>
      <c r="N268" s="2">
        <v>218</v>
      </c>
      <c r="O268" s="2">
        <v>98.968599999999995</v>
      </c>
      <c r="P268" s="2">
        <v>217</v>
      </c>
      <c r="Q268" s="2">
        <v>107.2641</v>
      </c>
      <c r="R268" s="2">
        <v>285</v>
      </c>
      <c r="S268" s="2">
        <v>108.7957</v>
      </c>
      <c r="T268" s="2">
        <v>287</v>
      </c>
      <c r="U268" s="2">
        <v>0.25186500000000001</v>
      </c>
      <c r="V268" s="2">
        <v>267</v>
      </c>
      <c r="W268" s="2">
        <v>2006</v>
      </c>
    </row>
    <row r="269" spans="1:23" ht="12.3" x14ac:dyDescent="0.4">
      <c r="A269" s="2" t="s">
        <v>255</v>
      </c>
      <c r="B269" s="2"/>
      <c r="C269" s="2"/>
      <c r="D269" s="2"/>
      <c r="E269" s="2"/>
      <c r="F269" s="2"/>
      <c r="G269" s="2"/>
      <c r="H269" s="2"/>
      <c r="I269" s="2">
        <v>68.705299999999994</v>
      </c>
      <c r="J269" s="2">
        <v>106</v>
      </c>
      <c r="K269" s="2">
        <v>71.140100000000004</v>
      </c>
      <c r="L269" s="2">
        <v>37</v>
      </c>
      <c r="M269" s="2">
        <v>97.126000000000005</v>
      </c>
      <c r="N269" s="2">
        <v>243</v>
      </c>
      <c r="O269" s="2">
        <v>95.252899999999997</v>
      </c>
      <c r="P269" s="2">
        <v>273</v>
      </c>
      <c r="Q269" s="2">
        <v>99.0501</v>
      </c>
      <c r="R269" s="2">
        <v>107</v>
      </c>
      <c r="S269" s="2">
        <v>104.7594</v>
      </c>
      <c r="T269" s="2">
        <v>217</v>
      </c>
      <c r="U269" s="2">
        <v>0.25086399999999998</v>
      </c>
      <c r="V269" s="2">
        <v>268</v>
      </c>
      <c r="W269" s="2">
        <v>2006</v>
      </c>
    </row>
    <row r="270" spans="1:23" ht="12.3" x14ac:dyDescent="0.4">
      <c r="A270" s="2" t="s">
        <v>175</v>
      </c>
      <c r="B270" s="2"/>
      <c r="C270" s="2"/>
      <c r="D270" s="2"/>
      <c r="E270" s="2"/>
      <c r="F270" s="2"/>
      <c r="G270" s="2"/>
      <c r="H270" s="2"/>
      <c r="I270" s="2">
        <v>61.900599999999997</v>
      </c>
      <c r="J270" s="2">
        <v>313</v>
      </c>
      <c r="K270" s="2">
        <v>61.729199999999999</v>
      </c>
      <c r="L270" s="2">
        <v>317</v>
      </c>
      <c r="M270" s="2">
        <v>91.614500000000007</v>
      </c>
      <c r="N270" s="2">
        <v>311</v>
      </c>
      <c r="O270" s="2">
        <v>97.140500000000003</v>
      </c>
      <c r="P270" s="2">
        <v>245</v>
      </c>
      <c r="Q270" s="2">
        <v>108.0615</v>
      </c>
      <c r="R270" s="2">
        <v>297</v>
      </c>
      <c r="S270" s="2">
        <v>106.8496</v>
      </c>
      <c r="T270" s="2">
        <v>261</v>
      </c>
      <c r="U270" s="2">
        <v>0.25057800000000002</v>
      </c>
      <c r="V270" s="2">
        <v>269</v>
      </c>
      <c r="W270" s="2">
        <v>2006</v>
      </c>
    </row>
    <row r="271" spans="1:23" ht="12.3" x14ac:dyDescent="0.4">
      <c r="A271" s="2" t="s">
        <v>298</v>
      </c>
      <c r="B271" s="2"/>
      <c r="C271" s="2"/>
      <c r="D271" s="2"/>
      <c r="E271" s="2"/>
      <c r="F271" s="2"/>
      <c r="G271" s="2"/>
      <c r="H271" s="2"/>
      <c r="I271" s="2">
        <v>65.832400000000007</v>
      </c>
      <c r="J271" s="2">
        <v>219</v>
      </c>
      <c r="K271" s="2">
        <v>64.164599999999993</v>
      </c>
      <c r="L271" s="2">
        <v>272</v>
      </c>
      <c r="M271" s="2">
        <v>99.722800000000007</v>
      </c>
      <c r="N271" s="2">
        <v>194</v>
      </c>
      <c r="O271" s="2">
        <v>95.674199999999999</v>
      </c>
      <c r="P271" s="2">
        <v>264</v>
      </c>
      <c r="Q271" s="2">
        <v>104.0523</v>
      </c>
      <c r="R271" s="2">
        <v>223</v>
      </c>
      <c r="S271" s="2">
        <v>105.42019999999999</v>
      </c>
      <c r="T271" s="2">
        <v>231</v>
      </c>
      <c r="U271" s="2">
        <v>0.246834</v>
      </c>
      <c r="V271" s="2">
        <v>270</v>
      </c>
      <c r="W271" s="2">
        <v>2006</v>
      </c>
    </row>
    <row r="272" spans="1:23" ht="12.3" x14ac:dyDescent="0.4">
      <c r="A272" s="2" t="s">
        <v>288</v>
      </c>
      <c r="B272" s="2"/>
      <c r="C272" s="2"/>
      <c r="D272" s="2"/>
      <c r="E272" s="2"/>
      <c r="F272" s="2"/>
      <c r="G272" s="2"/>
      <c r="H272" s="2"/>
      <c r="I272" s="2">
        <v>65.117999999999995</v>
      </c>
      <c r="J272" s="2">
        <v>245</v>
      </c>
      <c r="K272" s="2">
        <v>66.0274</v>
      </c>
      <c r="L272" s="2">
        <v>215</v>
      </c>
      <c r="M272" s="2">
        <v>92.382400000000004</v>
      </c>
      <c r="N272" s="2">
        <v>306</v>
      </c>
      <c r="O272" s="2">
        <v>91.685100000000006</v>
      </c>
      <c r="P272" s="2">
        <v>313</v>
      </c>
      <c r="Q272" s="2">
        <v>97.490600000000001</v>
      </c>
      <c r="R272" s="2">
        <v>72</v>
      </c>
      <c r="S272" s="2">
        <v>101.1529</v>
      </c>
      <c r="T272" s="2">
        <v>149</v>
      </c>
      <c r="U272" s="2">
        <v>0.24413299999999999</v>
      </c>
      <c r="V272" s="2">
        <v>271</v>
      </c>
      <c r="W272" s="2">
        <v>2006</v>
      </c>
    </row>
    <row r="273" spans="1:23" ht="12.3" x14ac:dyDescent="0.4">
      <c r="A273" s="2" t="s">
        <v>191</v>
      </c>
      <c r="B273" s="2"/>
      <c r="C273" s="2"/>
      <c r="D273" s="2"/>
      <c r="E273" s="2"/>
      <c r="F273" s="2"/>
      <c r="G273" s="2"/>
      <c r="H273" s="2"/>
      <c r="I273" s="2">
        <v>67.158600000000007</v>
      </c>
      <c r="J273" s="2">
        <v>159</v>
      </c>
      <c r="K273" s="2">
        <v>67.747399999999999</v>
      </c>
      <c r="L273" s="2">
        <v>126</v>
      </c>
      <c r="M273" s="2">
        <v>104.0408</v>
      </c>
      <c r="N273" s="2">
        <v>131</v>
      </c>
      <c r="O273" s="2">
        <v>101.24769999999999</v>
      </c>
      <c r="P273" s="2">
        <v>173</v>
      </c>
      <c r="Q273" s="2">
        <v>111.2855</v>
      </c>
      <c r="R273" s="2">
        <v>320</v>
      </c>
      <c r="S273" s="2">
        <v>111.7499</v>
      </c>
      <c r="T273" s="2">
        <v>315</v>
      </c>
      <c r="U273" s="2">
        <v>0.24324399999999999</v>
      </c>
      <c r="V273" s="2">
        <v>272</v>
      </c>
      <c r="W273" s="2">
        <v>2006</v>
      </c>
    </row>
    <row r="274" spans="1:23" ht="12.3" x14ac:dyDescent="0.4">
      <c r="A274" s="2" t="s">
        <v>252</v>
      </c>
      <c r="B274" s="2"/>
      <c r="C274" s="2"/>
      <c r="D274" s="2"/>
      <c r="E274" s="2"/>
      <c r="F274" s="2"/>
      <c r="G274" s="2"/>
      <c r="H274" s="2"/>
      <c r="I274" s="2">
        <v>65.933599999999998</v>
      </c>
      <c r="J274" s="2">
        <v>213</v>
      </c>
      <c r="K274" s="2">
        <v>66.5441</v>
      </c>
      <c r="L274" s="2">
        <v>184</v>
      </c>
      <c r="M274" s="2">
        <v>100.9693</v>
      </c>
      <c r="N274" s="2">
        <v>178</v>
      </c>
      <c r="O274" s="2">
        <v>100.54819999999999</v>
      </c>
      <c r="P274" s="2">
        <v>187</v>
      </c>
      <c r="Q274" s="2">
        <v>106.1845</v>
      </c>
      <c r="R274" s="2">
        <v>258</v>
      </c>
      <c r="S274" s="2">
        <v>110.9868</v>
      </c>
      <c r="T274" s="2">
        <v>310</v>
      </c>
      <c r="U274" s="2">
        <v>0.24307200000000001</v>
      </c>
      <c r="V274" s="2">
        <v>273</v>
      </c>
      <c r="W274" s="2">
        <v>2006</v>
      </c>
    </row>
    <row r="275" spans="1:23" ht="12.3" x14ac:dyDescent="0.4">
      <c r="A275" s="2" t="s">
        <v>312</v>
      </c>
      <c r="B275" s="2"/>
      <c r="C275" s="2"/>
      <c r="D275" s="2"/>
      <c r="E275" s="2"/>
      <c r="F275" s="2"/>
      <c r="G275" s="2"/>
      <c r="H275" s="2"/>
      <c r="I275" s="2">
        <v>73.600200000000001</v>
      </c>
      <c r="J275" s="2">
        <v>12</v>
      </c>
      <c r="K275" s="2">
        <v>71.771699999999996</v>
      </c>
      <c r="L275" s="2">
        <v>25</v>
      </c>
      <c r="M275" s="2">
        <v>96.124200000000002</v>
      </c>
      <c r="N275" s="2">
        <v>262</v>
      </c>
      <c r="O275" s="2">
        <v>94.930899999999994</v>
      </c>
      <c r="P275" s="2">
        <v>276</v>
      </c>
      <c r="Q275" s="2">
        <v>98.986999999999995</v>
      </c>
      <c r="R275" s="2">
        <v>105</v>
      </c>
      <c r="S275" s="2">
        <v>104.82640000000001</v>
      </c>
      <c r="T275" s="2">
        <v>220</v>
      </c>
      <c r="U275" s="2">
        <v>0.24226600000000001</v>
      </c>
      <c r="V275" s="2">
        <v>274</v>
      </c>
      <c r="W275" s="2">
        <v>2006</v>
      </c>
    </row>
    <row r="276" spans="1:23" ht="12.3" x14ac:dyDescent="0.4">
      <c r="A276" s="2" t="s">
        <v>272</v>
      </c>
      <c r="B276" s="2"/>
      <c r="C276" s="2"/>
      <c r="D276" s="2"/>
      <c r="E276" s="2"/>
      <c r="F276" s="2"/>
      <c r="G276" s="2"/>
      <c r="H276" s="2"/>
      <c r="I276" s="2">
        <v>75.668999999999997</v>
      </c>
      <c r="J276" s="2">
        <v>3</v>
      </c>
      <c r="K276" s="2">
        <v>73.7667</v>
      </c>
      <c r="L276" s="2">
        <v>5</v>
      </c>
      <c r="M276" s="2">
        <v>97.263499999999993</v>
      </c>
      <c r="N276" s="2">
        <v>241</v>
      </c>
      <c r="O276" s="2">
        <v>93.676000000000002</v>
      </c>
      <c r="P276" s="2">
        <v>290</v>
      </c>
      <c r="Q276" s="2">
        <v>96.349000000000004</v>
      </c>
      <c r="R276" s="2">
        <v>59</v>
      </c>
      <c r="S276" s="2">
        <v>103.5628</v>
      </c>
      <c r="T276" s="2">
        <v>196</v>
      </c>
      <c r="U276" s="2">
        <v>0.239785</v>
      </c>
      <c r="V276" s="2">
        <v>275</v>
      </c>
      <c r="W276" s="2">
        <v>2006</v>
      </c>
    </row>
    <row r="277" spans="1:23" ht="12.3" x14ac:dyDescent="0.4">
      <c r="A277" s="2" t="s">
        <v>165</v>
      </c>
      <c r="B277" s="2"/>
      <c r="C277" s="2"/>
      <c r="D277" s="2"/>
      <c r="E277" s="2"/>
      <c r="F277" s="2"/>
      <c r="G277" s="2"/>
      <c r="H277" s="2"/>
      <c r="I277" s="2">
        <v>69.440299999999993</v>
      </c>
      <c r="J277" s="2">
        <v>77</v>
      </c>
      <c r="K277" s="2">
        <v>69.285799999999995</v>
      </c>
      <c r="L277" s="2">
        <v>80</v>
      </c>
      <c r="M277" s="2">
        <v>104.10169999999999</v>
      </c>
      <c r="N277" s="2">
        <v>129</v>
      </c>
      <c r="O277" s="2">
        <v>102.5962</v>
      </c>
      <c r="P277" s="2">
        <v>152</v>
      </c>
      <c r="Q277" s="2">
        <v>111.8449</v>
      </c>
      <c r="R277" s="2">
        <v>324</v>
      </c>
      <c r="S277" s="2">
        <v>113.4806</v>
      </c>
      <c r="T277" s="2">
        <v>327</v>
      </c>
      <c r="U277" s="2">
        <v>0.23874699999999999</v>
      </c>
      <c r="V277" s="2">
        <v>276</v>
      </c>
      <c r="W277" s="2">
        <v>2006</v>
      </c>
    </row>
    <row r="278" spans="1:23" ht="12.3" x14ac:dyDescent="0.4">
      <c r="A278" s="2" t="s">
        <v>310</v>
      </c>
      <c r="B278" s="2"/>
      <c r="C278" s="2"/>
      <c r="D278" s="2"/>
      <c r="E278" s="2"/>
      <c r="F278" s="2"/>
      <c r="G278" s="2"/>
      <c r="H278" s="2"/>
      <c r="I278" s="2">
        <v>59.834099999999999</v>
      </c>
      <c r="J278" s="2">
        <v>325</v>
      </c>
      <c r="K278" s="2">
        <v>60.0306</v>
      </c>
      <c r="L278" s="2">
        <v>325</v>
      </c>
      <c r="M278" s="2">
        <v>98.280799999999999</v>
      </c>
      <c r="N278" s="2">
        <v>223</v>
      </c>
      <c r="O278" s="2">
        <v>97.814499999999995</v>
      </c>
      <c r="P278" s="2">
        <v>232</v>
      </c>
      <c r="Q278" s="2">
        <v>106.71080000000001</v>
      </c>
      <c r="R278" s="2">
        <v>270</v>
      </c>
      <c r="S278" s="2">
        <v>108.2105</v>
      </c>
      <c r="T278" s="2">
        <v>282</v>
      </c>
      <c r="U278" s="2">
        <v>0.23838300000000001</v>
      </c>
      <c r="V278" s="2">
        <v>277</v>
      </c>
      <c r="W278" s="2">
        <v>2006</v>
      </c>
    </row>
    <row r="279" spans="1:23" ht="12.3" x14ac:dyDescent="0.4">
      <c r="A279" s="2" t="s">
        <v>322</v>
      </c>
      <c r="B279" s="2"/>
      <c r="C279" s="2"/>
      <c r="D279" s="2"/>
      <c r="E279" s="2"/>
      <c r="F279" s="2"/>
      <c r="G279" s="2"/>
      <c r="H279" s="2"/>
      <c r="I279" s="2">
        <v>65.408100000000005</v>
      </c>
      <c r="J279" s="2">
        <v>232</v>
      </c>
      <c r="K279" s="2">
        <v>64.359899999999996</v>
      </c>
      <c r="L279" s="2">
        <v>266</v>
      </c>
      <c r="M279" s="2">
        <v>95.494100000000003</v>
      </c>
      <c r="N279" s="2">
        <v>273</v>
      </c>
      <c r="O279" s="2">
        <v>95.577399999999997</v>
      </c>
      <c r="P279" s="2">
        <v>267</v>
      </c>
      <c r="Q279" s="2">
        <v>106.9183</v>
      </c>
      <c r="R279" s="2">
        <v>276</v>
      </c>
      <c r="S279" s="2">
        <v>105.7967</v>
      </c>
      <c r="T279" s="2">
        <v>240</v>
      </c>
      <c r="U279" s="2">
        <v>0.23718</v>
      </c>
      <c r="V279" s="2">
        <v>278</v>
      </c>
      <c r="W279" s="2">
        <v>2006</v>
      </c>
    </row>
    <row r="280" spans="1:23" ht="12.3" x14ac:dyDescent="0.4">
      <c r="A280" s="2" t="s">
        <v>206</v>
      </c>
      <c r="B280" s="2"/>
      <c r="C280" s="2"/>
      <c r="D280" s="2"/>
      <c r="E280" s="2"/>
      <c r="F280" s="2"/>
      <c r="G280" s="2"/>
      <c r="H280" s="2"/>
      <c r="I280" s="2">
        <v>64.611800000000002</v>
      </c>
      <c r="J280" s="2">
        <v>257</v>
      </c>
      <c r="K280" s="2">
        <v>64.901300000000006</v>
      </c>
      <c r="L280" s="2">
        <v>253</v>
      </c>
      <c r="M280" s="2">
        <v>92.657200000000003</v>
      </c>
      <c r="N280" s="2">
        <v>301</v>
      </c>
      <c r="O280" s="2">
        <v>94.542500000000004</v>
      </c>
      <c r="P280" s="2">
        <v>280</v>
      </c>
      <c r="Q280" s="2">
        <v>102.5603</v>
      </c>
      <c r="R280" s="2">
        <v>182</v>
      </c>
      <c r="S280" s="2">
        <v>105.20099999999999</v>
      </c>
      <c r="T280" s="2">
        <v>225</v>
      </c>
      <c r="U280" s="2">
        <v>0.22644900000000001</v>
      </c>
      <c r="V280" s="2">
        <v>279</v>
      </c>
      <c r="W280" s="2">
        <v>2006</v>
      </c>
    </row>
    <row r="281" spans="1:23" ht="12.3" x14ac:dyDescent="0.4">
      <c r="A281" s="2" t="s">
        <v>343</v>
      </c>
      <c r="B281" s="2"/>
      <c r="C281" s="2"/>
      <c r="D281" s="2"/>
      <c r="E281" s="2"/>
      <c r="F281" s="2"/>
      <c r="G281" s="2"/>
      <c r="H281" s="2"/>
      <c r="I281" s="2">
        <v>68.875600000000006</v>
      </c>
      <c r="J281" s="2">
        <v>100</v>
      </c>
      <c r="K281" s="2">
        <v>69.149299999999997</v>
      </c>
      <c r="L281" s="2">
        <v>84</v>
      </c>
      <c r="M281" s="2">
        <v>99.273099999999999</v>
      </c>
      <c r="N281" s="2">
        <v>203</v>
      </c>
      <c r="O281" s="2">
        <v>96.637200000000007</v>
      </c>
      <c r="P281" s="2">
        <v>252</v>
      </c>
      <c r="Q281" s="2">
        <v>105.1442</v>
      </c>
      <c r="R281" s="2">
        <v>242</v>
      </c>
      <c r="S281" s="2">
        <v>107.5324</v>
      </c>
      <c r="T281" s="2">
        <v>275</v>
      </c>
      <c r="U281" s="2">
        <v>0.22644</v>
      </c>
      <c r="V281" s="2">
        <v>280</v>
      </c>
      <c r="W281" s="2">
        <v>2006</v>
      </c>
    </row>
    <row r="282" spans="1:23" ht="12.3" x14ac:dyDescent="0.4">
      <c r="A282" s="2" t="s">
        <v>260</v>
      </c>
      <c r="B282" s="2"/>
      <c r="C282" s="2"/>
      <c r="D282" s="2"/>
      <c r="E282" s="2"/>
      <c r="F282" s="2"/>
      <c r="G282" s="2"/>
      <c r="H282" s="2"/>
      <c r="I282" s="2">
        <v>67.917199999999994</v>
      </c>
      <c r="J282" s="2">
        <v>131</v>
      </c>
      <c r="K282" s="2">
        <v>67.487399999999994</v>
      </c>
      <c r="L282" s="2">
        <v>134</v>
      </c>
      <c r="M282" s="2">
        <v>88.425799999999995</v>
      </c>
      <c r="N282" s="2">
        <v>325</v>
      </c>
      <c r="O282" s="2">
        <v>89.013599999999997</v>
      </c>
      <c r="P282" s="2">
        <v>326</v>
      </c>
      <c r="Q282" s="2">
        <v>100.8565</v>
      </c>
      <c r="R282" s="2">
        <v>143</v>
      </c>
      <c r="S282" s="2">
        <v>99.250100000000003</v>
      </c>
      <c r="T282" s="2">
        <v>115</v>
      </c>
      <c r="U282" s="2">
        <v>0.222385</v>
      </c>
      <c r="V282" s="2">
        <v>281</v>
      </c>
      <c r="W282" s="2">
        <v>2006</v>
      </c>
    </row>
    <row r="283" spans="1:23" ht="12.3" x14ac:dyDescent="0.4">
      <c r="A283" s="2" t="s">
        <v>319</v>
      </c>
      <c r="B283" s="2"/>
      <c r="C283" s="2"/>
      <c r="D283" s="2"/>
      <c r="E283" s="2"/>
      <c r="F283" s="2"/>
      <c r="G283" s="2"/>
      <c r="H283" s="2"/>
      <c r="I283" s="2">
        <v>78.275199999999998</v>
      </c>
      <c r="J283" s="2">
        <v>1</v>
      </c>
      <c r="K283" s="2">
        <v>76.400599999999997</v>
      </c>
      <c r="L283" s="2">
        <v>1</v>
      </c>
      <c r="M283" s="2">
        <v>105.2915</v>
      </c>
      <c r="N283" s="2">
        <v>98</v>
      </c>
      <c r="O283" s="2">
        <v>100.4738</v>
      </c>
      <c r="P283" s="2">
        <v>191</v>
      </c>
      <c r="Q283" s="2">
        <v>109.2531</v>
      </c>
      <c r="R283" s="2">
        <v>306</v>
      </c>
      <c r="S283" s="2">
        <v>112.17959999999999</v>
      </c>
      <c r="T283" s="2">
        <v>321</v>
      </c>
      <c r="U283" s="2">
        <v>0.21971099999999999</v>
      </c>
      <c r="V283" s="2">
        <v>282</v>
      </c>
      <c r="W283" s="2">
        <v>2006</v>
      </c>
    </row>
    <row r="284" spans="1:23" ht="12.3" x14ac:dyDescent="0.4">
      <c r="A284" s="2" t="s">
        <v>357</v>
      </c>
      <c r="B284" s="2"/>
      <c r="C284" s="2"/>
      <c r="D284" s="2"/>
      <c r="E284" s="2"/>
      <c r="F284" s="2"/>
      <c r="G284" s="2"/>
      <c r="H284" s="2"/>
      <c r="I284" s="2">
        <v>65.152500000000003</v>
      </c>
      <c r="J284" s="2">
        <v>243</v>
      </c>
      <c r="K284" s="2">
        <v>64.900700000000001</v>
      </c>
      <c r="L284" s="2">
        <v>254</v>
      </c>
      <c r="M284" s="2">
        <v>97.551500000000004</v>
      </c>
      <c r="N284" s="2">
        <v>238</v>
      </c>
      <c r="O284" s="2">
        <v>98.024299999999997</v>
      </c>
      <c r="P284" s="2">
        <v>229</v>
      </c>
      <c r="Q284" s="2">
        <v>110.1956</v>
      </c>
      <c r="R284" s="2">
        <v>314</v>
      </c>
      <c r="S284" s="2">
        <v>109.93680000000001</v>
      </c>
      <c r="T284" s="2">
        <v>300</v>
      </c>
      <c r="U284" s="2">
        <v>0.21099399999999999</v>
      </c>
      <c r="V284" s="2">
        <v>283</v>
      </c>
      <c r="W284" s="2">
        <v>2006</v>
      </c>
    </row>
    <row r="285" spans="1:23" ht="12.3" x14ac:dyDescent="0.4">
      <c r="A285" s="2" t="s">
        <v>351</v>
      </c>
      <c r="B285" s="2"/>
      <c r="C285" s="2"/>
      <c r="D285" s="2"/>
      <c r="E285" s="2"/>
      <c r="F285" s="2"/>
      <c r="G285" s="2"/>
      <c r="H285" s="2"/>
      <c r="I285" s="2">
        <v>69.630600000000001</v>
      </c>
      <c r="J285" s="2">
        <v>69</v>
      </c>
      <c r="K285" s="2">
        <v>67.795100000000005</v>
      </c>
      <c r="L285" s="2">
        <v>123</v>
      </c>
      <c r="M285" s="2">
        <v>88.033500000000004</v>
      </c>
      <c r="N285" s="2">
        <v>327</v>
      </c>
      <c r="O285" s="2">
        <v>85.325299999999999</v>
      </c>
      <c r="P285" s="2">
        <v>332</v>
      </c>
      <c r="Q285" s="2">
        <v>90.611199999999997</v>
      </c>
      <c r="R285" s="2">
        <v>9</v>
      </c>
      <c r="S285" s="2">
        <v>95.9846</v>
      </c>
      <c r="T285" s="2">
        <v>53</v>
      </c>
      <c r="U285" s="2">
        <v>0.20526</v>
      </c>
      <c r="V285" s="2">
        <v>284</v>
      </c>
      <c r="W285" s="2">
        <v>2006</v>
      </c>
    </row>
    <row r="286" spans="1:23" ht="12.3" x14ac:dyDescent="0.4">
      <c r="A286" s="2" t="s">
        <v>304</v>
      </c>
      <c r="B286" s="2"/>
      <c r="C286" s="2"/>
      <c r="D286" s="2"/>
      <c r="E286" s="2"/>
      <c r="F286" s="2"/>
      <c r="G286" s="2"/>
      <c r="H286" s="2"/>
      <c r="I286" s="2">
        <v>64.208600000000004</v>
      </c>
      <c r="J286" s="2">
        <v>270</v>
      </c>
      <c r="K286" s="2">
        <v>63.307499999999997</v>
      </c>
      <c r="L286" s="2">
        <v>293</v>
      </c>
      <c r="M286" s="2">
        <v>92.600099999999998</v>
      </c>
      <c r="N286" s="2">
        <v>302</v>
      </c>
      <c r="O286" s="2">
        <v>97.276200000000003</v>
      </c>
      <c r="P286" s="2">
        <v>242</v>
      </c>
      <c r="Q286" s="2">
        <v>112.4109</v>
      </c>
      <c r="R286" s="2">
        <v>328</v>
      </c>
      <c r="S286" s="2">
        <v>109.5005</v>
      </c>
      <c r="T286" s="2">
        <v>295</v>
      </c>
      <c r="U286" s="2">
        <v>0.20402799999999999</v>
      </c>
      <c r="V286" s="2">
        <v>285</v>
      </c>
      <c r="W286" s="2">
        <v>2006</v>
      </c>
    </row>
    <row r="287" spans="1:23" ht="12.3" x14ac:dyDescent="0.4">
      <c r="A287" s="2" t="s">
        <v>341</v>
      </c>
      <c r="B287" s="2"/>
      <c r="C287" s="2"/>
      <c r="D287" s="2"/>
      <c r="E287" s="2"/>
      <c r="F287" s="2"/>
      <c r="G287" s="2"/>
      <c r="H287" s="2"/>
      <c r="I287" s="2">
        <v>67.041300000000007</v>
      </c>
      <c r="J287" s="2">
        <v>163</v>
      </c>
      <c r="K287" s="2">
        <v>66.974500000000006</v>
      </c>
      <c r="L287" s="2">
        <v>160</v>
      </c>
      <c r="M287" s="2">
        <v>94.424099999999996</v>
      </c>
      <c r="N287" s="2">
        <v>289</v>
      </c>
      <c r="O287" s="2">
        <v>93.869600000000005</v>
      </c>
      <c r="P287" s="2">
        <v>289</v>
      </c>
      <c r="Q287" s="2">
        <v>102.21429999999999</v>
      </c>
      <c r="R287" s="2">
        <v>176</v>
      </c>
      <c r="S287" s="2">
        <v>105.8319</v>
      </c>
      <c r="T287" s="2">
        <v>241</v>
      </c>
      <c r="U287" s="2">
        <v>0.20111000000000001</v>
      </c>
      <c r="V287" s="2">
        <v>286</v>
      </c>
      <c r="W287" s="2">
        <v>2006</v>
      </c>
    </row>
    <row r="288" spans="1:23" ht="12.3" x14ac:dyDescent="0.4">
      <c r="A288" s="2" t="s">
        <v>193</v>
      </c>
      <c r="B288" s="2"/>
      <c r="C288" s="2"/>
      <c r="D288" s="2"/>
      <c r="E288" s="2"/>
      <c r="F288" s="2"/>
      <c r="G288" s="2"/>
      <c r="H288" s="2"/>
      <c r="I288" s="2">
        <v>68.512500000000003</v>
      </c>
      <c r="J288" s="2">
        <v>113</v>
      </c>
      <c r="K288" s="2">
        <v>66.678899999999999</v>
      </c>
      <c r="L288" s="2">
        <v>178</v>
      </c>
      <c r="M288" s="2">
        <v>91.538700000000006</v>
      </c>
      <c r="N288" s="2">
        <v>312</v>
      </c>
      <c r="O288" s="2">
        <v>91.776799999999994</v>
      </c>
      <c r="P288" s="2">
        <v>310</v>
      </c>
      <c r="Q288" s="2">
        <v>105.0912</v>
      </c>
      <c r="R288" s="2">
        <v>241</v>
      </c>
      <c r="S288" s="2">
        <v>103.5348</v>
      </c>
      <c r="T288" s="2">
        <v>194</v>
      </c>
      <c r="U288" s="2">
        <v>0.19999900000000001</v>
      </c>
      <c r="V288" s="2">
        <v>287</v>
      </c>
      <c r="W288" s="2">
        <v>2006</v>
      </c>
    </row>
    <row r="289" spans="1:23" ht="12.3" x14ac:dyDescent="0.4">
      <c r="A289" s="2" t="s">
        <v>281</v>
      </c>
      <c r="B289" s="2"/>
      <c r="C289" s="2"/>
      <c r="D289" s="2"/>
      <c r="E289" s="2"/>
      <c r="F289" s="2"/>
      <c r="G289" s="2"/>
      <c r="H289" s="2"/>
      <c r="I289" s="2">
        <v>68.914599999999993</v>
      </c>
      <c r="J289" s="2">
        <v>98</v>
      </c>
      <c r="K289" s="2">
        <v>69.133300000000006</v>
      </c>
      <c r="L289" s="2">
        <v>85</v>
      </c>
      <c r="M289" s="2">
        <v>96.221800000000002</v>
      </c>
      <c r="N289" s="2">
        <v>259</v>
      </c>
      <c r="O289" s="2">
        <v>97.401499999999999</v>
      </c>
      <c r="P289" s="2">
        <v>236</v>
      </c>
      <c r="Q289" s="2">
        <v>111.2608</v>
      </c>
      <c r="R289" s="2">
        <v>319</v>
      </c>
      <c r="S289" s="2">
        <v>109.9183</v>
      </c>
      <c r="T289" s="2">
        <v>299</v>
      </c>
      <c r="U289" s="2">
        <v>0.19936000000000001</v>
      </c>
      <c r="V289" s="2">
        <v>288</v>
      </c>
      <c r="W289" s="2">
        <v>2006</v>
      </c>
    </row>
    <row r="290" spans="1:23" ht="12.3" x14ac:dyDescent="0.4">
      <c r="A290" s="2" t="s">
        <v>247</v>
      </c>
      <c r="B290" s="2"/>
      <c r="C290" s="2"/>
      <c r="D290" s="2"/>
      <c r="E290" s="2"/>
      <c r="F290" s="2"/>
      <c r="G290" s="2"/>
      <c r="H290" s="2"/>
      <c r="I290" s="2">
        <v>62.336100000000002</v>
      </c>
      <c r="J290" s="2">
        <v>309</v>
      </c>
      <c r="K290" s="2">
        <v>63.846800000000002</v>
      </c>
      <c r="L290" s="2">
        <v>279</v>
      </c>
      <c r="M290" s="2">
        <v>92.022199999999998</v>
      </c>
      <c r="N290" s="2">
        <v>309</v>
      </c>
      <c r="O290" s="2">
        <v>90.950100000000006</v>
      </c>
      <c r="P290" s="2">
        <v>320</v>
      </c>
      <c r="Q290" s="2">
        <v>98.965999999999994</v>
      </c>
      <c r="R290" s="2">
        <v>102</v>
      </c>
      <c r="S290" s="2">
        <v>103.276</v>
      </c>
      <c r="T290" s="2">
        <v>190</v>
      </c>
      <c r="U290" s="2">
        <v>0.188225</v>
      </c>
      <c r="V290" s="2">
        <v>289</v>
      </c>
      <c r="W290" s="2">
        <v>2006</v>
      </c>
    </row>
    <row r="291" spans="1:23" ht="12.3" x14ac:dyDescent="0.4">
      <c r="A291" s="2" t="s">
        <v>297</v>
      </c>
      <c r="B291" s="2"/>
      <c r="C291" s="2"/>
      <c r="D291" s="2"/>
      <c r="E291" s="2"/>
      <c r="F291" s="2"/>
      <c r="G291" s="2"/>
      <c r="H291" s="2"/>
      <c r="I291" s="2">
        <v>69.388800000000003</v>
      </c>
      <c r="J291" s="2">
        <v>81</v>
      </c>
      <c r="K291" s="2">
        <v>68.034400000000005</v>
      </c>
      <c r="L291" s="2">
        <v>113</v>
      </c>
      <c r="M291" s="2">
        <v>94.939099999999996</v>
      </c>
      <c r="N291" s="2">
        <v>282</v>
      </c>
      <c r="O291" s="2">
        <v>92.943700000000007</v>
      </c>
      <c r="P291" s="2">
        <v>298</v>
      </c>
      <c r="Q291" s="2">
        <v>101.6144</v>
      </c>
      <c r="R291" s="2">
        <v>160</v>
      </c>
      <c r="S291" s="2">
        <v>105.5532</v>
      </c>
      <c r="T291" s="2">
        <v>236</v>
      </c>
      <c r="U291" s="2">
        <v>0.188001</v>
      </c>
      <c r="V291" s="2">
        <v>290</v>
      </c>
      <c r="W291" s="2">
        <v>2006</v>
      </c>
    </row>
    <row r="292" spans="1:23" ht="12.3" x14ac:dyDescent="0.4">
      <c r="A292" s="2" t="s">
        <v>309</v>
      </c>
      <c r="B292" s="2"/>
      <c r="C292" s="2"/>
      <c r="D292" s="2"/>
      <c r="E292" s="2"/>
      <c r="F292" s="2"/>
      <c r="G292" s="2"/>
      <c r="H292" s="2"/>
      <c r="I292" s="2">
        <v>66.114699999999999</v>
      </c>
      <c r="J292" s="2">
        <v>207</v>
      </c>
      <c r="K292" s="2">
        <v>67.564899999999994</v>
      </c>
      <c r="L292" s="2">
        <v>133</v>
      </c>
      <c r="M292" s="2">
        <v>95.1053</v>
      </c>
      <c r="N292" s="2">
        <v>281</v>
      </c>
      <c r="O292" s="2">
        <v>94.465699999999998</v>
      </c>
      <c r="P292" s="2">
        <v>281</v>
      </c>
      <c r="Q292" s="2">
        <v>104.1395</v>
      </c>
      <c r="R292" s="2">
        <v>227</v>
      </c>
      <c r="S292" s="2">
        <v>107.5271</v>
      </c>
      <c r="T292" s="2">
        <v>274</v>
      </c>
      <c r="U292" s="2">
        <v>0.18402399999999999</v>
      </c>
      <c r="V292" s="2">
        <v>291</v>
      </c>
      <c r="W292" s="2">
        <v>2006</v>
      </c>
    </row>
    <row r="293" spans="1:23" ht="12.3" x14ac:dyDescent="0.4">
      <c r="A293" s="2" t="s">
        <v>301</v>
      </c>
      <c r="B293" s="2"/>
      <c r="C293" s="2"/>
      <c r="D293" s="2"/>
      <c r="E293" s="2"/>
      <c r="F293" s="2"/>
      <c r="G293" s="2"/>
      <c r="H293" s="2"/>
      <c r="I293" s="2">
        <v>68.692899999999995</v>
      </c>
      <c r="J293" s="2">
        <v>107</v>
      </c>
      <c r="K293" s="2">
        <v>68.640199999999993</v>
      </c>
      <c r="L293" s="2">
        <v>100</v>
      </c>
      <c r="M293" s="2">
        <v>96.292699999999996</v>
      </c>
      <c r="N293" s="2">
        <v>256</v>
      </c>
      <c r="O293" s="2">
        <v>97.0946</v>
      </c>
      <c r="P293" s="2">
        <v>246</v>
      </c>
      <c r="Q293" s="2">
        <v>104.09010000000001</v>
      </c>
      <c r="R293" s="2">
        <v>225</v>
      </c>
      <c r="S293" s="2">
        <v>110.5523</v>
      </c>
      <c r="T293" s="2">
        <v>306</v>
      </c>
      <c r="U293" s="2">
        <v>0.18351200000000001</v>
      </c>
      <c r="V293" s="2">
        <v>292</v>
      </c>
      <c r="W293" s="2">
        <v>2006</v>
      </c>
    </row>
    <row r="294" spans="1:23" ht="12.3" x14ac:dyDescent="0.4">
      <c r="A294" s="2" t="s">
        <v>320</v>
      </c>
      <c r="B294" s="2"/>
      <c r="C294" s="2"/>
      <c r="D294" s="2"/>
      <c r="E294" s="2"/>
      <c r="F294" s="2"/>
      <c r="G294" s="2"/>
      <c r="H294" s="2"/>
      <c r="I294" s="2">
        <v>66.908500000000004</v>
      </c>
      <c r="J294" s="2">
        <v>171</v>
      </c>
      <c r="K294" s="2">
        <v>66.597999999999999</v>
      </c>
      <c r="L294" s="2">
        <v>180</v>
      </c>
      <c r="M294" s="2">
        <v>92.111999999999995</v>
      </c>
      <c r="N294" s="2">
        <v>308</v>
      </c>
      <c r="O294" s="2">
        <v>90.401700000000005</v>
      </c>
      <c r="P294" s="2">
        <v>324</v>
      </c>
      <c r="Q294" s="2">
        <v>97.703400000000002</v>
      </c>
      <c r="R294" s="2">
        <v>79</v>
      </c>
      <c r="S294" s="2">
        <v>103.0907</v>
      </c>
      <c r="T294" s="2">
        <v>187</v>
      </c>
      <c r="U294" s="2">
        <v>0.180867</v>
      </c>
      <c r="V294" s="2">
        <v>293</v>
      </c>
      <c r="W294" s="2">
        <v>2006</v>
      </c>
    </row>
    <row r="295" spans="1:23" ht="12.3" x14ac:dyDescent="0.4">
      <c r="A295" s="2" t="s">
        <v>313</v>
      </c>
      <c r="B295" s="2"/>
      <c r="C295" s="2"/>
      <c r="D295" s="2"/>
      <c r="E295" s="2"/>
      <c r="F295" s="2"/>
      <c r="G295" s="2"/>
      <c r="H295" s="2"/>
      <c r="I295" s="2">
        <v>68.153000000000006</v>
      </c>
      <c r="J295" s="2">
        <v>125</v>
      </c>
      <c r="K295" s="2">
        <v>67.932000000000002</v>
      </c>
      <c r="L295" s="2">
        <v>116</v>
      </c>
      <c r="M295" s="2">
        <v>94.776799999999994</v>
      </c>
      <c r="N295" s="2">
        <v>285</v>
      </c>
      <c r="O295" s="2">
        <v>95.173199999999994</v>
      </c>
      <c r="P295" s="2">
        <v>274</v>
      </c>
      <c r="Q295" s="2">
        <v>99.285700000000006</v>
      </c>
      <c r="R295" s="2">
        <v>109</v>
      </c>
      <c r="S295" s="2">
        <v>108.58499999999999</v>
      </c>
      <c r="T295" s="2">
        <v>285</v>
      </c>
      <c r="U295" s="2">
        <v>0.180036</v>
      </c>
      <c r="V295" s="2">
        <v>294</v>
      </c>
      <c r="W295" s="2">
        <v>2006</v>
      </c>
    </row>
    <row r="296" spans="1:23" ht="12.3" x14ac:dyDescent="0.4">
      <c r="A296" s="2" t="s">
        <v>233</v>
      </c>
      <c r="B296" s="2"/>
      <c r="C296" s="2"/>
      <c r="D296" s="2"/>
      <c r="E296" s="2"/>
      <c r="F296" s="2"/>
      <c r="G296" s="2"/>
      <c r="H296" s="2"/>
      <c r="I296" s="2">
        <v>64.2988</v>
      </c>
      <c r="J296" s="2">
        <v>268</v>
      </c>
      <c r="K296" s="2">
        <v>65.178799999999995</v>
      </c>
      <c r="L296" s="2">
        <v>243</v>
      </c>
      <c r="M296" s="2">
        <v>91.841999999999999</v>
      </c>
      <c r="N296" s="2">
        <v>310</v>
      </c>
      <c r="O296" s="2">
        <v>91.461399999999998</v>
      </c>
      <c r="P296" s="2">
        <v>315</v>
      </c>
      <c r="Q296" s="2">
        <v>99.502899999999997</v>
      </c>
      <c r="R296" s="2">
        <v>116</v>
      </c>
      <c r="S296" s="2">
        <v>104.4371</v>
      </c>
      <c r="T296" s="2">
        <v>209</v>
      </c>
      <c r="U296" s="2">
        <v>0.17862600000000001</v>
      </c>
      <c r="V296" s="2">
        <v>295</v>
      </c>
      <c r="W296" s="2">
        <v>2006</v>
      </c>
    </row>
    <row r="297" spans="1:23" ht="12.3" x14ac:dyDescent="0.4">
      <c r="A297" s="2" t="s">
        <v>273</v>
      </c>
      <c r="B297" s="2"/>
      <c r="C297" s="2"/>
      <c r="D297" s="2"/>
      <c r="E297" s="2"/>
      <c r="F297" s="2"/>
      <c r="G297" s="2"/>
      <c r="H297" s="2"/>
      <c r="I297" s="2">
        <v>67.782399999999996</v>
      </c>
      <c r="J297" s="2">
        <v>137</v>
      </c>
      <c r="K297" s="2">
        <v>69.901300000000006</v>
      </c>
      <c r="L297" s="2">
        <v>60</v>
      </c>
      <c r="M297" s="2">
        <v>95.920500000000004</v>
      </c>
      <c r="N297" s="2">
        <v>266</v>
      </c>
      <c r="O297" s="2">
        <v>96.4863</v>
      </c>
      <c r="P297" s="2">
        <v>254</v>
      </c>
      <c r="Q297" s="2">
        <v>106.7115</v>
      </c>
      <c r="R297" s="2">
        <v>271</v>
      </c>
      <c r="S297" s="2">
        <v>110.5406</v>
      </c>
      <c r="T297" s="2">
        <v>305</v>
      </c>
      <c r="U297" s="2">
        <v>0.17310300000000001</v>
      </c>
      <c r="V297" s="2">
        <v>296</v>
      </c>
      <c r="W297" s="2">
        <v>2006</v>
      </c>
    </row>
    <row r="298" spans="1:23" ht="12.3" x14ac:dyDescent="0.4">
      <c r="A298" s="2" t="s">
        <v>250</v>
      </c>
      <c r="B298" s="2"/>
      <c r="C298" s="2"/>
      <c r="D298" s="2"/>
      <c r="E298" s="2"/>
      <c r="F298" s="2"/>
      <c r="G298" s="2"/>
      <c r="H298" s="2"/>
      <c r="I298" s="2">
        <v>67.506500000000003</v>
      </c>
      <c r="J298" s="2">
        <v>147</v>
      </c>
      <c r="K298" s="2">
        <v>68.6614</v>
      </c>
      <c r="L298" s="2">
        <v>99</v>
      </c>
      <c r="M298" s="2">
        <v>97.856300000000005</v>
      </c>
      <c r="N298" s="2">
        <v>234</v>
      </c>
      <c r="O298" s="2">
        <v>99.203199999999995</v>
      </c>
      <c r="P298" s="2">
        <v>210</v>
      </c>
      <c r="Q298" s="2">
        <v>115.3848</v>
      </c>
      <c r="R298" s="2">
        <v>333</v>
      </c>
      <c r="S298" s="2">
        <v>113.9658</v>
      </c>
      <c r="T298" s="2">
        <v>328</v>
      </c>
      <c r="U298" s="2">
        <v>0.16863</v>
      </c>
      <c r="V298" s="2">
        <v>297</v>
      </c>
      <c r="W298" s="2">
        <v>2006</v>
      </c>
    </row>
    <row r="299" spans="1:23" ht="12.3" x14ac:dyDescent="0.4">
      <c r="A299" s="2" t="s">
        <v>284</v>
      </c>
      <c r="B299" s="2"/>
      <c r="C299" s="2"/>
      <c r="D299" s="2"/>
      <c r="E299" s="2"/>
      <c r="F299" s="2"/>
      <c r="G299" s="2"/>
      <c r="H299" s="2"/>
      <c r="I299" s="2">
        <v>72.134100000000004</v>
      </c>
      <c r="J299" s="2">
        <v>26</v>
      </c>
      <c r="K299" s="2">
        <v>71.749200000000002</v>
      </c>
      <c r="L299" s="2">
        <v>26</v>
      </c>
      <c r="M299" s="2">
        <v>89.770700000000005</v>
      </c>
      <c r="N299" s="2">
        <v>324</v>
      </c>
      <c r="O299" s="2">
        <v>91.006299999999996</v>
      </c>
      <c r="P299" s="2">
        <v>318</v>
      </c>
      <c r="Q299" s="2">
        <v>106.3327</v>
      </c>
      <c r="R299" s="2">
        <v>263</v>
      </c>
      <c r="S299" s="2">
        <v>104.735</v>
      </c>
      <c r="T299" s="2">
        <v>215</v>
      </c>
      <c r="U299" s="2">
        <v>0.16578599999999999</v>
      </c>
      <c r="V299" s="2">
        <v>298</v>
      </c>
      <c r="W299" s="2">
        <v>2006</v>
      </c>
    </row>
    <row r="300" spans="1:23" ht="12.3" x14ac:dyDescent="0.4">
      <c r="A300" s="2" t="s">
        <v>361</v>
      </c>
      <c r="B300" s="2"/>
      <c r="C300" s="2"/>
      <c r="D300" s="2"/>
      <c r="E300" s="2"/>
      <c r="F300" s="2"/>
      <c r="G300" s="2"/>
      <c r="H300" s="2"/>
      <c r="I300" s="2">
        <v>69.1464</v>
      </c>
      <c r="J300" s="2">
        <v>90</v>
      </c>
      <c r="K300" s="2">
        <v>67.063999999999993</v>
      </c>
      <c r="L300" s="2">
        <v>155</v>
      </c>
      <c r="M300" s="2">
        <v>100.7936</v>
      </c>
      <c r="N300" s="2">
        <v>182</v>
      </c>
      <c r="O300" s="2">
        <v>96.662499999999994</v>
      </c>
      <c r="P300" s="2">
        <v>251</v>
      </c>
      <c r="Q300" s="2">
        <v>109.8192</v>
      </c>
      <c r="R300" s="2">
        <v>309</v>
      </c>
      <c r="S300" s="2">
        <v>111.4183</v>
      </c>
      <c r="T300" s="2">
        <v>313</v>
      </c>
      <c r="U300" s="2">
        <v>0.16331599999999999</v>
      </c>
      <c r="V300" s="2">
        <v>299</v>
      </c>
      <c r="W300" s="2">
        <v>2006</v>
      </c>
    </row>
    <row r="301" spans="1:23" ht="12.3" x14ac:dyDescent="0.4">
      <c r="A301" s="2" t="s">
        <v>358</v>
      </c>
      <c r="B301" s="2"/>
      <c r="C301" s="2"/>
      <c r="D301" s="2"/>
      <c r="E301" s="2"/>
      <c r="F301" s="2"/>
      <c r="G301" s="2"/>
      <c r="H301" s="2"/>
      <c r="I301" s="2">
        <v>67.256900000000002</v>
      </c>
      <c r="J301" s="2">
        <v>153</v>
      </c>
      <c r="K301" s="2">
        <v>66.947599999999994</v>
      </c>
      <c r="L301" s="2">
        <v>162</v>
      </c>
      <c r="M301" s="2">
        <v>96.454599999999999</v>
      </c>
      <c r="N301" s="2">
        <v>253</v>
      </c>
      <c r="O301" s="2">
        <v>99.930199999999999</v>
      </c>
      <c r="P301" s="2">
        <v>201</v>
      </c>
      <c r="Q301" s="2">
        <v>112.3018</v>
      </c>
      <c r="R301" s="2">
        <v>327</v>
      </c>
      <c r="S301" s="2">
        <v>115.3814</v>
      </c>
      <c r="T301" s="2">
        <v>332</v>
      </c>
      <c r="U301" s="2">
        <v>0.16065399999999999</v>
      </c>
      <c r="V301" s="2">
        <v>300</v>
      </c>
      <c r="W301" s="2">
        <v>2006</v>
      </c>
    </row>
    <row r="302" spans="1:23" ht="12.3" x14ac:dyDescent="0.4">
      <c r="A302" s="2" t="s">
        <v>362</v>
      </c>
      <c r="B302" s="2"/>
      <c r="C302" s="2"/>
      <c r="D302" s="2"/>
      <c r="E302" s="2"/>
      <c r="F302" s="2"/>
      <c r="G302" s="2"/>
      <c r="H302" s="2"/>
      <c r="I302" s="2">
        <v>68.805899999999994</v>
      </c>
      <c r="J302" s="2">
        <v>102</v>
      </c>
      <c r="K302" s="2">
        <v>68.947599999999994</v>
      </c>
      <c r="L302" s="2">
        <v>92</v>
      </c>
      <c r="M302" s="2">
        <v>90.366</v>
      </c>
      <c r="N302" s="2">
        <v>321</v>
      </c>
      <c r="O302" s="2">
        <v>90.953599999999994</v>
      </c>
      <c r="P302" s="2">
        <v>319</v>
      </c>
      <c r="Q302" s="2">
        <v>106.7458</v>
      </c>
      <c r="R302" s="2">
        <v>273</v>
      </c>
      <c r="S302" s="2">
        <v>105.0329</v>
      </c>
      <c r="T302" s="2">
        <v>223</v>
      </c>
      <c r="U302" s="2">
        <v>0.16041800000000001</v>
      </c>
      <c r="V302" s="2">
        <v>301</v>
      </c>
      <c r="W302" s="2">
        <v>2006</v>
      </c>
    </row>
    <row r="303" spans="1:23" ht="12.3" x14ac:dyDescent="0.4">
      <c r="A303" s="2" t="s">
        <v>285</v>
      </c>
      <c r="B303" s="2"/>
      <c r="C303" s="2"/>
      <c r="D303" s="2"/>
      <c r="E303" s="2"/>
      <c r="F303" s="2"/>
      <c r="G303" s="2"/>
      <c r="H303" s="2"/>
      <c r="I303" s="2">
        <v>67.160600000000002</v>
      </c>
      <c r="J303" s="2">
        <v>158</v>
      </c>
      <c r="K303" s="2">
        <v>66.948800000000006</v>
      </c>
      <c r="L303" s="2">
        <v>161</v>
      </c>
      <c r="M303" s="2">
        <v>97.097099999999998</v>
      </c>
      <c r="N303" s="2">
        <v>244</v>
      </c>
      <c r="O303" s="2">
        <v>94.247</v>
      </c>
      <c r="P303" s="2">
        <v>283</v>
      </c>
      <c r="Q303" s="2">
        <v>109.3222</v>
      </c>
      <c r="R303" s="2">
        <v>307</v>
      </c>
      <c r="S303" s="2">
        <v>108.8419</v>
      </c>
      <c r="T303" s="2">
        <v>288</v>
      </c>
      <c r="U303" s="2">
        <v>0.160334</v>
      </c>
      <c r="V303" s="2">
        <v>302</v>
      </c>
      <c r="W303" s="2">
        <v>2006</v>
      </c>
    </row>
    <row r="304" spans="1:23" ht="12.3" x14ac:dyDescent="0.4">
      <c r="A304" s="2" t="s">
        <v>271</v>
      </c>
      <c r="B304" s="2"/>
      <c r="C304" s="2"/>
      <c r="D304" s="2"/>
      <c r="E304" s="2"/>
      <c r="F304" s="2"/>
      <c r="G304" s="2"/>
      <c r="H304" s="2"/>
      <c r="I304" s="2">
        <v>64.517499999999998</v>
      </c>
      <c r="J304" s="2">
        <v>262</v>
      </c>
      <c r="K304" s="2">
        <v>66.436400000000006</v>
      </c>
      <c r="L304" s="2">
        <v>187</v>
      </c>
      <c r="M304" s="2">
        <v>97.922300000000007</v>
      </c>
      <c r="N304" s="2">
        <v>232</v>
      </c>
      <c r="O304" s="2">
        <v>95.670100000000005</v>
      </c>
      <c r="P304" s="2">
        <v>265</v>
      </c>
      <c r="Q304" s="2">
        <v>105.6405</v>
      </c>
      <c r="R304" s="2">
        <v>249</v>
      </c>
      <c r="S304" s="2">
        <v>110.8349</v>
      </c>
      <c r="T304" s="2">
        <v>308</v>
      </c>
      <c r="U304" s="2">
        <v>0.155504</v>
      </c>
      <c r="V304" s="2">
        <v>303</v>
      </c>
      <c r="W304" s="2">
        <v>2006</v>
      </c>
    </row>
    <row r="305" spans="1:23" ht="12.3" x14ac:dyDescent="0.4">
      <c r="A305" s="2" t="s">
        <v>235</v>
      </c>
      <c r="B305" s="2"/>
      <c r="C305" s="2"/>
      <c r="D305" s="2"/>
      <c r="E305" s="2"/>
      <c r="F305" s="2"/>
      <c r="G305" s="2"/>
      <c r="H305" s="2"/>
      <c r="I305" s="2">
        <v>66.979799999999997</v>
      </c>
      <c r="J305" s="2">
        <v>167</v>
      </c>
      <c r="K305" s="2">
        <v>67.972499999999997</v>
      </c>
      <c r="L305" s="2">
        <v>115</v>
      </c>
      <c r="M305" s="2">
        <v>86.691000000000003</v>
      </c>
      <c r="N305" s="2">
        <v>331</v>
      </c>
      <c r="O305" s="2">
        <v>88.984999999999999</v>
      </c>
      <c r="P305" s="2">
        <v>327</v>
      </c>
      <c r="Q305" s="2">
        <v>103.6613</v>
      </c>
      <c r="R305" s="2">
        <v>212</v>
      </c>
      <c r="S305" s="2">
        <v>103.3586</v>
      </c>
      <c r="T305" s="2">
        <v>191</v>
      </c>
      <c r="U305" s="2">
        <v>0.151618</v>
      </c>
      <c r="V305" s="2">
        <v>304</v>
      </c>
      <c r="W305" s="2">
        <v>2006</v>
      </c>
    </row>
    <row r="306" spans="1:23" ht="12.3" x14ac:dyDescent="0.4">
      <c r="A306" s="2" t="s">
        <v>347</v>
      </c>
      <c r="B306" s="2"/>
      <c r="C306" s="2"/>
      <c r="D306" s="2"/>
      <c r="E306" s="2"/>
      <c r="F306" s="2"/>
      <c r="G306" s="2"/>
      <c r="H306" s="2"/>
      <c r="I306" s="2">
        <v>72.670199999999994</v>
      </c>
      <c r="J306" s="2">
        <v>20</v>
      </c>
      <c r="K306" s="2">
        <v>70.798400000000001</v>
      </c>
      <c r="L306" s="2">
        <v>42</v>
      </c>
      <c r="M306" s="2">
        <v>95.350499999999997</v>
      </c>
      <c r="N306" s="2">
        <v>277</v>
      </c>
      <c r="O306" s="2">
        <v>96.422300000000007</v>
      </c>
      <c r="P306" s="2">
        <v>256</v>
      </c>
      <c r="Q306" s="2">
        <v>110.3871</v>
      </c>
      <c r="R306" s="2">
        <v>316</v>
      </c>
      <c r="S306" s="2">
        <v>112.0352</v>
      </c>
      <c r="T306" s="2">
        <v>317</v>
      </c>
      <c r="U306" s="2">
        <v>0.151117</v>
      </c>
      <c r="V306" s="2">
        <v>305</v>
      </c>
      <c r="W306" s="2">
        <v>2006</v>
      </c>
    </row>
    <row r="307" spans="1:23" ht="12.3" x14ac:dyDescent="0.4">
      <c r="A307" s="2" t="s">
        <v>327</v>
      </c>
      <c r="B307" s="2"/>
      <c r="C307" s="2"/>
      <c r="D307" s="2"/>
      <c r="E307" s="2"/>
      <c r="F307" s="2"/>
      <c r="G307" s="2"/>
      <c r="H307" s="2"/>
      <c r="I307" s="2">
        <v>62.496400000000001</v>
      </c>
      <c r="J307" s="2">
        <v>307</v>
      </c>
      <c r="K307" s="2">
        <v>63.981699999999996</v>
      </c>
      <c r="L307" s="2">
        <v>277</v>
      </c>
      <c r="M307" s="2">
        <v>95.490700000000004</v>
      </c>
      <c r="N307" s="2">
        <v>274</v>
      </c>
      <c r="O307" s="2">
        <v>93.605000000000004</v>
      </c>
      <c r="P307" s="2">
        <v>291</v>
      </c>
      <c r="Q307" s="2">
        <v>106.04130000000001</v>
      </c>
      <c r="R307" s="2">
        <v>254</v>
      </c>
      <c r="S307" s="2">
        <v>108.8869</v>
      </c>
      <c r="T307" s="2">
        <v>290</v>
      </c>
      <c r="U307" s="2">
        <v>0.149427</v>
      </c>
      <c r="V307" s="2">
        <v>306</v>
      </c>
      <c r="W307" s="2">
        <v>2006</v>
      </c>
    </row>
    <row r="308" spans="1:23" ht="12.3" x14ac:dyDescent="0.4">
      <c r="A308" s="2" t="s">
        <v>303</v>
      </c>
      <c r="B308" s="2"/>
      <c r="C308" s="2"/>
      <c r="D308" s="2"/>
      <c r="E308" s="2"/>
      <c r="F308" s="2"/>
      <c r="G308" s="2"/>
      <c r="H308" s="2"/>
      <c r="I308" s="2">
        <v>65.869</v>
      </c>
      <c r="J308" s="2">
        <v>217</v>
      </c>
      <c r="K308" s="2">
        <v>66.236599999999996</v>
      </c>
      <c r="L308" s="2">
        <v>204</v>
      </c>
      <c r="M308" s="2">
        <v>95.638999999999996</v>
      </c>
      <c r="N308" s="2">
        <v>272</v>
      </c>
      <c r="O308" s="2">
        <v>91.590500000000006</v>
      </c>
      <c r="P308" s="2">
        <v>314</v>
      </c>
      <c r="Q308" s="2">
        <v>107.1992</v>
      </c>
      <c r="R308" s="2">
        <v>284</v>
      </c>
      <c r="S308" s="2">
        <v>107.0558</v>
      </c>
      <c r="T308" s="2">
        <v>263</v>
      </c>
      <c r="U308" s="2">
        <v>0.14255100000000001</v>
      </c>
      <c r="V308" s="2">
        <v>307</v>
      </c>
      <c r="W308" s="2">
        <v>2006</v>
      </c>
    </row>
    <row r="309" spans="1:23" ht="12.3" x14ac:dyDescent="0.4">
      <c r="A309" s="2" t="s">
        <v>200</v>
      </c>
      <c r="B309" s="2"/>
      <c r="C309" s="2"/>
      <c r="D309" s="2"/>
      <c r="E309" s="2"/>
      <c r="F309" s="2"/>
      <c r="G309" s="2"/>
      <c r="H309" s="2"/>
      <c r="I309" s="2">
        <v>68.285399999999996</v>
      </c>
      <c r="J309" s="2">
        <v>123</v>
      </c>
      <c r="K309" s="2">
        <v>67.839399999999998</v>
      </c>
      <c r="L309" s="2">
        <v>121</v>
      </c>
      <c r="M309" s="2">
        <v>93.477999999999994</v>
      </c>
      <c r="N309" s="2">
        <v>294</v>
      </c>
      <c r="O309" s="2">
        <v>95.814300000000003</v>
      </c>
      <c r="P309" s="2">
        <v>261</v>
      </c>
      <c r="Q309" s="2">
        <v>113.2979</v>
      </c>
      <c r="R309" s="2">
        <v>331</v>
      </c>
      <c r="S309" s="2">
        <v>112.11369999999999</v>
      </c>
      <c r="T309" s="2">
        <v>319</v>
      </c>
      <c r="U309" s="2">
        <v>0.141041</v>
      </c>
      <c r="V309" s="2">
        <v>308</v>
      </c>
      <c r="W309" s="2">
        <v>2006</v>
      </c>
    </row>
    <row r="310" spans="1:23" ht="12.3" x14ac:dyDescent="0.4">
      <c r="A310" s="2" t="s">
        <v>359</v>
      </c>
      <c r="B310" s="2"/>
      <c r="C310" s="2"/>
      <c r="D310" s="2"/>
      <c r="E310" s="2"/>
      <c r="F310" s="2"/>
      <c r="G310" s="2"/>
      <c r="H310" s="2"/>
      <c r="I310" s="2">
        <v>73.912300000000002</v>
      </c>
      <c r="J310" s="2">
        <v>11</v>
      </c>
      <c r="K310" s="2">
        <v>72.916799999999995</v>
      </c>
      <c r="L310" s="2">
        <v>15</v>
      </c>
      <c r="M310" s="2">
        <v>96.879300000000001</v>
      </c>
      <c r="N310" s="2">
        <v>247</v>
      </c>
      <c r="O310" s="2">
        <v>95.831100000000006</v>
      </c>
      <c r="P310" s="2">
        <v>260</v>
      </c>
      <c r="Q310" s="2">
        <v>107.56740000000001</v>
      </c>
      <c r="R310" s="2">
        <v>289</v>
      </c>
      <c r="S310" s="2">
        <v>112.1828</v>
      </c>
      <c r="T310" s="2">
        <v>322</v>
      </c>
      <c r="U310" s="2">
        <v>0.140429</v>
      </c>
      <c r="V310" s="2">
        <v>309</v>
      </c>
      <c r="W310" s="2">
        <v>2006</v>
      </c>
    </row>
    <row r="311" spans="1:23" ht="12.3" x14ac:dyDescent="0.4">
      <c r="A311" s="2" t="s">
        <v>329</v>
      </c>
      <c r="B311" s="2"/>
      <c r="C311" s="2"/>
      <c r="D311" s="2"/>
      <c r="E311" s="2"/>
      <c r="F311" s="2"/>
      <c r="G311" s="2"/>
      <c r="H311" s="2"/>
      <c r="I311" s="2">
        <v>70.604900000000001</v>
      </c>
      <c r="J311" s="2">
        <v>52</v>
      </c>
      <c r="K311" s="2">
        <v>68.919700000000006</v>
      </c>
      <c r="L311" s="2">
        <v>93</v>
      </c>
      <c r="M311" s="2">
        <v>93.045900000000003</v>
      </c>
      <c r="N311" s="2">
        <v>300</v>
      </c>
      <c r="O311" s="2">
        <v>90.699299999999994</v>
      </c>
      <c r="P311" s="2">
        <v>323</v>
      </c>
      <c r="Q311" s="2">
        <v>98.770499999999998</v>
      </c>
      <c r="R311" s="2">
        <v>96</v>
      </c>
      <c r="S311" s="2">
        <v>106.24169999999999</v>
      </c>
      <c r="T311" s="2">
        <v>252</v>
      </c>
      <c r="U311" s="2">
        <v>0.13956399999999999</v>
      </c>
      <c r="V311" s="2">
        <v>310</v>
      </c>
      <c r="W311" s="2">
        <v>2006</v>
      </c>
    </row>
    <row r="312" spans="1:23" ht="12.3" x14ac:dyDescent="0.4">
      <c r="A312" s="2" t="s">
        <v>264</v>
      </c>
      <c r="B312" s="2"/>
      <c r="C312" s="2"/>
      <c r="D312" s="2"/>
      <c r="E312" s="2"/>
      <c r="F312" s="2"/>
      <c r="G312" s="2"/>
      <c r="H312" s="2"/>
      <c r="I312" s="2">
        <v>62.415100000000002</v>
      </c>
      <c r="J312" s="2">
        <v>308</v>
      </c>
      <c r="K312" s="2">
        <v>62.469900000000003</v>
      </c>
      <c r="L312" s="2">
        <v>310</v>
      </c>
      <c r="M312" s="2">
        <v>93.908900000000003</v>
      </c>
      <c r="N312" s="2">
        <v>292</v>
      </c>
      <c r="O312" s="2">
        <v>91.816699999999997</v>
      </c>
      <c r="P312" s="2">
        <v>309</v>
      </c>
      <c r="Q312" s="2">
        <v>107.8176</v>
      </c>
      <c r="R312" s="2">
        <v>293</v>
      </c>
      <c r="S312" s="2">
        <v>107.70959999999999</v>
      </c>
      <c r="T312" s="2">
        <v>277</v>
      </c>
      <c r="U312" s="2">
        <v>0.13753499999999999</v>
      </c>
      <c r="V312" s="2">
        <v>311</v>
      </c>
      <c r="W312" s="2">
        <v>2006</v>
      </c>
    </row>
    <row r="313" spans="1:23" ht="12.3" x14ac:dyDescent="0.4">
      <c r="A313" s="2" t="s">
        <v>300</v>
      </c>
      <c r="B313" s="2"/>
      <c r="C313" s="2"/>
      <c r="D313" s="2"/>
      <c r="E313" s="2"/>
      <c r="F313" s="2"/>
      <c r="G313" s="2"/>
      <c r="H313" s="2"/>
      <c r="I313" s="2">
        <v>69.862099999999998</v>
      </c>
      <c r="J313" s="2">
        <v>64</v>
      </c>
      <c r="K313" s="2">
        <v>71.148799999999994</v>
      </c>
      <c r="L313" s="2">
        <v>36</v>
      </c>
      <c r="M313" s="2">
        <v>93.373400000000004</v>
      </c>
      <c r="N313" s="2">
        <v>296</v>
      </c>
      <c r="O313" s="2">
        <v>92.78</v>
      </c>
      <c r="P313" s="2">
        <v>301</v>
      </c>
      <c r="Q313" s="2">
        <v>102.56870000000001</v>
      </c>
      <c r="R313" s="2">
        <v>183</v>
      </c>
      <c r="S313" s="2">
        <v>108.8515</v>
      </c>
      <c r="T313" s="2">
        <v>289</v>
      </c>
      <c r="U313" s="2">
        <v>0.13738600000000001</v>
      </c>
      <c r="V313" s="2">
        <v>312</v>
      </c>
      <c r="W313" s="2">
        <v>2006</v>
      </c>
    </row>
    <row r="314" spans="1:23" ht="12.3" x14ac:dyDescent="0.4">
      <c r="A314" s="2" t="s">
        <v>318</v>
      </c>
      <c r="B314" s="2"/>
      <c r="C314" s="2"/>
      <c r="D314" s="2"/>
      <c r="E314" s="2"/>
      <c r="F314" s="2"/>
      <c r="G314" s="2"/>
      <c r="H314" s="2"/>
      <c r="I314" s="2">
        <v>71.226699999999994</v>
      </c>
      <c r="J314" s="2">
        <v>41</v>
      </c>
      <c r="K314" s="2">
        <v>68.775400000000005</v>
      </c>
      <c r="L314" s="2">
        <v>95</v>
      </c>
      <c r="M314" s="2">
        <v>102.11620000000001</v>
      </c>
      <c r="N314" s="2">
        <v>162</v>
      </c>
      <c r="O314" s="2">
        <v>97.283500000000004</v>
      </c>
      <c r="P314" s="2">
        <v>241</v>
      </c>
      <c r="Q314" s="2">
        <v>111.7696</v>
      </c>
      <c r="R314" s="2">
        <v>322</v>
      </c>
      <c r="S314" s="2">
        <v>114.2684</v>
      </c>
      <c r="T314" s="2">
        <v>329</v>
      </c>
      <c r="U314" s="2">
        <v>0.13580400000000001</v>
      </c>
      <c r="V314" s="2">
        <v>313</v>
      </c>
      <c r="W314" s="2">
        <v>2006</v>
      </c>
    </row>
    <row r="315" spans="1:23" ht="12.3" x14ac:dyDescent="0.4">
      <c r="A315" s="2" t="s">
        <v>242</v>
      </c>
      <c r="B315" s="2"/>
      <c r="C315" s="2"/>
      <c r="D315" s="2"/>
      <c r="E315" s="2"/>
      <c r="F315" s="2"/>
      <c r="G315" s="2"/>
      <c r="H315" s="2"/>
      <c r="I315" s="2">
        <v>67.863799999999998</v>
      </c>
      <c r="J315" s="2">
        <v>134</v>
      </c>
      <c r="K315" s="2">
        <v>67.298400000000001</v>
      </c>
      <c r="L315" s="2">
        <v>145</v>
      </c>
      <c r="M315" s="2">
        <v>95.468999999999994</v>
      </c>
      <c r="N315" s="2">
        <v>275</v>
      </c>
      <c r="O315" s="2">
        <v>93.318299999999994</v>
      </c>
      <c r="P315" s="2">
        <v>295</v>
      </c>
      <c r="Q315" s="2">
        <v>104.1297</v>
      </c>
      <c r="R315" s="2">
        <v>226</v>
      </c>
      <c r="S315" s="2">
        <v>109.7032</v>
      </c>
      <c r="T315" s="2">
        <v>296</v>
      </c>
      <c r="U315" s="2">
        <v>0.13467199999999999</v>
      </c>
      <c r="V315" s="2">
        <v>314</v>
      </c>
      <c r="W315" s="2">
        <v>2006</v>
      </c>
    </row>
    <row r="316" spans="1:23" ht="12.3" x14ac:dyDescent="0.4">
      <c r="A316" s="2" t="s">
        <v>263</v>
      </c>
      <c r="B316" s="2"/>
      <c r="C316" s="2"/>
      <c r="D316" s="2"/>
      <c r="E316" s="2"/>
      <c r="F316" s="2"/>
      <c r="G316" s="2"/>
      <c r="H316" s="2"/>
      <c r="I316" s="2">
        <v>72.763000000000005</v>
      </c>
      <c r="J316" s="2">
        <v>17</v>
      </c>
      <c r="K316" s="2">
        <v>72.737099999999998</v>
      </c>
      <c r="L316" s="2">
        <v>16</v>
      </c>
      <c r="M316" s="2">
        <v>94.112799999999993</v>
      </c>
      <c r="N316" s="2">
        <v>290</v>
      </c>
      <c r="O316" s="2">
        <v>90.916600000000003</v>
      </c>
      <c r="P316" s="2">
        <v>321</v>
      </c>
      <c r="Q316" s="2">
        <v>107.14100000000001</v>
      </c>
      <c r="R316" s="2">
        <v>282</v>
      </c>
      <c r="S316" s="2">
        <v>107.0622</v>
      </c>
      <c r="T316" s="2">
        <v>264</v>
      </c>
      <c r="U316" s="2">
        <v>0.13240299999999999</v>
      </c>
      <c r="V316" s="2">
        <v>315</v>
      </c>
      <c r="W316" s="2">
        <v>2006</v>
      </c>
    </row>
    <row r="317" spans="1:23" ht="12.3" x14ac:dyDescent="0.4">
      <c r="A317" s="2" t="s">
        <v>261</v>
      </c>
      <c r="B317" s="2"/>
      <c r="C317" s="2"/>
      <c r="D317" s="2"/>
      <c r="E317" s="2"/>
      <c r="F317" s="2"/>
      <c r="G317" s="2"/>
      <c r="H317" s="2"/>
      <c r="I317" s="2">
        <v>71.664699999999996</v>
      </c>
      <c r="J317" s="2">
        <v>31</v>
      </c>
      <c r="K317" s="2">
        <v>69.819900000000004</v>
      </c>
      <c r="L317" s="2">
        <v>64</v>
      </c>
      <c r="M317" s="2">
        <v>92.273300000000006</v>
      </c>
      <c r="N317" s="2">
        <v>307</v>
      </c>
      <c r="O317" s="2">
        <v>92.397400000000005</v>
      </c>
      <c r="P317" s="2">
        <v>303</v>
      </c>
      <c r="Q317" s="2">
        <v>102.0253</v>
      </c>
      <c r="R317" s="2">
        <v>170</v>
      </c>
      <c r="S317" s="2">
        <v>109.28789999999999</v>
      </c>
      <c r="T317" s="2">
        <v>294</v>
      </c>
      <c r="U317" s="2">
        <v>0.12667300000000001</v>
      </c>
      <c r="V317" s="2">
        <v>316</v>
      </c>
      <c r="W317" s="2">
        <v>2006</v>
      </c>
    </row>
    <row r="318" spans="1:23" ht="12.3" x14ac:dyDescent="0.4">
      <c r="A318" s="2" t="s">
        <v>336</v>
      </c>
      <c r="B318" s="2"/>
      <c r="C318" s="2"/>
      <c r="D318" s="2"/>
      <c r="E318" s="2"/>
      <c r="F318" s="2"/>
      <c r="G318" s="2"/>
      <c r="H318" s="2"/>
      <c r="I318" s="2">
        <v>64.854900000000001</v>
      </c>
      <c r="J318" s="2">
        <v>252</v>
      </c>
      <c r="K318" s="2">
        <v>66.222099999999998</v>
      </c>
      <c r="L318" s="2">
        <v>208</v>
      </c>
      <c r="M318" s="2">
        <v>90.008300000000006</v>
      </c>
      <c r="N318" s="2">
        <v>323</v>
      </c>
      <c r="O318" s="2">
        <v>92.01</v>
      </c>
      <c r="P318" s="2">
        <v>306</v>
      </c>
      <c r="Q318" s="2">
        <v>106.09139999999999</v>
      </c>
      <c r="R318" s="2">
        <v>256</v>
      </c>
      <c r="S318" s="2">
        <v>109.7959</v>
      </c>
      <c r="T318" s="2">
        <v>298</v>
      </c>
      <c r="U318" s="2">
        <v>0.11584800000000001</v>
      </c>
      <c r="V318" s="2">
        <v>317</v>
      </c>
      <c r="W318" s="2">
        <v>2006</v>
      </c>
    </row>
    <row r="319" spans="1:23" ht="12.3" x14ac:dyDescent="0.4">
      <c r="A319" s="2" t="s">
        <v>224</v>
      </c>
      <c r="B319" s="2"/>
      <c r="C319" s="2"/>
      <c r="D319" s="2"/>
      <c r="E319" s="2"/>
      <c r="F319" s="2"/>
      <c r="G319" s="2"/>
      <c r="H319" s="2"/>
      <c r="I319" s="2">
        <v>68.746600000000001</v>
      </c>
      <c r="J319" s="2">
        <v>105</v>
      </c>
      <c r="K319" s="2">
        <v>68.029300000000006</v>
      </c>
      <c r="L319" s="2">
        <v>114</v>
      </c>
      <c r="M319" s="2">
        <v>95.962400000000002</v>
      </c>
      <c r="N319" s="2">
        <v>265</v>
      </c>
      <c r="O319" s="2">
        <v>92.857100000000003</v>
      </c>
      <c r="P319" s="2">
        <v>300</v>
      </c>
      <c r="Q319" s="2">
        <v>112.6789</v>
      </c>
      <c r="R319" s="2">
        <v>329</v>
      </c>
      <c r="S319" s="2">
        <v>111.1426</v>
      </c>
      <c r="T319" s="2">
        <v>311</v>
      </c>
      <c r="U319" s="2">
        <v>0.112332</v>
      </c>
      <c r="V319" s="2">
        <v>318</v>
      </c>
      <c r="W319" s="2">
        <v>2006</v>
      </c>
    </row>
    <row r="320" spans="1:23" ht="12.3" x14ac:dyDescent="0.4">
      <c r="A320" s="2" t="s">
        <v>346</v>
      </c>
      <c r="B320" s="2"/>
      <c r="C320" s="2"/>
      <c r="D320" s="2"/>
      <c r="E320" s="2"/>
      <c r="F320" s="2"/>
      <c r="G320" s="2"/>
      <c r="H320" s="2"/>
      <c r="I320" s="2">
        <v>67.638599999999997</v>
      </c>
      <c r="J320" s="2">
        <v>143</v>
      </c>
      <c r="K320" s="2">
        <v>66.458500000000001</v>
      </c>
      <c r="L320" s="2">
        <v>185</v>
      </c>
      <c r="M320" s="2">
        <v>91.270499999999998</v>
      </c>
      <c r="N320" s="2">
        <v>315</v>
      </c>
      <c r="O320" s="2">
        <v>91.945400000000006</v>
      </c>
      <c r="P320" s="2">
        <v>308</v>
      </c>
      <c r="Q320" s="2">
        <v>109.9735</v>
      </c>
      <c r="R320" s="2">
        <v>311</v>
      </c>
      <c r="S320" s="2">
        <v>110.1734</v>
      </c>
      <c r="T320" s="2">
        <v>301</v>
      </c>
      <c r="U320" s="2">
        <v>0.111067</v>
      </c>
      <c r="V320" s="2">
        <v>319</v>
      </c>
      <c r="W320" s="2">
        <v>2006</v>
      </c>
    </row>
    <row r="321" spans="1:23" ht="12.3" x14ac:dyDescent="0.4">
      <c r="A321" s="2" t="s">
        <v>299</v>
      </c>
      <c r="B321" s="2"/>
      <c r="C321" s="2"/>
      <c r="D321" s="2"/>
      <c r="E321" s="2"/>
      <c r="F321" s="2"/>
      <c r="G321" s="2"/>
      <c r="H321" s="2"/>
      <c r="I321" s="2">
        <v>64.539400000000001</v>
      </c>
      <c r="J321" s="2">
        <v>260</v>
      </c>
      <c r="K321" s="2">
        <v>62.7333</v>
      </c>
      <c r="L321" s="2">
        <v>303</v>
      </c>
      <c r="M321" s="2">
        <v>94.020399999999995</v>
      </c>
      <c r="N321" s="2">
        <v>291</v>
      </c>
      <c r="O321" s="2">
        <v>93.172300000000007</v>
      </c>
      <c r="P321" s="2">
        <v>297</v>
      </c>
      <c r="Q321" s="2">
        <v>108.2479</v>
      </c>
      <c r="R321" s="2">
        <v>300</v>
      </c>
      <c r="S321" s="2">
        <v>111.9213</v>
      </c>
      <c r="T321" s="2">
        <v>316</v>
      </c>
      <c r="U321" s="2">
        <v>0.108276</v>
      </c>
      <c r="V321" s="2">
        <v>320</v>
      </c>
      <c r="W321" s="2">
        <v>2006</v>
      </c>
    </row>
    <row r="322" spans="1:23" ht="12.3" x14ac:dyDescent="0.4">
      <c r="A322" s="2" t="s">
        <v>325</v>
      </c>
      <c r="B322" s="2"/>
      <c r="C322" s="2"/>
      <c r="D322" s="2"/>
      <c r="E322" s="2"/>
      <c r="F322" s="2"/>
      <c r="G322" s="2"/>
      <c r="H322" s="2"/>
      <c r="I322" s="2">
        <v>72.721800000000002</v>
      </c>
      <c r="J322" s="2">
        <v>18</v>
      </c>
      <c r="K322" s="2">
        <v>71.463800000000006</v>
      </c>
      <c r="L322" s="2">
        <v>30</v>
      </c>
      <c r="M322" s="2">
        <v>90.129900000000006</v>
      </c>
      <c r="N322" s="2">
        <v>322</v>
      </c>
      <c r="O322" s="2">
        <v>91.755799999999994</v>
      </c>
      <c r="P322" s="2">
        <v>311</v>
      </c>
      <c r="Q322" s="2">
        <v>106.0448</v>
      </c>
      <c r="R322" s="2">
        <v>255</v>
      </c>
      <c r="S322" s="2">
        <v>110.2898</v>
      </c>
      <c r="T322" s="2">
        <v>302</v>
      </c>
      <c r="U322" s="2">
        <v>0.107572</v>
      </c>
      <c r="V322" s="2">
        <v>321</v>
      </c>
      <c r="W322" s="2">
        <v>2006</v>
      </c>
    </row>
    <row r="323" spans="1:23" ht="12.3" x14ac:dyDescent="0.4">
      <c r="A323" s="2" t="s">
        <v>354</v>
      </c>
      <c r="B323" s="2"/>
      <c r="C323" s="2"/>
      <c r="D323" s="2"/>
      <c r="E323" s="2"/>
      <c r="F323" s="2"/>
      <c r="G323" s="2"/>
      <c r="H323" s="2"/>
      <c r="I323" s="2">
        <v>67.662499999999994</v>
      </c>
      <c r="J323" s="2">
        <v>142</v>
      </c>
      <c r="K323" s="2">
        <v>67.210800000000006</v>
      </c>
      <c r="L323" s="2">
        <v>148</v>
      </c>
      <c r="M323" s="2">
        <v>92.500100000000003</v>
      </c>
      <c r="N323" s="2">
        <v>304</v>
      </c>
      <c r="O323" s="2">
        <v>92.937899999999999</v>
      </c>
      <c r="P323" s="2">
        <v>299</v>
      </c>
      <c r="Q323" s="2">
        <v>110.8828</v>
      </c>
      <c r="R323" s="2">
        <v>317</v>
      </c>
      <c r="S323" s="2">
        <v>112.4224</v>
      </c>
      <c r="T323" s="2">
        <v>323</v>
      </c>
      <c r="U323" s="2">
        <v>0.100759</v>
      </c>
      <c r="V323" s="2">
        <v>322</v>
      </c>
      <c r="W323" s="2">
        <v>2006</v>
      </c>
    </row>
    <row r="324" spans="1:23" ht="12.3" x14ac:dyDescent="0.4">
      <c r="A324" s="2" t="s">
        <v>296</v>
      </c>
      <c r="B324" s="2"/>
      <c r="C324" s="2"/>
      <c r="D324" s="2"/>
      <c r="E324" s="2"/>
      <c r="F324" s="2"/>
      <c r="G324" s="2"/>
      <c r="H324" s="2"/>
      <c r="I324" s="2">
        <v>69.112499999999997</v>
      </c>
      <c r="J324" s="2">
        <v>93</v>
      </c>
      <c r="K324" s="2">
        <v>68.167699999999996</v>
      </c>
      <c r="L324" s="2">
        <v>111</v>
      </c>
      <c r="M324" s="2">
        <v>88.119</v>
      </c>
      <c r="N324" s="2">
        <v>326</v>
      </c>
      <c r="O324" s="2">
        <v>85.668199999999999</v>
      </c>
      <c r="P324" s="2">
        <v>331</v>
      </c>
      <c r="Q324" s="2">
        <v>101.1065</v>
      </c>
      <c r="R324" s="2">
        <v>150</v>
      </c>
      <c r="S324" s="2">
        <v>103.7625</v>
      </c>
      <c r="T324" s="2">
        <v>200</v>
      </c>
      <c r="U324" s="2">
        <v>9.9420999999999995E-2</v>
      </c>
      <c r="V324" s="2">
        <v>323</v>
      </c>
      <c r="W324" s="2">
        <v>2006</v>
      </c>
    </row>
    <row r="325" spans="1:23" ht="12.3" x14ac:dyDescent="0.4">
      <c r="A325" s="2" t="s">
        <v>201</v>
      </c>
      <c r="B325" s="2"/>
      <c r="C325" s="2"/>
      <c r="D325" s="2"/>
      <c r="E325" s="2"/>
      <c r="F325" s="2"/>
      <c r="G325" s="2"/>
      <c r="H325" s="2"/>
      <c r="I325" s="2">
        <v>66.453199999999995</v>
      </c>
      <c r="J325" s="2">
        <v>191</v>
      </c>
      <c r="K325" s="2">
        <v>66.259</v>
      </c>
      <c r="L325" s="2">
        <v>200</v>
      </c>
      <c r="M325" s="2">
        <v>90.598299999999995</v>
      </c>
      <c r="N325" s="2">
        <v>318</v>
      </c>
      <c r="O325" s="2">
        <v>92.537599999999998</v>
      </c>
      <c r="P325" s="2">
        <v>302</v>
      </c>
      <c r="Q325" s="2">
        <v>111.84439999999999</v>
      </c>
      <c r="R325" s="2">
        <v>323</v>
      </c>
      <c r="S325" s="2">
        <v>112.1146</v>
      </c>
      <c r="T325" s="2">
        <v>320</v>
      </c>
      <c r="U325" s="2">
        <v>9.9128999999999995E-2</v>
      </c>
      <c r="V325" s="2">
        <v>324</v>
      </c>
      <c r="W325" s="2">
        <v>2006</v>
      </c>
    </row>
    <row r="326" spans="1:23" ht="12.3" x14ac:dyDescent="0.4">
      <c r="A326" s="2" t="s">
        <v>363</v>
      </c>
      <c r="B326" s="2" t="e">
        <v>#N/A</v>
      </c>
      <c r="C326" s="2"/>
      <c r="D326" s="2"/>
      <c r="E326" s="2"/>
      <c r="F326" s="2"/>
      <c r="G326" s="2"/>
      <c r="H326" s="2"/>
      <c r="I326" s="2">
        <v>69.027699999999996</v>
      </c>
      <c r="J326" s="2">
        <v>96</v>
      </c>
      <c r="K326" s="2">
        <v>67.062299999999993</v>
      </c>
      <c r="L326" s="2">
        <v>156</v>
      </c>
      <c r="M326" s="2">
        <v>98.931600000000003</v>
      </c>
      <c r="N326" s="2">
        <v>213</v>
      </c>
      <c r="O326" s="2">
        <v>94.785600000000002</v>
      </c>
      <c r="P326" s="2">
        <v>278</v>
      </c>
      <c r="Q326" s="2">
        <v>110.1071</v>
      </c>
      <c r="R326" s="2">
        <v>313</v>
      </c>
      <c r="S326" s="2">
        <v>115.20869999999999</v>
      </c>
      <c r="T326" s="2">
        <v>331</v>
      </c>
      <c r="U326" s="2">
        <v>9.5869999999999997E-2</v>
      </c>
      <c r="V326" s="2">
        <v>325</v>
      </c>
      <c r="W326" s="2">
        <v>2006</v>
      </c>
    </row>
    <row r="327" spans="1:23" ht="12.3" x14ac:dyDescent="0.4">
      <c r="A327" s="2" t="s">
        <v>179</v>
      </c>
      <c r="B327" s="2"/>
      <c r="C327" s="2"/>
      <c r="D327" s="2"/>
      <c r="E327" s="2"/>
      <c r="F327" s="2"/>
      <c r="G327" s="2"/>
      <c r="H327" s="2"/>
      <c r="I327" s="2">
        <v>66.936499999999995</v>
      </c>
      <c r="J327" s="2">
        <v>169</v>
      </c>
      <c r="K327" s="2">
        <v>66.255099999999999</v>
      </c>
      <c r="L327" s="2">
        <v>202</v>
      </c>
      <c r="M327" s="2">
        <v>92.521199999999993</v>
      </c>
      <c r="N327" s="2">
        <v>303</v>
      </c>
      <c r="O327" s="2">
        <v>91.430199999999999</v>
      </c>
      <c r="P327" s="2">
        <v>316</v>
      </c>
      <c r="Q327" s="2">
        <v>112.1571</v>
      </c>
      <c r="R327" s="2">
        <v>325</v>
      </c>
      <c r="S327" s="2">
        <v>112.0384</v>
      </c>
      <c r="T327" s="2">
        <v>318</v>
      </c>
      <c r="U327" s="2">
        <v>8.8059999999999999E-2</v>
      </c>
      <c r="V327" s="2">
        <v>326</v>
      </c>
      <c r="W327" s="2">
        <v>2006</v>
      </c>
    </row>
    <row r="328" spans="1:23" ht="12.3" x14ac:dyDescent="0.4">
      <c r="A328" s="2" t="s">
        <v>202</v>
      </c>
      <c r="B328" s="2"/>
      <c r="C328" s="2"/>
      <c r="D328" s="2"/>
      <c r="E328" s="2"/>
      <c r="F328" s="2"/>
      <c r="G328" s="2"/>
      <c r="H328" s="2"/>
      <c r="I328" s="2">
        <v>67.698999999999998</v>
      </c>
      <c r="J328" s="2">
        <v>140</v>
      </c>
      <c r="K328" s="2">
        <v>67.607699999999994</v>
      </c>
      <c r="L328" s="2">
        <v>129</v>
      </c>
      <c r="M328" s="2">
        <v>87.208200000000005</v>
      </c>
      <c r="N328" s="2">
        <v>330</v>
      </c>
      <c r="O328" s="2">
        <v>87.954400000000007</v>
      </c>
      <c r="P328" s="2">
        <v>328</v>
      </c>
      <c r="Q328" s="2">
        <v>109.1153</v>
      </c>
      <c r="R328" s="2">
        <v>305</v>
      </c>
      <c r="S328" s="2">
        <v>108.0594</v>
      </c>
      <c r="T328" s="2">
        <v>279</v>
      </c>
      <c r="U328" s="2">
        <v>8.5691000000000003E-2</v>
      </c>
      <c r="V328" s="2">
        <v>327</v>
      </c>
      <c r="W328" s="2">
        <v>2006</v>
      </c>
    </row>
    <row r="329" spans="1:23" ht="12.3" x14ac:dyDescent="0.4">
      <c r="A329" s="2" t="s">
        <v>332</v>
      </c>
      <c r="B329" s="2"/>
      <c r="C329" s="2"/>
      <c r="D329" s="2"/>
      <c r="E329" s="2"/>
      <c r="F329" s="2"/>
      <c r="G329" s="2"/>
      <c r="H329" s="2"/>
      <c r="I329" s="2">
        <v>63.259</v>
      </c>
      <c r="J329" s="2">
        <v>293</v>
      </c>
      <c r="K329" s="2">
        <v>62.709800000000001</v>
      </c>
      <c r="L329" s="2">
        <v>305</v>
      </c>
      <c r="M329" s="2">
        <v>93.392099999999999</v>
      </c>
      <c r="N329" s="2">
        <v>295</v>
      </c>
      <c r="O329" s="2">
        <v>92.005799999999994</v>
      </c>
      <c r="P329" s="2">
        <v>307</v>
      </c>
      <c r="Q329" s="2">
        <v>111.1773</v>
      </c>
      <c r="R329" s="2">
        <v>318</v>
      </c>
      <c r="S329" s="2">
        <v>113.3306</v>
      </c>
      <c r="T329" s="2">
        <v>326</v>
      </c>
      <c r="U329" s="2">
        <v>8.3381999999999998E-2</v>
      </c>
      <c r="V329" s="2">
        <v>328</v>
      </c>
      <c r="W329" s="2">
        <v>2006</v>
      </c>
    </row>
    <row r="330" spans="1:23" ht="12.3" x14ac:dyDescent="0.4">
      <c r="A330" s="2" t="s">
        <v>321</v>
      </c>
      <c r="B330" s="2" t="e">
        <v>#N/A</v>
      </c>
      <c r="C330" s="2"/>
      <c r="D330" s="2"/>
      <c r="E330" s="2"/>
      <c r="F330" s="2"/>
      <c r="G330" s="2"/>
      <c r="H330" s="2"/>
      <c r="I330" s="2">
        <v>71.052899999999994</v>
      </c>
      <c r="J330" s="2">
        <v>46</v>
      </c>
      <c r="K330" s="2">
        <v>71.6721</v>
      </c>
      <c r="L330" s="2">
        <v>28</v>
      </c>
      <c r="M330" s="2">
        <v>90.464600000000004</v>
      </c>
      <c r="N330" s="2">
        <v>320</v>
      </c>
      <c r="O330" s="2">
        <v>90.397499999999994</v>
      </c>
      <c r="P330" s="2">
        <v>325</v>
      </c>
      <c r="Q330" s="2">
        <v>103.7135</v>
      </c>
      <c r="R330" s="2">
        <v>214</v>
      </c>
      <c r="S330" s="2">
        <v>111.59010000000001</v>
      </c>
      <c r="T330" s="2">
        <v>314</v>
      </c>
      <c r="U330" s="2">
        <v>8.1503999999999993E-2</v>
      </c>
      <c r="V330" s="2">
        <v>329</v>
      </c>
      <c r="W330" s="2">
        <v>2006</v>
      </c>
    </row>
    <row r="331" spans="1:23" ht="12.3" x14ac:dyDescent="0.4">
      <c r="A331" s="2" t="s">
        <v>214</v>
      </c>
      <c r="B331" s="2" t="e">
        <v>#N/A</v>
      </c>
      <c r="C331" s="2"/>
      <c r="D331" s="2"/>
      <c r="E331" s="2"/>
      <c r="F331" s="2"/>
      <c r="G331" s="2"/>
      <c r="H331" s="2"/>
      <c r="I331" s="2">
        <v>75.534499999999994</v>
      </c>
      <c r="J331" s="2">
        <v>4</v>
      </c>
      <c r="K331" s="2">
        <v>73.441000000000003</v>
      </c>
      <c r="L331" s="2">
        <v>8</v>
      </c>
      <c r="M331" s="2">
        <v>95.969099999999997</v>
      </c>
      <c r="N331" s="2">
        <v>264</v>
      </c>
      <c r="O331" s="2">
        <v>93.395200000000003</v>
      </c>
      <c r="P331" s="2">
        <v>293</v>
      </c>
      <c r="Q331" s="2">
        <v>112.7976</v>
      </c>
      <c r="R331" s="2">
        <v>330</v>
      </c>
      <c r="S331" s="2">
        <v>115.6681</v>
      </c>
      <c r="T331" s="2">
        <v>333</v>
      </c>
      <c r="U331" s="2">
        <v>7.8733999999999998E-2</v>
      </c>
      <c r="V331" s="2">
        <v>330</v>
      </c>
      <c r="W331" s="2">
        <v>2006</v>
      </c>
    </row>
    <row r="332" spans="1:23" ht="12.3" x14ac:dyDescent="0.4">
      <c r="A332" s="2" t="s">
        <v>314</v>
      </c>
      <c r="B332" s="2" t="e">
        <v>#N/A</v>
      </c>
      <c r="C332" s="2"/>
      <c r="D332" s="2"/>
      <c r="E332" s="2"/>
      <c r="F332" s="2"/>
      <c r="G332" s="2"/>
      <c r="H332" s="2"/>
      <c r="I332" s="2">
        <v>61.744999999999997</v>
      </c>
      <c r="J332" s="2">
        <v>317</v>
      </c>
      <c r="K332" s="2">
        <v>62.262900000000002</v>
      </c>
      <c r="L332" s="2">
        <v>312</v>
      </c>
      <c r="M332" s="2">
        <v>86.474199999999996</v>
      </c>
      <c r="N332" s="2">
        <v>332</v>
      </c>
      <c r="O332" s="2">
        <v>87.752099999999999</v>
      </c>
      <c r="P332" s="2">
        <v>329</v>
      </c>
      <c r="Q332" s="2">
        <v>109.6969</v>
      </c>
      <c r="R332" s="2">
        <v>308</v>
      </c>
      <c r="S332" s="2">
        <v>113.2025</v>
      </c>
      <c r="T332" s="2">
        <v>324</v>
      </c>
      <c r="U332" s="2">
        <v>5.0756999999999997E-2</v>
      </c>
      <c r="V332" s="2">
        <v>331</v>
      </c>
      <c r="W332" s="2">
        <v>2006</v>
      </c>
    </row>
    <row r="333" spans="1:23" ht="12.3" x14ac:dyDescent="0.4">
      <c r="A333" s="2" t="s">
        <v>342</v>
      </c>
      <c r="B333" s="2" t="e">
        <v>#N/A</v>
      </c>
      <c r="C333" s="2"/>
      <c r="D333" s="2"/>
      <c r="E333" s="2"/>
      <c r="F333" s="2"/>
      <c r="G333" s="2"/>
      <c r="H333" s="2"/>
      <c r="I333" s="2">
        <v>74.848600000000005</v>
      </c>
      <c r="J333" s="2">
        <v>6</v>
      </c>
      <c r="K333" s="2">
        <v>72.961799999999997</v>
      </c>
      <c r="L333" s="2">
        <v>14</v>
      </c>
      <c r="M333" s="2">
        <v>87.332800000000006</v>
      </c>
      <c r="N333" s="2">
        <v>329</v>
      </c>
      <c r="O333" s="2">
        <v>87.095200000000006</v>
      </c>
      <c r="P333" s="2">
        <v>330</v>
      </c>
      <c r="Q333" s="2">
        <v>107.8753</v>
      </c>
      <c r="R333" s="2">
        <v>295</v>
      </c>
      <c r="S333" s="2">
        <v>114.3194</v>
      </c>
      <c r="T333" s="2">
        <v>330</v>
      </c>
      <c r="U333" s="2">
        <v>4.1968999999999999E-2</v>
      </c>
      <c r="V333" s="2">
        <v>332</v>
      </c>
      <c r="W333" s="2">
        <v>2006</v>
      </c>
    </row>
    <row r="334" spans="1:23" ht="12.3" x14ac:dyDescent="0.4">
      <c r="A334" s="2" t="s">
        <v>345</v>
      </c>
      <c r="B334" s="2" t="e">
        <v>#N/A</v>
      </c>
      <c r="C334" s="2"/>
      <c r="D334" s="2"/>
      <c r="E334" s="2"/>
      <c r="F334" s="2"/>
      <c r="G334" s="2"/>
      <c r="H334" s="2"/>
      <c r="I334" s="2">
        <v>68.516099999999994</v>
      </c>
      <c r="J334" s="2">
        <v>112</v>
      </c>
      <c r="K334" s="2">
        <v>66.871200000000002</v>
      </c>
      <c r="L334" s="2">
        <v>164</v>
      </c>
      <c r="M334" s="2">
        <v>78.884399999999999</v>
      </c>
      <c r="N334" s="2">
        <v>333</v>
      </c>
      <c r="O334" s="2">
        <v>81.232100000000003</v>
      </c>
      <c r="P334" s="2">
        <v>334</v>
      </c>
      <c r="Q334" s="2">
        <v>106.6652</v>
      </c>
      <c r="R334" s="2">
        <v>269</v>
      </c>
      <c r="S334" s="2">
        <v>108.68170000000001</v>
      </c>
      <c r="T334" s="2">
        <v>286</v>
      </c>
      <c r="U334" s="2">
        <v>3.3966999999999997E-2</v>
      </c>
      <c r="V334" s="2">
        <v>333</v>
      </c>
      <c r="W334" s="2">
        <v>2006</v>
      </c>
    </row>
    <row r="335" spans="1:23" ht="12.3" x14ac:dyDescent="0.4">
      <c r="A335" s="2" t="s">
        <v>352</v>
      </c>
      <c r="B335" s="2" t="e">
        <v>#N/A</v>
      </c>
      <c r="C335" s="2"/>
      <c r="D335" s="2"/>
      <c r="E335" s="2"/>
      <c r="F335" s="2"/>
      <c r="G335" s="2"/>
      <c r="H335" s="2"/>
      <c r="I335" s="2">
        <v>71.019400000000005</v>
      </c>
      <c r="J335" s="2">
        <v>47</v>
      </c>
      <c r="K335" s="2">
        <v>69.875900000000001</v>
      </c>
      <c r="L335" s="2">
        <v>63</v>
      </c>
      <c r="M335" s="2">
        <v>77.701999999999998</v>
      </c>
      <c r="N335" s="2">
        <v>334</v>
      </c>
      <c r="O335" s="2">
        <v>82.358900000000006</v>
      </c>
      <c r="P335" s="2">
        <v>333</v>
      </c>
      <c r="Q335" s="2">
        <v>116.6968</v>
      </c>
      <c r="R335" s="2">
        <v>334</v>
      </c>
      <c r="S335" s="2">
        <v>116.752</v>
      </c>
      <c r="T335" s="2">
        <v>334</v>
      </c>
      <c r="U335" s="2">
        <v>1.7756000000000001E-2</v>
      </c>
      <c r="V335" s="2">
        <v>334</v>
      </c>
      <c r="W335" s="2">
        <v>2006</v>
      </c>
    </row>
  </sheetData>
  <autoFilter ref="A1:V335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W337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168</v>
      </c>
      <c r="B2" s="2">
        <v>1</v>
      </c>
      <c r="C2" s="3" t="s">
        <v>33</v>
      </c>
      <c r="D2" s="3" t="s">
        <v>33</v>
      </c>
      <c r="E2" s="3" t="s">
        <v>33</v>
      </c>
      <c r="F2" s="2"/>
      <c r="G2" s="2"/>
      <c r="H2" s="2"/>
      <c r="I2" s="2">
        <v>73.9268</v>
      </c>
      <c r="J2" s="2">
        <v>10</v>
      </c>
      <c r="K2" s="2">
        <v>72.983199999999997</v>
      </c>
      <c r="L2" s="2">
        <v>9</v>
      </c>
      <c r="M2" s="2">
        <v>116.3077</v>
      </c>
      <c r="N2" s="2">
        <v>2</v>
      </c>
      <c r="O2" s="2">
        <v>118.08580000000001</v>
      </c>
      <c r="P2" s="2">
        <v>4</v>
      </c>
      <c r="Q2" s="2">
        <v>91.968299999999999</v>
      </c>
      <c r="R2" s="2">
        <v>10</v>
      </c>
      <c r="S2" s="2">
        <v>90.4833</v>
      </c>
      <c r="T2" s="2">
        <v>8</v>
      </c>
      <c r="U2" s="2">
        <v>0.955291</v>
      </c>
      <c r="V2" s="2">
        <v>1</v>
      </c>
      <c r="W2" s="2">
        <v>2007</v>
      </c>
    </row>
    <row r="3" spans="1:23" ht="15.75" customHeight="1" x14ac:dyDescent="0.4">
      <c r="A3" s="2" t="s">
        <v>21</v>
      </c>
      <c r="B3" s="2">
        <v>1</v>
      </c>
      <c r="C3" s="3" t="s">
        <v>33</v>
      </c>
      <c r="D3" s="3" t="s">
        <v>33</v>
      </c>
      <c r="E3" s="3" t="s">
        <v>33</v>
      </c>
      <c r="F3" s="3" t="s">
        <v>33</v>
      </c>
      <c r="G3" s="3" t="s">
        <v>33</v>
      </c>
      <c r="H3" s="2"/>
      <c r="I3" s="2">
        <v>65.146199999999993</v>
      </c>
      <c r="J3" s="2">
        <v>233</v>
      </c>
      <c r="K3" s="2">
        <v>65.392200000000003</v>
      </c>
      <c r="L3" s="2">
        <v>218</v>
      </c>
      <c r="M3" s="2">
        <v>113.20829999999999</v>
      </c>
      <c r="N3" s="2">
        <v>14</v>
      </c>
      <c r="O3" s="2">
        <v>116.5324</v>
      </c>
      <c r="P3" s="2">
        <v>7</v>
      </c>
      <c r="Q3" s="2">
        <v>92.444299999999998</v>
      </c>
      <c r="R3" s="2">
        <v>13</v>
      </c>
      <c r="S3" s="2">
        <v>89.683000000000007</v>
      </c>
      <c r="T3" s="2">
        <v>5</v>
      </c>
      <c r="U3" s="2">
        <v>0.95310099999999998</v>
      </c>
      <c r="V3" s="2">
        <v>2</v>
      </c>
      <c r="W3" s="2">
        <v>2007</v>
      </c>
    </row>
    <row r="4" spans="1:23" ht="15.75" customHeight="1" x14ac:dyDescent="0.4">
      <c r="A4" s="2" t="s">
        <v>35</v>
      </c>
      <c r="B4" s="2">
        <v>1</v>
      </c>
      <c r="C4" s="3" t="s">
        <v>33</v>
      </c>
      <c r="D4" s="3" t="s">
        <v>33</v>
      </c>
      <c r="E4" s="3" t="s">
        <v>33</v>
      </c>
      <c r="F4" s="2"/>
      <c r="G4" s="2"/>
      <c r="H4" s="2"/>
      <c r="I4" s="2">
        <v>69.486400000000003</v>
      </c>
      <c r="J4" s="2">
        <v>79</v>
      </c>
      <c r="K4" s="2">
        <v>69.596500000000006</v>
      </c>
      <c r="L4" s="2">
        <v>65</v>
      </c>
      <c r="M4" s="2">
        <v>111.56480000000001</v>
      </c>
      <c r="N4" s="2">
        <v>25</v>
      </c>
      <c r="O4" s="2">
        <v>112.3509</v>
      </c>
      <c r="P4" s="2">
        <v>30</v>
      </c>
      <c r="Q4" s="2">
        <v>86.624600000000001</v>
      </c>
      <c r="R4" s="2">
        <v>1</v>
      </c>
      <c r="S4" s="2">
        <v>87.437799999999996</v>
      </c>
      <c r="T4" s="2">
        <v>1</v>
      </c>
      <c r="U4" s="2">
        <v>0.94700200000000001</v>
      </c>
      <c r="V4" s="2">
        <v>3</v>
      </c>
      <c r="W4" s="2">
        <v>2007</v>
      </c>
    </row>
    <row r="5" spans="1:23" ht="15.75" customHeight="1" x14ac:dyDescent="0.4">
      <c r="A5" s="2" t="s">
        <v>62</v>
      </c>
      <c r="B5" s="2">
        <v>2</v>
      </c>
      <c r="C5" s="3" t="s">
        <v>33</v>
      </c>
      <c r="D5" s="3" t="s">
        <v>33</v>
      </c>
      <c r="E5" s="3" t="s">
        <v>33</v>
      </c>
      <c r="F5" s="3" t="s">
        <v>33</v>
      </c>
      <c r="G5" s="2"/>
      <c r="H5" s="2"/>
      <c r="I5" s="2">
        <v>59.715200000000003</v>
      </c>
      <c r="J5" s="2">
        <v>328</v>
      </c>
      <c r="K5" s="2">
        <v>60.222299999999997</v>
      </c>
      <c r="L5" s="2">
        <v>327</v>
      </c>
      <c r="M5" s="2">
        <v>115.3203</v>
      </c>
      <c r="N5" s="2">
        <v>6</v>
      </c>
      <c r="O5" s="2">
        <v>118.5962</v>
      </c>
      <c r="P5" s="2">
        <v>2</v>
      </c>
      <c r="Q5" s="2">
        <v>95.349400000000003</v>
      </c>
      <c r="R5" s="2">
        <v>37</v>
      </c>
      <c r="S5" s="2">
        <v>92.455600000000004</v>
      </c>
      <c r="T5" s="2">
        <v>14</v>
      </c>
      <c r="U5" s="2">
        <v>0.94601000000000002</v>
      </c>
      <c r="V5" s="2">
        <v>4</v>
      </c>
      <c r="W5" s="2">
        <v>2007</v>
      </c>
    </row>
    <row r="6" spans="1:23" ht="15.75" customHeight="1" x14ac:dyDescent="0.4">
      <c r="A6" s="2" t="s">
        <v>37</v>
      </c>
      <c r="B6" s="2">
        <v>1</v>
      </c>
      <c r="C6" s="3" t="s">
        <v>33</v>
      </c>
      <c r="D6" s="3" t="s">
        <v>33</v>
      </c>
      <c r="E6" s="3" t="s">
        <v>33</v>
      </c>
      <c r="F6" s="3" t="s">
        <v>33</v>
      </c>
      <c r="G6" s="3" t="s">
        <v>33</v>
      </c>
      <c r="H6" s="3" t="s">
        <v>33</v>
      </c>
      <c r="I6" s="2">
        <v>67.157700000000006</v>
      </c>
      <c r="J6" s="2">
        <v>155</v>
      </c>
      <c r="K6" s="2">
        <v>66.382000000000005</v>
      </c>
      <c r="L6" s="2">
        <v>178</v>
      </c>
      <c r="M6" s="2">
        <v>117.7637</v>
      </c>
      <c r="N6" s="2">
        <v>1</v>
      </c>
      <c r="O6" s="2">
        <v>118.38339999999999</v>
      </c>
      <c r="P6" s="2">
        <v>3</v>
      </c>
      <c r="Q6" s="2">
        <v>91.511300000000006</v>
      </c>
      <c r="R6" s="2">
        <v>7</v>
      </c>
      <c r="S6" s="2">
        <v>92.692499999999995</v>
      </c>
      <c r="T6" s="2">
        <v>18</v>
      </c>
      <c r="U6" s="2">
        <v>0.94339399999999995</v>
      </c>
      <c r="V6" s="2">
        <v>5</v>
      </c>
      <c r="W6" s="2">
        <v>2007</v>
      </c>
    </row>
    <row r="7" spans="1:23" ht="15.75" customHeight="1" x14ac:dyDescent="0.4">
      <c r="A7" s="2" t="s">
        <v>248</v>
      </c>
      <c r="B7" s="2">
        <v>3</v>
      </c>
      <c r="C7" s="3" t="s">
        <v>33</v>
      </c>
      <c r="D7" s="3" t="s">
        <v>33</v>
      </c>
      <c r="E7" s="2"/>
      <c r="F7" s="2"/>
      <c r="G7" s="2"/>
      <c r="H7" s="2"/>
      <c r="I7" s="2">
        <v>65.730599999999995</v>
      </c>
      <c r="J7" s="2">
        <v>214</v>
      </c>
      <c r="K7" s="2">
        <v>65.616500000000002</v>
      </c>
      <c r="L7" s="2">
        <v>209</v>
      </c>
      <c r="M7" s="2">
        <v>114.7877</v>
      </c>
      <c r="N7" s="2">
        <v>8</v>
      </c>
      <c r="O7" s="2">
        <v>116.82429999999999</v>
      </c>
      <c r="P7" s="2">
        <v>6</v>
      </c>
      <c r="Q7" s="2">
        <v>89.453299999999999</v>
      </c>
      <c r="R7" s="2">
        <v>3</v>
      </c>
      <c r="S7" s="2">
        <v>92.521799999999999</v>
      </c>
      <c r="T7" s="2">
        <v>15</v>
      </c>
      <c r="U7" s="2">
        <v>0.93596199999999996</v>
      </c>
      <c r="V7" s="2">
        <v>6</v>
      </c>
      <c r="W7" s="2">
        <v>2007</v>
      </c>
    </row>
    <row r="8" spans="1:23" ht="15.75" customHeight="1" x14ac:dyDescent="0.4">
      <c r="A8" s="2" t="s">
        <v>76</v>
      </c>
      <c r="B8" s="2">
        <v>2</v>
      </c>
      <c r="C8" s="2"/>
      <c r="D8" s="2"/>
      <c r="E8" s="2"/>
      <c r="F8" s="2"/>
      <c r="G8" s="2"/>
      <c r="H8" s="2"/>
      <c r="I8" s="2">
        <v>63.119500000000002</v>
      </c>
      <c r="J8" s="2">
        <v>292</v>
      </c>
      <c r="K8" s="2">
        <v>64.251900000000006</v>
      </c>
      <c r="L8" s="2">
        <v>268</v>
      </c>
      <c r="M8" s="2">
        <v>110.9032</v>
      </c>
      <c r="N8" s="2">
        <v>31</v>
      </c>
      <c r="O8" s="2">
        <v>112.63039999999999</v>
      </c>
      <c r="P8" s="2">
        <v>29</v>
      </c>
      <c r="Q8" s="2">
        <v>90.682900000000004</v>
      </c>
      <c r="R8" s="2">
        <v>5</v>
      </c>
      <c r="S8" s="2">
        <v>89.367800000000003</v>
      </c>
      <c r="T8" s="2">
        <v>3</v>
      </c>
      <c r="U8" s="2">
        <v>0.93465799999999999</v>
      </c>
      <c r="V8" s="2">
        <v>7</v>
      </c>
      <c r="W8" s="2">
        <v>2007</v>
      </c>
    </row>
    <row r="9" spans="1:23" ht="15.75" customHeight="1" x14ac:dyDescent="0.4">
      <c r="A9" s="2" t="s">
        <v>71</v>
      </c>
      <c r="B9" s="2">
        <v>2</v>
      </c>
      <c r="C9" s="3" t="s">
        <v>33</v>
      </c>
      <c r="D9" s="3" t="s">
        <v>33</v>
      </c>
      <c r="E9" s="3" t="s">
        <v>33</v>
      </c>
      <c r="F9" s="2"/>
      <c r="G9" s="2"/>
      <c r="H9" s="2"/>
      <c r="I9" s="2">
        <v>70.782700000000006</v>
      </c>
      <c r="J9" s="2">
        <v>49</v>
      </c>
      <c r="K9" s="2">
        <v>69.438699999999997</v>
      </c>
      <c r="L9" s="2">
        <v>69</v>
      </c>
      <c r="M9" s="2">
        <v>112.5087</v>
      </c>
      <c r="N9" s="2">
        <v>18</v>
      </c>
      <c r="O9" s="2">
        <v>112.6549</v>
      </c>
      <c r="P9" s="2">
        <v>28</v>
      </c>
      <c r="Q9" s="2">
        <v>88.045299999999997</v>
      </c>
      <c r="R9" s="2">
        <v>2</v>
      </c>
      <c r="S9" s="2">
        <v>90.278400000000005</v>
      </c>
      <c r="T9" s="2">
        <v>6</v>
      </c>
      <c r="U9" s="2">
        <v>0.92733500000000002</v>
      </c>
      <c r="V9" s="2">
        <v>8</v>
      </c>
      <c r="W9" s="2">
        <v>2007</v>
      </c>
    </row>
    <row r="10" spans="1:23" ht="15.75" customHeight="1" x14ac:dyDescent="0.4">
      <c r="A10" s="2" t="s">
        <v>65</v>
      </c>
      <c r="B10" s="2">
        <v>2</v>
      </c>
      <c r="C10" s="3" t="s">
        <v>33</v>
      </c>
      <c r="D10" s="3" t="s">
        <v>33</v>
      </c>
      <c r="E10" s="3" t="s">
        <v>33</v>
      </c>
      <c r="F10" s="3" t="s">
        <v>33</v>
      </c>
      <c r="G10" s="2"/>
      <c r="H10" s="2"/>
      <c r="I10" s="2">
        <v>64.4495</v>
      </c>
      <c r="J10" s="2">
        <v>258</v>
      </c>
      <c r="K10" s="2">
        <v>64.299800000000005</v>
      </c>
      <c r="L10" s="2">
        <v>266</v>
      </c>
      <c r="M10" s="2">
        <v>111.1692</v>
      </c>
      <c r="N10" s="2">
        <v>29</v>
      </c>
      <c r="O10" s="2">
        <v>113.0406</v>
      </c>
      <c r="P10" s="2">
        <v>25</v>
      </c>
      <c r="Q10" s="2">
        <v>93.773099999999999</v>
      </c>
      <c r="R10" s="2">
        <v>19</v>
      </c>
      <c r="S10" s="2">
        <v>91.944000000000003</v>
      </c>
      <c r="T10" s="2">
        <v>13</v>
      </c>
      <c r="U10" s="2">
        <v>0.91494200000000003</v>
      </c>
      <c r="V10" s="2">
        <v>9</v>
      </c>
      <c r="W10" s="2">
        <v>2007</v>
      </c>
    </row>
    <row r="11" spans="1:23" ht="15.75" customHeight="1" x14ac:dyDescent="0.4">
      <c r="A11" s="2" t="s">
        <v>36</v>
      </c>
      <c r="B11" s="2">
        <v>4</v>
      </c>
      <c r="C11" s="3" t="s">
        <v>33</v>
      </c>
      <c r="D11" s="2"/>
      <c r="E11" s="2"/>
      <c r="F11" s="2"/>
      <c r="G11" s="2"/>
      <c r="H11" s="2"/>
      <c r="I11" s="2">
        <v>73.519400000000005</v>
      </c>
      <c r="J11" s="2">
        <v>12</v>
      </c>
      <c r="K11" s="2">
        <v>72.929100000000005</v>
      </c>
      <c r="L11" s="2">
        <v>10</v>
      </c>
      <c r="M11" s="2">
        <v>107.89239999999999</v>
      </c>
      <c r="N11" s="2">
        <v>65</v>
      </c>
      <c r="O11" s="2">
        <v>109.9813</v>
      </c>
      <c r="P11" s="2">
        <v>54</v>
      </c>
      <c r="Q11" s="2">
        <v>91.718100000000007</v>
      </c>
      <c r="R11" s="2">
        <v>9</v>
      </c>
      <c r="S11" s="2">
        <v>90.312299999999993</v>
      </c>
      <c r="T11" s="2">
        <v>7</v>
      </c>
      <c r="U11" s="2">
        <v>0.90601500000000001</v>
      </c>
      <c r="V11" s="2">
        <v>10</v>
      </c>
      <c r="W11" s="2">
        <v>2007</v>
      </c>
    </row>
    <row r="12" spans="1:23" ht="15.75" customHeight="1" x14ac:dyDescent="0.4">
      <c r="A12" s="2" t="s">
        <v>32</v>
      </c>
      <c r="B12" s="2">
        <v>6</v>
      </c>
      <c r="C12" s="2"/>
      <c r="D12" s="2"/>
      <c r="E12" s="2"/>
      <c r="F12" s="2"/>
      <c r="G12" s="2"/>
      <c r="H12" s="2"/>
      <c r="I12" s="2">
        <v>65.953400000000002</v>
      </c>
      <c r="J12" s="2">
        <v>208</v>
      </c>
      <c r="K12" s="2">
        <v>65.564499999999995</v>
      </c>
      <c r="L12" s="2">
        <v>211</v>
      </c>
      <c r="M12" s="2">
        <v>105.5341</v>
      </c>
      <c r="N12" s="2">
        <v>108</v>
      </c>
      <c r="O12" s="2">
        <v>110.2039</v>
      </c>
      <c r="P12" s="2">
        <v>49</v>
      </c>
      <c r="Q12" s="2">
        <v>92.008700000000005</v>
      </c>
      <c r="R12" s="2">
        <v>11</v>
      </c>
      <c r="S12" s="2">
        <v>90.5274</v>
      </c>
      <c r="T12" s="2">
        <v>9</v>
      </c>
      <c r="U12" s="2">
        <v>0.90566500000000005</v>
      </c>
      <c r="V12" s="2">
        <v>11</v>
      </c>
      <c r="W12" s="2">
        <v>2007</v>
      </c>
    </row>
    <row r="13" spans="1:23" ht="15.75" customHeight="1" x14ac:dyDescent="0.4">
      <c r="A13" s="2" t="s">
        <v>46</v>
      </c>
      <c r="B13" s="2">
        <v>3</v>
      </c>
      <c r="C13" s="3" t="s">
        <v>33</v>
      </c>
      <c r="D13" s="3" t="s">
        <v>33</v>
      </c>
      <c r="E13" s="2"/>
      <c r="F13" s="2"/>
      <c r="G13" s="2"/>
      <c r="H13" s="2"/>
      <c r="I13" s="2">
        <v>62.7363</v>
      </c>
      <c r="J13" s="2">
        <v>296</v>
      </c>
      <c r="K13" s="2">
        <v>62.915999999999997</v>
      </c>
      <c r="L13" s="2">
        <v>300</v>
      </c>
      <c r="M13" s="2">
        <v>112.2623</v>
      </c>
      <c r="N13" s="2">
        <v>19</v>
      </c>
      <c r="O13" s="2">
        <v>115.1422</v>
      </c>
      <c r="P13" s="2">
        <v>12</v>
      </c>
      <c r="Q13" s="2">
        <v>98.346800000000002</v>
      </c>
      <c r="R13" s="2">
        <v>79</v>
      </c>
      <c r="S13" s="2">
        <v>94.6952</v>
      </c>
      <c r="T13" s="2">
        <v>35</v>
      </c>
      <c r="U13" s="2">
        <v>0.90450299999999995</v>
      </c>
      <c r="V13" s="2">
        <v>12</v>
      </c>
      <c r="W13" s="2">
        <v>2007</v>
      </c>
    </row>
    <row r="14" spans="1:23" ht="15.75" customHeight="1" x14ac:dyDescent="0.4">
      <c r="A14" s="2" t="s">
        <v>86</v>
      </c>
      <c r="B14" s="2">
        <v>6</v>
      </c>
      <c r="C14" s="3" t="s">
        <v>33</v>
      </c>
      <c r="D14" s="2"/>
      <c r="E14" s="2"/>
      <c r="F14" s="2"/>
      <c r="G14" s="2"/>
      <c r="H14" s="2"/>
      <c r="I14" s="2">
        <v>65.959100000000007</v>
      </c>
      <c r="J14" s="2">
        <v>207</v>
      </c>
      <c r="K14" s="2">
        <v>64.927199999999999</v>
      </c>
      <c r="L14" s="2">
        <v>238</v>
      </c>
      <c r="M14" s="2">
        <v>107.075</v>
      </c>
      <c r="N14" s="2">
        <v>80</v>
      </c>
      <c r="O14" s="2">
        <v>111.0924</v>
      </c>
      <c r="P14" s="2">
        <v>41</v>
      </c>
      <c r="Q14" s="2">
        <v>95.086799999999997</v>
      </c>
      <c r="R14" s="2">
        <v>33</v>
      </c>
      <c r="S14" s="2">
        <v>92.724599999999995</v>
      </c>
      <c r="T14" s="2">
        <v>19</v>
      </c>
      <c r="U14" s="2">
        <v>0.88878500000000005</v>
      </c>
      <c r="V14" s="2">
        <v>13</v>
      </c>
      <c r="W14" s="2">
        <v>2007</v>
      </c>
    </row>
    <row r="15" spans="1:23" ht="15.75" customHeight="1" x14ac:dyDescent="0.4">
      <c r="A15" s="2" t="s">
        <v>45</v>
      </c>
      <c r="B15" s="2">
        <v>8</v>
      </c>
      <c r="C15" s="3" t="s">
        <v>33</v>
      </c>
      <c r="D15" s="2"/>
      <c r="E15" s="2"/>
      <c r="F15" s="2"/>
      <c r="G15" s="2"/>
      <c r="H15" s="2"/>
      <c r="I15" s="2">
        <v>67.864000000000004</v>
      </c>
      <c r="J15" s="2">
        <v>119</v>
      </c>
      <c r="K15" s="2">
        <v>67.465299999999999</v>
      </c>
      <c r="L15" s="2">
        <v>129</v>
      </c>
      <c r="M15" s="2">
        <v>107.6178</v>
      </c>
      <c r="N15" s="2">
        <v>69</v>
      </c>
      <c r="O15" s="2">
        <v>113.31399999999999</v>
      </c>
      <c r="P15" s="2">
        <v>21</v>
      </c>
      <c r="Q15" s="2">
        <v>98.558499999999995</v>
      </c>
      <c r="R15" s="2">
        <v>85</v>
      </c>
      <c r="S15" s="2">
        <v>94.742999999999995</v>
      </c>
      <c r="T15" s="2">
        <v>37</v>
      </c>
      <c r="U15" s="2">
        <v>0.88679799999999998</v>
      </c>
      <c r="V15" s="2">
        <v>14</v>
      </c>
      <c r="W15" s="2">
        <v>2007</v>
      </c>
    </row>
    <row r="16" spans="1:23" ht="15.75" customHeight="1" x14ac:dyDescent="0.4">
      <c r="A16" s="2" t="s">
        <v>67</v>
      </c>
      <c r="B16" s="2">
        <v>4</v>
      </c>
      <c r="C16" s="3" t="s">
        <v>33</v>
      </c>
      <c r="D16" s="2"/>
      <c r="E16" s="2"/>
      <c r="F16" s="2"/>
      <c r="G16" s="2"/>
      <c r="H16" s="2"/>
      <c r="I16" s="2">
        <v>69.614900000000006</v>
      </c>
      <c r="J16" s="2">
        <v>73</v>
      </c>
      <c r="K16" s="2">
        <v>68.4709</v>
      </c>
      <c r="L16" s="2">
        <v>99</v>
      </c>
      <c r="M16" s="2">
        <v>114.5988</v>
      </c>
      <c r="N16" s="2">
        <v>9</v>
      </c>
      <c r="O16" s="2">
        <v>118.97369999999999</v>
      </c>
      <c r="P16" s="2">
        <v>1</v>
      </c>
      <c r="Q16" s="2">
        <v>100.2649</v>
      </c>
      <c r="R16" s="2">
        <v>122</v>
      </c>
      <c r="S16" s="2">
        <v>99.514600000000002</v>
      </c>
      <c r="T16" s="2">
        <v>99</v>
      </c>
      <c r="U16" s="2">
        <v>0.88633899999999999</v>
      </c>
      <c r="V16" s="2">
        <v>15</v>
      </c>
      <c r="W16" s="2">
        <v>2007</v>
      </c>
    </row>
    <row r="17" spans="1:23" ht="15.75" customHeight="1" x14ac:dyDescent="0.4">
      <c r="A17" s="2" t="s">
        <v>82</v>
      </c>
      <c r="B17" s="2">
        <v>4</v>
      </c>
      <c r="C17" s="3" t="s">
        <v>33</v>
      </c>
      <c r="D17" s="3" t="s">
        <v>33</v>
      </c>
      <c r="E17" s="2"/>
      <c r="F17" s="2"/>
      <c r="G17" s="2"/>
      <c r="H17" s="2"/>
      <c r="I17" s="2">
        <v>60.414900000000003</v>
      </c>
      <c r="J17" s="2">
        <v>325</v>
      </c>
      <c r="K17" s="2">
        <v>61.757599999999996</v>
      </c>
      <c r="L17" s="2">
        <v>315</v>
      </c>
      <c r="M17" s="2">
        <v>104.3302</v>
      </c>
      <c r="N17" s="2">
        <v>133</v>
      </c>
      <c r="O17" s="2">
        <v>106.803</v>
      </c>
      <c r="P17" s="2">
        <v>92</v>
      </c>
      <c r="Q17" s="2">
        <v>94.465500000000006</v>
      </c>
      <c r="R17" s="2">
        <v>24</v>
      </c>
      <c r="S17" s="2">
        <v>89.369500000000002</v>
      </c>
      <c r="T17" s="2">
        <v>4</v>
      </c>
      <c r="U17" s="2">
        <v>0.885884</v>
      </c>
      <c r="V17" s="2">
        <v>16</v>
      </c>
      <c r="W17" s="2">
        <v>2007</v>
      </c>
    </row>
    <row r="18" spans="1:23" ht="15.75" customHeight="1" x14ac:dyDescent="0.4">
      <c r="A18" s="2" t="s">
        <v>78</v>
      </c>
      <c r="B18" s="2">
        <v>9</v>
      </c>
      <c r="C18" s="2"/>
      <c r="D18" s="2"/>
      <c r="E18" s="2"/>
      <c r="F18" s="2"/>
      <c r="G18" s="2"/>
      <c r="H18" s="2"/>
      <c r="I18" s="2">
        <v>66.653999999999996</v>
      </c>
      <c r="J18" s="2">
        <v>176</v>
      </c>
      <c r="K18" s="2">
        <v>66.816299999999998</v>
      </c>
      <c r="L18" s="2">
        <v>164</v>
      </c>
      <c r="M18" s="2">
        <v>107.80840000000001</v>
      </c>
      <c r="N18" s="2">
        <v>66</v>
      </c>
      <c r="O18" s="2">
        <v>111.0917</v>
      </c>
      <c r="P18" s="2">
        <v>42</v>
      </c>
      <c r="Q18" s="2">
        <v>96.927000000000007</v>
      </c>
      <c r="R18" s="2">
        <v>59</v>
      </c>
      <c r="S18" s="2">
        <v>93.025800000000004</v>
      </c>
      <c r="T18" s="2">
        <v>21</v>
      </c>
      <c r="U18" s="2">
        <v>0.88503600000000004</v>
      </c>
      <c r="V18" s="2">
        <v>17</v>
      </c>
      <c r="W18" s="2">
        <v>2007</v>
      </c>
    </row>
    <row r="19" spans="1:23" ht="15.75" customHeight="1" x14ac:dyDescent="0.4">
      <c r="A19" s="2" t="s">
        <v>56</v>
      </c>
      <c r="B19" s="2">
        <v>6</v>
      </c>
      <c r="C19" s="2"/>
      <c r="D19" s="2"/>
      <c r="E19" s="2"/>
      <c r="F19" s="2"/>
      <c r="G19" s="2"/>
      <c r="H19" s="2"/>
      <c r="I19" s="2">
        <v>70.406000000000006</v>
      </c>
      <c r="J19" s="2">
        <v>59</v>
      </c>
      <c r="K19" s="2">
        <v>71.079700000000003</v>
      </c>
      <c r="L19" s="2">
        <v>34</v>
      </c>
      <c r="M19" s="2">
        <v>115.5459</v>
      </c>
      <c r="N19" s="2">
        <v>4</v>
      </c>
      <c r="O19" s="2">
        <v>117.3749</v>
      </c>
      <c r="P19" s="2">
        <v>5</v>
      </c>
      <c r="Q19" s="2">
        <v>96.417400000000001</v>
      </c>
      <c r="R19" s="2">
        <v>52</v>
      </c>
      <c r="S19" s="2">
        <v>98.623099999999994</v>
      </c>
      <c r="T19" s="2">
        <v>87</v>
      </c>
      <c r="U19" s="2">
        <v>0.88098299999999996</v>
      </c>
      <c r="V19" s="2">
        <v>18</v>
      </c>
      <c r="W19" s="2">
        <v>2007</v>
      </c>
    </row>
    <row r="20" spans="1:23" ht="15.75" customHeight="1" x14ac:dyDescent="0.4">
      <c r="A20" s="2" t="s">
        <v>58</v>
      </c>
      <c r="B20" s="2">
        <v>9</v>
      </c>
      <c r="C20" s="3" t="s">
        <v>33</v>
      </c>
      <c r="D20" s="2"/>
      <c r="E20" s="2"/>
      <c r="F20" s="2"/>
      <c r="G20" s="2"/>
      <c r="H20" s="2"/>
      <c r="I20" s="2">
        <v>60.942799999999998</v>
      </c>
      <c r="J20" s="2">
        <v>321</v>
      </c>
      <c r="K20" s="2">
        <v>62.113900000000001</v>
      </c>
      <c r="L20" s="2">
        <v>310</v>
      </c>
      <c r="M20" s="2">
        <v>106.9186</v>
      </c>
      <c r="N20" s="2">
        <v>83</v>
      </c>
      <c r="O20" s="2">
        <v>108.8565</v>
      </c>
      <c r="P20" s="2">
        <v>68</v>
      </c>
      <c r="Q20" s="2">
        <v>93.254199999999997</v>
      </c>
      <c r="R20" s="2">
        <v>16</v>
      </c>
      <c r="S20" s="2">
        <v>91.506399999999999</v>
      </c>
      <c r="T20" s="2">
        <v>12</v>
      </c>
      <c r="U20" s="2">
        <v>0.88044599999999995</v>
      </c>
      <c r="V20" s="2">
        <v>19</v>
      </c>
      <c r="W20" s="2">
        <v>2007</v>
      </c>
    </row>
    <row r="21" spans="1:23" ht="15.75" customHeight="1" x14ac:dyDescent="0.4">
      <c r="A21" s="2" t="s">
        <v>41</v>
      </c>
      <c r="B21" s="2">
        <v>3</v>
      </c>
      <c r="C21" s="3" t="s">
        <v>33</v>
      </c>
      <c r="D21" s="3" t="s">
        <v>33</v>
      </c>
      <c r="E21" s="3" t="s">
        <v>33</v>
      </c>
      <c r="F21" s="2"/>
      <c r="G21" s="2"/>
      <c r="H21" s="2"/>
      <c r="I21" s="2">
        <v>67.273899999999998</v>
      </c>
      <c r="J21" s="2">
        <v>146</v>
      </c>
      <c r="K21" s="2">
        <v>66.999899999999997</v>
      </c>
      <c r="L21" s="2">
        <v>154</v>
      </c>
      <c r="M21" s="2">
        <v>112.64530000000001</v>
      </c>
      <c r="N21" s="2">
        <v>16</v>
      </c>
      <c r="O21" s="2">
        <v>115.7993</v>
      </c>
      <c r="P21" s="2">
        <v>10</v>
      </c>
      <c r="Q21" s="2">
        <v>97.821899999999999</v>
      </c>
      <c r="R21" s="2">
        <v>72</v>
      </c>
      <c r="S21" s="2">
        <v>97.504199999999997</v>
      </c>
      <c r="T21" s="2">
        <v>62</v>
      </c>
      <c r="U21" s="2">
        <v>0.87842299999999995</v>
      </c>
      <c r="V21" s="2">
        <v>20</v>
      </c>
      <c r="W21" s="2">
        <v>2007</v>
      </c>
    </row>
    <row r="22" spans="1:23" ht="15.75" customHeight="1" x14ac:dyDescent="0.4">
      <c r="A22" s="2" t="s">
        <v>40</v>
      </c>
      <c r="B22" s="2">
        <v>7</v>
      </c>
      <c r="C22" s="3" t="s">
        <v>33</v>
      </c>
      <c r="D22" s="2"/>
      <c r="E22" s="2"/>
      <c r="F22" s="2"/>
      <c r="G22" s="2"/>
      <c r="H22" s="2"/>
      <c r="I22" s="2">
        <v>64.052899999999994</v>
      </c>
      <c r="J22" s="2">
        <v>266</v>
      </c>
      <c r="K22" s="2">
        <v>65.596500000000006</v>
      </c>
      <c r="L22" s="2">
        <v>210</v>
      </c>
      <c r="M22" s="2">
        <v>110.2021</v>
      </c>
      <c r="N22" s="2">
        <v>39</v>
      </c>
      <c r="O22" s="2">
        <v>113.8082</v>
      </c>
      <c r="P22" s="2">
        <v>19</v>
      </c>
      <c r="Q22" s="2">
        <v>96.804900000000004</v>
      </c>
      <c r="R22" s="2">
        <v>56</v>
      </c>
      <c r="S22" s="2">
        <v>95.917599999999993</v>
      </c>
      <c r="T22" s="2">
        <v>47</v>
      </c>
      <c r="U22" s="2">
        <v>0.87726599999999999</v>
      </c>
      <c r="V22" s="2">
        <v>21</v>
      </c>
      <c r="W22" s="2">
        <v>2007</v>
      </c>
    </row>
    <row r="23" spans="1:23" ht="15.75" customHeight="1" x14ac:dyDescent="0.4">
      <c r="A23" s="2" t="s">
        <v>18</v>
      </c>
      <c r="B23" s="2">
        <v>5</v>
      </c>
      <c r="C23" s="3" t="s">
        <v>33</v>
      </c>
      <c r="D23" s="3" t="s">
        <v>33</v>
      </c>
      <c r="E23" s="2"/>
      <c r="F23" s="2"/>
      <c r="G23" s="2"/>
      <c r="H23" s="2"/>
      <c r="I23" s="2">
        <v>58.582700000000003</v>
      </c>
      <c r="J23" s="2">
        <v>332</v>
      </c>
      <c r="K23" s="2">
        <v>59.301499999999997</v>
      </c>
      <c r="L23" s="2">
        <v>329</v>
      </c>
      <c r="M23" s="2">
        <v>115.084</v>
      </c>
      <c r="N23" s="2">
        <v>7</v>
      </c>
      <c r="O23" s="2">
        <v>115.33929999999999</v>
      </c>
      <c r="P23" s="2">
        <v>11</v>
      </c>
      <c r="Q23" s="2">
        <v>94.912300000000002</v>
      </c>
      <c r="R23" s="2">
        <v>30</v>
      </c>
      <c r="S23" s="2">
        <v>97.239800000000002</v>
      </c>
      <c r="T23" s="2">
        <v>60</v>
      </c>
      <c r="U23" s="2">
        <v>0.87685999999999997</v>
      </c>
      <c r="V23" s="2">
        <v>22</v>
      </c>
      <c r="W23" s="2">
        <v>2007</v>
      </c>
    </row>
    <row r="24" spans="1:23" ht="15.75" customHeight="1" x14ac:dyDescent="0.4">
      <c r="A24" s="2" t="s">
        <v>90</v>
      </c>
      <c r="B24" s="2">
        <v>10</v>
      </c>
      <c r="C24" s="2"/>
      <c r="D24" s="2"/>
      <c r="E24" s="2"/>
      <c r="F24" s="2"/>
      <c r="G24" s="2"/>
      <c r="H24" s="2"/>
      <c r="I24" s="2">
        <v>62.305900000000001</v>
      </c>
      <c r="J24" s="2">
        <v>305</v>
      </c>
      <c r="K24" s="2">
        <v>63.665599999999998</v>
      </c>
      <c r="L24" s="2">
        <v>287</v>
      </c>
      <c r="M24" s="2">
        <v>107.7688</v>
      </c>
      <c r="N24" s="2">
        <v>67</v>
      </c>
      <c r="O24" s="2">
        <v>112.0902</v>
      </c>
      <c r="P24" s="2">
        <v>32</v>
      </c>
      <c r="Q24" s="2">
        <v>97.056600000000003</v>
      </c>
      <c r="R24" s="2">
        <v>62</v>
      </c>
      <c r="S24" s="2">
        <v>94.8733</v>
      </c>
      <c r="T24" s="2">
        <v>39</v>
      </c>
      <c r="U24" s="2">
        <v>0.871888</v>
      </c>
      <c r="V24" s="2">
        <v>23</v>
      </c>
      <c r="W24" s="2">
        <v>2007</v>
      </c>
    </row>
    <row r="25" spans="1:23" ht="15.75" customHeight="1" x14ac:dyDescent="0.4">
      <c r="A25" s="2" t="s">
        <v>239</v>
      </c>
      <c r="B25" s="2">
        <v>3</v>
      </c>
      <c r="C25" s="3" t="s">
        <v>33</v>
      </c>
      <c r="D25" s="2"/>
      <c r="E25" s="2"/>
      <c r="F25" s="2"/>
      <c r="G25" s="2"/>
      <c r="H25" s="2"/>
      <c r="I25" s="2">
        <v>61.380600000000001</v>
      </c>
      <c r="J25" s="2">
        <v>319</v>
      </c>
      <c r="K25" s="2">
        <v>60.848999999999997</v>
      </c>
      <c r="L25" s="2">
        <v>322</v>
      </c>
      <c r="M25" s="2">
        <v>106.2136</v>
      </c>
      <c r="N25" s="2">
        <v>95</v>
      </c>
      <c r="O25" s="2">
        <v>108.6062</v>
      </c>
      <c r="P25" s="2">
        <v>71</v>
      </c>
      <c r="Q25" s="2">
        <v>94.4345</v>
      </c>
      <c r="R25" s="2">
        <v>23</v>
      </c>
      <c r="S25" s="2">
        <v>92.665599999999998</v>
      </c>
      <c r="T25" s="2">
        <v>17</v>
      </c>
      <c r="U25" s="2">
        <v>0.86121400000000004</v>
      </c>
      <c r="V25" s="2">
        <v>24</v>
      </c>
      <c r="W25" s="2">
        <v>2007</v>
      </c>
    </row>
    <row r="26" spans="1:23" ht="15.75" customHeight="1" x14ac:dyDescent="0.4">
      <c r="A26" s="2" t="s">
        <v>92</v>
      </c>
      <c r="B26" s="2">
        <v>10</v>
      </c>
      <c r="C26" s="2"/>
      <c r="D26" s="2"/>
      <c r="E26" s="2"/>
      <c r="F26" s="2"/>
      <c r="G26" s="2"/>
      <c r="H26" s="2"/>
      <c r="I26" s="2">
        <v>70.211100000000002</v>
      </c>
      <c r="J26" s="2">
        <v>62</v>
      </c>
      <c r="K26" s="2">
        <v>68.340999999999994</v>
      </c>
      <c r="L26" s="2">
        <v>105</v>
      </c>
      <c r="M26" s="2">
        <v>111.526</v>
      </c>
      <c r="N26" s="2">
        <v>26</v>
      </c>
      <c r="O26" s="2">
        <v>114.6063</v>
      </c>
      <c r="P26" s="2">
        <v>15</v>
      </c>
      <c r="Q26" s="2">
        <v>98.372799999999998</v>
      </c>
      <c r="R26" s="2">
        <v>80</v>
      </c>
      <c r="S26" s="2">
        <v>97.820499999999996</v>
      </c>
      <c r="T26" s="2">
        <v>67</v>
      </c>
      <c r="U26" s="2">
        <v>0.86071600000000004</v>
      </c>
      <c r="V26" s="2">
        <v>25</v>
      </c>
      <c r="W26" s="2">
        <v>2007</v>
      </c>
    </row>
    <row r="27" spans="1:23" ht="15.75" customHeight="1" x14ac:dyDescent="0.4">
      <c r="A27" s="2" t="s">
        <v>50</v>
      </c>
      <c r="B27" s="2">
        <v>9</v>
      </c>
      <c r="C27" s="3" t="s">
        <v>33</v>
      </c>
      <c r="D27" s="2"/>
      <c r="E27" s="2"/>
      <c r="F27" s="2"/>
      <c r="G27" s="2"/>
      <c r="H27" s="2"/>
      <c r="I27" s="2">
        <v>66.208200000000005</v>
      </c>
      <c r="J27" s="2">
        <v>197</v>
      </c>
      <c r="K27" s="2">
        <v>67.458699999999993</v>
      </c>
      <c r="L27" s="2">
        <v>130</v>
      </c>
      <c r="M27" s="2">
        <v>115.3751</v>
      </c>
      <c r="N27" s="2">
        <v>5</v>
      </c>
      <c r="O27" s="2">
        <v>115.08320000000001</v>
      </c>
      <c r="P27" s="2">
        <v>13</v>
      </c>
      <c r="Q27" s="2">
        <v>98.071100000000001</v>
      </c>
      <c r="R27" s="2">
        <v>74</v>
      </c>
      <c r="S27" s="2">
        <v>98.236800000000002</v>
      </c>
      <c r="T27" s="2">
        <v>80</v>
      </c>
      <c r="U27" s="2">
        <v>0.86058500000000004</v>
      </c>
      <c r="V27" s="2">
        <v>26</v>
      </c>
      <c r="W27" s="2">
        <v>2007</v>
      </c>
    </row>
    <row r="28" spans="1:23" ht="15.75" customHeight="1" x14ac:dyDescent="0.4">
      <c r="A28" s="2" t="s">
        <v>39</v>
      </c>
      <c r="B28" s="2">
        <v>8</v>
      </c>
      <c r="C28" s="2"/>
      <c r="D28" s="2"/>
      <c r="E28" s="2"/>
      <c r="F28" s="2"/>
      <c r="G28" s="2"/>
      <c r="H28" s="2"/>
      <c r="I28" s="2">
        <v>67.830600000000004</v>
      </c>
      <c r="J28" s="2">
        <v>122</v>
      </c>
      <c r="K28" s="2">
        <v>68.751400000000004</v>
      </c>
      <c r="L28" s="2">
        <v>89</v>
      </c>
      <c r="M28" s="2">
        <v>106.4606</v>
      </c>
      <c r="N28" s="2">
        <v>90</v>
      </c>
      <c r="O28" s="2">
        <v>110.6636</v>
      </c>
      <c r="P28" s="2">
        <v>45</v>
      </c>
      <c r="Q28" s="2">
        <v>95.365799999999993</v>
      </c>
      <c r="R28" s="2">
        <v>38</v>
      </c>
      <c r="S28" s="2">
        <v>94.593199999999996</v>
      </c>
      <c r="T28" s="2">
        <v>34</v>
      </c>
      <c r="U28" s="2">
        <v>0.85869099999999998</v>
      </c>
      <c r="V28" s="2">
        <v>27</v>
      </c>
      <c r="W28" s="2">
        <v>2007</v>
      </c>
    </row>
    <row r="29" spans="1:23" ht="12.3" x14ac:dyDescent="0.4">
      <c r="A29" s="2" t="s">
        <v>43</v>
      </c>
      <c r="B29" s="2">
        <v>8</v>
      </c>
      <c r="C29" s="2"/>
      <c r="D29" s="2"/>
      <c r="E29" s="2"/>
      <c r="F29" s="2"/>
      <c r="G29" s="2"/>
      <c r="H29" s="2"/>
      <c r="I29" s="2">
        <v>69.067300000000003</v>
      </c>
      <c r="J29" s="2">
        <v>91</v>
      </c>
      <c r="K29" s="2">
        <v>69.057000000000002</v>
      </c>
      <c r="L29" s="2">
        <v>78</v>
      </c>
      <c r="M29" s="2">
        <v>112.9722</v>
      </c>
      <c r="N29" s="2">
        <v>15</v>
      </c>
      <c r="O29" s="2">
        <v>116.083</v>
      </c>
      <c r="P29" s="2">
        <v>9</v>
      </c>
      <c r="Q29" s="2">
        <v>104.1438</v>
      </c>
      <c r="R29" s="2">
        <v>206</v>
      </c>
      <c r="S29" s="2">
        <v>99.773600000000002</v>
      </c>
      <c r="T29" s="2">
        <v>108</v>
      </c>
      <c r="U29" s="2">
        <v>0.85082999999999998</v>
      </c>
      <c r="V29" s="2">
        <v>28</v>
      </c>
      <c r="W29" s="2">
        <v>2007</v>
      </c>
    </row>
    <row r="30" spans="1:23" ht="12.3" x14ac:dyDescent="0.4">
      <c r="A30" s="2" t="s">
        <v>23</v>
      </c>
      <c r="B30" s="2"/>
      <c r="C30" s="2"/>
      <c r="D30" s="2"/>
      <c r="E30" s="2"/>
      <c r="F30" s="2"/>
      <c r="G30" s="2"/>
      <c r="H30" s="2"/>
      <c r="I30" s="2">
        <v>71.2637</v>
      </c>
      <c r="J30" s="2">
        <v>42</v>
      </c>
      <c r="K30" s="2">
        <v>71.552800000000005</v>
      </c>
      <c r="L30" s="2">
        <v>29</v>
      </c>
      <c r="M30" s="2">
        <v>106.20189999999999</v>
      </c>
      <c r="N30" s="2">
        <v>96</v>
      </c>
      <c r="O30" s="2">
        <v>109.1212</v>
      </c>
      <c r="P30" s="2">
        <v>64</v>
      </c>
      <c r="Q30" s="2">
        <v>95.166600000000003</v>
      </c>
      <c r="R30" s="2">
        <v>35</v>
      </c>
      <c r="S30" s="2">
        <v>93.924000000000007</v>
      </c>
      <c r="T30" s="2">
        <v>28</v>
      </c>
      <c r="U30" s="2">
        <v>0.84873200000000004</v>
      </c>
      <c r="V30" s="2">
        <v>29</v>
      </c>
      <c r="W30" s="2">
        <v>2007</v>
      </c>
    </row>
    <row r="31" spans="1:23" ht="12.3" x14ac:dyDescent="0.4">
      <c r="A31" s="2" t="s">
        <v>24</v>
      </c>
      <c r="B31" s="2"/>
      <c r="C31" s="2"/>
      <c r="D31" s="2"/>
      <c r="E31" s="2"/>
      <c r="F31" s="2"/>
      <c r="G31" s="2"/>
      <c r="H31" s="2"/>
      <c r="I31" s="2">
        <v>67.899100000000004</v>
      </c>
      <c r="J31" s="2">
        <v>117</v>
      </c>
      <c r="K31" s="2">
        <v>66.934899999999999</v>
      </c>
      <c r="L31" s="2">
        <v>157</v>
      </c>
      <c r="M31" s="2">
        <v>107.5578</v>
      </c>
      <c r="N31" s="2">
        <v>70</v>
      </c>
      <c r="O31" s="2">
        <v>108.9881</v>
      </c>
      <c r="P31" s="2">
        <v>66</v>
      </c>
      <c r="Q31" s="2">
        <v>96.014099999999999</v>
      </c>
      <c r="R31" s="2">
        <v>44</v>
      </c>
      <c r="S31" s="2">
        <v>93.913600000000002</v>
      </c>
      <c r="T31" s="2">
        <v>27</v>
      </c>
      <c r="U31" s="2">
        <v>0.84708700000000003</v>
      </c>
      <c r="V31" s="2">
        <v>30</v>
      </c>
      <c r="W31" s="2">
        <v>2007</v>
      </c>
    </row>
    <row r="32" spans="1:23" ht="12.3" x14ac:dyDescent="0.4">
      <c r="A32" s="2" t="s">
        <v>121</v>
      </c>
      <c r="B32" s="2">
        <v>9</v>
      </c>
      <c r="C32" s="3" t="s">
        <v>33</v>
      </c>
      <c r="D32" s="2"/>
      <c r="E32" s="2"/>
      <c r="F32" s="2"/>
      <c r="G32" s="2"/>
      <c r="H32" s="2"/>
      <c r="I32" s="2">
        <v>66.320300000000003</v>
      </c>
      <c r="J32" s="2">
        <v>193</v>
      </c>
      <c r="K32" s="2">
        <v>67.866200000000006</v>
      </c>
      <c r="L32" s="2">
        <v>117</v>
      </c>
      <c r="M32" s="2">
        <v>105.273</v>
      </c>
      <c r="N32" s="2">
        <v>114</v>
      </c>
      <c r="O32" s="2">
        <v>107.5194</v>
      </c>
      <c r="P32" s="2">
        <v>83</v>
      </c>
      <c r="Q32" s="2">
        <v>95.29</v>
      </c>
      <c r="R32" s="2">
        <v>36</v>
      </c>
      <c r="S32" s="2">
        <v>92.662099999999995</v>
      </c>
      <c r="T32" s="2">
        <v>16</v>
      </c>
      <c r="U32" s="2">
        <v>0.84686099999999997</v>
      </c>
      <c r="V32" s="2">
        <v>31</v>
      </c>
      <c r="W32" s="2">
        <v>2007</v>
      </c>
    </row>
    <row r="33" spans="1:23" ht="12.3" x14ac:dyDescent="0.4">
      <c r="A33" s="2" t="s">
        <v>48</v>
      </c>
      <c r="B33" s="2"/>
      <c r="C33" s="2"/>
      <c r="D33" s="2"/>
      <c r="E33" s="2"/>
      <c r="F33" s="2"/>
      <c r="G33" s="2"/>
      <c r="H33" s="2"/>
      <c r="I33" s="2">
        <v>69.942599999999999</v>
      </c>
      <c r="J33" s="2">
        <v>68</v>
      </c>
      <c r="K33" s="2">
        <v>69.580100000000002</v>
      </c>
      <c r="L33" s="2">
        <v>66</v>
      </c>
      <c r="M33" s="2">
        <v>108.3004</v>
      </c>
      <c r="N33" s="2">
        <v>57</v>
      </c>
      <c r="O33" s="2">
        <v>111.4723</v>
      </c>
      <c r="P33" s="2">
        <v>37</v>
      </c>
      <c r="Q33" s="2">
        <v>97.769900000000007</v>
      </c>
      <c r="R33" s="2">
        <v>70</v>
      </c>
      <c r="S33" s="2">
        <v>96.097899999999996</v>
      </c>
      <c r="T33" s="2">
        <v>48</v>
      </c>
      <c r="U33" s="2">
        <v>0.84640700000000002</v>
      </c>
      <c r="V33" s="2">
        <v>32</v>
      </c>
      <c r="W33" s="2">
        <v>2007</v>
      </c>
    </row>
    <row r="34" spans="1:23" ht="12.3" x14ac:dyDescent="0.4">
      <c r="A34" s="2" t="s">
        <v>44</v>
      </c>
      <c r="B34" s="2">
        <v>12</v>
      </c>
      <c r="C34" s="2"/>
      <c r="D34" s="2"/>
      <c r="E34" s="2"/>
      <c r="F34" s="2"/>
      <c r="G34" s="2"/>
      <c r="H34" s="2"/>
      <c r="I34" s="2">
        <v>62.406999999999996</v>
      </c>
      <c r="J34" s="2">
        <v>301</v>
      </c>
      <c r="K34" s="2">
        <v>62.819099999999999</v>
      </c>
      <c r="L34" s="2">
        <v>301</v>
      </c>
      <c r="M34" s="2">
        <v>102.9468</v>
      </c>
      <c r="N34" s="2">
        <v>156</v>
      </c>
      <c r="O34" s="2">
        <v>103.11069999999999</v>
      </c>
      <c r="P34" s="2">
        <v>151</v>
      </c>
      <c r="Q34" s="2">
        <v>91.516800000000003</v>
      </c>
      <c r="R34" s="2">
        <v>8</v>
      </c>
      <c r="S34" s="2">
        <v>88.963999999999999</v>
      </c>
      <c r="T34" s="2">
        <v>2</v>
      </c>
      <c r="U34" s="2">
        <v>0.84515099999999999</v>
      </c>
      <c r="V34" s="2">
        <v>33</v>
      </c>
      <c r="W34" s="2">
        <v>2007</v>
      </c>
    </row>
    <row r="35" spans="1:23" ht="12.3" x14ac:dyDescent="0.4">
      <c r="A35" s="2" t="s">
        <v>20</v>
      </c>
      <c r="B35" s="2"/>
      <c r="C35" s="2"/>
      <c r="D35" s="2"/>
      <c r="E35" s="2"/>
      <c r="F35" s="2"/>
      <c r="G35" s="2"/>
      <c r="H35" s="2"/>
      <c r="I35" s="2">
        <v>67.877499999999998</v>
      </c>
      <c r="J35" s="2">
        <v>118</v>
      </c>
      <c r="K35" s="2">
        <v>66.977900000000005</v>
      </c>
      <c r="L35" s="2">
        <v>156</v>
      </c>
      <c r="M35" s="2">
        <v>108.8438</v>
      </c>
      <c r="N35" s="2">
        <v>50</v>
      </c>
      <c r="O35" s="2">
        <v>113.3839</v>
      </c>
      <c r="P35" s="2">
        <v>20</v>
      </c>
      <c r="Q35" s="2">
        <v>101.41459999999999</v>
      </c>
      <c r="R35" s="2">
        <v>150</v>
      </c>
      <c r="S35" s="2">
        <v>97.953900000000004</v>
      </c>
      <c r="T35" s="2">
        <v>70</v>
      </c>
      <c r="U35" s="2">
        <v>0.84320200000000001</v>
      </c>
      <c r="V35" s="2">
        <v>34</v>
      </c>
      <c r="W35" s="2">
        <v>2007</v>
      </c>
    </row>
    <row r="36" spans="1:23" ht="12.3" x14ac:dyDescent="0.4">
      <c r="A36" s="2" t="s">
        <v>204</v>
      </c>
      <c r="B36" s="2"/>
      <c r="C36" s="2"/>
      <c r="D36" s="2"/>
      <c r="E36" s="2"/>
      <c r="F36" s="2"/>
      <c r="G36" s="2"/>
      <c r="H36" s="2"/>
      <c r="I36" s="2">
        <v>59.15</v>
      </c>
      <c r="J36" s="2">
        <v>331</v>
      </c>
      <c r="K36" s="2">
        <v>58.307000000000002</v>
      </c>
      <c r="L36" s="2">
        <v>332</v>
      </c>
      <c r="M36" s="2">
        <v>115.8648</v>
      </c>
      <c r="N36" s="2">
        <v>3</v>
      </c>
      <c r="O36" s="2">
        <v>111.81489999999999</v>
      </c>
      <c r="P36" s="2">
        <v>34</v>
      </c>
      <c r="Q36" s="2">
        <v>96.340800000000002</v>
      </c>
      <c r="R36" s="2">
        <v>48</v>
      </c>
      <c r="S36" s="2">
        <v>96.627499999999998</v>
      </c>
      <c r="T36" s="2">
        <v>56</v>
      </c>
      <c r="U36" s="2">
        <v>0.84274499999999997</v>
      </c>
      <c r="V36" s="2">
        <v>35</v>
      </c>
      <c r="W36" s="2">
        <v>2007</v>
      </c>
    </row>
    <row r="37" spans="1:23" ht="12.3" x14ac:dyDescent="0.4">
      <c r="A37" s="2" t="s">
        <v>22</v>
      </c>
      <c r="B37" s="2"/>
      <c r="C37" s="2"/>
      <c r="D37" s="2"/>
      <c r="E37" s="2"/>
      <c r="F37" s="2"/>
      <c r="G37" s="2"/>
      <c r="H37" s="2"/>
      <c r="I37" s="2">
        <v>66.683199999999999</v>
      </c>
      <c r="J37" s="2">
        <v>175</v>
      </c>
      <c r="K37" s="2">
        <v>68.596199999999996</v>
      </c>
      <c r="L37" s="2">
        <v>98</v>
      </c>
      <c r="M37" s="2">
        <v>109.2308</v>
      </c>
      <c r="N37" s="2">
        <v>45</v>
      </c>
      <c r="O37" s="2">
        <v>109.92449999999999</v>
      </c>
      <c r="P37" s="2">
        <v>55</v>
      </c>
      <c r="Q37" s="2">
        <v>97.279700000000005</v>
      </c>
      <c r="R37" s="2">
        <v>66</v>
      </c>
      <c r="S37" s="2">
        <v>95.239900000000006</v>
      </c>
      <c r="T37" s="2">
        <v>41</v>
      </c>
      <c r="U37" s="2">
        <v>0.83875999999999995</v>
      </c>
      <c r="V37" s="2">
        <v>36</v>
      </c>
      <c r="W37" s="2">
        <v>2007</v>
      </c>
    </row>
    <row r="38" spans="1:23" ht="12.3" x14ac:dyDescent="0.4">
      <c r="A38" s="2" t="s">
        <v>80</v>
      </c>
      <c r="B38" s="2">
        <v>12</v>
      </c>
      <c r="C38" s="2"/>
      <c r="D38" s="2"/>
      <c r="E38" s="2"/>
      <c r="F38" s="2"/>
      <c r="G38" s="2"/>
      <c r="H38" s="2"/>
      <c r="I38" s="2">
        <v>67.692700000000002</v>
      </c>
      <c r="J38" s="2">
        <v>127</v>
      </c>
      <c r="K38" s="2">
        <v>67.363600000000005</v>
      </c>
      <c r="L38" s="2">
        <v>133</v>
      </c>
      <c r="M38" s="2">
        <v>105.17959999999999</v>
      </c>
      <c r="N38" s="2">
        <v>115</v>
      </c>
      <c r="O38" s="2">
        <v>107.47069999999999</v>
      </c>
      <c r="P38" s="2">
        <v>84</v>
      </c>
      <c r="Q38" s="2">
        <v>96.941199999999995</v>
      </c>
      <c r="R38" s="2">
        <v>60</v>
      </c>
      <c r="S38" s="2">
        <v>93.120900000000006</v>
      </c>
      <c r="T38" s="2">
        <v>22</v>
      </c>
      <c r="U38" s="2">
        <v>0.83864399999999995</v>
      </c>
      <c r="V38" s="2">
        <v>37</v>
      </c>
      <c r="W38" s="2">
        <v>2007</v>
      </c>
    </row>
    <row r="39" spans="1:23" ht="12.3" x14ac:dyDescent="0.4">
      <c r="A39" s="2" t="s">
        <v>159</v>
      </c>
      <c r="B39" s="2">
        <v>5</v>
      </c>
      <c r="C39" s="3" t="s">
        <v>33</v>
      </c>
      <c r="D39" s="2"/>
      <c r="E39" s="2"/>
      <c r="F39" s="2"/>
      <c r="G39" s="2"/>
      <c r="H39" s="2"/>
      <c r="I39" s="2">
        <v>65.590999999999994</v>
      </c>
      <c r="J39" s="2">
        <v>219</v>
      </c>
      <c r="K39" s="2">
        <v>64.434700000000007</v>
      </c>
      <c r="L39" s="2">
        <v>259</v>
      </c>
      <c r="M39" s="2">
        <v>108.6478</v>
      </c>
      <c r="N39" s="2">
        <v>52</v>
      </c>
      <c r="O39" s="2">
        <v>110.0334</v>
      </c>
      <c r="P39" s="2">
        <v>53</v>
      </c>
      <c r="Q39" s="2">
        <v>98.402100000000004</v>
      </c>
      <c r="R39" s="2">
        <v>82</v>
      </c>
      <c r="S39" s="2">
        <v>95.525199999999998</v>
      </c>
      <c r="T39" s="2">
        <v>43</v>
      </c>
      <c r="U39" s="2">
        <v>0.83562400000000003</v>
      </c>
      <c r="V39" s="2">
        <v>38</v>
      </c>
      <c r="W39" s="2">
        <v>2007</v>
      </c>
    </row>
    <row r="40" spans="1:23" ht="12.3" x14ac:dyDescent="0.4">
      <c r="A40" s="2" t="s">
        <v>81</v>
      </c>
      <c r="B40" s="2">
        <v>5</v>
      </c>
      <c r="C40" s="3" t="s">
        <v>33</v>
      </c>
      <c r="D40" s="3" t="s">
        <v>33</v>
      </c>
      <c r="E40" s="2"/>
      <c r="F40" s="2"/>
      <c r="G40" s="2"/>
      <c r="H40" s="2"/>
      <c r="I40" s="2">
        <v>73.163600000000002</v>
      </c>
      <c r="J40" s="2">
        <v>15</v>
      </c>
      <c r="K40" s="2">
        <v>72.471999999999994</v>
      </c>
      <c r="L40" s="2">
        <v>19</v>
      </c>
      <c r="M40" s="2">
        <v>107.3875</v>
      </c>
      <c r="N40" s="2">
        <v>74</v>
      </c>
      <c r="O40" s="2">
        <v>111.0303</v>
      </c>
      <c r="P40" s="2">
        <v>43</v>
      </c>
      <c r="Q40" s="2">
        <v>100.6241</v>
      </c>
      <c r="R40" s="2">
        <v>133</v>
      </c>
      <c r="S40" s="2">
        <v>96.422399999999996</v>
      </c>
      <c r="T40" s="2">
        <v>52</v>
      </c>
      <c r="U40" s="2">
        <v>0.83510399999999996</v>
      </c>
      <c r="V40" s="2">
        <v>39</v>
      </c>
      <c r="W40" s="2">
        <v>2007</v>
      </c>
    </row>
    <row r="41" spans="1:23" ht="12.3" x14ac:dyDescent="0.4">
      <c r="A41" s="2" t="s">
        <v>145</v>
      </c>
      <c r="B41" s="2">
        <v>7</v>
      </c>
      <c r="C41" s="3" t="s">
        <v>33</v>
      </c>
      <c r="D41" s="2"/>
      <c r="E41" s="2"/>
      <c r="F41" s="2"/>
      <c r="G41" s="2"/>
      <c r="H41" s="2"/>
      <c r="I41" s="2">
        <v>67.429299999999998</v>
      </c>
      <c r="J41" s="2">
        <v>138</v>
      </c>
      <c r="K41" s="2">
        <v>67.192400000000006</v>
      </c>
      <c r="L41" s="2">
        <v>144</v>
      </c>
      <c r="M41" s="2">
        <v>114.471</v>
      </c>
      <c r="N41" s="2">
        <v>10</v>
      </c>
      <c r="O41" s="2">
        <v>116.18899999999999</v>
      </c>
      <c r="P41" s="2">
        <v>8</v>
      </c>
      <c r="Q41" s="2">
        <v>99.092799999999997</v>
      </c>
      <c r="R41" s="2">
        <v>94</v>
      </c>
      <c r="S41" s="2">
        <v>100.9284</v>
      </c>
      <c r="T41" s="2">
        <v>135</v>
      </c>
      <c r="U41" s="2">
        <v>0.83469499999999996</v>
      </c>
      <c r="V41" s="2">
        <v>40</v>
      </c>
      <c r="W41" s="2">
        <v>2007</v>
      </c>
    </row>
    <row r="42" spans="1:23" ht="12.3" x14ac:dyDescent="0.4">
      <c r="A42" s="2" t="s">
        <v>96</v>
      </c>
      <c r="B42" s="2">
        <v>8</v>
      </c>
      <c r="C42" s="2"/>
      <c r="D42" s="2"/>
      <c r="E42" s="2"/>
      <c r="F42" s="2"/>
      <c r="G42" s="2"/>
      <c r="H42" s="2"/>
      <c r="I42" s="2">
        <v>68.297600000000003</v>
      </c>
      <c r="J42" s="2">
        <v>104</v>
      </c>
      <c r="K42" s="2">
        <v>68.625600000000006</v>
      </c>
      <c r="L42" s="2">
        <v>97</v>
      </c>
      <c r="M42" s="2">
        <v>112.18040000000001</v>
      </c>
      <c r="N42" s="2">
        <v>22</v>
      </c>
      <c r="O42" s="2">
        <v>114.7617</v>
      </c>
      <c r="P42" s="2">
        <v>14</v>
      </c>
      <c r="Q42" s="2">
        <v>100.9316</v>
      </c>
      <c r="R42" s="2">
        <v>140</v>
      </c>
      <c r="S42" s="2">
        <v>99.854799999999997</v>
      </c>
      <c r="T42" s="2">
        <v>111</v>
      </c>
      <c r="U42" s="2">
        <v>0.83203400000000005</v>
      </c>
      <c r="V42" s="2">
        <v>41</v>
      </c>
      <c r="W42" s="2">
        <v>2007</v>
      </c>
    </row>
    <row r="43" spans="1:23" ht="12.3" x14ac:dyDescent="0.4">
      <c r="A43" s="2" t="s">
        <v>256</v>
      </c>
      <c r="B43" s="2"/>
      <c r="C43" s="2"/>
      <c r="D43" s="2"/>
      <c r="E43" s="2"/>
      <c r="F43" s="2"/>
      <c r="G43" s="2"/>
      <c r="H43" s="2"/>
      <c r="I43" s="2">
        <v>65.040400000000005</v>
      </c>
      <c r="J43" s="2">
        <v>239</v>
      </c>
      <c r="K43" s="2">
        <v>64.620999999999995</v>
      </c>
      <c r="L43" s="2">
        <v>249</v>
      </c>
      <c r="M43" s="2">
        <v>113.73480000000001</v>
      </c>
      <c r="N43" s="2">
        <v>13</v>
      </c>
      <c r="O43" s="2">
        <v>113.0235</v>
      </c>
      <c r="P43" s="2">
        <v>26</v>
      </c>
      <c r="Q43" s="2">
        <v>94.738200000000006</v>
      </c>
      <c r="R43" s="2">
        <v>26</v>
      </c>
      <c r="S43" s="2">
        <v>98.462999999999994</v>
      </c>
      <c r="T43" s="2">
        <v>85</v>
      </c>
      <c r="U43" s="2">
        <v>0.83005600000000002</v>
      </c>
      <c r="V43" s="2">
        <v>42</v>
      </c>
      <c r="W43" s="2">
        <v>2007</v>
      </c>
    </row>
    <row r="44" spans="1:23" ht="12.3" x14ac:dyDescent="0.4">
      <c r="A44" s="2" t="s">
        <v>229</v>
      </c>
      <c r="B44" s="2"/>
      <c r="C44" s="2"/>
      <c r="D44" s="2"/>
      <c r="E44" s="2"/>
      <c r="F44" s="2"/>
      <c r="G44" s="2"/>
      <c r="H44" s="2"/>
      <c r="I44" s="2">
        <v>63.329599999999999</v>
      </c>
      <c r="J44" s="2">
        <v>288</v>
      </c>
      <c r="K44" s="2">
        <v>63.594999999999999</v>
      </c>
      <c r="L44" s="2">
        <v>291</v>
      </c>
      <c r="M44" s="2">
        <v>111.74760000000001</v>
      </c>
      <c r="N44" s="2">
        <v>24</v>
      </c>
      <c r="O44" s="2">
        <v>114.16719999999999</v>
      </c>
      <c r="P44" s="2">
        <v>16</v>
      </c>
      <c r="Q44" s="2">
        <v>97.7804</v>
      </c>
      <c r="R44" s="2">
        <v>71</v>
      </c>
      <c r="S44" s="2">
        <v>99.608900000000006</v>
      </c>
      <c r="T44" s="2">
        <v>102</v>
      </c>
      <c r="U44" s="2">
        <v>0.82760500000000004</v>
      </c>
      <c r="V44" s="2">
        <v>43</v>
      </c>
      <c r="W44" s="2">
        <v>2007</v>
      </c>
    </row>
    <row r="45" spans="1:23" ht="12.3" x14ac:dyDescent="0.4">
      <c r="A45" s="2" t="s">
        <v>109</v>
      </c>
      <c r="B45" s="2">
        <v>7</v>
      </c>
      <c r="C45" s="3" t="s">
        <v>33</v>
      </c>
      <c r="D45" s="3" t="s">
        <v>33</v>
      </c>
      <c r="E45" s="2"/>
      <c r="F45" s="2"/>
      <c r="G45" s="2"/>
      <c r="H45" s="2"/>
      <c r="I45" s="2">
        <v>66.799899999999994</v>
      </c>
      <c r="J45" s="2">
        <v>167</v>
      </c>
      <c r="K45" s="2">
        <v>66.048299999999998</v>
      </c>
      <c r="L45" s="2">
        <v>194</v>
      </c>
      <c r="M45" s="2">
        <v>110.652</v>
      </c>
      <c r="N45" s="2">
        <v>35</v>
      </c>
      <c r="O45" s="2">
        <v>109.7692</v>
      </c>
      <c r="P45" s="2">
        <v>58</v>
      </c>
      <c r="Q45" s="2">
        <v>98.549700000000001</v>
      </c>
      <c r="R45" s="2">
        <v>84</v>
      </c>
      <c r="S45" s="2">
        <v>95.803600000000003</v>
      </c>
      <c r="T45" s="2">
        <v>46</v>
      </c>
      <c r="U45" s="2">
        <v>0.82705799999999996</v>
      </c>
      <c r="V45" s="2">
        <v>44</v>
      </c>
      <c r="W45" s="2">
        <v>2007</v>
      </c>
    </row>
    <row r="46" spans="1:23" ht="12.3" x14ac:dyDescent="0.4">
      <c r="A46" s="2" t="s">
        <v>240</v>
      </c>
      <c r="B46" s="2">
        <v>11</v>
      </c>
      <c r="C46" s="3" t="s">
        <v>33</v>
      </c>
      <c r="D46" s="2"/>
      <c r="E46" s="2"/>
      <c r="F46" s="2"/>
      <c r="G46" s="2"/>
      <c r="H46" s="2"/>
      <c r="I46" s="2">
        <v>66.481200000000001</v>
      </c>
      <c r="J46" s="2">
        <v>184</v>
      </c>
      <c r="K46" s="2">
        <v>63.134</v>
      </c>
      <c r="L46" s="2">
        <v>297</v>
      </c>
      <c r="M46" s="2">
        <v>111.1078</v>
      </c>
      <c r="N46" s="2">
        <v>30</v>
      </c>
      <c r="O46" s="2">
        <v>111.95610000000001</v>
      </c>
      <c r="P46" s="2">
        <v>33</v>
      </c>
      <c r="Q46" s="2">
        <v>94.3566</v>
      </c>
      <c r="R46" s="2">
        <v>21</v>
      </c>
      <c r="S46" s="2">
        <v>97.822699999999998</v>
      </c>
      <c r="T46" s="2">
        <v>68</v>
      </c>
      <c r="U46" s="2">
        <v>0.82519299999999995</v>
      </c>
      <c r="V46" s="2">
        <v>45</v>
      </c>
      <c r="W46" s="2">
        <v>2007</v>
      </c>
    </row>
    <row r="47" spans="1:23" ht="12.3" x14ac:dyDescent="0.4">
      <c r="A47" s="2" t="s">
        <v>148</v>
      </c>
      <c r="B47" s="2"/>
      <c r="C47" s="2"/>
      <c r="D47" s="2"/>
      <c r="E47" s="2"/>
      <c r="F47" s="2"/>
      <c r="G47" s="2"/>
      <c r="H47" s="2"/>
      <c r="I47" s="2">
        <v>67.782200000000003</v>
      </c>
      <c r="J47" s="2">
        <v>125</v>
      </c>
      <c r="K47" s="2">
        <v>66.637299999999996</v>
      </c>
      <c r="L47" s="2">
        <v>171</v>
      </c>
      <c r="M47" s="2">
        <v>104.896</v>
      </c>
      <c r="N47" s="2">
        <v>118</v>
      </c>
      <c r="O47" s="2">
        <v>108.0851</v>
      </c>
      <c r="P47" s="2">
        <v>74</v>
      </c>
      <c r="Q47" s="2">
        <v>96.141300000000001</v>
      </c>
      <c r="R47" s="2">
        <v>45</v>
      </c>
      <c r="S47" s="2">
        <v>94.567099999999996</v>
      </c>
      <c r="T47" s="2">
        <v>33</v>
      </c>
      <c r="U47" s="2">
        <v>0.82295600000000002</v>
      </c>
      <c r="V47" s="2">
        <v>46</v>
      </c>
      <c r="W47" s="2">
        <v>2007</v>
      </c>
    </row>
    <row r="48" spans="1:23" ht="12.3" x14ac:dyDescent="0.4">
      <c r="A48" s="2" t="s">
        <v>47</v>
      </c>
      <c r="B48" s="2">
        <v>10</v>
      </c>
      <c r="C48" s="2"/>
      <c r="D48" s="2"/>
      <c r="E48" s="2"/>
      <c r="F48" s="2"/>
      <c r="G48" s="2"/>
      <c r="H48" s="2"/>
      <c r="I48" s="2">
        <v>69.4238</v>
      </c>
      <c r="J48" s="2">
        <v>82</v>
      </c>
      <c r="K48" s="2">
        <v>68.130799999999994</v>
      </c>
      <c r="L48" s="2">
        <v>107</v>
      </c>
      <c r="M48" s="2">
        <v>112.1884</v>
      </c>
      <c r="N48" s="2">
        <v>21</v>
      </c>
      <c r="O48" s="2">
        <v>113.11539999999999</v>
      </c>
      <c r="P48" s="2">
        <v>23</v>
      </c>
      <c r="Q48" s="2">
        <v>99.366299999999995</v>
      </c>
      <c r="R48" s="2">
        <v>99</v>
      </c>
      <c r="S48" s="2">
        <v>99.572100000000006</v>
      </c>
      <c r="T48" s="2">
        <v>100</v>
      </c>
      <c r="U48" s="2">
        <v>0.81253299999999995</v>
      </c>
      <c r="V48" s="2">
        <v>47</v>
      </c>
      <c r="W48" s="2">
        <v>2007</v>
      </c>
    </row>
    <row r="49" spans="1:23" ht="12.3" x14ac:dyDescent="0.4">
      <c r="A49" s="2" t="s">
        <v>190</v>
      </c>
      <c r="B49" s="2">
        <v>12</v>
      </c>
      <c r="C49" s="2"/>
      <c r="D49" s="2"/>
      <c r="E49" s="2"/>
      <c r="F49" s="2"/>
      <c r="G49" s="2"/>
      <c r="H49" s="2"/>
      <c r="I49" s="2">
        <v>65.192800000000005</v>
      </c>
      <c r="J49" s="2">
        <v>227</v>
      </c>
      <c r="K49" s="2">
        <v>67.319400000000002</v>
      </c>
      <c r="L49" s="2">
        <v>137</v>
      </c>
      <c r="M49" s="2">
        <v>107.2243</v>
      </c>
      <c r="N49" s="2">
        <v>79</v>
      </c>
      <c r="O49" s="2">
        <v>107.34</v>
      </c>
      <c r="P49" s="2">
        <v>85</v>
      </c>
      <c r="Q49" s="2">
        <v>94.813999999999993</v>
      </c>
      <c r="R49" s="2">
        <v>28</v>
      </c>
      <c r="S49" s="2">
        <v>94.723500000000001</v>
      </c>
      <c r="T49" s="2">
        <v>36</v>
      </c>
      <c r="U49" s="2">
        <v>0.80813599999999997</v>
      </c>
      <c r="V49" s="2">
        <v>48</v>
      </c>
      <c r="W49" s="2">
        <v>2007</v>
      </c>
    </row>
    <row r="50" spans="1:23" ht="12.3" x14ac:dyDescent="0.4">
      <c r="A50" s="2" t="s">
        <v>137</v>
      </c>
      <c r="B50" s="2">
        <v>11</v>
      </c>
      <c r="C50" s="3" t="s">
        <v>33</v>
      </c>
      <c r="D50" s="2"/>
      <c r="E50" s="2"/>
      <c r="F50" s="2"/>
      <c r="G50" s="2"/>
      <c r="H50" s="2"/>
      <c r="I50" s="2">
        <v>65.147999999999996</v>
      </c>
      <c r="J50" s="2">
        <v>232</v>
      </c>
      <c r="K50" s="2">
        <v>66.006200000000007</v>
      </c>
      <c r="L50" s="2">
        <v>196</v>
      </c>
      <c r="M50" s="2">
        <v>114.1977</v>
      </c>
      <c r="N50" s="2">
        <v>11</v>
      </c>
      <c r="O50" s="2">
        <v>114.0138</v>
      </c>
      <c r="P50" s="2">
        <v>18</v>
      </c>
      <c r="Q50" s="2">
        <v>98.840400000000002</v>
      </c>
      <c r="R50" s="2">
        <v>91</v>
      </c>
      <c r="S50" s="2">
        <v>100.6247</v>
      </c>
      <c r="T50" s="2">
        <v>124</v>
      </c>
      <c r="U50" s="2">
        <v>0.80792699999999995</v>
      </c>
      <c r="V50" s="2">
        <v>49</v>
      </c>
      <c r="W50" s="2">
        <v>2007</v>
      </c>
    </row>
    <row r="51" spans="1:23" ht="12.3" x14ac:dyDescent="0.4">
      <c r="A51" s="2" t="s">
        <v>42</v>
      </c>
      <c r="B51" s="2">
        <v>5</v>
      </c>
      <c r="C51" s="3" t="s">
        <v>33</v>
      </c>
      <c r="D51" s="3" t="s">
        <v>33</v>
      </c>
      <c r="E51" s="2"/>
      <c r="F51" s="2"/>
      <c r="G51" s="2"/>
      <c r="H51" s="2"/>
      <c r="I51" s="2">
        <v>67.268000000000001</v>
      </c>
      <c r="J51" s="2">
        <v>149</v>
      </c>
      <c r="K51" s="2">
        <v>67.775199999999998</v>
      </c>
      <c r="L51" s="2">
        <v>121</v>
      </c>
      <c r="M51" s="2">
        <v>104.4746</v>
      </c>
      <c r="N51" s="2">
        <v>127</v>
      </c>
      <c r="O51" s="2">
        <v>109.04949999999999</v>
      </c>
      <c r="P51" s="2">
        <v>65</v>
      </c>
      <c r="Q51" s="2">
        <v>95.037099999999995</v>
      </c>
      <c r="R51" s="2">
        <v>31</v>
      </c>
      <c r="S51" s="2">
        <v>96.358099999999993</v>
      </c>
      <c r="T51" s="2">
        <v>51</v>
      </c>
      <c r="U51" s="2">
        <v>0.80579199999999995</v>
      </c>
      <c r="V51" s="2">
        <v>50</v>
      </c>
      <c r="W51" s="2">
        <v>2007</v>
      </c>
    </row>
    <row r="52" spans="1:23" ht="12.3" x14ac:dyDescent="0.4">
      <c r="A52" s="2" t="s">
        <v>95</v>
      </c>
      <c r="B52" s="2">
        <v>7</v>
      </c>
      <c r="C52" s="3" t="s">
        <v>33</v>
      </c>
      <c r="D52" s="2"/>
      <c r="E52" s="2"/>
      <c r="F52" s="2"/>
      <c r="G52" s="2"/>
      <c r="H52" s="2"/>
      <c r="I52" s="2">
        <v>66.2363</v>
      </c>
      <c r="J52" s="2">
        <v>196</v>
      </c>
      <c r="K52" s="2">
        <v>64.754400000000004</v>
      </c>
      <c r="L52" s="2">
        <v>246</v>
      </c>
      <c r="M52" s="2">
        <v>111.86660000000001</v>
      </c>
      <c r="N52" s="2">
        <v>23</v>
      </c>
      <c r="O52" s="2">
        <v>114.03570000000001</v>
      </c>
      <c r="P52" s="2">
        <v>17</v>
      </c>
      <c r="Q52" s="2">
        <v>104.72929999999999</v>
      </c>
      <c r="R52" s="2">
        <v>223</v>
      </c>
      <c r="S52" s="2">
        <v>100.7944</v>
      </c>
      <c r="T52" s="2">
        <v>131</v>
      </c>
      <c r="U52" s="2">
        <v>0.80524899999999999</v>
      </c>
      <c r="V52" s="2">
        <v>51</v>
      </c>
      <c r="W52" s="2">
        <v>2007</v>
      </c>
    </row>
    <row r="53" spans="1:23" ht="12.3" x14ac:dyDescent="0.4">
      <c r="A53" s="2" t="s">
        <v>207</v>
      </c>
      <c r="B53" s="2"/>
      <c r="C53" s="2"/>
      <c r="D53" s="2"/>
      <c r="E53" s="2"/>
      <c r="F53" s="2"/>
      <c r="G53" s="2"/>
      <c r="H53" s="2"/>
      <c r="I53" s="2">
        <v>63.567500000000003</v>
      </c>
      <c r="J53" s="2">
        <v>281</v>
      </c>
      <c r="K53" s="2">
        <v>63.666600000000003</v>
      </c>
      <c r="L53" s="2">
        <v>286</v>
      </c>
      <c r="M53" s="2">
        <v>104.10209999999999</v>
      </c>
      <c r="N53" s="2">
        <v>137</v>
      </c>
      <c r="O53" s="2">
        <v>107.2029</v>
      </c>
      <c r="P53" s="2">
        <v>87</v>
      </c>
      <c r="Q53" s="2">
        <v>98.922600000000003</v>
      </c>
      <c r="R53" s="2">
        <v>92</v>
      </c>
      <c r="S53" s="2">
        <v>94.775400000000005</v>
      </c>
      <c r="T53" s="2">
        <v>38</v>
      </c>
      <c r="U53" s="2">
        <v>0.80486199999999997</v>
      </c>
      <c r="V53" s="2">
        <v>52</v>
      </c>
      <c r="W53" s="2">
        <v>2007</v>
      </c>
    </row>
    <row r="54" spans="1:23" ht="12.3" x14ac:dyDescent="0.4">
      <c r="A54" s="2" t="s">
        <v>134</v>
      </c>
      <c r="B54" s="2">
        <v>13</v>
      </c>
      <c r="C54" s="2"/>
      <c r="D54" s="2"/>
      <c r="E54" s="2"/>
      <c r="F54" s="2"/>
      <c r="G54" s="2"/>
      <c r="H54" s="2"/>
      <c r="I54" s="2">
        <v>72.322199999999995</v>
      </c>
      <c r="J54" s="2">
        <v>23</v>
      </c>
      <c r="K54" s="2">
        <v>72.708299999999994</v>
      </c>
      <c r="L54" s="2">
        <v>13</v>
      </c>
      <c r="M54" s="2">
        <v>110.748</v>
      </c>
      <c r="N54" s="2">
        <v>34</v>
      </c>
      <c r="O54" s="2">
        <v>110.2953</v>
      </c>
      <c r="P54" s="2">
        <v>47</v>
      </c>
      <c r="Q54" s="2">
        <v>95.092600000000004</v>
      </c>
      <c r="R54" s="2">
        <v>34</v>
      </c>
      <c r="S54" s="2">
        <v>97.524799999999999</v>
      </c>
      <c r="T54" s="2">
        <v>63</v>
      </c>
      <c r="U54" s="2">
        <v>0.80457400000000001</v>
      </c>
      <c r="V54" s="2">
        <v>53</v>
      </c>
      <c r="W54" s="2">
        <v>2007</v>
      </c>
    </row>
    <row r="55" spans="1:23" ht="12.3" x14ac:dyDescent="0.4">
      <c r="A55" s="2" t="s">
        <v>245</v>
      </c>
      <c r="B55" s="2"/>
      <c r="C55" s="2"/>
      <c r="D55" s="2"/>
      <c r="E55" s="2"/>
      <c r="F55" s="2"/>
      <c r="G55" s="2"/>
      <c r="H55" s="2"/>
      <c r="I55" s="2">
        <v>66.777699999999996</v>
      </c>
      <c r="J55" s="2">
        <v>169</v>
      </c>
      <c r="K55" s="2">
        <v>68.036299999999997</v>
      </c>
      <c r="L55" s="2">
        <v>110</v>
      </c>
      <c r="M55" s="2">
        <v>110.8404</v>
      </c>
      <c r="N55" s="2">
        <v>33</v>
      </c>
      <c r="O55" s="2">
        <v>113.0842</v>
      </c>
      <c r="P55" s="2">
        <v>24</v>
      </c>
      <c r="Q55" s="2">
        <v>104.49079999999999</v>
      </c>
      <c r="R55" s="2">
        <v>213</v>
      </c>
      <c r="S55" s="2">
        <v>100.361</v>
      </c>
      <c r="T55" s="2">
        <v>117</v>
      </c>
      <c r="U55" s="2">
        <v>0.79780499999999999</v>
      </c>
      <c r="V55" s="2">
        <v>54</v>
      </c>
      <c r="W55" s="2">
        <v>2007</v>
      </c>
    </row>
    <row r="56" spans="1:23" ht="12.3" x14ac:dyDescent="0.4">
      <c r="A56" s="2" t="s">
        <v>154</v>
      </c>
      <c r="B56" s="2"/>
      <c r="C56" s="2"/>
      <c r="D56" s="2"/>
      <c r="E56" s="2"/>
      <c r="F56" s="2"/>
      <c r="G56" s="2"/>
      <c r="H56" s="2"/>
      <c r="I56" s="2">
        <v>62.492800000000003</v>
      </c>
      <c r="J56" s="2">
        <v>299</v>
      </c>
      <c r="K56" s="2">
        <v>63.936300000000003</v>
      </c>
      <c r="L56" s="2">
        <v>277</v>
      </c>
      <c r="M56" s="2">
        <v>102.50530000000001</v>
      </c>
      <c r="N56" s="2">
        <v>163</v>
      </c>
      <c r="O56" s="2">
        <v>106.2491</v>
      </c>
      <c r="P56" s="2">
        <v>100</v>
      </c>
      <c r="Q56" s="2">
        <v>95.773600000000002</v>
      </c>
      <c r="R56" s="2">
        <v>41</v>
      </c>
      <c r="S56" s="2">
        <v>94.361099999999993</v>
      </c>
      <c r="T56" s="2">
        <v>32</v>
      </c>
      <c r="U56" s="2">
        <v>0.79649899999999996</v>
      </c>
      <c r="V56" s="2">
        <v>55</v>
      </c>
      <c r="W56" s="2">
        <v>2007</v>
      </c>
    </row>
    <row r="57" spans="1:23" ht="12.3" x14ac:dyDescent="0.4">
      <c r="A57" s="2" t="s">
        <v>19</v>
      </c>
      <c r="B57" s="2"/>
      <c r="C57" s="2"/>
      <c r="D57" s="2"/>
      <c r="E57" s="2"/>
      <c r="F57" s="2"/>
      <c r="G57" s="2"/>
      <c r="H57" s="2"/>
      <c r="I57" s="2">
        <v>69.314300000000003</v>
      </c>
      <c r="J57" s="2">
        <v>84</v>
      </c>
      <c r="K57" s="2">
        <v>67.755499999999998</v>
      </c>
      <c r="L57" s="2">
        <v>122</v>
      </c>
      <c r="M57" s="2">
        <v>106.70780000000001</v>
      </c>
      <c r="N57" s="2">
        <v>86</v>
      </c>
      <c r="O57" s="2">
        <v>107.69329999999999</v>
      </c>
      <c r="P57" s="2">
        <v>81</v>
      </c>
      <c r="Q57" s="2">
        <v>98.320700000000002</v>
      </c>
      <c r="R57" s="2">
        <v>78</v>
      </c>
      <c r="S57" s="2">
        <v>95.656300000000002</v>
      </c>
      <c r="T57" s="2">
        <v>45</v>
      </c>
      <c r="U57" s="2">
        <v>0.79625500000000005</v>
      </c>
      <c r="V57" s="2">
        <v>56</v>
      </c>
      <c r="W57" s="2">
        <v>2007</v>
      </c>
    </row>
    <row r="58" spans="1:23" ht="12.3" x14ac:dyDescent="0.4">
      <c r="A58" s="2" t="s">
        <v>155</v>
      </c>
      <c r="B58" s="2"/>
      <c r="C58" s="2"/>
      <c r="D58" s="2"/>
      <c r="E58" s="2"/>
      <c r="F58" s="2"/>
      <c r="G58" s="2"/>
      <c r="H58" s="2"/>
      <c r="I58" s="2">
        <v>71.363</v>
      </c>
      <c r="J58" s="2">
        <v>39</v>
      </c>
      <c r="K58" s="2">
        <v>71.828400000000002</v>
      </c>
      <c r="L58" s="2">
        <v>26</v>
      </c>
      <c r="M58" s="2">
        <v>107.315</v>
      </c>
      <c r="N58" s="2">
        <v>78</v>
      </c>
      <c r="O58" s="2">
        <v>106.0556</v>
      </c>
      <c r="P58" s="2">
        <v>102</v>
      </c>
      <c r="Q58" s="2">
        <v>94.426500000000004</v>
      </c>
      <c r="R58" s="2">
        <v>22</v>
      </c>
      <c r="S58" s="2">
        <v>94.238900000000001</v>
      </c>
      <c r="T58" s="2">
        <v>30</v>
      </c>
      <c r="U58" s="2">
        <v>0.79551499999999997</v>
      </c>
      <c r="V58" s="2">
        <v>57</v>
      </c>
      <c r="W58" s="2">
        <v>2007</v>
      </c>
    </row>
    <row r="59" spans="1:23" ht="12.3" x14ac:dyDescent="0.4">
      <c r="A59" s="2" t="s">
        <v>111</v>
      </c>
      <c r="B59" s="2">
        <v>6</v>
      </c>
      <c r="C59" s="3" t="s">
        <v>33</v>
      </c>
      <c r="D59" s="3" t="s">
        <v>33</v>
      </c>
      <c r="E59" s="2"/>
      <c r="F59" s="2"/>
      <c r="G59" s="2"/>
      <c r="H59" s="2"/>
      <c r="I59" s="2">
        <v>68.407700000000006</v>
      </c>
      <c r="J59" s="2">
        <v>102</v>
      </c>
      <c r="K59" s="2">
        <v>67.471699999999998</v>
      </c>
      <c r="L59" s="2">
        <v>128</v>
      </c>
      <c r="M59" s="2">
        <v>109.4825</v>
      </c>
      <c r="N59" s="2">
        <v>43</v>
      </c>
      <c r="O59" s="2">
        <v>112.9542</v>
      </c>
      <c r="P59" s="2">
        <v>27</v>
      </c>
      <c r="Q59" s="2">
        <v>103.0196</v>
      </c>
      <c r="R59" s="2">
        <v>188</v>
      </c>
      <c r="S59" s="2">
        <v>100.5202</v>
      </c>
      <c r="T59" s="2">
        <v>119</v>
      </c>
      <c r="U59" s="2">
        <v>0.79268300000000003</v>
      </c>
      <c r="V59" s="2">
        <v>58</v>
      </c>
      <c r="W59" s="2">
        <v>2007</v>
      </c>
    </row>
    <row r="60" spans="1:23" ht="12.3" x14ac:dyDescent="0.4">
      <c r="A60" s="2" t="s">
        <v>51</v>
      </c>
      <c r="B60" s="2"/>
      <c r="C60" s="2"/>
      <c r="D60" s="2"/>
      <c r="E60" s="2"/>
      <c r="F60" s="2"/>
      <c r="G60" s="2"/>
      <c r="H60" s="2"/>
      <c r="I60" s="2">
        <v>68.260199999999998</v>
      </c>
      <c r="J60" s="2">
        <v>106</v>
      </c>
      <c r="K60" s="2">
        <v>67.992500000000007</v>
      </c>
      <c r="L60" s="2">
        <v>112</v>
      </c>
      <c r="M60" s="2">
        <v>107.38290000000001</v>
      </c>
      <c r="N60" s="2">
        <v>75</v>
      </c>
      <c r="O60" s="2">
        <v>110.1097</v>
      </c>
      <c r="P60" s="2">
        <v>51</v>
      </c>
      <c r="Q60" s="2">
        <v>101.32899999999999</v>
      </c>
      <c r="R60" s="2">
        <v>145</v>
      </c>
      <c r="S60" s="2">
        <v>98.095399999999998</v>
      </c>
      <c r="T60" s="2">
        <v>74</v>
      </c>
      <c r="U60" s="2">
        <v>0.79062200000000005</v>
      </c>
      <c r="V60" s="2">
        <v>59</v>
      </c>
      <c r="W60" s="2">
        <v>2007</v>
      </c>
    </row>
    <row r="61" spans="1:23" ht="12.3" x14ac:dyDescent="0.4">
      <c r="A61" s="2" t="s">
        <v>87</v>
      </c>
      <c r="B61" s="2">
        <v>4</v>
      </c>
      <c r="C61" s="3" t="s">
        <v>33</v>
      </c>
      <c r="D61" s="2"/>
      <c r="E61" s="2"/>
      <c r="F61" s="2"/>
      <c r="G61" s="2"/>
      <c r="H61" s="2"/>
      <c r="I61" s="2">
        <v>70.538899999999998</v>
      </c>
      <c r="J61" s="2">
        <v>54</v>
      </c>
      <c r="K61" s="2">
        <v>69.022300000000001</v>
      </c>
      <c r="L61" s="2">
        <v>80</v>
      </c>
      <c r="M61" s="2">
        <v>108.9795</v>
      </c>
      <c r="N61" s="2">
        <v>48</v>
      </c>
      <c r="O61" s="2">
        <v>109.6875</v>
      </c>
      <c r="P61" s="2">
        <v>59</v>
      </c>
      <c r="Q61" s="2">
        <v>101.8036</v>
      </c>
      <c r="R61" s="2">
        <v>159</v>
      </c>
      <c r="S61" s="2">
        <v>97.9833</v>
      </c>
      <c r="T61" s="2">
        <v>71</v>
      </c>
      <c r="U61" s="2">
        <v>0.78543700000000005</v>
      </c>
      <c r="V61" s="2">
        <v>60</v>
      </c>
      <c r="W61" s="2">
        <v>2007</v>
      </c>
    </row>
    <row r="62" spans="1:23" ht="12.3" x14ac:dyDescent="0.4">
      <c r="A62" s="2" t="s">
        <v>85</v>
      </c>
      <c r="B62" s="2"/>
      <c r="C62" s="2"/>
      <c r="D62" s="2"/>
      <c r="E62" s="2"/>
      <c r="F62" s="2"/>
      <c r="G62" s="2"/>
      <c r="H62" s="2"/>
      <c r="I62" s="2">
        <v>65.022999999999996</v>
      </c>
      <c r="J62" s="2">
        <v>240</v>
      </c>
      <c r="K62" s="2">
        <v>63.988999999999997</v>
      </c>
      <c r="L62" s="2">
        <v>274</v>
      </c>
      <c r="M62" s="2">
        <v>103.77970000000001</v>
      </c>
      <c r="N62" s="2">
        <v>144</v>
      </c>
      <c r="O62" s="2">
        <v>104.8035</v>
      </c>
      <c r="P62" s="2">
        <v>132</v>
      </c>
      <c r="Q62" s="2">
        <v>95.799700000000001</v>
      </c>
      <c r="R62" s="2">
        <v>42</v>
      </c>
      <c r="S62" s="2">
        <v>93.669200000000004</v>
      </c>
      <c r="T62" s="2">
        <v>26</v>
      </c>
      <c r="U62" s="2">
        <v>0.78442599999999996</v>
      </c>
      <c r="V62" s="2">
        <v>61</v>
      </c>
      <c r="W62" s="2">
        <v>2007</v>
      </c>
    </row>
    <row r="63" spans="1:23" ht="12.3" x14ac:dyDescent="0.4">
      <c r="A63" s="2" t="s">
        <v>210</v>
      </c>
      <c r="B63" s="2"/>
      <c r="C63" s="2"/>
      <c r="D63" s="2"/>
      <c r="E63" s="2"/>
      <c r="F63" s="2"/>
      <c r="G63" s="2"/>
      <c r="H63" s="2"/>
      <c r="I63" s="2">
        <v>64.703500000000005</v>
      </c>
      <c r="J63" s="2">
        <v>253</v>
      </c>
      <c r="K63" s="2">
        <v>65.249499999999998</v>
      </c>
      <c r="L63" s="2">
        <v>224</v>
      </c>
      <c r="M63" s="2">
        <v>101.72880000000001</v>
      </c>
      <c r="N63" s="2">
        <v>174</v>
      </c>
      <c r="O63" s="2">
        <v>102.0913</v>
      </c>
      <c r="P63" s="2">
        <v>168</v>
      </c>
      <c r="Q63" s="2">
        <v>93.368799999999993</v>
      </c>
      <c r="R63" s="2">
        <v>17</v>
      </c>
      <c r="S63" s="2">
        <v>91.276799999999994</v>
      </c>
      <c r="T63" s="2">
        <v>11</v>
      </c>
      <c r="U63" s="2">
        <v>0.78375099999999998</v>
      </c>
      <c r="V63" s="2">
        <v>62</v>
      </c>
      <c r="W63" s="2">
        <v>2007</v>
      </c>
    </row>
    <row r="64" spans="1:23" ht="12.3" x14ac:dyDescent="0.4">
      <c r="A64" s="2" t="s">
        <v>52</v>
      </c>
      <c r="B64" s="2">
        <v>11</v>
      </c>
      <c r="C64" s="2"/>
      <c r="D64" s="2"/>
      <c r="E64" s="2"/>
      <c r="F64" s="2"/>
      <c r="G64" s="2"/>
      <c r="H64" s="2"/>
      <c r="I64" s="2">
        <v>66.122699999999995</v>
      </c>
      <c r="J64" s="2">
        <v>202</v>
      </c>
      <c r="K64" s="2">
        <v>66.753399999999999</v>
      </c>
      <c r="L64" s="2">
        <v>167</v>
      </c>
      <c r="M64" s="2">
        <v>103.42100000000001</v>
      </c>
      <c r="N64" s="2">
        <v>151</v>
      </c>
      <c r="O64" s="2">
        <v>107.2025</v>
      </c>
      <c r="P64" s="2">
        <v>88</v>
      </c>
      <c r="Q64" s="2">
        <v>99.186300000000003</v>
      </c>
      <c r="R64" s="2">
        <v>97</v>
      </c>
      <c r="S64" s="2">
        <v>96.177899999999994</v>
      </c>
      <c r="T64" s="2">
        <v>50</v>
      </c>
      <c r="U64" s="2">
        <v>0.77695099999999995</v>
      </c>
      <c r="V64" s="2">
        <v>63</v>
      </c>
      <c r="W64" s="2">
        <v>2007</v>
      </c>
    </row>
    <row r="65" spans="1:23" ht="12.3" x14ac:dyDescent="0.4">
      <c r="A65" s="2" t="s">
        <v>73</v>
      </c>
      <c r="B65" s="2"/>
      <c r="C65" s="2"/>
      <c r="D65" s="2"/>
      <c r="E65" s="2"/>
      <c r="F65" s="2"/>
      <c r="G65" s="2"/>
      <c r="H65" s="2"/>
      <c r="I65" s="2">
        <v>73.013099999999994</v>
      </c>
      <c r="J65" s="2">
        <v>17</v>
      </c>
      <c r="K65" s="2">
        <v>72.782399999999996</v>
      </c>
      <c r="L65" s="2">
        <v>12</v>
      </c>
      <c r="M65" s="2">
        <v>105.9949</v>
      </c>
      <c r="N65" s="2">
        <v>100</v>
      </c>
      <c r="O65" s="2">
        <v>109.2624</v>
      </c>
      <c r="P65" s="2">
        <v>62</v>
      </c>
      <c r="Q65" s="2">
        <v>98.088399999999993</v>
      </c>
      <c r="R65" s="2">
        <v>76</v>
      </c>
      <c r="S65" s="2">
        <v>98.128799999999998</v>
      </c>
      <c r="T65" s="2">
        <v>77</v>
      </c>
      <c r="U65" s="2">
        <v>0.77485300000000001</v>
      </c>
      <c r="V65" s="2">
        <v>64</v>
      </c>
      <c r="W65" s="2">
        <v>2007</v>
      </c>
    </row>
    <row r="66" spans="1:23" ht="12.3" x14ac:dyDescent="0.4">
      <c r="A66" s="2" t="s">
        <v>38</v>
      </c>
      <c r="B66" s="2"/>
      <c r="C66" s="2"/>
      <c r="D66" s="2"/>
      <c r="E66" s="2"/>
      <c r="F66" s="2"/>
      <c r="G66" s="2"/>
      <c r="H66" s="2"/>
      <c r="I66" s="2">
        <v>64.410399999999996</v>
      </c>
      <c r="J66" s="2">
        <v>259</v>
      </c>
      <c r="K66" s="2">
        <v>63.370199999999997</v>
      </c>
      <c r="L66" s="2">
        <v>294</v>
      </c>
      <c r="M66" s="2">
        <v>103.54170000000001</v>
      </c>
      <c r="N66" s="2">
        <v>149</v>
      </c>
      <c r="O66" s="2">
        <v>104.8537</v>
      </c>
      <c r="P66" s="2">
        <v>131</v>
      </c>
      <c r="Q66" s="2">
        <v>93.123800000000003</v>
      </c>
      <c r="R66" s="2">
        <v>15</v>
      </c>
      <c r="S66" s="2">
        <v>94.194500000000005</v>
      </c>
      <c r="T66" s="2">
        <v>29</v>
      </c>
      <c r="U66" s="2">
        <v>0.77431700000000003</v>
      </c>
      <c r="V66" s="2">
        <v>65</v>
      </c>
      <c r="W66" s="2">
        <v>2007</v>
      </c>
    </row>
    <row r="67" spans="1:23" ht="12.3" x14ac:dyDescent="0.4">
      <c r="A67" s="2" t="s">
        <v>131</v>
      </c>
      <c r="B67" s="2"/>
      <c r="C67" s="2"/>
      <c r="D67" s="2"/>
      <c r="E67" s="2"/>
      <c r="F67" s="2"/>
      <c r="G67" s="2"/>
      <c r="H67" s="2"/>
      <c r="I67" s="2">
        <v>70.244100000000003</v>
      </c>
      <c r="J67" s="2">
        <v>61</v>
      </c>
      <c r="K67" s="2">
        <v>69.999799999999993</v>
      </c>
      <c r="L67" s="2">
        <v>53</v>
      </c>
      <c r="M67" s="2">
        <v>107.4345</v>
      </c>
      <c r="N67" s="2">
        <v>73</v>
      </c>
      <c r="O67" s="2">
        <v>110.44670000000001</v>
      </c>
      <c r="P67" s="2">
        <v>46</v>
      </c>
      <c r="Q67" s="2">
        <v>103.1698</v>
      </c>
      <c r="R67" s="2">
        <v>191</v>
      </c>
      <c r="S67" s="2">
        <v>99.620400000000004</v>
      </c>
      <c r="T67" s="2">
        <v>103</v>
      </c>
      <c r="U67" s="2">
        <v>0.76609899999999997</v>
      </c>
      <c r="V67" s="2">
        <v>66</v>
      </c>
      <c r="W67" s="2">
        <v>2007</v>
      </c>
    </row>
    <row r="68" spans="1:23" ht="12.3" x14ac:dyDescent="0.4">
      <c r="A68" s="2" t="s">
        <v>54</v>
      </c>
      <c r="B68" s="2"/>
      <c r="C68" s="2"/>
      <c r="D68" s="2"/>
      <c r="E68" s="2"/>
      <c r="F68" s="2"/>
      <c r="G68" s="2"/>
      <c r="H68" s="2"/>
      <c r="I68" s="2">
        <v>69.251900000000006</v>
      </c>
      <c r="J68" s="2">
        <v>85</v>
      </c>
      <c r="K68" s="2">
        <v>69.228300000000004</v>
      </c>
      <c r="L68" s="2">
        <v>73</v>
      </c>
      <c r="M68" s="2">
        <v>101.26739999999999</v>
      </c>
      <c r="N68" s="2">
        <v>189</v>
      </c>
      <c r="O68" s="2">
        <v>100.4577</v>
      </c>
      <c r="P68" s="2">
        <v>198</v>
      </c>
      <c r="Q68" s="2">
        <v>90.175299999999993</v>
      </c>
      <c r="R68" s="2">
        <v>4</v>
      </c>
      <c r="S68" s="2">
        <v>90.954999999999998</v>
      </c>
      <c r="T68" s="2">
        <v>10</v>
      </c>
      <c r="U68" s="2">
        <v>0.75818799999999997</v>
      </c>
      <c r="V68" s="2">
        <v>67</v>
      </c>
      <c r="W68" s="2">
        <v>2007</v>
      </c>
    </row>
    <row r="69" spans="1:23" ht="12.3" x14ac:dyDescent="0.4">
      <c r="A69" s="2" t="s">
        <v>253</v>
      </c>
      <c r="B69" s="2"/>
      <c r="C69" s="2"/>
      <c r="D69" s="2"/>
      <c r="E69" s="2"/>
      <c r="F69" s="2"/>
      <c r="G69" s="2"/>
      <c r="H69" s="2"/>
      <c r="I69" s="2">
        <v>67.329599999999999</v>
      </c>
      <c r="J69" s="2">
        <v>142</v>
      </c>
      <c r="K69" s="2">
        <v>67.404499999999999</v>
      </c>
      <c r="L69" s="2">
        <v>131</v>
      </c>
      <c r="M69" s="2">
        <v>109.8746</v>
      </c>
      <c r="N69" s="2">
        <v>41</v>
      </c>
      <c r="O69" s="2">
        <v>110.16330000000001</v>
      </c>
      <c r="P69" s="2">
        <v>50</v>
      </c>
      <c r="Q69" s="2">
        <v>99.959500000000006</v>
      </c>
      <c r="R69" s="2">
        <v>116</v>
      </c>
      <c r="S69" s="2">
        <v>99.799499999999995</v>
      </c>
      <c r="T69" s="2">
        <v>109</v>
      </c>
      <c r="U69" s="2">
        <v>0.75698100000000001</v>
      </c>
      <c r="V69" s="2">
        <v>68</v>
      </c>
      <c r="W69" s="2">
        <v>2007</v>
      </c>
    </row>
    <row r="70" spans="1:23" ht="12.3" x14ac:dyDescent="0.4">
      <c r="A70" s="2" t="s">
        <v>49</v>
      </c>
      <c r="B70" s="2"/>
      <c r="C70" s="2"/>
      <c r="D70" s="2"/>
      <c r="E70" s="2"/>
      <c r="F70" s="2"/>
      <c r="G70" s="2"/>
      <c r="H70" s="2"/>
      <c r="I70" s="2">
        <v>67.272599999999997</v>
      </c>
      <c r="J70" s="2">
        <v>148</v>
      </c>
      <c r="K70" s="2">
        <v>66.378699999999995</v>
      </c>
      <c r="L70" s="2">
        <v>179</v>
      </c>
      <c r="M70" s="2">
        <v>109.3852</v>
      </c>
      <c r="N70" s="2">
        <v>44</v>
      </c>
      <c r="O70" s="2">
        <v>111.3305</v>
      </c>
      <c r="P70" s="2">
        <v>39</v>
      </c>
      <c r="Q70" s="2">
        <v>102.27290000000001</v>
      </c>
      <c r="R70" s="2">
        <v>167</v>
      </c>
      <c r="S70" s="2">
        <v>100.86499999999999</v>
      </c>
      <c r="T70" s="2">
        <v>133</v>
      </c>
      <c r="U70" s="2">
        <v>0.75681399999999999</v>
      </c>
      <c r="V70" s="2">
        <v>69</v>
      </c>
      <c r="W70" s="2">
        <v>2007</v>
      </c>
    </row>
    <row r="71" spans="1:23" ht="12.3" x14ac:dyDescent="0.4">
      <c r="A71" s="2" t="s">
        <v>84</v>
      </c>
      <c r="B71" s="2"/>
      <c r="C71" s="2"/>
      <c r="D71" s="2"/>
      <c r="E71" s="2"/>
      <c r="F71" s="2"/>
      <c r="G71" s="2"/>
      <c r="H71" s="2"/>
      <c r="I71" s="2">
        <v>65.470200000000006</v>
      </c>
      <c r="J71" s="2">
        <v>222</v>
      </c>
      <c r="K71" s="2">
        <v>67.507099999999994</v>
      </c>
      <c r="L71" s="2">
        <v>127</v>
      </c>
      <c r="M71" s="2">
        <v>104.2299</v>
      </c>
      <c r="N71" s="2">
        <v>136</v>
      </c>
      <c r="O71" s="2">
        <v>108.357</v>
      </c>
      <c r="P71" s="2">
        <v>73</v>
      </c>
      <c r="Q71" s="2">
        <v>100.77030000000001</v>
      </c>
      <c r="R71" s="2">
        <v>137</v>
      </c>
      <c r="S71" s="2">
        <v>98.335599999999999</v>
      </c>
      <c r="T71" s="2">
        <v>83</v>
      </c>
      <c r="U71" s="2">
        <v>0.75324899999999995</v>
      </c>
      <c r="V71" s="2">
        <v>70</v>
      </c>
      <c r="W71" s="2">
        <v>2007</v>
      </c>
    </row>
    <row r="72" spans="1:23" ht="12.3" x14ac:dyDescent="0.4">
      <c r="A72" s="2" t="s">
        <v>59</v>
      </c>
      <c r="B72" s="2">
        <v>10</v>
      </c>
      <c r="C72" s="2"/>
      <c r="D72" s="2"/>
      <c r="E72" s="2"/>
      <c r="F72" s="2"/>
      <c r="G72" s="2"/>
      <c r="H72" s="2"/>
      <c r="I72" s="2">
        <v>66.527000000000001</v>
      </c>
      <c r="J72" s="2">
        <v>183</v>
      </c>
      <c r="K72" s="2">
        <v>65.695700000000002</v>
      </c>
      <c r="L72" s="2">
        <v>206</v>
      </c>
      <c r="M72" s="2">
        <v>106.4256</v>
      </c>
      <c r="N72" s="2">
        <v>92</v>
      </c>
      <c r="O72" s="2">
        <v>108.9379</v>
      </c>
      <c r="P72" s="2">
        <v>67</v>
      </c>
      <c r="Q72" s="2">
        <v>102.6934</v>
      </c>
      <c r="R72" s="2">
        <v>176</v>
      </c>
      <c r="S72" s="2">
        <v>98.928299999999993</v>
      </c>
      <c r="T72" s="2">
        <v>90</v>
      </c>
      <c r="U72" s="2">
        <v>0.75183199999999994</v>
      </c>
      <c r="V72" s="2">
        <v>71</v>
      </c>
      <c r="W72" s="2">
        <v>2007</v>
      </c>
    </row>
    <row r="73" spans="1:23" ht="12.3" x14ac:dyDescent="0.4">
      <c r="A73" s="2" t="s">
        <v>192</v>
      </c>
      <c r="B73" s="2"/>
      <c r="C73" s="2"/>
      <c r="D73" s="2"/>
      <c r="E73" s="2"/>
      <c r="F73" s="2"/>
      <c r="G73" s="2"/>
      <c r="H73" s="2"/>
      <c r="I73" s="2">
        <v>63.898699999999998</v>
      </c>
      <c r="J73" s="2">
        <v>270</v>
      </c>
      <c r="K73" s="2">
        <v>64.160499999999999</v>
      </c>
      <c r="L73" s="2">
        <v>271</v>
      </c>
      <c r="M73" s="2">
        <v>107.0399</v>
      </c>
      <c r="N73" s="2">
        <v>81</v>
      </c>
      <c r="O73" s="2">
        <v>107.65819999999999</v>
      </c>
      <c r="P73" s="2">
        <v>82</v>
      </c>
      <c r="Q73" s="2">
        <v>101.31870000000001</v>
      </c>
      <c r="R73" s="2">
        <v>144</v>
      </c>
      <c r="S73" s="2">
        <v>97.782200000000003</v>
      </c>
      <c r="T73" s="2">
        <v>66</v>
      </c>
      <c r="U73" s="2">
        <v>0.75147799999999998</v>
      </c>
      <c r="V73" s="2">
        <v>72</v>
      </c>
      <c r="W73" s="2">
        <v>2007</v>
      </c>
    </row>
    <row r="74" spans="1:23" ht="12.3" x14ac:dyDescent="0.4">
      <c r="A74" s="2" t="s">
        <v>66</v>
      </c>
      <c r="B74" s="2"/>
      <c r="C74" s="2"/>
      <c r="D74" s="2"/>
      <c r="E74" s="2"/>
      <c r="F74" s="2"/>
      <c r="G74" s="2"/>
      <c r="H74" s="2"/>
      <c r="I74" s="2">
        <v>71.023700000000005</v>
      </c>
      <c r="J74" s="2">
        <v>44</v>
      </c>
      <c r="K74" s="2">
        <v>70.408900000000003</v>
      </c>
      <c r="L74" s="2">
        <v>47</v>
      </c>
      <c r="M74" s="2">
        <v>101.62130000000001</v>
      </c>
      <c r="N74" s="2">
        <v>180</v>
      </c>
      <c r="O74" s="2">
        <v>101.6953</v>
      </c>
      <c r="P74" s="2">
        <v>175</v>
      </c>
      <c r="Q74" s="2">
        <v>93.544300000000007</v>
      </c>
      <c r="R74" s="2">
        <v>18</v>
      </c>
      <c r="S74" s="2">
        <v>92.731999999999999</v>
      </c>
      <c r="T74" s="2">
        <v>20</v>
      </c>
      <c r="U74" s="2">
        <v>0.74289700000000003</v>
      </c>
      <c r="V74" s="2">
        <v>73</v>
      </c>
      <c r="W74" s="2">
        <v>2007</v>
      </c>
    </row>
    <row r="75" spans="1:23" ht="12.3" x14ac:dyDescent="0.4">
      <c r="A75" s="2" t="s">
        <v>216</v>
      </c>
      <c r="B75" s="2"/>
      <c r="C75" s="2"/>
      <c r="D75" s="2"/>
      <c r="E75" s="2"/>
      <c r="F75" s="2"/>
      <c r="G75" s="2"/>
      <c r="H75" s="2"/>
      <c r="I75" s="2">
        <v>62.277099999999997</v>
      </c>
      <c r="J75" s="2">
        <v>306</v>
      </c>
      <c r="K75" s="2">
        <v>62.509799999999998</v>
      </c>
      <c r="L75" s="2">
        <v>305</v>
      </c>
      <c r="M75" s="2">
        <v>104.4383</v>
      </c>
      <c r="N75" s="2">
        <v>129</v>
      </c>
      <c r="O75" s="2">
        <v>105.9751</v>
      </c>
      <c r="P75" s="2">
        <v>106</v>
      </c>
      <c r="Q75" s="2">
        <v>100.72110000000001</v>
      </c>
      <c r="R75" s="2">
        <v>135</v>
      </c>
      <c r="S75" s="2">
        <v>96.717100000000002</v>
      </c>
      <c r="T75" s="2">
        <v>57</v>
      </c>
      <c r="U75" s="2">
        <v>0.74101799999999995</v>
      </c>
      <c r="V75" s="2">
        <v>74</v>
      </c>
      <c r="W75" s="2">
        <v>2007</v>
      </c>
    </row>
    <row r="76" spans="1:23" ht="12.3" x14ac:dyDescent="0.4">
      <c r="A76" s="2" t="s">
        <v>72</v>
      </c>
      <c r="B76" s="2"/>
      <c r="C76" s="2"/>
      <c r="D76" s="2"/>
      <c r="E76" s="2"/>
      <c r="F76" s="2"/>
      <c r="G76" s="2"/>
      <c r="H76" s="2"/>
      <c r="I76" s="2">
        <v>68.082400000000007</v>
      </c>
      <c r="J76" s="2">
        <v>110</v>
      </c>
      <c r="K76" s="2">
        <v>66.590400000000002</v>
      </c>
      <c r="L76" s="2">
        <v>172</v>
      </c>
      <c r="M76" s="2">
        <v>104.7244</v>
      </c>
      <c r="N76" s="2">
        <v>122</v>
      </c>
      <c r="O76" s="2">
        <v>106.364</v>
      </c>
      <c r="P76" s="2">
        <v>97</v>
      </c>
      <c r="Q76" s="2">
        <v>100.0536</v>
      </c>
      <c r="R76" s="2">
        <v>118</v>
      </c>
      <c r="S76" s="2">
        <v>97.091399999999993</v>
      </c>
      <c r="T76" s="2">
        <v>59</v>
      </c>
      <c r="U76" s="2">
        <v>0.74057799999999996</v>
      </c>
      <c r="V76" s="2">
        <v>75</v>
      </c>
      <c r="W76" s="2">
        <v>2007</v>
      </c>
    </row>
    <row r="77" spans="1:23" ht="12.3" x14ac:dyDescent="0.4">
      <c r="A77" s="2" t="s">
        <v>53</v>
      </c>
      <c r="B77" s="2"/>
      <c r="C77" s="2"/>
      <c r="D77" s="2"/>
      <c r="E77" s="2"/>
      <c r="F77" s="2"/>
      <c r="G77" s="2"/>
      <c r="H77" s="2"/>
      <c r="I77" s="2">
        <v>65.641000000000005</v>
      </c>
      <c r="J77" s="2">
        <v>218</v>
      </c>
      <c r="K77" s="2">
        <v>66.032700000000006</v>
      </c>
      <c r="L77" s="2">
        <v>195</v>
      </c>
      <c r="M77" s="2">
        <v>102.91849999999999</v>
      </c>
      <c r="N77" s="2">
        <v>157</v>
      </c>
      <c r="O77" s="2">
        <v>102.916</v>
      </c>
      <c r="P77" s="2">
        <v>153</v>
      </c>
      <c r="Q77" s="2">
        <v>94.594499999999996</v>
      </c>
      <c r="R77" s="2">
        <v>25</v>
      </c>
      <c r="S77" s="2">
        <v>94.2607</v>
      </c>
      <c r="T77" s="2">
        <v>31</v>
      </c>
      <c r="U77" s="2">
        <v>0.73307100000000003</v>
      </c>
      <c r="V77" s="2">
        <v>76</v>
      </c>
      <c r="W77" s="2">
        <v>2007</v>
      </c>
    </row>
    <row r="78" spans="1:23" ht="12.3" x14ac:dyDescent="0.4">
      <c r="A78" s="2" t="s">
        <v>55</v>
      </c>
      <c r="B78" s="2"/>
      <c r="C78" s="2"/>
      <c r="D78" s="2"/>
      <c r="E78" s="2"/>
      <c r="F78" s="2"/>
      <c r="G78" s="2"/>
      <c r="H78" s="2"/>
      <c r="I78" s="2">
        <v>67.638300000000001</v>
      </c>
      <c r="J78" s="2">
        <v>130</v>
      </c>
      <c r="K78" s="2">
        <v>66.890799999999999</v>
      </c>
      <c r="L78" s="2">
        <v>158</v>
      </c>
      <c r="M78" s="2">
        <v>105.9594</v>
      </c>
      <c r="N78" s="2">
        <v>101</v>
      </c>
      <c r="O78" s="2">
        <v>110.9764</v>
      </c>
      <c r="P78" s="2">
        <v>44</v>
      </c>
      <c r="Q78" s="2">
        <v>105.9524</v>
      </c>
      <c r="R78" s="2">
        <v>253</v>
      </c>
      <c r="S78" s="2">
        <v>101.6788</v>
      </c>
      <c r="T78" s="2">
        <v>152</v>
      </c>
      <c r="U78" s="2">
        <v>0.73228300000000002</v>
      </c>
      <c r="V78" s="2">
        <v>77</v>
      </c>
      <c r="W78" s="2">
        <v>2007</v>
      </c>
    </row>
    <row r="79" spans="1:23" ht="12.3" x14ac:dyDescent="0.4">
      <c r="A79" s="2" t="s">
        <v>120</v>
      </c>
      <c r="B79" s="2"/>
      <c r="C79" s="2"/>
      <c r="D79" s="2"/>
      <c r="E79" s="2"/>
      <c r="F79" s="2"/>
      <c r="G79" s="2"/>
      <c r="H79" s="2"/>
      <c r="I79" s="2">
        <v>69.960400000000007</v>
      </c>
      <c r="J79" s="2">
        <v>67</v>
      </c>
      <c r="K79" s="2">
        <v>69.854600000000005</v>
      </c>
      <c r="L79" s="2">
        <v>57</v>
      </c>
      <c r="M79" s="2">
        <v>108.253</v>
      </c>
      <c r="N79" s="2">
        <v>58</v>
      </c>
      <c r="O79" s="2">
        <v>109.39230000000001</v>
      </c>
      <c r="P79" s="2">
        <v>61</v>
      </c>
      <c r="Q79" s="2">
        <v>101.81100000000001</v>
      </c>
      <c r="R79" s="2">
        <v>160</v>
      </c>
      <c r="S79" s="2">
        <v>100.4335</v>
      </c>
      <c r="T79" s="2">
        <v>118</v>
      </c>
      <c r="U79" s="2">
        <v>0.72762700000000002</v>
      </c>
      <c r="V79" s="2">
        <v>78</v>
      </c>
      <c r="W79" s="2">
        <v>2007</v>
      </c>
    </row>
    <row r="80" spans="1:23" ht="12.3" x14ac:dyDescent="0.4">
      <c r="A80" s="2" t="s">
        <v>217</v>
      </c>
      <c r="B80" s="2"/>
      <c r="C80" s="2"/>
      <c r="D80" s="2"/>
      <c r="E80" s="2"/>
      <c r="F80" s="2"/>
      <c r="G80" s="2"/>
      <c r="H80" s="2"/>
      <c r="I80" s="2">
        <v>65.0642</v>
      </c>
      <c r="J80" s="2">
        <v>235</v>
      </c>
      <c r="K80" s="2">
        <v>64.323300000000003</v>
      </c>
      <c r="L80" s="2">
        <v>263</v>
      </c>
      <c r="M80" s="2">
        <v>104.3022</v>
      </c>
      <c r="N80" s="2">
        <v>134</v>
      </c>
      <c r="O80" s="2">
        <v>105.1403</v>
      </c>
      <c r="P80" s="2">
        <v>125</v>
      </c>
      <c r="Q80" s="2">
        <v>96.410799999999995</v>
      </c>
      <c r="R80" s="2">
        <v>51</v>
      </c>
      <c r="S80" s="2">
        <v>96.614699999999999</v>
      </c>
      <c r="T80" s="2">
        <v>55</v>
      </c>
      <c r="U80" s="2">
        <v>0.72561699999999996</v>
      </c>
      <c r="V80" s="2">
        <v>79</v>
      </c>
      <c r="W80" s="2">
        <v>2007</v>
      </c>
    </row>
    <row r="81" spans="1:23" ht="12.3" x14ac:dyDescent="0.4">
      <c r="A81" s="2" t="s">
        <v>178</v>
      </c>
      <c r="B81" s="2">
        <v>13</v>
      </c>
      <c r="C81" s="2"/>
      <c r="D81" s="2"/>
      <c r="E81" s="2"/>
      <c r="F81" s="2"/>
      <c r="G81" s="2"/>
      <c r="H81" s="2"/>
      <c r="I81" s="2">
        <v>62.359499999999997</v>
      </c>
      <c r="J81" s="2">
        <v>304</v>
      </c>
      <c r="K81" s="2">
        <v>63.395699999999998</v>
      </c>
      <c r="L81" s="2">
        <v>293</v>
      </c>
      <c r="M81" s="2">
        <v>101.68049999999999</v>
      </c>
      <c r="N81" s="2">
        <v>178</v>
      </c>
      <c r="O81" s="2">
        <v>101.3128</v>
      </c>
      <c r="P81" s="2">
        <v>178</v>
      </c>
      <c r="Q81" s="2">
        <v>90.711399999999998</v>
      </c>
      <c r="R81" s="2">
        <v>6</v>
      </c>
      <c r="S81" s="2">
        <v>93.212299999999999</v>
      </c>
      <c r="T81" s="2">
        <v>24</v>
      </c>
      <c r="U81" s="2">
        <v>0.72278699999999996</v>
      </c>
      <c r="V81" s="2">
        <v>80</v>
      </c>
      <c r="W81" s="2">
        <v>2007</v>
      </c>
    </row>
    <row r="82" spans="1:23" ht="12.3" x14ac:dyDescent="0.4">
      <c r="A82" s="2" t="s">
        <v>97</v>
      </c>
      <c r="B82" s="2"/>
      <c r="C82" s="2"/>
      <c r="D82" s="2"/>
      <c r="E82" s="2"/>
      <c r="F82" s="2"/>
      <c r="G82" s="2"/>
      <c r="H82" s="2"/>
      <c r="I82" s="2">
        <v>70.210700000000003</v>
      </c>
      <c r="J82" s="2">
        <v>63</v>
      </c>
      <c r="K82" s="2">
        <v>69.913200000000003</v>
      </c>
      <c r="L82" s="2">
        <v>56</v>
      </c>
      <c r="M82" s="2">
        <v>101.84650000000001</v>
      </c>
      <c r="N82" s="2">
        <v>171</v>
      </c>
      <c r="O82" s="2">
        <v>101.26</v>
      </c>
      <c r="P82" s="2">
        <v>180</v>
      </c>
      <c r="Q82" s="2">
        <v>96.564400000000006</v>
      </c>
      <c r="R82" s="2">
        <v>54</v>
      </c>
      <c r="S82" s="2">
        <v>93.174300000000002</v>
      </c>
      <c r="T82" s="2">
        <v>23</v>
      </c>
      <c r="U82" s="2">
        <v>0.72252400000000006</v>
      </c>
      <c r="V82" s="2">
        <v>81</v>
      </c>
      <c r="W82" s="2">
        <v>2007</v>
      </c>
    </row>
    <row r="83" spans="1:23" ht="12.3" x14ac:dyDescent="0.4">
      <c r="A83" s="2" t="s">
        <v>232</v>
      </c>
      <c r="B83" s="2">
        <v>11</v>
      </c>
      <c r="C83" s="2"/>
      <c r="D83" s="2"/>
      <c r="E83" s="2"/>
      <c r="F83" s="2"/>
      <c r="G83" s="2"/>
      <c r="H83" s="2"/>
      <c r="I83" s="2">
        <v>66.816500000000005</v>
      </c>
      <c r="J83" s="2">
        <v>165</v>
      </c>
      <c r="K83" s="2">
        <v>67.738299999999995</v>
      </c>
      <c r="L83" s="2">
        <v>123</v>
      </c>
      <c r="M83" s="2">
        <v>106.3599</v>
      </c>
      <c r="N83" s="2">
        <v>94</v>
      </c>
      <c r="O83" s="2">
        <v>103.5669</v>
      </c>
      <c r="P83" s="2">
        <v>146</v>
      </c>
      <c r="Q83" s="2">
        <v>96.212100000000007</v>
      </c>
      <c r="R83" s="2">
        <v>47</v>
      </c>
      <c r="S83" s="2">
        <v>95.475899999999996</v>
      </c>
      <c r="T83" s="2">
        <v>42</v>
      </c>
      <c r="U83" s="2">
        <v>0.71818099999999996</v>
      </c>
      <c r="V83" s="2">
        <v>82</v>
      </c>
      <c r="W83" s="2">
        <v>2007</v>
      </c>
    </row>
    <row r="84" spans="1:23" ht="12.3" x14ac:dyDescent="0.4">
      <c r="A84" s="2" t="s">
        <v>138</v>
      </c>
      <c r="B84" s="2">
        <v>14</v>
      </c>
      <c r="C84" s="2"/>
      <c r="D84" s="2"/>
      <c r="E84" s="2"/>
      <c r="F84" s="2"/>
      <c r="G84" s="2"/>
      <c r="H84" s="2"/>
      <c r="I84" s="2">
        <v>66.974999999999994</v>
      </c>
      <c r="J84" s="2">
        <v>159</v>
      </c>
      <c r="K84" s="2">
        <v>67.290099999999995</v>
      </c>
      <c r="L84" s="2">
        <v>139</v>
      </c>
      <c r="M84" s="2">
        <v>106.4855</v>
      </c>
      <c r="N84" s="2">
        <v>89</v>
      </c>
      <c r="O84" s="2">
        <v>105.82689999999999</v>
      </c>
      <c r="P84" s="2">
        <v>110</v>
      </c>
      <c r="Q84" s="2">
        <v>97.073800000000006</v>
      </c>
      <c r="R84" s="2">
        <v>63</v>
      </c>
      <c r="S84" s="2">
        <v>97.717200000000005</v>
      </c>
      <c r="T84" s="2">
        <v>65</v>
      </c>
      <c r="U84" s="2">
        <v>0.71440199999999998</v>
      </c>
      <c r="V84" s="2">
        <v>83</v>
      </c>
      <c r="W84" s="2">
        <v>2007</v>
      </c>
    </row>
    <row r="85" spans="1:23" ht="12.3" x14ac:dyDescent="0.4">
      <c r="A85" s="2" t="s">
        <v>150</v>
      </c>
      <c r="B85" s="2"/>
      <c r="C85" s="2"/>
      <c r="D85" s="2"/>
      <c r="E85" s="2"/>
      <c r="F85" s="2"/>
      <c r="G85" s="2"/>
      <c r="H85" s="2"/>
      <c r="I85" s="2">
        <v>63.637500000000003</v>
      </c>
      <c r="J85" s="2">
        <v>277</v>
      </c>
      <c r="K85" s="2">
        <v>65.390900000000002</v>
      </c>
      <c r="L85" s="2">
        <v>220</v>
      </c>
      <c r="M85" s="2">
        <v>107.8976</v>
      </c>
      <c r="N85" s="2">
        <v>63</v>
      </c>
      <c r="O85" s="2">
        <v>107.6957</v>
      </c>
      <c r="P85" s="2">
        <v>80</v>
      </c>
      <c r="Q85" s="2">
        <v>101.8747</v>
      </c>
      <c r="R85" s="2">
        <v>161</v>
      </c>
      <c r="S85" s="2">
        <v>99.765900000000002</v>
      </c>
      <c r="T85" s="2">
        <v>107</v>
      </c>
      <c r="U85" s="2">
        <v>0.70673200000000003</v>
      </c>
      <c r="V85" s="2">
        <v>84</v>
      </c>
      <c r="W85" s="2">
        <v>2007</v>
      </c>
    </row>
    <row r="86" spans="1:23" ht="12.3" x14ac:dyDescent="0.4">
      <c r="A86" s="2" t="s">
        <v>171</v>
      </c>
      <c r="B86" s="2">
        <v>14</v>
      </c>
      <c r="C86" s="2"/>
      <c r="D86" s="2"/>
      <c r="E86" s="2"/>
      <c r="F86" s="2"/>
      <c r="G86" s="2"/>
      <c r="H86" s="2"/>
      <c r="I86" s="2">
        <v>62.1143</v>
      </c>
      <c r="J86" s="2">
        <v>308</v>
      </c>
      <c r="K86" s="2">
        <v>63.636200000000002</v>
      </c>
      <c r="L86" s="2">
        <v>288</v>
      </c>
      <c r="M86" s="2">
        <v>103.03440000000001</v>
      </c>
      <c r="N86" s="2">
        <v>155</v>
      </c>
      <c r="O86" s="2">
        <v>103.1979</v>
      </c>
      <c r="P86" s="2">
        <v>150</v>
      </c>
      <c r="Q86" s="2">
        <v>98.255200000000002</v>
      </c>
      <c r="R86" s="2">
        <v>77</v>
      </c>
      <c r="S86" s="2">
        <v>95.635300000000001</v>
      </c>
      <c r="T86" s="2">
        <v>44</v>
      </c>
      <c r="U86" s="2">
        <v>0.70583399999999996</v>
      </c>
      <c r="V86" s="2">
        <v>85</v>
      </c>
      <c r="W86" s="2">
        <v>2007</v>
      </c>
    </row>
    <row r="87" spans="1:23" ht="12.3" x14ac:dyDescent="0.4">
      <c r="A87" s="2" t="s">
        <v>57</v>
      </c>
      <c r="B87" s="2"/>
      <c r="C87" s="2"/>
      <c r="D87" s="2"/>
      <c r="E87" s="2"/>
      <c r="F87" s="2"/>
      <c r="G87" s="2"/>
      <c r="H87" s="2"/>
      <c r="I87" s="2">
        <v>65.183099999999996</v>
      </c>
      <c r="J87" s="2">
        <v>228</v>
      </c>
      <c r="K87" s="2">
        <v>65.210300000000004</v>
      </c>
      <c r="L87" s="2">
        <v>226</v>
      </c>
      <c r="M87" s="2">
        <v>104.8125</v>
      </c>
      <c r="N87" s="2">
        <v>121</v>
      </c>
      <c r="O87" s="2">
        <v>108.4335</v>
      </c>
      <c r="P87" s="2">
        <v>72</v>
      </c>
      <c r="Q87" s="2">
        <v>104.5206</v>
      </c>
      <c r="R87" s="2">
        <v>214</v>
      </c>
      <c r="S87" s="2">
        <v>100.62690000000001</v>
      </c>
      <c r="T87" s="2">
        <v>125</v>
      </c>
      <c r="U87" s="2">
        <v>0.70250400000000002</v>
      </c>
      <c r="V87" s="2">
        <v>86</v>
      </c>
      <c r="W87" s="2">
        <v>2007</v>
      </c>
    </row>
    <row r="88" spans="1:23" ht="12.3" x14ac:dyDescent="0.4">
      <c r="A88" s="2" t="s">
        <v>289</v>
      </c>
      <c r="B88" s="2"/>
      <c r="C88" s="2"/>
      <c r="D88" s="2"/>
      <c r="E88" s="2"/>
      <c r="F88" s="2"/>
      <c r="G88" s="2"/>
      <c r="H88" s="2"/>
      <c r="I88" s="2">
        <v>60.533499999999997</v>
      </c>
      <c r="J88" s="2">
        <v>323</v>
      </c>
      <c r="K88" s="2">
        <v>62.317399999999999</v>
      </c>
      <c r="L88" s="2">
        <v>307</v>
      </c>
      <c r="M88" s="2">
        <v>103.8365</v>
      </c>
      <c r="N88" s="2">
        <v>143</v>
      </c>
      <c r="O88" s="2">
        <v>105.7105</v>
      </c>
      <c r="P88" s="2">
        <v>113</v>
      </c>
      <c r="Q88" s="2">
        <v>94.808300000000003</v>
      </c>
      <c r="R88" s="2">
        <v>27</v>
      </c>
      <c r="S88" s="2">
        <v>98.146500000000003</v>
      </c>
      <c r="T88" s="2">
        <v>78</v>
      </c>
      <c r="U88" s="2">
        <v>0.70136200000000004</v>
      </c>
      <c r="V88" s="2">
        <v>87</v>
      </c>
      <c r="W88" s="2">
        <v>2007</v>
      </c>
    </row>
    <row r="89" spans="1:23" ht="12.3" x14ac:dyDescent="0.4">
      <c r="A89" s="2" t="s">
        <v>77</v>
      </c>
      <c r="B89" s="2">
        <v>14</v>
      </c>
      <c r="C89" s="2"/>
      <c r="D89" s="2"/>
      <c r="E89" s="2"/>
      <c r="F89" s="2"/>
      <c r="G89" s="2"/>
      <c r="H89" s="2"/>
      <c r="I89" s="2">
        <v>68.075900000000004</v>
      </c>
      <c r="J89" s="2">
        <v>111</v>
      </c>
      <c r="K89" s="2">
        <v>69.319500000000005</v>
      </c>
      <c r="L89" s="2">
        <v>71</v>
      </c>
      <c r="M89" s="2">
        <v>108.8584</v>
      </c>
      <c r="N89" s="2">
        <v>49</v>
      </c>
      <c r="O89" s="2">
        <v>107.8532</v>
      </c>
      <c r="P89" s="2">
        <v>79</v>
      </c>
      <c r="Q89" s="2">
        <v>98.381699999999995</v>
      </c>
      <c r="R89" s="2">
        <v>81</v>
      </c>
      <c r="S89" s="2">
        <v>100.2092</v>
      </c>
      <c r="T89" s="2">
        <v>115</v>
      </c>
      <c r="U89" s="2">
        <v>0.69959700000000002</v>
      </c>
      <c r="V89" s="2">
        <v>88</v>
      </c>
      <c r="W89" s="2">
        <v>2007</v>
      </c>
    </row>
    <row r="90" spans="1:23" ht="12.3" x14ac:dyDescent="0.4">
      <c r="A90" s="2" t="s">
        <v>113</v>
      </c>
      <c r="B90" s="2"/>
      <c r="C90" s="2"/>
      <c r="D90" s="2"/>
      <c r="E90" s="2"/>
      <c r="F90" s="2"/>
      <c r="G90" s="2"/>
      <c r="H90" s="2"/>
      <c r="I90" s="2">
        <v>71.486699999999999</v>
      </c>
      <c r="J90" s="2">
        <v>37</v>
      </c>
      <c r="K90" s="2">
        <v>71.186000000000007</v>
      </c>
      <c r="L90" s="2">
        <v>33</v>
      </c>
      <c r="M90" s="2">
        <v>101.7033</v>
      </c>
      <c r="N90" s="2">
        <v>177</v>
      </c>
      <c r="O90" s="2">
        <v>105.3947</v>
      </c>
      <c r="P90" s="2">
        <v>117</v>
      </c>
      <c r="Q90" s="2">
        <v>101.3045</v>
      </c>
      <c r="R90" s="2">
        <v>143</v>
      </c>
      <c r="S90" s="2">
        <v>98.101200000000006</v>
      </c>
      <c r="T90" s="2">
        <v>75</v>
      </c>
      <c r="U90" s="2">
        <v>0.69523299999999999</v>
      </c>
      <c r="V90" s="2">
        <v>89</v>
      </c>
      <c r="W90" s="2">
        <v>2007</v>
      </c>
    </row>
    <row r="91" spans="1:23" ht="12.3" x14ac:dyDescent="0.4">
      <c r="A91" s="2" t="s">
        <v>136</v>
      </c>
      <c r="B91" s="2"/>
      <c r="C91" s="2"/>
      <c r="D91" s="2"/>
      <c r="E91" s="2"/>
      <c r="F91" s="2"/>
      <c r="G91" s="2"/>
      <c r="H91" s="2"/>
      <c r="I91" s="2">
        <v>64.132999999999996</v>
      </c>
      <c r="J91" s="2">
        <v>261</v>
      </c>
      <c r="K91" s="2">
        <v>62.9801</v>
      </c>
      <c r="L91" s="2">
        <v>299</v>
      </c>
      <c r="M91" s="2">
        <v>103.3862</v>
      </c>
      <c r="N91" s="2">
        <v>152</v>
      </c>
      <c r="O91" s="2">
        <v>106.274</v>
      </c>
      <c r="P91" s="2">
        <v>99</v>
      </c>
      <c r="Q91" s="2">
        <v>101.35429999999999</v>
      </c>
      <c r="R91" s="2">
        <v>147</v>
      </c>
      <c r="S91" s="2">
        <v>99.004300000000001</v>
      </c>
      <c r="T91" s="2">
        <v>91</v>
      </c>
      <c r="U91" s="2">
        <v>0.69314200000000004</v>
      </c>
      <c r="V91" s="2">
        <v>90</v>
      </c>
      <c r="W91" s="2">
        <v>2007</v>
      </c>
    </row>
    <row r="92" spans="1:23" ht="12.3" x14ac:dyDescent="0.4">
      <c r="A92" s="2" t="s">
        <v>164</v>
      </c>
      <c r="B92" s="2"/>
      <c r="C92" s="2"/>
      <c r="D92" s="2"/>
      <c r="E92" s="2"/>
      <c r="F92" s="2"/>
      <c r="G92" s="2"/>
      <c r="H92" s="2"/>
      <c r="I92" s="2">
        <v>65.377099999999999</v>
      </c>
      <c r="J92" s="2">
        <v>223</v>
      </c>
      <c r="K92" s="2">
        <v>65.965100000000007</v>
      </c>
      <c r="L92" s="2">
        <v>200</v>
      </c>
      <c r="M92" s="2">
        <v>100.956</v>
      </c>
      <c r="N92" s="2">
        <v>192</v>
      </c>
      <c r="O92" s="2">
        <v>105.20350000000001</v>
      </c>
      <c r="P92" s="2">
        <v>119</v>
      </c>
      <c r="Q92" s="2">
        <v>99.493600000000001</v>
      </c>
      <c r="R92" s="2">
        <v>104</v>
      </c>
      <c r="S92" s="2">
        <v>98.089799999999997</v>
      </c>
      <c r="T92" s="2">
        <v>72</v>
      </c>
      <c r="U92" s="2">
        <v>0.69107700000000005</v>
      </c>
      <c r="V92" s="2">
        <v>91</v>
      </c>
      <c r="W92" s="2">
        <v>2007</v>
      </c>
    </row>
    <row r="93" spans="1:23" ht="12.3" x14ac:dyDescent="0.4">
      <c r="A93" s="2" t="s">
        <v>292</v>
      </c>
      <c r="B93" s="2"/>
      <c r="C93" s="2"/>
      <c r="D93" s="2"/>
      <c r="E93" s="2"/>
      <c r="F93" s="2"/>
      <c r="G93" s="2"/>
      <c r="H93" s="2"/>
      <c r="I93" s="2">
        <v>63.873199999999997</v>
      </c>
      <c r="J93" s="2">
        <v>272</v>
      </c>
      <c r="K93" s="2">
        <v>65.3917</v>
      </c>
      <c r="L93" s="2">
        <v>219</v>
      </c>
      <c r="M93" s="2">
        <v>107.4371</v>
      </c>
      <c r="N93" s="2">
        <v>72</v>
      </c>
      <c r="O93" s="2">
        <v>111.23439999999999</v>
      </c>
      <c r="P93" s="2">
        <v>40</v>
      </c>
      <c r="Q93" s="2">
        <v>106.0488</v>
      </c>
      <c r="R93" s="2">
        <v>256</v>
      </c>
      <c r="S93" s="2">
        <v>103.84050000000001</v>
      </c>
      <c r="T93" s="2">
        <v>186</v>
      </c>
      <c r="U93" s="2">
        <v>0.68804900000000002</v>
      </c>
      <c r="V93" s="2">
        <v>92</v>
      </c>
      <c r="W93" s="2">
        <v>2007</v>
      </c>
    </row>
    <row r="94" spans="1:23" ht="12.3" x14ac:dyDescent="0.4">
      <c r="A94" s="2" t="s">
        <v>147</v>
      </c>
      <c r="B94" s="2"/>
      <c r="C94" s="2"/>
      <c r="D94" s="2"/>
      <c r="E94" s="2"/>
      <c r="F94" s="2"/>
      <c r="G94" s="2"/>
      <c r="H94" s="2"/>
      <c r="I94" s="2">
        <v>60.4923</v>
      </c>
      <c r="J94" s="2">
        <v>324</v>
      </c>
      <c r="K94" s="2">
        <v>61.457099999999997</v>
      </c>
      <c r="L94" s="2">
        <v>318</v>
      </c>
      <c r="M94" s="2">
        <v>104.54810000000001</v>
      </c>
      <c r="N94" s="2">
        <v>124</v>
      </c>
      <c r="O94" s="2">
        <v>104.87309999999999</v>
      </c>
      <c r="P94" s="2">
        <v>130</v>
      </c>
      <c r="Q94" s="2">
        <v>97.585800000000006</v>
      </c>
      <c r="R94" s="2">
        <v>68</v>
      </c>
      <c r="S94" s="2">
        <v>97.903099999999995</v>
      </c>
      <c r="T94" s="2">
        <v>69</v>
      </c>
      <c r="U94" s="2">
        <v>0.68802099999999999</v>
      </c>
      <c r="V94" s="2">
        <v>93</v>
      </c>
      <c r="W94" s="2">
        <v>2007</v>
      </c>
    </row>
    <row r="95" spans="1:23" ht="12.3" x14ac:dyDescent="0.4">
      <c r="A95" s="2" t="s">
        <v>98</v>
      </c>
      <c r="B95" s="2"/>
      <c r="C95" s="2"/>
      <c r="D95" s="2"/>
      <c r="E95" s="2"/>
      <c r="F95" s="2"/>
      <c r="G95" s="2"/>
      <c r="H95" s="2"/>
      <c r="I95" s="2">
        <v>65.326300000000003</v>
      </c>
      <c r="J95" s="2">
        <v>225</v>
      </c>
      <c r="K95" s="2">
        <v>64.224599999999995</v>
      </c>
      <c r="L95" s="2">
        <v>270</v>
      </c>
      <c r="M95" s="2">
        <v>108.38330000000001</v>
      </c>
      <c r="N95" s="2">
        <v>55</v>
      </c>
      <c r="O95" s="2">
        <v>109.8963</v>
      </c>
      <c r="P95" s="2">
        <v>56</v>
      </c>
      <c r="Q95" s="2">
        <v>102.7116</v>
      </c>
      <c r="R95" s="2">
        <v>178</v>
      </c>
      <c r="S95" s="2">
        <v>102.6116</v>
      </c>
      <c r="T95" s="2">
        <v>165</v>
      </c>
      <c r="U95" s="2">
        <v>0.68756300000000004</v>
      </c>
      <c r="V95" s="2">
        <v>94</v>
      </c>
      <c r="W95" s="2">
        <v>2007</v>
      </c>
    </row>
    <row r="96" spans="1:23" ht="12.3" x14ac:dyDescent="0.4">
      <c r="A96" s="2" t="s">
        <v>276</v>
      </c>
      <c r="B96" s="2">
        <v>15</v>
      </c>
      <c r="C96" s="2"/>
      <c r="D96" s="2"/>
      <c r="E96" s="2"/>
      <c r="F96" s="2"/>
      <c r="G96" s="2"/>
      <c r="H96" s="2"/>
      <c r="I96" s="2">
        <v>69.531199999999998</v>
      </c>
      <c r="J96" s="2">
        <v>76</v>
      </c>
      <c r="K96" s="2">
        <v>68.938900000000004</v>
      </c>
      <c r="L96" s="2">
        <v>82</v>
      </c>
      <c r="M96" s="2">
        <v>114.00530000000001</v>
      </c>
      <c r="N96" s="2">
        <v>12</v>
      </c>
      <c r="O96" s="2">
        <v>112.17270000000001</v>
      </c>
      <c r="P96" s="2">
        <v>31</v>
      </c>
      <c r="Q96" s="2">
        <v>101.1652</v>
      </c>
      <c r="R96" s="2">
        <v>141</v>
      </c>
      <c r="S96" s="2">
        <v>104.81910000000001</v>
      </c>
      <c r="T96" s="2">
        <v>209</v>
      </c>
      <c r="U96" s="2">
        <v>0.68562400000000001</v>
      </c>
      <c r="V96" s="2">
        <v>95</v>
      </c>
      <c r="W96" s="2">
        <v>2007</v>
      </c>
    </row>
    <row r="97" spans="1:23" ht="12.3" x14ac:dyDescent="0.4">
      <c r="A97" s="2" t="s">
        <v>243</v>
      </c>
      <c r="B97" s="2"/>
      <c r="C97" s="2"/>
      <c r="D97" s="2"/>
      <c r="E97" s="2"/>
      <c r="F97" s="2"/>
      <c r="G97" s="2"/>
      <c r="H97" s="2"/>
      <c r="I97" s="2">
        <v>64.579400000000007</v>
      </c>
      <c r="J97" s="2">
        <v>255</v>
      </c>
      <c r="K97" s="2">
        <v>65.652699999999996</v>
      </c>
      <c r="L97" s="2">
        <v>207</v>
      </c>
      <c r="M97" s="2">
        <v>111.1857</v>
      </c>
      <c r="N97" s="2">
        <v>28</v>
      </c>
      <c r="O97" s="2">
        <v>113.19110000000001</v>
      </c>
      <c r="P97" s="2">
        <v>22</v>
      </c>
      <c r="Q97" s="2">
        <v>105.19840000000001</v>
      </c>
      <c r="R97" s="2">
        <v>235</v>
      </c>
      <c r="S97" s="2">
        <v>105.86109999999999</v>
      </c>
      <c r="T97" s="2">
        <v>229</v>
      </c>
      <c r="U97" s="2">
        <v>0.68350200000000005</v>
      </c>
      <c r="V97" s="2">
        <v>96</v>
      </c>
      <c r="W97" s="2">
        <v>2007</v>
      </c>
    </row>
    <row r="98" spans="1:23" ht="12.3" x14ac:dyDescent="0.4">
      <c r="A98" s="2" t="s">
        <v>167</v>
      </c>
      <c r="B98" s="2">
        <v>14</v>
      </c>
      <c r="C98" s="2"/>
      <c r="D98" s="2"/>
      <c r="E98" s="2"/>
      <c r="F98" s="2"/>
      <c r="G98" s="2"/>
      <c r="H98" s="2"/>
      <c r="I98" s="2">
        <v>59.299300000000002</v>
      </c>
      <c r="J98" s="2">
        <v>330</v>
      </c>
      <c r="K98" s="2">
        <v>59.204999999999998</v>
      </c>
      <c r="L98" s="2">
        <v>331</v>
      </c>
      <c r="M98" s="2">
        <v>99.946600000000004</v>
      </c>
      <c r="N98" s="2">
        <v>208</v>
      </c>
      <c r="O98" s="2">
        <v>103.254</v>
      </c>
      <c r="P98" s="2">
        <v>149</v>
      </c>
      <c r="Q98" s="2">
        <v>96.359499999999997</v>
      </c>
      <c r="R98" s="2">
        <v>49</v>
      </c>
      <c r="S98" s="2">
        <v>96.572699999999998</v>
      </c>
      <c r="T98" s="2">
        <v>54</v>
      </c>
      <c r="U98" s="2">
        <v>0.68337000000000003</v>
      </c>
      <c r="V98" s="2">
        <v>97</v>
      </c>
      <c r="W98" s="2">
        <v>2007</v>
      </c>
    </row>
    <row r="99" spans="1:23" ht="12.3" x14ac:dyDescent="0.4">
      <c r="A99" s="2" t="s">
        <v>118</v>
      </c>
      <c r="B99" s="2">
        <v>13</v>
      </c>
      <c r="C99" s="2"/>
      <c r="D99" s="2"/>
      <c r="E99" s="2"/>
      <c r="F99" s="2"/>
      <c r="G99" s="2"/>
      <c r="H99" s="2"/>
      <c r="I99" s="2">
        <v>72.163700000000006</v>
      </c>
      <c r="J99" s="2">
        <v>24</v>
      </c>
      <c r="K99" s="2">
        <v>70.552499999999995</v>
      </c>
      <c r="L99" s="2">
        <v>42</v>
      </c>
      <c r="M99" s="2">
        <v>107.33110000000001</v>
      </c>
      <c r="N99" s="2">
        <v>77</v>
      </c>
      <c r="O99" s="2">
        <v>105.97709999999999</v>
      </c>
      <c r="P99" s="2">
        <v>105</v>
      </c>
      <c r="Q99" s="2">
        <v>99.730999999999995</v>
      </c>
      <c r="R99" s="2">
        <v>108</v>
      </c>
      <c r="S99" s="2">
        <v>99.252499999999998</v>
      </c>
      <c r="T99" s="2">
        <v>93</v>
      </c>
      <c r="U99" s="2">
        <v>0.68002700000000005</v>
      </c>
      <c r="V99" s="2">
        <v>98</v>
      </c>
      <c r="W99" s="2">
        <v>2007</v>
      </c>
    </row>
    <row r="100" spans="1:23" ht="12.3" x14ac:dyDescent="0.4">
      <c r="A100" s="2" t="s">
        <v>130</v>
      </c>
      <c r="B100" s="2"/>
      <c r="C100" s="2"/>
      <c r="D100" s="2"/>
      <c r="E100" s="2"/>
      <c r="F100" s="2"/>
      <c r="G100" s="2"/>
      <c r="H100" s="2"/>
      <c r="I100" s="2">
        <v>70.040199999999999</v>
      </c>
      <c r="J100" s="2">
        <v>66</v>
      </c>
      <c r="K100" s="2">
        <v>69.201899999999995</v>
      </c>
      <c r="L100" s="2">
        <v>76</v>
      </c>
      <c r="M100" s="2">
        <v>103.4537</v>
      </c>
      <c r="N100" s="2">
        <v>150</v>
      </c>
      <c r="O100" s="2">
        <v>104.5087</v>
      </c>
      <c r="P100" s="2">
        <v>133</v>
      </c>
      <c r="Q100" s="2">
        <v>99.805499999999995</v>
      </c>
      <c r="R100" s="2">
        <v>111</v>
      </c>
      <c r="S100" s="2">
        <v>98.401899999999998</v>
      </c>
      <c r="T100" s="2">
        <v>84</v>
      </c>
      <c r="U100" s="2">
        <v>0.66650500000000001</v>
      </c>
      <c r="V100" s="2">
        <v>99</v>
      </c>
      <c r="W100" s="2">
        <v>2007</v>
      </c>
    </row>
    <row r="101" spans="1:23" ht="12.3" x14ac:dyDescent="0.4">
      <c r="A101" s="2" t="s">
        <v>355</v>
      </c>
      <c r="B101" s="2"/>
      <c r="C101" s="2"/>
      <c r="D101" s="2"/>
      <c r="E101" s="2"/>
      <c r="F101" s="2"/>
      <c r="G101" s="2"/>
      <c r="H101" s="2"/>
      <c r="I101" s="2">
        <v>63.515700000000002</v>
      </c>
      <c r="J101" s="2">
        <v>282</v>
      </c>
      <c r="K101" s="2">
        <v>63.714799999999997</v>
      </c>
      <c r="L101" s="2">
        <v>285</v>
      </c>
      <c r="M101" s="2">
        <v>112.24209999999999</v>
      </c>
      <c r="N101" s="2">
        <v>20</v>
      </c>
      <c r="O101" s="2">
        <v>106.9122</v>
      </c>
      <c r="P101" s="2">
        <v>91</v>
      </c>
      <c r="Q101" s="2">
        <v>96.783299999999997</v>
      </c>
      <c r="R101" s="2">
        <v>55</v>
      </c>
      <c r="S101" s="2">
        <v>101.17059999999999</v>
      </c>
      <c r="T101" s="2">
        <v>138</v>
      </c>
      <c r="U101" s="2">
        <v>0.65357500000000002</v>
      </c>
      <c r="V101" s="2">
        <v>100</v>
      </c>
      <c r="W101" s="2">
        <v>2007</v>
      </c>
    </row>
    <row r="102" spans="1:23" ht="12.3" x14ac:dyDescent="0.4">
      <c r="A102" s="2" t="s">
        <v>91</v>
      </c>
      <c r="B102" s="2"/>
      <c r="C102" s="2"/>
      <c r="D102" s="2"/>
      <c r="E102" s="2"/>
      <c r="F102" s="2"/>
      <c r="G102" s="2"/>
      <c r="H102" s="2"/>
      <c r="I102" s="2">
        <v>62.869199999999999</v>
      </c>
      <c r="J102" s="2">
        <v>294</v>
      </c>
      <c r="K102" s="2">
        <v>63.200699999999998</v>
      </c>
      <c r="L102" s="2">
        <v>296</v>
      </c>
      <c r="M102" s="2">
        <v>107.0057</v>
      </c>
      <c r="N102" s="2">
        <v>82</v>
      </c>
      <c r="O102" s="2">
        <v>107.2216</v>
      </c>
      <c r="P102" s="2">
        <v>86</v>
      </c>
      <c r="Q102" s="2">
        <v>102.163</v>
      </c>
      <c r="R102" s="2">
        <v>164</v>
      </c>
      <c r="S102" s="2">
        <v>101.5806</v>
      </c>
      <c r="T102" s="2">
        <v>149</v>
      </c>
      <c r="U102" s="2">
        <v>0.65056599999999998</v>
      </c>
      <c r="V102" s="2">
        <v>101</v>
      </c>
      <c r="W102" s="2">
        <v>2007</v>
      </c>
    </row>
    <row r="103" spans="1:23" ht="12.3" x14ac:dyDescent="0.4">
      <c r="A103" s="2" t="s">
        <v>158</v>
      </c>
      <c r="B103" s="2"/>
      <c r="C103" s="2"/>
      <c r="D103" s="2"/>
      <c r="E103" s="2"/>
      <c r="F103" s="2"/>
      <c r="G103" s="2"/>
      <c r="H103" s="2"/>
      <c r="I103" s="2">
        <v>68.585700000000003</v>
      </c>
      <c r="J103" s="2">
        <v>97</v>
      </c>
      <c r="K103" s="2">
        <v>67.873400000000004</v>
      </c>
      <c r="L103" s="2">
        <v>116</v>
      </c>
      <c r="M103" s="2">
        <v>107.7242</v>
      </c>
      <c r="N103" s="2">
        <v>68</v>
      </c>
      <c r="O103" s="2">
        <v>109.2581</v>
      </c>
      <c r="P103" s="2">
        <v>63</v>
      </c>
      <c r="Q103" s="2">
        <v>106.20229999999999</v>
      </c>
      <c r="R103" s="2">
        <v>262</v>
      </c>
      <c r="S103" s="2">
        <v>103.637</v>
      </c>
      <c r="T103" s="2">
        <v>181</v>
      </c>
      <c r="U103" s="2">
        <v>0.64734899999999995</v>
      </c>
      <c r="V103" s="2">
        <v>102</v>
      </c>
      <c r="W103" s="2">
        <v>2007</v>
      </c>
    </row>
    <row r="104" spans="1:23" ht="12.3" x14ac:dyDescent="0.4">
      <c r="A104" s="2" t="s">
        <v>186</v>
      </c>
      <c r="B104" s="2"/>
      <c r="C104" s="2"/>
      <c r="D104" s="2"/>
      <c r="E104" s="2"/>
      <c r="F104" s="2"/>
      <c r="G104" s="2"/>
      <c r="H104" s="2"/>
      <c r="I104" s="2">
        <v>67.579300000000003</v>
      </c>
      <c r="J104" s="2">
        <v>133</v>
      </c>
      <c r="K104" s="2">
        <v>67.694599999999994</v>
      </c>
      <c r="L104" s="2">
        <v>124</v>
      </c>
      <c r="M104" s="2">
        <v>101.3708</v>
      </c>
      <c r="N104" s="2">
        <v>187</v>
      </c>
      <c r="O104" s="2">
        <v>103.8146</v>
      </c>
      <c r="P104" s="2">
        <v>142</v>
      </c>
      <c r="Q104" s="2">
        <v>99.117599999999996</v>
      </c>
      <c r="R104" s="2">
        <v>95</v>
      </c>
      <c r="S104" s="2">
        <v>98.492500000000007</v>
      </c>
      <c r="T104" s="2">
        <v>86</v>
      </c>
      <c r="U104" s="2">
        <v>0.646845</v>
      </c>
      <c r="V104" s="2">
        <v>103</v>
      </c>
      <c r="W104" s="2">
        <v>2007</v>
      </c>
    </row>
    <row r="105" spans="1:23" ht="12.3" x14ac:dyDescent="0.4">
      <c r="A105" s="2" t="s">
        <v>112</v>
      </c>
      <c r="B105" s="2"/>
      <c r="C105" s="2"/>
      <c r="D105" s="2"/>
      <c r="E105" s="2"/>
      <c r="F105" s="2"/>
      <c r="G105" s="2"/>
      <c r="H105" s="2"/>
      <c r="I105" s="2">
        <v>70.546999999999997</v>
      </c>
      <c r="J105" s="2">
        <v>53</v>
      </c>
      <c r="K105" s="2">
        <v>69.642600000000002</v>
      </c>
      <c r="L105" s="2">
        <v>62</v>
      </c>
      <c r="M105" s="2">
        <v>100.2975</v>
      </c>
      <c r="N105" s="2">
        <v>204</v>
      </c>
      <c r="O105" s="2">
        <v>98.576899999999995</v>
      </c>
      <c r="P105" s="2">
        <v>227</v>
      </c>
      <c r="Q105" s="2">
        <v>92.354699999999994</v>
      </c>
      <c r="R105" s="2">
        <v>12</v>
      </c>
      <c r="S105" s="2">
        <v>93.668400000000005</v>
      </c>
      <c r="T105" s="2">
        <v>25</v>
      </c>
      <c r="U105" s="2">
        <v>0.64276299999999997</v>
      </c>
      <c r="V105" s="2">
        <v>104</v>
      </c>
      <c r="W105" s="2">
        <v>2007</v>
      </c>
    </row>
    <row r="106" spans="1:23" ht="12.3" x14ac:dyDescent="0.4">
      <c r="A106" s="2" t="s">
        <v>360</v>
      </c>
      <c r="B106" s="2"/>
      <c r="C106" s="2"/>
      <c r="D106" s="2"/>
      <c r="E106" s="2"/>
      <c r="F106" s="2"/>
      <c r="G106" s="2"/>
      <c r="H106" s="2"/>
      <c r="I106" s="2">
        <v>67.8005</v>
      </c>
      <c r="J106" s="2">
        <v>124</v>
      </c>
      <c r="K106" s="2">
        <v>68.722700000000003</v>
      </c>
      <c r="L106" s="2">
        <v>91</v>
      </c>
      <c r="M106" s="2">
        <v>110.3312</v>
      </c>
      <c r="N106" s="2">
        <v>37</v>
      </c>
      <c r="O106" s="2">
        <v>106.65600000000001</v>
      </c>
      <c r="P106" s="2">
        <v>95</v>
      </c>
      <c r="Q106" s="2">
        <v>96.888099999999994</v>
      </c>
      <c r="R106" s="2">
        <v>58</v>
      </c>
      <c r="S106" s="2">
        <v>101.372</v>
      </c>
      <c r="T106" s="2">
        <v>143</v>
      </c>
      <c r="U106" s="2">
        <v>0.642065</v>
      </c>
      <c r="V106" s="2">
        <v>105</v>
      </c>
      <c r="W106" s="2">
        <v>2007</v>
      </c>
    </row>
    <row r="107" spans="1:23" ht="12.3" x14ac:dyDescent="0.4">
      <c r="A107" s="2" t="s">
        <v>205</v>
      </c>
      <c r="B107" s="2"/>
      <c r="C107" s="2"/>
      <c r="D107" s="2"/>
      <c r="E107" s="2"/>
      <c r="F107" s="2"/>
      <c r="G107" s="2"/>
      <c r="H107" s="2"/>
      <c r="I107" s="2">
        <v>67.313900000000004</v>
      </c>
      <c r="J107" s="2">
        <v>143</v>
      </c>
      <c r="K107" s="2">
        <v>68.632999999999996</v>
      </c>
      <c r="L107" s="2">
        <v>96</v>
      </c>
      <c r="M107" s="2">
        <v>108.7076</v>
      </c>
      <c r="N107" s="2">
        <v>51</v>
      </c>
      <c r="O107" s="2">
        <v>111.6079</v>
      </c>
      <c r="P107" s="2">
        <v>36</v>
      </c>
      <c r="Q107" s="2">
        <v>110.3621</v>
      </c>
      <c r="R107" s="2">
        <v>320</v>
      </c>
      <c r="S107" s="2">
        <v>106.31610000000001</v>
      </c>
      <c r="T107" s="2">
        <v>238</v>
      </c>
      <c r="U107" s="2">
        <v>0.63613200000000003</v>
      </c>
      <c r="V107" s="2">
        <v>106</v>
      </c>
      <c r="W107" s="2">
        <v>2007</v>
      </c>
    </row>
    <row r="108" spans="1:23" ht="12.3" x14ac:dyDescent="0.4">
      <c r="A108" s="2" t="s">
        <v>188</v>
      </c>
      <c r="B108" s="2">
        <v>12</v>
      </c>
      <c r="C108" s="2"/>
      <c r="D108" s="2"/>
      <c r="E108" s="2"/>
      <c r="F108" s="2"/>
      <c r="G108" s="2"/>
      <c r="H108" s="2"/>
      <c r="I108" s="2">
        <v>72.797899999999998</v>
      </c>
      <c r="J108" s="2">
        <v>19</v>
      </c>
      <c r="K108" s="2">
        <v>71.997500000000002</v>
      </c>
      <c r="L108" s="2">
        <v>24</v>
      </c>
      <c r="M108" s="2">
        <v>110.8599</v>
      </c>
      <c r="N108" s="2">
        <v>32</v>
      </c>
      <c r="O108" s="2">
        <v>110.0711</v>
      </c>
      <c r="P108" s="2">
        <v>52</v>
      </c>
      <c r="Q108" s="2">
        <v>101.3848</v>
      </c>
      <c r="R108" s="2">
        <v>148</v>
      </c>
      <c r="S108" s="2">
        <v>104.9319</v>
      </c>
      <c r="T108" s="2">
        <v>213</v>
      </c>
      <c r="U108" s="2">
        <v>0.63410699999999998</v>
      </c>
      <c r="V108" s="2">
        <v>107</v>
      </c>
      <c r="W108" s="2">
        <v>2007</v>
      </c>
    </row>
    <row r="109" spans="1:23" ht="12.3" x14ac:dyDescent="0.4">
      <c r="A109" s="2" t="s">
        <v>262</v>
      </c>
      <c r="B109" s="2"/>
      <c r="C109" s="2"/>
      <c r="D109" s="2"/>
      <c r="E109" s="2"/>
      <c r="F109" s="2"/>
      <c r="G109" s="2"/>
      <c r="H109" s="2"/>
      <c r="I109" s="2">
        <v>67.228399999999993</v>
      </c>
      <c r="J109" s="2">
        <v>151</v>
      </c>
      <c r="K109" s="2">
        <v>66.001400000000004</v>
      </c>
      <c r="L109" s="2">
        <v>197</v>
      </c>
      <c r="M109" s="2">
        <v>102.7123</v>
      </c>
      <c r="N109" s="2">
        <v>160</v>
      </c>
      <c r="O109" s="2">
        <v>102.8944</v>
      </c>
      <c r="P109" s="2">
        <v>155</v>
      </c>
      <c r="Q109" s="2">
        <v>98.071600000000004</v>
      </c>
      <c r="R109" s="2">
        <v>75</v>
      </c>
      <c r="S109" s="2">
        <v>98.179299999999998</v>
      </c>
      <c r="T109" s="2">
        <v>79</v>
      </c>
      <c r="U109" s="2">
        <v>0.63168000000000002</v>
      </c>
      <c r="V109" s="2">
        <v>108</v>
      </c>
      <c r="W109" s="2">
        <v>2007</v>
      </c>
    </row>
    <row r="110" spans="1:23" ht="12.3" x14ac:dyDescent="0.4">
      <c r="A110" s="2" t="s">
        <v>157</v>
      </c>
      <c r="B110" s="2"/>
      <c r="C110" s="2"/>
      <c r="D110" s="2"/>
      <c r="E110" s="2"/>
      <c r="F110" s="2"/>
      <c r="G110" s="2"/>
      <c r="H110" s="2"/>
      <c r="I110" s="2">
        <v>68.889600000000002</v>
      </c>
      <c r="J110" s="2">
        <v>93</v>
      </c>
      <c r="K110" s="2">
        <v>68.690700000000007</v>
      </c>
      <c r="L110" s="2">
        <v>92</v>
      </c>
      <c r="M110" s="2">
        <v>104.4706</v>
      </c>
      <c r="N110" s="2">
        <v>128</v>
      </c>
      <c r="O110" s="2">
        <v>106.03270000000001</v>
      </c>
      <c r="P110" s="2">
        <v>103</v>
      </c>
      <c r="Q110" s="2">
        <v>103.44410000000001</v>
      </c>
      <c r="R110" s="2">
        <v>193</v>
      </c>
      <c r="S110" s="2">
        <v>101.2878</v>
      </c>
      <c r="T110" s="2">
        <v>141</v>
      </c>
      <c r="U110" s="2">
        <v>0.628664</v>
      </c>
      <c r="V110" s="2">
        <v>109</v>
      </c>
      <c r="W110" s="2">
        <v>2007</v>
      </c>
    </row>
    <row r="111" spans="1:23" ht="12.3" x14ac:dyDescent="0.4">
      <c r="A111" s="2" t="s">
        <v>339</v>
      </c>
      <c r="B111" s="2">
        <v>13</v>
      </c>
      <c r="C111" s="2"/>
      <c r="D111" s="2"/>
      <c r="E111" s="2"/>
      <c r="F111" s="2"/>
      <c r="G111" s="2"/>
      <c r="H111" s="2"/>
      <c r="I111" s="2">
        <v>63.603200000000001</v>
      </c>
      <c r="J111" s="2">
        <v>279</v>
      </c>
      <c r="K111" s="2">
        <v>64.946899999999999</v>
      </c>
      <c r="L111" s="2">
        <v>236</v>
      </c>
      <c r="M111" s="2">
        <v>106.8329</v>
      </c>
      <c r="N111" s="2">
        <v>85</v>
      </c>
      <c r="O111" s="2">
        <v>105.8143</v>
      </c>
      <c r="P111" s="2">
        <v>111</v>
      </c>
      <c r="Q111" s="2">
        <v>100.6185</v>
      </c>
      <c r="R111" s="2">
        <v>132</v>
      </c>
      <c r="S111" s="2">
        <v>101.10339999999999</v>
      </c>
      <c r="T111" s="2">
        <v>136</v>
      </c>
      <c r="U111" s="2">
        <v>0.62802100000000005</v>
      </c>
      <c r="V111" s="2">
        <v>110</v>
      </c>
      <c r="W111" s="2">
        <v>2007</v>
      </c>
    </row>
    <row r="112" spans="1:23" ht="12.3" x14ac:dyDescent="0.4">
      <c r="A112" s="2" t="s">
        <v>244</v>
      </c>
      <c r="B112" s="2">
        <v>15</v>
      </c>
      <c r="C112" s="2"/>
      <c r="D112" s="2"/>
      <c r="E112" s="2"/>
      <c r="F112" s="2"/>
      <c r="G112" s="2"/>
      <c r="H112" s="2"/>
      <c r="I112" s="2">
        <v>67.2059</v>
      </c>
      <c r="J112" s="2">
        <v>152</v>
      </c>
      <c r="K112" s="2">
        <v>67.378799999999998</v>
      </c>
      <c r="L112" s="2">
        <v>132</v>
      </c>
      <c r="M112" s="2">
        <v>107.36020000000001</v>
      </c>
      <c r="N112" s="2">
        <v>76</v>
      </c>
      <c r="O112" s="2">
        <v>104.4161</v>
      </c>
      <c r="P112" s="2">
        <v>134</v>
      </c>
      <c r="Q112" s="2">
        <v>94.826700000000002</v>
      </c>
      <c r="R112" s="2">
        <v>29</v>
      </c>
      <c r="S112" s="2">
        <v>99.827600000000004</v>
      </c>
      <c r="T112" s="2">
        <v>110</v>
      </c>
      <c r="U112" s="2">
        <v>0.62639800000000001</v>
      </c>
      <c r="V112" s="2">
        <v>111</v>
      </c>
      <c r="W112" s="2">
        <v>2007</v>
      </c>
    </row>
    <row r="113" spans="1:23" ht="12.3" x14ac:dyDescent="0.4">
      <c r="A113" s="2" t="s">
        <v>60</v>
      </c>
      <c r="B113" s="2"/>
      <c r="C113" s="2"/>
      <c r="D113" s="2"/>
      <c r="E113" s="2"/>
      <c r="F113" s="2"/>
      <c r="G113" s="2"/>
      <c r="H113" s="2"/>
      <c r="I113" s="2">
        <v>65.998000000000005</v>
      </c>
      <c r="J113" s="2">
        <v>206</v>
      </c>
      <c r="K113" s="2">
        <v>64.970799999999997</v>
      </c>
      <c r="L113" s="2">
        <v>235</v>
      </c>
      <c r="M113" s="2">
        <v>106.8511</v>
      </c>
      <c r="N113" s="2">
        <v>84</v>
      </c>
      <c r="O113" s="2">
        <v>110.2664</v>
      </c>
      <c r="P113" s="2">
        <v>48</v>
      </c>
      <c r="Q113" s="2">
        <v>109.7551</v>
      </c>
      <c r="R113" s="2">
        <v>310</v>
      </c>
      <c r="S113" s="2">
        <v>105.4706</v>
      </c>
      <c r="T113" s="2">
        <v>222</v>
      </c>
      <c r="U113" s="2">
        <v>0.62512699999999999</v>
      </c>
      <c r="V113" s="2">
        <v>112</v>
      </c>
      <c r="W113" s="2">
        <v>2007</v>
      </c>
    </row>
    <row r="114" spans="1:23" ht="12.3" x14ac:dyDescent="0.4">
      <c r="A114" s="2" t="s">
        <v>61</v>
      </c>
      <c r="B114" s="2"/>
      <c r="C114" s="2"/>
      <c r="D114" s="2"/>
      <c r="E114" s="2"/>
      <c r="F114" s="2"/>
      <c r="G114" s="2"/>
      <c r="H114" s="2"/>
      <c r="I114" s="2">
        <v>71.4375</v>
      </c>
      <c r="J114" s="2">
        <v>38</v>
      </c>
      <c r="K114" s="2">
        <v>71.473100000000002</v>
      </c>
      <c r="L114" s="2">
        <v>30</v>
      </c>
      <c r="M114" s="2">
        <v>101.7238</v>
      </c>
      <c r="N114" s="2">
        <v>175</v>
      </c>
      <c r="O114" s="2">
        <v>104.11620000000001</v>
      </c>
      <c r="P114" s="2">
        <v>139</v>
      </c>
      <c r="Q114" s="2">
        <v>105.5013</v>
      </c>
      <c r="R114" s="2">
        <v>243</v>
      </c>
      <c r="S114" s="2">
        <v>99.627099999999999</v>
      </c>
      <c r="T114" s="2">
        <v>104</v>
      </c>
      <c r="U114" s="2">
        <v>0.62406600000000001</v>
      </c>
      <c r="V114" s="2">
        <v>113</v>
      </c>
      <c r="W114" s="2">
        <v>2007</v>
      </c>
    </row>
    <row r="115" spans="1:23" ht="12.3" x14ac:dyDescent="0.4">
      <c r="A115" s="2" t="s">
        <v>212</v>
      </c>
      <c r="B115" s="2"/>
      <c r="C115" s="2"/>
      <c r="D115" s="2"/>
      <c r="E115" s="2"/>
      <c r="F115" s="2"/>
      <c r="G115" s="2"/>
      <c r="H115" s="2"/>
      <c r="I115" s="2">
        <v>72.138900000000007</v>
      </c>
      <c r="J115" s="2">
        <v>25</v>
      </c>
      <c r="K115" s="2">
        <v>71.365399999999994</v>
      </c>
      <c r="L115" s="2">
        <v>31</v>
      </c>
      <c r="M115" s="2">
        <v>103.6481</v>
      </c>
      <c r="N115" s="2">
        <v>146</v>
      </c>
      <c r="O115" s="2">
        <v>105.1622</v>
      </c>
      <c r="P115" s="2">
        <v>122</v>
      </c>
      <c r="Q115" s="2">
        <v>99.380300000000005</v>
      </c>
      <c r="R115" s="2">
        <v>100</v>
      </c>
      <c r="S115" s="2">
        <v>100.6785</v>
      </c>
      <c r="T115" s="2">
        <v>128</v>
      </c>
      <c r="U115" s="2">
        <v>0.62271100000000001</v>
      </c>
      <c r="V115" s="2">
        <v>114</v>
      </c>
      <c r="W115" s="2">
        <v>2007</v>
      </c>
    </row>
    <row r="116" spans="1:23" ht="12.3" x14ac:dyDescent="0.4">
      <c r="A116" s="2" t="s">
        <v>177</v>
      </c>
      <c r="B116" s="2"/>
      <c r="C116" s="2"/>
      <c r="D116" s="2"/>
      <c r="E116" s="2"/>
      <c r="F116" s="2"/>
      <c r="G116" s="2"/>
      <c r="H116" s="2"/>
      <c r="I116" s="2">
        <v>65.171899999999994</v>
      </c>
      <c r="J116" s="2">
        <v>230</v>
      </c>
      <c r="K116" s="2">
        <v>64.321299999999994</v>
      </c>
      <c r="L116" s="2">
        <v>264</v>
      </c>
      <c r="M116" s="2">
        <v>109.08580000000001</v>
      </c>
      <c r="N116" s="2">
        <v>47</v>
      </c>
      <c r="O116" s="2">
        <v>107.1568</v>
      </c>
      <c r="P116" s="2">
        <v>89</v>
      </c>
      <c r="Q116" s="2">
        <v>99.145600000000002</v>
      </c>
      <c r="R116" s="2">
        <v>96</v>
      </c>
      <c r="S116" s="2">
        <v>102.61499999999999</v>
      </c>
      <c r="T116" s="2">
        <v>166</v>
      </c>
      <c r="U116" s="2">
        <v>0.62200200000000005</v>
      </c>
      <c r="V116" s="2">
        <v>115</v>
      </c>
      <c r="W116" s="2">
        <v>2007</v>
      </c>
    </row>
    <row r="117" spans="1:23" ht="12.3" x14ac:dyDescent="0.4">
      <c r="A117" s="2" t="s">
        <v>220</v>
      </c>
      <c r="B117" s="2"/>
      <c r="C117" s="2"/>
      <c r="D117" s="2"/>
      <c r="E117" s="2"/>
      <c r="F117" s="2"/>
      <c r="G117" s="2"/>
      <c r="H117" s="2"/>
      <c r="I117" s="2">
        <v>66.198400000000007</v>
      </c>
      <c r="J117" s="2">
        <v>198</v>
      </c>
      <c r="K117" s="2">
        <v>67.578500000000005</v>
      </c>
      <c r="L117" s="2">
        <v>125</v>
      </c>
      <c r="M117" s="2">
        <v>105.49290000000001</v>
      </c>
      <c r="N117" s="2">
        <v>110</v>
      </c>
      <c r="O117" s="2">
        <v>104.95950000000001</v>
      </c>
      <c r="P117" s="2">
        <v>127</v>
      </c>
      <c r="Q117" s="2">
        <v>97.160799999999995</v>
      </c>
      <c r="R117" s="2">
        <v>64</v>
      </c>
      <c r="S117" s="2">
        <v>100.622</v>
      </c>
      <c r="T117" s="2">
        <v>122</v>
      </c>
      <c r="U117" s="2">
        <v>0.61900999999999995</v>
      </c>
      <c r="V117" s="2">
        <v>116</v>
      </c>
      <c r="W117" s="2">
        <v>2007</v>
      </c>
    </row>
    <row r="118" spans="1:23" ht="12.3" x14ac:dyDescent="0.4">
      <c r="A118" s="2" t="s">
        <v>119</v>
      </c>
      <c r="B118" s="2"/>
      <c r="C118" s="2"/>
      <c r="D118" s="2"/>
      <c r="E118" s="2"/>
      <c r="F118" s="2"/>
      <c r="G118" s="2"/>
      <c r="H118" s="2"/>
      <c r="I118" s="2">
        <v>70.296999999999997</v>
      </c>
      <c r="J118" s="2">
        <v>60</v>
      </c>
      <c r="K118" s="2">
        <v>71.2453</v>
      </c>
      <c r="L118" s="2">
        <v>32</v>
      </c>
      <c r="M118" s="2">
        <v>104.3344</v>
      </c>
      <c r="N118" s="2">
        <v>132</v>
      </c>
      <c r="O118" s="2">
        <v>104.996</v>
      </c>
      <c r="P118" s="2">
        <v>126</v>
      </c>
      <c r="Q118" s="2">
        <v>102.6994</v>
      </c>
      <c r="R118" s="2">
        <v>177</v>
      </c>
      <c r="S118" s="2">
        <v>100.7021</v>
      </c>
      <c r="T118" s="2">
        <v>129</v>
      </c>
      <c r="U118" s="2">
        <v>0.61779300000000004</v>
      </c>
      <c r="V118" s="2">
        <v>117</v>
      </c>
      <c r="W118" s="2">
        <v>2007</v>
      </c>
    </row>
    <row r="119" spans="1:23" ht="12.3" x14ac:dyDescent="0.4">
      <c r="A119" s="2" t="s">
        <v>64</v>
      </c>
      <c r="B119" s="2"/>
      <c r="C119" s="2"/>
      <c r="D119" s="2"/>
      <c r="E119" s="2"/>
      <c r="F119" s="2"/>
      <c r="G119" s="2"/>
      <c r="H119" s="2"/>
      <c r="I119" s="2">
        <v>65.250699999999995</v>
      </c>
      <c r="J119" s="2">
        <v>226</v>
      </c>
      <c r="K119" s="2">
        <v>65.073899999999995</v>
      </c>
      <c r="L119" s="2">
        <v>230</v>
      </c>
      <c r="M119" s="2">
        <v>101.9611</v>
      </c>
      <c r="N119" s="2">
        <v>169</v>
      </c>
      <c r="O119" s="2">
        <v>103.72410000000001</v>
      </c>
      <c r="P119" s="2">
        <v>144</v>
      </c>
      <c r="Q119" s="2">
        <v>100.6559</v>
      </c>
      <c r="R119" s="2">
        <v>134</v>
      </c>
      <c r="S119" s="2">
        <v>99.49</v>
      </c>
      <c r="T119" s="2">
        <v>98</v>
      </c>
      <c r="U119" s="2">
        <v>0.61758000000000002</v>
      </c>
      <c r="V119" s="2">
        <v>118</v>
      </c>
      <c r="W119" s="2">
        <v>2007</v>
      </c>
    </row>
    <row r="120" spans="1:23" ht="12.3" x14ac:dyDescent="0.4">
      <c r="A120" s="2" t="s">
        <v>105</v>
      </c>
      <c r="B120" s="2"/>
      <c r="C120" s="2"/>
      <c r="D120" s="2"/>
      <c r="E120" s="2"/>
      <c r="F120" s="2"/>
      <c r="G120" s="2"/>
      <c r="H120" s="2"/>
      <c r="I120" s="2">
        <v>66.775400000000005</v>
      </c>
      <c r="J120" s="2">
        <v>170</v>
      </c>
      <c r="K120" s="2">
        <v>66.331900000000005</v>
      </c>
      <c r="L120" s="2">
        <v>183</v>
      </c>
      <c r="M120" s="2">
        <v>102.55119999999999</v>
      </c>
      <c r="N120" s="2">
        <v>162</v>
      </c>
      <c r="O120" s="2">
        <v>102.0295</v>
      </c>
      <c r="P120" s="2">
        <v>169</v>
      </c>
      <c r="Q120" s="2">
        <v>96.523099999999999</v>
      </c>
      <c r="R120" s="2">
        <v>53</v>
      </c>
      <c r="S120" s="2">
        <v>98.091200000000001</v>
      </c>
      <c r="T120" s="2">
        <v>73</v>
      </c>
      <c r="U120" s="2">
        <v>0.61128000000000005</v>
      </c>
      <c r="V120" s="2">
        <v>119</v>
      </c>
      <c r="W120" s="2">
        <v>2007</v>
      </c>
    </row>
    <row r="121" spans="1:23" ht="12.3" x14ac:dyDescent="0.4">
      <c r="A121" s="2" t="s">
        <v>69</v>
      </c>
      <c r="B121" s="2"/>
      <c r="C121" s="2"/>
      <c r="D121" s="2"/>
      <c r="E121" s="2"/>
      <c r="F121" s="2"/>
      <c r="G121" s="2"/>
      <c r="H121" s="2"/>
      <c r="I121" s="2">
        <v>66.9435</v>
      </c>
      <c r="J121" s="2">
        <v>161</v>
      </c>
      <c r="K121" s="2">
        <v>65.984300000000005</v>
      </c>
      <c r="L121" s="2">
        <v>198</v>
      </c>
      <c r="M121" s="2">
        <v>99.485699999999994</v>
      </c>
      <c r="N121" s="2">
        <v>214</v>
      </c>
      <c r="O121" s="2">
        <v>98.700400000000002</v>
      </c>
      <c r="P121" s="2">
        <v>224</v>
      </c>
      <c r="Q121" s="2">
        <v>93.017200000000003</v>
      </c>
      <c r="R121" s="2">
        <v>14</v>
      </c>
      <c r="S121" s="2">
        <v>94.949600000000004</v>
      </c>
      <c r="T121" s="2">
        <v>40</v>
      </c>
      <c r="U121" s="2">
        <v>0.60958000000000001</v>
      </c>
      <c r="V121" s="2">
        <v>120</v>
      </c>
      <c r="W121" s="2">
        <v>2007</v>
      </c>
    </row>
    <row r="122" spans="1:23" ht="12.3" x14ac:dyDescent="0.4">
      <c r="A122" s="2" t="s">
        <v>116</v>
      </c>
      <c r="B122" s="2"/>
      <c r="C122" s="2"/>
      <c r="D122" s="2"/>
      <c r="E122" s="2"/>
      <c r="F122" s="2"/>
      <c r="G122" s="2"/>
      <c r="H122" s="2"/>
      <c r="I122" s="2">
        <v>64.061700000000002</v>
      </c>
      <c r="J122" s="2">
        <v>264</v>
      </c>
      <c r="K122" s="2">
        <v>62.530099999999997</v>
      </c>
      <c r="L122" s="2">
        <v>304</v>
      </c>
      <c r="M122" s="2">
        <v>101.45140000000001</v>
      </c>
      <c r="N122" s="2">
        <v>186</v>
      </c>
      <c r="O122" s="2">
        <v>103.0043</v>
      </c>
      <c r="P122" s="2">
        <v>152</v>
      </c>
      <c r="Q122" s="2">
        <v>101.5468</v>
      </c>
      <c r="R122" s="2">
        <v>154</v>
      </c>
      <c r="S122" s="2">
        <v>99.17</v>
      </c>
      <c r="T122" s="2">
        <v>92</v>
      </c>
      <c r="U122" s="2">
        <v>0.60736699999999999</v>
      </c>
      <c r="V122" s="2">
        <v>121</v>
      </c>
      <c r="W122" s="2">
        <v>2007</v>
      </c>
    </row>
    <row r="123" spans="1:23" ht="12.3" x14ac:dyDescent="0.4">
      <c r="A123" s="2" t="s">
        <v>162</v>
      </c>
      <c r="B123" s="2"/>
      <c r="C123" s="2"/>
      <c r="D123" s="2"/>
      <c r="E123" s="2"/>
      <c r="F123" s="2"/>
      <c r="G123" s="2"/>
      <c r="H123" s="2"/>
      <c r="I123" s="2">
        <v>68.003200000000007</v>
      </c>
      <c r="J123" s="2">
        <v>113</v>
      </c>
      <c r="K123" s="2">
        <v>68.398200000000003</v>
      </c>
      <c r="L123" s="2">
        <v>102</v>
      </c>
      <c r="M123" s="2">
        <v>103.1314</v>
      </c>
      <c r="N123" s="2">
        <v>154</v>
      </c>
      <c r="O123" s="2">
        <v>105.9359</v>
      </c>
      <c r="P123" s="2">
        <v>107</v>
      </c>
      <c r="Q123" s="2">
        <v>102.8078</v>
      </c>
      <c r="R123" s="2">
        <v>180</v>
      </c>
      <c r="S123" s="2">
        <v>102.04040000000001</v>
      </c>
      <c r="T123" s="2">
        <v>160</v>
      </c>
      <c r="U123" s="2">
        <v>0.60607699999999998</v>
      </c>
      <c r="V123" s="2">
        <v>122</v>
      </c>
      <c r="W123" s="2">
        <v>2007</v>
      </c>
    </row>
    <row r="124" spans="1:23" ht="12.3" x14ac:dyDescent="0.4">
      <c r="A124" s="2" t="s">
        <v>17</v>
      </c>
      <c r="B124" s="2"/>
      <c r="C124" s="2"/>
      <c r="D124" s="2"/>
      <c r="E124" s="2"/>
      <c r="F124" s="2"/>
      <c r="G124" s="2"/>
      <c r="H124" s="2"/>
      <c r="I124" s="2">
        <v>62.372399999999999</v>
      </c>
      <c r="J124" s="2">
        <v>303</v>
      </c>
      <c r="K124" s="2">
        <v>62.282800000000002</v>
      </c>
      <c r="L124" s="2">
        <v>309</v>
      </c>
      <c r="M124" s="2">
        <v>102.8039</v>
      </c>
      <c r="N124" s="2">
        <v>158</v>
      </c>
      <c r="O124" s="2">
        <v>108.0475</v>
      </c>
      <c r="P124" s="2">
        <v>76</v>
      </c>
      <c r="Q124" s="2">
        <v>109.212</v>
      </c>
      <c r="R124" s="2">
        <v>302</v>
      </c>
      <c r="S124" s="2">
        <v>104.60550000000001</v>
      </c>
      <c r="T124" s="2">
        <v>204</v>
      </c>
      <c r="U124" s="2">
        <v>0.59201700000000002</v>
      </c>
      <c r="V124" s="2">
        <v>123</v>
      </c>
      <c r="W124" s="2">
        <v>2007</v>
      </c>
    </row>
    <row r="125" spans="1:23" ht="12.3" x14ac:dyDescent="0.4">
      <c r="A125" s="2" t="s">
        <v>143</v>
      </c>
      <c r="B125" s="2"/>
      <c r="C125" s="2"/>
      <c r="D125" s="2"/>
      <c r="E125" s="2"/>
      <c r="F125" s="2"/>
      <c r="G125" s="2"/>
      <c r="H125" s="2"/>
      <c r="I125" s="2">
        <v>67.426699999999997</v>
      </c>
      <c r="J125" s="2">
        <v>139</v>
      </c>
      <c r="K125" s="2">
        <v>67.164699999999996</v>
      </c>
      <c r="L125" s="2">
        <v>147</v>
      </c>
      <c r="M125" s="2">
        <v>110.527</v>
      </c>
      <c r="N125" s="2">
        <v>36</v>
      </c>
      <c r="O125" s="2">
        <v>107.877</v>
      </c>
      <c r="P125" s="2">
        <v>78</v>
      </c>
      <c r="Q125" s="2">
        <v>100.3326</v>
      </c>
      <c r="R125" s="2">
        <v>126</v>
      </c>
      <c r="S125" s="2">
        <v>104.4973</v>
      </c>
      <c r="T125" s="2">
        <v>203</v>
      </c>
      <c r="U125" s="2">
        <v>0.59050400000000003</v>
      </c>
      <c r="V125" s="2">
        <v>124</v>
      </c>
      <c r="W125" s="2">
        <v>2007</v>
      </c>
    </row>
    <row r="126" spans="1:23" ht="12.3" x14ac:dyDescent="0.4">
      <c r="A126" s="2" t="s">
        <v>128</v>
      </c>
      <c r="B126" s="2"/>
      <c r="C126" s="2"/>
      <c r="D126" s="2"/>
      <c r="E126" s="2"/>
      <c r="F126" s="2"/>
      <c r="G126" s="2"/>
      <c r="H126" s="2"/>
      <c r="I126" s="2">
        <v>65.902000000000001</v>
      </c>
      <c r="J126" s="2">
        <v>210</v>
      </c>
      <c r="K126" s="2">
        <v>65.013999999999996</v>
      </c>
      <c r="L126" s="2">
        <v>232</v>
      </c>
      <c r="M126" s="2">
        <v>98.101900000000001</v>
      </c>
      <c r="N126" s="2">
        <v>239</v>
      </c>
      <c r="O126" s="2">
        <v>99.555300000000003</v>
      </c>
      <c r="P126" s="2">
        <v>211</v>
      </c>
      <c r="Q126" s="2">
        <v>96.842699999999994</v>
      </c>
      <c r="R126" s="2">
        <v>57</v>
      </c>
      <c r="S126" s="2">
        <v>96.519900000000007</v>
      </c>
      <c r="T126" s="2">
        <v>53</v>
      </c>
      <c r="U126" s="2">
        <v>0.58809500000000003</v>
      </c>
      <c r="V126" s="2">
        <v>125</v>
      </c>
      <c r="W126" s="2">
        <v>2007</v>
      </c>
    </row>
    <row r="127" spans="1:23" ht="12.3" x14ac:dyDescent="0.4">
      <c r="A127" s="2" t="s">
        <v>68</v>
      </c>
      <c r="B127" s="2"/>
      <c r="C127" s="2"/>
      <c r="D127" s="2"/>
      <c r="E127" s="2"/>
      <c r="F127" s="2"/>
      <c r="G127" s="2"/>
      <c r="H127" s="2"/>
      <c r="I127" s="2">
        <v>69.340199999999996</v>
      </c>
      <c r="J127" s="2">
        <v>83</v>
      </c>
      <c r="K127" s="2">
        <v>68.971299999999999</v>
      </c>
      <c r="L127" s="2">
        <v>81</v>
      </c>
      <c r="M127" s="2">
        <v>112.52070000000001</v>
      </c>
      <c r="N127" s="2">
        <v>17</v>
      </c>
      <c r="O127" s="2">
        <v>109.39749999999999</v>
      </c>
      <c r="P127" s="2">
        <v>60</v>
      </c>
      <c r="Q127" s="2">
        <v>103.8254</v>
      </c>
      <c r="R127" s="2">
        <v>197</v>
      </c>
      <c r="S127" s="2">
        <v>106.0825</v>
      </c>
      <c r="T127" s="2">
        <v>232</v>
      </c>
      <c r="U127" s="2">
        <v>0.58755400000000002</v>
      </c>
      <c r="V127" s="2">
        <v>126</v>
      </c>
      <c r="W127" s="2">
        <v>2007</v>
      </c>
    </row>
    <row r="128" spans="1:23" ht="12.3" x14ac:dyDescent="0.4">
      <c r="A128" s="2" t="s">
        <v>102</v>
      </c>
      <c r="B128" s="2"/>
      <c r="C128" s="2"/>
      <c r="D128" s="2"/>
      <c r="E128" s="2"/>
      <c r="F128" s="2"/>
      <c r="G128" s="2"/>
      <c r="H128" s="2"/>
      <c r="I128" s="2">
        <v>64.717299999999994</v>
      </c>
      <c r="J128" s="2">
        <v>252</v>
      </c>
      <c r="K128" s="2">
        <v>64.790099999999995</v>
      </c>
      <c r="L128" s="2">
        <v>244</v>
      </c>
      <c r="M128" s="2">
        <v>98.448300000000003</v>
      </c>
      <c r="N128" s="2">
        <v>235</v>
      </c>
      <c r="O128" s="2">
        <v>101.2479</v>
      </c>
      <c r="P128" s="2">
        <v>182</v>
      </c>
      <c r="Q128" s="2">
        <v>99.860799999999998</v>
      </c>
      <c r="R128" s="2">
        <v>113</v>
      </c>
      <c r="S128" s="2">
        <v>98.278599999999997</v>
      </c>
      <c r="T128" s="2">
        <v>82</v>
      </c>
      <c r="U128" s="2">
        <v>0.58475100000000002</v>
      </c>
      <c r="V128" s="2">
        <v>127</v>
      </c>
      <c r="W128" s="2">
        <v>2007</v>
      </c>
    </row>
    <row r="129" spans="1:23" ht="12.3" x14ac:dyDescent="0.4">
      <c r="A129" s="2" t="s">
        <v>258</v>
      </c>
      <c r="B129" s="2"/>
      <c r="C129" s="2"/>
      <c r="D129" s="2"/>
      <c r="E129" s="2"/>
      <c r="F129" s="2"/>
      <c r="G129" s="2"/>
      <c r="H129" s="2"/>
      <c r="I129" s="2">
        <v>68.122500000000002</v>
      </c>
      <c r="J129" s="2">
        <v>109</v>
      </c>
      <c r="K129" s="2">
        <v>68.281899999999993</v>
      </c>
      <c r="L129" s="2">
        <v>106</v>
      </c>
      <c r="M129" s="2">
        <v>110.30929999999999</v>
      </c>
      <c r="N129" s="2">
        <v>38</v>
      </c>
      <c r="O129" s="2">
        <v>111.3843</v>
      </c>
      <c r="P129" s="2">
        <v>38</v>
      </c>
      <c r="Q129" s="2">
        <v>111.185</v>
      </c>
      <c r="R129" s="2">
        <v>322</v>
      </c>
      <c r="S129" s="2">
        <v>108.18</v>
      </c>
      <c r="T129" s="2">
        <v>278</v>
      </c>
      <c r="U129" s="2">
        <v>0.58313999999999999</v>
      </c>
      <c r="V129" s="2">
        <v>128</v>
      </c>
      <c r="W129" s="2">
        <v>2007</v>
      </c>
    </row>
    <row r="130" spans="1:23" ht="12.3" x14ac:dyDescent="0.4">
      <c r="A130" s="2" t="s">
        <v>93</v>
      </c>
      <c r="B130" s="2"/>
      <c r="C130" s="2"/>
      <c r="D130" s="2"/>
      <c r="E130" s="2"/>
      <c r="F130" s="2"/>
      <c r="G130" s="2"/>
      <c r="H130" s="2"/>
      <c r="I130" s="2">
        <v>69.477400000000003</v>
      </c>
      <c r="J130" s="2">
        <v>80</v>
      </c>
      <c r="K130" s="2">
        <v>69.739599999999996</v>
      </c>
      <c r="L130" s="2">
        <v>60</v>
      </c>
      <c r="M130" s="2">
        <v>105.3313</v>
      </c>
      <c r="N130" s="2">
        <v>113</v>
      </c>
      <c r="O130" s="2">
        <v>106.6888</v>
      </c>
      <c r="P130" s="2">
        <v>93</v>
      </c>
      <c r="Q130" s="2">
        <v>107.32340000000001</v>
      </c>
      <c r="R130" s="2">
        <v>282</v>
      </c>
      <c r="S130" s="2">
        <v>104.0138</v>
      </c>
      <c r="T130" s="2">
        <v>192</v>
      </c>
      <c r="U130" s="2">
        <v>0.57249099999999997</v>
      </c>
      <c r="V130" s="2">
        <v>129</v>
      </c>
      <c r="W130" s="2">
        <v>2007</v>
      </c>
    </row>
    <row r="131" spans="1:23" ht="12.3" x14ac:dyDescent="0.4">
      <c r="A131" s="2" t="s">
        <v>165</v>
      </c>
      <c r="B131" s="2"/>
      <c r="C131" s="2"/>
      <c r="D131" s="2"/>
      <c r="E131" s="2"/>
      <c r="F131" s="2"/>
      <c r="G131" s="2"/>
      <c r="H131" s="2"/>
      <c r="I131" s="2">
        <v>64.530299999999997</v>
      </c>
      <c r="J131" s="2">
        <v>256</v>
      </c>
      <c r="K131" s="2">
        <v>64.945599999999999</v>
      </c>
      <c r="L131" s="2">
        <v>237</v>
      </c>
      <c r="M131" s="2">
        <v>106.4002</v>
      </c>
      <c r="N131" s="2">
        <v>93</v>
      </c>
      <c r="O131" s="2">
        <v>108.6259</v>
      </c>
      <c r="P131" s="2">
        <v>70</v>
      </c>
      <c r="Q131" s="2">
        <v>105.10680000000001</v>
      </c>
      <c r="R131" s="2">
        <v>232</v>
      </c>
      <c r="S131" s="2">
        <v>105.92100000000001</v>
      </c>
      <c r="T131" s="2">
        <v>230</v>
      </c>
      <c r="U131" s="2">
        <v>0.571994</v>
      </c>
      <c r="V131" s="2">
        <v>130</v>
      </c>
      <c r="W131" s="2">
        <v>2007</v>
      </c>
    </row>
    <row r="132" spans="1:23" ht="12.3" x14ac:dyDescent="0.4">
      <c r="A132" s="2" t="s">
        <v>151</v>
      </c>
      <c r="B132" s="2"/>
      <c r="C132" s="2"/>
      <c r="D132" s="2"/>
      <c r="E132" s="2"/>
      <c r="F132" s="2"/>
      <c r="G132" s="2"/>
      <c r="H132" s="2"/>
      <c r="I132" s="2">
        <v>66.739599999999996</v>
      </c>
      <c r="J132" s="2">
        <v>173</v>
      </c>
      <c r="K132" s="2">
        <v>66.875500000000002</v>
      </c>
      <c r="L132" s="2">
        <v>159</v>
      </c>
      <c r="M132" s="2">
        <v>106.5252</v>
      </c>
      <c r="N132" s="2">
        <v>88</v>
      </c>
      <c r="O132" s="2">
        <v>106.4704</v>
      </c>
      <c r="P132" s="2">
        <v>96</v>
      </c>
      <c r="Q132" s="2">
        <v>103.88460000000001</v>
      </c>
      <c r="R132" s="2">
        <v>198</v>
      </c>
      <c r="S132" s="2">
        <v>103.9581</v>
      </c>
      <c r="T132" s="2">
        <v>190</v>
      </c>
      <c r="U132" s="2">
        <v>0.56822399999999995</v>
      </c>
      <c r="V132" s="2">
        <v>131</v>
      </c>
      <c r="W132" s="2">
        <v>2007</v>
      </c>
    </row>
    <row r="133" spans="1:23" ht="12.3" x14ac:dyDescent="0.4">
      <c r="A133" s="2" t="s">
        <v>249</v>
      </c>
      <c r="B133" s="2"/>
      <c r="C133" s="2"/>
      <c r="D133" s="2"/>
      <c r="E133" s="2"/>
      <c r="F133" s="2"/>
      <c r="G133" s="2"/>
      <c r="H133" s="2"/>
      <c r="I133" s="2">
        <v>64.866500000000002</v>
      </c>
      <c r="J133" s="2">
        <v>248</v>
      </c>
      <c r="K133" s="2">
        <v>63.629100000000001</v>
      </c>
      <c r="L133" s="2">
        <v>289</v>
      </c>
      <c r="M133" s="2">
        <v>100.8704</v>
      </c>
      <c r="N133" s="2">
        <v>194</v>
      </c>
      <c r="O133" s="2">
        <v>99.609399999999994</v>
      </c>
      <c r="P133" s="2">
        <v>210</v>
      </c>
      <c r="Q133" s="2">
        <v>98.533799999999999</v>
      </c>
      <c r="R133" s="2">
        <v>83</v>
      </c>
      <c r="S133" s="2">
        <v>97.299499999999995</v>
      </c>
      <c r="T133" s="2">
        <v>61</v>
      </c>
      <c r="U133" s="2">
        <v>0.56705099999999997</v>
      </c>
      <c r="V133" s="2">
        <v>132</v>
      </c>
      <c r="W133" s="2">
        <v>2007</v>
      </c>
    </row>
    <row r="134" spans="1:23" ht="12.3" x14ac:dyDescent="0.4">
      <c r="A134" s="2" t="s">
        <v>175</v>
      </c>
      <c r="B134" s="2"/>
      <c r="C134" s="2"/>
      <c r="D134" s="2"/>
      <c r="E134" s="2"/>
      <c r="F134" s="2"/>
      <c r="G134" s="2"/>
      <c r="H134" s="2"/>
      <c r="I134" s="2">
        <v>66.841200000000001</v>
      </c>
      <c r="J134" s="2">
        <v>163</v>
      </c>
      <c r="K134" s="2">
        <v>65.935199999999995</v>
      </c>
      <c r="L134" s="2">
        <v>202</v>
      </c>
      <c r="M134" s="2">
        <v>100.6242</v>
      </c>
      <c r="N134" s="2">
        <v>198</v>
      </c>
      <c r="O134" s="2">
        <v>102.12869999999999</v>
      </c>
      <c r="P134" s="2">
        <v>167</v>
      </c>
      <c r="Q134" s="2">
        <v>95.887299999999996</v>
      </c>
      <c r="R134" s="2">
        <v>43</v>
      </c>
      <c r="S134" s="2">
        <v>99.967799999999997</v>
      </c>
      <c r="T134" s="2">
        <v>112</v>
      </c>
      <c r="U134" s="2">
        <v>0.56117600000000001</v>
      </c>
      <c r="V134" s="2">
        <v>133</v>
      </c>
      <c r="W134" s="2">
        <v>2007</v>
      </c>
    </row>
    <row r="135" spans="1:23" ht="12.3" x14ac:dyDescent="0.4">
      <c r="A135" s="2" t="s">
        <v>146</v>
      </c>
      <c r="B135" s="2"/>
      <c r="C135" s="2"/>
      <c r="D135" s="2"/>
      <c r="E135" s="2"/>
      <c r="F135" s="2"/>
      <c r="G135" s="2"/>
      <c r="H135" s="2"/>
      <c r="I135" s="2">
        <v>65.1327</v>
      </c>
      <c r="J135" s="2">
        <v>234</v>
      </c>
      <c r="K135" s="2">
        <v>64.503900000000002</v>
      </c>
      <c r="L135" s="2">
        <v>255</v>
      </c>
      <c r="M135" s="2">
        <v>96.351299999999995</v>
      </c>
      <c r="N135" s="2">
        <v>268</v>
      </c>
      <c r="O135" s="2">
        <v>98.817499999999995</v>
      </c>
      <c r="P135" s="2">
        <v>222</v>
      </c>
      <c r="Q135" s="2">
        <v>100.2591</v>
      </c>
      <c r="R135" s="2">
        <v>121</v>
      </c>
      <c r="S135" s="2">
        <v>96.764399999999995</v>
      </c>
      <c r="T135" s="2">
        <v>58</v>
      </c>
      <c r="U135" s="2">
        <v>0.56006900000000004</v>
      </c>
      <c r="V135" s="2">
        <v>134</v>
      </c>
      <c r="W135" s="2">
        <v>2007</v>
      </c>
    </row>
    <row r="136" spans="1:23" ht="12.3" x14ac:dyDescent="0.4">
      <c r="A136" s="2" t="s">
        <v>225</v>
      </c>
      <c r="B136" s="2"/>
      <c r="C136" s="2"/>
      <c r="D136" s="2"/>
      <c r="E136" s="2"/>
      <c r="F136" s="2"/>
      <c r="G136" s="2"/>
      <c r="H136" s="2"/>
      <c r="I136" s="2">
        <v>71.307000000000002</v>
      </c>
      <c r="J136" s="2">
        <v>41</v>
      </c>
      <c r="K136" s="2">
        <v>70.522599999999997</v>
      </c>
      <c r="L136" s="2">
        <v>44</v>
      </c>
      <c r="M136" s="2">
        <v>105.4648</v>
      </c>
      <c r="N136" s="2">
        <v>111</v>
      </c>
      <c r="O136" s="2">
        <v>103.7197</v>
      </c>
      <c r="P136" s="2">
        <v>145</v>
      </c>
      <c r="Q136" s="2">
        <v>98.6892</v>
      </c>
      <c r="R136" s="2">
        <v>87</v>
      </c>
      <c r="S136" s="2">
        <v>101.5748</v>
      </c>
      <c r="T136" s="2">
        <v>148</v>
      </c>
      <c r="U136" s="2">
        <v>0.55978899999999998</v>
      </c>
      <c r="V136" s="2">
        <v>135</v>
      </c>
      <c r="W136" s="2">
        <v>2007</v>
      </c>
    </row>
    <row r="137" spans="1:23" ht="12.3" x14ac:dyDescent="0.4">
      <c r="A137" s="2" t="s">
        <v>88</v>
      </c>
      <c r="B137" s="2"/>
      <c r="C137" s="2"/>
      <c r="D137" s="2"/>
      <c r="E137" s="2"/>
      <c r="F137" s="2"/>
      <c r="G137" s="2"/>
      <c r="H137" s="2"/>
      <c r="I137" s="2">
        <v>69.495800000000003</v>
      </c>
      <c r="J137" s="2">
        <v>78</v>
      </c>
      <c r="K137" s="2">
        <v>69.701800000000006</v>
      </c>
      <c r="L137" s="2">
        <v>61</v>
      </c>
      <c r="M137" s="2">
        <v>108.0539</v>
      </c>
      <c r="N137" s="2">
        <v>62</v>
      </c>
      <c r="O137" s="2">
        <v>108.0557</v>
      </c>
      <c r="P137" s="2">
        <v>75</v>
      </c>
      <c r="Q137" s="2">
        <v>106.8061</v>
      </c>
      <c r="R137" s="2">
        <v>273</v>
      </c>
      <c r="S137" s="2">
        <v>106.194</v>
      </c>
      <c r="T137" s="2">
        <v>235</v>
      </c>
      <c r="U137" s="2">
        <v>0.54980099999999998</v>
      </c>
      <c r="V137" s="2">
        <v>136</v>
      </c>
      <c r="W137" s="2">
        <v>2007</v>
      </c>
    </row>
    <row r="138" spans="1:23" ht="12.3" x14ac:dyDescent="0.4">
      <c r="A138" s="2" t="s">
        <v>161</v>
      </c>
      <c r="B138" s="2"/>
      <c r="C138" s="2"/>
      <c r="D138" s="2"/>
      <c r="E138" s="2"/>
      <c r="F138" s="2"/>
      <c r="G138" s="2"/>
      <c r="H138" s="2"/>
      <c r="I138" s="2">
        <v>69.693100000000001</v>
      </c>
      <c r="J138" s="2">
        <v>72</v>
      </c>
      <c r="K138" s="2">
        <v>70.864199999999997</v>
      </c>
      <c r="L138" s="2">
        <v>38</v>
      </c>
      <c r="M138" s="2">
        <v>98.258200000000002</v>
      </c>
      <c r="N138" s="2">
        <v>237</v>
      </c>
      <c r="O138" s="2">
        <v>101.0774</v>
      </c>
      <c r="P138" s="2">
        <v>186</v>
      </c>
      <c r="Q138" s="2">
        <v>98.7971</v>
      </c>
      <c r="R138" s="2">
        <v>89</v>
      </c>
      <c r="S138" s="2">
        <v>99.397000000000006</v>
      </c>
      <c r="T138" s="2">
        <v>95</v>
      </c>
      <c r="U138" s="2">
        <v>0.54804799999999998</v>
      </c>
      <c r="V138" s="2">
        <v>137</v>
      </c>
      <c r="W138" s="2">
        <v>2007</v>
      </c>
    </row>
    <row r="139" spans="1:23" ht="12.3" x14ac:dyDescent="0.4">
      <c r="A139" s="2" t="s">
        <v>293</v>
      </c>
      <c r="B139" s="2"/>
      <c r="C139" s="2"/>
      <c r="D139" s="2"/>
      <c r="E139" s="2"/>
      <c r="F139" s="2"/>
      <c r="G139" s="2"/>
      <c r="H139" s="2"/>
      <c r="I139" s="2">
        <v>64.263999999999996</v>
      </c>
      <c r="J139" s="2">
        <v>260</v>
      </c>
      <c r="K139" s="2">
        <v>65.467799999999997</v>
      </c>
      <c r="L139" s="2">
        <v>217</v>
      </c>
      <c r="M139" s="2">
        <v>104.0685</v>
      </c>
      <c r="N139" s="2">
        <v>139</v>
      </c>
      <c r="O139" s="2">
        <v>103.9143</v>
      </c>
      <c r="P139" s="2">
        <v>141</v>
      </c>
      <c r="Q139" s="2">
        <v>104.06610000000001</v>
      </c>
      <c r="R139" s="2">
        <v>204</v>
      </c>
      <c r="S139" s="2">
        <v>102.5609</v>
      </c>
      <c r="T139" s="2">
        <v>164</v>
      </c>
      <c r="U139" s="2">
        <v>0.53761800000000004</v>
      </c>
      <c r="V139" s="2">
        <v>138</v>
      </c>
      <c r="W139" s="2">
        <v>2007</v>
      </c>
    </row>
    <row r="140" spans="1:23" ht="12.3" x14ac:dyDescent="0.4">
      <c r="A140" s="2" t="s">
        <v>236</v>
      </c>
      <c r="B140" s="2"/>
      <c r="C140" s="2"/>
      <c r="D140" s="2"/>
      <c r="E140" s="2"/>
      <c r="F140" s="2"/>
      <c r="G140" s="2"/>
      <c r="H140" s="2"/>
      <c r="I140" s="2">
        <v>63.836300000000001</v>
      </c>
      <c r="J140" s="2">
        <v>275</v>
      </c>
      <c r="K140" s="2">
        <v>64.774000000000001</v>
      </c>
      <c r="L140" s="2">
        <v>245</v>
      </c>
      <c r="M140" s="2">
        <v>105.9166</v>
      </c>
      <c r="N140" s="2">
        <v>102</v>
      </c>
      <c r="O140" s="2">
        <v>104.9072</v>
      </c>
      <c r="P140" s="2">
        <v>128</v>
      </c>
      <c r="Q140" s="2">
        <v>104.7178</v>
      </c>
      <c r="R140" s="2">
        <v>220</v>
      </c>
      <c r="S140" s="2">
        <v>103.604</v>
      </c>
      <c r="T140" s="2">
        <v>180</v>
      </c>
      <c r="U140" s="2">
        <v>0.53587600000000002</v>
      </c>
      <c r="V140" s="2">
        <v>139</v>
      </c>
      <c r="W140" s="2">
        <v>2007</v>
      </c>
    </row>
    <row r="141" spans="1:23" ht="12.3" x14ac:dyDescent="0.4">
      <c r="A141" s="2" t="s">
        <v>287</v>
      </c>
      <c r="B141" s="2"/>
      <c r="C141" s="2"/>
      <c r="D141" s="2"/>
      <c r="E141" s="2"/>
      <c r="F141" s="2"/>
      <c r="G141" s="2"/>
      <c r="H141" s="2"/>
      <c r="I141" s="2">
        <v>65.694599999999994</v>
      </c>
      <c r="J141" s="2">
        <v>217</v>
      </c>
      <c r="K141" s="2">
        <v>65.290000000000006</v>
      </c>
      <c r="L141" s="2">
        <v>222</v>
      </c>
      <c r="M141" s="2">
        <v>104.8569</v>
      </c>
      <c r="N141" s="2">
        <v>119</v>
      </c>
      <c r="O141" s="2">
        <v>102.32680000000001</v>
      </c>
      <c r="P141" s="2">
        <v>166</v>
      </c>
      <c r="Q141" s="2">
        <v>100.02209999999999</v>
      </c>
      <c r="R141" s="2">
        <v>117</v>
      </c>
      <c r="S141" s="2">
        <v>101.1409</v>
      </c>
      <c r="T141" s="2">
        <v>137</v>
      </c>
      <c r="U141" s="2">
        <v>0.53346400000000005</v>
      </c>
      <c r="V141" s="2">
        <v>140</v>
      </c>
      <c r="W141" s="2">
        <v>2007</v>
      </c>
    </row>
    <row r="142" spans="1:23" ht="12.3" x14ac:dyDescent="0.4">
      <c r="A142" s="2" t="s">
        <v>196</v>
      </c>
      <c r="B142" s="2"/>
      <c r="C142" s="2"/>
      <c r="D142" s="2"/>
      <c r="E142" s="2"/>
      <c r="F142" s="2"/>
      <c r="G142" s="2"/>
      <c r="H142" s="2"/>
      <c r="I142" s="2">
        <v>69.457599999999999</v>
      </c>
      <c r="J142" s="2">
        <v>81</v>
      </c>
      <c r="K142" s="2">
        <v>69.602900000000005</v>
      </c>
      <c r="L142" s="2">
        <v>64</v>
      </c>
      <c r="M142" s="2">
        <v>107.89360000000001</v>
      </c>
      <c r="N142" s="2">
        <v>64</v>
      </c>
      <c r="O142" s="2">
        <v>105.1529</v>
      </c>
      <c r="P142" s="2">
        <v>123</v>
      </c>
      <c r="Q142" s="2">
        <v>100.2805</v>
      </c>
      <c r="R142" s="2">
        <v>123</v>
      </c>
      <c r="S142" s="2">
        <v>103.9359</v>
      </c>
      <c r="T142" s="2">
        <v>189</v>
      </c>
      <c r="U142" s="2">
        <v>0.533416</v>
      </c>
      <c r="V142" s="2">
        <v>141</v>
      </c>
      <c r="W142" s="2">
        <v>2007</v>
      </c>
    </row>
    <row r="143" spans="1:23" ht="12.3" x14ac:dyDescent="0.4">
      <c r="A143" s="2" t="s">
        <v>70</v>
      </c>
      <c r="B143" s="2"/>
      <c r="C143" s="2"/>
      <c r="D143" s="2"/>
      <c r="E143" s="2"/>
      <c r="F143" s="2"/>
      <c r="G143" s="2"/>
      <c r="H143" s="2"/>
      <c r="I143" s="2">
        <v>61.7331</v>
      </c>
      <c r="J143" s="2">
        <v>313</v>
      </c>
      <c r="K143" s="2">
        <v>62.692300000000003</v>
      </c>
      <c r="L143" s="2">
        <v>302</v>
      </c>
      <c r="M143" s="2">
        <v>109.0883</v>
      </c>
      <c r="N143" s="2">
        <v>46</v>
      </c>
      <c r="O143" s="2">
        <v>111.761</v>
      </c>
      <c r="P143" s="2">
        <v>35</v>
      </c>
      <c r="Q143" s="2">
        <v>114.211</v>
      </c>
      <c r="R143" s="2">
        <v>334</v>
      </c>
      <c r="S143" s="2">
        <v>110.4761</v>
      </c>
      <c r="T143" s="2">
        <v>312</v>
      </c>
      <c r="U143" s="2">
        <v>0.53319499999999997</v>
      </c>
      <c r="V143" s="2">
        <v>142</v>
      </c>
      <c r="W143" s="2">
        <v>2007</v>
      </c>
    </row>
    <row r="144" spans="1:23" ht="12.3" x14ac:dyDescent="0.4">
      <c r="A144" s="2" t="s">
        <v>74</v>
      </c>
      <c r="B144" s="2"/>
      <c r="C144" s="2"/>
      <c r="D144" s="2"/>
      <c r="E144" s="2"/>
      <c r="F144" s="2"/>
      <c r="G144" s="2"/>
      <c r="H144" s="2"/>
      <c r="I144" s="2">
        <v>64.870699999999999</v>
      </c>
      <c r="J144" s="2">
        <v>247</v>
      </c>
      <c r="K144" s="2">
        <v>65.469800000000006</v>
      </c>
      <c r="L144" s="2">
        <v>216</v>
      </c>
      <c r="M144" s="2">
        <v>100.0063</v>
      </c>
      <c r="N144" s="2">
        <v>207</v>
      </c>
      <c r="O144" s="2">
        <v>99.156099999999995</v>
      </c>
      <c r="P144" s="2">
        <v>215</v>
      </c>
      <c r="Q144" s="2">
        <v>99.915000000000006</v>
      </c>
      <c r="R144" s="2">
        <v>114</v>
      </c>
      <c r="S144" s="2">
        <v>98.123500000000007</v>
      </c>
      <c r="T144" s="2">
        <v>76</v>
      </c>
      <c r="U144" s="2">
        <v>0.53005999999999998</v>
      </c>
      <c r="V144" s="2">
        <v>143</v>
      </c>
      <c r="W144" s="2">
        <v>2007</v>
      </c>
    </row>
    <row r="145" spans="1:23" ht="12.3" x14ac:dyDescent="0.4">
      <c r="A145" s="2" t="s">
        <v>115</v>
      </c>
      <c r="B145" s="2"/>
      <c r="C145" s="2"/>
      <c r="D145" s="2"/>
      <c r="E145" s="2"/>
      <c r="F145" s="2"/>
      <c r="G145" s="2"/>
      <c r="H145" s="2"/>
      <c r="I145" s="2">
        <v>67.494100000000003</v>
      </c>
      <c r="J145" s="2">
        <v>136</v>
      </c>
      <c r="K145" s="2">
        <v>66.054500000000004</v>
      </c>
      <c r="L145" s="2">
        <v>193</v>
      </c>
      <c r="M145" s="2">
        <v>108.22539999999999</v>
      </c>
      <c r="N145" s="2">
        <v>59</v>
      </c>
      <c r="O145" s="2">
        <v>107.9529</v>
      </c>
      <c r="P145" s="2">
        <v>77</v>
      </c>
      <c r="Q145" s="2">
        <v>107.86839999999999</v>
      </c>
      <c r="R145" s="2">
        <v>286</v>
      </c>
      <c r="S145" s="2">
        <v>106.9306</v>
      </c>
      <c r="T145" s="2">
        <v>251</v>
      </c>
      <c r="U145" s="2">
        <v>0.52732699999999999</v>
      </c>
      <c r="V145" s="2">
        <v>144</v>
      </c>
      <c r="W145" s="2">
        <v>2007</v>
      </c>
    </row>
    <row r="146" spans="1:23" ht="12.3" x14ac:dyDescent="0.4">
      <c r="A146" s="2" t="s">
        <v>124</v>
      </c>
      <c r="B146" s="2"/>
      <c r="C146" s="2"/>
      <c r="D146" s="2"/>
      <c r="E146" s="2"/>
      <c r="F146" s="2"/>
      <c r="G146" s="2"/>
      <c r="H146" s="2"/>
      <c r="I146" s="2">
        <v>56.767000000000003</v>
      </c>
      <c r="J146" s="2">
        <v>333</v>
      </c>
      <c r="K146" s="2">
        <v>58.203899999999997</v>
      </c>
      <c r="L146" s="2">
        <v>333</v>
      </c>
      <c r="M146" s="2">
        <v>99.324200000000005</v>
      </c>
      <c r="N146" s="2">
        <v>220</v>
      </c>
      <c r="O146" s="2">
        <v>102.408</v>
      </c>
      <c r="P146" s="2">
        <v>165</v>
      </c>
      <c r="Q146" s="2">
        <v>104.0809</v>
      </c>
      <c r="R146" s="2">
        <v>205</v>
      </c>
      <c r="S146" s="2">
        <v>101.46129999999999</v>
      </c>
      <c r="T146" s="2">
        <v>147</v>
      </c>
      <c r="U146" s="2">
        <v>0.52667600000000003</v>
      </c>
      <c r="V146" s="2">
        <v>145</v>
      </c>
      <c r="W146" s="2">
        <v>2007</v>
      </c>
    </row>
    <row r="147" spans="1:23" ht="12.3" x14ac:dyDescent="0.4">
      <c r="A147" s="2" t="s">
        <v>219</v>
      </c>
      <c r="B147" s="2"/>
      <c r="C147" s="2"/>
      <c r="D147" s="2"/>
      <c r="E147" s="2"/>
      <c r="F147" s="2"/>
      <c r="G147" s="2"/>
      <c r="H147" s="2"/>
      <c r="I147" s="2">
        <v>74.205299999999994</v>
      </c>
      <c r="J147" s="2">
        <v>9</v>
      </c>
      <c r="K147" s="2">
        <v>73.128699999999995</v>
      </c>
      <c r="L147" s="2">
        <v>8</v>
      </c>
      <c r="M147" s="2">
        <v>101.517</v>
      </c>
      <c r="N147" s="2">
        <v>184</v>
      </c>
      <c r="O147" s="2">
        <v>100.97199999999999</v>
      </c>
      <c r="P147" s="2">
        <v>188</v>
      </c>
      <c r="Q147" s="2">
        <v>96.365899999999996</v>
      </c>
      <c r="R147" s="2">
        <v>50</v>
      </c>
      <c r="S147" s="2">
        <v>100.3276</v>
      </c>
      <c r="T147" s="2">
        <v>116</v>
      </c>
      <c r="U147" s="2">
        <v>0.518397</v>
      </c>
      <c r="V147" s="2">
        <v>146</v>
      </c>
      <c r="W147" s="2">
        <v>2007</v>
      </c>
    </row>
    <row r="148" spans="1:23" ht="12.3" x14ac:dyDescent="0.4">
      <c r="A148" s="2" t="s">
        <v>132</v>
      </c>
      <c r="B148" s="2"/>
      <c r="C148" s="2"/>
      <c r="D148" s="2"/>
      <c r="E148" s="2"/>
      <c r="F148" s="2"/>
      <c r="G148" s="2"/>
      <c r="H148" s="2"/>
      <c r="I148" s="2">
        <v>61.759700000000002</v>
      </c>
      <c r="J148" s="2">
        <v>312</v>
      </c>
      <c r="K148" s="2">
        <v>61.956000000000003</v>
      </c>
      <c r="L148" s="2">
        <v>313</v>
      </c>
      <c r="M148" s="2">
        <v>101.8355</v>
      </c>
      <c r="N148" s="2">
        <v>172</v>
      </c>
      <c r="O148" s="2">
        <v>106.3062</v>
      </c>
      <c r="P148" s="2">
        <v>98</v>
      </c>
      <c r="Q148" s="2">
        <v>106.38890000000001</v>
      </c>
      <c r="R148" s="2">
        <v>264</v>
      </c>
      <c r="S148" s="2">
        <v>105.7769</v>
      </c>
      <c r="T148" s="2">
        <v>227</v>
      </c>
      <c r="U148" s="2">
        <v>0.51434599999999997</v>
      </c>
      <c r="V148" s="2">
        <v>147</v>
      </c>
      <c r="W148" s="2">
        <v>2007</v>
      </c>
    </row>
    <row r="149" spans="1:23" ht="12.3" x14ac:dyDescent="0.4">
      <c r="A149" s="2" t="s">
        <v>34</v>
      </c>
      <c r="B149" s="2"/>
      <c r="C149" s="2"/>
      <c r="D149" s="2"/>
      <c r="E149" s="2"/>
      <c r="F149" s="2"/>
      <c r="G149" s="2"/>
      <c r="H149" s="2"/>
      <c r="I149" s="2">
        <v>64.980699999999999</v>
      </c>
      <c r="J149" s="2">
        <v>244</v>
      </c>
      <c r="K149" s="2">
        <v>65.719200000000001</v>
      </c>
      <c r="L149" s="2">
        <v>205</v>
      </c>
      <c r="M149" s="2">
        <v>98.379599999999996</v>
      </c>
      <c r="N149" s="2">
        <v>236</v>
      </c>
      <c r="O149" s="2">
        <v>101.1002</v>
      </c>
      <c r="P149" s="2">
        <v>183</v>
      </c>
      <c r="Q149" s="2">
        <v>103.9298</v>
      </c>
      <c r="R149" s="2">
        <v>199</v>
      </c>
      <c r="S149" s="2">
        <v>100.6236</v>
      </c>
      <c r="T149" s="2">
        <v>123</v>
      </c>
      <c r="U149" s="2">
        <v>0.51358000000000004</v>
      </c>
      <c r="V149" s="2">
        <v>148</v>
      </c>
      <c r="W149" s="2">
        <v>2007</v>
      </c>
    </row>
    <row r="150" spans="1:23" ht="12.3" x14ac:dyDescent="0.4">
      <c r="A150" s="2" t="s">
        <v>99</v>
      </c>
      <c r="B150" s="2"/>
      <c r="C150" s="2"/>
      <c r="D150" s="2"/>
      <c r="E150" s="2"/>
      <c r="F150" s="2"/>
      <c r="G150" s="2"/>
      <c r="H150" s="2"/>
      <c r="I150" s="2">
        <v>60.1755</v>
      </c>
      <c r="J150" s="2">
        <v>326</v>
      </c>
      <c r="K150" s="2">
        <v>59.241399999999999</v>
      </c>
      <c r="L150" s="2">
        <v>330</v>
      </c>
      <c r="M150" s="2">
        <v>96.075699999999998</v>
      </c>
      <c r="N150" s="2">
        <v>272</v>
      </c>
      <c r="O150" s="2">
        <v>97.964600000000004</v>
      </c>
      <c r="P150" s="2">
        <v>240</v>
      </c>
      <c r="Q150" s="2">
        <v>102.99209999999999</v>
      </c>
      <c r="R150" s="2">
        <v>187</v>
      </c>
      <c r="S150" s="2">
        <v>97.6708</v>
      </c>
      <c r="T150" s="2">
        <v>64</v>
      </c>
      <c r="U150" s="2">
        <v>0.50863400000000003</v>
      </c>
      <c r="V150" s="2">
        <v>149</v>
      </c>
      <c r="W150" s="2">
        <v>2007</v>
      </c>
    </row>
    <row r="151" spans="1:23" ht="12.3" x14ac:dyDescent="0.4">
      <c r="A151" s="2" t="s">
        <v>189</v>
      </c>
      <c r="B151" s="2"/>
      <c r="C151" s="2"/>
      <c r="D151" s="2"/>
      <c r="E151" s="2"/>
      <c r="F151" s="2"/>
      <c r="G151" s="2"/>
      <c r="H151" s="2"/>
      <c r="I151" s="2">
        <v>69.119200000000006</v>
      </c>
      <c r="J151" s="2">
        <v>89</v>
      </c>
      <c r="K151" s="2">
        <v>67.010900000000007</v>
      </c>
      <c r="L151" s="2">
        <v>152</v>
      </c>
      <c r="M151" s="2">
        <v>108.419</v>
      </c>
      <c r="N151" s="2">
        <v>53</v>
      </c>
      <c r="O151" s="2">
        <v>107.0531</v>
      </c>
      <c r="P151" s="2">
        <v>90</v>
      </c>
      <c r="Q151" s="2">
        <v>104.43040000000001</v>
      </c>
      <c r="R151" s="2">
        <v>211</v>
      </c>
      <c r="S151" s="2">
        <v>106.73260000000001</v>
      </c>
      <c r="T151" s="2">
        <v>249</v>
      </c>
      <c r="U151" s="2">
        <v>0.50861999999999996</v>
      </c>
      <c r="V151" s="2">
        <v>150</v>
      </c>
      <c r="W151" s="2">
        <v>2007</v>
      </c>
    </row>
    <row r="152" spans="1:23" ht="12.3" x14ac:dyDescent="0.4">
      <c r="A152" s="2" t="s">
        <v>230</v>
      </c>
      <c r="B152" s="2"/>
      <c r="C152" s="2"/>
      <c r="D152" s="2"/>
      <c r="E152" s="2"/>
      <c r="F152" s="2"/>
      <c r="G152" s="2"/>
      <c r="H152" s="2"/>
      <c r="I152" s="2">
        <v>63.408200000000001</v>
      </c>
      <c r="J152" s="2">
        <v>285</v>
      </c>
      <c r="K152" s="2">
        <v>63.804400000000001</v>
      </c>
      <c r="L152" s="2">
        <v>282</v>
      </c>
      <c r="M152" s="2">
        <v>102.352</v>
      </c>
      <c r="N152" s="2">
        <v>165</v>
      </c>
      <c r="O152" s="2">
        <v>105.9845</v>
      </c>
      <c r="P152" s="2">
        <v>104</v>
      </c>
      <c r="Q152" s="2">
        <v>107.23520000000001</v>
      </c>
      <c r="R152" s="2">
        <v>280</v>
      </c>
      <c r="S152" s="2">
        <v>105.7253</v>
      </c>
      <c r="T152" s="2">
        <v>225</v>
      </c>
      <c r="U152" s="2">
        <v>0.50704000000000005</v>
      </c>
      <c r="V152" s="2">
        <v>151</v>
      </c>
      <c r="W152" s="2">
        <v>2007</v>
      </c>
    </row>
    <row r="153" spans="1:23" ht="12.3" x14ac:dyDescent="0.4">
      <c r="A153" s="2" t="s">
        <v>63</v>
      </c>
      <c r="B153" s="2"/>
      <c r="C153" s="2"/>
      <c r="D153" s="2"/>
      <c r="E153" s="2"/>
      <c r="F153" s="2"/>
      <c r="G153" s="2"/>
      <c r="H153" s="2"/>
      <c r="I153" s="2">
        <v>67.659199999999998</v>
      </c>
      <c r="J153" s="2">
        <v>128</v>
      </c>
      <c r="K153" s="2">
        <v>67.006200000000007</v>
      </c>
      <c r="L153" s="2">
        <v>153</v>
      </c>
      <c r="M153" s="2">
        <v>103.6036</v>
      </c>
      <c r="N153" s="2">
        <v>148</v>
      </c>
      <c r="O153" s="2">
        <v>104.17449999999999</v>
      </c>
      <c r="P153" s="2">
        <v>137</v>
      </c>
      <c r="Q153" s="2">
        <v>105.6752</v>
      </c>
      <c r="R153" s="2">
        <v>248</v>
      </c>
      <c r="S153" s="2">
        <v>104.063</v>
      </c>
      <c r="T153" s="2">
        <v>195</v>
      </c>
      <c r="U153" s="2">
        <v>0.50307900000000005</v>
      </c>
      <c r="V153" s="2">
        <v>152</v>
      </c>
      <c r="W153" s="2">
        <v>2007</v>
      </c>
    </row>
    <row r="154" spans="1:23" ht="12.3" x14ac:dyDescent="0.4">
      <c r="A154" s="2" t="s">
        <v>144</v>
      </c>
      <c r="B154" s="2"/>
      <c r="C154" s="2"/>
      <c r="D154" s="2"/>
      <c r="E154" s="2"/>
      <c r="F154" s="2"/>
      <c r="G154" s="2"/>
      <c r="H154" s="2"/>
      <c r="I154" s="2">
        <v>66.154700000000005</v>
      </c>
      <c r="J154" s="2">
        <v>200</v>
      </c>
      <c r="K154" s="2">
        <v>67.018500000000003</v>
      </c>
      <c r="L154" s="2">
        <v>151</v>
      </c>
      <c r="M154" s="2">
        <v>103.86539999999999</v>
      </c>
      <c r="N154" s="2">
        <v>142</v>
      </c>
      <c r="O154" s="2">
        <v>104.20569999999999</v>
      </c>
      <c r="P154" s="2">
        <v>136</v>
      </c>
      <c r="Q154" s="2">
        <v>106.4511</v>
      </c>
      <c r="R154" s="2">
        <v>265</v>
      </c>
      <c r="S154" s="2">
        <v>104.1883</v>
      </c>
      <c r="T154" s="2">
        <v>197</v>
      </c>
      <c r="U154" s="2">
        <v>0.50047900000000001</v>
      </c>
      <c r="V154" s="2">
        <v>153</v>
      </c>
      <c r="W154" s="2">
        <v>2007</v>
      </c>
    </row>
    <row r="155" spans="1:23" ht="12.3" x14ac:dyDescent="0.4">
      <c r="A155" s="2" t="s">
        <v>267</v>
      </c>
      <c r="B155" s="2"/>
      <c r="C155" s="2"/>
      <c r="D155" s="2"/>
      <c r="E155" s="2"/>
      <c r="F155" s="2"/>
      <c r="G155" s="2"/>
      <c r="H155" s="2"/>
      <c r="I155" s="2">
        <v>62.023299999999999</v>
      </c>
      <c r="J155" s="2">
        <v>310</v>
      </c>
      <c r="K155" s="2">
        <v>62.9863</v>
      </c>
      <c r="L155" s="2">
        <v>298</v>
      </c>
      <c r="M155" s="2">
        <v>97.696399999999997</v>
      </c>
      <c r="N155" s="2">
        <v>247</v>
      </c>
      <c r="O155" s="2">
        <v>101.26819999999999</v>
      </c>
      <c r="P155" s="2">
        <v>179</v>
      </c>
      <c r="Q155" s="2">
        <v>105.59050000000001</v>
      </c>
      <c r="R155" s="2">
        <v>246</v>
      </c>
      <c r="S155" s="2">
        <v>101.25920000000001</v>
      </c>
      <c r="T155" s="2">
        <v>140</v>
      </c>
      <c r="U155" s="2">
        <v>0.50025600000000003</v>
      </c>
      <c r="V155" s="2">
        <v>154</v>
      </c>
      <c r="W155" s="2">
        <v>2007</v>
      </c>
    </row>
    <row r="156" spans="1:23" ht="12.3" x14ac:dyDescent="0.4">
      <c r="A156" s="2" t="s">
        <v>104</v>
      </c>
      <c r="B156" s="2"/>
      <c r="C156" s="2"/>
      <c r="D156" s="2"/>
      <c r="E156" s="2"/>
      <c r="F156" s="2"/>
      <c r="G156" s="2"/>
      <c r="H156" s="2"/>
      <c r="I156" s="2">
        <v>66.5625</v>
      </c>
      <c r="J156" s="2">
        <v>181</v>
      </c>
      <c r="K156" s="2">
        <v>64.369399999999999</v>
      </c>
      <c r="L156" s="2">
        <v>261</v>
      </c>
      <c r="M156" s="2">
        <v>105.3554</v>
      </c>
      <c r="N156" s="2">
        <v>112</v>
      </c>
      <c r="O156" s="2">
        <v>102.55370000000001</v>
      </c>
      <c r="P156" s="2">
        <v>163</v>
      </c>
      <c r="Q156" s="2">
        <v>100.7321</v>
      </c>
      <c r="R156" s="2">
        <v>136</v>
      </c>
      <c r="S156" s="2">
        <v>102.7957</v>
      </c>
      <c r="T156" s="2">
        <v>168</v>
      </c>
      <c r="U156" s="2">
        <v>0.49322199999999999</v>
      </c>
      <c r="V156" s="2">
        <v>155</v>
      </c>
      <c r="W156" s="2">
        <v>2007</v>
      </c>
    </row>
    <row r="157" spans="1:23" ht="12.3" x14ac:dyDescent="0.4">
      <c r="A157" s="2" t="s">
        <v>103</v>
      </c>
      <c r="B157" s="2"/>
      <c r="C157" s="2"/>
      <c r="D157" s="2"/>
      <c r="E157" s="2"/>
      <c r="F157" s="2"/>
      <c r="G157" s="2"/>
      <c r="H157" s="2"/>
      <c r="I157" s="2">
        <v>66.397099999999995</v>
      </c>
      <c r="J157" s="2">
        <v>188</v>
      </c>
      <c r="K157" s="2">
        <v>66.47</v>
      </c>
      <c r="L157" s="2">
        <v>175</v>
      </c>
      <c r="M157" s="2">
        <v>97.915099999999995</v>
      </c>
      <c r="N157" s="2">
        <v>244</v>
      </c>
      <c r="O157" s="2">
        <v>99.013199999999998</v>
      </c>
      <c r="P157" s="2">
        <v>218</v>
      </c>
      <c r="Q157" s="2">
        <v>100.30029999999999</v>
      </c>
      <c r="R157" s="2">
        <v>124</v>
      </c>
      <c r="S157" s="2">
        <v>99.430800000000005</v>
      </c>
      <c r="T157" s="2">
        <v>97</v>
      </c>
      <c r="U157" s="2">
        <v>0.48790099999999997</v>
      </c>
      <c r="V157" s="2">
        <v>156</v>
      </c>
      <c r="W157" s="2">
        <v>2007</v>
      </c>
    </row>
    <row r="158" spans="1:23" ht="12.3" x14ac:dyDescent="0.4">
      <c r="A158" s="2" t="s">
        <v>226</v>
      </c>
      <c r="B158" s="2"/>
      <c r="C158" s="2"/>
      <c r="D158" s="2"/>
      <c r="E158" s="2"/>
      <c r="F158" s="2"/>
      <c r="G158" s="2"/>
      <c r="H158" s="2"/>
      <c r="I158" s="2">
        <v>63.867699999999999</v>
      </c>
      <c r="J158" s="2">
        <v>274</v>
      </c>
      <c r="K158" s="2">
        <v>64.925399999999996</v>
      </c>
      <c r="L158" s="2">
        <v>239</v>
      </c>
      <c r="M158" s="2">
        <v>99.440299999999993</v>
      </c>
      <c r="N158" s="2">
        <v>215</v>
      </c>
      <c r="O158" s="2">
        <v>98.163899999999998</v>
      </c>
      <c r="P158" s="2">
        <v>236</v>
      </c>
      <c r="Q158" s="2">
        <v>95.435199999999995</v>
      </c>
      <c r="R158" s="2">
        <v>39</v>
      </c>
      <c r="S158" s="2">
        <v>98.762500000000003</v>
      </c>
      <c r="T158" s="2">
        <v>88</v>
      </c>
      <c r="U158" s="2">
        <v>0.48252800000000001</v>
      </c>
      <c r="V158" s="2">
        <v>157</v>
      </c>
      <c r="W158" s="2">
        <v>2007</v>
      </c>
    </row>
    <row r="159" spans="1:23" ht="12.3" x14ac:dyDescent="0.4">
      <c r="A159" s="2" t="s">
        <v>173</v>
      </c>
      <c r="B159" s="2"/>
      <c r="C159" s="2"/>
      <c r="D159" s="2"/>
      <c r="E159" s="2"/>
      <c r="F159" s="2"/>
      <c r="G159" s="2"/>
      <c r="H159" s="2"/>
      <c r="I159" s="2">
        <v>70.733000000000004</v>
      </c>
      <c r="J159" s="2">
        <v>51</v>
      </c>
      <c r="K159" s="2">
        <v>69.291600000000003</v>
      </c>
      <c r="L159" s="2">
        <v>72</v>
      </c>
      <c r="M159" s="2">
        <v>101.57299999999999</v>
      </c>
      <c r="N159" s="2">
        <v>182</v>
      </c>
      <c r="O159" s="2">
        <v>102.8965</v>
      </c>
      <c r="P159" s="2">
        <v>154</v>
      </c>
      <c r="Q159" s="2">
        <v>104.8545</v>
      </c>
      <c r="R159" s="2">
        <v>227</v>
      </c>
      <c r="S159" s="2">
        <v>103.70480000000001</v>
      </c>
      <c r="T159" s="2">
        <v>183</v>
      </c>
      <c r="U159" s="2">
        <v>0.477518</v>
      </c>
      <c r="V159" s="2">
        <v>158</v>
      </c>
      <c r="W159" s="2">
        <v>2007</v>
      </c>
    </row>
    <row r="160" spans="1:23" ht="12.3" x14ac:dyDescent="0.4">
      <c r="A160" s="2" t="s">
        <v>254</v>
      </c>
      <c r="B160" s="2"/>
      <c r="C160" s="2"/>
      <c r="D160" s="2"/>
      <c r="E160" s="2"/>
      <c r="F160" s="2"/>
      <c r="G160" s="2"/>
      <c r="H160" s="2"/>
      <c r="I160" s="2">
        <v>73.750900000000001</v>
      </c>
      <c r="J160" s="2">
        <v>11</v>
      </c>
      <c r="K160" s="2">
        <v>72.602099999999993</v>
      </c>
      <c r="L160" s="2">
        <v>16</v>
      </c>
      <c r="M160" s="2">
        <v>109.93429999999999</v>
      </c>
      <c r="N160" s="2">
        <v>40</v>
      </c>
      <c r="O160" s="2">
        <v>108.80840000000001</v>
      </c>
      <c r="P160" s="2">
        <v>69</v>
      </c>
      <c r="Q160" s="2">
        <v>109.90430000000001</v>
      </c>
      <c r="R160" s="2">
        <v>314</v>
      </c>
      <c r="S160" s="2">
        <v>109.6801</v>
      </c>
      <c r="T160" s="2">
        <v>299</v>
      </c>
      <c r="U160" s="2">
        <v>0.47707699999999997</v>
      </c>
      <c r="V160" s="2">
        <v>159</v>
      </c>
      <c r="W160" s="2">
        <v>2007</v>
      </c>
    </row>
    <row r="161" spans="1:23" ht="12.3" x14ac:dyDescent="0.4">
      <c r="A161" s="2" t="s">
        <v>259</v>
      </c>
      <c r="B161" s="2"/>
      <c r="C161" s="2"/>
      <c r="D161" s="2"/>
      <c r="E161" s="2"/>
      <c r="F161" s="2"/>
      <c r="G161" s="2"/>
      <c r="H161" s="2"/>
      <c r="I161" s="2">
        <v>75.282799999999995</v>
      </c>
      <c r="J161" s="2">
        <v>4</v>
      </c>
      <c r="K161" s="2">
        <v>75.564899999999994</v>
      </c>
      <c r="L161" s="2">
        <v>2</v>
      </c>
      <c r="M161" s="2">
        <v>103.62779999999999</v>
      </c>
      <c r="N161" s="2">
        <v>147</v>
      </c>
      <c r="O161" s="2">
        <v>103.41289999999999</v>
      </c>
      <c r="P161" s="2">
        <v>148</v>
      </c>
      <c r="Q161" s="2">
        <v>102.9547</v>
      </c>
      <c r="R161" s="2">
        <v>185</v>
      </c>
      <c r="S161" s="2">
        <v>104.2848</v>
      </c>
      <c r="T161" s="2">
        <v>199</v>
      </c>
      <c r="U161" s="2">
        <v>0.475881</v>
      </c>
      <c r="V161" s="2">
        <v>160</v>
      </c>
      <c r="W161" s="2">
        <v>2007</v>
      </c>
    </row>
    <row r="162" spans="1:23" ht="12.3" x14ac:dyDescent="0.4">
      <c r="A162" s="2" t="s">
        <v>184</v>
      </c>
      <c r="B162" s="2">
        <v>15</v>
      </c>
      <c r="C162" s="2"/>
      <c r="D162" s="2"/>
      <c r="E162" s="2"/>
      <c r="F162" s="2"/>
      <c r="G162" s="2"/>
      <c r="H162" s="2"/>
      <c r="I162" s="2">
        <v>70.520499999999998</v>
      </c>
      <c r="J162" s="2">
        <v>55</v>
      </c>
      <c r="K162" s="2">
        <v>70.170199999999994</v>
      </c>
      <c r="L162" s="2">
        <v>49</v>
      </c>
      <c r="M162" s="2">
        <v>105.9134</v>
      </c>
      <c r="N162" s="2">
        <v>103</v>
      </c>
      <c r="O162" s="2">
        <v>101.0235</v>
      </c>
      <c r="P162" s="2">
        <v>187</v>
      </c>
      <c r="Q162" s="2">
        <v>100.32299999999999</v>
      </c>
      <c r="R162" s="2">
        <v>125</v>
      </c>
      <c r="S162" s="2">
        <v>101.9812</v>
      </c>
      <c r="T162" s="2">
        <v>159</v>
      </c>
      <c r="U162" s="2">
        <v>0.47290100000000002</v>
      </c>
      <c r="V162" s="2">
        <v>161</v>
      </c>
      <c r="W162" s="2">
        <v>2007</v>
      </c>
    </row>
    <row r="163" spans="1:23" ht="12.3" x14ac:dyDescent="0.4">
      <c r="A163" s="2" t="s">
        <v>156</v>
      </c>
      <c r="B163" s="2">
        <v>16</v>
      </c>
      <c r="C163" s="2"/>
      <c r="D163" s="2"/>
      <c r="E163" s="2"/>
      <c r="F163" s="2"/>
      <c r="G163" s="2"/>
      <c r="H163" s="2"/>
      <c r="I163" s="2">
        <v>64.977599999999995</v>
      </c>
      <c r="J163" s="2">
        <v>245</v>
      </c>
      <c r="K163" s="2">
        <v>64.577500000000001</v>
      </c>
      <c r="L163" s="2">
        <v>253</v>
      </c>
      <c r="M163" s="2">
        <v>106.1309</v>
      </c>
      <c r="N163" s="2">
        <v>98</v>
      </c>
      <c r="O163" s="2">
        <v>102.55540000000001</v>
      </c>
      <c r="P163" s="2">
        <v>162</v>
      </c>
      <c r="Q163" s="2">
        <v>100.6046</v>
      </c>
      <c r="R163" s="2">
        <v>131</v>
      </c>
      <c r="S163" s="2">
        <v>103.5301</v>
      </c>
      <c r="T163" s="2">
        <v>177</v>
      </c>
      <c r="U163" s="2">
        <v>0.47282999999999997</v>
      </c>
      <c r="V163" s="2">
        <v>162</v>
      </c>
      <c r="W163" s="2">
        <v>2007</v>
      </c>
    </row>
    <row r="164" spans="1:23" ht="12.3" x14ac:dyDescent="0.4">
      <c r="A164" s="2" t="s">
        <v>227</v>
      </c>
      <c r="B164" s="2"/>
      <c r="C164" s="2"/>
      <c r="D164" s="2"/>
      <c r="E164" s="2"/>
      <c r="F164" s="2"/>
      <c r="G164" s="2"/>
      <c r="H164" s="2"/>
      <c r="I164" s="2">
        <v>65.021100000000004</v>
      </c>
      <c r="J164" s="2">
        <v>241</v>
      </c>
      <c r="K164" s="2">
        <v>66.788499999999999</v>
      </c>
      <c r="L164" s="2">
        <v>165</v>
      </c>
      <c r="M164" s="2">
        <v>106.5339</v>
      </c>
      <c r="N164" s="2">
        <v>87</v>
      </c>
      <c r="O164" s="2">
        <v>104.155</v>
      </c>
      <c r="P164" s="2">
        <v>138</v>
      </c>
      <c r="Q164" s="2">
        <v>102.21680000000001</v>
      </c>
      <c r="R164" s="2">
        <v>166</v>
      </c>
      <c r="S164" s="2">
        <v>105.41630000000001</v>
      </c>
      <c r="T164" s="2">
        <v>221</v>
      </c>
      <c r="U164" s="2">
        <v>0.465449</v>
      </c>
      <c r="V164" s="2">
        <v>163</v>
      </c>
      <c r="W164" s="2">
        <v>2007</v>
      </c>
    </row>
    <row r="165" spans="1:23" ht="12.3" x14ac:dyDescent="0.4">
      <c r="A165" s="2" t="s">
        <v>308</v>
      </c>
      <c r="B165" s="2"/>
      <c r="C165" s="2"/>
      <c r="D165" s="2"/>
      <c r="E165" s="2"/>
      <c r="F165" s="2"/>
      <c r="G165" s="2"/>
      <c r="H165" s="2"/>
      <c r="I165" s="2">
        <v>63.872300000000003</v>
      </c>
      <c r="J165" s="2">
        <v>273</v>
      </c>
      <c r="K165" s="2">
        <v>65.555099999999996</v>
      </c>
      <c r="L165" s="2">
        <v>212</v>
      </c>
      <c r="M165" s="2">
        <v>97.481200000000001</v>
      </c>
      <c r="N165" s="2">
        <v>250</v>
      </c>
      <c r="O165" s="2">
        <v>100.0869</v>
      </c>
      <c r="P165" s="2">
        <v>204</v>
      </c>
      <c r="Q165" s="2">
        <v>104.03189999999999</v>
      </c>
      <c r="R165" s="2">
        <v>203</v>
      </c>
      <c r="S165" s="2">
        <v>101.3036</v>
      </c>
      <c r="T165" s="2">
        <v>142</v>
      </c>
      <c r="U165" s="2">
        <v>0.46531600000000001</v>
      </c>
      <c r="V165" s="2">
        <v>164</v>
      </c>
      <c r="W165" s="2">
        <v>2007</v>
      </c>
    </row>
    <row r="166" spans="1:23" ht="12.3" x14ac:dyDescent="0.4">
      <c r="A166" s="2" t="s">
        <v>294</v>
      </c>
      <c r="B166" s="2"/>
      <c r="C166" s="2"/>
      <c r="D166" s="2"/>
      <c r="E166" s="2"/>
      <c r="F166" s="2"/>
      <c r="G166" s="2"/>
      <c r="H166" s="2"/>
      <c r="I166" s="2">
        <v>62.624699999999997</v>
      </c>
      <c r="J166" s="2">
        <v>298</v>
      </c>
      <c r="K166" s="2">
        <v>61.309199999999997</v>
      </c>
      <c r="L166" s="2">
        <v>320</v>
      </c>
      <c r="M166" s="2">
        <v>103.88849999999999</v>
      </c>
      <c r="N166" s="2">
        <v>141</v>
      </c>
      <c r="O166" s="2">
        <v>102.0286</v>
      </c>
      <c r="P166" s="2">
        <v>170</v>
      </c>
      <c r="Q166" s="2">
        <v>104.7274</v>
      </c>
      <c r="R166" s="2">
        <v>222</v>
      </c>
      <c r="S166" s="2">
        <v>103.3605</v>
      </c>
      <c r="T166" s="2">
        <v>174</v>
      </c>
      <c r="U166" s="2">
        <v>0.462781</v>
      </c>
      <c r="V166" s="2">
        <v>165</v>
      </c>
      <c r="W166" s="2">
        <v>2007</v>
      </c>
    </row>
    <row r="167" spans="1:23" ht="12.3" x14ac:dyDescent="0.4">
      <c r="A167" s="2" t="s">
        <v>127</v>
      </c>
      <c r="B167" s="2"/>
      <c r="C167" s="2"/>
      <c r="D167" s="2"/>
      <c r="E167" s="2"/>
      <c r="F167" s="2"/>
      <c r="G167" s="2"/>
      <c r="H167" s="2"/>
      <c r="I167" s="2">
        <v>67.563500000000005</v>
      </c>
      <c r="J167" s="2">
        <v>134</v>
      </c>
      <c r="K167" s="2">
        <v>67.851799999999997</v>
      </c>
      <c r="L167" s="2">
        <v>119</v>
      </c>
      <c r="M167" s="2">
        <v>100.7595</v>
      </c>
      <c r="N167" s="2">
        <v>195</v>
      </c>
      <c r="O167" s="2">
        <v>100.2675</v>
      </c>
      <c r="P167" s="2">
        <v>199</v>
      </c>
      <c r="Q167" s="2">
        <v>99.390299999999996</v>
      </c>
      <c r="R167" s="2">
        <v>101</v>
      </c>
      <c r="S167" s="2">
        <v>101.59990000000001</v>
      </c>
      <c r="T167" s="2">
        <v>151</v>
      </c>
      <c r="U167" s="2">
        <v>0.46211799999999997</v>
      </c>
      <c r="V167" s="2">
        <v>166</v>
      </c>
      <c r="W167" s="2">
        <v>2007</v>
      </c>
    </row>
    <row r="168" spans="1:23" ht="12.3" x14ac:dyDescent="0.4">
      <c r="A168" s="2" t="s">
        <v>133</v>
      </c>
      <c r="B168" s="2"/>
      <c r="C168" s="2"/>
      <c r="D168" s="2"/>
      <c r="E168" s="2"/>
      <c r="F168" s="2"/>
      <c r="G168" s="2"/>
      <c r="H168" s="2"/>
      <c r="I168" s="2">
        <v>70.865499999999997</v>
      </c>
      <c r="J168" s="2">
        <v>48</v>
      </c>
      <c r="K168" s="2">
        <v>69.940100000000001</v>
      </c>
      <c r="L168" s="2">
        <v>55</v>
      </c>
      <c r="M168" s="2">
        <v>104.2432</v>
      </c>
      <c r="N168" s="2">
        <v>135</v>
      </c>
      <c r="O168" s="2">
        <v>105.8052</v>
      </c>
      <c r="P168" s="2">
        <v>112</v>
      </c>
      <c r="Q168" s="2">
        <v>105.113</v>
      </c>
      <c r="R168" s="2">
        <v>233</v>
      </c>
      <c r="S168" s="2">
        <v>107.3978</v>
      </c>
      <c r="T168" s="2">
        <v>259</v>
      </c>
      <c r="U168" s="2">
        <v>0.457152</v>
      </c>
      <c r="V168" s="2">
        <v>167</v>
      </c>
      <c r="W168" s="2">
        <v>2007</v>
      </c>
    </row>
    <row r="169" spans="1:23" ht="12.3" x14ac:dyDescent="0.4">
      <c r="A169" s="2" t="s">
        <v>110</v>
      </c>
      <c r="B169" s="2"/>
      <c r="C169" s="2"/>
      <c r="D169" s="2"/>
      <c r="E169" s="2"/>
      <c r="F169" s="2"/>
      <c r="G169" s="2"/>
      <c r="H169" s="2"/>
      <c r="I169" s="2">
        <v>66.774299999999997</v>
      </c>
      <c r="J169" s="2">
        <v>171</v>
      </c>
      <c r="K169" s="2">
        <v>65.507900000000006</v>
      </c>
      <c r="L169" s="2">
        <v>214</v>
      </c>
      <c r="M169" s="2">
        <v>98.794700000000006</v>
      </c>
      <c r="N169" s="2">
        <v>227</v>
      </c>
      <c r="O169" s="2">
        <v>97.831900000000005</v>
      </c>
      <c r="P169" s="2">
        <v>244</v>
      </c>
      <c r="Q169" s="2">
        <v>99.842399999999998</v>
      </c>
      <c r="R169" s="2">
        <v>112</v>
      </c>
      <c r="S169" s="2">
        <v>99.309200000000004</v>
      </c>
      <c r="T169" s="2">
        <v>94</v>
      </c>
      <c r="U169" s="2">
        <v>0.45701700000000001</v>
      </c>
      <c r="V169" s="2">
        <v>168</v>
      </c>
      <c r="W169" s="2">
        <v>2007</v>
      </c>
    </row>
    <row r="170" spans="1:23" ht="12.3" x14ac:dyDescent="0.4">
      <c r="A170" s="2" t="s">
        <v>160</v>
      </c>
      <c r="B170" s="2"/>
      <c r="C170" s="2"/>
      <c r="D170" s="2"/>
      <c r="E170" s="2"/>
      <c r="F170" s="2"/>
      <c r="G170" s="2"/>
      <c r="H170" s="2"/>
      <c r="I170" s="2">
        <v>65.731399999999994</v>
      </c>
      <c r="J170" s="2">
        <v>213</v>
      </c>
      <c r="K170" s="2">
        <v>66.582999999999998</v>
      </c>
      <c r="L170" s="2">
        <v>173</v>
      </c>
      <c r="M170" s="2">
        <v>101.67959999999999</v>
      </c>
      <c r="N170" s="2">
        <v>179</v>
      </c>
      <c r="O170" s="2">
        <v>101.84569999999999</v>
      </c>
      <c r="P170" s="2">
        <v>172</v>
      </c>
      <c r="Q170" s="2">
        <v>100.85720000000001</v>
      </c>
      <c r="R170" s="2">
        <v>139</v>
      </c>
      <c r="S170" s="2">
        <v>103.5808</v>
      </c>
      <c r="T170" s="2">
        <v>178</v>
      </c>
      <c r="U170" s="2">
        <v>0.45158700000000002</v>
      </c>
      <c r="V170" s="2">
        <v>169</v>
      </c>
      <c r="W170" s="2">
        <v>2007</v>
      </c>
    </row>
    <row r="171" spans="1:23" ht="12.3" x14ac:dyDescent="0.4">
      <c r="A171" s="2" t="s">
        <v>108</v>
      </c>
      <c r="B171" s="2"/>
      <c r="C171" s="2"/>
      <c r="D171" s="2"/>
      <c r="E171" s="2"/>
      <c r="F171" s="2"/>
      <c r="G171" s="2"/>
      <c r="H171" s="2"/>
      <c r="I171" s="2">
        <v>71.356999999999999</v>
      </c>
      <c r="J171" s="2">
        <v>40</v>
      </c>
      <c r="K171" s="2">
        <v>70.933499999999995</v>
      </c>
      <c r="L171" s="2">
        <v>36</v>
      </c>
      <c r="M171" s="2">
        <v>100.48569999999999</v>
      </c>
      <c r="N171" s="2">
        <v>201</v>
      </c>
      <c r="O171" s="2">
        <v>97.703900000000004</v>
      </c>
      <c r="P171" s="2">
        <v>246</v>
      </c>
      <c r="Q171" s="2">
        <v>95.063699999999997</v>
      </c>
      <c r="R171" s="2">
        <v>32</v>
      </c>
      <c r="S171" s="2">
        <v>99.427499999999995</v>
      </c>
      <c r="T171" s="2">
        <v>96</v>
      </c>
      <c r="U171" s="2">
        <v>0.44989200000000001</v>
      </c>
      <c r="V171" s="2">
        <v>170</v>
      </c>
      <c r="W171" s="2">
        <v>2007</v>
      </c>
    </row>
    <row r="172" spans="1:23" ht="12.3" x14ac:dyDescent="0.4">
      <c r="A172" s="2" t="s">
        <v>142</v>
      </c>
      <c r="B172" s="2"/>
      <c r="C172" s="2"/>
      <c r="D172" s="2"/>
      <c r="E172" s="2"/>
      <c r="F172" s="2"/>
      <c r="G172" s="2"/>
      <c r="H172" s="2"/>
      <c r="I172" s="2">
        <v>67.298599999999993</v>
      </c>
      <c r="J172" s="2">
        <v>144</v>
      </c>
      <c r="K172" s="2">
        <v>67.843000000000004</v>
      </c>
      <c r="L172" s="2">
        <v>120</v>
      </c>
      <c r="M172" s="2">
        <v>92.7881</v>
      </c>
      <c r="N172" s="2">
        <v>305</v>
      </c>
      <c r="O172" s="2">
        <v>94.412999999999997</v>
      </c>
      <c r="P172" s="2">
        <v>285</v>
      </c>
      <c r="Q172" s="2">
        <v>98.603499999999997</v>
      </c>
      <c r="R172" s="2">
        <v>86</v>
      </c>
      <c r="S172" s="2">
        <v>96.155900000000003</v>
      </c>
      <c r="T172" s="2">
        <v>49</v>
      </c>
      <c r="U172" s="2">
        <v>0.447604</v>
      </c>
      <c r="V172" s="2">
        <v>171</v>
      </c>
      <c r="W172" s="2">
        <v>2007</v>
      </c>
    </row>
    <row r="173" spans="1:23" ht="12.3" x14ac:dyDescent="0.4">
      <c r="A173" s="2" t="s">
        <v>114</v>
      </c>
      <c r="B173" s="2"/>
      <c r="C173" s="2"/>
      <c r="D173" s="2"/>
      <c r="E173" s="2"/>
      <c r="F173" s="2"/>
      <c r="G173" s="2"/>
      <c r="H173" s="2"/>
      <c r="I173" s="2">
        <v>69.537300000000002</v>
      </c>
      <c r="J173" s="2">
        <v>75</v>
      </c>
      <c r="K173" s="2">
        <v>70.223500000000001</v>
      </c>
      <c r="L173" s="2">
        <v>48</v>
      </c>
      <c r="M173" s="2">
        <v>105.15860000000001</v>
      </c>
      <c r="N173" s="2">
        <v>116</v>
      </c>
      <c r="O173" s="2">
        <v>100.5654</v>
      </c>
      <c r="P173" s="2">
        <v>196</v>
      </c>
      <c r="Q173" s="2">
        <v>102.1103</v>
      </c>
      <c r="R173" s="2">
        <v>163</v>
      </c>
      <c r="S173" s="2">
        <v>102.5455</v>
      </c>
      <c r="T173" s="2">
        <v>163</v>
      </c>
      <c r="U173" s="2">
        <v>0.44417699999999999</v>
      </c>
      <c r="V173" s="2">
        <v>172</v>
      </c>
      <c r="W173" s="2">
        <v>2007</v>
      </c>
    </row>
    <row r="174" spans="1:23" ht="12.3" x14ac:dyDescent="0.4">
      <c r="A174" s="2" t="s">
        <v>330</v>
      </c>
      <c r="B174" s="2"/>
      <c r="C174" s="2"/>
      <c r="D174" s="2"/>
      <c r="E174" s="2"/>
      <c r="F174" s="2"/>
      <c r="G174" s="2"/>
      <c r="H174" s="2"/>
      <c r="I174" s="2">
        <v>70.409199999999998</v>
      </c>
      <c r="J174" s="2">
        <v>58</v>
      </c>
      <c r="K174" s="2">
        <v>67.173100000000005</v>
      </c>
      <c r="L174" s="2">
        <v>146</v>
      </c>
      <c r="M174" s="2">
        <v>103.17</v>
      </c>
      <c r="N174" s="2">
        <v>153</v>
      </c>
      <c r="O174" s="2">
        <v>99.152900000000002</v>
      </c>
      <c r="P174" s="2">
        <v>216</v>
      </c>
      <c r="Q174" s="2">
        <v>98.829899999999995</v>
      </c>
      <c r="R174" s="2">
        <v>90</v>
      </c>
      <c r="S174" s="2">
        <v>101.18729999999999</v>
      </c>
      <c r="T174" s="2">
        <v>139</v>
      </c>
      <c r="U174" s="2">
        <v>0.44187100000000001</v>
      </c>
      <c r="V174" s="2">
        <v>173</v>
      </c>
      <c r="W174" s="2">
        <v>2007</v>
      </c>
    </row>
    <row r="175" spans="1:23" ht="12.3" x14ac:dyDescent="0.4">
      <c r="A175" s="2" t="s">
        <v>333</v>
      </c>
      <c r="B175" s="2"/>
      <c r="C175" s="2"/>
      <c r="D175" s="2"/>
      <c r="E175" s="2"/>
      <c r="F175" s="2"/>
      <c r="G175" s="2"/>
      <c r="H175" s="2"/>
      <c r="I175" s="2">
        <v>62.911499999999997</v>
      </c>
      <c r="J175" s="2">
        <v>293</v>
      </c>
      <c r="K175" s="2">
        <v>64.340699999999998</v>
      </c>
      <c r="L175" s="2">
        <v>262</v>
      </c>
      <c r="M175" s="2">
        <v>103.9635</v>
      </c>
      <c r="N175" s="2">
        <v>140</v>
      </c>
      <c r="O175" s="2">
        <v>102.6313</v>
      </c>
      <c r="P175" s="2">
        <v>160</v>
      </c>
      <c r="Q175" s="2">
        <v>101.5972</v>
      </c>
      <c r="R175" s="2">
        <v>156</v>
      </c>
      <c r="S175" s="2">
        <v>104.7551</v>
      </c>
      <c r="T175" s="2">
        <v>207</v>
      </c>
      <c r="U175" s="2">
        <v>0.441382</v>
      </c>
      <c r="V175" s="2">
        <v>174</v>
      </c>
      <c r="W175" s="2">
        <v>2007</v>
      </c>
    </row>
    <row r="176" spans="1:23" ht="12.3" x14ac:dyDescent="0.4">
      <c r="A176" s="2" t="s">
        <v>194</v>
      </c>
      <c r="B176" s="2">
        <v>16</v>
      </c>
      <c r="C176" s="2"/>
      <c r="D176" s="2"/>
      <c r="E176" s="2"/>
      <c r="F176" s="2"/>
      <c r="G176" s="2"/>
      <c r="H176" s="2"/>
      <c r="I176" s="2">
        <v>69.233999999999995</v>
      </c>
      <c r="J176" s="2">
        <v>86</v>
      </c>
      <c r="K176" s="2">
        <v>69.322699999999998</v>
      </c>
      <c r="L176" s="2">
        <v>70</v>
      </c>
      <c r="M176" s="2">
        <v>108.4158</v>
      </c>
      <c r="N176" s="2">
        <v>54</v>
      </c>
      <c r="O176" s="2">
        <v>105.5827</v>
      </c>
      <c r="P176" s="2">
        <v>114</v>
      </c>
      <c r="Q176" s="2">
        <v>105.3049</v>
      </c>
      <c r="R176" s="2">
        <v>238</v>
      </c>
      <c r="S176" s="2">
        <v>107.873</v>
      </c>
      <c r="T176" s="2">
        <v>269</v>
      </c>
      <c r="U176" s="2">
        <v>0.438614</v>
      </c>
      <c r="V176" s="2">
        <v>175</v>
      </c>
      <c r="W176" s="2">
        <v>2007</v>
      </c>
    </row>
    <row r="177" spans="1:23" ht="12.3" x14ac:dyDescent="0.4">
      <c r="A177" s="2" t="s">
        <v>316</v>
      </c>
      <c r="B177" s="2"/>
      <c r="C177" s="2"/>
      <c r="D177" s="2"/>
      <c r="E177" s="2"/>
      <c r="F177" s="2"/>
      <c r="G177" s="2"/>
      <c r="H177" s="2"/>
      <c r="I177" s="2">
        <v>72.447999999999993</v>
      </c>
      <c r="J177" s="2">
        <v>21</v>
      </c>
      <c r="K177" s="2">
        <v>72.549599999999998</v>
      </c>
      <c r="L177" s="2">
        <v>18</v>
      </c>
      <c r="M177" s="2">
        <v>108.1391</v>
      </c>
      <c r="N177" s="2">
        <v>61</v>
      </c>
      <c r="O177" s="2">
        <v>105.55459999999999</v>
      </c>
      <c r="P177" s="2">
        <v>115</v>
      </c>
      <c r="Q177" s="2">
        <v>105.8663</v>
      </c>
      <c r="R177" s="2">
        <v>251</v>
      </c>
      <c r="S177" s="2">
        <v>107.8789</v>
      </c>
      <c r="T177" s="2">
        <v>270</v>
      </c>
      <c r="U177" s="2">
        <v>0.43770599999999998</v>
      </c>
      <c r="V177" s="2">
        <v>176</v>
      </c>
      <c r="W177" s="2">
        <v>2007</v>
      </c>
    </row>
    <row r="178" spans="1:23" ht="12.3" x14ac:dyDescent="0.4">
      <c r="A178" s="2" t="s">
        <v>199</v>
      </c>
      <c r="B178" s="2"/>
      <c r="C178" s="2"/>
      <c r="D178" s="2"/>
      <c r="E178" s="2"/>
      <c r="F178" s="2"/>
      <c r="G178" s="2"/>
      <c r="H178" s="2"/>
      <c r="I178" s="2">
        <v>63.8872</v>
      </c>
      <c r="J178" s="2">
        <v>271</v>
      </c>
      <c r="K178" s="2">
        <v>63.9208</v>
      </c>
      <c r="L178" s="2">
        <v>278</v>
      </c>
      <c r="M178" s="2">
        <v>105.81359999999999</v>
      </c>
      <c r="N178" s="2">
        <v>104</v>
      </c>
      <c r="O178" s="2">
        <v>104.89239999999999</v>
      </c>
      <c r="P178" s="2">
        <v>129</v>
      </c>
      <c r="Q178" s="2">
        <v>106.73779999999999</v>
      </c>
      <c r="R178" s="2">
        <v>269</v>
      </c>
      <c r="S178" s="2">
        <v>107.27249999999999</v>
      </c>
      <c r="T178" s="2">
        <v>256</v>
      </c>
      <c r="U178" s="2">
        <v>0.43585000000000002</v>
      </c>
      <c r="V178" s="2">
        <v>177</v>
      </c>
      <c r="W178" s="2">
        <v>2007</v>
      </c>
    </row>
    <row r="179" spans="1:23" ht="12.3" x14ac:dyDescent="0.4">
      <c r="A179" s="2" t="s">
        <v>75</v>
      </c>
      <c r="B179" s="2"/>
      <c r="C179" s="2"/>
      <c r="D179" s="2"/>
      <c r="E179" s="2"/>
      <c r="F179" s="2"/>
      <c r="G179" s="2"/>
      <c r="H179" s="2"/>
      <c r="I179" s="2">
        <v>64.098500000000001</v>
      </c>
      <c r="J179" s="2">
        <v>262</v>
      </c>
      <c r="K179" s="2">
        <v>66.0625</v>
      </c>
      <c r="L179" s="2">
        <v>192</v>
      </c>
      <c r="M179" s="2">
        <v>93.826400000000007</v>
      </c>
      <c r="N179" s="2">
        <v>296</v>
      </c>
      <c r="O179" s="2">
        <v>98.216999999999999</v>
      </c>
      <c r="P179" s="2">
        <v>232</v>
      </c>
      <c r="Q179" s="2">
        <v>102.5715</v>
      </c>
      <c r="R179" s="2">
        <v>172</v>
      </c>
      <c r="S179" s="2">
        <v>100.5496</v>
      </c>
      <c r="T179" s="2">
        <v>120</v>
      </c>
      <c r="U179" s="2">
        <v>0.43292599999999998</v>
      </c>
      <c r="V179" s="2">
        <v>178</v>
      </c>
      <c r="W179" s="2">
        <v>2007</v>
      </c>
    </row>
    <row r="180" spans="1:23" ht="12.3" x14ac:dyDescent="0.4">
      <c r="A180" s="2" t="s">
        <v>269</v>
      </c>
      <c r="B180" s="2"/>
      <c r="C180" s="2"/>
      <c r="D180" s="2"/>
      <c r="E180" s="2"/>
      <c r="F180" s="2"/>
      <c r="G180" s="2"/>
      <c r="H180" s="2"/>
      <c r="I180" s="2">
        <v>73.019599999999997</v>
      </c>
      <c r="J180" s="2">
        <v>16</v>
      </c>
      <c r="K180" s="2">
        <v>71.979299999999995</v>
      </c>
      <c r="L180" s="2">
        <v>25</v>
      </c>
      <c r="M180" s="2">
        <v>105.49850000000001</v>
      </c>
      <c r="N180" s="2">
        <v>109</v>
      </c>
      <c r="O180" s="2">
        <v>102.57689999999999</v>
      </c>
      <c r="P180" s="2">
        <v>161</v>
      </c>
      <c r="Q180" s="2">
        <v>103.495</v>
      </c>
      <c r="R180" s="2">
        <v>195</v>
      </c>
      <c r="S180" s="2">
        <v>105.30889999999999</v>
      </c>
      <c r="T180" s="2">
        <v>219</v>
      </c>
      <c r="U180" s="2">
        <v>0.42499999999999999</v>
      </c>
      <c r="V180" s="2">
        <v>179</v>
      </c>
      <c r="W180" s="2">
        <v>2007</v>
      </c>
    </row>
    <row r="181" spans="1:23" ht="12.3" x14ac:dyDescent="0.4">
      <c r="A181" s="2" t="s">
        <v>149</v>
      </c>
      <c r="B181" s="2"/>
      <c r="C181" s="2"/>
      <c r="D181" s="2"/>
      <c r="E181" s="2"/>
      <c r="F181" s="2"/>
      <c r="G181" s="2"/>
      <c r="H181" s="2"/>
      <c r="I181" s="2">
        <v>66.143299999999996</v>
      </c>
      <c r="J181" s="2">
        <v>201</v>
      </c>
      <c r="K181" s="2">
        <v>66.4358</v>
      </c>
      <c r="L181" s="2">
        <v>176</v>
      </c>
      <c r="M181" s="2">
        <v>95.1999</v>
      </c>
      <c r="N181" s="2">
        <v>283</v>
      </c>
      <c r="O181" s="2">
        <v>100.0566</v>
      </c>
      <c r="P181" s="2">
        <v>205</v>
      </c>
      <c r="Q181" s="2">
        <v>105.43340000000001</v>
      </c>
      <c r="R181" s="2">
        <v>242</v>
      </c>
      <c r="S181" s="2">
        <v>102.7513</v>
      </c>
      <c r="T181" s="2">
        <v>167</v>
      </c>
      <c r="U181" s="2">
        <v>0.42418400000000001</v>
      </c>
      <c r="V181" s="2">
        <v>180</v>
      </c>
      <c r="W181" s="2">
        <v>2007</v>
      </c>
    </row>
    <row r="182" spans="1:23" ht="12.3" x14ac:dyDescent="0.4">
      <c r="A182" s="2" t="s">
        <v>324</v>
      </c>
      <c r="B182" s="2">
        <v>16</v>
      </c>
      <c r="C182" s="2"/>
      <c r="D182" s="2"/>
      <c r="E182" s="2"/>
      <c r="F182" s="2"/>
      <c r="G182" s="2"/>
      <c r="H182" s="2"/>
      <c r="I182" s="2">
        <v>61.728999999999999</v>
      </c>
      <c r="J182" s="2">
        <v>314</v>
      </c>
      <c r="K182" s="2">
        <v>62.029200000000003</v>
      </c>
      <c r="L182" s="2">
        <v>312</v>
      </c>
      <c r="M182" s="2">
        <v>104.3443</v>
      </c>
      <c r="N182" s="2">
        <v>131</v>
      </c>
      <c r="O182" s="2">
        <v>100.227</v>
      </c>
      <c r="P182" s="2">
        <v>200</v>
      </c>
      <c r="Q182" s="2">
        <v>101.26860000000001</v>
      </c>
      <c r="R182" s="2">
        <v>142</v>
      </c>
      <c r="S182" s="2">
        <v>103.0133</v>
      </c>
      <c r="T182" s="2">
        <v>171</v>
      </c>
      <c r="U182" s="2">
        <v>0.42181299999999999</v>
      </c>
      <c r="V182" s="2">
        <v>181</v>
      </c>
      <c r="W182" s="2">
        <v>2007</v>
      </c>
    </row>
    <row r="183" spans="1:23" ht="12.3" x14ac:dyDescent="0.4">
      <c r="A183" s="2" t="s">
        <v>170</v>
      </c>
      <c r="B183" s="2">
        <v>15</v>
      </c>
      <c r="C183" s="2"/>
      <c r="D183" s="2"/>
      <c r="E183" s="2"/>
      <c r="F183" s="2"/>
      <c r="G183" s="2"/>
      <c r="H183" s="2"/>
      <c r="I183" s="2">
        <v>67.290099999999995</v>
      </c>
      <c r="J183" s="2">
        <v>145</v>
      </c>
      <c r="K183" s="2">
        <v>66.2393</v>
      </c>
      <c r="L183" s="2">
        <v>187</v>
      </c>
      <c r="M183" s="2">
        <v>104.5076</v>
      </c>
      <c r="N183" s="2">
        <v>126</v>
      </c>
      <c r="O183" s="2">
        <v>100.9254</v>
      </c>
      <c r="P183" s="2">
        <v>190</v>
      </c>
      <c r="Q183" s="2">
        <v>103.5035</v>
      </c>
      <c r="R183" s="2">
        <v>196</v>
      </c>
      <c r="S183" s="2">
        <v>103.73139999999999</v>
      </c>
      <c r="T183" s="2">
        <v>184</v>
      </c>
      <c r="U183" s="2">
        <v>0.42180600000000001</v>
      </c>
      <c r="V183" s="2">
        <v>182</v>
      </c>
      <c r="W183" s="2">
        <v>2007</v>
      </c>
    </row>
    <row r="184" spans="1:23" ht="12.3" x14ac:dyDescent="0.4">
      <c r="A184" s="2" t="s">
        <v>231</v>
      </c>
      <c r="B184" s="2"/>
      <c r="C184" s="2"/>
      <c r="D184" s="2"/>
      <c r="E184" s="2"/>
      <c r="F184" s="2"/>
      <c r="G184" s="2"/>
      <c r="H184" s="2"/>
      <c r="I184" s="2">
        <v>67.273600000000002</v>
      </c>
      <c r="J184" s="2">
        <v>147</v>
      </c>
      <c r="K184" s="2">
        <v>66.872600000000006</v>
      </c>
      <c r="L184" s="2">
        <v>160</v>
      </c>
      <c r="M184" s="2">
        <v>99.432599999999994</v>
      </c>
      <c r="N184" s="2">
        <v>216</v>
      </c>
      <c r="O184" s="2">
        <v>101.099</v>
      </c>
      <c r="P184" s="2">
        <v>184</v>
      </c>
      <c r="Q184" s="2">
        <v>103.97880000000001</v>
      </c>
      <c r="R184" s="2">
        <v>200</v>
      </c>
      <c r="S184" s="2">
        <v>103.92270000000001</v>
      </c>
      <c r="T184" s="2">
        <v>188</v>
      </c>
      <c r="U184" s="2">
        <v>0.421458</v>
      </c>
      <c r="V184" s="2">
        <v>183</v>
      </c>
      <c r="W184" s="2">
        <v>2007</v>
      </c>
    </row>
    <row r="185" spans="1:23" ht="12.3" x14ac:dyDescent="0.4">
      <c r="A185" s="2" t="s">
        <v>140</v>
      </c>
      <c r="B185" s="2"/>
      <c r="C185" s="2"/>
      <c r="D185" s="2"/>
      <c r="E185" s="2"/>
      <c r="F185" s="2"/>
      <c r="G185" s="2"/>
      <c r="H185" s="2"/>
      <c r="I185" s="2">
        <v>62.6843</v>
      </c>
      <c r="J185" s="2">
        <v>297</v>
      </c>
      <c r="K185" s="2">
        <v>61.6252</v>
      </c>
      <c r="L185" s="2">
        <v>317</v>
      </c>
      <c r="M185" s="2">
        <v>97.818100000000001</v>
      </c>
      <c r="N185" s="2">
        <v>246</v>
      </c>
      <c r="O185" s="2">
        <v>98.863399999999999</v>
      </c>
      <c r="P185" s="2">
        <v>221</v>
      </c>
      <c r="Q185" s="2">
        <v>100.19159999999999</v>
      </c>
      <c r="R185" s="2">
        <v>119</v>
      </c>
      <c r="S185" s="2">
        <v>101.7208</v>
      </c>
      <c r="T185" s="2">
        <v>154</v>
      </c>
      <c r="U185" s="2">
        <v>0.41881000000000002</v>
      </c>
      <c r="V185" s="2">
        <v>184</v>
      </c>
      <c r="W185" s="2">
        <v>2007</v>
      </c>
    </row>
    <row r="186" spans="1:23" ht="12.3" x14ac:dyDescent="0.4">
      <c r="A186" s="2" t="s">
        <v>265</v>
      </c>
      <c r="B186" s="2"/>
      <c r="C186" s="2"/>
      <c r="D186" s="2"/>
      <c r="E186" s="2"/>
      <c r="F186" s="2"/>
      <c r="G186" s="2"/>
      <c r="H186" s="2"/>
      <c r="I186" s="2">
        <v>55.540999999999997</v>
      </c>
      <c r="J186" s="2">
        <v>334</v>
      </c>
      <c r="K186" s="2">
        <v>55.2149</v>
      </c>
      <c r="L186" s="2">
        <v>335</v>
      </c>
      <c r="M186" s="2">
        <v>106.0942</v>
      </c>
      <c r="N186" s="2">
        <v>99</v>
      </c>
      <c r="O186" s="2">
        <v>105.1914</v>
      </c>
      <c r="P186" s="2">
        <v>120</v>
      </c>
      <c r="Q186" s="2">
        <v>104.96680000000001</v>
      </c>
      <c r="R186" s="2">
        <v>229</v>
      </c>
      <c r="S186" s="2">
        <v>108.254</v>
      </c>
      <c r="T186" s="2">
        <v>281</v>
      </c>
      <c r="U186" s="2">
        <v>0.41823199999999999</v>
      </c>
      <c r="V186" s="2">
        <v>185</v>
      </c>
      <c r="W186" s="2">
        <v>2007</v>
      </c>
    </row>
    <row r="187" spans="1:23" ht="12.3" x14ac:dyDescent="0.4">
      <c r="A187" s="2" t="s">
        <v>317</v>
      </c>
      <c r="B187" s="2"/>
      <c r="C187" s="2"/>
      <c r="D187" s="2"/>
      <c r="E187" s="2"/>
      <c r="F187" s="2"/>
      <c r="G187" s="2"/>
      <c r="H187" s="2"/>
      <c r="I187" s="2">
        <v>65.179699999999997</v>
      </c>
      <c r="J187" s="2">
        <v>229</v>
      </c>
      <c r="K187" s="2">
        <v>67.221500000000006</v>
      </c>
      <c r="L187" s="2">
        <v>143</v>
      </c>
      <c r="M187" s="2">
        <v>99.551000000000002</v>
      </c>
      <c r="N187" s="2">
        <v>213</v>
      </c>
      <c r="O187" s="2">
        <v>100.5461</v>
      </c>
      <c r="P187" s="2">
        <v>197</v>
      </c>
      <c r="Q187" s="2">
        <v>106.49120000000001</v>
      </c>
      <c r="R187" s="2">
        <v>266</v>
      </c>
      <c r="S187" s="2">
        <v>103.4999</v>
      </c>
      <c r="T187" s="2">
        <v>176</v>
      </c>
      <c r="U187" s="2">
        <v>0.41751899999999997</v>
      </c>
      <c r="V187" s="2">
        <v>186</v>
      </c>
      <c r="W187" s="2">
        <v>2007</v>
      </c>
    </row>
    <row r="188" spans="1:23" ht="12.3" x14ac:dyDescent="0.4">
      <c r="A188" s="2" t="s">
        <v>203</v>
      </c>
      <c r="B188" s="2"/>
      <c r="C188" s="2"/>
      <c r="D188" s="2"/>
      <c r="E188" s="2"/>
      <c r="F188" s="2"/>
      <c r="G188" s="2"/>
      <c r="H188" s="2"/>
      <c r="I188" s="2">
        <v>59.398699999999998</v>
      </c>
      <c r="J188" s="2">
        <v>329</v>
      </c>
      <c r="K188" s="2">
        <v>60.104399999999998</v>
      </c>
      <c r="L188" s="2">
        <v>328</v>
      </c>
      <c r="M188" s="2">
        <v>99.180300000000003</v>
      </c>
      <c r="N188" s="2">
        <v>221</v>
      </c>
      <c r="O188" s="2">
        <v>98.529399999999995</v>
      </c>
      <c r="P188" s="2">
        <v>228</v>
      </c>
      <c r="Q188" s="2">
        <v>99.067700000000002</v>
      </c>
      <c r="R188" s="2">
        <v>93</v>
      </c>
      <c r="S188" s="2">
        <v>101.4295</v>
      </c>
      <c r="T188" s="2">
        <v>146</v>
      </c>
      <c r="U188" s="2">
        <v>0.41736400000000001</v>
      </c>
      <c r="V188" s="2">
        <v>187</v>
      </c>
      <c r="W188" s="2">
        <v>2007</v>
      </c>
    </row>
    <row r="189" spans="1:23" ht="12.3" x14ac:dyDescent="0.4">
      <c r="A189" s="2" t="s">
        <v>257</v>
      </c>
      <c r="B189" s="2"/>
      <c r="C189" s="2"/>
      <c r="D189" s="2"/>
      <c r="E189" s="2"/>
      <c r="F189" s="2"/>
      <c r="G189" s="2"/>
      <c r="H189" s="2"/>
      <c r="I189" s="2">
        <v>62.375300000000003</v>
      </c>
      <c r="J189" s="2">
        <v>302</v>
      </c>
      <c r="K189" s="2">
        <v>63.5124</v>
      </c>
      <c r="L189" s="2">
        <v>292</v>
      </c>
      <c r="M189" s="2">
        <v>101.8322</v>
      </c>
      <c r="N189" s="2">
        <v>173</v>
      </c>
      <c r="O189" s="2">
        <v>100.9468</v>
      </c>
      <c r="P189" s="2">
        <v>189</v>
      </c>
      <c r="Q189" s="2">
        <v>102.821</v>
      </c>
      <c r="R189" s="2">
        <v>181</v>
      </c>
      <c r="S189" s="2">
        <v>104.0763</v>
      </c>
      <c r="T189" s="2">
        <v>196</v>
      </c>
      <c r="U189" s="2">
        <v>0.41311399999999998</v>
      </c>
      <c r="V189" s="2">
        <v>188</v>
      </c>
      <c r="W189" s="2">
        <v>2007</v>
      </c>
    </row>
    <row r="190" spans="1:23" ht="12.3" x14ac:dyDescent="0.4">
      <c r="A190" s="2" t="s">
        <v>340</v>
      </c>
      <c r="B190" s="2"/>
      <c r="C190" s="2"/>
      <c r="D190" s="2"/>
      <c r="E190" s="2"/>
      <c r="F190" s="2"/>
      <c r="G190" s="2"/>
      <c r="H190" s="2"/>
      <c r="I190" s="2">
        <v>65.879300000000001</v>
      </c>
      <c r="J190" s="2">
        <v>211</v>
      </c>
      <c r="K190" s="2">
        <v>66.376000000000005</v>
      </c>
      <c r="L190" s="2">
        <v>180</v>
      </c>
      <c r="M190" s="2">
        <v>107.5121</v>
      </c>
      <c r="N190" s="2">
        <v>71</v>
      </c>
      <c r="O190" s="2">
        <v>105.83880000000001</v>
      </c>
      <c r="P190" s="2">
        <v>108</v>
      </c>
      <c r="Q190" s="2">
        <v>104.58620000000001</v>
      </c>
      <c r="R190" s="2">
        <v>218</v>
      </c>
      <c r="S190" s="2">
        <v>109.1832</v>
      </c>
      <c r="T190" s="2">
        <v>295</v>
      </c>
      <c r="U190" s="2">
        <v>0.41150199999999998</v>
      </c>
      <c r="V190" s="2">
        <v>189</v>
      </c>
      <c r="W190" s="2">
        <v>2007</v>
      </c>
    </row>
    <row r="191" spans="1:23" ht="12.3" x14ac:dyDescent="0.4">
      <c r="A191" s="2" t="s">
        <v>187</v>
      </c>
      <c r="B191" s="2"/>
      <c r="C191" s="2"/>
      <c r="D191" s="2"/>
      <c r="E191" s="2"/>
      <c r="F191" s="2"/>
      <c r="G191" s="2"/>
      <c r="H191" s="2"/>
      <c r="I191" s="2">
        <v>74.677899999999994</v>
      </c>
      <c r="J191" s="2">
        <v>8</v>
      </c>
      <c r="K191" s="2">
        <v>72.619600000000005</v>
      </c>
      <c r="L191" s="2">
        <v>15</v>
      </c>
      <c r="M191" s="2">
        <v>111.3895</v>
      </c>
      <c r="N191" s="2">
        <v>27</v>
      </c>
      <c r="O191" s="2">
        <v>109.7927</v>
      </c>
      <c r="P191" s="2">
        <v>57</v>
      </c>
      <c r="Q191" s="2">
        <v>112.2598</v>
      </c>
      <c r="R191" s="2">
        <v>329</v>
      </c>
      <c r="S191" s="2">
        <v>113.27970000000001</v>
      </c>
      <c r="T191" s="2">
        <v>332</v>
      </c>
      <c r="U191" s="2">
        <v>0.41106599999999999</v>
      </c>
      <c r="V191" s="2">
        <v>190</v>
      </c>
      <c r="W191" s="2">
        <v>2007</v>
      </c>
    </row>
    <row r="192" spans="1:23" ht="12.3" x14ac:dyDescent="0.4">
      <c r="A192" s="2" t="s">
        <v>337</v>
      </c>
      <c r="B192" s="2"/>
      <c r="C192" s="2"/>
      <c r="D192" s="2"/>
      <c r="E192" s="2"/>
      <c r="F192" s="2"/>
      <c r="G192" s="2"/>
      <c r="H192" s="2"/>
      <c r="I192" s="2">
        <v>64.032700000000006</v>
      </c>
      <c r="J192" s="2">
        <v>267</v>
      </c>
      <c r="K192" s="2">
        <v>62.442999999999998</v>
      </c>
      <c r="L192" s="2">
        <v>306</v>
      </c>
      <c r="M192" s="2">
        <v>104.83669999999999</v>
      </c>
      <c r="N192" s="2">
        <v>120</v>
      </c>
      <c r="O192" s="2">
        <v>101.45399999999999</v>
      </c>
      <c r="P192" s="2">
        <v>177</v>
      </c>
      <c r="Q192" s="2">
        <v>101.39790000000001</v>
      </c>
      <c r="R192" s="2">
        <v>149</v>
      </c>
      <c r="S192" s="2">
        <v>104.9254</v>
      </c>
      <c r="T192" s="2">
        <v>212</v>
      </c>
      <c r="U192" s="2">
        <v>0.40446100000000001</v>
      </c>
      <c r="V192" s="2">
        <v>191</v>
      </c>
      <c r="W192" s="2">
        <v>2007</v>
      </c>
    </row>
    <row r="193" spans="1:23" ht="12.3" x14ac:dyDescent="0.4">
      <c r="A193" s="2" t="s">
        <v>237</v>
      </c>
      <c r="B193" s="2"/>
      <c r="C193" s="2"/>
      <c r="D193" s="2"/>
      <c r="E193" s="2"/>
      <c r="F193" s="2"/>
      <c r="G193" s="2"/>
      <c r="H193" s="2"/>
      <c r="I193" s="2">
        <v>63.622700000000002</v>
      </c>
      <c r="J193" s="2">
        <v>278</v>
      </c>
      <c r="K193" s="2">
        <v>63.988100000000003</v>
      </c>
      <c r="L193" s="2">
        <v>275</v>
      </c>
      <c r="M193" s="2">
        <v>104.36920000000001</v>
      </c>
      <c r="N193" s="2">
        <v>130</v>
      </c>
      <c r="O193" s="2">
        <v>100.5899</v>
      </c>
      <c r="P193" s="2">
        <v>195</v>
      </c>
      <c r="Q193" s="2">
        <v>104.152</v>
      </c>
      <c r="R193" s="2">
        <v>207</v>
      </c>
      <c r="S193" s="2">
        <v>104.0518</v>
      </c>
      <c r="T193" s="2">
        <v>194</v>
      </c>
      <c r="U193" s="2">
        <v>0.40392899999999998</v>
      </c>
      <c r="V193" s="2">
        <v>192</v>
      </c>
      <c r="W193" s="2">
        <v>2007</v>
      </c>
    </row>
    <row r="194" spans="1:23" ht="12.3" x14ac:dyDescent="0.4">
      <c r="A194" s="2" t="s">
        <v>94</v>
      </c>
      <c r="B194" s="2"/>
      <c r="C194" s="2"/>
      <c r="D194" s="2"/>
      <c r="E194" s="2"/>
      <c r="F194" s="2"/>
      <c r="G194" s="2"/>
      <c r="H194" s="2"/>
      <c r="I194" s="2">
        <v>67.608400000000003</v>
      </c>
      <c r="J194" s="2">
        <v>131</v>
      </c>
      <c r="K194" s="2">
        <v>66.835499999999996</v>
      </c>
      <c r="L194" s="2">
        <v>161</v>
      </c>
      <c r="M194" s="2">
        <v>94.064300000000003</v>
      </c>
      <c r="N194" s="2">
        <v>294</v>
      </c>
      <c r="O194" s="2">
        <v>97.917900000000003</v>
      </c>
      <c r="P194" s="2">
        <v>241</v>
      </c>
      <c r="Q194" s="2">
        <v>102.3501</v>
      </c>
      <c r="R194" s="2">
        <v>169</v>
      </c>
      <c r="S194" s="2">
        <v>101.372</v>
      </c>
      <c r="T194" s="2">
        <v>144</v>
      </c>
      <c r="U194" s="2">
        <v>0.40162900000000001</v>
      </c>
      <c r="V194" s="2">
        <v>193</v>
      </c>
      <c r="W194" s="2">
        <v>2007</v>
      </c>
    </row>
    <row r="195" spans="1:23" ht="12.3" x14ac:dyDescent="0.4">
      <c r="A195" s="2" t="s">
        <v>234</v>
      </c>
      <c r="B195" s="2"/>
      <c r="C195" s="2"/>
      <c r="D195" s="2"/>
      <c r="E195" s="2"/>
      <c r="F195" s="2"/>
      <c r="G195" s="2"/>
      <c r="H195" s="2"/>
      <c r="I195" s="2">
        <v>65.050600000000003</v>
      </c>
      <c r="J195" s="2">
        <v>237</v>
      </c>
      <c r="K195" s="2">
        <v>64.123000000000005</v>
      </c>
      <c r="L195" s="2">
        <v>272</v>
      </c>
      <c r="M195" s="2">
        <v>108.3227</v>
      </c>
      <c r="N195" s="2">
        <v>56</v>
      </c>
      <c r="O195" s="2">
        <v>105.1438</v>
      </c>
      <c r="P195" s="2">
        <v>124</v>
      </c>
      <c r="Q195" s="2">
        <v>107.94110000000001</v>
      </c>
      <c r="R195" s="2">
        <v>288</v>
      </c>
      <c r="S195" s="2">
        <v>108.8903</v>
      </c>
      <c r="T195" s="2">
        <v>292</v>
      </c>
      <c r="U195" s="2">
        <v>0.40067799999999998</v>
      </c>
      <c r="V195" s="2">
        <v>194</v>
      </c>
      <c r="W195" s="2">
        <v>2007</v>
      </c>
    </row>
    <row r="196" spans="1:23" ht="12.3" x14ac:dyDescent="0.4">
      <c r="A196" s="2" t="s">
        <v>197</v>
      </c>
      <c r="B196" s="2"/>
      <c r="C196" s="2"/>
      <c r="D196" s="2"/>
      <c r="E196" s="2"/>
      <c r="F196" s="2"/>
      <c r="G196" s="2"/>
      <c r="H196" s="2"/>
      <c r="I196" s="2">
        <v>67.852699999999999</v>
      </c>
      <c r="J196" s="2">
        <v>120</v>
      </c>
      <c r="K196" s="2">
        <v>68.0792</v>
      </c>
      <c r="L196" s="2">
        <v>109</v>
      </c>
      <c r="M196" s="2">
        <v>96.614500000000007</v>
      </c>
      <c r="N196" s="2">
        <v>263</v>
      </c>
      <c r="O196" s="2">
        <v>97.841899999999995</v>
      </c>
      <c r="P196" s="2">
        <v>243</v>
      </c>
      <c r="Q196" s="2">
        <v>102.6793</v>
      </c>
      <c r="R196" s="2">
        <v>175</v>
      </c>
      <c r="S196" s="2">
        <v>101.4024</v>
      </c>
      <c r="T196" s="2">
        <v>145</v>
      </c>
      <c r="U196" s="2">
        <v>0.39865899999999999</v>
      </c>
      <c r="V196" s="2">
        <v>195</v>
      </c>
      <c r="W196" s="2">
        <v>2007</v>
      </c>
    </row>
    <row r="197" spans="1:23" ht="12.3" x14ac:dyDescent="0.4">
      <c r="A197" s="2" t="s">
        <v>311</v>
      </c>
      <c r="B197" s="2"/>
      <c r="C197" s="2"/>
      <c r="D197" s="2"/>
      <c r="E197" s="2"/>
      <c r="F197" s="2"/>
      <c r="G197" s="2"/>
      <c r="H197" s="2"/>
      <c r="I197" s="2">
        <v>74.697199999999995</v>
      </c>
      <c r="J197" s="2">
        <v>7</v>
      </c>
      <c r="K197" s="2">
        <v>74.422399999999996</v>
      </c>
      <c r="L197" s="2">
        <v>6</v>
      </c>
      <c r="M197" s="2">
        <v>106.44450000000001</v>
      </c>
      <c r="N197" s="2">
        <v>91</v>
      </c>
      <c r="O197" s="2">
        <v>102.453</v>
      </c>
      <c r="P197" s="2">
        <v>164</v>
      </c>
      <c r="Q197" s="2">
        <v>102.331</v>
      </c>
      <c r="R197" s="2">
        <v>168</v>
      </c>
      <c r="S197" s="2">
        <v>106.2711</v>
      </c>
      <c r="T197" s="2">
        <v>237</v>
      </c>
      <c r="U197" s="2">
        <v>0.39633000000000002</v>
      </c>
      <c r="V197" s="2">
        <v>196</v>
      </c>
      <c r="W197" s="2">
        <v>2007</v>
      </c>
    </row>
    <row r="198" spans="1:23" ht="12.3" x14ac:dyDescent="0.4">
      <c r="A198" s="2" t="s">
        <v>195</v>
      </c>
      <c r="B198" s="2"/>
      <c r="C198" s="2"/>
      <c r="D198" s="2"/>
      <c r="E198" s="2"/>
      <c r="F198" s="2"/>
      <c r="G198" s="2"/>
      <c r="H198" s="2"/>
      <c r="I198" s="2">
        <v>64.998000000000005</v>
      </c>
      <c r="J198" s="2">
        <v>242</v>
      </c>
      <c r="K198" s="2">
        <v>64.049499999999995</v>
      </c>
      <c r="L198" s="2">
        <v>273</v>
      </c>
      <c r="M198" s="2">
        <v>101.8643</v>
      </c>
      <c r="N198" s="2">
        <v>170</v>
      </c>
      <c r="O198" s="2">
        <v>101.2589</v>
      </c>
      <c r="P198" s="2">
        <v>181</v>
      </c>
      <c r="Q198" s="2">
        <v>105.21250000000001</v>
      </c>
      <c r="R198" s="2">
        <v>236</v>
      </c>
      <c r="S198" s="2">
        <v>105.2064</v>
      </c>
      <c r="T198" s="2">
        <v>216</v>
      </c>
      <c r="U198" s="2">
        <v>0.39178600000000002</v>
      </c>
      <c r="V198" s="2">
        <v>197</v>
      </c>
      <c r="W198" s="2">
        <v>2007</v>
      </c>
    </row>
    <row r="199" spans="1:23" ht="12.3" x14ac:dyDescent="0.4">
      <c r="A199" s="2" t="s">
        <v>271</v>
      </c>
      <c r="B199" s="2"/>
      <c r="C199" s="2"/>
      <c r="D199" s="2"/>
      <c r="E199" s="2"/>
      <c r="F199" s="2"/>
      <c r="G199" s="2"/>
      <c r="H199" s="2"/>
      <c r="I199" s="2">
        <v>62.255099999999999</v>
      </c>
      <c r="J199" s="2">
        <v>307</v>
      </c>
      <c r="K199" s="2">
        <v>62.556199999999997</v>
      </c>
      <c r="L199" s="2">
        <v>303</v>
      </c>
      <c r="M199" s="2">
        <v>104.5149</v>
      </c>
      <c r="N199" s="2">
        <v>125</v>
      </c>
      <c r="O199" s="2">
        <v>104.2623</v>
      </c>
      <c r="P199" s="2">
        <v>135</v>
      </c>
      <c r="Q199" s="2">
        <v>104.0248</v>
      </c>
      <c r="R199" s="2">
        <v>202</v>
      </c>
      <c r="S199" s="2">
        <v>108.5829</v>
      </c>
      <c r="T199" s="2">
        <v>288</v>
      </c>
      <c r="U199" s="2">
        <v>0.38534000000000002</v>
      </c>
      <c r="V199" s="2">
        <v>198</v>
      </c>
      <c r="W199" s="2">
        <v>2007</v>
      </c>
    </row>
    <row r="200" spans="1:23" ht="12.3" x14ac:dyDescent="0.4">
      <c r="A200" s="2" t="s">
        <v>348</v>
      </c>
      <c r="B200" s="2"/>
      <c r="C200" s="2"/>
      <c r="D200" s="2"/>
      <c r="E200" s="2"/>
      <c r="F200" s="2"/>
      <c r="G200" s="2"/>
      <c r="H200" s="2"/>
      <c r="I200" s="2">
        <v>68.764399999999995</v>
      </c>
      <c r="J200" s="2">
        <v>95</v>
      </c>
      <c r="K200" s="2">
        <v>69.4666</v>
      </c>
      <c r="L200" s="2">
        <v>67</v>
      </c>
      <c r="M200" s="2">
        <v>100.7548</v>
      </c>
      <c r="N200" s="2">
        <v>196</v>
      </c>
      <c r="O200" s="2">
        <v>105.1726</v>
      </c>
      <c r="P200" s="2">
        <v>121</v>
      </c>
      <c r="Q200" s="2">
        <v>112.6889</v>
      </c>
      <c r="R200" s="2">
        <v>333</v>
      </c>
      <c r="S200" s="2">
        <v>109.74850000000001</v>
      </c>
      <c r="T200" s="2">
        <v>300</v>
      </c>
      <c r="U200" s="2">
        <v>0.37995000000000001</v>
      </c>
      <c r="V200" s="2">
        <v>199</v>
      </c>
      <c r="W200" s="2">
        <v>2007</v>
      </c>
    </row>
    <row r="201" spans="1:23" ht="12.3" x14ac:dyDescent="0.4">
      <c r="A201" s="2" t="s">
        <v>228</v>
      </c>
      <c r="B201" s="2"/>
      <c r="C201" s="2"/>
      <c r="D201" s="2"/>
      <c r="E201" s="2"/>
      <c r="F201" s="2"/>
      <c r="G201" s="2"/>
      <c r="H201" s="2"/>
      <c r="I201" s="2">
        <v>62.475000000000001</v>
      </c>
      <c r="J201" s="2">
        <v>300</v>
      </c>
      <c r="K201" s="2">
        <v>61.778399999999998</v>
      </c>
      <c r="L201" s="2">
        <v>314</v>
      </c>
      <c r="M201" s="2">
        <v>98.947599999999994</v>
      </c>
      <c r="N201" s="2">
        <v>225</v>
      </c>
      <c r="O201" s="2">
        <v>96.435599999999994</v>
      </c>
      <c r="P201" s="2">
        <v>264</v>
      </c>
      <c r="Q201" s="2">
        <v>101.70010000000001</v>
      </c>
      <c r="R201" s="2">
        <v>158</v>
      </c>
      <c r="S201" s="2">
        <v>100.6371</v>
      </c>
      <c r="T201" s="2">
        <v>126</v>
      </c>
      <c r="U201" s="2">
        <v>0.37979400000000002</v>
      </c>
      <c r="V201" s="2">
        <v>200</v>
      </c>
      <c r="W201" s="2">
        <v>2007</v>
      </c>
    </row>
    <row r="202" spans="1:23" ht="12.3" x14ac:dyDescent="0.4">
      <c r="A202" s="2" t="s">
        <v>213</v>
      </c>
      <c r="B202" s="2"/>
      <c r="C202" s="2"/>
      <c r="D202" s="2"/>
      <c r="E202" s="2"/>
      <c r="F202" s="2"/>
      <c r="G202" s="2"/>
      <c r="H202" s="2"/>
      <c r="I202" s="2">
        <v>70.938500000000005</v>
      </c>
      <c r="J202" s="2">
        <v>46</v>
      </c>
      <c r="K202" s="2">
        <v>72.388999999999996</v>
      </c>
      <c r="L202" s="2">
        <v>20</v>
      </c>
      <c r="M202" s="2">
        <v>95.2256</v>
      </c>
      <c r="N202" s="2">
        <v>281</v>
      </c>
      <c r="O202" s="2">
        <v>96.579899999999995</v>
      </c>
      <c r="P202" s="2">
        <v>260</v>
      </c>
      <c r="Q202" s="2">
        <v>100.5132</v>
      </c>
      <c r="R202" s="2">
        <v>128</v>
      </c>
      <c r="S202" s="2">
        <v>100.821</v>
      </c>
      <c r="T202" s="2">
        <v>132</v>
      </c>
      <c r="U202" s="2">
        <v>0.37889699999999998</v>
      </c>
      <c r="V202" s="2">
        <v>201</v>
      </c>
      <c r="W202" s="2">
        <v>2007</v>
      </c>
    </row>
    <row r="203" spans="1:23" ht="12.3" x14ac:dyDescent="0.4">
      <c r="A203" s="2" t="s">
        <v>191</v>
      </c>
      <c r="B203" s="2"/>
      <c r="C203" s="2"/>
      <c r="D203" s="2"/>
      <c r="E203" s="2"/>
      <c r="F203" s="2"/>
      <c r="G203" s="2"/>
      <c r="H203" s="2"/>
      <c r="I203" s="2">
        <v>66.015100000000004</v>
      </c>
      <c r="J203" s="2">
        <v>205</v>
      </c>
      <c r="K203" s="2">
        <v>66.983599999999996</v>
      </c>
      <c r="L203" s="2">
        <v>155</v>
      </c>
      <c r="M203" s="2">
        <v>105.0604</v>
      </c>
      <c r="N203" s="2">
        <v>117</v>
      </c>
      <c r="O203" s="2">
        <v>105.5063</v>
      </c>
      <c r="P203" s="2">
        <v>116</v>
      </c>
      <c r="Q203" s="2">
        <v>112.4695</v>
      </c>
      <c r="R203" s="2">
        <v>330</v>
      </c>
      <c r="S203" s="2">
        <v>110.18819999999999</v>
      </c>
      <c r="T203" s="2">
        <v>309</v>
      </c>
      <c r="U203" s="2">
        <v>0.37769999999999998</v>
      </c>
      <c r="V203" s="2">
        <v>202</v>
      </c>
      <c r="W203" s="2">
        <v>2007</v>
      </c>
    </row>
    <row r="204" spans="1:23" ht="12.3" x14ac:dyDescent="0.4">
      <c r="A204" s="2" t="s">
        <v>153</v>
      </c>
      <c r="B204" s="2"/>
      <c r="C204" s="2"/>
      <c r="D204" s="2"/>
      <c r="E204" s="2"/>
      <c r="F204" s="2"/>
      <c r="G204" s="2"/>
      <c r="H204" s="2"/>
      <c r="I204" s="2">
        <v>69.600999999999999</v>
      </c>
      <c r="J204" s="2">
        <v>74</v>
      </c>
      <c r="K204" s="2">
        <v>69.050899999999999</v>
      </c>
      <c r="L204" s="2">
        <v>79</v>
      </c>
      <c r="M204" s="2">
        <v>96.508499999999998</v>
      </c>
      <c r="N204" s="2">
        <v>264</v>
      </c>
      <c r="O204" s="2">
        <v>96.396500000000003</v>
      </c>
      <c r="P204" s="2">
        <v>267</v>
      </c>
      <c r="Q204" s="2">
        <v>97.982799999999997</v>
      </c>
      <c r="R204" s="2">
        <v>73</v>
      </c>
      <c r="S204" s="2">
        <v>100.72790000000001</v>
      </c>
      <c r="T204" s="2">
        <v>130</v>
      </c>
      <c r="U204" s="2">
        <v>0.37625900000000001</v>
      </c>
      <c r="V204" s="2">
        <v>203</v>
      </c>
      <c r="W204" s="2">
        <v>2007</v>
      </c>
    </row>
    <row r="205" spans="1:23" ht="12.3" x14ac:dyDescent="0.4">
      <c r="A205" s="2" t="s">
        <v>221</v>
      </c>
      <c r="B205" s="2"/>
      <c r="C205" s="2"/>
      <c r="D205" s="2"/>
      <c r="E205" s="2"/>
      <c r="F205" s="2"/>
      <c r="G205" s="2"/>
      <c r="H205" s="2"/>
      <c r="I205" s="2">
        <v>60.718400000000003</v>
      </c>
      <c r="J205" s="2">
        <v>322</v>
      </c>
      <c r="K205" s="2">
        <v>60.982999999999997</v>
      </c>
      <c r="L205" s="2">
        <v>321</v>
      </c>
      <c r="M205" s="2">
        <v>100.742</v>
      </c>
      <c r="N205" s="2">
        <v>197</v>
      </c>
      <c r="O205" s="2">
        <v>100.7204</v>
      </c>
      <c r="P205" s="2">
        <v>192</v>
      </c>
      <c r="Q205" s="2">
        <v>104.5448</v>
      </c>
      <c r="R205" s="2">
        <v>215</v>
      </c>
      <c r="S205" s="2">
        <v>105.3008</v>
      </c>
      <c r="T205" s="2">
        <v>218</v>
      </c>
      <c r="U205" s="2">
        <v>0.374857</v>
      </c>
      <c r="V205" s="2">
        <v>204</v>
      </c>
      <c r="W205" s="2">
        <v>2007</v>
      </c>
    </row>
    <row r="206" spans="1:23" ht="12.3" x14ac:dyDescent="0.4">
      <c r="A206" s="2" t="s">
        <v>172</v>
      </c>
      <c r="B206" s="2"/>
      <c r="C206" s="2"/>
      <c r="D206" s="2"/>
      <c r="E206" s="2"/>
      <c r="F206" s="2"/>
      <c r="G206" s="2"/>
      <c r="H206" s="2"/>
      <c r="I206" s="2">
        <v>69.073400000000007</v>
      </c>
      <c r="J206" s="2">
        <v>90</v>
      </c>
      <c r="K206" s="2">
        <v>68.749099999999999</v>
      </c>
      <c r="L206" s="2">
        <v>90</v>
      </c>
      <c r="M206" s="2">
        <v>103.6664</v>
      </c>
      <c r="N206" s="2">
        <v>145</v>
      </c>
      <c r="O206" s="2">
        <v>101.5936</v>
      </c>
      <c r="P206" s="2">
        <v>176</v>
      </c>
      <c r="Q206" s="2">
        <v>104.7264</v>
      </c>
      <c r="R206" s="2">
        <v>221</v>
      </c>
      <c r="S206" s="2">
        <v>106.2248</v>
      </c>
      <c r="T206" s="2">
        <v>236</v>
      </c>
      <c r="U206" s="2">
        <v>0.37457499999999999</v>
      </c>
      <c r="V206" s="2">
        <v>205</v>
      </c>
      <c r="W206" s="2">
        <v>2007</v>
      </c>
    </row>
    <row r="207" spans="1:23" ht="12.3" x14ac:dyDescent="0.4">
      <c r="A207" s="2" t="s">
        <v>166</v>
      </c>
      <c r="B207" s="2"/>
      <c r="C207" s="2"/>
      <c r="D207" s="2"/>
      <c r="E207" s="2"/>
      <c r="F207" s="2"/>
      <c r="G207" s="2"/>
      <c r="H207" s="2"/>
      <c r="I207" s="2">
        <v>67.238699999999994</v>
      </c>
      <c r="J207" s="2">
        <v>150</v>
      </c>
      <c r="K207" s="2">
        <v>66.351699999999994</v>
      </c>
      <c r="L207" s="2">
        <v>182</v>
      </c>
      <c r="M207" s="2">
        <v>97.460099999999997</v>
      </c>
      <c r="N207" s="2">
        <v>251</v>
      </c>
      <c r="O207" s="2">
        <v>97.317099999999996</v>
      </c>
      <c r="P207" s="2">
        <v>248</v>
      </c>
      <c r="Q207" s="2">
        <v>101.58459999999999</v>
      </c>
      <c r="R207" s="2">
        <v>155</v>
      </c>
      <c r="S207" s="2">
        <v>101.8797</v>
      </c>
      <c r="T207" s="2">
        <v>158</v>
      </c>
      <c r="U207" s="2">
        <v>0.37123699999999998</v>
      </c>
      <c r="V207" s="2">
        <v>206</v>
      </c>
      <c r="W207" s="2">
        <v>2007</v>
      </c>
    </row>
    <row r="208" spans="1:23" ht="12.3" x14ac:dyDescent="0.4">
      <c r="A208" s="2" t="s">
        <v>282</v>
      </c>
      <c r="B208" s="2"/>
      <c r="C208" s="2"/>
      <c r="D208" s="2"/>
      <c r="E208" s="2"/>
      <c r="F208" s="2"/>
      <c r="G208" s="2"/>
      <c r="H208" s="2"/>
      <c r="I208" s="2">
        <v>63.965899999999998</v>
      </c>
      <c r="J208" s="2">
        <v>268</v>
      </c>
      <c r="K208" s="2">
        <v>61.378799999999998</v>
      </c>
      <c r="L208" s="2">
        <v>319</v>
      </c>
      <c r="M208" s="2">
        <v>99.112399999999994</v>
      </c>
      <c r="N208" s="2">
        <v>223</v>
      </c>
      <c r="O208" s="2">
        <v>96.047799999999995</v>
      </c>
      <c r="P208" s="2">
        <v>274</v>
      </c>
      <c r="Q208" s="2">
        <v>97.188199999999995</v>
      </c>
      <c r="R208" s="2">
        <v>65</v>
      </c>
      <c r="S208" s="2">
        <v>100.65860000000001</v>
      </c>
      <c r="T208" s="2">
        <v>127</v>
      </c>
      <c r="U208" s="2">
        <v>0.368369</v>
      </c>
      <c r="V208" s="2">
        <v>207</v>
      </c>
      <c r="W208" s="2">
        <v>2007</v>
      </c>
    </row>
    <row r="209" spans="1:23" ht="12.3" x14ac:dyDescent="0.4">
      <c r="A209" s="2" t="s">
        <v>126</v>
      </c>
      <c r="B209" s="2"/>
      <c r="C209" s="2"/>
      <c r="D209" s="2"/>
      <c r="E209" s="2"/>
      <c r="F209" s="2"/>
      <c r="G209" s="2"/>
      <c r="H209" s="2"/>
      <c r="I209" s="2">
        <v>65.052499999999995</v>
      </c>
      <c r="J209" s="2">
        <v>236</v>
      </c>
      <c r="K209" s="2">
        <v>63.245399999999997</v>
      </c>
      <c r="L209" s="2">
        <v>295</v>
      </c>
      <c r="M209" s="2">
        <v>102.74250000000001</v>
      </c>
      <c r="N209" s="2">
        <v>159</v>
      </c>
      <c r="O209" s="2">
        <v>102.7439</v>
      </c>
      <c r="P209" s="2">
        <v>158</v>
      </c>
      <c r="Q209" s="2">
        <v>108.49379999999999</v>
      </c>
      <c r="R209" s="2">
        <v>292</v>
      </c>
      <c r="S209" s="2">
        <v>108.2063</v>
      </c>
      <c r="T209" s="2">
        <v>280</v>
      </c>
      <c r="U209" s="2">
        <v>0.35532799999999998</v>
      </c>
      <c r="V209" s="2">
        <v>208</v>
      </c>
      <c r="W209" s="2">
        <v>2007</v>
      </c>
    </row>
    <row r="210" spans="1:23" ht="12.3" x14ac:dyDescent="0.4">
      <c r="A210" s="2" t="s">
        <v>250</v>
      </c>
      <c r="B210" s="2"/>
      <c r="C210" s="2"/>
      <c r="D210" s="2"/>
      <c r="E210" s="2"/>
      <c r="F210" s="2"/>
      <c r="G210" s="2"/>
      <c r="H210" s="2"/>
      <c r="I210" s="2">
        <v>72.959400000000002</v>
      </c>
      <c r="J210" s="2">
        <v>18</v>
      </c>
      <c r="K210" s="2">
        <v>74.876499999999993</v>
      </c>
      <c r="L210" s="2">
        <v>5</v>
      </c>
      <c r="M210" s="2">
        <v>105.77889999999999</v>
      </c>
      <c r="N210" s="2">
        <v>105</v>
      </c>
      <c r="O210" s="2">
        <v>106.66249999999999</v>
      </c>
      <c r="P210" s="2">
        <v>94</v>
      </c>
      <c r="Q210" s="2">
        <v>115.1592</v>
      </c>
      <c r="R210" s="2">
        <v>336</v>
      </c>
      <c r="S210" s="2">
        <v>112.3398</v>
      </c>
      <c r="T210" s="2">
        <v>325</v>
      </c>
      <c r="U210" s="2">
        <v>0.35517399999999999</v>
      </c>
      <c r="V210" s="2">
        <v>209</v>
      </c>
      <c r="W210" s="2">
        <v>2007</v>
      </c>
    </row>
    <row r="211" spans="1:23" ht="12.3" x14ac:dyDescent="0.4">
      <c r="A211" s="2" t="s">
        <v>129</v>
      </c>
      <c r="B211" s="2"/>
      <c r="C211" s="2"/>
      <c r="D211" s="2"/>
      <c r="E211" s="2"/>
      <c r="F211" s="2"/>
      <c r="G211" s="2"/>
      <c r="H211" s="2"/>
      <c r="I211" s="2">
        <v>72.751400000000004</v>
      </c>
      <c r="J211" s="2">
        <v>20</v>
      </c>
      <c r="K211" s="2">
        <v>72.687700000000007</v>
      </c>
      <c r="L211" s="2">
        <v>14</v>
      </c>
      <c r="M211" s="2">
        <v>94.740700000000004</v>
      </c>
      <c r="N211" s="2">
        <v>287</v>
      </c>
      <c r="O211" s="2">
        <v>98.965500000000006</v>
      </c>
      <c r="P211" s="2">
        <v>219</v>
      </c>
      <c r="Q211" s="2">
        <v>109.986</v>
      </c>
      <c r="R211" s="2">
        <v>316</v>
      </c>
      <c r="S211" s="2">
        <v>104.2878</v>
      </c>
      <c r="T211" s="2">
        <v>200</v>
      </c>
      <c r="U211" s="2">
        <v>0.353794</v>
      </c>
      <c r="V211" s="2">
        <v>210</v>
      </c>
      <c r="W211" s="2">
        <v>2007</v>
      </c>
    </row>
    <row r="212" spans="1:23" ht="12.3" x14ac:dyDescent="0.4">
      <c r="A212" s="2" t="s">
        <v>122</v>
      </c>
      <c r="B212" s="2"/>
      <c r="C212" s="2"/>
      <c r="D212" s="2"/>
      <c r="E212" s="2"/>
      <c r="F212" s="2"/>
      <c r="G212" s="2"/>
      <c r="H212" s="2"/>
      <c r="I212" s="2">
        <v>66.565299999999993</v>
      </c>
      <c r="J212" s="2">
        <v>180</v>
      </c>
      <c r="K212" s="2">
        <v>67.959599999999995</v>
      </c>
      <c r="L212" s="2">
        <v>113</v>
      </c>
      <c r="M212" s="2">
        <v>96.153199999999998</v>
      </c>
      <c r="N212" s="2">
        <v>270</v>
      </c>
      <c r="O212" s="2">
        <v>98.111999999999995</v>
      </c>
      <c r="P212" s="2">
        <v>237</v>
      </c>
      <c r="Q212" s="2">
        <v>106.5806</v>
      </c>
      <c r="R212" s="2">
        <v>268</v>
      </c>
      <c r="S212" s="2">
        <v>103.4008</v>
      </c>
      <c r="T212" s="2">
        <v>175</v>
      </c>
      <c r="U212" s="2">
        <v>0.35347899999999999</v>
      </c>
      <c r="V212" s="2">
        <v>211</v>
      </c>
      <c r="W212" s="2">
        <v>2007</v>
      </c>
    </row>
    <row r="213" spans="1:23" ht="12.3" x14ac:dyDescent="0.4">
      <c r="A213" s="2" t="s">
        <v>266</v>
      </c>
      <c r="B213" s="2"/>
      <c r="C213" s="2"/>
      <c r="D213" s="2"/>
      <c r="E213" s="2"/>
      <c r="F213" s="2"/>
      <c r="G213" s="2"/>
      <c r="H213" s="2"/>
      <c r="I213" s="2">
        <v>71.637500000000003</v>
      </c>
      <c r="J213" s="2">
        <v>34</v>
      </c>
      <c r="K213" s="2">
        <v>70.014200000000002</v>
      </c>
      <c r="L213" s="2">
        <v>52</v>
      </c>
      <c r="M213" s="2">
        <v>101.2985</v>
      </c>
      <c r="N213" s="2">
        <v>188</v>
      </c>
      <c r="O213" s="2">
        <v>102.7256</v>
      </c>
      <c r="P213" s="2">
        <v>159</v>
      </c>
      <c r="Q213" s="2">
        <v>105.6353</v>
      </c>
      <c r="R213" s="2">
        <v>247</v>
      </c>
      <c r="S213" s="2">
        <v>108.3805</v>
      </c>
      <c r="T213" s="2">
        <v>283</v>
      </c>
      <c r="U213" s="2">
        <v>0.35063499999999997</v>
      </c>
      <c r="V213" s="2">
        <v>212</v>
      </c>
      <c r="W213" s="2">
        <v>2007</v>
      </c>
    </row>
    <row r="214" spans="1:23" ht="12.3" x14ac:dyDescent="0.4">
      <c r="A214" s="2" t="s">
        <v>123</v>
      </c>
      <c r="B214" s="2"/>
      <c r="C214" s="2"/>
      <c r="D214" s="2"/>
      <c r="E214" s="2"/>
      <c r="F214" s="2"/>
      <c r="G214" s="2"/>
      <c r="H214" s="2"/>
      <c r="I214" s="2">
        <v>61.819499999999998</v>
      </c>
      <c r="J214" s="2">
        <v>311</v>
      </c>
      <c r="K214" s="2">
        <v>61.741199999999999</v>
      </c>
      <c r="L214" s="2">
        <v>316</v>
      </c>
      <c r="M214" s="2">
        <v>94.142099999999999</v>
      </c>
      <c r="N214" s="2">
        <v>291</v>
      </c>
      <c r="O214" s="2">
        <v>98.906000000000006</v>
      </c>
      <c r="P214" s="2">
        <v>220</v>
      </c>
      <c r="Q214" s="2">
        <v>107.1759</v>
      </c>
      <c r="R214" s="2">
        <v>279</v>
      </c>
      <c r="S214" s="2">
        <v>104.3516</v>
      </c>
      <c r="T214" s="2">
        <v>202</v>
      </c>
      <c r="U214" s="2">
        <v>0.35061100000000001</v>
      </c>
      <c r="V214" s="2">
        <v>213</v>
      </c>
      <c r="W214" s="2">
        <v>2007</v>
      </c>
    </row>
    <row r="215" spans="1:23" ht="12.3" x14ac:dyDescent="0.4">
      <c r="A215" s="2" t="s">
        <v>315</v>
      </c>
      <c r="B215" s="2"/>
      <c r="C215" s="2"/>
      <c r="D215" s="2"/>
      <c r="E215" s="2"/>
      <c r="F215" s="2"/>
      <c r="G215" s="2"/>
      <c r="H215" s="2"/>
      <c r="I215" s="2">
        <v>66.334100000000007</v>
      </c>
      <c r="J215" s="2">
        <v>191</v>
      </c>
      <c r="K215" s="2">
        <v>67.247500000000002</v>
      </c>
      <c r="L215" s="2">
        <v>141</v>
      </c>
      <c r="M215" s="2">
        <v>99.357799999999997</v>
      </c>
      <c r="N215" s="2">
        <v>219</v>
      </c>
      <c r="O215" s="2">
        <v>96.898899999999998</v>
      </c>
      <c r="P215" s="2">
        <v>258</v>
      </c>
      <c r="Q215" s="2">
        <v>99.634200000000007</v>
      </c>
      <c r="R215" s="2">
        <v>106</v>
      </c>
      <c r="S215" s="2">
        <v>102.3021</v>
      </c>
      <c r="T215" s="2">
        <v>162</v>
      </c>
      <c r="U215" s="2">
        <v>0.34887099999999999</v>
      </c>
      <c r="V215" s="2">
        <v>214</v>
      </c>
      <c r="W215" s="2">
        <v>2007</v>
      </c>
    </row>
    <row r="216" spans="1:23" ht="12.3" x14ac:dyDescent="0.4">
      <c r="A216" s="2" t="s">
        <v>346</v>
      </c>
      <c r="B216" s="2"/>
      <c r="C216" s="2"/>
      <c r="D216" s="2"/>
      <c r="E216" s="2"/>
      <c r="F216" s="2"/>
      <c r="G216" s="2"/>
      <c r="H216" s="2"/>
      <c r="I216" s="2">
        <v>72.115200000000002</v>
      </c>
      <c r="J216" s="2">
        <v>26</v>
      </c>
      <c r="K216" s="2">
        <v>68.933000000000007</v>
      </c>
      <c r="L216" s="2">
        <v>83</v>
      </c>
      <c r="M216" s="2">
        <v>102.1138</v>
      </c>
      <c r="N216" s="2">
        <v>167</v>
      </c>
      <c r="O216" s="2">
        <v>100.6078</v>
      </c>
      <c r="P216" s="2">
        <v>194</v>
      </c>
      <c r="Q216" s="2">
        <v>105.05840000000001</v>
      </c>
      <c r="R216" s="2">
        <v>231</v>
      </c>
      <c r="S216" s="2">
        <v>106.44759999999999</v>
      </c>
      <c r="T216" s="2">
        <v>242</v>
      </c>
      <c r="U216" s="2">
        <v>0.34324700000000002</v>
      </c>
      <c r="V216" s="2">
        <v>215</v>
      </c>
      <c r="W216" s="2">
        <v>2007</v>
      </c>
    </row>
    <row r="217" spans="1:23" ht="12.3" x14ac:dyDescent="0.4">
      <c r="A217" s="2" t="s">
        <v>218</v>
      </c>
      <c r="B217" s="2"/>
      <c r="C217" s="2"/>
      <c r="D217" s="2"/>
      <c r="E217" s="2"/>
      <c r="F217" s="2"/>
      <c r="G217" s="2"/>
      <c r="H217" s="2"/>
      <c r="I217" s="2">
        <v>70.687799999999996</v>
      </c>
      <c r="J217" s="2">
        <v>52</v>
      </c>
      <c r="K217" s="2">
        <v>70.428700000000006</v>
      </c>
      <c r="L217" s="2">
        <v>46</v>
      </c>
      <c r="M217" s="2">
        <v>104.0767</v>
      </c>
      <c r="N217" s="2">
        <v>138</v>
      </c>
      <c r="O217" s="2">
        <v>103.78870000000001</v>
      </c>
      <c r="P217" s="2">
        <v>143</v>
      </c>
      <c r="Q217" s="2">
        <v>109.9054</v>
      </c>
      <c r="R217" s="2">
        <v>315</v>
      </c>
      <c r="S217" s="2">
        <v>109.86069999999999</v>
      </c>
      <c r="T217" s="2">
        <v>302</v>
      </c>
      <c r="U217" s="2">
        <v>0.34212500000000001</v>
      </c>
      <c r="V217" s="2">
        <v>216</v>
      </c>
      <c r="W217" s="2">
        <v>2007</v>
      </c>
    </row>
    <row r="218" spans="1:23" ht="12.3" x14ac:dyDescent="0.4">
      <c r="A218" s="2" t="s">
        <v>307</v>
      </c>
      <c r="B218" s="2"/>
      <c r="C218" s="2"/>
      <c r="D218" s="2"/>
      <c r="E218" s="2"/>
      <c r="F218" s="2"/>
      <c r="G218" s="2"/>
      <c r="H218" s="2"/>
      <c r="I218" s="2">
        <v>67.392200000000003</v>
      </c>
      <c r="J218" s="2">
        <v>140</v>
      </c>
      <c r="K218" s="2">
        <v>66.724800000000002</v>
      </c>
      <c r="L218" s="2">
        <v>168</v>
      </c>
      <c r="M218" s="2">
        <v>109.7987</v>
      </c>
      <c r="N218" s="2">
        <v>42</v>
      </c>
      <c r="O218" s="2">
        <v>105.295</v>
      </c>
      <c r="P218" s="2">
        <v>118</v>
      </c>
      <c r="Q218" s="2">
        <v>106.0801</v>
      </c>
      <c r="R218" s="2">
        <v>260</v>
      </c>
      <c r="S218" s="2">
        <v>111.63760000000001</v>
      </c>
      <c r="T218" s="2">
        <v>323</v>
      </c>
      <c r="U218" s="2">
        <v>0.33790199999999998</v>
      </c>
      <c r="V218" s="2">
        <v>217</v>
      </c>
      <c r="W218" s="2">
        <v>2007</v>
      </c>
    </row>
    <row r="219" spans="1:23" ht="12.3" x14ac:dyDescent="0.4">
      <c r="A219" s="2" t="s">
        <v>233</v>
      </c>
      <c r="B219" s="2"/>
      <c r="C219" s="2"/>
      <c r="D219" s="2"/>
      <c r="E219" s="2"/>
      <c r="F219" s="2"/>
      <c r="G219" s="2"/>
      <c r="H219" s="2"/>
      <c r="I219" s="2">
        <v>62.0261</v>
      </c>
      <c r="J219" s="2">
        <v>309</v>
      </c>
      <c r="K219" s="2">
        <v>63.887</v>
      </c>
      <c r="L219" s="2">
        <v>280</v>
      </c>
      <c r="M219" s="2">
        <v>97.016000000000005</v>
      </c>
      <c r="N219" s="2">
        <v>258</v>
      </c>
      <c r="O219" s="2">
        <v>97.04</v>
      </c>
      <c r="P219" s="2">
        <v>254</v>
      </c>
      <c r="Q219" s="2">
        <v>101.52809999999999</v>
      </c>
      <c r="R219" s="2">
        <v>152</v>
      </c>
      <c r="S219" s="2">
        <v>102.9736</v>
      </c>
      <c r="T219" s="2">
        <v>169</v>
      </c>
      <c r="U219" s="2">
        <v>0.335698</v>
      </c>
      <c r="V219" s="2">
        <v>218</v>
      </c>
      <c r="W219" s="2">
        <v>2007</v>
      </c>
    </row>
    <row r="220" spans="1:23" ht="12.3" x14ac:dyDescent="0.4">
      <c r="A220" s="2" t="s">
        <v>181</v>
      </c>
      <c r="B220" s="2"/>
      <c r="C220" s="2"/>
      <c r="D220" s="2"/>
      <c r="E220" s="2"/>
      <c r="F220" s="2"/>
      <c r="G220" s="2"/>
      <c r="H220" s="2"/>
      <c r="I220" s="2">
        <v>64.7423</v>
      </c>
      <c r="J220" s="2">
        <v>251</v>
      </c>
      <c r="K220" s="2">
        <v>65.9666</v>
      </c>
      <c r="L220" s="2">
        <v>199</v>
      </c>
      <c r="M220" s="2">
        <v>99.423199999999994</v>
      </c>
      <c r="N220" s="2">
        <v>217</v>
      </c>
      <c r="O220" s="2">
        <v>96.112899999999996</v>
      </c>
      <c r="P220" s="2">
        <v>272</v>
      </c>
      <c r="Q220" s="2">
        <v>100.79430000000001</v>
      </c>
      <c r="R220" s="2">
        <v>138</v>
      </c>
      <c r="S220" s="2">
        <v>102.1477</v>
      </c>
      <c r="T220" s="2">
        <v>161</v>
      </c>
      <c r="U220" s="2">
        <v>0.33174599999999999</v>
      </c>
      <c r="V220" s="2">
        <v>219</v>
      </c>
      <c r="W220" s="2">
        <v>2007</v>
      </c>
    </row>
    <row r="221" spans="1:23" ht="12.3" x14ac:dyDescent="0.4">
      <c r="A221" s="2" t="s">
        <v>101</v>
      </c>
      <c r="B221" s="2"/>
      <c r="C221" s="2"/>
      <c r="D221" s="2"/>
      <c r="E221" s="2"/>
      <c r="F221" s="2"/>
      <c r="G221" s="2"/>
      <c r="H221" s="2"/>
      <c r="I221" s="2">
        <v>63.7881</v>
      </c>
      <c r="J221" s="2">
        <v>276</v>
      </c>
      <c r="K221" s="2">
        <v>63.866700000000002</v>
      </c>
      <c r="L221" s="2">
        <v>281</v>
      </c>
      <c r="M221" s="2">
        <v>93.095100000000002</v>
      </c>
      <c r="N221" s="2">
        <v>300</v>
      </c>
      <c r="O221" s="2">
        <v>93.562799999999996</v>
      </c>
      <c r="P221" s="2">
        <v>293</v>
      </c>
      <c r="Q221" s="2">
        <v>99.7864</v>
      </c>
      <c r="R221" s="2">
        <v>110</v>
      </c>
      <c r="S221" s="2">
        <v>99.676100000000005</v>
      </c>
      <c r="T221" s="2">
        <v>105</v>
      </c>
      <c r="U221" s="2">
        <v>0.32566200000000001</v>
      </c>
      <c r="V221" s="2">
        <v>220</v>
      </c>
      <c r="W221" s="2">
        <v>2007</v>
      </c>
    </row>
    <row r="222" spans="1:23" ht="12.3" x14ac:dyDescent="0.4">
      <c r="A222" s="2" t="s">
        <v>235</v>
      </c>
      <c r="B222" s="2"/>
      <c r="C222" s="2"/>
      <c r="D222" s="2"/>
      <c r="E222" s="2"/>
      <c r="F222" s="2"/>
      <c r="G222" s="2"/>
      <c r="H222" s="2"/>
      <c r="I222" s="2">
        <v>66.709100000000007</v>
      </c>
      <c r="J222" s="2">
        <v>174</v>
      </c>
      <c r="K222" s="2">
        <v>67.093299999999999</v>
      </c>
      <c r="L222" s="2">
        <v>149</v>
      </c>
      <c r="M222" s="2">
        <v>97.163700000000006</v>
      </c>
      <c r="N222" s="2">
        <v>255</v>
      </c>
      <c r="O222" s="2">
        <v>98.191000000000003</v>
      </c>
      <c r="P222" s="2">
        <v>235</v>
      </c>
      <c r="Q222" s="2">
        <v>104.31789999999999</v>
      </c>
      <c r="R222" s="2">
        <v>209</v>
      </c>
      <c r="S222" s="2">
        <v>104.61490000000001</v>
      </c>
      <c r="T222" s="2">
        <v>205</v>
      </c>
      <c r="U222" s="2">
        <v>0.325463</v>
      </c>
      <c r="V222" s="2">
        <v>221</v>
      </c>
      <c r="W222" s="2">
        <v>2007</v>
      </c>
    </row>
    <row r="223" spans="1:23" ht="12.3" x14ac:dyDescent="0.4">
      <c r="A223" s="2" t="s">
        <v>291</v>
      </c>
      <c r="B223" s="2"/>
      <c r="C223" s="2"/>
      <c r="D223" s="2"/>
      <c r="E223" s="2"/>
      <c r="F223" s="2"/>
      <c r="G223" s="2"/>
      <c r="H223" s="2"/>
      <c r="I223" s="2">
        <v>70.476399999999998</v>
      </c>
      <c r="J223" s="2">
        <v>56</v>
      </c>
      <c r="K223" s="2">
        <v>69.138900000000007</v>
      </c>
      <c r="L223" s="2">
        <v>77</v>
      </c>
      <c r="M223" s="2">
        <v>90.265699999999995</v>
      </c>
      <c r="N223" s="2">
        <v>318</v>
      </c>
      <c r="O223" s="2">
        <v>92.802400000000006</v>
      </c>
      <c r="P223" s="2">
        <v>303</v>
      </c>
      <c r="Q223" s="2">
        <v>100.41540000000001</v>
      </c>
      <c r="R223" s="2">
        <v>127</v>
      </c>
      <c r="S223" s="2">
        <v>98.9148</v>
      </c>
      <c r="T223" s="2">
        <v>89</v>
      </c>
      <c r="U223" s="2">
        <v>0.32441799999999998</v>
      </c>
      <c r="V223" s="2">
        <v>222</v>
      </c>
      <c r="W223" s="2">
        <v>2007</v>
      </c>
    </row>
    <row r="224" spans="1:23" ht="12.3" x14ac:dyDescent="0.4">
      <c r="A224" s="2" t="s">
        <v>356</v>
      </c>
      <c r="B224" s="2"/>
      <c r="C224" s="2"/>
      <c r="D224" s="2"/>
      <c r="E224" s="2"/>
      <c r="F224" s="2"/>
      <c r="G224" s="2"/>
      <c r="H224" s="2"/>
      <c r="I224" s="2">
        <v>68.738900000000001</v>
      </c>
      <c r="J224" s="2">
        <v>96</v>
      </c>
      <c r="K224" s="2">
        <v>68.363600000000005</v>
      </c>
      <c r="L224" s="2">
        <v>104</v>
      </c>
      <c r="M224" s="2">
        <v>105.6285</v>
      </c>
      <c r="N224" s="2">
        <v>107</v>
      </c>
      <c r="O224" s="2">
        <v>103.56570000000001</v>
      </c>
      <c r="P224" s="2">
        <v>147</v>
      </c>
      <c r="Q224" s="2">
        <v>109.7702</v>
      </c>
      <c r="R224" s="2">
        <v>311</v>
      </c>
      <c r="S224" s="2">
        <v>110.44840000000001</v>
      </c>
      <c r="T224" s="2">
        <v>311</v>
      </c>
      <c r="U224" s="2">
        <v>0.323019</v>
      </c>
      <c r="V224" s="2">
        <v>223</v>
      </c>
      <c r="W224" s="2">
        <v>2007</v>
      </c>
    </row>
    <row r="225" spans="1:23" ht="12.3" x14ac:dyDescent="0.4">
      <c r="A225" s="2" t="s">
        <v>89</v>
      </c>
      <c r="B225" s="2"/>
      <c r="C225" s="2"/>
      <c r="D225" s="2"/>
      <c r="E225" s="2"/>
      <c r="F225" s="2"/>
      <c r="G225" s="2"/>
      <c r="H225" s="2"/>
      <c r="I225" s="2">
        <v>67.986199999999997</v>
      </c>
      <c r="J225" s="2">
        <v>114</v>
      </c>
      <c r="K225" s="2">
        <v>68.670100000000005</v>
      </c>
      <c r="L225" s="2">
        <v>95</v>
      </c>
      <c r="M225" s="2">
        <v>96.944400000000002</v>
      </c>
      <c r="N225" s="2">
        <v>259</v>
      </c>
      <c r="O225" s="2">
        <v>98.4572</v>
      </c>
      <c r="P225" s="2">
        <v>230</v>
      </c>
      <c r="Q225" s="2">
        <v>102.8721</v>
      </c>
      <c r="R225" s="2">
        <v>182</v>
      </c>
      <c r="S225" s="2">
        <v>105.0748</v>
      </c>
      <c r="T225" s="2">
        <v>215</v>
      </c>
      <c r="U225" s="2">
        <v>0.32123800000000002</v>
      </c>
      <c r="V225" s="2">
        <v>224</v>
      </c>
      <c r="W225" s="2">
        <v>2007</v>
      </c>
    </row>
    <row r="226" spans="1:23" ht="12.3" x14ac:dyDescent="0.4">
      <c r="A226" s="2" t="s">
        <v>331</v>
      </c>
      <c r="B226" s="2"/>
      <c r="C226" s="2"/>
      <c r="D226" s="2"/>
      <c r="E226" s="2"/>
      <c r="F226" s="2"/>
      <c r="G226" s="2"/>
      <c r="H226" s="2"/>
      <c r="I226" s="2">
        <v>66.7804</v>
      </c>
      <c r="J226" s="2">
        <v>168</v>
      </c>
      <c r="K226" s="2">
        <v>66.3977</v>
      </c>
      <c r="L226" s="2">
        <v>177</v>
      </c>
      <c r="M226" s="2">
        <v>95.329400000000007</v>
      </c>
      <c r="N226" s="2">
        <v>279</v>
      </c>
      <c r="O226" s="2">
        <v>96.502499999999998</v>
      </c>
      <c r="P226" s="2">
        <v>262</v>
      </c>
      <c r="Q226" s="2">
        <v>103.14409999999999</v>
      </c>
      <c r="R226" s="2">
        <v>190</v>
      </c>
      <c r="S226" s="2">
        <v>102.989</v>
      </c>
      <c r="T226" s="2">
        <v>170</v>
      </c>
      <c r="U226" s="2">
        <v>0.32123099999999999</v>
      </c>
      <c r="V226" s="2">
        <v>225</v>
      </c>
      <c r="W226" s="2">
        <v>2007</v>
      </c>
    </row>
    <row r="227" spans="1:23" ht="12.3" x14ac:dyDescent="0.4">
      <c r="A227" s="2" t="s">
        <v>263</v>
      </c>
      <c r="B227" s="2"/>
      <c r="C227" s="2"/>
      <c r="D227" s="2"/>
      <c r="E227" s="2"/>
      <c r="F227" s="2"/>
      <c r="G227" s="2"/>
      <c r="H227" s="2"/>
      <c r="I227" s="2">
        <v>90.656499999999994</v>
      </c>
      <c r="J227" s="2">
        <v>1</v>
      </c>
      <c r="K227" s="2">
        <v>90.973699999999994</v>
      </c>
      <c r="L227" s="2">
        <v>1</v>
      </c>
      <c r="M227" s="2">
        <v>105.77679999999999</v>
      </c>
      <c r="N227" s="2">
        <v>106</v>
      </c>
      <c r="O227" s="2">
        <v>105.83669999999999</v>
      </c>
      <c r="P227" s="2">
        <v>109</v>
      </c>
      <c r="Q227" s="2">
        <v>108.63800000000001</v>
      </c>
      <c r="R227" s="2">
        <v>293</v>
      </c>
      <c r="S227" s="2">
        <v>113.00839999999999</v>
      </c>
      <c r="T227" s="2">
        <v>330</v>
      </c>
      <c r="U227" s="2">
        <v>0.31995200000000001</v>
      </c>
      <c r="V227" s="2">
        <v>226</v>
      </c>
      <c r="W227" s="2">
        <v>2007</v>
      </c>
    </row>
    <row r="228" spans="1:23" ht="12.3" x14ac:dyDescent="0.4">
      <c r="A228" s="2" t="s">
        <v>208</v>
      </c>
      <c r="B228" s="2"/>
      <c r="C228" s="2"/>
      <c r="D228" s="2"/>
      <c r="E228" s="2"/>
      <c r="F228" s="2"/>
      <c r="G228" s="2"/>
      <c r="H228" s="2"/>
      <c r="I228" s="2">
        <v>54.926699999999997</v>
      </c>
      <c r="J228" s="2">
        <v>335</v>
      </c>
      <c r="K228" s="2">
        <v>55.344499999999996</v>
      </c>
      <c r="L228" s="2">
        <v>334</v>
      </c>
      <c r="M228" s="2">
        <v>106.16970000000001</v>
      </c>
      <c r="N228" s="2">
        <v>97</v>
      </c>
      <c r="O228" s="2">
        <v>104.07</v>
      </c>
      <c r="P228" s="2">
        <v>140</v>
      </c>
      <c r="Q228" s="2">
        <v>109.60169999999999</v>
      </c>
      <c r="R228" s="2">
        <v>307</v>
      </c>
      <c r="S228" s="2">
        <v>111.17</v>
      </c>
      <c r="T228" s="2">
        <v>316</v>
      </c>
      <c r="U228" s="2">
        <v>0.31887199999999999</v>
      </c>
      <c r="V228" s="2">
        <v>227</v>
      </c>
      <c r="W228" s="2">
        <v>2007</v>
      </c>
    </row>
    <row r="229" spans="1:23" ht="12.3" x14ac:dyDescent="0.4">
      <c r="A229" s="2" t="s">
        <v>349</v>
      </c>
      <c r="B229" s="2"/>
      <c r="C229" s="2"/>
      <c r="D229" s="2"/>
      <c r="E229" s="2"/>
      <c r="F229" s="2"/>
      <c r="G229" s="2"/>
      <c r="H229" s="2"/>
      <c r="I229" s="2">
        <v>65.721900000000005</v>
      </c>
      <c r="J229" s="2">
        <v>215</v>
      </c>
      <c r="K229" s="2">
        <v>65.800299999999993</v>
      </c>
      <c r="L229" s="2">
        <v>204</v>
      </c>
      <c r="M229" s="2">
        <v>96.759699999999995</v>
      </c>
      <c r="N229" s="2">
        <v>261</v>
      </c>
      <c r="O229" s="2">
        <v>94.389499999999998</v>
      </c>
      <c r="P229" s="2">
        <v>286</v>
      </c>
      <c r="Q229" s="2">
        <v>101.5372</v>
      </c>
      <c r="R229" s="2">
        <v>153</v>
      </c>
      <c r="S229" s="2">
        <v>100.9217</v>
      </c>
      <c r="T229" s="2">
        <v>134</v>
      </c>
      <c r="U229" s="2">
        <v>0.316581</v>
      </c>
      <c r="V229" s="2">
        <v>228</v>
      </c>
      <c r="W229" s="2">
        <v>2007</v>
      </c>
    </row>
    <row r="230" spans="1:23" ht="12.3" x14ac:dyDescent="0.4">
      <c r="A230" s="2" t="s">
        <v>183</v>
      </c>
      <c r="B230" s="2"/>
      <c r="C230" s="2"/>
      <c r="D230" s="2"/>
      <c r="E230" s="2"/>
      <c r="F230" s="2"/>
      <c r="G230" s="2"/>
      <c r="H230" s="2"/>
      <c r="I230" s="2">
        <v>67.164000000000001</v>
      </c>
      <c r="J230" s="2">
        <v>154</v>
      </c>
      <c r="K230" s="2">
        <v>65.941299999999998</v>
      </c>
      <c r="L230" s="2">
        <v>201</v>
      </c>
      <c r="M230" s="2">
        <v>108.19119999999999</v>
      </c>
      <c r="N230" s="2">
        <v>60</v>
      </c>
      <c r="O230" s="2">
        <v>106.0767</v>
      </c>
      <c r="P230" s="2">
        <v>101</v>
      </c>
      <c r="Q230" s="2">
        <v>111.2206</v>
      </c>
      <c r="R230" s="2">
        <v>323</v>
      </c>
      <c r="S230" s="2">
        <v>113.5979</v>
      </c>
      <c r="T230" s="2">
        <v>333</v>
      </c>
      <c r="U230" s="2">
        <v>0.31264599999999998</v>
      </c>
      <c r="V230" s="2">
        <v>229</v>
      </c>
      <c r="W230" s="2">
        <v>2007</v>
      </c>
    </row>
    <row r="231" spans="1:23" ht="12.3" x14ac:dyDescent="0.4">
      <c r="A231" s="2" t="s">
        <v>152</v>
      </c>
      <c r="B231" s="2"/>
      <c r="C231" s="2"/>
      <c r="D231" s="2"/>
      <c r="E231" s="2"/>
      <c r="F231" s="2"/>
      <c r="G231" s="2"/>
      <c r="H231" s="2"/>
      <c r="I231" s="2">
        <v>64.994699999999995</v>
      </c>
      <c r="J231" s="2">
        <v>243</v>
      </c>
      <c r="K231" s="2">
        <v>65.498699999999999</v>
      </c>
      <c r="L231" s="2">
        <v>215</v>
      </c>
      <c r="M231" s="2">
        <v>98.081599999999995</v>
      </c>
      <c r="N231" s="2">
        <v>240</v>
      </c>
      <c r="O231" s="2">
        <v>99.367099999999994</v>
      </c>
      <c r="P231" s="2">
        <v>212</v>
      </c>
      <c r="Q231" s="2">
        <v>109.024</v>
      </c>
      <c r="R231" s="2">
        <v>298</v>
      </c>
      <c r="S231" s="2">
        <v>106.42</v>
      </c>
      <c r="T231" s="2">
        <v>240</v>
      </c>
      <c r="U231" s="2">
        <v>0.312471</v>
      </c>
      <c r="V231" s="2">
        <v>230</v>
      </c>
      <c r="W231" s="2">
        <v>2007</v>
      </c>
    </row>
    <row r="232" spans="1:23" ht="12.3" x14ac:dyDescent="0.4">
      <c r="A232" s="2" t="s">
        <v>169</v>
      </c>
      <c r="B232" s="2"/>
      <c r="C232" s="2"/>
      <c r="D232" s="2"/>
      <c r="E232" s="2"/>
      <c r="F232" s="2"/>
      <c r="G232" s="2"/>
      <c r="H232" s="2"/>
      <c r="I232" s="2">
        <v>68.207499999999996</v>
      </c>
      <c r="J232" s="2">
        <v>107</v>
      </c>
      <c r="K232" s="2">
        <v>68.0154</v>
      </c>
      <c r="L232" s="2">
        <v>111</v>
      </c>
      <c r="M232" s="2">
        <v>104.5504</v>
      </c>
      <c r="N232" s="2">
        <v>123</v>
      </c>
      <c r="O232" s="2">
        <v>102.8248</v>
      </c>
      <c r="P232" s="2">
        <v>157</v>
      </c>
      <c r="Q232" s="2">
        <v>109.2496</v>
      </c>
      <c r="R232" s="2">
        <v>304</v>
      </c>
      <c r="S232" s="2">
        <v>110.1387</v>
      </c>
      <c r="T232" s="2">
        <v>307</v>
      </c>
      <c r="U232" s="2">
        <v>0.31212400000000001</v>
      </c>
      <c r="V232" s="2">
        <v>231</v>
      </c>
      <c r="W232" s="2">
        <v>2007</v>
      </c>
    </row>
    <row r="233" spans="1:23" ht="12.3" x14ac:dyDescent="0.4">
      <c r="A233" s="2" t="s">
        <v>83</v>
      </c>
      <c r="B233" s="2"/>
      <c r="C233" s="2"/>
      <c r="D233" s="2"/>
      <c r="E233" s="2"/>
      <c r="F233" s="2"/>
      <c r="G233" s="2"/>
      <c r="H233" s="2"/>
      <c r="I233" s="2">
        <v>66.159000000000006</v>
      </c>
      <c r="J233" s="2">
        <v>199</v>
      </c>
      <c r="K233" s="2">
        <v>66.247500000000002</v>
      </c>
      <c r="L233" s="2">
        <v>186</v>
      </c>
      <c r="M233" s="2">
        <v>96.444599999999994</v>
      </c>
      <c r="N233" s="2">
        <v>267</v>
      </c>
      <c r="O233" s="2">
        <v>97.673100000000005</v>
      </c>
      <c r="P233" s="2">
        <v>247</v>
      </c>
      <c r="Q233" s="2">
        <v>105.78489999999999</v>
      </c>
      <c r="R233" s="2">
        <v>249</v>
      </c>
      <c r="S233" s="2">
        <v>104.6889</v>
      </c>
      <c r="T233" s="2">
        <v>206</v>
      </c>
      <c r="U233" s="2">
        <v>0.31051499999999999</v>
      </c>
      <c r="V233" s="2">
        <v>232</v>
      </c>
      <c r="W233" s="2">
        <v>2007</v>
      </c>
    </row>
    <row r="234" spans="1:23" ht="12.3" x14ac:dyDescent="0.4">
      <c r="A234" s="2" t="s">
        <v>222</v>
      </c>
      <c r="B234" s="2"/>
      <c r="C234" s="2"/>
      <c r="D234" s="2"/>
      <c r="E234" s="2"/>
      <c r="F234" s="2"/>
      <c r="G234" s="2"/>
      <c r="H234" s="2"/>
      <c r="I234" s="2">
        <v>63.282600000000002</v>
      </c>
      <c r="J234" s="2">
        <v>289</v>
      </c>
      <c r="K234" s="2">
        <v>64.254900000000006</v>
      </c>
      <c r="L234" s="2">
        <v>267</v>
      </c>
      <c r="M234" s="2">
        <v>95.977400000000003</v>
      </c>
      <c r="N234" s="2">
        <v>273</v>
      </c>
      <c r="O234" s="2">
        <v>97.235200000000006</v>
      </c>
      <c r="P234" s="2">
        <v>252</v>
      </c>
      <c r="Q234" s="2">
        <v>108.9554</v>
      </c>
      <c r="R234" s="2">
        <v>297</v>
      </c>
      <c r="S234" s="2">
        <v>104.2891</v>
      </c>
      <c r="T234" s="2">
        <v>201</v>
      </c>
      <c r="U234" s="2">
        <v>0.30887300000000001</v>
      </c>
      <c r="V234" s="2">
        <v>233</v>
      </c>
      <c r="W234" s="2">
        <v>2007</v>
      </c>
    </row>
    <row r="235" spans="1:23" ht="12.3" x14ac:dyDescent="0.4">
      <c r="A235" s="2" t="s">
        <v>209</v>
      </c>
      <c r="B235" s="2"/>
      <c r="C235" s="2"/>
      <c r="D235" s="2"/>
      <c r="E235" s="2"/>
      <c r="F235" s="2"/>
      <c r="G235" s="2"/>
      <c r="H235" s="2"/>
      <c r="I235" s="2">
        <v>66.933400000000006</v>
      </c>
      <c r="J235" s="2">
        <v>162</v>
      </c>
      <c r="K235" s="2">
        <v>66.830200000000005</v>
      </c>
      <c r="L235" s="2">
        <v>162</v>
      </c>
      <c r="M235" s="2">
        <v>98.791700000000006</v>
      </c>
      <c r="N235" s="2">
        <v>228</v>
      </c>
      <c r="O235" s="2">
        <v>100.1189</v>
      </c>
      <c r="P235" s="2">
        <v>203</v>
      </c>
      <c r="Q235" s="2">
        <v>107.6032</v>
      </c>
      <c r="R235" s="2">
        <v>284</v>
      </c>
      <c r="S235" s="2">
        <v>107.4091</v>
      </c>
      <c r="T235" s="2">
        <v>260</v>
      </c>
      <c r="U235" s="2">
        <v>0.30825599999999997</v>
      </c>
      <c r="V235" s="2">
        <v>234</v>
      </c>
      <c r="W235" s="2">
        <v>2007</v>
      </c>
    </row>
    <row r="236" spans="1:23" ht="12.3" x14ac:dyDescent="0.4">
      <c r="A236" s="2" t="s">
        <v>328</v>
      </c>
      <c r="B236" s="2"/>
      <c r="C236" s="2"/>
      <c r="D236" s="2"/>
      <c r="E236" s="2"/>
      <c r="F236" s="2"/>
      <c r="G236" s="2"/>
      <c r="H236" s="2"/>
      <c r="I236" s="2">
        <v>65.924999999999997</v>
      </c>
      <c r="J236" s="2">
        <v>209</v>
      </c>
      <c r="K236" s="2">
        <v>64.438100000000006</v>
      </c>
      <c r="L236" s="2">
        <v>258</v>
      </c>
      <c r="M236" s="2">
        <v>102.05249999999999</v>
      </c>
      <c r="N236" s="2">
        <v>168</v>
      </c>
      <c r="O236" s="2">
        <v>99.832899999999995</v>
      </c>
      <c r="P236" s="2">
        <v>207</v>
      </c>
      <c r="Q236" s="2">
        <v>105.3249</v>
      </c>
      <c r="R236" s="2">
        <v>240</v>
      </c>
      <c r="S236" s="2">
        <v>107.1726</v>
      </c>
      <c r="T236" s="2">
        <v>254</v>
      </c>
      <c r="U236" s="2">
        <v>0.306645</v>
      </c>
      <c r="V236" s="2">
        <v>235</v>
      </c>
      <c r="W236" s="2">
        <v>2007</v>
      </c>
    </row>
    <row r="237" spans="1:23" ht="12.3" x14ac:dyDescent="0.4">
      <c r="A237" s="2" t="s">
        <v>79</v>
      </c>
      <c r="B237" s="2"/>
      <c r="C237" s="2"/>
      <c r="D237" s="2"/>
      <c r="E237" s="2"/>
      <c r="F237" s="2"/>
      <c r="G237" s="2"/>
      <c r="H237" s="2"/>
      <c r="I237" s="2">
        <v>74.861900000000006</v>
      </c>
      <c r="J237" s="2">
        <v>6</v>
      </c>
      <c r="K237" s="2">
        <v>72.846800000000002</v>
      </c>
      <c r="L237" s="2">
        <v>11</v>
      </c>
      <c r="M237" s="2">
        <v>101.61279999999999</v>
      </c>
      <c r="N237" s="2">
        <v>181</v>
      </c>
      <c r="O237" s="2">
        <v>102.88849999999999</v>
      </c>
      <c r="P237" s="2">
        <v>156</v>
      </c>
      <c r="Q237" s="2">
        <v>110.4081</v>
      </c>
      <c r="R237" s="2">
        <v>321</v>
      </c>
      <c r="S237" s="2">
        <v>110.5104</v>
      </c>
      <c r="T237" s="2">
        <v>313</v>
      </c>
      <c r="U237" s="2">
        <v>0.30537399999999998</v>
      </c>
      <c r="V237" s="2">
        <v>236</v>
      </c>
      <c r="W237" s="2">
        <v>2007</v>
      </c>
    </row>
    <row r="238" spans="1:23" ht="12.3" x14ac:dyDescent="0.4">
      <c r="A238" s="2" t="s">
        <v>295</v>
      </c>
      <c r="B238" s="2"/>
      <c r="C238" s="2"/>
      <c r="D238" s="2"/>
      <c r="E238" s="2"/>
      <c r="F238" s="2"/>
      <c r="G238" s="2"/>
      <c r="H238" s="2"/>
      <c r="I238" s="2">
        <v>62.765300000000003</v>
      </c>
      <c r="J238" s="2">
        <v>295</v>
      </c>
      <c r="K238" s="2">
        <v>64.635300000000001</v>
      </c>
      <c r="L238" s="2">
        <v>248</v>
      </c>
      <c r="M238" s="2">
        <v>97.975700000000003</v>
      </c>
      <c r="N238" s="2">
        <v>243</v>
      </c>
      <c r="O238" s="2">
        <v>96.417000000000002</v>
      </c>
      <c r="P238" s="2">
        <v>265</v>
      </c>
      <c r="Q238" s="2">
        <v>102.60639999999999</v>
      </c>
      <c r="R238" s="2">
        <v>174</v>
      </c>
      <c r="S238" s="2">
        <v>103.58799999999999</v>
      </c>
      <c r="T238" s="2">
        <v>179</v>
      </c>
      <c r="U238" s="2">
        <v>0.304703</v>
      </c>
      <c r="V238" s="2">
        <v>237</v>
      </c>
      <c r="W238" s="2">
        <v>2007</v>
      </c>
    </row>
    <row r="239" spans="1:23" ht="12.3" x14ac:dyDescent="0.4">
      <c r="A239" s="2" t="s">
        <v>299</v>
      </c>
      <c r="B239" s="2"/>
      <c r="C239" s="2"/>
      <c r="D239" s="2"/>
      <c r="E239" s="2"/>
      <c r="F239" s="2"/>
      <c r="G239" s="2"/>
      <c r="H239" s="2"/>
      <c r="I239" s="2">
        <v>65.346400000000003</v>
      </c>
      <c r="J239" s="2">
        <v>224</v>
      </c>
      <c r="K239" s="2">
        <v>64.301900000000003</v>
      </c>
      <c r="L239" s="2">
        <v>265</v>
      </c>
      <c r="M239" s="2">
        <v>92.597999999999999</v>
      </c>
      <c r="N239" s="2">
        <v>306</v>
      </c>
      <c r="O239" s="2">
        <v>92.315299999999993</v>
      </c>
      <c r="P239" s="2">
        <v>309</v>
      </c>
      <c r="Q239" s="2">
        <v>93.8279</v>
      </c>
      <c r="R239" s="2">
        <v>20</v>
      </c>
      <c r="S239" s="2">
        <v>99.587699999999998</v>
      </c>
      <c r="T239" s="2">
        <v>101</v>
      </c>
      <c r="U239" s="2">
        <v>0.29483399999999998</v>
      </c>
      <c r="V239" s="2">
        <v>238</v>
      </c>
      <c r="W239" s="2">
        <v>2007</v>
      </c>
    </row>
    <row r="240" spans="1:23" ht="12.3" x14ac:dyDescent="0.4">
      <c r="A240" s="2" t="s">
        <v>281</v>
      </c>
      <c r="B240" s="2"/>
      <c r="C240" s="2"/>
      <c r="D240" s="2"/>
      <c r="E240" s="2"/>
      <c r="F240" s="2"/>
      <c r="G240" s="2"/>
      <c r="H240" s="2"/>
      <c r="I240" s="2">
        <v>70.774500000000003</v>
      </c>
      <c r="J240" s="2">
        <v>50</v>
      </c>
      <c r="K240" s="2">
        <v>68.685100000000006</v>
      </c>
      <c r="L240" s="2">
        <v>93</v>
      </c>
      <c r="M240" s="2">
        <v>95.782899999999998</v>
      </c>
      <c r="N240" s="2">
        <v>274</v>
      </c>
      <c r="O240" s="2">
        <v>96.170199999999994</v>
      </c>
      <c r="P240" s="2">
        <v>269</v>
      </c>
      <c r="Q240" s="2">
        <v>105.17619999999999</v>
      </c>
      <c r="R240" s="2">
        <v>234</v>
      </c>
      <c r="S240" s="2">
        <v>103.83369999999999</v>
      </c>
      <c r="T240" s="2">
        <v>185</v>
      </c>
      <c r="U240" s="2">
        <v>0.292821</v>
      </c>
      <c r="V240" s="2">
        <v>239</v>
      </c>
      <c r="W240" s="2">
        <v>2007</v>
      </c>
    </row>
    <row r="241" spans="1:23" ht="12.3" x14ac:dyDescent="0.4">
      <c r="A241" s="2" t="s">
        <v>301</v>
      </c>
      <c r="B241" s="2">
        <v>16</v>
      </c>
      <c r="C241" s="2"/>
      <c r="D241" s="2"/>
      <c r="E241" s="2"/>
      <c r="F241" s="2"/>
      <c r="G241" s="2"/>
      <c r="H241" s="2"/>
      <c r="I241" s="2">
        <v>67.653700000000001</v>
      </c>
      <c r="J241" s="2">
        <v>129</v>
      </c>
      <c r="K241" s="2">
        <v>68.378299999999996</v>
      </c>
      <c r="L241" s="2">
        <v>103</v>
      </c>
      <c r="M241" s="2">
        <v>101.1053</v>
      </c>
      <c r="N241" s="2">
        <v>190</v>
      </c>
      <c r="O241" s="2">
        <v>99.930499999999995</v>
      </c>
      <c r="P241" s="2">
        <v>206</v>
      </c>
      <c r="Q241" s="2">
        <v>103.17059999999999</v>
      </c>
      <c r="R241" s="2">
        <v>192</v>
      </c>
      <c r="S241" s="2">
        <v>108.1392</v>
      </c>
      <c r="T241" s="2">
        <v>277</v>
      </c>
      <c r="U241" s="2">
        <v>0.287437</v>
      </c>
      <c r="V241" s="2">
        <v>240</v>
      </c>
      <c r="W241" s="2">
        <v>2007</v>
      </c>
    </row>
    <row r="242" spans="1:23" ht="12.3" x14ac:dyDescent="0.4">
      <c r="A242" s="2" t="s">
        <v>193</v>
      </c>
      <c r="B242" s="2"/>
      <c r="C242" s="2"/>
      <c r="D242" s="2"/>
      <c r="E242" s="2"/>
      <c r="F242" s="2"/>
      <c r="G242" s="2"/>
      <c r="H242" s="2"/>
      <c r="I242" s="2">
        <v>68.485799999999998</v>
      </c>
      <c r="J242" s="2">
        <v>101</v>
      </c>
      <c r="K242" s="2">
        <v>68.436899999999994</v>
      </c>
      <c r="L242" s="2">
        <v>100</v>
      </c>
      <c r="M242" s="2">
        <v>101.5158</v>
      </c>
      <c r="N242" s="2">
        <v>185</v>
      </c>
      <c r="O242" s="2">
        <v>99.802499999999995</v>
      </c>
      <c r="P242" s="2">
        <v>208</v>
      </c>
      <c r="Q242" s="2">
        <v>106.79170000000001</v>
      </c>
      <c r="R242" s="2">
        <v>271</v>
      </c>
      <c r="S242" s="2">
        <v>108.0117</v>
      </c>
      <c r="T242" s="2">
        <v>273</v>
      </c>
      <c r="U242" s="2">
        <v>0.28719699999999998</v>
      </c>
      <c r="V242" s="2">
        <v>241</v>
      </c>
      <c r="W242" s="2">
        <v>2007</v>
      </c>
    </row>
    <row r="243" spans="1:23" ht="12.3" x14ac:dyDescent="0.4">
      <c r="A243" s="2" t="s">
        <v>278</v>
      </c>
      <c r="B243" s="2"/>
      <c r="C243" s="2"/>
      <c r="D243" s="2"/>
      <c r="E243" s="2"/>
      <c r="F243" s="2"/>
      <c r="G243" s="2"/>
      <c r="H243" s="2"/>
      <c r="I243" s="2">
        <v>68.511700000000005</v>
      </c>
      <c r="J243" s="2">
        <v>100</v>
      </c>
      <c r="K243" s="2">
        <v>66.711100000000002</v>
      </c>
      <c r="L243" s="2">
        <v>169</v>
      </c>
      <c r="M243" s="2">
        <v>90.838899999999995</v>
      </c>
      <c r="N243" s="2">
        <v>315</v>
      </c>
      <c r="O243" s="2">
        <v>92.400899999999993</v>
      </c>
      <c r="P243" s="2">
        <v>306</v>
      </c>
      <c r="Q243" s="2">
        <v>104.18680000000001</v>
      </c>
      <c r="R243" s="2">
        <v>208</v>
      </c>
      <c r="S243" s="2">
        <v>100.04649999999999</v>
      </c>
      <c r="T243" s="2">
        <v>113</v>
      </c>
      <c r="U243" s="2">
        <v>0.286134</v>
      </c>
      <c r="V243" s="2">
        <v>242</v>
      </c>
      <c r="W243" s="2">
        <v>2007</v>
      </c>
    </row>
    <row r="244" spans="1:23" ht="12.3" x14ac:dyDescent="0.4">
      <c r="A244" s="2" t="s">
        <v>334</v>
      </c>
      <c r="B244" s="2"/>
      <c r="C244" s="2"/>
      <c r="D244" s="2"/>
      <c r="E244" s="2"/>
      <c r="F244" s="2"/>
      <c r="G244" s="2"/>
      <c r="H244" s="2"/>
      <c r="I244" s="2">
        <v>69.231300000000005</v>
      </c>
      <c r="J244" s="2">
        <v>87</v>
      </c>
      <c r="K244" s="2">
        <v>67.126900000000006</v>
      </c>
      <c r="L244" s="2">
        <v>148</v>
      </c>
      <c r="M244" s="2">
        <v>102.63979999999999</v>
      </c>
      <c r="N244" s="2">
        <v>161</v>
      </c>
      <c r="O244" s="2">
        <v>101.0984</v>
      </c>
      <c r="P244" s="2">
        <v>185</v>
      </c>
      <c r="Q244" s="2">
        <v>105.0401</v>
      </c>
      <c r="R244" s="2">
        <v>230</v>
      </c>
      <c r="S244" s="2">
        <v>109.47799999999999</v>
      </c>
      <c r="T244" s="2">
        <v>298</v>
      </c>
      <c r="U244" s="2">
        <v>0.285827</v>
      </c>
      <c r="V244" s="2">
        <v>243</v>
      </c>
      <c r="W244" s="2">
        <v>2007</v>
      </c>
    </row>
    <row r="245" spans="1:23" ht="12.3" x14ac:dyDescent="0.4">
      <c r="A245" s="2" t="s">
        <v>255</v>
      </c>
      <c r="B245" s="2"/>
      <c r="C245" s="2"/>
      <c r="D245" s="2"/>
      <c r="E245" s="2"/>
      <c r="F245" s="2"/>
      <c r="G245" s="2"/>
      <c r="H245" s="2"/>
      <c r="I245" s="2">
        <v>69.695499999999996</v>
      </c>
      <c r="J245" s="2">
        <v>71</v>
      </c>
      <c r="K245" s="2">
        <v>72.048100000000005</v>
      </c>
      <c r="L245" s="2">
        <v>23</v>
      </c>
      <c r="M245" s="2">
        <v>101.7122</v>
      </c>
      <c r="N245" s="2">
        <v>176</v>
      </c>
      <c r="O245" s="2">
        <v>101.8356</v>
      </c>
      <c r="P245" s="2">
        <v>173</v>
      </c>
      <c r="Q245" s="2">
        <v>108.8408</v>
      </c>
      <c r="R245" s="2">
        <v>296</v>
      </c>
      <c r="S245" s="2">
        <v>110.3445</v>
      </c>
      <c r="T245" s="2">
        <v>310</v>
      </c>
      <c r="U245" s="2">
        <v>0.28438000000000002</v>
      </c>
      <c r="V245" s="2">
        <v>244</v>
      </c>
      <c r="W245" s="2">
        <v>2007</v>
      </c>
    </row>
    <row r="246" spans="1:23" ht="12.3" x14ac:dyDescent="0.4">
      <c r="A246" s="2" t="s">
        <v>135</v>
      </c>
      <c r="B246" s="2"/>
      <c r="C246" s="2"/>
      <c r="D246" s="2"/>
      <c r="E246" s="2"/>
      <c r="F246" s="2"/>
      <c r="G246" s="2"/>
      <c r="H246" s="2"/>
      <c r="I246" s="2">
        <v>70.439099999999996</v>
      </c>
      <c r="J246" s="2">
        <v>57</v>
      </c>
      <c r="K246" s="2">
        <v>70.918400000000005</v>
      </c>
      <c r="L246" s="2">
        <v>37</v>
      </c>
      <c r="M246" s="2">
        <v>95.593900000000005</v>
      </c>
      <c r="N246" s="2">
        <v>276</v>
      </c>
      <c r="O246" s="2">
        <v>92.3964</v>
      </c>
      <c r="P246" s="2">
        <v>307</v>
      </c>
      <c r="Q246" s="2">
        <v>95.593299999999999</v>
      </c>
      <c r="R246" s="2">
        <v>40</v>
      </c>
      <c r="S246" s="2">
        <v>100.1643</v>
      </c>
      <c r="T246" s="2">
        <v>114</v>
      </c>
      <c r="U246" s="2">
        <v>0.28326299999999999</v>
      </c>
      <c r="V246" s="2">
        <v>245</v>
      </c>
      <c r="W246" s="2">
        <v>2007</v>
      </c>
    </row>
    <row r="247" spans="1:23" ht="12.3" x14ac:dyDescent="0.4">
      <c r="A247" s="2" t="s">
        <v>182</v>
      </c>
      <c r="B247" s="2"/>
      <c r="C247" s="2"/>
      <c r="D247" s="2"/>
      <c r="E247" s="2"/>
      <c r="F247" s="2"/>
      <c r="G247" s="2"/>
      <c r="H247" s="2"/>
      <c r="I247" s="2">
        <v>68.543700000000001</v>
      </c>
      <c r="J247" s="2">
        <v>98</v>
      </c>
      <c r="K247" s="2">
        <v>68.757000000000005</v>
      </c>
      <c r="L247" s="2">
        <v>88</v>
      </c>
      <c r="M247" s="2">
        <v>101.5591</v>
      </c>
      <c r="N247" s="2">
        <v>183</v>
      </c>
      <c r="O247" s="2">
        <v>100.14319999999999</v>
      </c>
      <c r="P247" s="2">
        <v>201</v>
      </c>
      <c r="Q247" s="2">
        <v>106.84180000000001</v>
      </c>
      <c r="R247" s="2">
        <v>274</v>
      </c>
      <c r="S247" s="2">
        <v>108.563</v>
      </c>
      <c r="T247" s="2">
        <v>287</v>
      </c>
      <c r="U247" s="2">
        <v>0.28325299999999998</v>
      </c>
      <c r="V247" s="2">
        <v>246</v>
      </c>
      <c r="W247" s="2">
        <v>2007</v>
      </c>
    </row>
    <row r="248" spans="1:23" ht="12.3" x14ac:dyDescent="0.4">
      <c r="A248" s="2" t="s">
        <v>246</v>
      </c>
      <c r="B248" s="2"/>
      <c r="C248" s="2"/>
      <c r="D248" s="2"/>
      <c r="E248" s="2"/>
      <c r="F248" s="2"/>
      <c r="G248" s="2"/>
      <c r="H248" s="2"/>
      <c r="I248" s="2">
        <v>68.2971</v>
      </c>
      <c r="J248" s="2">
        <v>105</v>
      </c>
      <c r="K248" s="2">
        <v>68.786500000000004</v>
      </c>
      <c r="L248" s="2">
        <v>85</v>
      </c>
      <c r="M248" s="2">
        <v>98.459500000000006</v>
      </c>
      <c r="N248" s="2">
        <v>234</v>
      </c>
      <c r="O248" s="2">
        <v>99.190200000000004</v>
      </c>
      <c r="P248" s="2">
        <v>214</v>
      </c>
      <c r="Q248" s="2">
        <v>109.13079999999999</v>
      </c>
      <c r="R248" s="2">
        <v>301</v>
      </c>
      <c r="S248" s="2">
        <v>107.76130000000001</v>
      </c>
      <c r="T248" s="2">
        <v>266</v>
      </c>
      <c r="U248" s="2">
        <v>0.27826000000000001</v>
      </c>
      <c r="V248" s="2">
        <v>247</v>
      </c>
      <c r="W248" s="2">
        <v>2007</v>
      </c>
    </row>
    <row r="249" spans="1:23" ht="12.3" x14ac:dyDescent="0.4">
      <c r="A249" s="2" t="s">
        <v>312</v>
      </c>
      <c r="B249" s="2">
        <v>16</v>
      </c>
      <c r="C249" s="2"/>
      <c r="D249" s="2"/>
      <c r="E249" s="2"/>
      <c r="F249" s="2"/>
      <c r="G249" s="2"/>
      <c r="H249" s="2"/>
      <c r="I249" s="2">
        <v>71.892300000000006</v>
      </c>
      <c r="J249" s="2">
        <v>28</v>
      </c>
      <c r="K249" s="2">
        <v>70.785600000000002</v>
      </c>
      <c r="L249" s="2">
        <v>39</v>
      </c>
      <c r="M249" s="2">
        <v>98.696200000000005</v>
      </c>
      <c r="N249" s="2">
        <v>229</v>
      </c>
      <c r="O249" s="2">
        <v>99.197699999999998</v>
      </c>
      <c r="P249" s="2">
        <v>213</v>
      </c>
      <c r="Q249" s="2">
        <v>99.729100000000003</v>
      </c>
      <c r="R249" s="2">
        <v>107</v>
      </c>
      <c r="S249" s="2">
        <v>107.77290000000001</v>
      </c>
      <c r="T249" s="2">
        <v>267</v>
      </c>
      <c r="U249" s="2">
        <v>0.27818500000000002</v>
      </c>
      <c r="V249" s="2">
        <v>248</v>
      </c>
      <c r="W249" s="2">
        <v>2007</v>
      </c>
    </row>
    <row r="250" spans="1:23" ht="12.3" x14ac:dyDescent="0.4">
      <c r="A250" s="2" t="s">
        <v>322</v>
      </c>
      <c r="B250" s="2"/>
      <c r="C250" s="2"/>
      <c r="D250" s="2"/>
      <c r="E250" s="2"/>
      <c r="F250" s="2"/>
      <c r="G250" s="2"/>
      <c r="H250" s="2"/>
      <c r="I250" s="2">
        <v>66.624300000000005</v>
      </c>
      <c r="J250" s="2">
        <v>178</v>
      </c>
      <c r="K250" s="2">
        <v>67.863</v>
      </c>
      <c r="L250" s="2">
        <v>118</v>
      </c>
      <c r="M250" s="2">
        <v>96.104200000000006</v>
      </c>
      <c r="N250" s="2">
        <v>271</v>
      </c>
      <c r="O250" s="2">
        <v>97.250200000000007</v>
      </c>
      <c r="P250" s="2">
        <v>251</v>
      </c>
      <c r="Q250" s="2">
        <v>106.2852</v>
      </c>
      <c r="R250" s="2">
        <v>263</v>
      </c>
      <c r="S250" s="2">
        <v>105.7469</v>
      </c>
      <c r="T250" s="2">
        <v>226</v>
      </c>
      <c r="U250" s="2">
        <v>0.276227</v>
      </c>
      <c r="V250" s="2">
        <v>249</v>
      </c>
      <c r="W250" s="2">
        <v>2007</v>
      </c>
    </row>
    <row r="251" spans="1:23" ht="12.3" x14ac:dyDescent="0.4">
      <c r="A251" s="2" t="s">
        <v>274</v>
      </c>
      <c r="B251" s="2"/>
      <c r="C251" s="2"/>
      <c r="D251" s="2"/>
      <c r="E251" s="2"/>
      <c r="F251" s="2"/>
      <c r="G251" s="2"/>
      <c r="H251" s="2"/>
      <c r="I251" s="2">
        <v>70.174499999999995</v>
      </c>
      <c r="J251" s="2">
        <v>64</v>
      </c>
      <c r="K251" s="2">
        <v>69.994200000000006</v>
      </c>
      <c r="L251" s="2">
        <v>54</v>
      </c>
      <c r="M251" s="2">
        <v>100.8882</v>
      </c>
      <c r="N251" s="2">
        <v>193</v>
      </c>
      <c r="O251" s="2">
        <v>97.863399999999999</v>
      </c>
      <c r="P251" s="2">
        <v>242</v>
      </c>
      <c r="Q251" s="2">
        <v>102.9293</v>
      </c>
      <c r="R251" s="2">
        <v>183</v>
      </c>
      <c r="S251" s="2">
        <v>106.43219999999999</v>
      </c>
      <c r="T251" s="2">
        <v>241</v>
      </c>
      <c r="U251" s="2">
        <v>0.27582800000000002</v>
      </c>
      <c r="V251" s="2">
        <v>250</v>
      </c>
      <c r="W251" s="2">
        <v>2007</v>
      </c>
    </row>
    <row r="252" spans="1:23" ht="12.3" x14ac:dyDescent="0.4">
      <c r="A252" s="2" t="s">
        <v>270</v>
      </c>
      <c r="B252" s="2"/>
      <c r="C252" s="2"/>
      <c r="D252" s="2"/>
      <c r="E252" s="2"/>
      <c r="F252" s="2"/>
      <c r="G252" s="2"/>
      <c r="H252" s="2"/>
      <c r="I252" s="2">
        <v>72.013199999999998</v>
      </c>
      <c r="J252" s="2">
        <v>27</v>
      </c>
      <c r="K252" s="2">
        <v>71.022400000000005</v>
      </c>
      <c r="L252" s="2">
        <v>35</v>
      </c>
      <c r="M252" s="2">
        <v>99.156800000000004</v>
      </c>
      <c r="N252" s="2">
        <v>222</v>
      </c>
      <c r="O252" s="2">
        <v>99.683300000000003</v>
      </c>
      <c r="P252" s="2">
        <v>209</v>
      </c>
      <c r="Q252" s="2">
        <v>106.0132</v>
      </c>
      <c r="R252" s="2">
        <v>254</v>
      </c>
      <c r="S252" s="2">
        <v>108.55329999999999</v>
      </c>
      <c r="T252" s="2">
        <v>286</v>
      </c>
      <c r="U252" s="2">
        <v>0.27283400000000002</v>
      </c>
      <c r="V252" s="2">
        <v>251</v>
      </c>
      <c r="W252" s="2">
        <v>2007</v>
      </c>
    </row>
    <row r="253" spans="1:23" ht="12.3" x14ac:dyDescent="0.4">
      <c r="A253" s="2" t="s">
        <v>198</v>
      </c>
      <c r="B253" s="2"/>
      <c r="C253" s="2"/>
      <c r="D253" s="2"/>
      <c r="E253" s="2"/>
      <c r="F253" s="2"/>
      <c r="G253" s="2"/>
      <c r="H253" s="2"/>
      <c r="I253" s="2">
        <v>73.182500000000005</v>
      </c>
      <c r="J253" s="2">
        <v>14</v>
      </c>
      <c r="K253" s="2">
        <v>72.119799999999998</v>
      </c>
      <c r="L253" s="2">
        <v>21</v>
      </c>
      <c r="M253" s="2">
        <v>98.220200000000006</v>
      </c>
      <c r="N253" s="2">
        <v>238</v>
      </c>
      <c r="O253" s="2">
        <v>95.473500000000001</v>
      </c>
      <c r="P253" s="2">
        <v>280</v>
      </c>
      <c r="Q253" s="2">
        <v>102.5625</v>
      </c>
      <c r="R253" s="2">
        <v>170</v>
      </c>
      <c r="S253" s="2">
        <v>103.98139999999999</v>
      </c>
      <c r="T253" s="2">
        <v>191</v>
      </c>
      <c r="U253" s="2">
        <v>0.27255800000000002</v>
      </c>
      <c r="V253" s="2">
        <v>252</v>
      </c>
      <c r="W253" s="2">
        <v>2007</v>
      </c>
    </row>
    <row r="254" spans="1:23" ht="12.3" x14ac:dyDescent="0.4">
      <c r="A254" s="2" t="s">
        <v>283</v>
      </c>
      <c r="B254" s="2"/>
      <c r="C254" s="2"/>
      <c r="D254" s="2"/>
      <c r="E254" s="2"/>
      <c r="F254" s="2"/>
      <c r="G254" s="2"/>
      <c r="H254" s="2"/>
      <c r="I254" s="2">
        <v>68.185199999999995</v>
      </c>
      <c r="J254" s="2">
        <v>108</v>
      </c>
      <c r="K254" s="2">
        <v>67.940899999999999</v>
      </c>
      <c r="L254" s="2">
        <v>114</v>
      </c>
      <c r="M254" s="2">
        <v>100.0836</v>
      </c>
      <c r="N254" s="2">
        <v>206</v>
      </c>
      <c r="O254" s="2">
        <v>98.745800000000003</v>
      </c>
      <c r="P254" s="2">
        <v>223</v>
      </c>
      <c r="Q254" s="2">
        <v>104.41200000000001</v>
      </c>
      <c r="R254" s="2">
        <v>210</v>
      </c>
      <c r="S254" s="2">
        <v>107.5693</v>
      </c>
      <c r="T254" s="2">
        <v>263</v>
      </c>
      <c r="U254" s="2">
        <v>0.27205099999999999</v>
      </c>
      <c r="V254" s="2">
        <v>253</v>
      </c>
      <c r="W254" s="2">
        <v>2007</v>
      </c>
    </row>
    <row r="255" spans="1:23" ht="12.3" x14ac:dyDescent="0.4">
      <c r="A255" s="2" t="s">
        <v>125</v>
      </c>
      <c r="B255" s="2"/>
      <c r="C255" s="2"/>
      <c r="D255" s="2"/>
      <c r="E255" s="2"/>
      <c r="F255" s="2"/>
      <c r="G255" s="2"/>
      <c r="H255" s="2"/>
      <c r="I255" s="2">
        <v>64.653400000000005</v>
      </c>
      <c r="J255" s="2">
        <v>254</v>
      </c>
      <c r="K255" s="2">
        <v>63.943800000000003</v>
      </c>
      <c r="L255" s="2">
        <v>276</v>
      </c>
      <c r="M255" s="2">
        <v>100.5535</v>
      </c>
      <c r="N255" s="2">
        <v>200</v>
      </c>
      <c r="O255" s="2">
        <v>98.687899999999999</v>
      </c>
      <c r="P255" s="2">
        <v>225</v>
      </c>
      <c r="Q255" s="2">
        <v>107.4254</v>
      </c>
      <c r="R255" s="2">
        <v>283</v>
      </c>
      <c r="S255" s="2">
        <v>107.51560000000001</v>
      </c>
      <c r="T255" s="2">
        <v>262</v>
      </c>
      <c r="U255" s="2">
        <v>0.27185100000000001</v>
      </c>
      <c r="V255" s="2">
        <v>254</v>
      </c>
      <c r="W255" s="2">
        <v>2007</v>
      </c>
    </row>
    <row r="256" spans="1:23" ht="12.3" x14ac:dyDescent="0.4">
      <c r="A256" s="2" t="s">
        <v>214</v>
      </c>
      <c r="B256" s="2"/>
      <c r="C256" s="2"/>
      <c r="D256" s="2"/>
      <c r="E256" s="2"/>
      <c r="F256" s="2"/>
      <c r="G256" s="2"/>
      <c r="H256" s="2"/>
      <c r="I256" s="2">
        <v>71.565799999999996</v>
      </c>
      <c r="J256" s="2">
        <v>36</v>
      </c>
      <c r="K256" s="2">
        <v>70.650599999999997</v>
      </c>
      <c r="L256" s="2">
        <v>41</v>
      </c>
      <c r="M256" s="2">
        <v>100.4649</v>
      </c>
      <c r="N256" s="2">
        <v>202</v>
      </c>
      <c r="O256" s="2">
        <v>99.080299999999994</v>
      </c>
      <c r="P256" s="2">
        <v>217</v>
      </c>
      <c r="Q256" s="2">
        <v>105.5398</v>
      </c>
      <c r="R256" s="2">
        <v>245</v>
      </c>
      <c r="S256" s="2">
        <v>108.02379999999999</v>
      </c>
      <c r="T256" s="2">
        <v>274</v>
      </c>
      <c r="U256" s="2">
        <v>0.27015499999999998</v>
      </c>
      <c r="V256" s="2">
        <v>255</v>
      </c>
      <c r="W256" s="2">
        <v>2007</v>
      </c>
    </row>
    <row r="257" spans="1:23" ht="12.3" x14ac:dyDescent="0.4">
      <c r="A257" s="2" t="s">
        <v>344</v>
      </c>
      <c r="B257" s="2"/>
      <c r="C257" s="2"/>
      <c r="D257" s="2"/>
      <c r="E257" s="2"/>
      <c r="F257" s="2"/>
      <c r="G257" s="2"/>
      <c r="H257" s="2"/>
      <c r="I257" s="2">
        <v>70.157700000000006</v>
      </c>
      <c r="J257" s="2">
        <v>65</v>
      </c>
      <c r="K257" s="2">
        <v>69.603999999999999</v>
      </c>
      <c r="L257" s="2">
        <v>63</v>
      </c>
      <c r="M257" s="2">
        <v>102.40860000000001</v>
      </c>
      <c r="N257" s="2">
        <v>164</v>
      </c>
      <c r="O257" s="2">
        <v>100.1366</v>
      </c>
      <c r="P257" s="2">
        <v>202</v>
      </c>
      <c r="Q257" s="2">
        <v>106.51730000000001</v>
      </c>
      <c r="R257" s="2">
        <v>267</v>
      </c>
      <c r="S257" s="2">
        <v>109.37520000000001</v>
      </c>
      <c r="T257" s="2">
        <v>297</v>
      </c>
      <c r="U257" s="2">
        <v>0.26602900000000002</v>
      </c>
      <c r="V257" s="2">
        <v>256</v>
      </c>
      <c r="W257" s="2">
        <v>2007</v>
      </c>
    </row>
    <row r="258" spans="1:23" ht="12.3" x14ac:dyDescent="0.4">
      <c r="A258" s="2" t="s">
        <v>361</v>
      </c>
      <c r="B258" s="2"/>
      <c r="C258" s="2"/>
      <c r="D258" s="2"/>
      <c r="E258" s="2"/>
      <c r="F258" s="2"/>
      <c r="G258" s="2"/>
      <c r="H258" s="2"/>
      <c r="I258" s="2">
        <v>67.021699999999996</v>
      </c>
      <c r="J258" s="2">
        <v>157</v>
      </c>
      <c r="K258" s="2">
        <v>66.132499999999993</v>
      </c>
      <c r="L258" s="2">
        <v>191</v>
      </c>
      <c r="M258" s="2">
        <v>99.097800000000007</v>
      </c>
      <c r="N258" s="2">
        <v>224</v>
      </c>
      <c r="O258" s="2">
        <v>98.013099999999994</v>
      </c>
      <c r="P258" s="2">
        <v>239</v>
      </c>
      <c r="Q258" s="2">
        <v>102.7628</v>
      </c>
      <c r="R258" s="2">
        <v>179</v>
      </c>
      <c r="S258" s="2">
        <v>107.2026</v>
      </c>
      <c r="T258" s="2">
        <v>255</v>
      </c>
      <c r="U258" s="2">
        <v>0.26296399999999998</v>
      </c>
      <c r="V258" s="2">
        <v>257</v>
      </c>
      <c r="W258" s="2">
        <v>2007</v>
      </c>
    </row>
    <row r="259" spans="1:23" ht="12.3" x14ac:dyDescent="0.4">
      <c r="A259" s="2" t="s">
        <v>224</v>
      </c>
      <c r="B259" s="2"/>
      <c r="C259" s="2"/>
      <c r="D259" s="2"/>
      <c r="E259" s="2"/>
      <c r="F259" s="2"/>
      <c r="G259" s="2"/>
      <c r="H259" s="2"/>
      <c r="I259" s="2">
        <v>69.0398</v>
      </c>
      <c r="J259" s="2">
        <v>92</v>
      </c>
      <c r="K259" s="2">
        <v>68.781099999999995</v>
      </c>
      <c r="L259" s="2">
        <v>86</v>
      </c>
      <c r="M259" s="2">
        <v>98.841499999999996</v>
      </c>
      <c r="N259" s="2">
        <v>226</v>
      </c>
      <c r="O259" s="2">
        <v>96.996700000000004</v>
      </c>
      <c r="P259" s="2">
        <v>255</v>
      </c>
      <c r="Q259" s="2">
        <v>108.2842</v>
      </c>
      <c r="R259" s="2">
        <v>290</v>
      </c>
      <c r="S259" s="2">
        <v>106.1215</v>
      </c>
      <c r="T259" s="2">
        <v>234</v>
      </c>
      <c r="U259" s="2">
        <v>0.26232</v>
      </c>
      <c r="V259" s="2">
        <v>258</v>
      </c>
      <c r="W259" s="2">
        <v>2007</v>
      </c>
    </row>
    <row r="260" spans="1:23" ht="12.3" x14ac:dyDescent="0.4">
      <c r="A260" s="2" t="s">
        <v>279</v>
      </c>
      <c r="B260" s="2"/>
      <c r="C260" s="2"/>
      <c r="D260" s="2"/>
      <c r="E260" s="2"/>
      <c r="F260" s="2"/>
      <c r="G260" s="2"/>
      <c r="H260" s="2"/>
      <c r="I260" s="2">
        <v>66.993200000000002</v>
      </c>
      <c r="J260" s="2">
        <v>158</v>
      </c>
      <c r="K260" s="2">
        <v>66.641800000000003</v>
      </c>
      <c r="L260" s="2">
        <v>170</v>
      </c>
      <c r="M260" s="2">
        <v>102.2688</v>
      </c>
      <c r="N260" s="2">
        <v>166</v>
      </c>
      <c r="O260" s="2">
        <v>102.0051</v>
      </c>
      <c r="P260" s="2">
        <v>171</v>
      </c>
      <c r="Q260" s="2">
        <v>112.52070000000001</v>
      </c>
      <c r="R260" s="2">
        <v>331</v>
      </c>
      <c r="S260" s="2">
        <v>111.6713</v>
      </c>
      <c r="T260" s="2">
        <v>324</v>
      </c>
      <c r="U260" s="2">
        <v>0.26092300000000002</v>
      </c>
      <c r="V260" s="2">
        <v>259</v>
      </c>
      <c r="W260" s="2">
        <v>2007</v>
      </c>
    </row>
    <row r="261" spans="1:23" ht="12.3" x14ac:dyDescent="0.4">
      <c r="A261" s="2" t="s">
        <v>347</v>
      </c>
      <c r="B261" s="2"/>
      <c r="C261" s="2"/>
      <c r="D261" s="2"/>
      <c r="E261" s="2"/>
      <c r="F261" s="2"/>
      <c r="G261" s="2"/>
      <c r="H261" s="2"/>
      <c r="I261" s="2">
        <v>71.854500000000002</v>
      </c>
      <c r="J261" s="2">
        <v>29</v>
      </c>
      <c r="K261" s="2">
        <v>70.0428</v>
      </c>
      <c r="L261" s="2">
        <v>51</v>
      </c>
      <c r="M261" s="2">
        <v>98.049199999999999</v>
      </c>
      <c r="N261" s="2">
        <v>241</v>
      </c>
      <c r="O261" s="2">
        <v>101.7877</v>
      </c>
      <c r="P261" s="2">
        <v>174</v>
      </c>
      <c r="Q261" s="2">
        <v>111.9042</v>
      </c>
      <c r="R261" s="2">
        <v>327</v>
      </c>
      <c r="S261" s="2">
        <v>111.4695</v>
      </c>
      <c r="T261" s="2">
        <v>321</v>
      </c>
      <c r="U261" s="2">
        <v>0.26020199999999999</v>
      </c>
      <c r="V261" s="2">
        <v>260</v>
      </c>
      <c r="W261" s="2">
        <v>2007</v>
      </c>
    </row>
    <row r="262" spans="1:23" ht="12.3" x14ac:dyDescent="0.4">
      <c r="A262" s="2" t="s">
        <v>326</v>
      </c>
      <c r="B262" s="2"/>
      <c r="C262" s="2"/>
      <c r="D262" s="2"/>
      <c r="E262" s="2"/>
      <c r="F262" s="2"/>
      <c r="G262" s="2"/>
      <c r="H262" s="2"/>
      <c r="I262" s="2">
        <v>63.120199999999997</v>
      </c>
      <c r="J262" s="2">
        <v>291</v>
      </c>
      <c r="K262" s="2">
        <v>63.735199999999999</v>
      </c>
      <c r="L262" s="2">
        <v>284</v>
      </c>
      <c r="M262" s="2">
        <v>96.623099999999994</v>
      </c>
      <c r="N262" s="2">
        <v>262</v>
      </c>
      <c r="O262" s="2">
        <v>95.752799999999993</v>
      </c>
      <c r="P262" s="2">
        <v>276</v>
      </c>
      <c r="Q262" s="2">
        <v>102.93210000000001</v>
      </c>
      <c r="R262" s="2">
        <v>184</v>
      </c>
      <c r="S262" s="2">
        <v>104.9076</v>
      </c>
      <c r="T262" s="2">
        <v>211</v>
      </c>
      <c r="U262" s="2">
        <v>0.25921100000000002</v>
      </c>
      <c r="V262" s="2">
        <v>261</v>
      </c>
      <c r="W262" s="2">
        <v>2007</v>
      </c>
    </row>
    <row r="263" spans="1:23" ht="12.3" x14ac:dyDescent="0.4">
      <c r="A263" s="2" t="s">
        <v>309</v>
      </c>
      <c r="B263" s="2"/>
      <c r="C263" s="2"/>
      <c r="D263" s="2"/>
      <c r="E263" s="2"/>
      <c r="F263" s="2"/>
      <c r="G263" s="2"/>
      <c r="H263" s="2"/>
      <c r="I263" s="2">
        <v>65.552700000000002</v>
      </c>
      <c r="J263" s="2">
        <v>221</v>
      </c>
      <c r="K263" s="2">
        <v>67.330600000000004</v>
      </c>
      <c r="L263" s="2">
        <v>136</v>
      </c>
      <c r="M263" s="2">
        <v>97.860799999999998</v>
      </c>
      <c r="N263" s="2">
        <v>245</v>
      </c>
      <c r="O263" s="2">
        <v>98.604799999999997</v>
      </c>
      <c r="P263" s="2">
        <v>226</v>
      </c>
      <c r="Q263" s="2">
        <v>104.7895</v>
      </c>
      <c r="R263" s="2">
        <v>226</v>
      </c>
      <c r="S263" s="2">
        <v>108.0373</v>
      </c>
      <c r="T263" s="2">
        <v>275</v>
      </c>
      <c r="U263" s="2">
        <v>0.25911099999999998</v>
      </c>
      <c r="V263" s="2">
        <v>262</v>
      </c>
      <c r="W263" s="2">
        <v>2007</v>
      </c>
    </row>
    <row r="264" spans="1:23" ht="12.3" x14ac:dyDescent="0.4">
      <c r="A264" s="2" t="s">
        <v>139</v>
      </c>
      <c r="B264" s="2"/>
      <c r="C264" s="2"/>
      <c r="D264" s="2"/>
      <c r="E264" s="2"/>
      <c r="F264" s="2"/>
      <c r="G264" s="2"/>
      <c r="H264" s="2"/>
      <c r="I264" s="2">
        <v>67.391400000000004</v>
      </c>
      <c r="J264" s="2">
        <v>141</v>
      </c>
      <c r="K264" s="2">
        <v>67.335300000000004</v>
      </c>
      <c r="L264" s="2">
        <v>135</v>
      </c>
      <c r="M264" s="2">
        <v>97.111800000000002</v>
      </c>
      <c r="N264" s="2">
        <v>256</v>
      </c>
      <c r="O264" s="2">
        <v>95.397900000000007</v>
      </c>
      <c r="P264" s="2">
        <v>281</v>
      </c>
      <c r="Q264" s="2">
        <v>101.974</v>
      </c>
      <c r="R264" s="2">
        <v>162</v>
      </c>
      <c r="S264" s="2">
        <v>104.8856</v>
      </c>
      <c r="T264" s="2">
        <v>210</v>
      </c>
      <c r="U264" s="2">
        <v>0.25155100000000002</v>
      </c>
      <c r="V264" s="2">
        <v>263</v>
      </c>
      <c r="W264" s="2">
        <v>2007</v>
      </c>
    </row>
    <row r="265" spans="1:23" ht="12.3" x14ac:dyDescent="0.4">
      <c r="A265" s="2" t="s">
        <v>251</v>
      </c>
      <c r="B265" s="2"/>
      <c r="C265" s="2"/>
      <c r="D265" s="2"/>
      <c r="E265" s="2"/>
      <c r="F265" s="2"/>
      <c r="G265" s="2"/>
      <c r="H265" s="2"/>
      <c r="I265" s="2">
        <v>64.451700000000002</v>
      </c>
      <c r="J265" s="2">
        <v>257</v>
      </c>
      <c r="K265" s="2">
        <v>63.619900000000001</v>
      </c>
      <c r="L265" s="2">
        <v>290</v>
      </c>
      <c r="M265" s="2">
        <v>99.880600000000001</v>
      </c>
      <c r="N265" s="2">
        <v>209</v>
      </c>
      <c r="O265" s="2">
        <v>98.205100000000002</v>
      </c>
      <c r="P265" s="2">
        <v>234</v>
      </c>
      <c r="Q265" s="2">
        <v>104.431</v>
      </c>
      <c r="R265" s="2">
        <v>212</v>
      </c>
      <c r="S265" s="2">
        <v>107.9889</v>
      </c>
      <c r="T265" s="2">
        <v>271</v>
      </c>
      <c r="U265" s="2">
        <v>0.25121199999999999</v>
      </c>
      <c r="V265" s="2">
        <v>264</v>
      </c>
      <c r="W265" s="2">
        <v>2007</v>
      </c>
    </row>
    <row r="266" spans="1:23" ht="12.3" x14ac:dyDescent="0.4">
      <c r="A266" s="2" t="s">
        <v>107</v>
      </c>
      <c r="B266" s="2"/>
      <c r="C266" s="2"/>
      <c r="D266" s="2"/>
      <c r="E266" s="2"/>
      <c r="F266" s="2"/>
      <c r="G266" s="2"/>
      <c r="H266" s="2"/>
      <c r="I266" s="2">
        <v>67.441000000000003</v>
      </c>
      <c r="J266" s="2">
        <v>137</v>
      </c>
      <c r="K266" s="2">
        <v>66.561800000000005</v>
      </c>
      <c r="L266" s="2">
        <v>174</v>
      </c>
      <c r="M266" s="2">
        <v>90.3108</v>
      </c>
      <c r="N266" s="2">
        <v>317</v>
      </c>
      <c r="O266" s="2">
        <v>89.341499999999996</v>
      </c>
      <c r="P266" s="2">
        <v>323</v>
      </c>
      <c r="Q266" s="2">
        <v>98.796800000000005</v>
      </c>
      <c r="R266" s="2">
        <v>88</v>
      </c>
      <c r="S266" s="2">
        <v>98.248800000000003</v>
      </c>
      <c r="T266" s="2">
        <v>81</v>
      </c>
      <c r="U266" s="2">
        <v>0.25106699999999998</v>
      </c>
      <c r="V266" s="2">
        <v>265</v>
      </c>
      <c r="W266" s="2">
        <v>2007</v>
      </c>
    </row>
    <row r="267" spans="1:23" ht="12.3" x14ac:dyDescent="0.4">
      <c r="A267" s="2" t="s">
        <v>117</v>
      </c>
      <c r="B267" s="2"/>
      <c r="C267" s="2"/>
      <c r="D267" s="2"/>
      <c r="E267" s="2"/>
      <c r="F267" s="2"/>
      <c r="G267" s="2"/>
      <c r="H267" s="2"/>
      <c r="I267" s="2">
        <v>67.558400000000006</v>
      </c>
      <c r="J267" s="2">
        <v>135</v>
      </c>
      <c r="K267" s="2">
        <v>66.818100000000001</v>
      </c>
      <c r="L267" s="2">
        <v>163</v>
      </c>
      <c r="M267" s="2">
        <v>97.977800000000002</v>
      </c>
      <c r="N267" s="2">
        <v>242</v>
      </c>
      <c r="O267" s="2">
        <v>96.858999999999995</v>
      </c>
      <c r="P267" s="2">
        <v>259</v>
      </c>
      <c r="Q267" s="2">
        <v>106.803</v>
      </c>
      <c r="R267" s="2">
        <v>272</v>
      </c>
      <c r="S267" s="2">
        <v>106.56019999999999</v>
      </c>
      <c r="T267" s="2">
        <v>243</v>
      </c>
      <c r="U267" s="2">
        <v>0.25016699999999997</v>
      </c>
      <c r="V267" s="2">
        <v>266</v>
      </c>
      <c r="W267" s="2">
        <v>2007</v>
      </c>
    </row>
    <row r="268" spans="1:23" ht="12.3" x14ac:dyDescent="0.4">
      <c r="A268" s="2" t="s">
        <v>163</v>
      </c>
      <c r="B268" s="2"/>
      <c r="C268" s="2"/>
      <c r="D268" s="2"/>
      <c r="E268" s="2"/>
      <c r="F268" s="2"/>
      <c r="G268" s="2"/>
      <c r="H268" s="2"/>
      <c r="I268" s="2">
        <v>67.805700000000002</v>
      </c>
      <c r="J268" s="2">
        <v>123</v>
      </c>
      <c r="K268" s="2">
        <v>66.363500000000002</v>
      </c>
      <c r="L268" s="2">
        <v>181</v>
      </c>
      <c r="M268" s="2">
        <v>97.021000000000001</v>
      </c>
      <c r="N268" s="2">
        <v>257</v>
      </c>
      <c r="O268" s="2">
        <v>96.207899999999995</v>
      </c>
      <c r="P268" s="2">
        <v>268</v>
      </c>
      <c r="Q268" s="2">
        <v>106.84439999999999</v>
      </c>
      <c r="R268" s="2">
        <v>275</v>
      </c>
      <c r="S268" s="2">
        <v>106.09820000000001</v>
      </c>
      <c r="T268" s="2">
        <v>233</v>
      </c>
      <c r="U268" s="2">
        <v>0.245028</v>
      </c>
      <c r="V268" s="2">
        <v>267</v>
      </c>
      <c r="W268" s="2">
        <v>2007</v>
      </c>
    </row>
    <row r="269" spans="1:23" ht="12.3" x14ac:dyDescent="0.4">
      <c r="A269" s="2" t="s">
        <v>202</v>
      </c>
      <c r="B269" s="2"/>
      <c r="C269" s="2"/>
      <c r="D269" s="2"/>
      <c r="E269" s="2"/>
      <c r="F269" s="2"/>
      <c r="G269" s="2"/>
      <c r="H269" s="2"/>
      <c r="I269" s="2">
        <v>64.9435</v>
      </c>
      <c r="J269" s="2">
        <v>246</v>
      </c>
      <c r="K269" s="2">
        <v>65.110399999999998</v>
      </c>
      <c r="L269" s="2">
        <v>228</v>
      </c>
      <c r="M269" s="2">
        <v>101.0407</v>
      </c>
      <c r="N269" s="2">
        <v>191</v>
      </c>
      <c r="O269" s="2">
        <v>100.6604</v>
      </c>
      <c r="P269" s="2">
        <v>193</v>
      </c>
      <c r="Q269" s="2">
        <v>106.77200000000001</v>
      </c>
      <c r="R269" s="2">
        <v>270</v>
      </c>
      <c r="S269" s="2">
        <v>111.17529999999999</v>
      </c>
      <c r="T269" s="2">
        <v>317</v>
      </c>
      <c r="U269" s="2">
        <v>0.241845</v>
      </c>
      <c r="V269" s="2">
        <v>268</v>
      </c>
      <c r="W269" s="2">
        <v>2007</v>
      </c>
    </row>
    <row r="270" spans="1:23" ht="12.3" x14ac:dyDescent="0.4">
      <c r="A270" s="2" t="s">
        <v>252</v>
      </c>
      <c r="B270" s="2"/>
      <c r="C270" s="2"/>
      <c r="D270" s="2"/>
      <c r="E270" s="2"/>
      <c r="F270" s="2"/>
      <c r="G270" s="2"/>
      <c r="H270" s="2"/>
      <c r="I270" s="2">
        <v>61.506</v>
      </c>
      <c r="J270" s="2">
        <v>317</v>
      </c>
      <c r="K270" s="2">
        <v>62.284700000000001</v>
      </c>
      <c r="L270" s="2">
        <v>308</v>
      </c>
      <c r="M270" s="2">
        <v>98.564599999999999</v>
      </c>
      <c r="N270" s="2">
        <v>231</v>
      </c>
      <c r="O270" s="2">
        <v>98.205799999999996</v>
      </c>
      <c r="P270" s="2">
        <v>233</v>
      </c>
      <c r="Q270" s="2">
        <v>105.8968</v>
      </c>
      <c r="R270" s="2">
        <v>252</v>
      </c>
      <c r="S270" s="2">
        <v>108.5078</v>
      </c>
      <c r="T270" s="2">
        <v>285</v>
      </c>
      <c r="U270" s="2">
        <v>0.24099899999999999</v>
      </c>
      <c r="V270" s="2">
        <v>269</v>
      </c>
      <c r="W270" s="2">
        <v>2007</v>
      </c>
    </row>
    <row r="271" spans="1:23" ht="12.3" x14ac:dyDescent="0.4">
      <c r="A271" s="2" t="s">
        <v>314</v>
      </c>
      <c r="B271" s="2"/>
      <c r="C271" s="2"/>
      <c r="D271" s="2"/>
      <c r="E271" s="2"/>
      <c r="F271" s="2"/>
      <c r="G271" s="2"/>
      <c r="H271" s="2"/>
      <c r="I271" s="2">
        <v>63.477600000000002</v>
      </c>
      <c r="J271" s="2">
        <v>284</v>
      </c>
      <c r="K271" s="2">
        <v>64.579300000000003</v>
      </c>
      <c r="L271" s="2">
        <v>252</v>
      </c>
      <c r="M271" s="2">
        <v>91.485900000000001</v>
      </c>
      <c r="N271" s="2">
        <v>311</v>
      </c>
      <c r="O271" s="2">
        <v>90.254999999999995</v>
      </c>
      <c r="P271" s="2">
        <v>319</v>
      </c>
      <c r="Q271" s="2">
        <v>97.372299999999996</v>
      </c>
      <c r="R271" s="2">
        <v>67</v>
      </c>
      <c r="S271" s="2">
        <v>99.729299999999995</v>
      </c>
      <c r="T271" s="2">
        <v>106</v>
      </c>
      <c r="U271" s="2">
        <v>0.240867</v>
      </c>
      <c r="V271" s="2">
        <v>270</v>
      </c>
      <c r="W271" s="2">
        <v>2007</v>
      </c>
    </row>
    <row r="272" spans="1:23" ht="12.3" x14ac:dyDescent="0.4">
      <c r="A272" s="2" t="s">
        <v>319</v>
      </c>
      <c r="B272" s="2"/>
      <c r="C272" s="2"/>
      <c r="D272" s="2"/>
      <c r="E272" s="2"/>
      <c r="F272" s="2"/>
      <c r="G272" s="2"/>
      <c r="H272" s="2"/>
      <c r="I272" s="2">
        <v>75.126099999999994</v>
      </c>
      <c r="J272" s="2">
        <v>5</v>
      </c>
      <c r="K272" s="2">
        <v>73.484700000000004</v>
      </c>
      <c r="L272" s="2">
        <v>7</v>
      </c>
      <c r="M272" s="2">
        <v>100.6036</v>
      </c>
      <c r="N272" s="2">
        <v>199</v>
      </c>
      <c r="O272" s="2">
        <v>97.273700000000005</v>
      </c>
      <c r="P272" s="2">
        <v>250</v>
      </c>
      <c r="Q272" s="2">
        <v>104.54640000000001</v>
      </c>
      <c r="R272" s="2">
        <v>216</v>
      </c>
      <c r="S272" s="2">
        <v>107.5044</v>
      </c>
      <c r="T272" s="2">
        <v>261</v>
      </c>
      <c r="U272" s="2">
        <v>0.240483</v>
      </c>
      <c r="V272" s="2">
        <v>271</v>
      </c>
      <c r="W272" s="2">
        <v>2007</v>
      </c>
    </row>
    <row r="273" spans="1:23" ht="12.3" x14ac:dyDescent="0.4">
      <c r="A273" s="2" t="s">
        <v>364</v>
      </c>
      <c r="B273" s="2"/>
      <c r="C273" s="2"/>
      <c r="D273" s="2"/>
      <c r="E273" s="2"/>
      <c r="F273" s="2"/>
      <c r="G273" s="2"/>
      <c r="H273" s="2"/>
      <c r="I273" s="2">
        <v>65.802000000000007</v>
      </c>
      <c r="J273" s="2">
        <v>212</v>
      </c>
      <c r="K273" s="2">
        <v>65.034700000000001</v>
      </c>
      <c r="L273" s="2">
        <v>231</v>
      </c>
      <c r="M273" s="2">
        <v>94.728999999999999</v>
      </c>
      <c r="N273" s="2">
        <v>288</v>
      </c>
      <c r="O273" s="2">
        <v>93.835700000000003</v>
      </c>
      <c r="P273" s="2">
        <v>291</v>
      </c>
      <c r="Q273" s="2">
        <v>102.9551</v>
      </c>
      <c r="R273" s="2">
        <v>186</v>
      </c>
      <c r="S273" s="2">
        <v>104.04510000000001</v>
      </c>
      <c r="T273" s="2">
        <v>193</v>
      </c>
      <c r="U273" s="2">
        <v>0.23366899999999999</v>
      </c>
      <c r="V273" s="2">
        <v>272</v>
      </c>
      <c r="W273" s="2">
        <v>2007</v>
      </c>
    </row>
    <row r="274" spans="1:23" ht="12.3" x14ac:dyDescent="0.4">
      <c r="A274" s="2" t="s">
        <v>306</v>
      </c>
      <c r="B274" s="2"/>
      <c r="C274" s="2"/>
      <c r="D274" s="2"/>
      <c r="E274" s="2"/>
      <c r="F274" s="2"/>
      <c r="G274" s="2"/>
      <c r="H274" s="2"/>
      <c r="I274" s="2">
        <v>65.159400000000005</v>
      </c>
      <c r="J274" s="2">
        <v>231</v>
      </c>
      <c r="K274" s="2">
        <v>63.9071</v>
      </c>
      <c r="L274" s="2">
        <v>279</v>
      </c>
      <c r="M274" s="2">
        <v>94.136899999999997</v>
      </c>
      <c r="N274" s="2">
        <v>292</v>
      </c>
      <c r="O274" s="2">
        <v>97.287099999999995</v>
      </c>
      <c r="P274" s="2">
        <v>249</v>
      </c>
      <c r="Q274" s="2">
        <v>108.4718</v>
      </c>
      <c r="R274" s="2">
        <v>291</v>
      </c>
      <c r="S274" s="2">
        <v>108.0878</v>
      </c>
      <c r="T274" s="2">
        <v>276</v>
      </c>
      <c r="U274" s="2">
        <v>0.22958000000000001</v>
      </c>
      <c r="V274" s="2">
        <v>273</v>
      </c>
      <c r="W274" s="2">
        <v>2007</v>
      </c>
    </row>
    <row r="275" spans="1:23" ht="12.3" x14ac:dyDescent="0.4">
      <c r="A275" s="2" t="s">
        <v>176</v>
      </c>
      <c r="B275" s="2"/>
      <c r="C275" s="2"/>
      <c r="D275" s="2"/>
      <c r="E275" s="2"/>
      <c r="F275" s="2"/>
      <c r="G275" s="2"/>
      <c r="H275" s="2"/>
      <c r="I275" s="2">
        <v>53.351100000000002</v>
      </c>
      <c r="J275" s="2">
        <v>336</v>
      </c>
      <c r="K275" s="2">
        <v>52.9163</v>
      </c>
      <c r="L275" s="2">
        <v>336</v>
      </c>
      <c r="M275" s="2">
        <v>93.470200000000006</v>
      </c>
      <c r="N275" s="2">
        <v>298</v>
      </c>
      <c r="O275" s="2">
        <v>90.500200000000007</v>
      </c>
      <c r="P275" s="2">
        <v>318</v>
      </c>
      <c r="Q275" s="2">
        <v>99.482399999999998</v>
      </c>
      <c r="R275" s="2">
        <v>103</v>
      </c>
      <c r="S275" s="2">
        <v>100.5561</v>
      </c>
      <c r="T275" s="2">
        <v>121</v>
      </c>
      <c r="U275" s="2">
        <v>0.229405</v>
      </c>
      <c r="V275" s="2">
        <v>274</v>
      </c>
      <c r="W275" s="2">
        <v>2007</v>
      </c>
    </row>
    <row r="276" spans="1:23" ht="12.3" x14ac:dyDescent="0.4">
      <c r="A276" s="2" t="s">
        <v>290</v>
      </c>
      <c r="B276" s="2"/>
      <c r="C276" s="2"/>
      <c r="D276" s="2"/>
      <c r="E276" s="2"/>
      <c r="F276" s="2"/>
      <c r="G276" s="2"/>
      <c r="H276" s="2"/>
      <c r="I276" s="2">
        <v>66.364500000000007</v>
      </c>
      <c r="J276" s="2">
        <v>190</v>
      </c>
      <c r="K276" s="2">
        <v>65.0822</v>
      </c>
      <c r="L276" s="2">
        <v>229</v>
      </c>
      <c r="M276" s="2">
        <v>91.546199999999999</v>
      </c>
      <c r="N276" s="2">
        <v>310</v>
      </c>
      <c r="O276" s="2">
        <v>93.174499999999995</v>
      </c>
      <c r="P276" s="2">
        <v>297</v>
      </c>
      <c r="Q276" s="2">
        <v>105.33199999999999</v>
      </c>
      <c r="R276" s="2">
        <v>241</v>
      </c>
      <c r="S276" s="2">
        <v>103.6405</v>
      </c>
      <c r="T276" s="2">
        <v>182</v>
      </c>
      <c r="U276" s="2">
        <v>0.22719400000000001</v>
      </c>
      <c r="V276" s="2">
        <v>275</v>
      </c>
      <c r="W276" s="2">
        <v>2007</v>
      </c>
    </row>
    <row r="277" spans="1:23" ht="12.3" x14ac:dyDescent="0.4">
      <c r="A277" s="2" t="s">
        <v>100</v>
      </c>
      <c r="B277" s="2"/>
      <c r="C277" s="2"/>
      <c r="D277" s="2"/>
      <c r="E277" s="2"/>
      <c r="F277" s="2"/>
      <c r="G277" s="2"/>
      <c r="H277" s="2"/>
      <c r="I277" s="2">
        <v>61.605800000000002</v>
      </c>
      <c r="J277" s="2">
        <v>316</v>
      </c>
      <c r="K277" s="2">
        <v>60.529899999999998</v>
      </c>
      <c r="L277" s="2">
        <v>326</v>
      </c>
      <c r="M277" s="2">
        <v>97.503200000000007</v>
      </c>
      <c r="N277" s="2">
        <v>248</v>
      </c>
      <c r="O277" s="2">
        <v>98.014700000000005</v>
      </c>
      <c r="P277" s="2">
        <v>238</v>
      </c>
      <c r="Q277" s="2">
        <v>109.89700000000001</v>
      </c>
      <c r="R277" s="2">
        <v>313</v>
      </c>
      <c r="S277" s="2">
        <v>109.0943</v>
      </c>
      <c r="T277" s="2">
        <v>294</v>
      </c>
      <c r="U277" s="2">
        <v>0.22590399999999999</v>
      </c>
      <c r="V277" s="2">
        <v>276</v>
      </c>
      <c r="W277" s="2">
        <v>2007</v>
      </c>
    </row>
    <row r="278" spans="1:23" ht="12.3" x14ac:dyDescent="0.4">
      <c r="A278" s="2" t="s">
        <v>277</v>
      </c>
      <c r="B278" s="2"/>
      <c r="C278" s="2"/>
      <c r="D278" s="2"/>
      <c r="E278" s="2"/>
      <c r="F278" s="2"/>
      <c r="G278" s="2"/>
      <c r="H278" s="2"/>
      <c r="I278" s="2">
        <v>66.531800000000004</v>
      </c>
      <c r="J278" s="2">
        <v>182</v>
      </c>
      <c r="K278" s="2">
        <v>66.318399999999997</v>
      </c>
      <c r="L278" s="2">
        <v>185</v>
      </c>
      <c r="M278" s="2">
        <v>92.851799999999997</v>
      </c>
      <c r="N278" s="2">
        <v>303</v>
      </c>
      <c r="O278" s="2">
        <v>92.695499999999996</v>
      </c>
      <c r="P278" s="2">
        <v>304</v>
      </c>
      <c r="Q278" s="2">
        <v>101.33329999999999</v>
      </c>
      <c r="R278" s="2">
        <v>146</v>
      </c>
      <c r="S278" s="2">
        <v>103.2213</v>
      </c>
      <c r="T278" s="2">
        <v>173</v>
      </c>
      <c r="U278" s="2">
        <v>0.22497900000000001</v>
      </c>
      <c r="V278" s="2">
        <v>277</v>
      </c>
      <c r="W278" s="2">
        <v>2007</v>
      </c>
    </row>
    <row r="279" spans="1:23" ht="12.3" x14ac:dyDescent="0.4">
      <c r="A279" s="2" t="s">
        <v>260</v>
      </c>
      <c r="B279" s="2"/>
      <c r="C279" s="2"/>
      <c r="D279" s="2"/>
      <c r="E279" s="2"/>
      <c r="F279" s="2"/>
      <c r="G279" s="2"/>
      <c r="H279" s="2"/>
      <c r="I279" s="2">
        <v>67.972200000000001</v>
      </c>
      <c r="J279" s="2">
        <v>116</v>
      </c>
      <c r="K279" s="2">
        <v>67.937899999999999</v>
      </c>
      <c r="L279" s="2">
        <v>115</v>
      </c>
      <c r="M279" s="2">
        <v>95.150599999999997</v>
      </c>
      <c r="N279" s="2">
        <v>284</v>
      </c>
      <c r="O279" s="2">
        <v>94.457400000000007</v>
      </c>
      <c r="P279" s="2">
        <v>284</v>
      </c>
      <c r="Q279" s="2">
        <v>105.27970000000001</v>
      </c>
      <c r="R279" s="2">
        <v>237</v>
      </c>
      <c r="S279" s="2">
        <v>105.25579999999999</v>
      </c>
      <c r="T279" s="2">
        <v>217</v>
      </c>
      <c r="U279" s="2">
        <v>0.22359899999999999</v>
      </c>
      <c r="V279" s="2">
        <v>278</v>
      </c>
      <c r="W279" s="2">
        <v>2007</v>
      </c>
    </row>
    <row r="280" spans="1:23" ht="12.3" x14ac:dyDescent="0.4">
      <c r="A280" s="2" t="s">
        <v>300</v>
      </c>
      <c r="B280" s="2"/>
      <c r="C280" s="2"/>
      <c r="D280" s="2"/>
      <c r="E280" s="2"/>
      <c r="F280" s="2"/>
      <c r="G280" s="2"/>
      <c r="H280" s="2"/>
      <c r="I280" s="2">
        <v>63.9026</v>
      </c>
      <c r="J280" s="2">
        <v>269</v>
      </c>
      <c r="K280" s="2">
        <v>66.224500000000006</v>
      </c>
      <c r="L280" s="2">
        <v>188</v>
      </c>
      <c r="M280" s="2">
        <v>93.4816</v>
      </c>
      <c r="N280" s="2">
        <v>297</v>
      </c>
      <c r="O280" s="2">
        <v>93.195999999999998</v>
      </c>
      <c r="P280" s="2">
        <v>296</v>
      </c>
      <c r="Q280" s="2">
        <v>99.440799999999996</v>
      </c>
      <c r="R280" s="2">
        <v>102</v>
      </c>
      <c r="S280" s="2">
        <v>103.85509999999999</v>
      </c>
      <c r="T280" s="2">
        <v>187</v>
      </c>
      <c r="U280" s="2">
        <v>0.22350500000000001</v>
      </c>
      <c r="V280" s="2">
        <v>279</v>
      </c>
      <c r="W280" s="2">
        <v>2007</v>
      </c>
    </row>
    <row r="281" spans="1:23" ht="12.3" x14ac:dyDescent="0.4">
      <c r="A281" s="2" t="s">
        <v>336</v>
      </c>
      <c r="B281" s="2"/>
      <c r="C281" s="2"/>
      <c r="D281" s="2"/>
      <c r="E281" s="2"/>
      <c r="F281" s="2"/>
      <c r="G281" s="2"/>
      <c r="H281" s="2"/>
      <c r="I281" s="2">
        <v>64.066400000000002</v>
      </c>
      <c r="J281" s="2">
        <v>263</v>
      </c>
      <c r="K281" s="2">
        <v>65.271100000000004</v>
      </c>
      <c r="L281" s="2">
        <v>223</v>
      </c>
      <c r="M281" s="2">
        <v>93.078199999999995</v>
      </c>
      <c r="N281" s="2">
        <v>301</v>
      </c>
      <c r="O281" s="2">
        <v>91.060500000000005</v>
      </c>
      <c r="P281" s="2">
        <v>314</v>
      </c>
      <c r="Q281" s="2">
        <v>99.958799999999997</v>
      </c>
      <c r="R281" s="2">
        <v>115</v>
      </c>
      <c r="S281" s="2">
        <v>101.5949</v>
      </c>
      <c r="T281" s="2">
        <v>150</v>
      </c>
      <c r="U281" s="2">
        <v>0.221164</v>
      </c>
      <c r="V281" s="2">
        <v>280</v>
      </c>
      <c r="W281" s="2">
        <v>2007</v>
      </c>
    </row>
    <row r="282" spans="1:23" ht="12.3" x14ac:dyDescent="0.4">
      <c r="A282" s="2" t="s">
        <v>211</v>
      </c>
      <c r="B282" s="2"/>
      <c r="C282" s="2"/>
      <c r="D282" s="2"/>
      <c r="E282" s="2"/>
      <c r="F282" s="2"/>
      <c r="G282" s="2"/>
      <c r="H282" s="2"/>
      <c r="I282" s="2">
        <v>66.825400000000002</v>
      </c>
      <c r="J282" s="2">
        <v>164</v>
      </c>
      <c r="K282" s="2">
        <v>64.821799999999996</v>
      </c>
      <c r="L282" s="2">
        <v>243</v>
      </c>
      <c r="M282" s="2">
        <v>94.805300000000003</v>
      </c>
      <c r="N282" s="2">
        <v>286</v>
      </c>
      <c r="O282" s="2">
        <v>95.489800000000002</v>
      </c>
      <c r="P282" s="2">
        <v>279</v>
      </c>
      <c r="Q282" s="2">
        <v>107.73909999999999</v>
      </c>
      <c r="R282" s="2">
        <v>285</v>
      </c>
      <c r="S282" s="2">
        <v>106.6596</v>
      </c>
      <c r="T282" s="2">
        <v>248</v>
      </c>
      <c r="U282" s="2">
        <v>0.218887</v>
      </c>
      <c r="V282" s="2">
        <v>281</v>
      </c>
      <c r="W282" s="2">
        <v>2007</v>
      </c>
    </row>
    <row r="283" spans="1:23" ht="12.3" x14ac:dyDescent="0.4">
      <c r="A283" s="2" t="s">
        <v>296</v>
      </c>
      <c r="B283" s="2"/>
      <c r="C283" s="2"/>
      <c r="D283" s="2"/>
      <c r="E283" s="2"/>
      <c r="F283" s="2"/>
      <c r="G283" s="2"/>
      <c r="H283" s="2"/>
      <c r="I283" s="2">
        <v>71.637600000000006</v>
      </c>
      <c r="J283" s="2">
        <v>33</v>
      </c>
      <c r="K283" s="2">
        <v>71.771699999999996</v>
      </c>
      <c r="L283" s="2">
        <v>27</v>
      </c>
      <c r="M283" s="2">
        <v>98.609800000000007</v>
      </c>
      <c r="N283" s="2">
        <v>230</v>
      </c>
      <c r="O283" s="2">
        <v>95.337000000000003</v>
      </c>
      <c r="P283" s="2">
        <v>282</v>
      </c>
      <c r="Q283" s="2">
        <v>100.5385</v>
      </c>
      <c r="R283" s="2">
        <v>129</v>
      </c>
      <c r="S283" s="2">
        <v>106.5823</v>
      </c>
      <c r="T283" s="2">
        <v>245</v>
      </c>
      <c r="U283" s="2">
        <v>0.21717</v>
      </c>
      <c r="V283" s="2">
        <v>282</v>
      </c>
      <c r="W283" s="2">
        <v>2007</v>
      </c>
    </row>
    <row r="284" spans="1:23" ht="12.3" x14ac:dyDescent="0.4">
      <c r="A284" s="2" t="s">
        <v>215</v>
      </c>
      <c r="B284" s="2"/>
      <c r="C284" s="2"/>
      <c r="D284" s="2"/>
      <c r="E284" s="2"/>
      <c r="F284" s="2"/>
      <c r="G284" s="2"/>
      <c r="H284" s="2"/>
      <c r="I284" s="2">
        <v>69.199799999999996</v>
      </c>
      <c r="J284" s="2">
        <v>88</v>
      </c>
      <c r="K284" s="2">
        <v>69.201899999999995</v>
      </c>
      <c r="L284" s="2">
        <v>75</v>
      </c>
      <c r="M284" s="2">
        <v>99.759299999999996</v>
      </c>
      <c r="N284" s="2">
        <v>211</v>
      </c>
      <c r="O284" s="2">
        <v>96.989400000000003</v>
      </c>
      <c r="P284" s="2">
        <v>256</v>
      </c>
      <c r="Q284" s="2">
        <v>106.9278</v>
      </c>
      <c r="R284" s="2">
        <v>277</v>
      </c>
      <c r="S284" s="2">
        <v>108.5882</v>
      </c>
      <c r="T284" s="2">
        <v>289</v>
      </c>
      <c r="U284" s="2">
        <v>0.21432399999999999</v>
      </c>
      <c r="V284" s="2">
        <v>283</v>
      </c>
      <c r="W284" s="2">
        <v>2007</v>
      </c>
    </row>
    <row r="285" spans="1:23" ht="12.3" x14ac:dyDescent="0.4">
      <c r="A285" s="2" t="s">
        <v>268</v>
      </c>
      <c r="B285" s="2"/>
      <c r="C285" s="2"/>
      <c r="D285" s="2"/>
      <c r="E285" s="2"/>
      <c r="F285" s="2"/>
      <c r="G285" s="2"/>
      <c r="H285" s="2"/>
      <c r="I285" s="2">
        <v>65.044700000000006</v>
      </c>
      <c r="J285" s="2">
        <v>238</v>
      </c>
      <c r="K285" s="2">
        <v>65.221699999999998</v>
      </c>
      <c r="L285" s="2">
        <v>225</v>
      </c>
      <c r="M285" s="2">
        <v>97.493899999999996</v>
      </c>
      <c r="N285" s="2">
        <v>249</v>
      </c>
      <c r="O285" s="2">
        <v>96.508700000000005</v>
      </c>
      <c r="P285" s="2">
        <v>261</v>
      </c>
      <c r="Q285" s="2">
        <v>106.0694</v>
      </c>
      <c r="R285" s="2">
        <v>259</v>
      </c>
      <c r="S285" s="2">
        <v>108.19</v>
      </c>
      <c r="T285" s="2">
        <v>279</v>
      </c>
      <c r="U285" s="2">
        <v>0.21182799999999999</v>
      </c>
      <c r="V285" s="2">
        <v>284</v>
      </c>
      <c r="W285" s="2">
        <v>2007</v>
      </c>
    </row>
    <row r="286" spans="1:23" ht="12.3" x14ac:dyDescent="0.4">
      <c r="A286" s="2" t="s">
        <v>288</v>
      </c>
      <c r="B286" s="2"/>
      <c r="C286" s="2"/>
      <c r="D286" s="2"/>
      <c r="E286" s="2"/>
      <c r="F286" s="2"/>
      <c r="G286" s="2"/>
      <c r="H286" s="2"/>
      <c r="I286" s="2">
        <v>66.089699999999993</v>
      </c>
      <c r="J286" s="2">
        <v>203</v>
      </c>
      <c r="K286" s="2">
        <v>65.343000000000004</v>
      </c>
      <c r="L286" s="2">
        <v>221</v>
      </c>
      <c r="M286" s="2">
        <v>98.495699999999999</v>
      </c>
      <c r="N286" s="2">
        <v>232</v>
      </c>
      <c r="O286" s="2">
        <v>94.362300000000005</v>
      </c>
      <c r="P286" s="2">
        <v>287</v>
      </c>
      <c r="Q286" s="2">
        <v>101.5098</v>
      </c>
      <c r="R286" s="2">
        <v>151</v>
      </c>
      <c r="S286" s="2">
        <v>105.9628</v>
      </c>
      <c r="T286" s="2">
        <v>231</v>
      </c>
      <c r="U286" s="2">
        <v>0.20860000000000001</v>
      </c>
      <c r="V286" s="2">
        <v>285</v>
      </c>
      <c r="W286" s="2">
        <v>2007</v>
      </c>
    </row>
    <row r="287" spans="1:23" ht="12.3" x14ac:dyDescent="0.4">
      <c r="A287" s="2" t="s">
        <v>200</v>
      </c>
      <c r="B287" s="2"/>
      <c r="C287" s="2"/>
      <c r="D287" s="2"/>
      <c r="E287" s="2"/>
      <c r="F287" s="2"/>
      <c r="G287" s="2"/>
      <c r="H287" s="2"/>
      <c r="I287" s="2">
        <v>63.337200000000003</v>
      </c>
      <c r="J287" s="2">
        <v>286</v>
      </c>
      <c r="K287" s="2">
        <v>63.789000000000001</v>
      </c>
      <c r="L287" s="2">
        <v>283</v>
      </c>
      <c r="M287" s="2">
        <v>100.42959999999999</v>
      </c>
      <c r="N287" s="2">
        <v>203</v>
      </c>
      <c r="O287" s="2">
        <v>100.8133</v>
      </c>
      <c r="P287" s="2">
        <v>191</v>
      </c>
      <c r="Q287" s="2">
        <v>114.304</v>
      </c>
      <c r="R287" s="2">
        <v>335</v>
      </c>
      <c r="S287" s="2">
        <v>113.23820000000001</v>
      </c>
      <c r="T287" s="2">
        <v>331</v>
      </c>
      <c r="U287" s="2">
        <v>0.20807500000000001</v>
      </c>
      <c r="V287" s="2">
        <v>286</v>
      </c>
      <c r="W287" s="2">
        <v>2007</v>
      </c>
    </row>
    <row r="288" spans="1:23" ht="12.3" x14ac:dyDescent="0.4">
      <c r="A288" s="2" t="s">
        <v>345</v>
      </c>
      <c r="B288" s="2"/>
      <c r="C288" s="2"/>
      <c r="D288" s="2"/>
      <c r="E288" s="2"/>
      <c r="F288" s="2"/>
      <c r="G288" s="2"/>
      <c r="H288" s="2"/>
      <c r="I288" s="2">
        <v>67.150999999999996</v>
      </c>
      <c r="J288" s="2">
        <v>156</v>
      </c>
      <c r="K288" s="2">
        <v>67.183400000000006</v>
      </c>
      <c r="L288" s="2">
        <v>145</v>
      </c>
      <c r="M288" s="2">
        <v>100.2317</v>
      </c>
      <c r="N288" s="2">
        <v>205</v>
      </c>
      <c r="O288" s="2">
        <v>94.929500000000004</v>
      </c>
      <c r="P288" s="2">
        <v>283</v>
      </c>
      <c r="Q288" s="2">
        <v>102.5663</v>
      </c>
      <c r="R288" s="2">
        <v>171</v>
      </c>
      <c r="S288" s="2">
        <v>106.6468</v>
      </c>
      <c r="T288" s="2">
        <v>247</v>
      </c>
      <c r="U288" s="2">
        <v>0.207763</v>
      </c>
      <c r="V288" s="2">
        <v>287</v>
      </c>
      <c r="W288" s="2">
        <v>2007</v>
      </c>
    </row>
    <row r="289" spans="1:23" ht="12.3" x14ac:dyDescent="0.4">
      <c r="A289" s="2" t="s">
        <v>327</v>
      </c>
      <c r="B289" s="2"/>
      <c r="C289" s="2"/>
      <c r="D289" s="2"/>
      <c r="E289" s="2"/>
      <c r="F289" s="2"/>
      <c r="G289" s="2"/>
      <c r="H289" s="2"/>
      <c r="I289" s="2">
        <v>63.488500000000002</v>
      </c>
      <c r="J289" s="2">
        <v>283</v>
      </c>
      <c r="K289" s="2">
        <v>64.5381</v>
      </c>
      <c r="L289" s="2">
        <v>254</v>
      </c>
      <c r="M289" s="2">
        <v>92.452100000000002</v>
      </c>
      <c r="N289" s="2">
        <v>307</v>
      </c>
      <c r="O289" s="2">
        <v>93.878600000000006</v>
      </c>
      <c r="P289" s="2">
        <v>290</v>
      </c>
      <c r="Q289" s="2">
        <v>104.9388</v>
      </c>
      <c r="R289" s="2">
        <v>228</v>
      </c>
      <c r="S289" s="2">
        <v>105.6686</v>
      </c>
      <c r="T289" s="2">
        <v>224</v>
      </c>
      <c r="U289" s="2">
        <v>0.20415700000000001</v>
      </c>
      <c r="V289" s="2">
        <v>288</v>
      </c>
      <c r="W289" s="2">
        <v>2007</v>
      </c>
    </row>
    <row r="290" spans="1:23" ht="12.3" x14ac:dyDescent="0.4">
      <c r="A290" s="2" t="s">
        <v>201</v>
      </c>
      <c r="B290" s="2"/>
      <c r="C290" s="2"/>
      <c r="D290" s="2"/>
      <c r="E290" s="2"/>
      <c r="F290" s="2"/>
      <c r="G290" s="2"/>
      <c r="H290" s="2"/>
      <c r="I290" s="2">
        <v>63.179499999999997</v>
      </c>
      <c r="J290" s="2">
        <v>290</v>
      </c>
      <c r="K290" s="2">
        <v>64.396100000000004</v>
      </c>
      <c r="L290" s="2">
        <v>260</v>
      </c>
      <c r="M290" s="2">
        <v>99.720299999999995</v>
      </c>
      <c r="N290" s="2">
        <v>212</v>
      </c>
      <c r="O290" s="2">
        <v>96.119200000000006</v>
      </c>
      <c r="P290" s="2">
        <v>271</v>
      </c>
      <c r="Q290" s="2">
        <v>104.0087</v>
      </c>
      <c r="R290" s="2">
        <v>201</v>
      </c>
      <c r="S290" s="2">
        <v>108.5064</v>
      </c>
      <c r="T290" s="2">
        <v>284</v>
      </c>
      <c r="U290" s="2">
        <v>0.198765</v>
      </c>
      <c r="V290" s="2">
        <v>289</v>
      </c>
      <c r="W290" s="2">
        <v>2007</v>
      </c>
    </row>
    <row r="291" spans="1:23" ht="12.3" x14ac:dyDescent="0.4">
      <c r="A291" s="2" t="s">
        <v>247</v>
      </c>
      <c r="B291" s="2"/>
      <c r="C291" s="2"/>
      <c r="D291" s="2"/>
      <c r="E291" s="2"/>
      <c r="F291" s="2"/>
      <c r="G291" s="2"/>
      <c r="H291" s="2"/>
      <c r="I291" s="2">
        <v>61.421799999999998</v>
      </c>
      <c r="J291" s="2">
        <v>318</v>
      </c>
      <c r="K291" s="2">
        <v>62.077100000000002</v>
      </c>
      <c r="L291" s="2">
        <v>311</v>
      </c>
      <c r="M291" s="2">
        <v>89.227199999999996</v>
      </c>
      <c r="N291" s="2">
        <v>320</v>
      </c>
      <c r="O291" s="2">
        <v>90.138800000000003</v>
      </c>
      <c r="P291" s="2">
        <v>320</v>
      </c>
      <c r="Q291" s="2">
        <v>99.263300000000001</v>
      </c>
      <c r="R291" s="2">
        <v>98</v>
      </c>
      <c r="S291" s="2">
        <v>101.7985</v>
      </c>
      <c r="T291" s="2">
        <v>155</v>
      </c>
      <c r="U291" s="2">
        <v>0.197988</v>
      </c>
      <c r="V291" s="2">
        <v>290</v>
      </c>
      <c r="W291" s="2">
        <v>2007</v>
      </c>
    </row>
    <row r="292" spans="1:23" ht="12.3" x14ac:dyDescent="0.4">
      <c r="A292" s="2" t="s">
        <v>302</v>
      </c>
      <c r="B292" s="2"/>
      <c r="C292" s="2"/>
      <c r="D292" s="2"/>
      <c r="E292" s="2"/>
      <c r="F292" s="2"/>
      <c r="G292" s="2"/>
      <c r="H292" s="2"/>
      <c r="I292" s="2">
        <v>76.436899999999994</v>
      </c>
      <c r="J292" s="2">
        <v>3</v>
      </c>
      <c r="K292" s="2">
        <v>75.352199999999996</v>
      </c>
      <c r="L292" s="2">
        <v>4</v>
      </c>
      <c r="M292" s="2">
        <v>95.701099999999997</v>
      </c>
      <c r="N292" s="2">
        <v>275</v>
      </c>
      <c r="O292" s="2">
        <v>94.298199999999994</v>
      </c>
      <c r="P292" s="2">
        <v>288</v>
      </c>
      <c r="Q292" s="2">
        <v>109.0363</v>
      </c>
      <c r="R292" s="2">
        <v>299</v>
      </c>
      <c r="S292" s="2">
        <v>106.57980000000001</v>
      </c>
      <c r="T292" s="2">
        <v>244</v>
      </c>
      <c r="U292" s="2">
        <v>0.19655500000000001</v>
      </c>
      <c r="V292" s="2">
        <v>291</v>
      </c>
      <c r="W292" s="2">
        <v>2007</v>
      </c>
    </row>
    <row r="293" spans="1:23" ht="12.3" x14ac:dyDescent="0.4">
      <c r="A293" s="2" t="s">
        <v>310</v>
      </c>
      <c r="B293" s="2"/>
      <c r="C293" s="2"/>
      <c r="D293" s="2"/>
      <c r="E293" s="2"/>
      <c r="F293" s="2"/>
      <c r="G293" s="2"/>
      <c r="H293" s="2"/>
      <c r="I293" s="2">
        <v>60.006900000000002</v>
      </c>
      <c r="J293" s="2">
        <v>327</v>
      </c>
      <c r="K293" s="2">
        <v>60.719799999999999</v>
      </c>
      <c r="L293" s="2">
        <v>323</v>
      </c>
      <c r="M293" s="2">
        <v>95.492500000000007</v>
      </c>
      <c r="N293" s="2">
        <v>278</v>
      </c>
      <c r="O293" s="2">
        <v>95.829099999999997</v>
      </c>
      <c r="P293" s="2">
        <v>275</v>
      </c>
      <c r="Q293" s="2">
        <v>106.02200000000001</v>
      </c>
      <c r="R293" s="2">
        <v>255</v>
      </c>
      <c r="S293" s="2">
        <v>108.33580000000001</v>
      </c>
      <c r="T293" s="2">
        <v>282</v>
      </c>
      <c r="U293" s="2">
        <v>0.19612399999999999</v>
      </c>
      <c r="V293" s="2">
        <v>292</v>
      </c>
      <c r="W293" s="2">
        <v>2007</v>
      </c>
    </row>
    <row r="294" spans="1:23" ht="12.3" x14ac:dyDescent="0.4">
      <c r="A294" s="2" t="s">
        <v>303</v>
      </c>
      <c r="B294" s="2"/>
      <c r="C294" s="2"/>
      <c r="D294" s="2"/>
      <c r="E294" s="2"/>
      <c r="F294" s="2"/>
      <c r="G294" s="2"/>
      <c r="H294" s="2"/>
      <c r="I294" s="2">
        <v>70.923299999999998</v>
      </c>
      <c r="J294" s="2">
        <v>47</v>
      </c>
      <c r="K294" s="2">
        <v>72.088499999999996</v>
      </c>
      <c r="L294" s="2">
        <v>22</v>
      </c>
      <c r="M294" s="2">
        <v>98.464699999999993</v>
      </c>
      <c r="N294" s="2">
        <v>233</v>
      </c>
      <c r="O294" s="2">
        <v>98.463800000000006</v>
      </c>
      <c r="P294" s="2">
        <v>229</v>
      </c>
      <c r="Q294" s="2">
        <v>109.09950000000001</v>
      </c>
      <c r="R294" s="2">
        <v>300</v>
      </c>
      <c r="S294" s="2">
        <v>111.4435</v>
      </c>
      <c r="T294" s="2">
        <v>319</v>
      </c>
      <c r="U294" s="2">
        <v>0.19403000000000001</v>
      </c>
      <c r="V294" s="2">
        <v>293</v>
      </c>
      <c r="W294" s="2">
        <v>2007</v>
      </c>
    </row>
    <row r="295" spans="1:23" ht="12.3" x14ac:dyDescent="0.4">
      <c r="A295" s="2" t="s">
        <v>174</v>
      </c>
      <c r="B295" s="2"/>
      <c r="C295" s="2"/>
      <c r="D295" s="2"/>
      <c r="E295" s="2"/>
      <c r="F295" s="2"/>
      <c r="G295" s="2"/>
      <c r="H295" s="2"/>
      <c r="I295" s="2">
        <v>63.329799999999999</v>
      </c>
      <c r="J295" s="2">
        <v>287</v>
      </c>
      <c r="K295" s="2">
        <v>64.642200000000003</v>
      </c>
      <c r="L295" s="2">
        <v>247</v>
      </c>
      <c r="M295" s="2">
        <v>95.524699999999996</v>
      </c>
      <c r="N295" s="2">
        <v>277</v>
      </c>
      <c r="O295" s="2">
        <v>96.108000000000004</v>
      </c>
      <c r="P295" s="2">
        <v>273</v>
      </c>
      <c r="Q295" s="2">
        <v>109.8818</v>
      </c>
      <c r="R295" s="2">
        <v>312</v>
      </c>
      <c r="S295" s="2">
        <v>108.7915</v>
      </c>
      <c r="T295" s="2">
        <v>291</v>
      </c>
      <c r="U295" s="2">
        <v>0.19379399999999999</v>
      </c>
      <c r="V295" s="2">
        <v>294</v>
      </c>
      <c r="W295" s="2">
        <v>2007</v>
      </c>
    </row>
    <row r="296" spans="1:23" ht="12.3" x14ac:dyDescent="0.4">
      <c r="A296" s="2" t="s">
        <v>106</v>
      </c>
      <c r="B296" s="2"/>
      <c r="C296" s="2"/>
      <c r="D296" s="2"/>
      <c r="E296" s="2"/>
      <c r="F296" s="2"/>
      <c r="G296" s="2"/>
      <c r="H296" s="2"/>
      <c r="I296" s="2">
        <v>68.833100000000002</v>
      </c>
      <c r="J296" s="2">
        <v>94</v>
      </c>
      <c r="K296" s="2">
        <v>68.8733</v>
      </c>
      <c r="L296" s="2">
        <v>84</v>
      </c>
      <c r="M296" s="2">
        <v>97.385300000000001</v>
      </c>
      <c r="N296" s="2">
        <v>252</v>
      </c>
      <c r="O296" s="2">
        <v>97.2273</v>
      </c>
      <c r="P296" s="2">
        <v>253</v>
      </c>
      <c r="Q296" s="2">
        <v>112.6147</v>
      </c>
      <c r="R296" s="2">
        <v>332</v>
      </c>
      <c r="S296" s="2">
        <v>111.0964</v>
      </c>
      <c r="T296" s="2">
        <v>315</v>
      </c>
      <c r="U296" s="2">
        <v>0.177484</v>
      </c>
      <c r="V296" s="2">
        <v>295</v>
      </c>
      <c r="W296" s="2">
        <v>2007</v>
      </c>
    </row>
    <row r="297" spans="1:23" ht="12.3" x14ac:dyDescent="0.4">
      <c r="A297" s="2" t="s">
        <v>275</v>
      </c>
      <c r="B297" s="2"/>
      <c r="C297" s="2"/>
      <c r="D297" s="2"/>
      <c r="E297" s="2"/>
      <c r="F297" s="2"/>
      <c r="G297" s="2"/>
      <c r="H297" s="2"/>
      <c r="I297" s="2">
        <v>66.3797</v>
      </c>
      <c r="J297" s="2">
        <v>189</v>
      </c>
      <c r="K297" s="2">
        <v>66.329899999999995</v>
      </c>
      <c r="L297" s="2">
        <v>184</v>
      </c>
      <c r="M297" s="2">
        <v>99.403300000000002</v>
      </c>
      <c r="N297" s="2">
        <v>218</v>
      </c>
      <c r="O297" s="2">
        <v>96.167699999999996</v>
      </c>
      <c r="P297" s="2">
        <v>270</v>
      </c>
      <c r="Q297" s="2">
        <v>107.0684</v>
      </c>
      <c r="R297" s="2">
        <v>278</v>
      </c>
      <c r="S297" s="2">
        <v>109.9966</v>
      </c>
      <c r="T297" s="2">
        <v>304</v>
      </c>
      <c r="U297" s="2">
        <v>0.17579600000000001</v>
      </c>
      <c r="V297" s="2">
        <v>296</v>
      </c>
      <c r="W297" s="2">
        <v>2007</v>
      </c>
    </row>
    <row r="298" spans="1:23" ht="12.3" x14ac:dyDescent="0.4">
      <c r="A298" s="2" t="s">
        <v>332</v>
      </c>
      <c r="B298" s="2"/>
      <c r="C298" s="2"/>
      <c r="D298" s="2"/>
      <c r="E298" s="2"/>
      <c r="F298" s="2"/>
      <c r="G298" s="2"/>
      <c r="H298" s="2"/>
      <c r="I298" s="2">
        <v>66.446399999999997</v>
      </c>
      <c r="J298" s="2">
        <v>185</v>
      </c>
      <c r="K298" s="2">
        <v>65.135599999999997</v>
      </c>
      <c r="L298" s="2">
        <v>227</v>
      </c>
      <c r="M298" s="2">
        <v>99.764099999999999</v>
      </c>
      <c r="N298" s="2">
        <v>210</v>
      </c>
      <c r="O298" s="2">
        <v>98.248199999999997</v>
      </c>
      <c r="P298" s="2">
        <v>231</v>
      </c>
      <c r="Q298" s="2">
        <v>109.6216</v>
      </c>
      <c r="R298" s="2">
        <v>309</v>
      </c>
      <c r="S298" s="2">
        <v>112.61799999999999</v>
      </c>
      <c r="T298" s="2">
        <v>326</v>
      </c>
      <c r="U298" s="2">
        <v>0.17224500000000001</v>
      </c>
      <c r="V298" s="2">
        <v>297</v>
      </c>
      <c r="W298" s="2">
        <v>2007</v>
      </c>
    </row>
    <row r="299" spans="1:23" ht="12.3" x14ac:dyDescent="0.4">
      <c r="A299" s="2" t="s">
        <v>351</v>
      </c>
      <c r="B299" s="2"/>
      <c r="C299" s="2"/>
      <c r="D299" s="2"/>
      <c r="E299" s="2"/>
      <c r="F299" s="2"/>
      <c r="G299" s="2"/>
      <c r="H299" s="2"/>
      <c r="I299" s="2">
        <v>66.960099999999997</v>
      </c>
      <c r="J299" s="2">
        <v>160</v>
      </c>
      <c r="K299" s="2">
        <v>65.005600000000001</v>
      </c>
      <c r="L299" s="2">
        <v>233</v>
      </c>
      <c r="M299" s="2">
        <v>86.994200000000006</v>
      </c>
      <c r="N299" s="2">
        <v>327</v>
      </c>
      <c r="O299" s="2">
        <v>88.697999999999993</v>
      </c>
      <c r="P299" s="2">
        <v>324</v>
      </c>
      <c r="Q299" s="2">
        <v>96.187100000000001</v>
      </c>
      <c r="R299" s="2">
        <v>46</v>
      </c>
      <c r="S299" s="2">
        <v>101.7015</v>
      </c>
      <c r="T299" s="2">
        <v>153</v>
      </c>
      <c r="U299" s="2">
        <v>0.17175299999999999</v>
      </c>
      <c r="V299" s="2">
        <v>298</v>
      </c>
      <c r="W299" s="2">
        <v>2007</v>
      </c>
    </row>
    <row r="300" spans="1:23" ht="12.3" x14ac:dyDescent="0.4">
      <c r="A300" s="2" t="s">
        <v>223</v>
      </c>
      <c r="B300" s="2"/>
      <c r="C300" s="2"/>
      <c r="D300" s="2"/>
      <c r="E300" s="2"/>
      <c r="F300" s="2"/>
      <c r="G300" s="2"/>
      <c r="H300" s="2"/>
      <c r="I300" s="2">
        <v>71.659899999999993</v>
      </c>
      <c r="J300" s="2">
        <v>32</v>
      </c>
      <c r="K300" s="2">
        <v>70.158900000000003</v>
      </c>
      <c r="L300" s="2">
        <v>50</v>
      </c>
      <c r="M300" s="2">
        <v>95.213499999999996</v>
      </c>
      <c r="N300" s="2">
        <v>282</v>
      </c>
      <c r="O300" s="2">
        <v>92.993200000000002</v>
      </c>
      <c r="P300" s="2">
        <v>301</v>
      </c>
      <c r="Q300" s="2">
        <v>105.7921</v>
      </c>
      <c r="R300" s="2">
        <v>250</v>
      </c>
      <c r="S300" s="2">
        <v>106.6289</v>
      </c>
      <c r="T300" s="2">
        <v>246</v>
      </c>
      <c r="U300" s="2">
        <v>0.17171400000000001</v>
      </c>
      <c r="V300" s="2">
        <v>299</v>
      </c>
      <c r="W300" s="2">
        <v>2007</v>
      </c>
    </row>
    <row r="301" spans="1:23" ht="12.3" x14ac:dyDescent="0.4">
      <c r="A301" s="2" t="s">
        <v>338</v>
      </c>
      <c r="B301" s="2"/>
      <c r="C301" s="2"/>
      <c r="D301" s="2"/>
      <c r="E301" s="2"/>
      <c r="F301" s="2"/>
      <c r="G301" s="2"/>
      <c r="H301" s="2"/>
      <c r="I301" s="2">
        <v>68.363900000000001</v>
      </c>
      <c r="J301" s="2">
        <v>103</v>
      </c>
      <c r="K301" s="2">
        <v>67.228499999999997</v>
      </c>
      <c r="L301" s="2">
        <v>142</v>
      </c>
      <c r="M301" s="2">
        <v>86.795900000000003</v>
      </c>
      <c r="N301" s="2">
        <v>328</v>
      </c>
      <c r="O301" s="2">
        <v>88.529200000000003</v>
      </c>
      <c r="P301" s="2">
        <v>326</v>
      </c>
      <c r="Q301" s="2">
        <v>97.745099999999994</v>
      </c>
      <c r="R301" s="2">
        <v>69</v>
      </c>
      <c r="S301" s="2">
        <v>101.85039999999999</v>
      </c>
      <c r="T301" s="2">
        <v>156</v>
      </c>
      <c r="U301" s="2">
        <v>0.16631399999999999</v>
      </c>
      <c r="V301" s="2">
        <v>300</v>
      </c>
      <c r="W301" s="2">
        <v>2007</v>
      </c>
    </row>
    <row r="302" spans="1:23" ht="12.3" x14ac:dyDescent="0.4">
      <c r="A302" s="2" t="s">
        <v>343</v>
      </c>
      <c r="B302" s="2"/>
      <c r="C302" s="2"/>
      <c r="D302" s="2"/>
      <c r="E302" s="2"/>
      <c r="F302" s="2"/>
      <c r="G302" s="2"/>
      <c r="H302" s="2"/>
      <c r="I302" s="2">
        <v>67.975700000000003</v>
      </c>
      <c r="J302" s="2">
        <v>115</v>
      </c>
      <c r="K302" s="2">
        <v>68.127300000000005</v>
      </c>
      <c r="L302" s="2">
        <v>108</v>
      </c>
      <c r="M302" s="2">
        <v>97.234200000000001</v>
      </c>
      <c r="N302" s="2">
        <v>253</v>
      </c>
      <c r="O302" s="2">
        <v>95.647599999999997</v>
      </c>
      <c r="P302" s="2">
        <v>277</v>
      </c>
      <c r="Q302" s="2">
        <v>106.1901</v>
      </c>
      <c r="R302" s="2">
        <v>261</v>
      </c>
      <c r="S302" s="2">
        <v>110.08540000000001</v>
      </c>
      <c r="T302" s="2">
        <v>306</v>
      </c>
      <c r="U302" s="2">
        <v>0.165655</v>
      </c>
      <c r="V302" s="2">
        <v>301</v>
      </c>
      <c r="W302" s="2">
        <v>2007</v>
      </c>
    </row>
    <row r="303" spans="1:23" ht="12.3" x14ac:dyDescent="0.4">
      <c r="A303" s="2" t="s">
        <v>341</v>
      </c>
      <c r="B303" s="2"/>
      <c r="C303" s="2"/>
      <c r="D303" s="2"/>
      <c r="E303" s="2"/>
      <c r="F303" s="2"/>
      <c r="G303" s="2"/>
      <c r="H303" s="2"/>
      <c r="I303" s="2">
        <v>66.242000000000004</v>
      </c>
      <c r="J303" s="2">
        <v>195</v>
      </c>
      <c r="K303" s="2">
        <v>66.146199999999993</v>
      </c>
      <c r="L303" s="2">
        <v>190</v>
      </c>
      <c r="M303" s="2">
        <v>92.925700000000006</v>
      </c>
      <c r="N303" s="2">
        <v>302</v>
      </c>
      <c r="O303" s="2">
        <v>92.377399999999994</v>
      </c>
      <c r="P303" s="2">
        <v>308</v>
      </c>
      <c r="Q303" s="2">
        <v>106.06870000000001</v>
      </c>
      <c r="R303" s="2">
        <v>258</v>
      </c>
      <c r="S303" s="2">
        <v>106.38</v>
      </c>
      <c r="T303" s="2">
        <v>239</v>
      </c>
      <c r="U303" s="2">
        <v>0.16478300000000001</v>
      </c>
      <c r="V303" s="2">
        <v>302</v>
      </c>
      <c r="W303" s="2">
        <v>2007</v>
      </c>
    </row>
    <row r="304" spans="1:23" ht="12.3" x14ac:dyDescent="0.4">
      <c r="A304" s="2" t="s">
        <v>354</v>
      </c>
      <c r="B304" s="2"/>
      <c r="C304" s="2"/>
      <c r="D304" s="2"/>
      <c r="E304" s="2"/>
      <c r="F304" s="2"/>
      <c r="G304" s="2"/>
      <c r="H304" s="2"/>
      <c r="I304" s="2">
        <v>76.944100000000006</v>
      </c>
      <c r="J304" s="2">
        <v>2</v>
      </c>
      <c r="K304" s="2">
        <v>75.371600000000001</v>
      </c>
      <c r="L304" s="2">
        <v>3</v>
      </c>
      <c r="M304" s="2">
        <v>96.498699999999999</v>
      </c>
      <c r="N304" s="2">
        <v>265</v>
      </c>
      <c r="O304" s="2">
        <v>97.786799999999999</v>
      </c>
      <c r="P304" s="2">
        <v>245</v>
      </c>
      <c r="Q304" s="2">
        <v>110.0656</v>
      </c>
      <c r="R304" s="2">
        <v>318</v>
      </c>
      <c r="S304" s="2">
        <v>112.65989999999999</v>
      </c>
      <c r="T304" s="2">
        <v>327</v>
      </c>
      <c r="U304" s="2">
        <v>0.164076</v>
      </c>
      <c r="V304" s="2">
        <v>303</v>
      </c>
      <c r="W304" s="2">
        <v>2007</v>
      </c>
    </row>
    <row r="305" spans="1:23" ht="12.3" x14ac:dyDescent="0.4">
      <c r="A305" s="2" t="s">
        <v>318</v>
      </c>
      <c r="B305" s="2"/>
      <c r="C305" s="2"/>
      <c r="D305" s="2"/>
      <c r="E305" s="2"/>
      <c r="F305" s="2"/>
      <c r="G305" s="2"/>
      <c r="H305" s="2"/>
      <c r="I305" s="2">
        <v>73.457599999999999</v>
      </c>
      <c r="J305" s="2">
        <v>13</v>
      </c>
      <c r="K305" s="2">
        <v>72.597999999999999</v>
      </c>
      <c r="L305" s="2">
        <v>17</v>
      </c>
      <c r="M305" s="2">
        <v>96.459900000000005</v>
      </c>
      <c r="N305" s="2">
        <v>266</v>
      </c>
      <c r="O305" s="2">
        <v>95.534800000000004</v>
      </c>
      <c r="P305" s="2">
        <v>278</v>
      </c>
      <c r="Q305" s="2">
        <v>105.3216</v>
      </c>
      <c r="R305" s="2">
        <v>239</v>
      </c>
      <c r="S305" s="2">
        <v>110.18170000000001</v>
      </c>
      <c r="T305" s="2">
        <v>308</v>
      </c>
      <c r="U305" s="2">
        <v>0.162415</v>
      </c>
      <c r="V305" s="2">
        <v>304</v>
      </c>
      <c r="W305" s="2">
        <v>2007</v>
      </c>
    </row>
    <row r="306" spans="1:23" ht="12.3" x14ac:dyDescent="0.4">
      <c r="A306" s="2" t="s">
        <v>284</v>
      </c>
      <c r="B306" s="2"/>
      <c r="C306" s="2"/>
      <c r="D306" s="2"/>
      <c r="E306" s="2"/>
      <c r="F306" s="2"/>
      <c r="G306" s="2"/>
      <c r="H306" s="2"/>
      <c r="I306" s="2">
        <v>68.525400000000005</v>
      </c>
      <c r="J306" s="2">
        <v>99</v>
      </c>
      <c r="K306" s="2">
        <v>67.033699999999996</v>
      </c>
      <c r="L306" s="2">
        <v>150</v>
      </c>
      <c r="M306" s="2">
        <v>92.064499999999995</v>
      </c>
      <c r="N306" s="2">
        <v>309</v>
      </c>
      <c r="O306" s="2">
        <v>93.007000000000005</v>
      </c>
      <c r="P306" s="2">
        <v>300</v>
      </c>
      <c r="Q306" s="2">
        <v>107.2683</v>
      </c>
      <c r="R306" s="2">
        <v>281</v>
      </c>
      <c r="S306" s="2">
        <v>107.5882</v>
      </c>
      <c r="T306" s="2">
        <v>264</v>
      </c>
      <c r="U306" s="2">
        <v>0.15778200000000001</v>
      </c>
      <c r="V306" s="2">
        <v>305</v>
      </c>
      <c r="W306" s="2">
        <v>2007</v>
      </c>
    </row>
    <row r="307" spans="1:23" ht="12.3" x14ac:dyDescent="0.4">
      <c r="A307" s="2" t="s">
        <v>264</v>
      </c>
      <c r="B307" s="2"/>
      <c r="C307" s="2"/>
      <c r="D307" s="2"/>
      <c r="E307" s="2"/>
      <c r="F307" s="2"/>
      <c r="G307" s="2"/>
      <c r="H307" s="2"/>
      <c r="I307" s="2">
        <v>63.5715</v>
      </c>
      <c r="J307" s="2">
        <v>280</v>
      </c>
      <c r="K307" s="2">
        <v>64.619100000000003</v>
      </c>
      <c r="L307" s="2">
        <v>250</v>
      </c>
      <c r="M307" s="2">
        <v>95.239699999999999</v>
      </c>
      <c r="N307" s="2">
        <v>280</v>
      </c>
      <c r="O307" s="2">
        <v>93.173500000000004</v>
      </c>
      <c r="P307" s="2">
        <v>298</v>
      </c>
      <c r="Q307" s="2">
        <v>104.75109999999999</v>
      </c>
      <c r="R307" s="2">
        <v>225</v>
      </c>
      <c r="S307" s="2">
        <v>108.00190000000001</v>
      </c>
      <c r="T307" s="2">
        <v>272</v>
      </c>
      <c r="U307" s="2">
        <v>0.15467600000000001</v>
      </c>
      <c r="V307" s="2">
        <v>306</v>
      </c>
      <c r="W307" s="2">
        <v>2007</v>
      </c>
    </row>
    <row r="308" spans="1:23" ht="12.3" x14ac:dyDescent="0.4">
      <c r="A308" s="2" t="s">
        <v>304</v>
      </c>
      <c r="B308" s="2"/>
      <c r="C308" s="2"/>
      <c r="D308" s="2"/>
      <c r="E308" s="2"/>
      <c r="F308" s="2"/>
      <c r="G308" s="2"/>
      <c r="H308" s="2"/>
      <c r="I308" s="2">
        <v>67.752799999999993</v>
      </c>
      <c r="J308" s="2">
        <v>126</v>
      </c>
      <c r="K308" s="2">
        <v>67.341099999999997</v>
      </c>
      <c r="L308" s="2">
        <v>134</v>
      </c>
      <c r="M308" s="2">
        <v>90.584999999999994</v>
      </c>
      <c r="N308" s="2">
        <v>316</v>
      </c>
      <c r="O308" s="2">
        <v>92.606200000000001</v>
      </c>
      <c r="P308" s="2">
        <v>305</v>
      </c>
      <c r="Q308" s="2">
        <v>109.56619999999999</v>
      </c>
      <c r="R308" s="2">
        <v>306</v>
      </c>
      <c r="S308" s="2">
        <v>107.6562</v>
      </c>
      <c r="T308" s="2">
        <v>265</v>
      </c>
      <c r="U308" s="2">
        <v>0.150365</v>
      </c>
      <c r="V308" s="2">
        <v>307</v>
      </c>
      <c r="W308" s="2">
        <v>2007</v>
      </c>
    </row>
    <row r="309" spans="1:23" ht="12.3" x14ac:dyDescent="0.4">
      <c r="A309" s="2" t="s">
        <v>273</v>
      </c>
      <c r="B309" s="2"/>
      <c r="C309" s="2"/>
      <c r="D309" s="2"/>
      <c r="E309" s="2"/>
      <c r="F309" s="2"/>
      <c r="G309" s="2"/>
      <c r="H309" s="2"/>
      <c r="I309" s="2">
        <v>66.809700000000007</v>
      </c>
      <c r="J309" s="2">
        <v>166</v>
      </c>
      <c r="K309" s="2">
        <v>69.206999999999994</v>
      </c>
      <c r="L309" s="2">
        <v>74</v>
      </c>
      <c r="M309" s="2">
        <v>94.397099999999995</v>
      </c>
      <c r="N309" s="2">
        <v>290</v>
      </c>
      <c r="O309" s="2">
        <v>96.962299999999999</v>
      </c>
      <c r="P309" s="2">
        <v>257</v>
      </c>
      <c r="Q309" s="2">
        <v>110.0073</v>
      </c>
      <c r="R309" s="2">
        <v>317</v>
      </c>
      <c r="S309" s="2">
        <v>112.79389999999999</v>
      </c>
      <c r="T309" s="2">
        <v>329</v>
      </c>
      <c r="U309" s="2">
        <v>0.14940700000000001</v>
      </c>
      <c r="V309" s="2">
        <v>308</v>
      </c>
      <c r="W309" s="2">
        <v>2007</v>
      </c>
    </row>
    <row r="310" spans="1:23" ht="12.3" x14ac:dyDescent="0.4">
      <c r="A310" s="2" t="s">
        <v>298</v>
      </c>
      <c r="B310" s="2"/>
      <c r="C310" s="2"/>
      <c r="D310" s="2"/>
      <c r="E310" s="2"/>
      <c r="F310" s="2"/>
      <c r="G310" s="2"/>
      <c r="H310" s="2"/>
      <c r="I310" s="2">
        <v>66.641900000000007</v>
      </c>
      <c r="J310" s="2">
        <v>177</v>
      </c>
      <c r="K310" s="2">
        <v>65.644499999999994</v>
      </c>
      <c r="L310" s="2">
        <v>208</v>
      </c>
      <c r="M310" s="2">
        <v>96.764099999999999</v>
      </c>
      <c r="N310" s="2">
        <v>260</v>
      </c>
      <c r="O310" s="2">
        <v>96.400599999999997</v>
      </c>
      <c r="P310" s="2">
        <v>266</v>
      </c>
      <c r="Q310" s="2">
        <v>108.77549999999999</v>
      </c>
      <c r="R310" s="2">
        <v>295</v>
      </c>
      <c r="S310" s="2">
        <v>112.74760000000001</v>
      </c>
      <c r="T310" s="2">
        <v>328</v>
      </c>
      <c r="U310" s="2">
        <v>0.14168600000000001</v>
      </c>
      <c r="V310" s="2">
        <v>309</v>
      </c>
      <c r="W310" s="2">
        <v>2007</v>
      </c>
    </row>
    <row r="311" spans="1:23" ht="12.3" x14ac:dyDescent="0.4">
      <c r="A311" s="2" t="s">
        <v>285</v>
      </c>
      <c r="B311" s="2"/>
      <c r="C311" s="2"/>
      <c r="D311" s="2"/>
      <c r="E311" s="2"/>
      <c r="F311" s="2"/>
      <c r="G311" s="2"/>
      <c r="H311" s="2"/>
      <c r="I311" s="2">
        <v>64.060100000000006</v>
      </c>
      <c r="J311" s="2">
        <v>265</v>
      </c>
      <c r="K311" s="2">
        <v>64.474100000000007</v>
      </c>
      <c r="L311" s="2">
        <v>256</v>
      </c>
      <c r="M311" s="2">
        <v>92.8048</v>
      </c>
      <c r="N311" s="2">
        <v>304</v>
      </c>
      <c r="O311" s="2">
        <v>91.543099999999995</v>
      </c>
      <c r="P311" s="2">
        <v>313</v>
      </c>
      <c r="Q311" s="2">
        <v>108.169</v>
      </c>
      <c r="R311" s="2">
        <v>289</v>
      </c>
      <c r="S311" s="2">
        <v>107.3621</v>
      </c>
      <c r="T311" s="2">
        <v>258</v>
      </c>
      <c r="U311" s="2">
        <v>0.137873</v>
      </c>
      <c r="V311" s="2">
        <v>310</v>
      </c>
      <c r="W311" s="2">
        <v>2007</v>
      </c>
    </row>
    <row r="312" spans="1:23" ht="12.3" x14ac:dyDescent="0.4">
      <c r="A312" s="2" t="s">
        <v>329</v>
      </c>
      <c r="B312" s="2"/>
      <c r="C312" s="2"/>
      <c r="D312" s="2"/>
      <c r="E312" s="2"/>
      <c r="F312" s="2"/>
      <c r="G312" s="2"/>
      <c r="H312" s="2"/>
      <c r="I312" s="2">
        <v>69.884299999999996</v>
      </c>
      <c r="J312" s="2">
        <v>69</v>
      </c>
      <c r="K312" s="2">
        <v>68.409199999999998</v>
      </c>
      <c r="L312" s="2">
        <v>101</v>
      </c>
      <c r="M312" s="2">
        <v>91.028700000000001</v>
      </c>
      <c r="N312" s="2">
        <v>313</v>
      </c>
      <c r="O312" s="2">
        <v>93.612099999999998</v>
      </c>
      <c r="P312" s="2">
        <v>292</v>
      </c>
      <c r="Q312" s="2">
        <v>100.2573</v>
      </c>
      <c r="R312" s="2">
        <v>120</v>
      </c>
      <c r="S312" s="2">
        <v>109.831</v>
      </c>
      <c r="T312" s="2">
        <v>301</v>
      </c>
      <c r="U312" s="2">
        <v>0.137346</v>
      </c>
      <c r="V312" s="2">
        <v>311</v>
      </c>
      <c r="W312" s="2">
        <v>2007</v>
      </c>
    </row>
    <row r="313" spans="1:23" ht="12.3" x14ac:dyDescent="0.4">
      <c r="A313" s="2" t="s">
        <v>358</v>
      </c>
      <c r="B313" s="2"/>
      <c r="C313" s="2"/>
      <c r="D313" s="2"/>
      <c r="E313" s="2"/>
      <c r="F313" s="2"/>
      <c r="G313" s="2"/>
      <c r="H313" s="2"/>
      <c r="I313" s="2">
        <v>69.713899999999995</v>
      </c>
      <c r="J313" s="2">
        <v>70</v>
      </c>
      <c r="K313" s="2">
        <v>68.776899999999998</v>
      </c>
      <c r="L313" s="2">
        <v>87</v>
      </c>
      <c r="M313" s="2">
        <v>95.027699999999996</v>
      </c>
      <c r="N313" s="2">
        <v>285</v>
      </c>
      <c r="O313" s="2">
        <v>92.975999999999999</v>
      </c>
      <c r="P313" s="2">
        <v>302</v>
      </c>
      <c r="Q313" s="2">
        <v>109.2491</v>
      </c>
      <c r="R313" s="2">
        <v>303</v>
      </c>
      <c r="S313" s="2">
        <v>109.28230000000001</v>
      </c>
      <c r="T313" s="2">
        <v>296</v>
      </c>
      <c r="U313" s="2">
        <v>0.13489799999999999</v>
      </c>
      <c r="V313" s="2">
        <v>312</v>
      </c>
      <c r="W313" s="2">
        <v>2007</v>
      </c>
    </row>
    <row r="314" spans="1:23" ht="12.3" x14ac:dyDescent="0.4">
      <c r="A314" s="2" t="s">
        <v>206</v>
      </c>
      <c r="B314" s="2"/>
      <c r="C314" s="2"/>
      <c r="D314" s="2"/>
      <c r="E314" s="2"/>
      <c r="F314" s="2"/>
      <c r="G314" s="2"/>
      <c r="H314" s="2"/>
      <c r="I314" s="2">
        <v>64.785799999999995</v>
      </c>
      <c r="J314" s="2">
        <v>250</v>
      </c>
      <c r="K314" s="2">
        <v>64.580200000000005</v>
      </c>
      <c r="L314" s="2">
        <v>251</v>
      </c>
      <c r="M314" s="2">
        <v>88.457400000000007</v>
      </c>
      <c r="N314" s="2">
        <v>324</v>
      </c>
      <c r="O314" s="2">
        <v>90.680099999999996</v>
      </c>
      <c r="P314" s="2">
        <v>317</v>
      </c>
      <c r="Q314" s="2">
        <v>106.90130000000001</v>
      </c>
      <c r="R314" s="2">
        <v>276</v>
      </c>
      <c r="S314" s="2">
        <v>106.90009999999999</v>
      </c>
      <c r="T314" s="2">
        <v>250</v>
      </c>
      <c r="U314" s="2">
        <v>0.13097</v>
      </c>
      <c r="V314" s="2">
        <v>313</v>
      </c>
      <c r="W314" s="2">
        <v>2007</v>
      </c>
    </row>
    <row r="315" spans="1:23" ht="12.3" x14ac:dyDescent="0.4">
      <c r="A315" s="2" t="s">
        <v>297</v>
      </c>
      <c r="B315" s="2"/>
      <c r="C315" s="2"/>
      <c r="D315" s="2"/>
      <c r="E315" s="2"/>
      <c r="F315" s="2"/>
      <c r="G315" s="2"/>
      <c r="H315" s="2"/>
      <c r="I315" s="2">
        <v>66.33</v>
      </c>
      <c r="J315" s="2">
        <v>192</v>
      </c>
      <c r="K315" s="2">
        <v>64.894000000000005</v>
      </c>
      <c r="L315" s="2">
        <v>241</v>
      </c>
      <c r="M315" s="2">
        <v>90.2547</v>
      </c>
      <c r="N315" s="2">
        <v>319</v>
      </c>
      <c r="O315" s="2">
        <v>90.883399999999995</v>
      </c>
      <c r="P315" s="2">
        <v>315</v>
      </c>
      <c r="Q315" s="2">
        <v>99.734200000000001</v>
      </c>
      <c r="R315" s="2">
        <v>109</v>
      </c>
      <c r="S315" s="2">
        <v>107.161</v>
      </c>
      <c r="T315" s="2">
        <v>253</v>
      </c>
      <c r="U315" s="2">
        <v>0.13071199999999999</v>
      </c>
      <c r="V315" s="2">
        <v>314</v>
      </c>
      <c r="W315" s="2">
        <v>2007</v>
      </c>
    </row>
    <row r="316" spans="1:23" ht="12.3" x14ac:dyDescent="0.4">
      <c r="A316" s="2" t="s">
        <v>280</v>
      </c>
      <c r="B316" s="2"/>
      <c r="C316" s="2"/>
      <c r="D316" s="2"/>
      <c r="E316" s="2"/>
      <c r="F316" s="2"/>
      <c r="G316" s="2"/>
      <c r="H316" s="2"/>
      <c r="I316" s="2">
        <v>66.739999999999995</v>
      </c>
      <c r="J316" s="2">
        <v>172</v>
      </c>
      <c r="K316" s="2">
        <v>67.578299999999999</v>
      </c>
      <c r="L316" s="2">
        <v>126</v>
      </c>
      <c r="M316" s="2">
        <v>94.644000000000005</v>
      </c>
      <c r="N316" s="2">
        <v>289</v>
      </c>
      <c r="O316" s="2">
        <v>93.033500000000004</v>
      </c>
      <c r="P316" s="2">
        <v>299</v>
      </c>
      <c r="Q316" s="2">
        <v>105.53400000000001</v>
      </c>
      <c r="R316" s="2">
        <v>244</v>
      </c>
      <c r="S316" s="2">
        <v>109.9228</v>
      </c>
      <c r="T316" s="2">
        <v>303</v>
      </c>
      <c r="U316" s="2">
        <v>0.12803899999999999</v>
      </c>
      <c r="V316" s="2">
        <v>315</v>
      </c>
      <c r="W316" s="2">
        <v>2007</v>
      </c>
    </row>
    <row r="317" spans="1:23" ht="12.3" x14ac:dyDescent="0.4">
      <c r="A317" s="2" t="s">
        <v>357</v>
      </c>
      <c r="B317" s="2"/>
      <c r="C317" s="2"/>
      <c r="D317" s="2"/>
      <c r="E317" s="2"/>
      <c r="F317" s="2"/>
      <c r="G317" s="2"/>
      <c r="H317" s="2"/>
      <c r="I317" s="2">
        <v>71.669799999999995</v>
      </c>
      <c r="J317" s="2">
        <v>31</v>
      </c>
      <c r="K317" s="2">
        <v>69.810900000000004</v>
      </c>
      <c r="L317" s="2">
        <v>58</v>
      </c>
      <c r="M317" s="2">
        <v>92.137799999999999</v>
      </c>
      <c r="N317" s="2">
        <v>308</v>
      </c>
      <c r="O317" s="2">
        <v>91.928600000000003</v>
      </c>
      <c r="P317" s="2">
        <v>312</v>
      </c>
      <c r="Q317" s="2">
        <v>109.6026</v>
      </c>
      <c r="R317" s="2">
        <v>308</v>
      </c>
      <c r="S317" s="2">
        <v>108.68129999999999</v>
      </c>
      <c r="T317" s="2">
        <v>290</v>
      </c>
      <c r="U317" s="2">
        <v>0.12728500000000001</v>
      </c>
      <c r="V317" s="2">
        <v>316</v>
      </c>
      <c r="W317" s="2">
        <v>2007</v>
      </c>
    </row>
    <row r="318" spans="1:23" ht="12.3" x14ac:dyDescent="0.4">
      <c r="A318" s="2" t="s">
        <v>185</v>
      </c>
      <c r="B318" s="2"/>
      <c r="C318" s="2"/>
      <c r="D318" s="2"/>
      <c r="E318" s="2"/>
      <c r="F318" s="2"/>
      <c r="G318" s="2"/>
      <c r="H318" s="2"/>
      <c r="I318" s="2">
        <v>66.426199999999994</v>
      </c>
      <c r="J318" s="2">
        <v>187</v>
      </c>
      <c r="K318" s="2">
        <v>64.469499999999996</v>
      </c>
      <c r="L318" s="2">
        <v>257</v>
      </c>
      <c r="M318" s="2">
        <v>86.096299999999999</v>
      </c>
      <c r="N318" s="2">
        <v>329</v>
      </c>
      <c r="O318" s="2">
        <v>86.122</v>
      </c>
      <c r="P318" s="2">
        <v>330</v>
      </c>
      <c r="Q318" s="2">
        <v>102.58499999999999</v>
      </c>
      <c r="R318" s="2">
        <v>173</v>
      </c>
      <c r="S318" s="2">
        <v>101.87560000000001</v>
      </c>
      <c r="T318" s="2">
        <v>157</v>
      </c>
      <c r="U318" s="2">
        <v>0.12654499999999999</v>
      </c>
      <c r="V318" s="2">
        <v>317</v>
      </c>
      <c r="W318" s="2">
        <v>2007</v>
      </c>
    </row>
    <row r="319" spans="1:23" ht="12.3" x14ac:dyDescent="0.4">
      <c r="A319" s="2" t="s">
        <v>335</v>
      </c>
      <c r="B319" s="2"/>
      <c r="C319" s="2"/>
      <c r="D319" s="2"/>
      <c r="E319" s="2"/>
      <c r="F319" s="2"/>
      <c r="G319" s="2"/>
      <c r="H319" s="2"/>
      <c r="I319" s="2">
        <v>65.581299999999999</v>
      </c>
      <c r="J319" s="2">
        <v>220</v>
      </c>
      <c r="K319" s="2">
        <v>64.898600000000002</v>
      </c>
      <c r="L319" s="2">
        <v>240</v>
      </c>
      <c r="M319" s="2">
        <v>91.1905</v>
      </c>
      <c r="N319" s="2">
        <v>312</v>
      </c>
      <c r="O319" s="2">
        <v>87.168000000000006</v>
      </c>
      <c r="P319" s="2">
        <v>328</v>
      </c>
      <c r="Q319" s="2">
        <v>101.6093</v>
      </c>
      <c r="R319" s="2">
        <v>157</v>
      </c>
      <c r="S319" s="2">
        <v>103.12869999999999</v>
      </c>
      <c r="T319" s="2">
        <v>172</v>
      </c>
      <c r="U319" s="2">
        <v>0.12634999999999999</v>
      </c>
      <c r="V319" s="2">
        <v>318</v>
      </c>
      <c r="W319" s="2">
        <v>2007</v>
      </c>
    </row>
    <row r="320" spans="1:23" ht="12.3" x14ac:dyDescent="0.4">
      <c r="A320" s="2" t="s">
        <v>320</v>
      </c>
      <c r="B320" s="2"/>
      <c r="C320" s="2"/>
      <c r="D320" s="2"/>
      <c r="E320" s="2"/>
      <c r="F320" s="2"/>
      <c r="G320" s="2"/>
      <c r="H320" s="2"/>
      <c r="I320" s="2">
        <v>67.168499999999995</v>
      </c>
      <c r="J320" s="2">
        <v>153</v>
      </c>
      <c r="K320" s="2">
        <v>67.271799999999999</v>
      </c>
      <c r="L320" s="2">
        <v>140</v>
      </c>
      <c r="M320" s="2">
        <v>97.179100000000005</v>
      </c>
      <c r="N320" s="2">
        <v>254</v>
      </c>
      <c r="O320" s="2">
        <v>96.460300000000004</v>
      </c>
      <c r="P320" s="2">
        <v>263</v>
      </c>
      <c r="Q320" s="2">
        <v>110.1695</v>
      </c>
      <c r="R320" s="2">
        <v>319</v>
      </c>
      <c r="S320" s="2">
        <v>114.24460000000001</v>
      </c>
      <c r="T320" s="2">
        <v>334</v>
      </c>
      <c r="U320" s="2">
        <v>0.124999</v>
      </c>
      <c r="V320" s="2">
        <v>319</v>
      </c>
      <c r="W320" s="2">
        <v>2007</v>
      </c>
    </row>
    <row r="321" spans="1:23" ht="12.3" x14ac:dyDescent="0.4">
      <c r="A321" s="2" t="s">
        <v>362</v>
      </c>
      <c r="B321" s="2"/>
      <c r="C321" s="2"/>
      <c r="D321" s="2"/>
      <c r="E321" s="2"/>
      <c r="F321" s="2"/>
      <c r="G321" s="2"/>
      <c r="H321" s="2"/>
      <c r="I321" s="2">
        <v>66.608500000000006</v>
      </c>
      <c r="J321" s="2">
        <v>179</v>
      </c>
      <c r="K321" s="2">
        <v>65.808099999999996</v>
      </c>
      <c r="L321" s="2">
        <v>203</v>
      </c>
      <c r="M321" s="2">
        <v>93.212299999999999</v>
      </c>
      <c r="N321" s="2">
        <v>299</v>
      </c>
      <c r="O321" s="2">
        <v>93.402199999999993</v>
      </c>
      <c r="P321" s="2">
        <v>295</v>
      </c>
      <c r="Q321" s="2">
        <v>109.4897</v>
      </c>
      <c r="R321" s="2">
        <v>305</v>
      </c>
      <c r="S321" s="2">
        <v>110.75239999999999</v>
      </c>
      <c r="T321" s="2">
        <v>314</v>
      </c>
      <c r="U321" s="2">
        <v>0.123533</v>
      </c>
      <c r="V321" s="2">
        <v>320</v>
      </c>
      <c r="W321" s="2">
        <v>2007</v>
      </c>
    </row>
    <row r="322" spans="1:23" ht="12.3" x14ac:dyDescent="0.4">
      <c r="A322" s="2" t="s">
        <v>325</v>
      </c>
      <c r="B322" s="2"/>
      <c r="C322" s="2"/>
      <c r="D322" s="2"/>
      <c r="E322" s="2"/>
      <c r="F322" s="2"/>
      <c r="G322" s="2"/>
      <c r="H322" s="2"/>
      <c r="I322" s="2">
        <v>71.744500000000002</v>
      </c>
      <c r="J322" s="2">
        <v>30</v>
      </c>
      <c r="K322" s="2">
        <v>69.780699999999996</v>
      </c>
      <c r="L322" s="2">
        <v>59</v>
      </c>
      <c r="M322" s="2">
        <v>88.715299999999999</v>
      </c>
      <c r="N322" s="2">
        <v>323</v>
      </c>
      <c r="O322" s="2">
        <v>89.857600000000005</v>
      </c>
      <c r="P322" s="2">
        <v>322</v>
      </c>
      <c r="Q322" s="2">
        <v>99.538499999999999</v>
      </c>
      <c r="R322" s="2">
        <v>105</v>
      </c>
      <c r="S322" s="2">
        <v>106.974</v>
      </c>
      <c r="T322" s="2">
        <v>252</v>
      </c>
      <c r="U322" s="2">
        <v>0.11866500000000001</v>
      </c>
      <c r="V322" s="2">
        <v>321</v>
      </c>
      <c r="W322" s="2">
        <v>2007</v>
      </c>
    </row>
    <row r="323" spans="1:23" ht="12.3" x14ac:dyDescent="0.4">
      <c r="A323" s="2" t="s">
        <v>359</v>
      </c>
      <c r="B323" s="2"/>
      <c r="C323" s="2"/>
      <c r="D323" s="2"/>
      <c r="E323" s="2"/>
      <c r="F323" s="2"/>
      <c r="G323" s="2"/>
      <c r="H323" s="2"/>
      <c r="I323" s="2">
        <v>70.956100000000006</v>
      </c>
      <c r="J323" s="2">
        <v>45</v>
      </c>
      <c r="K323" s="2">
        <v>70.715000000000003</v>
      </c>
      <c r="L323" s="2">
        <v>40</v>
      </c>
      <c r="M323" s="2">
        <v>88.913200000000003</v>
      </c>
      <c r="N323" s="2">
        <v>322</v>
      </c>
      <c r="O323" s="2">
        <v>90.846900000000005</v>
      </c>
      <c r="P323" s="2">
        <v>316</v>
      </c>
      <c r="Q323" s="2">
        <v>104.7488</v>
      </c>
      <c r="R323" s="2">
        <v>224</v>
      </c>
      <c r="S323" s="2">
        <v>109.01600000000001</v>
      </c>
      <c r="T323" s="2">
        <v>293</v>
      </c>
      <c r="U323" s="2">
        <v>0.109421</v>
      </c>
      <c r="V323" s="2">
        <v>322</v>
      </c>
      <c r="W323" s="2">
        <v>2007</v>
      </c>
    </row>
    <row r="324" spans="1:23" ht="12.3" x14ac:dyDescent="0.4">
      <c r="A324" s="2" t="s">
        <v>241</v>
      </c>
      <c r="B324" s="2"/>
      <c r="C324" s="2"/>
      <c r="D324" s="2"/>
      <c r="E324" s="2"/>
      <c r="F324" s="2"/>
      <c r="G324" s="2"/>
      <c r="H324" s="2"/>
      <c r="I324" s="2">
        <v>66.081199999999995</v>
      </c>
      <c r="J324" s="2">
        <v>204</v>
      </c>
      <c r="K324" s="2">
        <v>66.203800000000001</v>
      </c>
      <c r="L324" s="2">
        <v>189</v>
      </c>
      <c r="M324" s="2">
        <v>87.702799999999996</v>
      </c>
      <c r="N324" s="2">
        <v>326</v>
      </c>
      <c r="O324" s="2">
        <v>87.2102</v>
      </c>
      <c r="P324" s="2">
        <v>327</v>
      </c>
      <c r="Q324" s="2">
        <v>104.5612</v>
      </c>
      <c r="R324" s="2">
        <v>217</v>
      </c>
      <c r="S324" s="2">
        <v>105.3207</v>
      </c>
      <c r="T324" s="2">
        <v>220</v>
      </c>
      <c r="U324" s="2">
        <v>0.10248400000000001</v>
      </c>
      <c r="V324" s="2">
        <v>323</v>
      </c>
      <c r="W324" s="2">
        <v>2007</v>
      </c>
    </row>
    <row r="325" spans="1:23" ht="12.3" x14ac:dyDescent="0.4">
      <c r="A325" s="2" t="s">
        <v>286</v>
      </c>
      <c r="B325" s="2"/>
      <c r="C325" s="2"/>
      <c r="D325" s="2"/>
      <c r="E325" s="2"/>
      <c r="F325" s="2"/>
      <c r="G325" s="2"/>
      <c r="H325" s="2"/>
      <c r="I325" s="2">
        <v>68.045299999999997</v>
      </c>
      <c r="J325" s="2">
        <v>112</v>
      </c>
      <c r="K325" s="2">
        <v>67.293499999999995</v>
      </c>
      <c r="L325" s="2">
        <v>138</v>
      </c>
      <c r="M325" s="2">
        <v>94.130899999999997</v>
      </c>
      <c r="N325" s="2">
        <v>293</v>
      </c>
      <c r="O325" s="2">
        <v>92.187100000000001</v>
      </c>
      <c r="P325" s="2">
        <v>310</v>
      </c>
      <c r="Q325" s="2">
        <v>111.5939</v>
      </c>
      <c r="R325" s="2">
        <v>326</v>
      </c>
      <c r="S325" s="2">
        <v>111.45529999999999</v>
      </c>
      <c r="T325" s="2">
        <v>320</v>
      </c>
      <c r="U325" s="2">
        <v>0.101311</v>
      </c>
      <c r="V325" s="2">
        <v>324</v>
      </c>
      <c r="W325" s="2">
        <v>2007</v>
      </c>
    </row>
    <row r="326" spans="1:23" ht="12.3" x14ac:dyDescent="0.4">
      <c r="A326" s="2" t="s">
        <v>261</v>
      </c>
      <c r="B326" s="2"/>
      <c r="C326" s="2"/>
      <c r="D326" s="2"/>
      <c r="E326" s="2"/>
      <c r="F326" s="2"/>
      <c r="G326" s="2"/>
      <c r="H326" s="2"/>
      <c r="I326" s="2">
        <v>72.436000000000007</v>
      </c>
      <c r="J326" s="2">
        <v>22</v>
      </c>
      <c r="K326" s="2">
        <v>70.534199999999998</v>
      </c>
      <c r="L326" s="2">
        <v>43</v>
      </c>
      <c r="M326" s="2">
        <v>91.014799999999994</v>
      </c>
      <c r="N326" s="2">
        <v>314</v>
      </c>
      <c r="O326" s="2">
        <v>92.031400000000005</v>
      </c>
      <c r="P326" s="2">
        <v>311</v>
      </c>
      <c r="Q326" s="2">
        <v>103.4742</v>
      </c>
      <c r="R326" s="2">
        <v>194</v>
      </c>
      <c r="S326" s="2">
        <v>111.3368</v>
      </c>
      <c r="T326" s="2">
        <v>318</v>
      </c>
      <c r="U326" s="2">
        <v>0.100657</v>
      </c>
      <c r="V326" s="2">
        <v>325</v>
      </c>
      <c r="W326" s="2">
        <v>2007</v>
      </c>
    </row>
    <row r="327" spans="1:23" ht="12.3" x14ac:dyDescent="0.4">
      <c r="A327" s="2" t="s">
        <v>305</v>
      </c>
      <c r="B327" s="2"/>
      <c r="C327" s="2"/>
      <c r="D327" s="2"/>
      <c r="E327" s="2"/>
      <c r="F327" s="2"/>
      <c r="G327" s="2"/>
      <c r="H327" s="2"/>
      <c r="I327" s="2">
        <v>67.585999999999999</v>
      </c>
      <c r="J327" s="2">
        <v>132</v>
      </c>
      <c r="K327" s="2">
        <v>64.996600000000001</v>
      </c>
      <c r="L327" s="2">
        <v>234</v>
      </c>
      <c r="M327" s="2">
        <v>93.888000000000005</v>
      </c>
      <c r="N327" s="2">
        <v>295</v>
      </c>
      <c r="O327" s="2">
        <v>94.024799999999999</v>
      </c>
      <c r="P327" s="2">
        <v>289</v>
      </c>
      <c r="Q327" s="2">
        <v>111.4936</v>
      </c>
      <c r="R327" s="2">
        <v>324</v>
      </c>
      <c r="S327" s="2">
        <v>114.327</v>
      </c>
      <c r="T327" s="2">
        <v>335</v>
      </c>
      <c r="U327" s="2">
        <v>9.5495999999999998E-2</v>
      </c>
      <c r="V327" s="2">
        <v>326</v>
      </c>
      <c r="W327" s="2">
        <v>2007</v>
      </c>
    </row>
    <row r="328" spans="1:23" ht="12.3" x14ac:dyDescent="0.4">
      <c r="A328" s="2" t="s">
        <v>365</v>
      </c>
      <c r="B328" s="2" t="e">
        <v>#N/A</v>
      </c>
      <c r="C328" s="2"/>
      <c r="D328" s="2"/>
      <c r="E328" s="2"/>
      <c r="F328" s="2"/>
      <c r="G328" s="2"/>
      <c r="H328" s="2"/>
      <c r="I328" s="2">
        <v>69.503799999999998</v>
      </c>
      <c r="J328" s="2">
        <v>77</v>
      </c>
      <c r="K328" s="2">
        <v>69.461299999999994</v>
      </c>
      <c r="L328" s="2">
        <v>68</v>
      </c>
      <c r="M328" s="2">
        <v>82.196200000000005</v>
      </c>
      <c r="N328" s="2">
        <v>335</v>
      </c>
      <c r="O328" s="2">
        <v>88.584400000000002</v>
      </c>
      <c r="P328" s="2">
        <v>325</v>
      </c>
      <c r="Q328" s="2">
        <v>111.5467</v>
      </c>
      <c r="R328" s="2">
        <v>325</v>
      </c>
      <c r="S328" s="2">
        <v>107.8236</v>
      </c>
      <c r="T328" s="2">
        <v>268</v>
      </c>
      <c r="U328" s="2">
        <v>9.4470999999999999E-2</v>
      </c>
      <c r="V328" s="2">
        <v>327</v>
      </c>
      <c r="W328" s="2">
        <v>2007</v>
      </c>
    </row>
    <row r="329" spans="1:23" ht="12.3" x14ac:dyDescent="0.4">
      <c r="A329" s="2" t="s">
        <v>179</v>
      </c>
      <c r="B329" s="2"/>
      <c r="C329" s="2"/>
      <c r="D329" s="2"/>
      <c r="E329" s="2"/>
      <c r="F329" s="2"/>
      <c r="G329" s="2"/>
      <c r="H329" s="2"/>
      <c r="I329" s="2">
        <v>61.1006</v>
      </c>
      <c r="J329" s="2">
        <v>320</v>
      </c>
      <c r="K329" s="2">
        <v>60.7151</v>
      </c>
      <c r="L329" s="2">
        <v>324</v>
      </c>
      <c r="M329" s="2">
        <v>89.155699999999996</v>
      </c>
      <c r="N329" s="2">
        <v>321</v>
      </c>
      <c r="O329" s="2">
        <v>89.948400000000007</v>
      </c>
      <c r="P329" s="2">
        <v>321</v>
      </c>
      <c r="Q329" s="2">
        <v>111.9914</v>
      </c>
      <c r="R329" s="2">
        <v>328</v>
      </c>
      <c r="S329" s="2">
        <v>110.08450000000001</v>
      </c>
      <c r="T329" s="2">
        <v>305</v>
      </c>
      <c r="U329" s="2">
        <v>8.9224999999999999E-2</v>
      </c>
      <c r="V329" s="2">
        <v>328</v>
      </c>
      <c r="W329" s="2">
        <v>2007</v>
      </c>
    </row>
    <row r="330" spans="1:23" ht="12.3" x14ac:dyDescent="0.4">
      <c r="A330" s="2" t="s">
        <v>352</v>
      </c>
      <c r="B330" s="2" t="e">
        <v>#N/A</v>
      </c>
      <c r="C330" s="2"/>
      <c r="D330" s="2"/>
      <c r="E330" s="2"/>
      <c r="F330" s="2"/>
      <c r="G330" s="2"/>
      <c r="H330" s="2"/>
      <c r="I330" s="2">
        <v>65.716300000000004</v>
      </c>
      <c r="J330" s="2">
        <v>216</v>
      </c>
      <c r="K330" s="2">
        <v>65.532799999999995</v>
      </c>
      <c r="L330" s="2">
        <v>213</v>
      </c>
      <c r="M330" s="2">
        <v>85.259699999999995</v>
      </c>
      <c r="N330" s="2">
        <v>332</v>
      </c>
      <c r="O330" s="2">
        <v>85.660499999999999</v>
      </c>
      <c r="P330" s="2">
        <v>331</v>
      </c>
      <c r="Q330" s="2">
        <v>103.0959</v>
      </c>
      <c r="R330" s="2">
        <v>189</v>
      </c>
      <c r="S330" s="2">
        <v>104.93259999999999</v>
      </c>
      <c r="T330" s="2">
        <v>214</v>
      </c>
      <c r="U330" s="2">
        <v>8.8373999999999994E-2</v>
      </c>
      <c r="V330" s="2">
        <v>329</v>
      </c>
      <c r="W330" s="2">
        <v>2007</v>
      </c>
    </row>
    <row r="331" spans="1:23" ht="12.3" x14ac:dyDescent="0.4">
      <c r="A331" s="2" t="s">
        <v>242</v>
      </c>
      <c r="B331" s="2" t="e">
        <v>#N/A</v>
      </c>
      <c r="C331" s="2"/>
      <c r="D331" s="2"/>
      <c r="E331" s="2"/>
      <c r="F331" s="2"/>
      <c r="G331" s="2"/>
      <c r="H331" s="2"/>
      <c r="I331" s="2">
        <v>66.278300000000002</v>
      </c>
      <c r="J331" s="2">
        <v>194</v>
      </c>
      <c r="K331" s="2">
        <v>64.883399999999995</v>
      </c>
      <c r="L331" s="2">
        <v>242</v>
      </c>
      <c r="M331" s="2">
        <v>96.270899999999997</v>
      </c>
      <c r="N331" s="2">
        <v>269</v>
      </c>
      <c r="O331" s="2">
        <v>93.492000000000004</v>
      </c>
      <c r="P331" s="2">
        <v>294</v>
      </c>
      <c r="Q331" s="2">
        <v>107.87649999999999</v>
      </c>
      <c r="R331" s="2">
        <v>287</v>
      </c>
      <c r="S331" s="2">
        <v>114.7265</v>
      </c>
      <c r="T331" s="2">
        <v>336</v>
      </c>
      <c r="U331" s="2">
        <v>8.6766999999999997E-2</v>
      </c>
      <c r="V331" s="2">
        <v>330</v>
      </c>
      <c r="W331" s="2">
        <v>2007</v>
      </c>
    </row>
    <row r="332" spans="1:23" ht="12.3" x14ac:dyDescent="0.4">
      <c r="A332" s="2" t="s">
        <v>272</v>
      </c>
      <c r="B332" s="2" t="e">
        <v>#N/A</v>
      </c>
      <c r="C332" s="2"/>
      <c r="D332" s="2"/>
      <c r="E332" s="2"/>
      <c r="F332" s="2"/>
      <c r="G332" s="2"/>
      <c r="H332" s="2"/>
      <c r="I332" s="2">
        <v>71.588099999999997</v>
      </c>
      <c r="J332" s="2">
        <v>35</v>
      </c>
      <c r="K332" s="2">
        <v>71.570599999999999</v>
      </c>
      <c r="L332" s="2">
        <v>28</v>
      </c>
      <c r="M332" s="2">
        <v>83.138599999999997</v>
      </c>
      <c r="N332" s="2">
        <v>333</v>
      </c>
      <c r="O332" s="2">
        <v>84.667699999999996</v>
      </c>
      <c r="P332" s="2">
        <v>333</v>
      </c>
      <c r="Q332" s="2">
        <v>96.983099999999993</v>
      </c>
      <c r="R332" s="2">
        <v>61</v>
      </c>
      <c r="S332" s="2">
        <v>104.2544</v>
      </c>
      <c r="T332" s="2">
        <v>198</v>
      </c>
      <c r="U332" s="2">
        <v>8.3696999999999994E-2</v>
      </c>
      <c r="V332" s="2">
        <v>331</v>
      </c>
      <c r="W332" s="2">
        <v>2007</v>
      </c>
    </row>
    <row r="333" spans="1:23" ht="12.3" x14ac:dyDescent="0.4">
      <c r="A333" s="2" t="s">
        <v>342</v>
      </c>
      <c r="B333" s="2" t="e">
        <v>#N/A</v>
      </c>
      <c r="C333" s="2"/>
      <c r="D333" s="2"/>
      <c r="E333" s="2"/>
      <c r="F333" s="2"/>
      <c r="G333" s="2"/>
      <c r="H333" s="2"/>
      <c r="I333" s="2">
        <v>71.229699999999994</v>
      </c>
      <c r="J333" s="2">
        <v>43</v>
      </c>
      <c r="K333" s="2">
        <v>70.517099999999999</v>
      </c>
      <c r="L333" s="2">
        <v>45</v>
      </c>
      <c r="M333" s="2">
        <v>82.408799999999999</v>
      </c>
      <c r="N333" s="2">
        <v>334</v>
      </c>
      <c r="O333" s="2">
        <v>84.748699999999999</v>
      </c>
      <c r="P333" s="2">
        <v>332</v>
      </c>
      <c r="Q333" s="2">
        <v>100.5462</v>
      </c>
      <c r="R333" s="2">
        <v>130</v>
      </c>
      <c r="S333" s="2">
        <v>105.539</v>
      </c>
      <c r="T333" s="2">
        <v>223</v>
      </c>
      <c r="U333" s="2">
        <v>7.4261999999999995E-2</v>
      </c>
      <c r="V333" s="2">
        <v>332</v>
      </c>
      <c r="W333" s="2">
        <v>2007</v>
      </c>
    </row>
    <row r="334" spans="1:23" ht="12.3" x14ac:dyDescent="0.4">
      <c r="A334" s="2" t="s">
        <v>313</v>
      </c>
      <c r="B334" s="2" t="e">
        <v>#N/A</v>
      </c>
      <c r="C334" s="2"/>
      <c r="D334" s="2"/>
      <c r="E334" s="2"/>
      <c r="F334" s="2"/>
      <c r="G334" s="2"/>
      <c r="H334" s="2"/>
      <c r="I334" s="2">
        <v>61.63</v>
      </c>
      <c r="J334" s="2">
        <v>315</v>
      </c>
      <c r="K334" s="2">
        <v>60.536299999999997</v>
      </c>
      <c r="L334" s="2">
        <v>325</v>
      </c>
      <c r="M334" s="2">
        <v>85.433499999999995</v>
      </c>
      <c r="N334" s="2">
        <v>331</v>
      </c>
      <c r="O334" s="2">
        <v>83.278899999999993</v>
      </c>
      <c r="P334" s="2">
        <v>335</v>
      </c>
      <c r="Q334" s="2">
        <v>102.20269999999999</v>
      </c>
      <c r="R334" s="2">
        <v>165</v>
      </c>
      <c r="S334" s="2">
        <v>104.8115</v>
      </c>
      <c r="T334" s="2">
        <v>208</v>
      </c>
      <c r="U334" s="2">
        <v>6.6321000000000005E-2</v>
      </c>
      <c r="V334" s="2">
        <v>333</v>
      </c>
      <c r="W334" s="2">
        <v>2007</v>
      </c>
    </row>
    <row r="335" spans="1:23" ht="12.3" x14ac:dyDescent="0.4">
      <c r="A335" s="2" t="s">
        <v>366</v>
      </c>
      <c r="B335" s="2" t="e">
        <v>#N/A</v>
      </c>
      <c r="C335" s="2"/>
      <c r="D335" s="2"/>
      <c r="E335" s="2"/>
      <c r="F335" s="2"/>
      <c r="G335" s="2"/>
      <c r="H335" s="2"/>
      <c r="I335" s="2">
        <v>66.446200000000005</v>
      </c>
      <c r="J335" s="2">
        <v>186</v>
      </c>
      <c r="K335" s="2">
        <v>66.775000000000006</v>
      </c>
      <c r="L335" s="2">
        <v>166</v>
      </c>
      <c r="M335" s="2">
        <v>85.856800000000007</v>
      </c>
      <c r="N335" s="2">
        <v>330</v>
      </c>
      <c r="O335" s="2">
        <v>84.396900000000002</v>
      </c>
      <c r="P335" s="2">
        <v>334</v>
      </c>
      <c r="Q335" s="2">
        <v>106.0596</v>
      </c>
      <c r="R335" s="2">
        <v>257</v>
      </c>
      <c r="S335" s="2">
        <v>107.3095</v>
      </c>
      <c r="T335" s="2">
        <v>257</v>
      </c>
      <c r="U335" s="2">
        <v>5.9404999999999999E-2</v>
      </c>
      <c r="V335" s="2">
        <v>334</v>
      </c>
      <c r="W335" s="2">
        <v>2007</v>
      </c>
    </row>
    <row r="336" spans="1:23" ht="12.3" x14ac:dyDescent="0.4">
      <c r="A336" s="2" t="s">
        <v>363</v>
      </c>
      <c r="B336" s="2" t="e">
        <v>#N/A</v>
      </c>
      <c r="C336" s="2"/>
      <c r="D336" s="2"/>
      <c r="E336" s="2"/>
      <c r="F336" s="2"/>
      <c r="G336" s="2"/>
      <c r="H336" s="2"/>
      <c r="I336" s="2">
        <v>64.799000000000007</v>
      </c>
      <c r="J336" s="2">
        <v>249</v>
      </c>
      <c r="K336" s="2">
        <v>64.231399999999994</v>
      </c>
      <c r="L336" s="2">
        <v>269</v>
      </c>
      <c r="M336" s="2">
        <v>81.986000000000004</v>
      </c>
      <c r="N336" s="2">
        <v>336</v>
      </c>
      <c r="O336" s="2">
        <v>82.598200000000006</v>
      </c>
      <c r="P336" s="2">
        <v>336</v>
      </c>
      <c r="Q336" s="2">
        <v>104.68259999999999</v>
      </c>
      <c r="R336" s="2">
        <v>219</v>
      </c>
      <c r="S336" s="2">
        <v>105.81619999999999</v>
      </c>
      <c r="T336" s="2">
        <v>228</v>
      </c>
      <c r="U336" s="2">
        <v>5.4746999999999997E-2</v>
      </c>
      <c r="V336" s="2">
        <v>335</v>
      </c>
      <c r="W336" s="2">
        <v>2007</v>
      </c>
    </row>
    <row r="337" spans="1:23" ht="12.3" x14ac:dyDescent="0.4">
      <c r="A337" s="2" t="s">
        <v>321</v>
      </c>
      <c r="B337" s="2" t="e">
        <v>#N/A</v>
      </c>
      <c r="C337" s="2"/>
      <c r="D337" s="2"/>
      <c r="E337" s="2"/>
      <c r="F337" s="2"/>
      <c r="G337" s="2"/>
      <c r="H337" s="2"/>
      <c r="I337" s="2">
        <v>67.851699999999994</v>
      </c>
      <c r="J337" s="2">
        <v>121</v>
      </c>
      <c r="K337" s="2">
        <v>68.674099999999996</v>
      </c>
      <c r="L337" s="2">
        <v>94</v>
      </c>
      <c r="M337" s="2">
        <v>88.39</v>
      </c>
      <c r="N337" s="2">
        <v>325</v>
      </c>
      <c r="O337" s="2">
        <v>86.945899999999995</v>
      </c>
      <c r="P337" s="2">
        <v>329</v>
      </c>
      <c r="Q337" s="2">
        <v>108.6841</v>
      </c>
      <c r="R337" s="2">
        <v>294</v>
      </c>
      <c r="S337" s="2">
        <v>111.57129999999999</v>
      </c>
      <c r="T337" s="2">
        <v>322</v>
      </c>
      <c r="U337" s="2">
        <v>5.3766000000000001E-2</v>
      </c>
      <c r="V337" s="2">
        <v>336</v>
      </c>
      <c r="W337" s="2">
        <v>2007</v>
      </c>
    </row>
  </sheetData>
  <autoFilter ref="A1:V337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W342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35</v>
      </c>
      <c r="B2" s="2">
        <v>1</v>
      </c>
      <c r="C2" s="3" t="s">
        <v>33</v>
      </c>
      <c r="D2" s="3" t="s">
        <v>33</v>
      </c>
      <c r="E2" s="3" t="s">
        <v>33</v>
      </c>
      <c r="F2" s="3" t="s">
        <v>33</v>
      </c>
      <c r="G2" s="3" t="s">
        <v>33</v>
      </c>
      <c r="H2" s="2" t="s">
        <v>33</v>
      </c>
      <c r="I2" s="2">
        <v>68.722300000000004</v>
      </c>
      <c r="J2" s="2">
        <v>108</v>
      </c>
      <c r="K2" s="2">
        <v>68.898200000000003</v>
      </c>
      <c r="L2" s="2">
        <v>98</v>
      </c>
      <c r="M2" s="2">
        <v>117.8681</v>
      </c>
      <c r="N2" s="2">
        <v>1</v>
      </c>
      <c r="O2" s="2">
        <v>120.8601</v>
      </c>
      <c r="P2" s="2">
        <v>1</v>
      </c>
      <c r="Q2" s="2">
        <v>89.5929</v>
      </c>
      <c r="R2" s="2">
        <v>5</v>
      </c>
      <c r="S2" s="2">
        <v>89.791600000000003</v>
      </c>
      <c r="T2" s="2">
        <v>6</v>
      </c>
      <c r="U2" s="2">
        <v>0.96823599999999999</v>
      </c>
      <c r="V2" s="2">
        <v>1</v>
      </c>
      <c r="W2" s="2">
        <v>2008</v>
      </c>
    </row>
    <row r="3" spans="1:23" ht="15.75" customHeight="1" x14ac:dyDescent="0.4">
      <c r="A3" s="2" t="s">
        <v>71</v>
      </c>
      <c r="B3" s="2">
        <v>1</v>
      </c>
      <c r="C3" s="3" t="s">
        <v>33</v>
      </c>
      <c r="D3" s="3" t="s">
        <v>33</v>
      </c>
      <c r="E3" s="3" t="s">
        <v>33</v>
      </c>
      <c r="F3" s="3" t="s">
        <v>33</v>
      </c>
      <c r="G3" s="2"/>
      <c r="H3" s="3"/>
      <c r="I3" s="2">
        <v>70.485799999999998</v>
      </c>
      <c r="J3" s="2">
        <v>57</v>
      </c>
      <c r="K3" s="2">
        <v>69.744600000000005</v>
      </c>
      <c r="L3" s="2">
        <v>74</v>
      </c>
      <c r="M3" s="2">
        <v>112.8163</v>
      </c>
      <c r="N3" s="2">
        <v>17</v>
      </c>
      <c r="O3" s="2">
        <v>111.949</v>
      </c>
      <c r="P3" s="2">
        <v>30</v>
      </c>
      <c r="Q3" s="2">
        <v>85.718100000000007</v>
      </c>
      <c r="R3" s="2">
        <v>1</v>
      </c>
      <c r="S3" s="2">
        <v>85.855999999999995</v>
      </c>
      <c r="T3" s="2">
        <v>1</v>
      </c>
      <c r="U3" s="2">
        <v>0.95485900000000001</v>
      </c>
      <c r="V3" s="2">
        <v>2</v>
      </c>
      <c r="W3" s="2">
        <v>2008</v>
      </c>
    </row>
    <row r="4" spans="1:23" ht="15.75" customHeight="1" x14ac:dyDescent="0.4">
      <c r="A4" s="2" t="s">
        <v>65</v>
      </c>
      <c r="B4" s="2">
        <v>1</v>
      </c>
      <c r="C4" s="3" t="s">
        <v>33</v>
      </c>
      <c r="D4" s="3" t="s">
        <v>33</v>
      </c>
      <c r="E4" s="3" t="s">
        <v>33</v>
      </c>
      <c r="F4" s="3" t="s">
        <v>33</v>
      </c>
      <c r="G4" s="2"/>
      <c r="H4" s="2"/>
      <c r="I4" s="2">
        <v>64.998199999999997</v>
      </c>
      <c r="J4" s="2">
        <v>250</v>
      </c>
      <c r="K4" s="2">
        <v>65.5595</v>
      </c>
      <c r="L4" s="2">
        <v>216</v>
      </c>
      <c r="M4" s="2">
        <v>113.7163</v>
      </c>
      <c r="N4" s="2">
        <v>10</v>
      </c>
      <c r="O4" s="2">
        <v>116.1109</v>
      </c>
      <c r="P4" s="2">
        <v>6</v>
      </c>
      <c r="Q4" s="2">
        <v>91.734300000000005</v>
      </c>
      <c r="R4" s="2">
        <v>8</v>
      </c>
      <c r="S4" s="2">
        <v>89.335099999999997</v>
      </c>
      <c r="T4" s="2">
        <v>4</v>
      </c>
      <c r="U4" s="2">
        <v>0.95323599999999997</v>
      </c>
      <c r="V4" s="2">
        <v>3</v>
      </c>
      <c r="W4" s="2">
        <v>2008</v>
      </c>
    </row>
    <row r="5" spans="1:23" ht="15.75" customHeight="1" x14ac:dyDescent="0.4">
      <c r="A5" s="2" t="s">
        <v>76</v>
      </c>
      <c r="B5" s="2">
        <v>3</v>
      </c>
      <c r="C5" s="3" t="s">
        <v>33</v>
      </c>
      <c r="D5" s="3" t="s">
        <v>33</v>
      </c>
      <c r="E5" s="2"/>
      <c r="F5" s="2"/>
      <c r="G5" s="2"/>
      <c r="H5" s="2"/>
      <c r="I5" s="2">
        <v>62.093600000000002</v>
      </c>
      <c r="J5" s="2">
        <v>312</v>
      </c>
      <c r="K5" s="2">
        <v>62.7376</v>
      </c>
      <c r="L5" s="2">
        <v>306</v>
      </c>
      <c r="M5" s="2">
        <v>108.68600000000001</v>
      </c>
      <c r="N5" s="2">
        <v>55</v>
      </c>
      <c r="O5" s="2">
        <v>112.3212</v>
      </c>
      <c r="P5" s="2">
        <v>28</v>
      </c>
      <c r="Q5" s="2">
        <v>86.642700000000005</v>
      </c>
      <c r="R5" s="2">
        <v>2</v>
      </c>
      <c r="S5" s="2">
        <v>87.367699999999999</v>
      </c>
      <c r="T5" s="2">
        <v>2</v>
      </c>
      <c r="U5" s="2">
        <v>0.94731100000000001</v>
      </c>
      <c r="V5" s="2">
        <v>4</v>
      </c>
      <c r="W5" s="2">
        <v>2008</v>
      </c>
    </row>
    <row r="6" spans="1:23" ht="15.75" customHeight="1" x14ac:dyDescent="0.4">
      <c r="A6" s="2" t="s">
        <v>168</v>
      </c>
      <c r="B6" s="2">
        <v>1</v>
      </c>
      <c r="C6" s="3" t="s">
        <v>33</v>
      </c>
      <c r="D6" s="3" t="s">
        <v>33</v>
      </c>
      <c r="E6" s="3" t="s">
        <v>33</v>
      </c>
      <c r="F6" s="3" t="s">
        <v>33</v>
      </c>
      <c r="G6" s="2"/>
      <c r="H6" s="2"/>
      <c r="I6" s="2">
        <v>75.893000000000001</v>
      </c>
      <c r="J6" s="2">
        <v>3</v>
      </c>
      <c r="K6" s="2">
        <v>74.418700000000001</v>
      </c>
      <c r="L6" s="2">
        <v>7</v>
      </c>
      <c r="M6" s="2">
        <v>115.3951</v>
      </c>
      <c r="N6" s="2">
        <v>3</v>
      </c>
      <c r="O6" s="2">
        <v>118.7927</v>
      </c>
      <c r="P6" s="2">
        <v>3</v>
      </c>
      <c r="Q6" s="2">
        <v>94.904200000000003</v>
      </c>
      <c r="R6" s="2">
        <v>33</v>
      </c>
      <c r="S6" s="2">
        <v>93.24</v>
      </c>
      <c r="T6" s="2">
        <v>23</v>
      </c>
      <c r="U6" s="2">
        <v>0.94187799999999999</v>
      </c>
      <c r="V6" s="2">
        <v>5</v>
      </c>
      <c r="W6" s="2">
        <v>2008</v>
      </c>
    </row>
    <row r="7" spans="1:23" ht="15.75" customHeight="1" x14ac:dyDescent="0.4">
      <c r="A7" s="2" t="s">
        <v>32</v>
      </c>
      <c r="B7" s="2">
        <v>2</v>
      </c>
      <c r="C7" s="3" t="s">
        <v>33</v>
      </c>
      <c r="D7" s="2"/>
      <c r="E7" s="2"/>
      <c r="F7" s="2"/>
      <c r="G7" s="2"/>
      <c r="H7" s="2"/>
      <c r="I7" s="2">
        <v>74.276799999999994</v>
      </c>
      <c r="J7" s="2">
        <v>11</v>
      </c>
      <c r="K7" s="2">
        <v>73.275199999999998</v>
      </c>
      <c r="L7" s="2">
        <v>13</v>
      </c>
      <c r="M7" s="2">
        <v>112.98390000000001</v>
      </c>
      <c r="N7" s="2">
        <v>14</v>
      </c>
      <c r="O7" s="2">
        <v>114.88890000000001</v>
      </c>
      <c r="P7" s="2">
        <v>9</v>
      </c>
      <c r="Q7" s="2">
        <v>93.064999999999998</v>
      </c>
      <c r="R7" s="2">
        <v>20</v>
      </c>
      <c r="S7" s="2">
        <v>90.842699999999994</v>
      </c>
      <c r="T7" s="2">
        <v>10</v>
      </c>
      <c r="U7" s="2">
        <v>0.93706299999999998</v>
      </c>
      <c r="V7" s="2">
        <v>6</v>
      </c>
      <c r="W7" s="2">
        <v>2008</v>
      </c>
    </row>
    <row r="8" spans="1:23" ht="15.75" customHeight="1" x14ac:dyDescent="0.4">
      <c r="A8" s="2" t="s">
        <v>67</v>
      </c>
      <c r="B8" s="2">
        <v>2</v>
      </c>
      <c r="C8" s="3" t="s">
        <v>33</v>
      </c>
      <c r="D8" s="3" t="s">
        <v>33</v>
      </c>
      <c r="E8" s="3" t="s">
        <v>33</v>
      </c>
      <c r="F8" s="2"/>
      <c r="G8" s="2"/>
      <c r="H8" s="2"/>
      <c r="I8" s="2">
        <v>65.184100000000001</v>
      </c>
      <c r="J8" s="2">
        <v>234</v>
      </c>
      <c r="K8" s="2">
        <v>64.727699999999999</v>
      </c>
      <c r="L8" s="2">
        <v>254</v>
      </c>
      <c r="M8" s="2">
        <v>114.3155</v>
      </c>
      <c r="N8" s="2">
        <v>8</v>
      </c>
      <c r="O8" s="2">
        <v>118.67829999999999</v>
      </c>
      <c r="P8" s="2">
        <v>4</v>
      </c>
      <c r="Q8" s="2">
        <v>98.694000000000003</v>
      </c>
      <c r="R8" s="2">
        <v>85</v>
      </c>
      <c r="S8" s="2">
        <v>95.151799999999994</v>
      </c>
      <c r="T8" s="2">
        <v>40</v>
      </c>
      <c r="U8" s="2">
        <v>0.926956</v>
      </c>
      <c r="V8" s="2">
        <v>7</v>
      </c>
      <c r="W8" s="2">
        <v>2008</v>
      </c>
    </row>
    <row r="9" spans="1:23" ht="15.75" customHeight="1" x14ac:dyDescent="0.4">
      <c r="A9" s="2" t="s">
        <v>62</v>
      </c>
      <c r="B9" s="2">
        <v>2</v>
      </c>
      <c r="C9" s="3" t="s">
        <v>33</v>
      </c>
      <c r="D9" s="2"/>
      <c r="E9" s="2"/>
      <c r="F9" s="2"/>
      <c r="G9" s="2"/>
      <c r="H9" s="2"/>
      <c r="I9" s="2">
        <v>62.196300000000001</v>
      </c>
      <c r="J9" s="2">
        <v>311</v>
      </c>
      <c r="K9" s="2">
        <v>62.246899999999997</v>
      </c>
      <c r="L9" s="2">
        <v>317</v>
      </c>
      <c r="M9" s="2">
        <v>111.1919</v>
      </c>
      <c r="N9" s="2">
        <v>25</v>
      </c>
      <c r="O9" s="2">
        <v>112.5181</v>
      </c>
      <c r="P9" s="2">
        <v>26</v>
      </c>
      <c r="Q9" s="2">
        <v>92.587400000000002</v>
      </c>
      <c r="R9" s="2">
        <v>16</v>
      </c>
      <c r="S9" s="2">
        <v>90.423599999999993</v>
      </c>
      <c r="T9" s="2">
        <v>7</v>
      </c>
      <c r="U9" s="2">
        <v>0.925118</v>
      </c>
      <c r="V9" s="2">
        <v>8</v>
      </c>
      <c r="W9" s="2">
        <v>2008</v>
      </c>
    </row>
    <row r="10" spans="1:23" ht="15.75" customHeight="1" x14ac:dyDescent="0.4">
      <c r="A10" s="2" t="s">
        <v>86</v>
      </c>
      <c r="B10" s="2">
        <v>3</v>
      </c>
      <c r="C10" s="3" t="s">
        <v>33</v>
      </c>
      <c r="D10" s="3" t="s">
        <v>33</v>
      </c>
      <c r="E10" s="3" t="s">
        <v>33</v>
      </c>
      <c r="F10" s="2"/>
      <c r="G10" s="2"/>
      <c r="H10" s="2"/>
      <c r="I10" s="2">
        <v>66.996399999999994</v>
      </c>
      <c r="J10" s="2">
        <v>172</v>
      </c>
      <c r="K10" s="2">
        <v>67.271600000000007</v>
      </c>
      <c r="L10" s="2">
        <v>148</v>
      </c>
      <c r="M10" s="2">
        <v>106.4896</v>
      </c>
      <c r="N10" s="2">
        <v>86</v>
      </c>
      <c r="O10" s="2">
        <v>109.7418</v>
      </c>
      <c r="P10" s="2">
        <v>49</v>
      </c>
      <c r="Q10" s="2">
        <v>90.940899999999999</v>
      </c>
      <c r="R10" s="2">
        <v>7</v>
      </c>
      <c r="S10" s="2">
        <v>89.006799999999998</v>
      </c>
      <c r="T10" s="2">
        <v>3</v>
      </c>
      <c r="U10" s="2">
        <v>0.917458</v>
      </c>
      <c r="V10" s="2">
        <v>9</v>
      </c>
      <c r="W10" s="2">
        <v>2008</v>
      </c>
    </row>
    <row r="11" spans="1:23" ht="15.75" customHeight="1" x14ac:dyDescent="0.4">
      <c r="A11" s="2" t="s">
        <v>52</v>
      </c>
      <c r="B11" s="2">
        <v>3</v>
      </c>
      <c r="C11" s="3" t="s">
        <v>33</v>
      </c>
      <c r="D11" s="3" t="s">
        <v>33</v>
      </c>
      <c r="E11" s="2"/>
      <c r="F11" s="2"/>
      <c r="G11" s="2"/>
      <c r="H11" s="2"/>
      <c r="I11" s="2">
        <v>64.048699999999997</v>
      </c>
      <c r="J11" s="2">
        <v>281</v>
      </c>
      <c r="K11" s="2">
        <v>64.982100000000003</v>
      </c>
      <c r="L11" s="2">
        <v>244</v>
      </c>
      <c r="M11" s="2">
        <v>109.1301</v>
      </c>
      <c r="N11" s="2">
        <v>49</v>
      </c>
      <c r="O11" s="2">
        <v>111.6589</v>
      </c>
      <c r="P11" s="2">
        <v>35</v>
      </c>
      <c r="Q11" s="2">
        <v>93.483599999999996</v>
      </c>
      <c r="R11" s="2">
        <v>23</v>
      </c>
      <c r="S11" s="2">
        <v>90.565700000000007</v>
      </c>
      <c r="T11" s="2">
        <v>9</v>
      </c>
      <c r="U11" s="2">
        <v>0.91741899999999998</v>
      </c>
      <c r="V11" s="2">
        <v>10</v>
      </c>
      <c r="W11" s="2">
        <v>2008</v>
      </c>
    </row>
    <row r="12" spans="1:23" ht="15.75" customHeight="1" x14ac:dyDescent="0.4">
      <c r="A12" s="2" t="s">
        <v>239</v>
      </c>
      <c r="B12" s="2">
        <v>4</v>
      </c>
      <c r="C12" s="3" t="s">
        <v>33</v>
      </c>
      <c r="D12" s="3" t="s">
        <v>33</v>
      </c>
      <c r="E12" s="2"/>
      <c r="F12" s="2"/>
      <c r="G12" s="2"/>
      <c r="H12" s="2"/>
      <c r="I12" s="2">
        <v>59.148200000000003</v>
      </c>
      <c r="J12" s="2">
        <v>336</v>
      </c>
      <c r="K12" s="2">
        <v>59.683100000000003</v>
      </c>
      <c r="L12" s="2">
        <v>334</v>
      </c>
      <c r="M12" s="2">
        <v>112.2148</v>
      </c>
      <c r="N12" s="2">
        <v>21</v>
      </c>
      <c r="O12" s="2">
        <v>114.0761</v>
      </c>
      <c r="P12" s="2">
        <v>14</v>
      </c>
      <c r="Q12" s="2">
        <v>94.959199999999996</v>
      </c>
      <c r="R12" s="2">
        <v>34</v>
      </c>
      <c r="S12" s="2">
        <v>93.526700000000005</v>
      </c>
      <c r="T12" s="2">
        <v>26</v>
      </c>
      <c r="U12" s="2">
        <v>0.90755399999999997</v>
      </c>
      <c r="V12" s="2">
        <v>11</v>
      </c>
      <c r="W12" s="2">
        <v>2008</v>
      </c>
    </row>
    <row r="13" spans="1:23" ht="15.75" customHeight="1" x14ac:dyDescent="0.4">
      <c r="A13" s="2" t="s">
        <v>205</v>
      </c>
      <c r="B13" s="2">
        <v>5</v>
      </c>
      <c r="C13" s="2"/>
      <c r="D13" s="2"/>
      <c r="E13" s="2"/>
      <c r="F13" s="2"/>
      <c r="G13" s="2"/>
      <c r="H13" s="2"/>
      <c r="I13" s="2">
        <v>62.811199999999999</v>
      </c>
      <c r="J13" s="2">
        <v>301</v>
      </c>
      <c r="K13" s="2">
        <v>63.919899999999998</v>
      </c>
      <c r="L13" s="2">
        <v>283</v>
      </c>
      <c r="M13" s="2">
        <v>115.0265</v>
      </c>
      <c r="N13" s="2">
        <v>5</v>
      </c>
      <c r="O13" s="2">
        <v>119.28449999999999</v>
      </c>
      <c r="P13" s="2">
        <v>2</v>
      </c>
      <c r="Q13" s="2">
        <v>97.043499999999995</v>
      </c>
      <c r="R13" s="2">
        <v>60</v>
      </c>
      <c r="S13" s="2">
        <v>97.801100000000005</v>
      </c>
      <c r="T13" s="2">
        <v>80</v>
      </c>
      <c r="U13" s="2">
        <v>0.90751199999999999</v>
      </c>
      <c r="V13" s="2">
        <v>12</v>
      </c>
      <c r="W13" s="2">
        <v>2008</v>
      </c>
    </row>
    <row r="14" spans="1:23" ht="15.75" customHeight="1" x14ac:dyDescent="0.4">
      <c r="A14" s="2" t="s">
        <v>134</v>
      </c>
      <c r="B14" s="2">
        <v>10</v>
      </c>
      <c r="C14" s="3" t="s">
        <v>33</v>
      </c>
      <c r="D14" s="3" t="s">
        <v>33</v>
      </c>
      <c r="E14" s="3" t="s">
        <v>33</v>
      </c>
      <c r="F14" s="2"/>
      <c r="G14" s="2"/>
      <c r="H14" s="2"/>
      <c r="I14" s="2">
        <v>68.375399999999999</v>
      </c>
      <c r="J14" s="2">
        <v>119</v>
      </c>
      <c r="K14" s="2">
        <v>68.271500000000003</v>
      </c>
      <c r="L14" s="2">
        <v>116</v>
      </c>
      <c r="M14" s="2">
        <v>113.30889999999999</v>
      </c>
      <c r="N14" s="2">
        <v>12</v>
      </c>
      <c r="O14" s="2">
        <v>112.67610000000001</v>
      </c>
      <c r="P14" s="2">
        <v>23</v>
      </c>
      <c r="Q14" s="2">
        <v>92.409300000000002</v>
      </c>
      <c r="R14" s="2">
        <v>15</v>
      </c>
      <c r="S14" s="2">
        <v>92.483599999999996</v>
      </c>
      <c r="T14" s="2">
        <v>19</v>
      </c>
      <c r="U14" s="2">
        <v>0.90645299999999995</v>
      </c>
      <c r="V14" s="2">
        <v>13</v>
      </c>
      <c r="W14" s="2">
        <v>2008</v>
      </c>
    </row>
    <row r="15" spans="1:23" ht="15.75" customHeight="1" x14ac:dyDescent="0.4">
      <c r="A15" s="2" t="s">
        <v>24</v>
      </c>
      <c r="B15" s="2">
        <v>5</v>
      </c>
      <c r="C15" s="2"/>
      <c r="D15" s="2"/>
      <c r="E15" s="2"/>
      <c r="F15" s="2"/>
      <c r="G15" s="2"/>
      <c r="H15" s="2"/>
      <c r="I15" s="2">
        <v>70.798900000000003</v>
      </c>
      <c r="J15" s="2">
        <v>51</v>
      </c>
      <c r="K15" s="2">
        <v>69.148899999999998</v>
      </c>
      <c r="L15" s="2">
        <v>85</v>
      </c>
      <c r="M15" s="2">
        <v>110.0735</v>
      </c>
      <c r="N15" s="2">
        <v>40</v>
      </c>
      <c r="O15" s="2">
        <v>111.6797</v>
      </c>
      <c r="P15" s="2">
        <v>34</v>
      </c>
      <c r="Q15" s="2">
        <v>95.589399999999998</v>
      </c>
      <c r="R15" s="2">
        <v>44</v>
      </c>
      <c r="S15" s="2">
        <v>92.126999999999995</v>
      </c>
      <c r="T15" s="2">
        <v>16</v>
      </c>
      <c r="U15" s="2">
        <v>0.90144299999999999</v>
      </c>
      <c r="V15" s="2">
        <v>14</v>
      </c>
      <c r="W15" s="2">
        <v>2008</v>
      </c>
    </row>
    <row r="16" spans="1:23" ht="15.75" customHeight="1" x14ac:dyDescent="0.4">
      <c r="A16" s="2" t="s">
        <v>81</v>
      </c>
      <c r="B16" s="2">
        <v>2</v>
      </c>
      <c r="C16" s="3" t="s">
        <v>33</v>
      </c>
      <c r="D16" s="3" t="s">
        <v>33</v>
      </c>
      <c r="E16" s="2"/>
      <c r="F16" s="2"/>
      <c r="G16" s="2"/>
      <c r="H16" s="2"/>
      <c r="I16" s="2">
        <v>72.748400000000004</v>
      </c>
      <c r="J16" s="2">
        <v>15</v>
      </c>
      <c r="K16" s="2">
        <v>72.118600000000001</v>
      </c>
      <c r="L16" s="2">
        <v>19</v>
      </c>
      <c r="M16" s="2">
        <v>113.04389999999999</v>
      </c>
      <c r="N16" s="2">
        <v>13</v>
      </c>
      <c r="O16" s="2">
        <v>116.0628</v>
      </c>
      <c r="P16" s="2">
        <v>7</v>
      </c>
      <c r="Q16" s="2">
        <v>97.674199999999999</v>
      </c>
      <c r="R16" s="2">
        <v>71</v>
      </c>
      <c r="S16" s="2">
        <v>96.171400000000006</v>
      </c>
      <c r="T16" s="2">
        <v>54</v>
      </c>
      <c r="U16" s="2">
        <v>0.89678400000000003</v>
      </c>
      <c r="V16" s="2">
        <v>15</v>
      </c>
      <c r="W16" s="2">
        <v>2008</v>
      </c>
    </row>
    <row r="17" spans="1:23" ht="15.75" customHeight="1" x14ac:dyDescent="0.4">
      <c r="A17" s="2" t="s">
        <v>39</v>
      </c>
      <c r="B17" s="2">
        <v>6</v>
      </c>
      <c r="C17" s="3" t="s">
        <v>33</v>
      </c>
      <c r="D17" s="2"/>
      <c r="E17" s="2"/>
      <c r="F17" s="2"/>
      <c r="G17" s="2"/>
      <c r="H17" s="2"/>
      <c r="I17" s="2">
        <v>69.122699999999995</v>
      </c>
      <c r="J17" s="2">
        <v>94</v>
      </c>
      <c r="K17" s="2">
        <v>68.579499999999996</v>
      </c>
      <c r="L17" s="2">
        <v>109</v>
      </c>
      <c r="M17" s="2">
        <v>109.1781</v>
      </c>
      <c r="N17" s="2">
        <v>48</v>
      </c>
      <c r="O17" s="2">
        <v>110.7711</v>
      </c>
      <c r="P17" s="2">
        <v>41</v>
      </c>
      <c r="Q17" s="2">
        <v>92.785300000000007</v>
      </c>
      <c r="R17" s="2">
        <v>17</v>
      </c>
      <c r="S17" s="2">
        <v>92.012299999999996</v>
      </c>
      <c r="T17" s="2">
        <v>15</v>
      </c>
      <c r="U17" s="2">
        <v>0.89414099999999996</v>
      </c>
      <c r="V17" s="2">
        <v>16</v>
      </c>
      <c r="W17" s="2">
        <v>2008</v>
      </c>
    </row>
    <row r="18" spans="1:23" ht="15.75" customHeight="1" x14ac:dyDescent="0.4">
      <c r="A18" s="2" t="s">
        <v>50</v>
      </c>
      <c r="B18" s="2">
        <v>3</v>
      </c>
      <c r="C18" s="3" t="s">
        <v>33</v>
      </c>
      <c r="D18" s="3" t="s">
        <v>33</v>
      </c>
      <c r="E18" s="3" t="s">
        <v>33</v>
      </c>
      <c r="F18" s="2"/>
      <c r="G18" s="2"/>
      <c r="H18" s="2"/>
      <c r="I18" s="2">
        <v>65.205299999999994</v>
      </c>
      <c r="J18" s="2">
        <v>233</v>
      </c>
      <c r="K18" s="2">
        <v>65.322599999999994</v>
      </c>
      <c r="L18" s="2">
        <v>227</v>
      </c>
      <c r="M18" s="2">
        <v>115.1371</v>
      </c>
      <c r="N18" s="2">
        <v>4</v>
      </c>
      <c r="O18" s="2">
        <v>113.1885</v>
      </c>
      <c r="P18" s="2">
        <v>19</v>
      </c>
      <c r="Q18" s="2">
        <v>95.681299999999993</v>
      </c>
      <c r="R18" s="2">
        <v>45</v>
      </c>
      <c r="S18" s="2">
        <v>94.156800000000004</v>
      </c>
      <c r="T18" s="2">
        <v>32</v>
      </c>
      <c r="U18" s="2">
        <v>0.89255200000000001</v>
      </c>
      <c r="V18" s="2">
        <v>17</v>
      </c>
      <c r="W18" s="2">
        <v>2008</v>
      </c>
    </row>
    <row r="19" spans="1:23" ht="15.75" customHeight="1" x14ac:dyDescent="0.4">
      <c r="A19" s="2" t="s">
        <v>58</v>
      </c>
      <c r="B19" s="2">
        <v>5</v>
      </c>
      <c r="C19" s="3" t="s">
        <v>33</v>
      </c>
      <c r="D19" s="3" t="s">
        <v>33</v>
      </c>
      <c r="E19" s="2"/>
      <c r="F19" s="2"/>
      <c r="G19" s="2"/>
      <c r="H19" s="2"/>
      <c r="I19" s="2">
        <v>64.303399999999996</v>
      </c>
      <c r="J19" s="2">
        <v>272</v>
      </c>
      <c r="K19" s="2">
        <v>65.028700000000001</v>
      </c>
      <c r="L19" s="2">
        <v>241</v>
      </c>
      <c r="M19" s="2">
        <v>110.345</v>
      </c>
      <c r="N19" s="2">
        <v>36</v>
      </c>
      <c r="O19" s="2">
        <v>112.5868</v>
      </c>
      <c r="P19" s="2">
        <v>25</v>
      </c>
      <c r="Q19" s="2">
        <v>96.484099999999998</v>
      </c>
      <c r="R19" s="2">
        <v>53</v>
      </c>
      <c r="S19" s="2">
        <v>94.313699999999997</v>
      </c>
      <c r="T19" s="2">
        <v>34</v>
      </c>
      <c r="U19" s="2">
        <v>0.88458899999999996</v>
      </c>
      <c r="V19" s="2">
        <v>18</v>
      </c>
      <c r="W19" s="2">
        <v>2008</v>
      </c>
    </row>
    <row r="20" spans="1:23" ht="15.75" customHeight="1" x14ac:dyDescent="0.4">
      <c r="A20" s="2" t="s">
        <v>121</v>
      </c>
      <c r="B20" s="2">
        <v>6</v>
      </c>
      <c r="C20" s="3" t="s">
        <v>33</v>
      </c>
      <c r="D20" s="2"/>
      <c r="E20" s="2"/>
      <c r="F20" s="2"/>
      <c r="G20" s="2"/>
      <c r="H20" s="2"/>
      <c r="I20" s="2">
        <v>65.843000000000004</v>
      </c>
      <c r="J20" s="2">
        <v>203</v>
      </c>
      <c r="K20" s="2">
        <v>67.923299999999998</v>
      </c>
      <c r="L20" s="2">
        <v>132</v>
      </c>
      <c r="M20" s="2">
        <v>104.0596</v>
      </c>
      <c r="N20" s="2">
        <v>132</v>
      </c>
      <c r="O20" s="2">
        <v>108.4965</v>
      </c>
      <c r="P20" s="2">
        <v>64</v>
      </c>
      <c r="Q20" s="2">
        <v>91.956000000000003</v>
      </c>
      <c r="R20" s="2">
        <v>11</v>
      </c>
      <c r="S20" s="2">
        <v>91.445700000000002</v>
      </c>
      <c r="T20" s="2">
        <v>12</v>
      </c>
      <c r="U20" s="2">
        <v>0.87719999999999998</v>
      </c>
      <c r="V20" s="2">
        <v>19</v>
      </c>
      <c r="W20" s="2">
        <v>2008</v>
      </c>
    </row>
    <row r="21" spans="1:23" ht="15.75" customHeight="1" x14ac:dyDescent="0.4">
      <c r="A21" s="2" t="s">
        <v>18</v>
      </c>
      <c r="B21" s="2">
        <v>7</v>
      </c>
      <c r="C21" s="3" t="s">
        <v>33</v>
      </c>
      <c r="D21" s="2"/>
      <c r="E21" s="2"/>
      <c r="F21" s="2"/>
      <c r="G21" s="2"/>
      <c r="H21" s="2"/>
      <c r="I21" s="2">
        <v>59.973399999999998</v>
      </c>
      <c r="J21" s="2">
        <v>330</v>
      </c>
      <c r="K21" s="2">
        <v>60.948999999999998</v>
      </c>
      <c r="L21" s="2">
        <v>327</v>
      </c>
      <c r="M21" s="2">
        <v>112.8232</v>
      </c>
      <c r="N21" s="2">
        <v>16</v>
      </c>
      <c r="O21" s="2">
        <v>113.3087</v>
      </c>
      <c r="P21" s="2">
        <v>18</v>
      </c>
      <c r="Q21" s="2">
        <v>95.133899999999997</v>
      </c>
      <c r="R21" s="2">
        <v>39</v>
      </c>
      <c r="S21" s="2">
        <v>95.774500000000003</v>
      </c>
      <c r="T21" s="2">
        <v>50</v>
      </c>
      <c r="U21" s="2">
        <v>0.87362300000000004</v>
      </c>
      <c r="V21" s="2">
        <v>20</v>
      </c>
      <c r="W21" s="2">
        <v>2008</v>
      </c>
    </row>
    <row r="22" spans="1:23" ht="15.75" customHeight="1" x14ac:dyDescent="0.4">
      <c r="A22" s="2" t="s">
        <v>248</v>
      </c>
      <c r="B22" s="2">
        <v>9</v>
      </c>
      <c r="C22" s="3" t="s">
        <v>33</v>
      </c>
      <c r="D22" s="2"/>
      <c r="E22" s="2"/>
      <c r="F22" s="2"/>
      <c r="G22" s="2"/>
      <c r="H22" s="2"/>
      <c r="I22" s="2">
        <v>64.863900000000001</v>
      </c>
      <c r="J22" s="2">
        <v>257</v>
      </c>
      <c r="K22" s="2">
        <v>63.817799999999998</v>
      </c>
      <c r="L22" s="2">
        <v>285</v>
      </c>
      <c r="M22" s="2">
        <v>107.69410000000001</v>
      </c>
      <c r="N22" s="2">
        <v>65</v>
      </c>
      <c r="O22" s="2">
        <v>109.0287</v>
      </c>
      <c r="P22" s="2">
        <v>58</v>
      </c>
      <c r="Q22" s="2">
        <v>93.982500000000002</v>
      </c>
      <c r="R22" s="2">
        <v>25</v>
      </c>
      <c r="S22" s="2">
        <v>92.473399999999998</v>
      </c>
      <c r="T22" s="2">
        <v>18</v>
      </c>
      <c r="U22" s="2">
        <v>0.86920399999999998</v>
      </c>
      <c r="V22" s="2">
        <v>21</v>
      </c>
      <c r="W22" s="2">
        <v>2008</v>
      </c>
    </row>
    <row r="23" spans="1:23" ht="15.75" customHeight="1" x14ac:dyDescent="0.4">
      <c r="A23" s="2" t="s">
        <v>42</v>
      </c>
      <c r="B23" s="2">
        <v>6</v>
      </c>
      <c r="C23" s="2"/>
      <c r="D23" s="2"/>
      <c r="E23" s="2"/>
      <c r="F23" s="2"/>
      <c r="G23" s="2"/>
      <c r="H23" s="2"/>
      <c r="I23" s="2">
        <v>65.715100000000007</v>
      </c>
      <c r="J23" s="2">
        <v>210</v>
      </c>
      <c r="K23" s="2">
        <v>66.793199999999999</v>
      </c>
      <c r="L23" s="2">
        <v>166</v>
      </c>
      <c r="M23" s="2">
        <v>104.0217</v>
      </c>
      <c r="N23" s="2">
        <v>133</v>
      </c>
      <c r="O23" s="2">
        <v>108.7276</v>
      </c>
      <c r="P23" s="2">
        <v>60</v>
      </c>
      <c r="Q23" s="2">
        <v>95.106399999999994</v>
      </c>
      <c r="R23" s="2">
        <v>38</v>
      </c>
      <c r="S23" s="2">
        <v>92.276600000000002</v>
      </c>
      <c r="T23" s="2">
        <v>17</v>
      </c>
      <c r="U23" s="2">
        <v>0.868371</v>
      </c>
      <c r="V23" s="2">
        <v>22</v>
      </c>
      <c r="W23" s="2">
        <v>2008</v>
      </c>
    </row>
    <row r="24" spans="1:23" ht="15.75" customHeight="1" x14ac:dyDescent="0.4">
      <c r="A24" s="2" t="s">
        <v>43</v>
      </c>
      <c r="B24" s="2">
        <v>10</v>
      </c>
      <c r="C24" s="2"/>
      <c r="D24" s="2"/>
      <c r="E24" s="2"/>
      <c r="F24" s="2"/>
      <c r="G24" s="2"/>
      <c r="H24" s="2"/>
      <c r="I24" s="2">
        <v>64.665499999999994</v>
      </c>
      <c r="J24" s="2">
        <v>265</v>
      </c>
      <c r="K24" s="2">
        <v>65.012100000000004</v>
      </c>
      <c r="L24" s="2">
        <v>243</v>
      </c>
      <c r="M24" s="2">
        <v>109.4196</v>
      </c>
      <c r="N24" s="2">
        <v>44</v>
      </c>
      <c r="O24" s="2">
        <v>114.35420000000001</v>
      </c>
      <c r="P24" s="2">
        <v>12</v>
      </c>
      <c r="Q24" s="2">
        <v>102.2513</v>
      </c>
      <c r="R24" s="2">
        <v>177</v>
      </c>
      <c r="S24" s="2">
        <v>97.059399999999997</v>
      </c>
      <c r="T24" s="2">
        <v>65</v>
      </c>
      <c r="U24" s="2">
        <v>0.86826899999999996</v>
      </c>
      <c r="V24" s="2">
        <v>23</v>
      </c>
      <c r="W24" s="2">
        <v>2008</v>
      </c>
    </row>
    <row r="25" spans="1:23" ht="15.75" customHeight="1" x14ac:dyDescent="0.4">
      <c r="A25" s="2" t="s">
        <v>148</v>
      </c>
      <c r="B25" s="2">
        <v>11</v>
      </c>
      <c r="C25" s="3" t="s">
        <v>33</v>
      </c>
      <c r="D25" s="2"/>
      <c r="E25" s="2"/>
      <c r="F25" s="2"/>
      <c r="G25" s="2"/>
      <c r="H25" s="2"/>
      <c r="I25" s="2">
        <v>72.370599999999996</v>
      </c>
      <c r="J25" s="2">
        <v>22</v>
      </c>
      <c r="K25" s="2">
        <v>71.789599999999993</v>
      </c>
      <c r="L25" s="2">
        <v>24</v>
      </c>
      <c r="M25" s="2">
        <v>108.0988</v>
      </c>
      <c r="N25" s="2">
        <v>61</v>
      </c>
      <c r="O25" s="2">
        <v>112.19889999999999</v>
      </c>
      <c r="P25" s="2">
        <v>29</v>
      </c>
      <c r="Q25" s="2">
        <v>94.865499999999997</v>
      </c>
      <c r="R25" s="2">
        <v>31</v>
      </c>
      <c r="S25" s="2">
        <v>95.297700000000006</v>
      </c>
      <c r="T25" s="2">
        <v>42</v>
      </c>
      <c r="U25" s="2">
        <v>0.86733199999999999</v>
      </c>
      <c r="V25" s="2">
        <v>24</v>
      </c>
      <c r="W25" s="2">
        <v>2008</v>
      </c>
    </row>
    <row r="26" spans="1:23" ht="15.75" customHeight="1" x14ac:dyDescent="0.4">
      <c r="A26" s="2" t="s">
        <v>40</v>
      </c>
      <c r="B26" s="2">
        <v>8</v>
      </c>
      <c r="C26" s="2"/>
      <c r="D26" s="2"/>
      <c r="E26" s="2"/>
      <c r="F26" s="2"/>
      <c r="G26" s="2"/>
      <c r="H26" s="2"/>
      <c r="I26" s="2">
        <v>67.089100000000002</v>
      </c>
      <c r="J26" s="2">
        <v>167</v>
      </c>
      <c r="K26" s="2">
        <v>68.109499999999997</v>
      </c>
      <c r="L26" s="2">
        <v>122</v>
      </c>
      <c r="M26" s="2">
        <v>110.4868</v>
      </c>
      <c r="N26" s="2">
        <v>34</v>
      </c>
      <c r="O26" s="2">
        <v>111.81180000000001</v>
      </c>
      <c r="P26" s="2">
        <v>33</v>
      </c>
      <c r="Q26" s="2">
        <v>95.513499999999993</v>
      </c>
      <c r="R26" s="2">
        <v>42</v>
      </c>
      <c r="S26" s="2">
        <v>95.040999999999997</v>
      </c>
      <c r="T26" s="2">
        <v>39</v>
      </c>
      <c r="U26" s="2">
        <v>0.86632500000000001</v>
      </c>
      <c r="V26" s="2">
        <v>25</v>
      </c>
      <c r="W26" s="2">
        <v>2008</v>
      </c>
    </row>
    <row r="27" spans="1:23" ht="15.75" customHeight="1" x14ac:dyDescent="0.4">
      <c r="A27" s="2" t="s">
        <v>47</v>
      </c>
      <c r="B27" s="2">
        <v>7</v>
      </c>
      <c r="C27" s="2"/>
      <c r="D27" s="2"/>
      <c r="E27" s="2"/>
      <c r="F27" s="2"/>
      <c r="G27" s="2"/>
      <c r="H27" s="2"/>
      <c r="I27" s="2">
        <v>67.944800000000001</v>
      </c>
      <c r="J27" s="2">
        <v>136</v>
      </c>
      <c r="K27" s="2">
        <v>68.030100000000004</v>
      </c>
      <c r="L27" s="2">
        <v>125</v>
      </c>
      <c r="M27" s="2">
        <v>110.73139999999999</v>
      </c>
      <c r="N27" s="2">
        <v>31</v>
      </c>
      <c r="O27" s="2">
        <v>112.39879999999999</v>
      </c>
      <c r="P27" s="2">
        <v>27</v>
      </c>
      <c r="Q27" s="2">
        <v>91.851799999999997</v>
      </c>
      <c r="R27" s="2">
        <v>10</v>
      </c>
      <c r="S27" s="2">
        <v>95.591300000000004</v>
      </c>
      <c r="T27" s="2">
        <v>45</v>
      </c>
      <c r="U27" s="2">
        <v>0.86560800000000004</v>
      </c>
      <c r="V27" s="2">
        <v>26</v>
      </c>
      <c r="W27" s="2">
        <v>2008</v>
      </c>
    </row>
    <row r="28" spans="1:23" ht="15.75" customHeight="1" x14ac:dyDescent="0.4">
      <c r="A28" s="2" t="s">
        <v>56</v>
      </c>
      <c r="B28" s="2">
        <v>5</v>
      </c>
      <c r="C28" s="3" t="s">
        <v>33</v>
      </c>
      <c r="D28" s="2"/>
      <c r="E28" s="2"/>
      <c r="F28" s="2"/>
      <c r="G28" s="2"/>
      <c r="H28" s="2"/>
      <c r="I28" s="2">
        <v>71.404799999999994</v>
      </c>
      <c r="J28" s="2">
        <v>39</v>
      </c>
      <c r="K28" s="2">
        <v>71.175299999999993</v>
      </c>
      <c r="L28" s="2">
        <v>34</v>
      </c>
      <c r="M28" s="2">
        <v>112.86150000000001</v>
      </c>
      <c r="N28" s="2">
        <v>15</v>
      </c>
      <c r="O28" s="2">
        <v>114.8331</v>
      </c>
      <c r="P28" s="2">
        <v>10</v>
      </c>
      <c r="Q28" s="2">
        <v>98.167400000000001</v>
      </c>
      <c r="R28" s="2">
        <v>79</v>
      </c>
      <c r="S28" s="2">
        <v>97.819599999999994</v>
      </c>
      <c r="T28" s="2">
        <v>81</v>
      </c>
      <c r="U28" s="2">
        <v>0.86343000000000003</v>
      </c>
      <c r="V28" s="2">
        <v>27</v>
      </c>
      <c r="W28" s="2">
        <v>2008</v>
      </c>
    </row>
    <row r="29" spans="1:23" ht="12.3" x14ac:dyDescent="0.4">
      <c r="A29" s="2" t="s">
        <v>54</v>
      </c>
      <c r="B29" s="2">
        <v>4</v>
      </c>
      <c r="C29" s="2"/>
      <c r="D29" s="2"/>
      <c r="E29" s="2"/>
      <c r="F29" s="2"/>
      <c r="G29" s="2"/>
      <c r="H29" s="2"/>
      <c r="I29" s="2">
        <v>70.208799999999997</v>
      </c>
      <c r="J29" s="2">
        <v>65</v>
      </c>
      <c r="K29" s="2">
        <v>68.753500000000003</v>
      </c>
      <c r="L29" s="2">
        <v>102</v>
      </c>
      <c r="M29" s="2">
        <v>110.42789999999999</v>
      </c>
      <c r="N29" s="2">
        <v>35</v>
      </c>
      <c r="O29" s="2">
        <v>113.4128</v>
      </c>
      <c r="P29" s="2">
        <v>17</v>
      </c>
      <c r="Q29" s="2">
        <v>97.653599999999997</v>
      </c>
      <c r="R29" s="2">
        <v>70</v>
      </c>
      <c r="S29" s="2">
        <v>96.791200000000003</v>
      </c>
      <c r="T29" s="2">
        <v>63</v>
      </c>
      <c r="U29" s="2">
        <v>0.86086600000000002</v>
      </c>
      <c r="V29" s="2">
        <v>28</v>
      </c>
      <c r="W29" s="2">
        <v>2008</v>
      </c>
    </row>
    <row r="30" spans="1:23" ht="12.3" x14ac:dyDescent="0.4">
      <c r="A30" s="2" t="s">
        <v>46</v>
      </c>
      <c r="B30" s="2">
        <v>4</v>
      </c>
      <c r="C30" s="3" t="s">
        <v>33</v>
      </c>
      <c r="D30" s="2"/>
      <c r="E30" s="2"/>
      <c r="F30" s="2"/>
      <c r="G30" s="2"/>
      <c r="H30" s="2"/>
      <c r="I30" s="2">
        <v>65.592799999999997</v>
      </c>
      <c r="J30" s="2">
        <v>220</v>
      </c>
      <c r="K30" s="2">
        <v>65.295100000000005</v>
      </c>
      <c r="L30" s="2">
        <v>229</v>
      </c>
      <c r="M30" s="2">
        <v>111.2773</v>
      </c>
      <c r="N30" s="2">
        <v>23</v>
      </c>
      <c r="O30" s="2">
        <v>114.1934</v>
      </c>
      <c r="P30" s="2">
        <v>13</v>
      </c>
      <c r="Q30" s="2">
        <v>99.247299999999996</v>
      </c>
      <c r="R30" s="2">
        <v>96</v>
      </c>
      <c r="S30" s="2">
        <v>97.520099999999999</v>
      </c>
      <c r="T30" s="2">
        <v>72</v>
      </c>
      <c r="U30" s="2">
        <v>0.85997800000000002</v>
      </c>
      <c r="V30" s="2">
        <v>29</v>
      </c>
      <c r="W30" s="2">
        <v>2008</v>
      </c>
    </row>
    <row r="31" spans="1:23" ht="12.3" x14ac:dyDescent="0.4">
      <c r="A31" s="2" t="s">
        <v>229</v>
      </c>
      <c r="B31" s="2">
        <v>7</v>
      </c>
      <c r="C31" s="3" t="s">
        <v>33</v>
      </c>
      <c r="D31" s="3" t="s">
        <v>33</v>
      </c>
      <c r="E31" s="2"/>
      <c r="F31" s="2"/>
      <c r="G31" s="2"/>
      <c r="H31" s="2"/>
      <c r="I31" s="2">
        <v>66.319800000000001</v>
      </c>
      <c r="J31" s="2">
        <v>192</v>
      </c>
      <c r="K31" s="2">
        <v>65.476100000000002</v>
      </c>
      <c r="L31" s="2">
        <v>220</v>
      </c>
      <c r="M31" s="2">
        <v>110.97669999999999</v>
      </c>
      <c r="N31" s="2">
        <v>28</v>
      </c>
      <c r="O31" s="2">
        <v>110.10339999999999</v>
      </c>
      <c r="P31" s="2">
        <v>44</v>
      </c>
      <c r="Q31" s="2">
        <v>95.014799999999994</v>
      </c>
      <c r="R31" s="2">
        <v>36</v>
      </c>
      <c r="S31" s="2">
        <v>94.694800000000001</v>
      </c>
      <c r="T31" s="2">
        <v>36</v>
      </c>
      <c r="U31" s="2">
        <v>0.84989099999999995</v>
      </c>
      <c r="V31" s="2">
        <v>30</v>
      </c>
      <c r="W31" s="2">
        <v>2008</v>
      </c>
    </row>
    <row r="32" spans="1:23" ht="12.3" x14ac:dyDescent="0.4">
      <c r="A32" s="2" t="s">
        <v>115</v>
      </c>
      <c r="B32" s="2"/>
      <c r="C32" s="2"/>
      <c r="D32" s="2"/>
      <c r="E32" s="2"/>
      <c r="F32" s="2"/>
      <c r="G32" s="2"/>
      <c r="H32" s="2"/>
      <c r="I32" s="2">
        <v>65.776300000000006</v>
      </c>
      <c r="J32" s="2">
        <v>208</v>
      </c>
      <c r="K32" s="2">
        <v>66.075299999999999</v>
      </c>
      <c r="L32" s="2">
        <v>196</v>
      </c>
      <c r="M32" s="2">
        <v>110.62649999999999</v>
      </c>
      <c r="N32" s="2">
        <v>33</v>
      </c>
      <c r="O32" s="2">
        <v>108.9084</v>
      </c>
      <c r="P32" s="2">
        <v>59</v>
      </c>
      <c r="Q32" s="2">
        <v>92.098399999999998</v>
      </c>
      <c r="R32" s="2">
        <v>12</v>
      </c>
      <c r="S32" s="2">
        <v>93.863799999999998</v>
      </c>
      <c r="T32" s="2">
        <v>30</v>
      </c>
      <c r="U32" s="2">
        <v>0.84678600000000004</v>
      </c>
      <c r="V32" s="2">
        <v>31</v>
      </c>
      <c r="W32" s="2">
        <v>2008</v>
      </c>
    </row>
    <row r="33" spans="1:23" ht="12.3" x14ac:dyDescent="0.4">
      <c r="A33" s="2" t="s">
        <v>96</v>
      </c>
      <c r="B33" s="2">
        <v>8</v>
      </c>
      <c r="C33" s="2"/>
      <c r="D33" s="2"/>
      <c r="E33" s="2"/>
      <c r="F33" s="2"/>
      <c r="G33" s="2"/>
      <c r="H33" s="2"/>
      <c r="I33" s="2">
        <v>69.926299999999998</v>
      </c>
      <c r="J33" s="2">
        <v>72</v>
      </c>
      <c r="K33" s="2">
        <v>69.700299999999999</v>
      </c>
      <c r="L33" s="2">
        <v>76</v>
      </c>
      <c r="M33" s="2">
        <v>105.48569999999999</v>
      </c>
      <c r="N33" s="2">
        <v>106</v>
      </c>
      <c r="O33" s="2">
        <v>104.72280000000001</v>
      </c>
      <c r="P33" s="2">
        <v>124</v>
      </c>
      <c r="Q33" s="2">
        <v>90.422499999999999</v>
      </c>
      <c r="R33" s="2">
        <v>6</v>
      </c>
      <c r="S33" s="2">
        <v>90.529700000000005</v>
      </c>
      <c r="T33" s="2">
        <v>8</v>
      </c>
      <c r="U33" s="2">
        <v>0.842221</v>
      </c>
      <c r="V33" s="2">
        <v>32</v>
      </c>
      <c r="W33" s="2">
        <v>2008</v>
      </c>
    </row>
    <row r="34" spans="1:23" ht="12.3" x14ac:dyDescent="0.4">
      <c r="A34" s="2" t="s">
        <v>159</v>
      </c>
      <c r="B34" s="2"/>
      <c r="C34" s="2"/>
      <c r="D34" s="2"/>
      <c r="E34" s="2"/>
      <c r="F34" s="2"/>
      <c r="G34" s="2"/>
      <c r="H34" s="2"/>
      <c r="I34" s="2">
        <v>68.152900000000002</v>
      </c>
      <c r="J34" s="2">
        <v>129</v>
      </c>
      <c r="K34" s="2">
        <v>67.668499999999995</v>
      </c>
      <c r="L34" s="2">
        <v>139</v>
      </c>
      <c r="M34" s="2">
        <v>100.5449</v>
      </c>
      <c r="N34" s="2">
        <v>194</v>
      </c>
      <c r="O34" s="2">
        <v>103.2505</v>
      </c>
      <c r="P34" s="2">
        <v>151</v>
      </c>
      <c r="Q34" s="2">
        <v>93.268000000000001</v>
      </c>
      <c r="R34" s="2">
        <v>22</v>
      </c>
      <c r="S34" s="2">
        <v>89.548500000000004</v>
      </c>
      <c r="T34" s="2">
        <v>5</v>
      </c>
      <c r="U34" s="2">
        <v>0.83717399999999997</v>
      </c>
      <c r="V34" s="2">
        <v>33</v>
      </c>
      <c r="W34" s="2">
        <v>2008</v>
      </c>
    </row>
    <row r="35" spans="1:23" ht="12.3" x14ac:dyDescent="0.4">
      <c r="A35" s="2" t="s">
        <v>41</v>
      </c>
      <c r="B35" s="2">
        <v>9</v>
      </c>
      <c r="C35" s="2"/>
      <c r="D35" s="2"/>
      <c r="E35" s="2"/>
      <c r="F35" s="2"/>
      <c r="G35" s="2"/>
      <c r="H35" s="2"/>
      <c r="I35" s="2">
        <v>67.217299999999994</v>
      </c>
      <c r="J35" s="2">
        <v>164</v>
      </c>
      <c r="K35" s="2">
        <v>67.124600000000001</v>
      </c>
      <c r="L35" s="2">
        <v>154</v>
      </c>
      <c r="M35" s="2">
        <v>112.5175</v>
      </c>
      <c r="N35" s="2">
        <v>20</v>
      </c>
      <c r="O35" s="2">
        <v>117.79649999999999</v>
      </c>
      <c r="P35" s="2">
        <v>5</v>
      </c>
      <c r="Q35" s="2">
        <v>106.9744</v>
      </c>
      <c r="R35" s="2">
        <v>288</v>
      </c>
      <c r="S35" s="2">
        <v>102.47839999999999</v>
      </c>
      <c r="T35" s="2">
        <v>172</v>
      </c>
      <c r="U35" s="2">
        <v>0.83230199999999999</v>
      </c>
      <c r="V35" s="2">
        <v>34</v>
      </c>
      <c r="W35" s="2">
        <v>2008</v>
      </c>
    </row>
    <row r="36" spans="1:23" ht="12.3" x14ac:dyDescent="0.4">
      <c r="A36" s="2" t="s">
        <v>136</v>
      </c>
      <c r="B36" s="2"/>
      <c r="C36" s="2"/>
      <c r="D36" s="2"/>
      <c r="E36" s="2"/>
      <c r="F36" s="2"/>
      <c r="G36" s="2"/>
      <c r="H36" s="2"/>
      <c r="I36" s="2">
        <v>63.85</v>
      </c>
      <c r="J36" s="2">
        <v>287</v>
      </c>
      <c r="K36" s="2">
        <v>62.920099999999998</v>
      </c>
      <c r="L36" s="2">
        <v>301</v>
      </c>
      <c r="M36" s="2">
        <v>103.7478</v>
      </c>
      <c r="N36" s="2">
        <v>139</v>
      </c>
      <c r="O36" s="2">
        <v>106.0835</v>
      </c>
      <c r="P36" s="2">
        <v>106</v>
      </c>
      <c r="Q36" s="2">
        <v>93.081400000000002</v>
      </c>
      <c r="R36" s="2">
        <v>21</v>
      </c>
      <c r="S36" s="2">
        <v>92.5321</v>
      </c>
      <c r="T36" s="2">
        <v>20</v>
      </c>
      <c r="U36" s="2">
        <v>0.82802699999999996</v>
      </c>
      <c r="V36" s="2">
        <v>35</v>
      </c>
      <c r="W36" s="2">
        <v>2008</v>
      </c>
    </row>
    <row r="37" spans="1:23" ht="12.3" x14ac:dyDescent="0.4">
      <c r="A37" s="2" t="s">
        <v>21</v>
      </c>
      <c r="B37" s="2"/>
      <c r="C37" s="2"/>
      <c r="D37" s="2"/>
      <c r="E37" s="2"/>
      <c r="F37" s="2"/>
      <c r="G37" s="2"/>
      <c r="H37" s="2"/>
      <c r="I37" s="2">
        <v>63.892800000000001</v>
      </c>
      <c r="J37" s="2">
        <v>286</v>
      </c>
      <c r="K37" s="2">
        <v>64.619200000000006</v>
      </c>
      <c r="L37" s="2">
        <v>259</v>
      </c>
      <c r="M37" s="2">
        <v>104.4879</v>
      </c>
      <c r="N37" s="2">
        <v>126</v>
      </c>
      <c r="O37" s="2">
        <v>107.4162</v>
      </c>
      <c r="P37" s="2">
        <v>74</v>
      </c>
      <c r="Q37" s="2">
        <v>95.581500000000005</v>
      </c>
      <c r="R37" s="2">
        <v>43</v>
      </c>
      <c r="S37" s="2">
        <v>93.812600000000003</v>
      </c>
      <c r="T37" s="2">
        <v>29</v>
      </c>
      <c r="U37" s="2">
        <v>0.82595600000000002</v>
      </c>
      <c r="V37" s="2">
        <v>36</v>
      </c>
      <c r="W37" s="2">
        <v>2008</v>
      </c>
    </row>
    <row r="38" spans="1:23" ht="12.3" x14ac:dyDescent="0.4">
      <c r="A38" s="2" t="s">
        <v>48</v>
      </c>
      <c r="B38" s="2">
        <v>8</v>
      </c>
      <c r="C38" s="3" t="s">
        <v>33</v>
      </c>
      <c r="D38" s="2"/>
      <c r="E38" s="2"/>
      <c r="F38" s="2"/>
      <c r="G38" s="2"/>
      <c r="H38" s="2"/>
      <c r="I38" s="2">
        <v>69.029799999999994</v>
      </c>
      <c r="J38" s="2">
        <v>97</v>
      </c>
      <c r="K38" s="2">
        <v>68.284599999999998</v>
      </c>
      <c r="L38" s="2">
        <v>115</v>
      </c>
      <c r="M38" s="2">
        <v>104.67619999999999</v>
      </c>
      <c r="N38" s="2">
        <v>122</v>
      </c>
      <c r="O38" s="2">
        <v>104.83540000000001</v>
      </c>
      <c r="P38" s="2">
        <v>120</v>
      </c>
      <c r="Q38" s="2">
        <v>93.591999999999999</v>
      </c>
      <c r="R38" s="2">
        <v>24</v>
      </c>
      <c r="S38" s="2">
        <v>91.679100000000005</v>
      </c>
      <c r="T38" s="2">
        <v>14</v>
      </c>
      <c r="U38" s="2">
        <v>0.82377299999999998</v>
      </c>
      <c r="V38" s="2">
        <v>37</v>
      </c>
      <c r="W38" s="2">
        <v>2008</v>
      </c>
    </row>
    <row r="39" spans="1:23" ht="12.3" x14ac:dyDescent="0.4">
      <c r="A39" s="2" t="s">
        <v>53</v>
      </c>
      <c r="B39" s="2">
        <v>9</v>
      </c>
      <c r="C39" s="2"/>
      <c r="D39" s="2"/>
      <c r="E39" s="2"/>
      <c r="F39" s="2"/>
      <c r="G39" s="2"/>
      <c r="H39" s="2"/>
      <c r="I39" s="2">
        <v>65.048599999999993</v>
      </c>
      <c r="J39" s="2">
        <v>245</v>
      </c>
      <c r="K39" s="2">
        <v>66.120400000000004</v>
      </c>
      <c r="L39" s="2">
        <v>194</v>
      </c>
      <c r="M39" s="2">
        <v>106.1494</v>
      </c>
      <c r="N39" s="2">
        <v>91</v>
      </c>
      <c r="O39" s="2">
        <v>106.7225</v>
      </c>
      <c r="P39" s="2">
        <v>90</v>
      </c>
      <c r="Q39" s="2">
        <v>94.171099999999996</v>
      </c>
      <c r="R39" s="2">
        <v>26</v>
      </c>
      <c r="S39" s="2">
        <v>93.373999999999995</v>
      </c>
      <c r="T39" s="2">
        <v>24</v>
      </c>
      <c r="U39" s="2">
        <v>0.82297200000000004</v>
      </c>
      <c r="V39" s="2">
        <v>38</v>
      </c>
      <c r="W39" s="2">
        <v>2008</v>
      </c>
    </row>
    <row r="40" spans="1:23" ht="12.3" x14ac:dyDescent="0.4">
      <c r="A40" s="2" t="s">
        <v>68</v>
      </c>
      <c r="B40" s="2">
        <v>12</v>
      </c>
      <c r="C40" s="3" t="s">
        <v>33</v>
      </c>
      <c r="D40" s="3" t="s">
        <v>33</v>
      </c>
      <c r="E40" s="2"/>
      <c r="F40" s="2"/>
      <c r="G40" s="2"/>
      <c r="H40" s="2"/>
      <c r="I40" s="2">
        <v>68.691900000000004</v>
      </c>
      <c r="J40" s="2">
        <v>110</v>
      </c>
      <c r="K40" s="2">
        <v>68.941500000000005</v>
      </c>
      <c r="L40" s="2">
        <v>95</v>
      </c>
      <c r="M40" s="2">
        <v>111.07850000000001</v>
      </c>
      <c r="N40" s="2">
        <v>26</v>
      </c>
      <c r="O40" s="2">
        <v>109.4072</v>
      </c>
      <c r="P40" s="2">
        <v>54</v>
      </c>
      <c r="Q40" s="2">
        <v>94.486800000000002</v>
      </c>
      <c r="R40" s="2">
        <v>28</v>
      </c>
      <c r="S40" s="2">
        <v>95.892200000000003</v>
      </c>
      <c r="T40" s="2">
        <v>51</v>
      </c>
      <c r="U40" s="2">
        <v>0.81999200000000005</v>
      </c>
      <c r="V40" s="2">
        <v>39</v>
      </c>
      <c r="W40" s="2">
        <v>2008</v>
      </c>
    </row>
    <row r="41" spans="1:23" ht="12.3" x14ac:dyDescent="0.4">
      <c r="A41" s="2" t="s">
        <v>158</v>
      </c>
      <c r="B41" s="2">
        <v>11</v>
      </c>
      <c r="C41" s="2"/>
      <c r="D41" s="2"/>
      <c r="E41" s="2"/>
      <c r="F41" s="2"/>
      <c r="G41" s="2"/>
      <c r="H41" s="2"/>
      <c r="I41" s="2">
        <v>70.931600000000003</v>
      </c>
      <c r="J41" s="2">
        <v>49</v>
      </c>
      <c r="K41" s="2">
        <v>71.796700000000001</v>
      </c>
      <c r="L41" s="2">
        <v>23</v>
      </c>
      <c r="M41" s="2">
        <v>110.2323</v>
      </c>
      <c r="N41" s="2">
        <v>37</v>
      </c>
      <c r="O41" s="2">
        <v>113.99039999999999</v>
      </c>
      <c r="P41" s="2">
        <v>15</v>
      </c>
      <c r="Q41" s="2">
        <v>101.56610000000001</v>
      </c>
      <c r="R41" s="2">
        <v>154</v>
      </c>
      <c r="S41" s="2">
        <v>99.945999999999998</v>
      </c>
      <c r="T41" s="2">
        <v>116</v>
      </c>
      <c r="U41" s="2">
        <v>0.81936699999999996</v>
      </c>
      <c r="V41" s="2">
        <v>40</v>
      </c>
      <c r="W41" s="2">
        <v>2008</v>
      </c>
    </row>
    <row r="42" spans="1:23" ht="12.3" x14ac:dyDescent="0.4">
      <c r="A42" s="2" t="s">
        <v>262</v>
      </c>
      <c r="B42" s="2">
        <v>10</v>
      </c>
      <c r="C42" s="2"/>
      <c r="D42" s="2"/>
      <c r="E42" s="2"/>
      <c r="F42" s="2"/>
      <c r="G42" s="2"/>
      <c r="H42" s="2"/>
      <c r="I42" s="2">
        <v>67.921499999999995</v>
      </c>
      <c r="J42" s="2">
        <v>138</v>
      </c>
      <c r="K42" s="2">
        <v>67.218500000000006</v>
      </c>
      <c r="L42" s="2">
        <v>150</v>
      </c>
      <c r="M42" s="2">
        <v>110.14409999999999</v>
      </c>
      <c r="N42" s="2">
        <v>39</v>
      </c>
      <c r="O42" s="2">
        <v>107.3677</v>
      </c>
      <c r="P42" s="2">
        <v>76</v>
      </c>
      <c r="Q42" s="2">
        <v>92.293999999999997</v>
      </c>
      <c r="R42" s="2">
        <v>13</v>
      </c>
      <c r="S42" s="2">
        <v>94.212000000000003</v>
      </c>
      <c r="T42" s="2">
        <v>33</v>
      </c>
      <c r="U42" s="2">
        <v>0.81805000000000005</v>
      </c>
      <c r="V42" s="2">
        <v>41</v>
      </c>
      <c r="W42" s="2">
        <v>2008</v>
      </c>
    </row>
    <row r="43" spans="1:23" ht="12.3" x14ac:dyDescent="0.4">
      <c r="A43" s="2" t="s">
        <v>38</v>
      </c>
      <c r="B43" s="2">
        <v>6</v>
      </c>
      <c r="C43" s="3" t="s">
        <v>33</v>
      </c>
      <c r="D43" s="2"/>
      <c r="E43" s="2"/>
      <c r="F43" s="2"/>
      <c r="G43" s="2"/>
      <c r="H43" s="2"/>
      <c r="I43" s="2">
        <v>64.889300000000006</v>
      </c>
      <c r="J43" s="2">
        <v>256</v>
      </c>
      <c r="K43" s="2">
        <v>64.787599999999998</v>
      </c>
      <c r="L43" s="2">
        <v>251</v>
      </c>
      <c r="M43" s="2">
        <v>103.9473</v>
      </c>
      <c r="N43" s="2">
        <v>135</v>
      </c>
      <c r="O43" s="2">
        <v>106.61320000000001</v>
      </c>
      <c r="P43" s="2">
        <v>94</v>
      </c>
      <c r="Q43" s="2">
        <v>96.940600000000003</v>
      </c>
      <c r="R43" s="2">
        <v>58</v>
      </c>
      <c r="S43" s="2">
        <v>93.743200000000002</v>
      </c>
      <c r="T43" s="2">
        <v>28</v>
      </c>
      <c r="U43" s="2">
        <v>0.81449000000000005</v>
      </c>
      <c r="V43" s="2">
        <v>42</v>
      </c>
      <c r="W43" s="2">
        <v>2008</v>
      </c>
    </row>
    <row r="44" spans="1:23" ht="12.3" x14ac:dyDescent="0.4">
      <c r="A44" s="2" t="s">
        <v>164</v>
      </c>
      <c r="B44" s="2"/>
      <c r="C44" s="2"/>
      <c r="D44" s="2"/>
      <c r="E44" s="2"/>
      <c r="F44" s="2"/>
      <c r="G44" s="2"/>
      <c r="H44" s="2"/>
      <c r="I44" s="2">
        <v>62.812899999999999</v>
      </c>
      <c r="J44" s="2">
        <v>300</v>
      </c>
      <c r="K44" s="2">
        <v>63.448700000000002</v>
      </c>
      <c r="L44" s="2">
        <v>295</v>
      </c>
      <c r="M44" s="2">
        <v>104.6344</v>
      </c>
      <c r="N44" s="2">
        <v>124</v>
      </c>
      <c r="O44" s="2">
        <v>106.3877</v>
      </c>
      <c r="P44" s="2">
        <v>98</v>
      </c>
      <c r="Q44" s="2">
        <v>95.959299999999999</v>
      </c>
      <c r="R44" s="2">
        <v>48</v>
      </c>
      <c r="S44" s="2">
        <v>93.651700000000005</v>
      </c>
      <c r="T44" s="2">
        <v>27</v>
      </c>
      <c r="U44" s="2">
        <v>0.8125</v>
      </c>
      <c r="V44" s="2">
        <v>43</v>
      </c>
      <c r="W44" s="2">
        <v>2008</v>
      </c>
    </row>
    <row r="45" spans="1:23" ht="12.3" x14ac:dyDescent="0.4">
      <c r="A45" s="2" t="s">
        <v>91</v>
      </c>
      <c r="B45" s="2">
        <v>11</v>
      </c>
      <c r="C45" s="2"/>
      <c r="D45" s="2"/>
      <c r="E45" s="2"/>
      <c r="F45" s="2"/>
      <c r="G45" s="2"/>
      <c r="H45" s="2"/>
      <c r="I45" s="2">
        <v>65.145099999999999</v>
      </c>
      <c r="J45" s="2">
        <v>237</v>
      </c>
      <c r="K45" s="2">
        <v>65.198899999999995</v>
      </c>
      <c r="L45" s="2">
        <v>233</v>
      </c>
      <c r="M45" s="2">
        <v>112.07340000000001</v>
      </c>
      <c r="N45" s="2">
        <v>22</v>
      </c>
      <c r="O45" s="2">
        <v>112.9071</v>
      </c>
      <c r="P45" s="2">
        <v>22</v>
      </c>
      <c r="Q45" s="2">
        <v>102.3507</v>
      </c>
      <c r="R45" s="2">
        <v>180</v>
      </c>
      <c r="S45" s="2">
        <v>99.813800000000001</v>
      </c>
      <c r="T45" s="2">
        <v>115</v>
      </c>
      <c r="U45" s="2">
        <v>0.80494299999999996</v>
      </c>
      <c r="V45" s="2">
        <v>44</v>
      </c>
      <c r="W45" s="2">
        <v>2008</v>
      </c>
    </row>
    <row r="46" spans="1:23" ht="12.3" x14ac:dyDescent="0.4">
      <c r="A46" s="2" t="s">
        <v>60</v>
      </c>
      <c r="B46" s="2">
        <v>7</v>
      </c>
      <c r="C46" s="3" t="s">
        <v>33</v>
      </c>
      <c r="D46" s="2"/>
      <c r="E46" s="2"/>
      <c r="F46" s="2"/>
      <c r="G46" s="2"/>
      <c r="H46" s="2"/>
      <c r="I46" s="2">
        <v>68.061099999999996</v>
      </c>
      <c r="J46" s="2">
        <v>130</v>
      </c>
      <c r="K46" s="2">
        <v>66.975899999999996</v>
      </c>
      <c r="L46" s="2">
        <v>160</v>
      </c>
      <c r="M46" s="2">
        <v>107.3847</v>
      </c>
      <c r="N46" s="2">
        <v>71</v>
      </c>
      <c r="O46" s="2">
        <v>110.3429</v>
      </c>
      <c r="P46" s="2">
        <v>43</v>
      </c>
      <c r="Q46" s="2">
        <v>98.959199999999996</v>
      </c>
      <c r="R46" s="2">
        <v>92</v>
      </c>
      <c r="S46" s="2">
        <v>97.679199999999994</v>
      </c>
      <c r="T46" s="2">
        <v>76</v>
      </c>
      <c r="U46" s="2">
        <v>0.802485</v>
      </c>
      <c r="V46" s="2">
        <v>45</v>
      </c>
      <c r="W46" s="2">
        <v>2008</v>
      </c>
    </row>
    <row r="47" spans="1:23" ht="12.3" x14ac:dyDescent="0.4">
      <c r="A47" s="2" t="s">
        <v>80</v>
      </c>
      <c r="B47" s="2">
        <v>9</v>
      </c>
      <c r="C47" s="3" t="s">
        <v>33</v>
      </c>
      <c r="D47" s="2"/>
      <c r="E47" s="2"/>
      <c r="F47" s="2"/>
      <c r="G47" s="2"/>
      <c r="H47" s="2"/>
      <c r="I47" s="2">
        <v>69.215900000000005</v>
      </c>
      <c r="J47" s="2">
        <v>92</v>
      </c>
      <c r="K47" s="2">
        <v>68.398700000000005</v>
      </c>
      <c r="L47" s="2">
        <v>112</v>
      </c>
      <c r="M47" s="2">
        <v>106.20659999999999</v>
      </c>
      <c r="N47" s="2">
        <v>90</v>
      </c>
      <c r="O47" s="2">
        <v>107.94889999999999</v>
      </c>
      <c r="P47" s="2">
        <v>70</v>
      </c>
      <c r="Q47" s="2">
        <v>96.689599999999999</v>
      </c>
      <c r="R47" s="2">
        <v>55</v>
      </c>
      <c r="S47" s="2">
        <v>95.596500000000006</v>
      </c>
      <c r="T47" s="2">
        <v>46</v>
      </c>
      <c r="U47" s="2">
        <v>0.80178700000000003</v>
      </c>
      <c r="V47" s="2">
        <v>46</v>
      </c>
      <c r="W47" s="2">
        <v>2008</v>
      </c>
    </row>
    <row r="48" spans="1:23" ht="12.3" x14ac:dyDescent="0.4">
      <c r="A48" s="2" t="s">
        <v>99</v>
      </c>
      <c r="B48" s="2"/>
      <c r="C48" s="2"/>
      <c r="D48" s="2"/>
      <c r="E48" s="2"/>
      <c r="F48" s="2"/>
      <c r="G48" s="2"/>
      <c r="H48" s="2"/>
      <c r="I48" s="2">
        <v>61.225499999999997</v>
      </c>
      <c r="J48" s="2">
        <v>322</v>
      </c>
      <c r="K48" s="2">
        <v>62.824300000000001</v>
      </c>
      <c r="L48" s="2">
        <v>303</v>
      </c>
      <c r="M48" s="2">
        <v>107.6764</v>
      </c>
      <c r="N48" s="2">
        <v>66</v>
      </c>
      <c r="O48" s="2">
        <v>107.25149999999999</v>
      </c>
      <c r="P48" s="2">
        <v>78</v>
      </c>
      <c r="Q48" s="2">
        <v>99.4559</v>
      </c>
      <c r="R48" s="2">
        <v>101</v>
      </c>
      <c r="S48" s="2">
        <v>95.018000000000001</v>
      </c>
      <c r="T48" s="2">
        <v>38</v>
      </c>
      <c r="U48" s="2">
        <v>0.80103199999999997</v>
      </c>
      <c r="V48" s="2">
        <v>47</v>
      </c>
      <c r="W48" s="2">
        <v>2008</v>
      </c>
    </row>
    <row r="49" spans="1:23" ht="12.3" x14ac:dyDescent="0.4">
      <c r="A49" s="2" t="s">
        <v>109</v>
      </c>
      <c r="B49" s="2">
        <v>8</v>
      </c>
      <c r="C49" s="3" t="s">
        <v>33</v>
      </c>
      <c r="D49" s="2"/>
      <c r="E49" s="2"/>
      <c r="F49" s="2"/>
      <c r="G49" s="2"/>
      <c r="H49" s="2"/>
      <c r="I49" s="2">
        <v>65.445300000000003</v>
      </c>
      <c r="J49" s="2">
        <v>227</v>
      </c>
      <c r="K49" s="2">
        <v>65.083799999999997</v>
      </c>
      <c r="L49" s="2">
        <v>237</v>
      </c>
      <c r="M49" s="2">
        <v>105.7488</v>
      </c>
      <c r="N49" s="2">
        <v>99</v>
      </c>
      <c r="O49" s="2">
        <v>109.9117</v>
      </c>
      <c r="P49" s="2">
        <v>47</v>
      </c>
      <c r="Q49" s="2">
        <v>95.034800000000004</v>
      </c>
      <c r="R49" s="2">
        <v>37</v>
      </c>
      <c r="S49" s="2">
        <v>97.637600000000006</v>
      </c>
      <c r="T49" s="2">
        <v>73</v>
      </c>
      <c r="U49" s="2">
        <v>0.79604699999999995</v>
      </c>
      <c r="V49" s="2">
        <v>48</v>
      </c>
      <c r="W49" s="2">
        <v>2008</v>
      </c>
    </row>
    <row r="50" spans="1:23" ht="12.3" x14ac:dyDescent="0.4">
      <c r="A50" s="2" t="s">
        <v>137</v>
      </c>
      <c r="B50" s="2"/>
      <c r="C50" s="2"/>
      <c r="D50" s="2"/>
      <c r="E50" s="2"/>
      <c r="F50" s="2"/>
      <c r="G50" s="2"/>
      <c r="H50" s="2"/>
      <c r="I50" s="2">
        <v>64.781800000000004</v>
      </c>
      <c r="J50" s="2">
        <v>262</v>
      </c>
      <c r="K50" s="2">
        <v>64.822100000000006</v>
      </c>
      <c r="L50" s="2">
        <v>249</v>
      </c>
      <c r="M50" s="2">
        <v>103.09229999999999</v>
      </c>
      <c r="N50" s="2">
        <v>153</v>
      </c>
      <c r="O50" s="2">
        <v>102.37090000000001</v>
      </c>
      <c r="P50" s="2">
        <v>166</v>
      </c>
      <c r="Q50" s="2">
        <v>89.456999999999994</v>
      </c>
      <c r="R50" s="2">
        <v>4</v>
      </c>
      <c r="S50" s="2">
        <v>91.196899999999999</v>
      </c>
      <c r="T50" s="2">
        <v>11</v>
      </c>
      <c r="U50" s="2">
        <v>0.79070600000000002</v>
      </c>
      <c r="V50" s="2">
        <v>49</v>
      </c>
      <c r="W50" s="2">
        <v>2008</v>
      </c>
    </row>
    <row r="51" spans="1:23" ht="12.3" x14ac:dyDescent="0.4">
      <c r="A51" s="2" t="s">
        <v>44</v>
      </c>
      <c r="B51" s="2"/>
      <c r="C51" s="2"/>
      <c r="D51" s="2"/>
      <c r="E51" s="2"/>
      <c r="F51" s="2"/>
      <c r="G51" s="2"/>
      <c r="H51" s="2"/>
      <c r="I51" s="2">
        <v>61.910600000000002</v>
      </c>
      <c r="J51" s="2">
        <v>314</v>
      </c>
      <c r="K51" s="2">
        <v>62.372900000000001</v>
      </c>
      <c r="L51" s="2">
        <v>313</v>
      </c>
      <c r="M51" s="2">
        <v>101.0296</v>
      </c>
      <c r="N51" s="2">
        <v>184</v>
      </c>
      <c r="O51" s="2">
        <v>105.3976</v>
      </c>
      <c r="P51" s="2">
        <v>113</v>
      </c>
      <c r="Q51" s="2">
        <v>96.797600000000003</v>
      </c>
      <c r="R51" s="2">
        <v>56</v>
      </c>
      <c r="S51" s="2">
        <v>93.933999999999997</v>
      </c>
      <c r="T51" s="2">
        <v>31</v>
      </c>
      <c r="U51" s="2">
        <v>0.789879</v>
      </c>
      <c r="V51" s="2">
        <v>50</v>
      </c>
      <c r="W51" s="2">
        <v>2008</v>
      </c>
    </row>
    <row r="52" spans="1:23" ht="12.3" x14ac:dyDescent="0.4">
      <c r="A52" s="2" t="s">
        <v>92</v>
      </c>
      <c r="B52" s="2"/>
      <c r="C52" s="2"/>
      <c r="D52" s="2"/>
      <c r="E52" s="2"/>
      <c r="F52" s="2"/>
      <c r="G52" s="2"/>
      <c r="H52" s="2"/>
      <c r="I52" s="2">
        <v>71.726500000000001</v>
      </c>
      <c r="J52" s="2">
        <v>32</v>
      </c>
      <c r="K52" s="2">
        <v>69.988100000000003</v>
      </c>
      <c r="L52" s="2">
        <v>59</v>
      </c>
      <c r="M52" s="2">
        <v>107.39319999999999</v>
      </c>
      <c r="N52" s="2">
        <v>69</v>
      </c>
      <c r="O52" s="2">
        <v>112.6708</v>
      </c>
      <c r="P52" s="2">
        <v>24</v>
      </c>
      <c r="Q52" s="2">
        <v>105.3419</v>
      </c>
      <c r="R52" s="2">
        <v>256</v>
      </c>
      <c r="S52" s="2">
        <v>100.48520000000001</v>
      </c>
      <c r="T52" s="2">
        <v>126</v>
      </c>
      <c r="U52" s="2">
        <v>0.78856400000000004</v>
      </c>
      <c r="V52" s="2">
        <v>51</v>
      </c>
      <c r="W52" s="2">
        <v>2008</v>
      </c>
    </row>
    <row r="53" spans="1:23" ht="12.3" x14ac:dyDescent="0.4">
      <c r="A53" s="2" t="s">
        <v>88</v>
      </c>
      <c r="B53" s="2">
        <v>12</v>
      </c>
      <c r="C53" s="2"/>
      <c r="D53" s="2"/>
      <c r="E53" s="2"/>
      <c r="F53" s="2"/>
      <c r="G53" s="2"/>
      <c r="H53" s="2"/>
      <c r="I53" s="2">
        <v>65.539599999999993</v>
      </c>
      <c r="J53" s="2">
        <v>223</v>
      </c>
      <c r="K53" s="2">
        <v>65.123900000000006</v>
      </c>
      <c r="L53" s="2">
        <v>236</v>
      </c>
      <c r="M53" s="2">
        <v>109.0386</v>
      </c>
      <c r="N53" s="2">
        <v>51</v>
      </c>
      <c r="O53" s="2">
        <v>111.1769</v>
      </c>
      <c r="P53" s="2">
        <v>37</v>
      </c>
      <c r="Q53" s="2">
        <v>102.7907</v>
      </c>
      <c r="R53" s="2">
        <v>190</v>
      </c>
      <c r="S53" s="2">
        <v>99.271100000000004</v>
      </c>
      <c r="T53" s="2">
        <v>105</v>
      </c>
      <c r="U53" s="2">
        <v>0.786269</v>
      </c>
      <c r="V53" s="2">
        <v>52</v>
      </c>
      <c r="W53" s="2">
        <v>2008</v>
      </c>
    </row>
    <row r="54" spans="1:23" ht="12.3" x14ac:dyDescent="0.4">
      <c r="A54" s="2" t="s">
        <v>23</v>
      </c>
      <c r="B54" s="2"/>
      <c r="C54" s="2"/>
      <c r="D54" s="2"/>
      <c r="E54" s="2"/>
      <c r="F54" s="2"/>
      <c r="G54" s="2"/>
      <c r="H54" s="2"/>
      <c r="I54" s="2">
        <v>72.5411</v>
      </c>
      <c r="J54" s="2">
        <v>20</v>
      </c>
      <c r="K54" s="2">
        <v>71.6965</v>
      </c>
      <c r="L54" s="2">
        <v>25</v>
      </c>
      <c r="M54" s="2">
        <v>107.3575</v>
      </c>
      <c r="N54" s="2">
        <v>73</v>
      </c>
      <c r="O54" s="2">
        <v>109.68049999999999</v>
      </c>
      <c r="P54" s="2">
        <v>50</v>
      </c>
      <c r="Q54" s="2">
        <v>101.57510000000001</v>
      </c>
      <c r="R54" s="2">
        <v>155</v>
      </c>
      <c r="S54" s="2">
        <v>98.001999999999995</v>
      </c>
      <c r="T54" s="2">
        <v>84</v>
      </c>
      <c r="U54" s="2">
        <v>0.78494299999999995</v>
      </c>
      <c r="V54" s="2">
        <v>53</v>
      </c>
      <c r="W54" s="2">
        <v>2008</v>
      </c>
    </row>
    <row r="55" spans="1:23" ht="12.3" x14ac:dyDescent="0.4">
      <c r="A55" s="2" t="s">
        <v>78</v>
      </c>
      <c r="B55" s="2">
        <v>12</v>
      </c>
      <c r="C55" s="3" t="s">
        <v>33</v>
      </c>
      <c r="D55" s="3" t="s">
        <v>33</v>
      </c>
      <c r="E55" s="2"/>
      <c r="F55" s="2"/>
      <c r="G55" s="2"/>
      <c r="H55" s="2"/>
      <c r="I55" s="2">
        <v>69.0578</v>
      </c>
      <c r="J55" s="2">
        <v>96</v>
      </c>
      <c r="K55" s="2">
        <v>69.017200000000003</v>
      </c>
      <c r="L55" s="2">
        <v>90</v>
      </c>
      <c r="M55" s="2">
        <v>105.37779999999999</v>
      </c>
      <c r="N55" s="2">
        <v>109</v>
      </c>
      <c r="O55" s="2">
        <v>106.6808</v>
      </c>
      <c r="P55" s="2">
        <v>91</v>
      </c>
      <c r="Q55" s="2">
        <v>100.4832</v>
      </c>
      <c r="R55" s="2">
        <v>126</v>
      </c>
      <c r="S55" s="2">
        <v>95.487399999999994</v>
      </c>
      <c r="T55" s="2">
        <v>44</v>
      </c>
      <c r="U55" s="2">
        <v>0.78155399999999997</v>
      </c>
      <c r="V55" s="2">
        <v>54</v>
      </c>
      <c r="W55" s="2">
        <v>2008</v>
      </c>
    </row>
    <row r="56" spans="1:23" ht="12.3" x14ac:dyDescent="0.4">
      <c r="A56" s="2" t="s">
        <v>111</v>
      </c>
      <c r="B56" s="2">
        <v>4</v>
      </c>
      <c r="C56" s="2"/>
      <c r="D56" s="2"/>
      <c r="E56" s="2"/>
      <c r="F56" s="2"/>
      <c r="G56" s="2"/>
      <c r="H56" s="2"/>
      <c r="I56" s="2">
        <v>71.372</v>
      </c>
      <c r="J56" s="2">
        <v>40</v>
      </c>
      <c r="K56" s="2">
        <v>69.7072</v>
      </c>
      <c r="L56" s="2">
        <v>75</v>
      </c>
      <c r="M56" s="2">
        <v>110.18219999999999</v>
      </c>
      <c r="N56" s="2">
        <v>38</v>
      </c>
      <c r="O56" s="2">
        <v>110.4747</v>
      </c>
      <c r="P56" s="2">
        <v>42</v>
      </c>
      <c r="Q56" s="2">
        <v>101.6717</v>
      </c>
      <c r="R56" s="2">
        <v>161</v>
      </c>
      <c r="S56" s="2">
        <v>98.952600000000004</v>
      </c>
      <c r="T56" s="2">
        <v>96</v>
      </c>
      <c r="U56" s="2">
        <v>0.78017400000000003</v>
      </c>
      <c r="V56" s="2">
        <v>55</v>
      </c>
      <c r="W56" s="2">
        <v>2008</v>
      </c>
    </row>
    <row r="57" spans="1:23" ht="12.3" x14ac:dyDescent="0.4">
      <c r="A57" s="2" t="s">
        <v>82</v>
      </c>
      <c r="B57" s="2"/>
      <c r="C57" s="2"/>
      <c r="D57" s="2"/>
      <c r="E57" s="2"/>
      <c r="F57" s="2"/>
      <c r="G57" s="2"/>
      <c r="H57" s="2"/>
      <c r="I57" s="2">
        <v>61.654899999999998</v>
      </c>
      <c r="J57" s="2">
        <v>318</v>
      </c>
      <c r="K57" s="2">
        <v>62.817799999999998</v>
      </c>
      <c r="L57" s="2">
        <v>304</v>
      </c>
      <c r="M57" s="2">
        <v>100.5762</v>
      </c>
      <c r="N57" s="2">
        <v>193</v>
      </c>
      <c r="O57" s="2">
        <v>103.5641</v>
      </c>
      <c r="P57" s="2">
        <v>147</v>
      </c>
      <c r="Q57" s="2">
        <v>96.120999999999995</v>
      </c>
      <c r="R57" s="2">
        <v>50</v>
      </c>
      <c r="S57" s="2">
        <v>92.844899999999996</v>
      </c>
      <c r="T57" s="2">
        <v>21</v>
      </c>
      <c r="U57" s="2">
        <v>0.77842199999999995</v>
      </c>
      <c r="V57" s="2">
        <v>56</v>
      </c>
      <c r="W57" s="2">
        <v>2008</v>
      </c>
    </row>
    <row r="58" spans="1:23" ht="12.3" x14ac:dyDescent="0.4">
      <c r="A58" s="2" t="s">
        <v>20</v>
      </c>
      <c r="B58" s="2"/>
      <c r="C58" s="2"/>
      <c r="D58" s="2"/>
      <c r="E58" s="2"/>
      <c r="F58" s="2"/>
      <c r="G58" s="2"/>
      <c r="H58" s="2"/>
      <c r="I58" s="2">
        <v>68.376099999999994</v>
      </c>
      <c r="J58" s="2">
        <v>118</v>
      </c>
      <c r="K58" s="2">
        <v>66.853800000000007</v>
      </c>
      <c r="L58" s="2">
        <v>164</v>
      </c>
      <c r="M58" s="2">
        <v>104.01990000000001</v>
      </c>
      <c r="N58" s="2">
        <v>134</v>
      </c>
      <c r="O58" s="2">
        <v>106.7761</v>
      </c>
      <c r="P58" s="2">
        <v>88</v>
      </c>
      <c r="Q58" s="2">
        <v>99.170299999999997</v>
      </c>
      <c r="R58" s="2">
        <v>94</v>
      </c>
      <c r="S58" s="2">
        <v>95.933899999999994</v>
      </c>
      <c r="T58" s="2">
        <v>52</v>
      </c>
      <c r="U58" s="2">
        <v>0.77405599999999997</v>
      </c>
      <c r="V58" s="2">
        <v>57</v>
      </c>
      <c r="W58" s="2">
        <v>2008</v>
      </c>
    </row>
    <row r="59" spans="1:23" ht="12.3" x14ac:dyDescent="0.4">
      <c r="A59" s="2" t="s">
        <v>73</v>
      </c>
      <c r="B59" s="2"/>
      <c r="C59" s="2"/>
      <c r="D59" s="2"/>
      <c r="E59" s="2"/>
      <c r="F59" s="2"/>
      <c r="G59" s="2"/>
      <c r="H59" s="2"/>
      <c r="I59" s="2">
        <v>71.670900000000003</v>
      </c>
      <c r="J59" s="2">
        <v>34</v>
      </c>
      <c r="K59" s="2">
        <v>71.05</v>
      </c>
      <c r="L59" s="2">
        <v>39</v>
      </c>
      <c r="M59" s="2">
        <v>106.4515</v>
      </c>
      <c r="N59" s="2">
        <v>87</v>
      </c>
      <c r="O59" s="2">
        <v>111.509</v>
      </c>
      <c r="P59" s="2">
        <v>36</v>
      </c>
      <c r="Q59" s="2">
        <v>99.917000000000002</v>
      </c>
      <c r="R59" s="2">
        <v>112</v>
      </c>
      <c r="S59" s="2">
        <v>100.24939999999999</v>
      </c>
      <c r="T59" s="2">
        <v>122</v>
      </c>
      <c r="U59" s="2">
        <v>0.77278599999999997</v>
      </c>
      <c r="V59" s="2">
        <v>58</v>
      </c>
      <c r="W59" s="2">
        <v>2008</v>
      </c>
    </row>
    <row r="60" spans="1:23" ht="12.3" x14ac:dyDescent="0.4">
      <c r="A60" s="2" t="s">
        <v>287</v>
      </c>
      <c r="B60" s="2">
        <v>10</v>
      </c>
      <c r="C60" s="2"/>
      <c r="D60" s="2"/>
      <c r="E60" s="2"/>
      <c r="F60" s="2"/>
      <c r="G60" s="2"/>
      <c r="H60" s="2"/>
      <c r="I60" s="2">
        <v>66.862899999999996</v>
      </c>
      <c r="J60" s="2">
        <v>175</v>
      </c>
      <c r="K60" s="2">
        <v>66.534999999999997</v>
      </c>
      <c r="L60" s="2">
        <v>177</v>
      </c>
      <c r="M60" s="2">
        <v>112.7932</v>
      </c>
      <c r="N60" s="2">
        <v>18</v>
      </c>
      <c r="O60" s="2">
        <v>110.8569</v>
      </c>
      <c r="P60" s="2">
        <v>40</v>
      </c>
      <c r="Q60" s="2">
        <v>97.214500000000001</v>
      </c>
      <c r="R60" s="2">
        <v>64</v>
      </c>
      <c r="S60" s="2">
        <v>99.782399999999996</v>
      </c>
      <c r="T60" s="2">
        <v>113</v>
      </c>
      <c r="U60" s="2">
        <v>0.77036199999999999</v>
      </c>
      <c r="V60" s="2">
        <v>59</v>
      </c>
      <c r="W60" s="2">
        <v>2008</v>
      </c>
    </row>
    <row r="61" spans="1:23" ht="12.3" x14ac:dyDescent="0.4">
      <c r="A61" s="2" t="s">
        <v>128</v>
      </c>
      <c r="B61" s="2"/>
      <c r="C61" s="2"/>
      <c r="D61" s="2"/>
      <c r="E61" s="2"/>
      <c r="F61" s="2"/>
      <c r="G61" s="2"/>
      <c r="H61" s="2"/>
      <c r="I61" s="2">
        <v>68.182299999999998</v>
      </c>
      <c r="J61" s="2">
        <v>126</v>
      </c>
      <c r="K61" s="2">
        <v>68.459100000000007</v>
      </c>
      <c r="L61" s="2">
        <v>111</v>
      </c>
      <c r="M61" s="2">
        <v>107.4722</v>
      </c>
      <c r="N61" s="2">
        <v>68</v>
      </c>
      <c r="O61" s="2">
        <v>109.2517</v>
      </c>
      <c r="P61" s="2">
        <v>56</v>
      </c>
      <c r="Q61" s="2">
        <v>96.056100000000001</v>
      </c>
      <c r="R61" s="2">
        <v>49</v>
      </c>
      <c r="S61" s="2">
        <v>98.342600000000004</v>
      </c>
      <c r="T61" s="2">
        <v>91</v>
      </c>
      <c r="U61" s="2">
        <v>0.770258</v>
      </c>
      <c r="V61" s="2">
        <v>60</v>
      </c>
      <c r="W61" s="2">
        <v>2008</v>
      </c>
    </row>
    <row r="62" spans="1:23" ht="12.3" x14ac:dyDescent="0.4">
      <c r="A62" s="2" t="s">
        <v>131</v>
      </c>
      <c r="B62" s="2"/>
      <c r="C62" s="2"/>
      <c r="D62" s="2"/>
      <c r="E62" s="2"/>
      <c r="F62" s="2"/>
      <c r="G62" s="2"/>
      <c r="H62" s="2"/>
      <c r="I62" s="2">
        <v>69.190899999999999</v>
      </c>
      <c r="J62" s="2">
        <v>93</v>
      </c>
      <c r="K62" s="2">
        <v>69.913499999999999</v>
      </c>
      <c r="L62" s="2">
        <v>63</v>
      </c>
      <c r="M62" s="2">
        <v>105.2649</v>
      </c>
      <c r="N62" s="2">
        <v>112</v>
      </c>
      <c r="O62" s="2">
        <v>107.3998</v>
      </c>
      <c r="P62" s="2">
        <v>75</v>
      </c>
      <c r="Q62" s="2">
        <v>101.9807</v>
      </c>
      <c r="R62" s="2">
        <v>173</v>
      </c>
      <c r="S62" s="2">
        <v>96.924800000000005</v>
      </c>
      <c r="T62" s="2">
        <v>64</v>
      </c>
      <c r="U62" s="2">
        <v>0.76497700000000002</v>
      </c>
      <c r="V62" s="2">
        <v>61</v>
      </c>
      <c r="W62" s="2">
        <v>2008</v>
      </c>
    </row>
    <row r="63" spans="1:23" ht="12.3" x14ac:dyDescent="0.4">
      <c r="A63" s="2" t="s">
        <v>72</v>
      </c>
      <c r="B63" s="2"/>
      <c r="C63" s="2"/>
      <c r="D63" s="2"/>
      <c r="E63" s="2"/>
      <c r="F63" s="2"/>
      <c r="G63" s="2"/>
      <c r="H63" s="2"/>
      <c r="I63" s="2">
        <v>67.0351</v>
      </c>
      <c r="J63" s="2">
        <v>170</v>
      </c>
      <c r="K63" s="2">
        <v>65.682900000000004</v>
      </c>
      <c r="L63" s="2">
        <v>212</v>
      </c>
      <c r="M63" s="2">
        <v>103.0142</v>
      </c>
      <c r="N63" s="2">
        <v>155</v>
      </c>
      <c r="O63" s="2">
        <v>108.01739999999999</v>
      </c>
      <c r="P63" s="2">
        <v>67</v>
      </c>
      <c r="Q63" s="2">
        <v>100.11539999999999</v>
      </c>
      <c r="R63" s="2">
        <v>116</v>
      </c>
      <c r="S63" s="2">
        <v>97.487899999999996</v>
      </c>
      <c r="T63" s="2">
        <v>69</v>
      </c>
      <c r="U63" s="2">
        <v>0.76485700000000001</v>
      </c>
      <c r="V63" s="2">
        <v>62</v>
      </c>
      <c r="W63" s="2">
        <v>2008</v>
      </c>
    </row>
    <row r="64" spans="1:23" ht="12.3" x14ac:dyDescent="0.4">
      <c r="A64" s="2" t="s">
        <v>90</v>
      </c>
      <c r="B64" s="2"/>
      <c r="C64" s="2"/>
      <c r="D64" s="2"/>
      <c r="E64" s="2"/>
      <c r="F64" s="2"/>
      <c r="G64" s="2"/>
      <c r="H64" s="2"/>
      <c r="I64" s="2">
        <v>65.396900000000002</v>
      </c>
      <c r="J64" s="2">
        <v>228</v>
      </c>
      <c r="K64" s="2">
        <v>66.640500000000003</v>
      </c>
      <c r="L64" s="2">
        <v>170</v>
      </c>
      <c r="M64" s="2">
        <v>105.9182</v>
      </c>
      <c r="N64" s="2">
        <v>96</v>
      </c>
      <c r="O64" s="2">
        <v>107.98309999999999</v>
      </c>
      <c r="P64" s="2">
        <v>69</v>
      </c>
      <c r="Q64" s="2">
        <v>97.764300000000006</v>
      </c>
      <c r="R64" s="2">
        <v>73</v>
      </c>
      <c r="S64" s="2">
        <v>97.509699999999995</v>
      </c>
      <c r="T64" s="2">
        <v>70</v>
      </c>
      <c r="U64" s="2">
        <v>0.763733</v>
      </c>
      <c r="V64" s="2">
        <v>63</v>
      </c>
      <c r="W64" s="2">
        <v>2008</v>
      </c>
    </row>
    <row r="65" spans="1:23" ht="12.3" x14ac:dyDescent="0.4">
      <c r="A65" s="2" t="s">
        <v>36</v>
      </c>
      <c r="B65" s="2"/>
      <c r="C65" s="2"/>
      <c r="D65" s="2"/>
      <c r="E65" s="2"/>
      <c r="F65" s="2"/>
      <c r="G65" s="2"/>
      <c r="H65" s="2"/>
      <c r="I65" s="2">
        <v>72.006600000000006</v>
      </c>
      <c r="J65" s="2">
        <v>27</v>
      </c>
      <c r="K65" s="2">
        <v>71.539699999999996</v>
      </c>
      <c r="L65" s="2">
        <v>29</v>
      </c>
      <c r="M65" s="2">
        <v>101.5993</v>
      </c>
      <c r="N65" s="2">
        <v>173</v>
      </c>
      <c r="O65" s="2">
        <v>105.3412</v>
      </c>
      <c r="P65" s="2">
        <v>114</v>
      </c>
      <c r="Q65" s="2">
        <v>96.1554</v>
      </c>
      <c r="R65" s="2">
        <v>51</v>
      </c>
      <c r="S65" s="2">
        <v>95.190600000000003</v>
      </c>
      <c r="T65" s="2">
        <v>41</v>
      </c>
      <c r="U65" s="2">
        <v>0.76227900000000004</v>
      </c>
      <c r="V65" s="2">
        <v>64</v>
      </c>
      <c r="W65" s="2">
        <v>2008</v>
      </c>
    </row>
    <row r="66" spans="1:23" ht="12.3" x14ac:dyDescent="0.4">
      <c r="A66" s="2" t="s">
        <v>57</v>
      </c>
      <c r="B66" s="2"/>
      <c r="C66" s="2"/>
      <c r="D66" s="2"/>
      <c r="E66" s="2"/>
      <c r="F66" s="2"/>
      <c r="G66" s="2"/>
      <c r="H66" s="2"/>
      <c r="I66" s="2">
        <v>68.905299999999997</v>
      </c>
      <c r="J66" s="2">
        <v>100</v>
      </c>
      <c r="K66" s="2">
        <v>69.769199999999998</v>
      </c>
      <c r="L66" s="2">
        <v>73</v>
      </c>
      <c r="M66" s="2">
        <v>110.77030000000001</v>
      </c>
      <c r="N66" s="2">
        <v>30</v>
      </c>
      <c r="O66" s="2">
        <v>115.4509</v>
      </c>
      <c r="P66" s="2">
        <v>8</v>
      </c>
      <c r="Q66" s="2">
        <v>108.4747</v>
      </c>
      <c r="R66" s="2">
        <v>301</v>
      </c>
      <c r="S66" s="2">
        <v>104.5596</v>
      </c>
      <c r="T66" s="2">
        <v>216</v>
      </c>
      <c r="U66" s="2">
        <v>0.75759200000000004</v>
      </c>
      <c r="V66" s="2">
        <v>65</v>
      </c>
      <c r="W66" s="2">
        <v>2008</v>
      </c>
    </row>
    <row r="67" spans="1:23" ht="12.3" x14ac:dyDescent="0.4">
      <c r="A67" s="2" t="s">
        <v>155</v>
      </c>
      <c r="B67" s="2"/>
      <c r="C67" s="2"/>
      <c r="D67" s="2"/>
      <c r="E67" s="2"/>
      <c r="F67" s="2"/>
      <c r="G67" s="2"/>
      <c r="H67" s="2"/>
      <c r="I67" s="2">
        <v>75.841200000000001</v>
      </c>
      <c r="J67" s="2">
        <v>4</v>
      </c>
      <c r="K67" s="2">
        <v>75.727400000000003</v>
      </c>
      <c r="L67" s="2">
        <v>4</v>
      </c>
      <c r="M67" s="2">
        <v>107.7067</v>
      </c>
      <c r="N67" s="2">
        <v>64</v>
      </c>
      <c r="O67" s="2">
        <v>108.5008</v>
      </c>
      <c r="P67" s="2">
        <v>63</v>
      </c>
      <c r="Q67" s="2">
        <v>100.395</v>
      </c>
      <c r="R67" s="2">
        <v>125</v>
      </c>
      <c r="S67" s="2">
        <v>98.363600000000005</v>
      </c>
      <c r="T67" s="2">
        <v>92</v>
      </c>
      <c r="U67" s="2">
        <v>0.75546800000000003</v>
      </c>
      <c r="V67" s="2">
        <v>66</v>
      </c>
      <c r="W67" s="2">
        <v>2008</v>
      </c>
    </row>
    <row r="68" spans="1:23" ht="12.3" x14ac:dyDescent="0.4">
      <c r="A68" s="2" t="s">
        <v>138</v>
      </c>
      <c r="B68" s="2">
        <v>13</v>
      </c>
      <c r="C68" s="2"/>
      <c r="D68" s="2"/>
      <c r="E68" s="2"/>
      <c r="F68" s="2"/>
      <c r="G68" s="2"/>
      <c r="H68" s="2"/>
      <c r="I68" s="2">
        <v>64.919399999999996</v>
      </c>
      <c r="J68" s="2">
        <v>252</v>
      </c>
      <c r="K68" s="2">
        <v>65.232600000000005</v>
      </c>
      <c r="L68" s="2">
        <v>232</v>
      </c>
      <c r="M68" s="2">
        <v>105.22490000000001</v>
      </c>
      <c r="N68" s="2">
        <v>113</v>
      </c>
      <c r="O68" s="2">
        <v>102.7894</v>
      </c>
      <c r="P68" s="2">
        <v>157</v>
      </c>
      <c r="Q68" s="2">
        <v>94.201800000000006</v>
      </c>
      <c r="R68" s="2">
        <v>27</v>
      </c>
      <c r="S68" s="2">
        <v>93.205399999999997</v>
      </c>
      <c r="T68" s="2">
        <v>22</v>
      </c>
      <c r="U68" s="2">
        <v>0.755023</v>
      </c>
      <c r="V68" s="2">
        <v>67</v>
      </c>
      <c r="W68" s="2">
        <v>2008</v>
      </c>
    </row>
    <row r="69" spans="1:23" ht="12.3" x14ac:dyDescent="0.4">
      <c r="A69" s="2" t="s">
        <v>37</v>
      </c>
      <c r="B69" s="2"/>
      <c r="C69" s="2"/>
      <c r="D69" s="2"/>
      <c r="E69" s="2"/>
      <c r="F69" s="2"/>
      <c r="G69" s="2"/>
      <c r="H69" s="2"/>
      <c r="I69" s="2">
        <v>67.728899999999996</v>
      </c>
      <c r="J69" s="2">
        <v>146</v>
      </c>
      <c r="K69" s="2">
        <v>66.895899999999997</v>
      </c>
      <c r="L69" s="2">
        <v>162</v>
      </c>
      <c r="M69" s="2">
        <v>114.7253</v>
      </c>
      <c r="N69" s="2">
        <v>7</v>
      </c>
      <c r="O69" s="2">
        <v>113.0784</v>
      </c>
      <c r="P69" s="2">
        <v>21</v>
      </c>
      <c r="Q69" s="2">
        <v>100.9406</v>
      </c>
      <c r="R69" s="2">
        <v>139</v>
      </c>
      <c r="S69" s="2">
        <v>102.9663</v>
      </c>
      <c r="T69" s="2">
        <v>181</v>
      </c>
      <c r="U69" s="2">
        <v>0.74598699999999996</v>
      </c>
      <c r="V69" s="2">
        <v>68</v>
      </c>
      <c r="W69" s="2">
        <v>2008</v>
      </c>
    </row>
    <row r="70" spans="1:23" ht="12.3" x14ac:dyDescent="0.4">
      <c r="A70" s="2" t="s">
        <v>64</v>
      </c>
      <c r="B70" s="2"/>
      <c r="C70" s="2"/>
      <c r="D70" s="2"/>
      <c r="E70" s="2"/>
      <c r="F70" s="2"/>
      <c r="G70" s="2"/>
      <c r="H70" s="2"/>
      <c r="I70" s="2">
        <v>62.041899999999998</v>
      </c>
      <c r="J70" s="2">
        <v>313</v>
      </c>
      <c r="K70" s="2">
        <v>62.814599999999999</v>
      </c>
      <c r="L70" s="2">
        <v>305</v>
      </c>
      <c r="M70" s="2">
        <v>108.70910000000001</v>
      </c>
      <c r="N70" s="2">
        <v>53</v>
      </c>
      <c r="O70" s="2">
        <v>109.8933</v>
      </c>
      <c r="P70" s="2">
        <v>48</v>
      </c>
      <c r="Q70" s="2">
        <v>101.90260000000001</v>
      </c>
      <c r="R70" s="2">
        <v>168</v>
      </c>
      <c r="S70" s="2">
        <v>100.0801</v>
      </c>
      <c r="T70" s="2">
        <v>120</v>
      </c>
      <c r="U70" s="2">
        <v>0.74567899999999998</v>
      </c>
      <c r="V70" s="2">
        <v>69</v>
      </c>
      <c r="W70" s="2">
        <v>2008</v>
      </c>
    </row>
    <row r="71" spans="1:23" ht="12.3" x14ac:dyDescent="0.4">
      <c r="A71" s="2" t="s">
        <v>61</v>
      </c>
      <c r="B71" s="2"/>
      <c r="C71" s="2"/>
      <c r="D71" s="2"/>
      <c r="E71" s="2"/>
      <c r="F71" s="2"/>
      <c r="G71" s="2"/>
      <c r="H71" s="2"/>
      <c r="I71" s="2">
        <v>70.422799999999995</v>
      </c>
      <c r="J71" s="2">
        <v>59</v>
      </c>
      <c r="K71" s="2">
        <v>69.887</v>
      </c>
      <c r="L71" s="2">
        <v>66</v>
      </c>
      <c r="M71" s="2">
        <v>102.2146</v>
      </c>
      <c r="N71" s="2">
        <v>164</v>
      </c>
      <c r="O71" s="2">
        <v>105.98399999999999</v>
      </c>
      <c r="P71" s="2">
        <v>107</v>
      </c>
      <c r="Q71" s="2">
        <v>97.704899999999995</v>
      </c>
      <c r="R71" s="2">
        <v>72</v>
      </c>
      <c r="S71" s="2">
        <v>96.541499999999999</v>
      </c>
      <c r="T71" s="2">
        <v>60</v>
      </c>
      <c r="U71" s="2">
        <v>0.74519000000000002</v>
      </c>
      <c r="V71" s="2">
        <v>70</v>
      </c>
      <c r="W71" s="2">
        <v>2008</v>
      </c>
    </row>
    <row r="72" spans="1:23" ht="12.3" x14ac:dyDescent="0.4">
      <c r="A72" s="2" t="s">
        <v>199</v>
      </c>
      <c r="B72" s="2"/>
      <c r="C72" s="2"/>
      <c r="D72" s="2"/>
      <c r="E72" s="2"/>
      <c r="F72" s="2"/>
      <c r="G72" s="2"/>
      <c r="H72" s="2"/>
      <c r="I72" s="2">
        <v>63.214199999999998</v>
      </c>
      <c r="J72" s="2">
        <v>295</v>
      </c>
      <c r="K72" s="2">
        <v>62.346499999999999</v>
      </c>
      <c r="L72" s="2">
        <v>315</v>
      </c>
      <c r="M72" s="2">
        <v>117.32640000000001</v>
      </c>
      <c r="N72" s="2">
        <v>2</v>
      </c>
      <c r="O72" s="2">
        <v>114.8</v>
      </c>
      <c r="P72" s="2">
        <v>11</v>
      </c>
      <c r="Q72" s="2">
        <v>102.4654</v>
      </c>
      <c r="R72" s="2">
        <v>183</v>
      </c>
      <c r="S72" s="2">
        <v>104.66240000000001</v>
      </c>
      <c r="T72" s="2">
        <v>218</v>
      </c>
      <c r="U72" s="2">
        <v>0.74329999999999996</v>
      </c>
      <c r="V72" s="2">
        <v>71</v>
      </c>
      <c r="W72" s="2">
        <v>2008</v>
      </c>
    </row>
    <row r="73" spans="1:23" ht="12.3" x14ac:dyDescent="0.4">
      <c r="A73" s="2" t="s">
        <v>75</v>
      </c>
      <c r="B73" s="2"/>
      <c r="C73" s="2"/>
      <c r="D73" s="2"/>
      <c r="E73" s="2"/>
      <c r="F73" s="2"/>
      <c r="G73" s="2"/>
      <c r="H73" s="2"/>
      <c r="I73" s="2">
        <v>65.245800000000003</v>
      </c>
      <c r="J73" s="2">
        <v>231</v>
      </c>
      <c r="K73" s="2">
        <v>66.248000000000005</v>
      </c>
      <c r="L73" s="2">
        <v>188</v>
      </c>
      <c r="M73" s="2">
        <v>104.9709</v>
      </c>
      <c r="N73" s="2">
        <v>117</v>
      </c>
      <c r="O73" s="2">
        <v>106.8139</v>
      </c>
      <c r="P73" s="2">
        <v>86</v>
      </c>
      <c r="Q73" s="2">
        <v>97.049599999999998</v>
      </c>
      <c r="R73" s="2">
        <v>61</v>
      </c>
      <c r="S73" s="2">
        <v>97.435199999999995</v>
      </c>
      <c r="T73" s="2">
        <v>68</v>
      </c>
      <c r="U73" s="2">
        <v>0.742089</v>
      </c>
      <c r="V73" s="2">
        <v>72</v>
      </c>
      <c r="W73" s="2">
        <v>2008</v>
      </c>
    </row>
    <row r="74" spans="1:23" ht="12.3" x14ac:dyDescent="0.4">
      <c r="A74" s="2" t="s">
        <v>70</v>
      </c>
      <c r="B74" s="2"/>
      <c r="C74" s="2"/>
      <c r="D74" s="2"/>
      <c r="E74" s="2"/>
      <c r="F74" s="2"/>
      <c r="G74" s="2"/>
      <c r="H74" s="2"/>
      <c r="I74" s="2">
        <v>62.785699999999999</v>
      </c>
      <c r="J74" s="2">
        <v>303</v>
      </c>
      <c r="K74" s="2">
        <v>63.640799999999999</v>
      </c>
      <c r="L74" s="2">
        <v>289</v>
      </c>
      <c r="M74" s="2">
        <v>107.35080000000001</v>
      </c>
      <c r="N74" s="2">
        <v>74</v>
      </c>
      <c r="O74" s="2">
        <v>108.4425</v>
      </c>
      <c r="P74" s="2">
        <v>65</v>
      </c>
      <c r="Q74" s="2">
        <v>99.562399999999997</v>
      </c>
      <c r="R74" s="2">
        <v>105</v>
      </c>
      <c r="S74" s="2">
        <v>98.973500000000001</v>
      </c>
      <c r="T74" s="2">
        <v>98</v>
      </c>
      <c r="U74" s="2">
        <v>0.74091499999999999</v>
      </c>
      <c r="V74" s="2">
        <v>73</v>
      </c>
      <c r="W74" s="2">
        <v>2008</v>
      </c>
    </row>
    <row r="75" spans="1:23" ht="12.3" x14ac:dyDescent="0.4">
      <c r="A75" s="2" t="s">
        <v>51</v>
      </c>
      <c r="B75" s="2"/>
      <c r="C75" s="2"/>
      <c r="D75" s="2"/>
      <c r="E75" s="2"/>
      <c r="F75" s="2"/>
      <c r="G75" s="2"/>
      <c r="H75" s="2"/>
      <c r="I75" s="2">
        <v>71.257499999999993</v>
      </c>
      <c r="J75" s="2">
        <v>41</v>
      </c>
      <c r="K75" s="2">
        <v>70.384100000000004</v>
      </c>
      <c r="L75" s="2">
        <v>50</v>
      </c>
      <c r="M75" s="2">
        <v>110.9152</v>
      </c>
      <c r="N75" s="2">
        <v>29</v>
      </c>
      <c r="O75" s="2">
        <v>110.94589999999999</v>
      </c>
      <c r="P75" s="2">
        <v>39</v>
      </c>
      <c r="Q75" s="2">
        <v>101.9709</v>
      </c>
      <c r="R75" s="2">
        <v>170</v>
      </c>
      <c r="S75" s="2">
        <v>101.3733</v>
      </c>
      <c r="T75" s="2">
        <v>146</v>
      </c>
      <c r="U75" s="2">
        <v>0.738402</v>
      </c>
      <c r="V75" s="2">
        <v>74</v>
      </c>
      <c r="W75" s="2">
        <v>2008</v>
      </c>
    </row>
    <row r="76" spans="1:23" ht="12.3" x14ac:dyDescent="0.4">
      <c r="A76" s="2" t="s">
        <v>167</v>
      </c>
      <c r="B76" s="2"/>
      <c r="C76" s="2"/>
      <c r="D76" s="2"/>
      <c r="E76" s="2"/>
      <c r="F76" s="2"/>
      <c r="G76" s="2"/>
      <c r="H76" s="2"/>
      <c r="I76" s="2">
        <v>59.232399999999998</v>
      </c>
      <c r="J76" s="2">
        <v>335</v>
      </c>
      <c r="K76" s="2">
        <v>59.673999999999999</v>
      </c>
      <c r="L76" s="2">
        <v>335</v>
      </c>
      <c r="M76" s="2">
        <v>104.173</v>
      </c>
      <c r="N76" s="2">
        <v>130</v>
      </c>
      <c r="O76" s="2">
        <v>106.9395</v>
      </c>
      <c r="P76" s="2">
        <v>82</v>
      </c>
      <c r="Q76" s="2">
        <v>100.59820000000001</v>
      </c>
      <c r="R76" s="2">
        <v>130</v>
      </c>
      <c r="S76" s="2">
        <v>97.746300000000005</v>
      </c>
      <c r="T76" s="2">
        <v>78</v>
      </c>
      <c r="U76" s="2">
        <v>0.73763500000000004</v>
      </c>
      <c r="V76" s="2">
        <v>75</v>
      </c>
      <c r="W76" s="2">
        <v>2008</v>
      </c>
    </row>
    <row r="77" spans="1:23" ht="12.3" x14ac:dyDescent="0.4">
      <c r="A77" s="2" t="s">
        <v>59</v>
      </c>
      <c r="B77" s="2"/>
      <c r="C77" s="2"/>
      <c r="D77" s="2"/>
      <c r="E77" s="2"/>
      <c r="F77" s="2"/>
      <c r="G77" s="2"/>
      <c r="H77" s="2"/>
      <c r="I77" s="2">
        <v>69.422499999999999</v>
      </c>
      <c r="J77" s="2">
        <v>86</v>
      </c>
      <c r="K77" s="2">
        <v>69.850200000000001</v>
      </c>
      <c r="L77" s="2">
        <v>67</v>
      </c>
      <c r="M77" s="2">
        <v>100.2702</v>
      </c>
      <c r="N77" s="2">
        <v>199</v>
      </c>
      <c r="O77" s="2">
        <v>106.2176</v>
      </c>
      <c r="P77" s="2">
        <v>102</v>
      </c>
      <c r="Q77" s="2">
        <v>101.3357</v>
      </c>
      <c r="R77" s="2">
        <v>149</v>
      </c>
      <c r="S77" s="2">
        <v>97.147800000000004</v>
      </c>
      <c r="T77" s="2">
        <v>66</v>
      </c>
      <c r="U77" s="2">
        <v>0.73622600000000005</v>
      </c>
      <c r="V77" s="2">
        <v>76</v>
      </c>
      <c r="W77" s="2">
        <v>2008</v>
      </c>
    </row>
    <row r="78" spans="1:23" ht="12.3" x14ac:dyDescent="0.4">
      <c r="A78" s="2" t="s">
        <v>147</v>
      </c>
      <c r="B78" s="2">
        <v>12</v>
      </c>
      <c r="C78" s="2"/>
      <c r="D78" s="2"/>
      <c r="E78" s="2"/>
      <c r="F78" s="2"/>
      <c r="G78" s="2"/>
      <c r="H78" s="2"/>
      <c r="I78" s="2">
        <v>62.957999999999998</v>
      </c>
      <c r="J78" s="2">
        <v>299</v>
      </c>
      <c r="K78" s="2">
        <v>63.191200000000002</v>
      </c>
      <c r="L78" s="2">
        <v>297</v>
      </c>
      <c r="M78" s="2">
        <v>109.9854</v>
      </c>
      <c r="N78" s="2">
        <v>41</v>
      </c>
      <c r="O78" s="2">
        <v>109.28870000000001</v>
      </c>
      <c r="P78" s="2">
        <v>55</v>
      </c>
      <c r="Q78" s="2">
        <v>97.944800000000001</v>
      </c>
      <c r="R78" s="2">
        <v>76</v>
      </c>
      <c r="S78" s="2">
        <v>100.0801</v>
      </c>
      <c r="T78" s="2">
        <v>119</v>
      </c>
      <c r="U78" s="2">
        <v>0.73346100000000003</v>
      </c>
      <c r="V78" s="2">
        <v>77</v>
      </c>
      <c r="W78" s="2">
        <v>2008</v>
      </c>
    </row>
    <row r="79" spans="1:23" ht="12.3" x14ac:dyDescent="0.4">
      <c r="A79" s="2" t="s">
        <v>63</v>
      </c>
      <c r="B79" s="2"/>
      <c r="C79" s="2"/>
      <c r="D79" s="2"/>
      <c r="E79" s="2"/>
      <c r="F79" s="2"/>
      <c r="G79" s="2"/>
      <c r="H79" s="2"/>
      <c r="I79" s="2">
        <v>68.790599999999998</v>
      </c>
      <c r="J79" s="2">
        <v>106</v>
      </c>
      <c r="K79" s="2">
        <v>68.170299999999997</v>
      </c>
      <c r="L79" s="2">
        <v>120</v>
      </c>
      <c r="M79" s="2">
        <v>101.6936</v>
      </c>
      <c r="N79" s="2">
        <v>171</v>
      </c>
      <c r="O79" s="2">
        <v>103.0586</v>
      </c>
      <c r="P79" s="2">
        <v>154</v>
      </c>
      <c r="Q79" s="2">
        <v>97.083200000000005</v>
      </c>
      <c r="R79" s="2">
        <v>63</v>
      </c>
      <c r="S79" s="2">
        <v>94.384799999999998</v>
      </c>
      <c r="T79" s="2">
        <v>35</v>
      </c>
      <c r="U79" s="2">
        <v>0.73322500000000002</v>
      </c>
      <c r="V79" s="2">
        <v>78</v>
      </c>
      <c r="W79" s="2">
        <v>2008</v>
      </c>
    </row>
    <row r="80" spans="1:23" ht="12.3" x14ac:dyDescent="0.4">
      <c r="A80" s="2" t="s">
        <v>130</v>
      </c>
      <c r="B80" s="2"/>
      <c r="C80" s="2"/>
      <c r="D80" s="2"/>
      <c r="E80" s="2"/>
      <c r="F80" s="2"/>
      <c r="G80" s="2"/>
      <c r="H80" s="2"/>
      <c r="I80" s="2">
        <v>71.046000000000006</v>
      </c>
      <c r="J80" s="2">
        <v>48</v>
      </c>
      <c r="K80" s="2">
        <v>70.933899999999994</v>
      </c>
      <c r="L80" s="2">
        <v>41</v>
      </c>
      <c r="M80" s="2">
        <v>111.218</v>
      </c>
      <c r="N80" s="2">
        <v>24</v>
      </c>
      <c r="O80" s="2">
        <v>111.8135</v>
      </c>
      <c r="P80" s="2">
        <v>32</v>
      </c>
      <c r="Q80" s="2">
        <v>98.530299999999997</v>
      </c>
      <c r="R80" s="2">
        <v>81</v>
      </c>
      <c r="S80" s="2">
        <v>102.4554</v>
      </c>
      <c r="T80" s="2">
        <v>171</v>
      </c>
      <c r="U80" s="2">
        <v>0.73207</v>
      </c>
      <c r="V80" s="2">
        <v>79</v>
      </c>
      <c r="W80" s="2">
        <v>2008</v>
      </c>
    </row>
    <row r="81" spans="1:23" ht="12.3" x14ac:dyDescent="0.4">
      <c r="A81" s="2" t="s">
        <v>256</v>
      </c>
      <c r="B81" s="2"/>
      <c r="C81" s="2"/>
      <c r="D81" s="2"/>
      <c r="E81" s="2"/>
      <c r="F81" s="2"/>
      <c r="G81" s="2"/>
      <c r="H81" s="2"/>
      <c r="I81" s="2">
        <v>64.8245</v>
      </c>
      <c r="J81" s="2">
        <v>259</v>
      </c>
      <c r="K81" s="2">
        <v>65.014700000000005</v>
      </c>
      <c r="L81" s="2">
        <v>242</v>
      </c>
      <c r="M81" s="2">
        <v>109.3231</v>
      </c>
      <c r="N81" s="2">
        <v>45</v>
      </c>
      <c r="O81" s="2">
        <v>109.509</v>
      </c>
      <c r="P81" s="2">
        <v>53</v>
      </c>
      <c r="Q81" s="2">
        <v>98.165499999999994</v>
      </c>
      <c r="R81" s="2">
        <v>78</v>
      </c>
      <c r="S81" s="2">
        <v>100.7427</v>
      </c>
      <c r="T81" s="2">
        <v>131</v>
      </c>
      <c r="U81" s="2">
        <v>0.72302699999999998</v>
      </c>
      <c r="V81" s="2">
        <v>80</v>
      </c>
      <c r="W81" s="2">
        <v>2008</v>
      </c>
    </row>
    <row r="82" spans="1:23" ht="12.3" x14ac:dyDescent="0.4">
      <c r="A82" s="2" t="s">
        <v>69</v>
      </c>
      <c r="B82" s="2"/>
      <c r="C82" s="2"/>
      <c r="D82" s="2"/>
      <c r="E82" s="2"/>
      <c r="F82" s="2"/>
      <c r="G82" s="2"/>
      <c r="H82" s="2"/>
      <c r="I82" s="2">
        <v>66.274699999999996</v>
      </c>
      <c r="J82" s="2">
        <v>194</v>
      </c>
      <c r="K82" s="2">
        <v>65.548900000000003</v>
      </c>
      <c r="L82" s="2">
        <v>218</v>
      </c>
      <c r="M82" s="2">
        <v>103.7574</v>
      </c>
      <c r="N82" s="2">
        <v>138</v>
      </c>
      <c r="O82" s="2">
        <v>104.408</v>
      </c>
      <c r="P82" s="2">
        <v>130</v>
      </c>
      <c r="Q82" s="2">
        <v>96.273799999999994</v>
      </c>
      <c r="R82" s="2">
        <v>52</v>
      </c>
      <c r="S82" s="2">
        <v>96.392600000000002</v>
      </c>
      <c r="T82" s="2">
        <v>58</v>
      </c>
      <c r="U82" s="2">
        <v>0.71475299999999997</v>
      </c>
      <c r="V82" s="2">
        <v>81</v>
      </c>
      <c r="W82" s="2">
        <v>2008</v>
      </c>
    </row>
    <row r="83" spans="1:23" ht="12.3" x14ac:dyDescent="0.4">
      <c r="A83" s="2" t="s">
        <v>245</v>
      </c>
      <c r="B83" s="2"/>
      <c r="C83" s="2"/>
      <c r="D83" s="2"/>
      <c r="E83" s="2"/>
      <c r="F83" s="2"/>
      <c r="G83" s="2"/>
      <c r="H83" s="2"/>
      <c r="I83" s="2">
        <v>68.259799999999998</v>
      </c>
      <c r="J83" s="2">
        <v>123</v>
      </c>
      <c r="K83" s="2">
        <v>69.892799999999994</v>
      </c>
      <c r="L83" s="2">
        <v>65</v>
      </c>
      <c r="M83" s="2">
        <v>105.95050000000001</v>
      </c>
      <c r="N83" s="2">
        <v>94</v>
      </c>
      <c r="O83" s="2">
        <v>110.0812</v>
      </c>
      <c r="P83" s="2">
        <v>45</v>
      </c>
      <c r="Q83" s="2">
        <v>103.0064</v>
      </c>
      <c r="R83" s="2">
        <v>195</v>
      </c>
      <c r="S83" s="2">
        <v>101.70529999999999</v>
      </c>
      <c r="T83" s="2">
        <v>154</v>
      </c>
      <c r="U83" s="2">
        <v>0.71301899999999996</v>
      </c>
      <c r="V83" s="2">
        <v>82</v>
      </c>
      <c r="W83" s="2">
        <v>2008</v>
      </c>
    </row>
    <row r="84" spans="1:23" ht="12.3" x14ac:dyDescent="0.4">
      <c r="A84" s="2" t="s">
        <v>258</v>
      </c>
      <c r="B84" s="2"/>
      <c r="C84" s="2"/>
      <c r="D84" s="2"/>
      <c r="E84" s="2"/>
      <c r="F84" s="2"/>
      <c r="G84" s="2"/>
      <c r="H84" s="2"/>
      <c r="I84" s="2">
        <v>71.737700000000004</v>
      </c>
      <c r="J84" s="2">
        <v>31</v>
      </c>
      <c r="K84" s="2">
        <v>71.122699999999995</v>
      </c>
      <c r="L84" s="2">
        <v>36</v>
      </c>
      <c r="M84" s="2">
        <v>112.5603</v>
      </c>
      <c r="N84" s="2">
        <v>19</v>
      </c>
      <c r="O84" s="2">
        <v>113.16679999999999</v>
      </c>
      <c r="P84" s="2">
        <v>20</v>
      </c>
      <c r="Q84" s="2">
        <v>103.69499999999999</v>
      </c>
      <c r="R84" s="2">
        <v>208</v>
      </c>
      <c r="S84" s="2">
        <v>104.62139999999999</v>
      </c>
      <c r="T84" s="2">
        <v>217</v>
      </c>
      <c r="U84" s="2">
        <v>0.71154899999999999</v>
      </c>
      <c r="V84" s="2">
        <v>83</v>
      </c>
      <c r="W84" s="2">
        <v>2008</v>
      </c>
    </row>
    <row r="85" spans="1:23" ht="12.3" x14ac:dyDescent="0.4">
      <c r="A85" s="2" t="s">
        <v>87</v>
      </c>
      <c r="B85" s="2"/>
      <c r="C85" s="2"/>
      <c r="D85" s="2"/>
      <c r="E85" s="2"/>
      <c r="F85" s="2"/>
      <c r="G85" s="2"/>
      <c r="H85" s="2"/>
      <c r="I85" s="2">
        <v>71.1751</v>
      </c>
      <c r="J85" s="2">
        <v>45</v>
      </c>
      <c r="K85" s="2">
        <v>69.494100000000003</v>
      </c>
      <c r="L85" s="2">
        <v>80</v>
      </c>
      <c r="M85" s="2">
        <v>106.5198</v>
      </c>
      <c r="N85" s="2">
        <v>84</v>
      </c>
      <c r="O85" s="2">
        <v>109.55589999999999</v>
      </c>
      <c r="P85" s="2">
        <v>52</v>
      </c>
      <c r="Q85" s="2">
        <v>103.6169</v>
      </c>
      <c r="R85" s="2">
        <v>207</v>
      </c>
      <c r="S85" s="2">
        <v>101.28870000000001</v>
      </c>
      <c r="T85" s="2">
        <v>141</v>
      </c>
      <c r="U85" s="2">
        <v>0.71142000000000005</v>
      </c>
      <c r="V85" s="2">
        <v>84</v>
      </c>
      <c r="W85" s="2">
        <v>2008</v>
      </c>
    </row>
    <row r="86" spans="1:23" ht="12.3" x14ac:dyDescent="0.4">
      <c r="A86" s="2" t="s">
        <v>250</v>
      </c>
      <c r="B86" s="2"/>
      <c r="C86" s="2"/>
      <c r="D86" s="2"/>
      <c r="E86" s="2"/>
      <c r="F86" s="2"/>
      <c r="G86" s="2"/>
      <c r="H86" s="2"/>
      <c r="I86" s="2">
        <v>75.677099999999996</v>
      </c>
      <c r="J86" s="2">
        <v>5</v>
      </c>
      <c r="K86" s="2">
        <v>75.358199999999997</v>
      </c>
      <c r="L86" s="2">
        <v>5</v>
      </c>
      <c r="M86" s="2">
        <v>108.294</v>
      </c>
      <c r="N86" s="2">
        <v>60</v>
      </c>
      <c r="O86" s="2">
        <v>107.0244</v>
      </c>
      <c r="P86" s="2">
        <v>81</v>
      </c>
      <c r="Q86" s="2">
        <v>98.626800000000003</v>
      </c>
      <c r="R86" s="2">
        <v>82</v>
      </c>
      <c r="S86" s="2">
        <v>99.028800000000004</v>
      </c>
      <c r="T86" s="2">
        <v>100</v>
      </c>
      <c r="U86" s="2">
        <v>0.70949399999999996</v>
      </c>
      <c r="V86" s="2">
        <v>85</v>
      </c>
      <c r="W86" s="2">
        <v>2008</v>
      </c>
    </row>
    <row r="87" spans="1:23" ht="12.3" x14ac:dyDescent="0.4">
      <c r="A87" s="2" t="s">
        <v>45</v>
      </c>
      <c r="B87" s="2">
        <v>11</v>
      </c>
      <c r="C87" s="2"/>
      <c r="D87" s="2"/>
      <c r="E87" s="2"/>
      <c r="F87" s="2"/>
      <c r="G87" s="2"/>
      <c r="H87" s="2"/>
      <c r="I87" s="2">
        <v>65.746499999999997</v>
      </c>
      <c r="J87" s="2">
        <v>209</v>
      </c>
      <c r="K87" s="2">
        <v>63.935699999999997</v>
      </c>
      <c r="L87" s="2">
        <v>281</v>
      </c>
      <c r="M87" s="2">
        <v>103.1138</v>
      </c>
      <c r="N87" s="2">
        <v>151</v>
      </c>
      <c r="O87" s="2">
        <v>104.46420000000001</v>
      </c>
      <c r="P87" s="2">
        <v>128</v>
      </c>
      <c r="Q87" s="2">
        <v>97.912199999999999</v>
      </c>
      <c r="R87" s="2">
        <v>75</v>
      </c>
      <c r="S87" s="2">
        <v>96.662199999999999</v>
      </c>
      <c r="T87" s="2">
        <v>61</v>
      </c>
      <c r="U87" s="2">
        <v>0.70943800000000001</v>
      </c>
      <c r="V87" s="2">
        <v>86</v>
      </c>
      <c r="W87" s="2">
        <v>2008</v>
      </c>
    </row>
    <row r="88" spans="1:23" ht="12.3" x14ac:dyDescent="0.4">
      <c r="A88" s="2" t="s">
        <v>22</v>
      </c>
      <c r="B88" s="2"/>
      <c r="C88" s="2"/>
      <c r="D88" s="2"/>
      <c r="E88" s="2"/>
      <c r="F88" s="2"/>
      <c r="G88" s="2"/>
      <c r="H88" s="2"/>
      <c r="I88" s="2">
        <v>64.741799999999998</v>
      </c>
      <c r="J88" s="2">
        <v>264</v>
      </c>
      <c r="K88" s="2">
        <v>66.926299999999998</v>
      </c>
      <c r="L88" s="2">
        <v>161</v>
      </c>
      <c r="M88" s="2">
        <v>103.5248</v>
      </c>
      <c r="N88" s="2">
        <v>142</v>
      </c>
      <c r="O88" s="2">
        <v>106.9096</v>
      </c>
      <c r="P88" s="2">
        <v>83</v>
      </c>
      <c r="Q88" s="2">
        <v>99.748699999999999</v>
      </c>
      <c r="R88" s="2">
        <v>108</v>
      </c>
      <c r="S88" s="2">
        <v>99.027699999999996</v>
      </c>
      <c r="T88" s="2">
        <v>99</v>
      </c>
      <c r="U88" s="2">
        <v>0.70696899999999996</v>
      </c>
      <c r="V88" s="2">
        <v>87</v>
      </c>
      <c r="W88" s="2">
        <v>2008</v>
      </c>
    </row>
    <row r="89" spans="1:23" ht="12.3" x14ac:dyDescent="0.4">
      <c r="A89" s="2" t="s">
        <v>282</v>
      </c>
      <c r="B89" s="2"/>
      <c r="C89" s="2"/>
      <c r="D89" s="2"/>
      <c r="E89" s="2"/>
      <c r="F89" s="2"/>
      <c r="G89" s="2"/>
      <c r="H89" s="2"/>
      <c r="I89" s="2">
        <v>61.001300000000001</v>
      </c>
      <c r="J89" s="2">
        <v>323</v>
      </c>
      <c r="K89" s="2">
        <v>59.311300000000003</v>
      </c>
      <c r="L89" s="2">
        <v>337</v>
      </c>
      <c r="M89" s="2">
        <v>107.6109</v>
      </c>
      <c r="N89" s="2">
        <v>67</v>
      </c>
      <c r="O89" s="2">
        <v>107.05710000000001</v>
      </c>
      <c r="P89" s="2">
        <v>80</v>
      </c>
      <c r="Q89" s="2">
        <v>92.905100000000004</v>
      </c>
      <c r="R89" s="2">
        <v>19</v>
      </c>
      <c r="S89" s="2">
        <v>99.210700000000003</v>
      </c>
      <c r="T89" s="2">
        <v>103</v>
      </c>
      <c r="U89" s="2">
        <v>0.70585500000000001</v>
      </c>
      <c r="V89" s="2">
        <v>88</v>
      </c>
      <c r="W89" s="2">
        <v>2008</v>
      </c>
    </row>
    <row r="90" spans="1:23" ht="12.3" x14ac:dyDescent="0.4">
      <c r="A90" s="2" t="s">
        <v>97</v>
      </c>
      <c r="B90" s="2"/>
      <c r="C90" s="2"/>
      <c r="D90" s="2"/>
      <c r="E90" s="2"/>
      <c r="F90" s="2"/>
      <c r="G90" s="2"/>
      <c r="H90" s="2"/>
      <c r="I90" s="2">
        <v>65.529700000000005</v>
      </c>
      <c r="J90" s="2">
        <v>224</v>
      </c>
      <c r="K90" s="2">
        <v>65.784599999999998</v>
      </c>
      <c r="L90" s="2">
        <v>209</v>
      </c>
      <c r="M90" s="2">
        <v>101.34699999999999</v>
      </c>
      <c r="N90" s="2">
        <v>178</v>
      </c>
      <c r="O90" s="2">
        <v>102.7208</v>
      </c>
      <c r="P90" s="2">
        <v>159</v>
      </c>
      <c r="Q90" s="2">
        <v>95.287400000000005</v>
      </c>
      <c r="R90" s="2">
        <v>40</v>
      </c>
      <c r="S90" s="2">
        <v>95.407499999999999</v>
      </c>
      <c r="T90" s="2">
        <v>43</v>
      </c>
      <c r="U90" s="2">
        <v>0.70043299999999997</v>
      </c>
      <c r="V90" s="2">
        <v>89</v>
      </c>
      <c r="W90" s="2">
        <v>2008</v>
      </c>
    </row>
    <row r="91" spans="1:23" ht="12.3" x14ac:dyDescent="0.4">
      <c r="A91" s="2" t="s">
        <v>162</v>
      </c>
      <c r="B91" s="2"/>
      <c r="C91" s="2"/>
      <c r="D91" s="2"/>
      <c r="E91" s="2"/>
      <c r="F91" s="2"/>
      <c r="G91" s="2"/>
      <c r="H91" s="2"/>
      <c r="I91" s="2">
        <v>64.891599999999997</v>
      </c>
      <c r="J91" s="2">
        <v>255</v>
      </c>
      <c r="K91" s="2">
        <v>65.411000000000001</v>
      </c>
      <c r="L91" s="2">
        <v>225</v>
      </c>
      <c r="M91" s="2">
        <v>105.761</v>
      </c>
      <c r="N91" s="2">
        <v>98</v>
      </c>
      <c r="O91" s="2">
        <v>105.79940000000001</v>
      </c>
      <c r="P91" s="2">
        <v>109</v>
      </c>
      <c r="Q91" s="2">
        <v>98.660300000000007</v>
      </c>
      <c r="R91" s="2">
        <v>84</v>
      </c>
      <c r="S91" s="2">
        <v>98.311199999999999</v>
      </c>
      <c r="T91" s="2">
        <v>89</v>
      </c>
      <c r="U91" s="2">
        <v>0.69934499999999999</v>
      </c>
      <c r="V91" s="2">
        <v>90</v>
      </c>
      <c r="W91" s="2">
        <v>2008</v>
      </c>
    </row>
    <row r="92" spans="1:23" ht="12.3" x14ac:dyDescent="0.4">
      <c r="A92" s="2" t="s">
        <v>311</v>
      </c>
      <c r="B92" s="2">
        <v>14</v>
      </c>
      <c r="C92" s="2"/>
      <c r="D92" s="2"/>
      <c r="E92" s="2"/>
      <c r="F92" s="2"/>
      <c r="G92" s="2"/>
      <c r="H92" s="2"/>
      <c r="I92" s="2">
        <v>72.604699999999994</v>
      </c>
      <c r="J92" s="2">
        <v>18</v>
      </c>
      <c r="K92" s="2">
        <v>73.192899999999995</v>
      </c>
      <c r="L92" s="2">
        <v>15</v>
      </c>
      <c r="M92" s="2">
        <v>113.43210000000001</v>
      </c>
      <c r="N92" s="2">
        <v>11</v>
      </c>
      <c r="O92" s="2">
        <v>111.11960000000001</v>
      </c>
      <c r="P92" s="2">
        <v>38</v>
      </c>
      <c r="Q92" s="2">
        <v>100.2556</v>
      </c>
      <c r="R92" s="2">
        <v>120</v>
      </c>
      <c r="S92" s="2">
        <v>103.7128</v>
      </c>
      <c r="T92" s="2">
        <v>198</v>
      </c>
      <c r="U92" s="2">
        <v>0.68853699999999995</v>
      </c>
      <c r="V92" s="2">
        <v>91</v>
      </c>
      <c r="W92" s="2">
        <v>2008</v>
      </c>
    </row>
    <row r="93" spans="1:23" ht="12.3" x14ac:dyDescent="0.4">
      <c r="A93" s="2" t="s">
        <v>49</v>
      </c>
      <c r="B93" s="2"/>
      <c r="C93" s="2"/>
      <c r="D93" s="2"/>
      <c r="E93" s="2"/>
      <c r="F93" s="2"/>
      <c r="G93" s="2"/>
      <c r="H93" s="2"/>
      <c r="I93" s="2">
        <v>68.864599999999996</v>
      </c>
      <c r="J93" s="2">
        <v>103</v>
      </c>
      <c r="K93" s="2">
        <v>67.974400000000003</v>
      </c>
      <c r="L93" s="2">
        <v>130</v>
      </c>
      <c r="M93" s="2">
        <v>107.8818</v>
      </c>
      <c r="N93" s="2">
        <v>62</v>
      </c>
      <c r="O93" s="2">
        <v>108.0526</v>
      </c>
      <c r="P93" s="2">
        <v>66</v>
      </c>
      <c r="Q93" s="2">
        <v>104.5252</v>
      </c>
      <c r="R93" s="2">
        <v>228</v>
      </c>
      <c r="S93" s="2">
        <v>100.8952</v>
      </c>
      <c r="T93" s="2">
        <v>134</v>
      </c>
      <c r="U93" s="2">
        <v>0.68743699999999996</v>
      </c>
      <c r="V93" s="2">
        <v>92</v>
      </c>
      <c r="W93" s="2">
        <v>2008</v>
      </c>
    </row>
    <row r="94" spans="1:23" ht="12.3" x14ac:dyDescent="0.4">
      <c r="A94" s="2" t="s">
        <v>196</v>
      </c>
      <c r="B94" s="2">
        <v>13</v>
      </c>
      <c r="C94" s="3" t="s">
        <v>33</v>
      </c>
      <c r="D94" s="2"/>
      <c r="E94" s="2"/>
      <c r="F94" s="2"/>
      <c r="G94" s="2"/>
      <c r="H94" s="2"/>
      <c r="I94" s="2">
        <v>69.734200000000001</v>
      </c>
      <c r="J94" s="2">
        <v>78</v>
      </c>
      <c r="K94" s="2">
        <v>68.659800000000004</v>
      </c>
      <c r="L94" s="2">
        <v>107</v>
      </c>
      <c r="M94" s="2">
        <v>108.8561</v>
      </c>
      <c r="N94" s="2">
        <v>52</v>
      </c>
      <c r="O94" s="2">
        <v>106.1652</v>
      </c>
      <c r="P94" s="2">
        <v>104</v>
      </c>
      <c r="Q94" s="2">
        <v>100.29819999999999</v>
      </c>
      <c r="R94" s="2">
        <v>122</v>
      </c>
      <c r="S94" s="2">
        <v>99.343299999999999</v>
      </c>
      <c r="T94" s="2">
        <v>107</v>
      </c>
      <c r="U94" s="2">
        <v>0.68217099999999997</v>
      </c>
      <c r="V94" s="2">
        <v>93</v>
      </c>
      <c r="W94" s="2">
        <v>2008</v>
      </c>
    </row>
    <row r="95" spans="1:23" ht="12.3" x14ac:dyDescent="0.4">
      <c r="A95" s="2" t="s">
        <v>120</v>
      </c>
      <c r="B95" s="2"/>
      <c r="C95" s="2"/>
      <c r="D95" s="2"/>
      <c r="E95" s="2"/>
      <c r="F95" s="2"/>
      <c r="G95" s="2"/>
      <c r="H95" s="2"/>
      <c r="I95" s="2">
        <v>68.172499999999999</v>
      </c>
      <c r="J95" s="2">
        <v>127</v>
      </c>
      <c r="K95" s="2">
        <v>67.841099999999997</v>
      </c>
      <c r="L95" s="2">
        <v>135</v>
      </c>
      <c r="M95" s="2">
        <v>105.33669999999999</v>
      </c>
      <c r="N95" s="2">
        <v>111</v>
      </c>
      <c r="O95" s="2">
        <v>107.2997</v>
      </c>
      <c r="P95" s="2">
        <v>77</v>
      </c>
      <c r="Q95" s="2">
        <v>104.81570000000001</v>
      </c>
      <c r="R95" s="2">
        <v>243</v>
      </c>
      <c r="S95" s="2">
        <v>100.52030000000001</v>
      </c>
      <c r="T95" s="2">
        <v>127</v>
      </c>
      <c r="U95" s="2">
        <v>0.67929899999999999</v>
      </c>
      <c r="V95" s="2">
        <v>94</v>
      </c>
      <c r="W95" s="2">
        <v>2008</v>
      </c>
    </row>
    <row r="96" spans="1:23" ht="12.3" x14ac:dyDescent="0.4">
      <c r="A96" s="2" t="s">
        <v>151</v>
      </c>
      <c r="B96" s="2"/>
      <c r="C96" s="2"/>
      <c r="D96" s="2"/>
      <c r="E96" s="2"/>
      <c r="F96" s="2"/>
      <c r="G96" s="2"/>
      <c r="H96" s="2"/>
      <c r="I96" s="2">
        <v>63.956000000000003</v>
      </c>
      <c r="J96" s="2">
        <v>284</v>
      </c>
      <c r="K96" s="2">
        <v>64.690899999999999</v>
      </c>
      <c r="L96" s="2">
        <v>256</v>
      </c>
      <c r="M96" s="2">
        <v>104.9316</v>
      </c>
      <c r="N96" s="2">
        <v>119</v>
      </c>
      <c r="O96" s="2">
        <v>106.334</v>
      </c>
      <c r="P96" s="2">
        <v>100</v>
      </c>
      <c r="Q96" s="2">
        <v>100.562</v>
      </c>
      <c r="R96" s="2">
        <v>129</v>
      </c>
      <c r="S96" s="2">
        <v>99.647400000000005</v>
      </c>
      <c r="T96" s="2">
        <v>111</v>
      </c>
      <c r="U96" s="2">
        <v>0.67850100000000002</v>
      </c>
      <c r="V96" s="2">
        <v>95</v>
      </c>
      <c r="W96" s="2">
        <v>2008</v>
      </c>
    </row>
    <row r="97" spans="1:23" ht="12.3" x14ac:dyDescent="0.4">
      <c r="A97" s="2" t="s">
        <v>240</v>
      </c>
      <c r="B97" s="2">
        <v>13</v>
      </c>
      <c r="C97" s="2"/>
      <c r="D97" s="2"/>
      <c r="E97" s="2"/>
      <c r="F97" s="2"/>
      <c r="G97" s="2"/>
      <c r="H97" s="2"/>
      <c r="I97" s="2">
        <v>63.688600000000001</v>
      </c>
      <c r="J97" s="2">
        <v>291</v>
      </c>
      <c r="K97" s="2">
        <v>63.138500000000001</v>
      </c>
      <c r="L97" s="2">
        <v>298</v>
      </c>
      <c r="M97" s="2">
        <v>101.76130000000001</v>
      </c>
      <c r="N97" s="2">
        <v>168</v>
      </c>
      <c r="O97" s="2">
        <v>97.460499999999996</v>
      </c>
      <c r="P97" s="2">
        <v>243</v>
      </c>
      <c r="Q97" s="2">
        <v>92.325000000000003</v>
      </c>
      <c r="R97" s="2">
        <v>14</v>
      </c>
      <c r="S97" s="2">
        <v>91.6691</v>
      </c>
      <c r="T97" s="2">
        <v>13</v>
      </c>
      <c r="U97" s="2">
        <v>0.66918699999999998</v>
      </c>
      <c r="V97" s="2">
        <v>96</v>
      </c>
      <c r="W97" s="2">
        <v>2008</v>
      </c>
    </row>
    <row r="98" spans="1:23" ht="12.3" x14ac:dyDescent="0.4">
      <c r="A98" s="2" t="s">
        <v>19</v>
      </c>
      <c r="B98" s="2">
        <v>14</v>
      </c>
      <c r="C98" s="2"/>
      <c r="D98" s="2"/>
      <c r="E98" s="2"/>
      <c r="F98" s="2"/>
      <c r="G98" s="2"/>
      <c r="H98" s="2"/>
      <c r="I98" s="2">
        <v>66.756600000000006</v>
      </c>
      <c r="J98" s="2">
        <v>179</v>
      </c>
      <c r="K98" s="2">
        <v>65.877200000000002</v>
      </c>
      <c r="L98" s="2">
        <v>204</v>
      </c>
      <c r="M98" s="2">
        <v>101.2043</v>
      </c>
      <c r="N98" s="2">
        <v>181</v>
      </c>
      <c r="O98" s="2">
        <v>102.1974</v>
      </c>
      <c r="P98" s="2">
        <v>171</v>
      </c>
      <c r="Q98" s="2">
        <v>99.7834</v>
      </c>
      <c r="R98" s="2">
        <v>109</v>
      </c>
      <c r="S98" s="2">
        <v>96.238600000000005</v>
      </c>
      <c r="T98" s="2">
        <v>56</v>
      </c>
      <c r="U98" s="2">
        <v>0.66615899999999995</v>
      </c>
      <c r="V98" s="2">
        <v>97</v>
      </c>
      <c r="W98" s="2">
        <v>2008</v>
      </c>
    </row>
    <row r="99" spans="1:23" ht="12.3" x14ac:dyDescent="0.4">
      <c r="A99" s="2" t="s">
        <v>34</v>
      </c>
      <c r="B99" s="2"/>
      <c r="C99" s="2"/>
      <c r="D99" s="2"/>
      <c r="E99" s="2"/>
      <c r="F99" s="2"/>
      <c r="G99" s="2"/>
      <c r="H99" s="2"/>
      <c r="I99" s="2">
        <v>64.903599999999997</v>
      </c>
      <c r="J99" s="2">
        <v>254</v>
      </c>
      <c r="K99" s="2">
        <v>65.048400000000001</v>
      </c>
      <c r="L99" s="2">
        <v>239</v>
      </c>
      <c r="M99" s="2">
        <v>98.674999999999997</v>
      </c>
      <c r="N99" s="2">
        <v>226</v>
      </c>
      <c r="O99" s="2">
        <v>102.6277</v>
      </c>
      <c r="P99" s="2">
        <v>162</v>
      </c>
      <c r="Q99" s="2">
        <v>102.9179</v>
      </c>
      <c r="R99" s="2">
        <v>193</v>
      </c>
      <c r="S99" s="2">
        <v>96.753</v>
      </c>
      <c r="T99" s="2">
        <v>62</v>
      </c>
      <c r="U99" s="2">
        <v>0.66326700000000005</v>
      </c>
      <c r="V99" s="2">
        <v>98</v>
      </c>
      <c r="W99" s="2">
        <v>2008</v>
      </c>
    </row>
    <row r="100" spans="1:23" ht="12.3" x14ac:dyDescent="0.4">
      <c r="A100" s="2" t="s">
        <v>127</v>
      </c>
      <c r="B100" s="2"/>
      <c r="C100" s="2"/>
      <c r="D100" s="2"/>
      <c r="E100" s="2"/>
      <c r="F100" s="2"/>
      <c r="G100" s="2"/>
      <c r="H100" s="2"/>
      <c r="I100" s="2">
        <v>66.050799999999995</v>
      </c>
      <c r="J100" s="2">
        <v>198</v>
      </c>
      <c r="K100" s="2">
        <v>65.837800000000001</v>
      </c>
      <c r="L100" s="2">
        <v>208</v>
      </c>
      <c r="M100" s="2">
        <v>106.979</v>
      </c>
      <c r="N100" s="2">
        <v>77</v>
      </c>
      <c r="O100" s="2">
        <v>106.4418</v>
      </c>
      <c r="P100" s="2">
        <v>97</v>
      </c>
      <c r="Q100" s="2">
        <v>100.8051</v>
      </c>
      <c r="R100" s="2">
        <v>136</v>
      </c>
      <c r="S100" s="2">
        <v>100.4787</v>
      </c>
      <c r="T100" s="2">
        <v>125</v>
      </c>
      <c r="U100" s="2">
        <v>0.659937</v>
      </c>
      <c r="V100" s="2">
        <v>99</v>
      </c>
      <c r="W100" s="2">
        <v>2008</v>
      </c>
    </row>
    <row r="101" spans="1:23" ht="12.3" x14ac:dyDescent="0.4">
      <c r="A101" s="2" t="s">
        <v>175</v>
      </c>
      <c r="B101" s="2"/>
      <c r="C101" s="2"/>
      <c r="D101" s="2"/>
      <c r="E101" s="2"/>
      <c r="F101" s="2"/>
      <c r="G101" s="2"/>
      <c r="H101" s="2"/>
      <c r="I101" s="2">
        <v>65.942800000000005</v>
      </c>
      <c r="J101" s="2">
        <v>201</v>
      </c>
      <c r="K101" s="2">
        <v>64.799700000000001</v>
      </c>
      <c r="L101" s="2">
        <v>250</v>
      </c>
      <c r="M101" s="2">
        <v>104.8396</v>
      </c>
      <c r="N101" s="2">
        <v>121</v>
      </c>
      <c r="O101" s="2">
        <v>106.7886</v>
      </c>
      <c r="P101" s="2">
        <v>87</v>
      </c>
      <c r="Q101" s="2">
        <v>101.9098</v>
      </c>
      <c r="R101" s="2">
        <v>169</v>
      </c>
      <c r="S101" s="2">
        <v>100.8823</v>
      </c>
      <c r="T101" s="2">
        <v>132</v>
      </c>
      <c r="U101" s="2">
        <v>0.65798299999999998</v>
      </c>
      <c r="V101" s="2">
        <v>100</v>
      </c>
      <c r="W101" s="2">
        <v>2008</v>
      </c>
    </row>
    <row r="102" spans="1:23" ht="12.3" x14ac:dyDescent="0.4">
      <c r="A102" s="2" t="s">
        <v>222</v>
      </c>
      <c r="B102" s="2"/>
      <c r="C102" s="2"/>
      <c r="D102" s="2"/>
      <c r="E102" s="2"/>
      <c r="F102" s="2"/>
      <c r="G102" s="2"/>
      <c r="H102" s="2"/>
      <c r="I102" s="2">
        <v>65.787899999999993</v>
      </c>
      <c r="J102" s="2">
        <v>207</v>
      </c>
      <c r="K102" s="2">
        <v>66.8142</v>
      </c>
      <c r="L102" s="2">
        <v>165</v>
      </c>
      <c r="M102" s="2">
        <v>100.0371</v>
      </c>
      <c r="N102" s="2">
        <v>205</v>
      </c>
      <c r="O102" s="2">
        <v>100.36790000000001</v>
      </c>
      <c r="P102" s="2">
        <v>195</v>
      </c>
      <c r="Q102" s="2">
        <v>96.985399999999998</v>
      </c>
      <c r="R102" s="2">
        <v>59</v>
      </c>
      <c r="S102" s="2">
        <v>94.916600000000003</v>
      </c>
      <c r="T102" s="2">
        <v>37</v>
      </c>
      <c r="U102" s="2">
        <v>0.65525199999999995</v>
      </c>
      <c r="V102" s="2">
        <v>101</v>
      </c>
      <c r="W102" s="2">
        <v>2008</v>
      </c>
    </row>
    <row r="103" spans="1:23" ht="12.3" x14ac:dyDescent="0.4">
      <c r="A103" s="2" t="s">
        <v>145</v>
      </c>
      <c r="B103" s="2"/>
      <c r="C103" s="2"/>
      <c r="D103" s="2"/>
      <c r="E103" s="2"/>
      <c r="F103" s="2"/>
      <c r="G103" s="2"/>
      <c r="H103" s="2"/>
      <c r="I103" s="2">
        <v>69.304000000000002</v>
      </c>
      <c r="J103" s="2">
        <v>90</v>
      </c>
      <c r="K103" s="2">
        <v>68.920900000000003</v>
      </c>
      <c r="L103" s="2">
        <v>97</v>
      </c>
      <c r="M103" s="2">
        <v>107.38549999999999</v>
      </c>
      <c r="N103" s="2">
        <v>70</v>
      </c>
      <c r="O103" s="2">
        <v>106.2154</v>
      </c>
      <c r="P103" s="2">
        <v>103</v>
      </c>
      <c r="Q103" s="2">
        <v>101.09569999999999</v>
      </c>
      <c r="R103" s="2">
        <v>143</v>
      </c>
      <c r="S103" s="2">
        <v>100.8946</v>
      </c>
      <c r="T103" s="2">
        <v>133</v>
      </c>
      <c r="U103" s="2">
        <v>0.643598</v>
      </c>
      <c r="V103" s="2">
        <v>102</v>
      </c>
      <c r="W103" s="2">
        <v>2008</v>
      </c>
    </row>
    <row r="104" spans="1:23" ht="12.3" x14ac:dyDescent="0.4">
      <c r="A104" s="2" t="s">
        <v>98</v>
      </c>
      <c r="B104" s="2"/>
      <c r="C104" s="2"/>
      <c r="D104" s="2"/>
      <c r="E104" s="2"/>
      <c r="F104" s="2"/>
      <c r="G104" s="2"/>
      <c r="H104" s="2"/>
      <c r="I104" s="2">
        <v>64.909099999999995</v>
      </c>
      <c r="J104" s="2">
        <v>253</v>
      </c>
      <c r="K104" s="2">
        <v>64.494399999999999</v>
      </c>
      <c r="L104" s="2">
        <v>264</v>
      </c>
      <c r="M104" s="2">
        <v>114.7411</v>
      </c>
      <c r="N104" s="2">
        <v>6</v>
      </c>
      <c r="O104" s="2">
        <v>113.6661</v>
      </c>
      <c r="P104" s="2">
        <v>16</v>
      </c>
      <c r="Q104" s="2">
        <v>106.06619999999999</v>
      </c>
      <c r="R104" s="2">
        <v>273</v>
      </c>
      <c r="S104" s="2">
        <v>108.25920000000001</v>
      </c>
      <c r="T104" s="2">
        <v>293</v>
      </c>
      <c r="U104" s="2">
        <v>0.63656199999999996</v>
      </c>
      <c r="V104" s="2">
        <v>103</v>
      </c>
      <c r="W104" s="2">
        <v>2008</v>
      </c>
    </row>
    <row r="105" spans="1:23" ht="12.3" x14ac:dyDescent="0.4">
      <c r="A105" s="2" t="s">
        <v>333</v>
      </c>
      <c r="B105" s="2">
        <v>14</v>
      </c>
      <c r="C105" s="2"/>
      <c r="D105" s="2"/>
      <c r="E105" s="2"/>
      <c r="F105" s="2"/>
      <c r="G105" s="2"/>
      <c r="H105" s="2"/>
      <c r="I105" s="2">
        <v>68.882099999999994</v>
      </c>
      <c r="J105" s="2">
        <v>101</v>
      </c>
      <c r="K105" s="2">
        <v>69.010000000000005</v>
      </c>
      <c r="L105" s="2">
        <v>92</v>
      </c>
      <c r="M105" s="2">
        <v>111.05200000000001</v>
      </c>
      <c r="N105" s="2">
        <v>27</v>
      </c>
      <c r="O105" s="2">
        <v>109.9731</v>
      </c>
      <c r="P105" s="2">
        <v>46</v>
      </c>
      <c r="Q105" s="2">
        <v>99.279700000000005</v>
      </c>
      <c r="R105" s="2">
        <v>97</v>
      </c>
      <c r="S105" s="2">
        <v>104.7877</v>
      </c>
      <c r="T105" s="2">
        <v>221</v>
      </c>
      <c r="U105" s="2">
        <v>0.63539699999999999</v>
      </c>
      <c r="V105" s="2">
        <v>104</v>
      </c>
      <c r="W105" s="2">
        <v>2008</v>
      </c>
    </row>
    <row r="106" spans="1:23" ht="12.3" x14ac:dyDescent="0.4">
      <c r="A106" s="2" t="s">
        <v>118</v>
      </c>
      <c r="B106" s="2"/>
      <c r="C106" s="2"/>
      <c r="D106" s="2"/>
      <c r="E106" s="2"/>
      <c r="F106" s="2"/>
      <c r="G106" s="2"/>
      <c r="H106" s="2"/>
      <c r="I106" s="2">
        <v>72.363399999999999</v>
      </c>
      <c r="J106" s="2">
        <v>23</v>
      </c>
      <c r="K106" s="2">
        <v>71.609300000000005</v>
      </c>
      <c r="L106" s="2">
        <v>27</v>
      </c>
      <c r="M106" s="2">
        <v>108.37479999999999</v>
      </c>
      <c r="N106" s="2">
        <v>59</v>
      </c>
      <c r="O106" s="2">
        <v>105.5333</v>
      </c>
      <c r="P106" s="2">
        <v>111</v>
      </c>
      <c r="Q106" s="2">
        <v>98.9268</v>
      </c>
      <c r="R106" s="2">
        <v>91</v>
      </c>
      <c r="S106" s="2">
        <v>100.5986</v>
      </c>
      <c r="T106" s="2">
        <v>128</v>
      </c>
      <c r="U106" s="2">
        <v>0.63429999999999997</v>
      </c>
      <c r="V106" s="2">
        <v>105</v>
      </c>
      <c r="W106" s="2">
        <v>2008</v>
      </c>
    </row>
    <row r="107" spans="1:23" ht="12.3" x14ac:dyDescent="0.4">
      <c r="A107" s="2" t="s">
        <v>95</v>
      </c>
      <c r="B107" s="2"/>
      <c r="C107" s="2"/>
      <c r="D107" s="2"/>
      <c r="E107" s="2"/>
      <c r="F107" s="2"/>
      <c r="G107" s="2"/>
      <c r="H107" s="2"/>
      <c r="I107" s="2">
        <v>68.156000000000006</v>
      </c>
      <c r="J107" s="2">
        <v>128</v>
      </c>
      <c r="K107" s="2">
        <v>65.915000000000006</v>
      </c>
      <c r="L107" s="2">
        <v>203</v>
      </c>
      <c r="M107" s="2">
        <v>103.3456</v>
      </c>
      <c r="N107" s="2">
        <v>144</v>
      </c>
      <c r="O107" s="2">
        <v>106.8926</v>
      </c>
      <c r="P107" s="2">
        <v>85</v>
      </c>
      <c r="Q107" s="2">
        <v>105.37860000000001</v>
      </c>
      <c r="R107" s="2">
        <v>257</v>
      </c>
      <c r="S107" s="2">
        <v>101.9117</v>
      </c>
      <c r="T107" s="2">
        <v>161</v>
      </c>
      <c r="U107" s="2">
        <v>0.63384700000000005</v>
      </c>
      <c r="V107" s="2">
        <v>106</v>
      </c>
      <c r="W107" s="2">
        <v>2008</v>
      </c>
    </row>
    <row r="108" spans="1:23" ht="12.3" x14ac:dyDescent="0.4">
      <c r="A108" s="2" t="s">
        <v>144</v>
      </c>
      <c r="B108" s="2"/>
      <c r="C108" s="2"/>
      <c r="D108" s="2"/>
      <c r="E108" s="2"/>
      <c r="F108" s="2"/>
      <c r="G108" s="2"/>
      <c r="H108" s="2"/>
      <c r="I108" s="2">
        <v>65.656999999999996</v>
      </c>
      <c r="J108" s="2">
        <v>218</v>
      </c>
      <c r="K108" s="2">
        <v>67.193200000000004</v>
      </c>
      <c r="L108" s="2">
        <v>151</v>
      </c>
      <c r="M108" s="2">
        <v>101.74339999999999</v>
      </c>
      <c r="N108" s="2">
        <v>169</v>
      </c>
      <c r="O108" s="2">
        <v>102.3227</v>
      </c>
      <c r="P108" s="2">
        <v>167</v>
      </c>
      <c r="Q108" s="2">
        <v>99.331500000000005</v>
      </c>
      <c r="R108" s="2">
        <v>99</v>
      </c>
      <c r="S108" s="2">
        <v>97.642899999999997</v>
      </c>
      <c r="T108" s="2">
        <v>74</v>
      </c>
      <c r="U108" s="2">
        <v>0.63143199999999999</v>
      </c>
      <c r="V108" s="2">
        <v>107</v>
      </c>
      <c r="W108" s="2">
        <v>2008</v>
      </c>
    </row>
    <row r="109" spans="1:23" ht="12.3" x14ac:dyDescent="0.4">
      <c r="A109" s="2" t="s">
        <v>177</v>
      </c>
      <c r="B109" s="2"/>
      <c r="C109" s="2"/>
      <c r="D109" s="2"/>
      <c r="E109" s="2"/>
      <c r="F109" s="2"/>
      <c r="G109" s="2"/>
      <c r="H109" s="2"/>
      <c r="I109" s="2">
        <v>66.8416</v>
      </c>
      <c r="J109" s="2">
        <v>176</v>
      </c>
      <c r="K109" s="2">
        <v>66.193399999999997</v>
      </c>
      <c r="L109" s="2">
        <v>190</v>
      </c>
      <c r="M109" s="2">
        <v>106.9182</v>
      </c>
      <c r="N109" s="2">
        <v>79</v>
      </c>
      <c r="O109" s="2">
        <v>105.94540000000001</v>
      </c>
      <c r="P109" s="2">
        <v>108</v>
      </c>
      <c r="Q109" s="2">
        <v>100.5164</v>
      </c>
      <c r="R109" s="2">
        <v>128</v>
      </c>
      <c r="S109" s="2">
        <v>101.1302</v>
      </c>
      <c r="T109" s="2">
        <v>138</v>
      </c>
      <c r="U109" s="2">
        <v>0.63063100000000005</v>
      </c>
      <c r="V109" s="2">
        <v>108</v>
      </c>
      <c r="W109" s="2">
        <v>2008</v>
      </c>
    </row>
    <row r="110" spans="1:23" ht="12.3" x14ac:dyDescent="0.4">
      <c r="A110" s="2" t="s">
        <v>171</v>
      </c>
      <c r="B110" s="2"/>
      <c r="C110" s="2"/>
      <c r="D110" s="2"/>
      <c r="E110" s="2"/>
      <c r="F110" s="2"/>
      <c r="G110" s="2"/>
      <c r="H110" s="2"/>
      <c r="I110" s="2">
        <v>60.064599999999999</v>
      </c>
      <c r="J110" s="2">
        <v>329</v>
      </c>
      <c r="K110" s="2">
        <v>60.788400000000003</v>
      </c>
      <c r="L110" s="2">
        <v>329</v>
      </c>
      <c r="M110" s="2">
        <v>102.81870000000001</v>
      </c>
      <c r="N110" s="2">
        <v>157</v>
      </c>
      <c r="O110" s="2">
        <v>102.60429999999999</v>
      </c>
      <c r="P110" s="2">
        <v>163</v>
      </c>
      <c r="Q110" s="2">
        <v>98.657600000000002</v>
      </c>
      <c r="R110" s="2">
        <v>83</v>
      </c>
      <c r="S110" s="2">
        <v>98.034199999999998</v>
      </c>
      <c r="T110" s="2">
        <v>85</v>
      </c>
      <c r="U110" s="2">
        <v>0.62807599999999997</v>
      </c>
      <c r="V110" s="2">
        <v>109</v>
      </c>
      <c r="W110" s="2">
        <v>2008</v>
      </c>
    </row>
    <row r="111" spans="1:23" ht="12.3" x14ac:dyDescent="0.4">
      <c r="A111" s="2" t="s">
        <v>104</v>
      </c>
      <c r="B111" s="2"/>
      <c r="C111" s="2"/>
      <c r="D111" s="2"/>
      <c r="E111" s="2"/>
      <c r="F111" s="2"/>
      <c r="G111" s="2"/>
      <c r="H111" s="2"/>
      <c r="I111" s="2">
        <v>67.256200000000007</v>
      </c>
      <c r="J111" s="2">
        <v>162</v>
      </c>
      <c r="K111" s="2">
        <v>66.357900000000001</v>
      </c>
      <c r="L111" s="2">
        <v>182</v>
      </c>
      <c r="M111" s="2">
        <v>103.2616</v>
      </c>
      <c r="N111" s="2">
        <v>147</v>
      </c>
      <c r="O111" s="2">
        <v>100.7801</v>
      </c>
      <c r="P111" s="2">
        <v>186</v>
      </c>
      <c r="Q111" s="2">
        <v>94.899500000000003</v>
      </c>
      <c r="R111" s="2">
        <v>32</v>
      </c>
      <c r="S111" s="2">
        <v>96.293199999999999</v>
      </c>
      <c r="T111" s="2">
        <v>57</v>
      </c>
      <c r="U111" s="2">
        <v>0.62802400000000003</v>
      </c>
      <c r="V111" s="2">
        <v>110</v>
      </c>
      <c r="W111" s="2">
        <v>2008</v>
      </c>
    </row>
    <row r="112" spans="1:23" ht="12.3" x14ac:dyDescent="0.4">
      <c r="A112" s="2" t="s">
        <v>219</v>
      </c>
      <c r="B112" s="2"/>
      <c r="C112" s="2"/>
      <c r="D112" s="2"/>
      <c r="E112" s="2"/>
      <c r="F112" s="2"/>
      <c r="G112" s="2"/>
      <c r="H112" s="2"/>
      <c r="I112" s="2">
        <v>72.600800000000007</v>
      </c>
      <c r="J112" s="2">
        <v>19</v>
      </c>
      <c r="K112" s="2">
        <v>72.209100000000007</v>
      </c>
      <c r="L112" s="2">
        <v>18</v>
      </c>
      <c r="M112" s="2">
        <v>104.4312</v>
      </c>
      <c r="N112" s="2">
        <v>127</v>
      </c>
      <c r="O112" s="2">
        <v>104.6255</v>
      </c>
      <c r="P112" s="2">
        <v>125</v>
      </c>
      <c r="Q112" s="2">
        <v>98.921099999999996</v>
      </c>
      <c r="R112" s="2">
        <v>90</v>
      </c>
      <c r="S112" s="2">
        <v>100.0476</v>
      </c>
      <c r="T112" s="2">
        <v>118</v>
      </c>
      <c r="U112" s="2">
        <v>0.62586600000000003</v>
      </c>
      <c r="V112" s="2">
        <v>111</v>
      </c>
      <c r="W112" s="2">
        <v>2008</v>
      </c>
    </row>
    <row r="113" spans="1:23" ht="12.3" x14ac:dyDescent="0.4">
      <c r="A113" s="2" t="s">
        <v>269</v>
      </c>
      <c r="B113" s="2">
        <v>16</v>
      </c>
      <c r="C113" s="2"/>
      <c r="D113" s="2"/>
      <c r="E113" s="2"/>
      <c r="F113" s="2"/>
      <c r="G113" s="2"/>
      <c r="H113" s="2"/>
      <c r="I113" s="2">
        <v>66.967699999999994</v>
      </c>
      <c r="J113" s="2">
        <v>173</v>
      </c>
      <c r="K113" s="2">
        <v>68.220100000000002</v>
      </c>
      <c r="L113" s="2">
        <v>118</v>
      </c>
      <c r="M113" s="2">
        <v>109.31959999999999</v>
      </c>
      <c r="N113" s="2">
        <v>46</v>
      </c>
      <c r="O113" s="2">
        <v>106.8994</v>
      </c>
      <c r="P113" s="2">
        <v>84</v>
      </c>
      <c r="Q113" s="2">
        <v>101.0322</v>
      </c>
      <c r="R113" s="2">
        <v>140</v>
      </c>
      <c r="S113" s="2">
        <v>102.2469</v>
      </c>
      <c r="T113" s="2">
        <v>168</v>
      </c>
      <c r="U113" s="2">
        <v>0.62521199999999999</v>
      </c>
      <c r="V113" s="2">
        <v>112</v>
      </c>
      <c r="W113" s="2">
        <v>2008</v>
      </c>
    </row>
    <row r="114" spans="1:23" ht="12.3" x14ac:dyDescent="0.4">
      <c r="A114" s="2" t="s">
        <v>55</v>
      </c>
      <c r="B114" s="2"/>
      <c r="C114" s="2"/>
      <c r="D114" s="2"/>
      <c r="E114" s="2"/>
      <c r="F114" s="2"/>
      <c r="G114" s="2"/>
      <c r="H114" s="2"/>
      <c r="I114" s="2">
        <v>65.961200000000005</v>
      </c>
      <c r="J114" s="2">
        <v>200</v>
      </c>
      <c r="K114" s="2">
        <v>64.214699999999993</v>
      </c>
      <c r="L114" s="2">
        <v>273</v>
      </c>
      <c r="M114" s="2">
        <v>101.6587</v>
      </c>
      <c r="N114" s="2">
        <v>172</v>
      </c>
      <c r="O114" s="2">
        <v>106.3412</v>
      </c>
      <c r="P114" s="2">
        <v>99</v>
      </c>
      <c r="Q114" s="2">
        <v>104.73909999999999</v>
      </c>
      <c r="R114" s="2">
        <v>237</v>
      </c>
      <c r="S114" s="2">
        <v>101.8849</v>
      </c>
      <c r="T114" s="2">
        <v>160</v>
      </c>
      <c r="U114" s="2">
        <v>0.62064900000000001</v>
      </c>
      <c r="V114" s="2">
        <v>113</v>
      </c>
      <c r="W114" s="2">
        <v>2008</v>
      </c>
    </row>
    <row r="115" spans="1:23" ht="12.3" x14ac:dyDescent="0.4">
      <c r="A115" s="2" t="s">
        <v>190</v>
      </c>
      <c r="B115" s="2"/>
      <c r="C115" s="2"/>
      <c r="D115" s="2"/>
      <c r="E115" s="2"/>
      <c r="F115" s="2"/>
      <c r="G115" s="2"/>
      <c r="H115" s="2"/>
      <c r="I115" s="2">
        <v>63.748899999999999</v>
      </c>
      <c r="J115" s="2">
        <v>288</v>
      </c>
      <c r="K115" s="2">
        <v>64.359499999999997</v>
      </c>
      <c r="L115" s="2">
        <v>269</v>
      </c>
      <c r="M115" s="2">
        <v>102.8805</v>
      </c>
      <c r="N115" s="2">
        <v>156</v>
      </c>
      <c r="O115" s="2">
        <v>105.6788</v>
      </c>
      <c r="P115" s="2">
        <v>110</v>
      </c>
      <c r="Q115" s="2">
        <v>98.880600000000001</v>
      </c>
      <c r="R115" s="2">
        <v>89</v>
      </c>
      <c r="S115" s="2">
        <v>101.2672</v>
      </c>
      <c r="T115" s="2">
        <v>140</v>
      </c>
      <c r="U115" s="2">
        <v>0.62019599999999997</v>
      </c>
      <c r="V115" s="2">
        <v>114</v>
      </c>
      <c r="W115" s="2">
        <v>2008</v>
      </c>
    </row>
    <row r="116" spans="1:23" ht="12.3" x14ac:dyDescent="0.4">
      <c r="A116" s="2" t="s">
        <v>133</v>
      </c>
      <c r="B116" s="2">
        <v>13</v>
      </c>
      <c r="C116" s="3" t="s">
        <v>33</v>
      </c>
      <c r="D116" s="2"/>
      <c r="E116" s="2"/>
      <c r="F116" s="2"/>
      <c r="G116" s="2"/>
      <c r="H116" s="2"/>
      <c r="I116" s="2">
        <v>65.301100000000005</v>
      </c>
      <c r="J116" s="2">
        <v>230</v>
      </c>
      <c r="K116" s="2">
        <v>64.852800000000002</v>
      </c>
      <c r="L116" s="2">
        <v>247</v>
      </c>
      <c r="M116" s="2">
        <v>98.719099999999997</v>
      </c>
      <c r="N116" s="2">
        <v>224</v>
      </c>
      <c r="O116" s="2">
        <v>99.826899999999995</v>
      </c>
      <c r="P116" s="2">
        <v>200</v>
      </c>
      <c r="Q116" s="2">
        <v>95.806399999999996</v>
      </c>
      <c r="R116" s="2">
        <v>46</v>
      </c>
      <c r="S116" s="2">
        <v>95.672799999999995</v>
      </c>
      <c r="T116" s="2">
        <v>49</v>
      </c>
      <c r="U116" s="2">
        <v>0.61982199999999998</v>
      </c>
      <c r="V116" s="2">
        <v>115</v>
      </c>
      <c r="W116" s="2">
        <v>2008</v>
      </c>
    </row>
    <row r="117" spans="1:23" ht="12.3" x14ac:dyDescent="0.4">
      <c r="A117" s="2" t="s">
        <v>119</v>
      </c>
      <c r="B117" s="2"/>
      <c r="C117" s="2"/>
      <c r="D117" s="2"/>
      <c r="E117" s="2"/>
      <c r="F117" s="2"/>
      <c r="G117" s="2"/>
      <c r="H117" s="2"/>
      <c r="I117" s="2">
        <v>71.054199999999994</v>
      </c>
      <c r="J117" s="2">
        <v>47</v>
      </c>
      <c r="K117" s="2">
        <v>70.492199999999997</v>
      </c>
      <c r="L117" s="2">
        <v>45</v>
      </c>
      <c r="M117" s="2">
        <v>105.9277</v>
      </c>
      <c r="N117" s="2">
        <v>95</v>
      </c>
      <c r="O117" s="2">
        <v>108.61709999999999</v>
      </c>
      <c r="P117" s="2">
        <v>61</v>
      </c>
      <c r="Q117" s="2">
        <v>106.34</v>
      </c>
      <c r="R117" s="2">
        <v>279</v>
      </c>
      <c r="S117" s="2">
        <v>104.2097</v>
      </c>
      <c r="T117" s="2">
        <v>206</v>
      </c>
      <c r="U117" s="2">
        <v>0.61689000000000005</v>
      </c>
      <c r="V117" s="2">
        <v>116</v>
      </c>
      <c r="W117" s="2">
        <v>2008</v>
      </c>
    </row>
    <row r="118" spans="1:23" ht="12.3" x14ac:dyDescent="0.4">
      <c r="A118" s="2" t="s">
        <v>182</v>
      </c>
      <c r="B118" s="2"/>
      <c r="C118" s="2"/>
      <c r="D118" s="2"/>
      <c r="E118" s="2"/>
      <c r="F118" s="2"/>
      <c r="G118" s="2"/>
      <c r="H118" s="2"/>
      <c r="I118" s="2">
        <v>70.522000000000006</v>
      </c>
      <c r="J118" s="2">
        <v>56</v>
      </c>
      <c r="K118" s="2">
        <v>70.4114</v>
      </c>
      <c r="L118" s="2">
        <v>49</v>
      </c>
      <c r="M118" s="2">
        <v>109.1084</v>
      </c>
      <c r="N118" s="2">
        <v>50</v>
      </c>
      <c r="O118" s="2">
        <v>107.10890000000001</v>
      </c>
      <c r="P118" s="2">
        <v>79</v>
      </c>
      <c r="Q118" s="2">
        <v>100.09699999999999</v>
      </c>
      <c r="R118" s="2">
        <v>115</v>
      </c>
      <c r="S118" s="2">
        <v>102.83369999999999</v>
      </c>
      <c r="T118" s="2">
        <v>180</v>
      </c>
      <c r="U118" s="2">
        <v>0.615012</v>
      </c>
      <c r="V118" s="2">
        <v>117</v>
      </c>
      <c r="W118" s="2">
        <v>2008</v>
      </c>
    </row>
    <row r="119" spans="1:23" ht="12.3" x14ac:dyDescent="0.4">
      <c r="A119" s="2" t="s">
        <v>85</v>
      </c>
      <c r="B119" s="2"/>
      <c r="C119" s="2"/>
      <c r="D119" s="2"/>
      <c r="E119" s="2"/>
      <c r="F119" s="2"/>
      <c r="G119" s="2"/>
      <c r="H119" s="2"/>
      <c r="I119" s="2">
        <v>67.899500000000003</v>
      </c>
      <c r="J119" s="2">
        <v>139</v>
      </c>
      <c r="K119" s="2">
        <v>67.334500000000006</v>
      </c>
      <c r="L119" s="2">
        <v>147</v>
      </c>
      <c r="M119" s="2">
        <v>100.2597</v>
      </c>
      <c r="N119" s="2">
        <v>200</v>
      </c>
      <c r="O119" s="2">
        <v>103.08920000000001</v>
      </c>
      <c r="P119" s="2">
        <v>153</v>
      </c>
      <c r="Q119" s="2">
        <v>101.36879999999999</v>
      </c>
      <c r="R119" s="2">
        <v>150</v>
      </c>
      <c r="S119" s="2">
        <v>99.118200000000002</v>
      </c>
      <c r="T119" s="2">
        <v>101</v>
      </c>
      <c r="U119" s="2">
        <v>0.61105200000000004</v>
      </c>
      <c r="V119" s="2">
        <v>118</v>
      </c>
      <c r="W119" s="2">
        <v>2008</v>
      </c>
    </row>
    <row r="120" spans="1:23" ht="12.3" x14ac:dyDescent="0.4">
      <c r="A120" s="2" t="s">
        <v>216</v>
      </c>
      <c r="B120" s="2"/>
      <c r="C120" s="2"/>
      <c r="D120" s="2"/>
      <c r="E120" s="2"/>
      <c r="F120" s="2"/>
      <c r="G120" s="2"/>
      <c r="H120" s="2"/>
      <c r="I120" s="2">
        <v>59.823399999999999</v>
      </c>
      <c r="J120" s="2">
        <v>332</v>
      </c>
      <c r="K120" s="2">
        <v>60.847200000000001</v>
      </c>
      <c r="L120" s="2">
        <v>328</v>
      </c>
      <c r="M120" s="2">
        <v>101.4079</v>
      </c>
      <c r="N120" s="2">
        <v>176</v>
      </c>
      <c r="O120" s="2">
        <v>104.3723</v>
      </c>
      <c r="P120" s="2">
        <v>132</v>
      </c>
      <c r="Q120" s="2">
        <v>101.07550000000001</v>
      </c>
      <c r="R120" s="2">
        <v>142</v>
      </c>
      <c r="S120" s="2">
        <v>100.364</v>
      </c>
      <c r="T120" s="2">
        <v>123</v>
      </c>
      <c r="U120" s="2">
        <v>0.61072300000000002</v>
      </c>
      <c r="V120" s="2">
        <v>119</v>
      </c>
      <c r="W120" s="2">
        <v>2008</v>
      </c>
    </row>
    <row r="121" spans="1:23" ht="12.3" x14ac:dyDescent="0.4">
      <c r="A121" s="2" t="s">
        <v>17</v>
      </c>
      <c r="B121" s="2"/>
      <c r="C121" s="2"/>
      <c r="D121" s="2"/>
      <c r="E121" s="2"/>
      <c r="F121" s="2"/>
      <c r="G121" s="2"/>
      <c r="H121" s="2"/>
      <c r="I121" s="2">
        <v>67.7273</v>
      </c>
      <c r="J121" s="2">
        <v>147</v>
      </c>
      <c r="K121" s="2">
        <v>66.568799999999996</v>
      </c>
      <c r="L121" s="2">
        <v>175</v>
      </c>
      <c r="M121" s="2">
        <v>106.24120000000001</v>
      </c>
      <c r="N121" s="2">
        <v>89</v>
      </c>
      <c r="O121" s="2">
        <v>106.0986</v>
      </c>
      <c r="P121" s="2">
        <v>105</v>
      </c>
      <c r="Q121" s="2">
        <v>104.8052</v>
      </c>
      <c r="R121" s="2">
        <v>241</v>
      </c>
      <c r="S121" s="2">
        <v>102.10290000000001</v>
      </c>
      <c r="T121" s="2">
        <v>163</v>
      </c>
      <c r="U121" s="2">
        <v>0.60860599999999998</v>
      </c>
      <c r="V121" s="2">
        <v>120</v>
      </c>
      <c r="W121" s="2">
        <v>2008</v>
      </c>
    </row>
    <row r="122" spans="1:23" ht="12.3" x14ac:dyDescent="0.4">
      <c r="A122" s="2" t="s">
        <v>252</v>
      </c>
      <c r="B122" s="2">
        <v>15</v>
      </c>
      <c r="C122" s="2"/>
      <c r="D122" s="2"/>
      <c r="E122" s="2"/>
      <c r="F122" s="2"/>
      <c r="G122" s="2"/>
      <c r="H122" s="2"/>
      <c r="I122" s="2">
        <v>65.053399999999996</v>
      </c>
      <c r="J122" s="2">
        <v>243</v>
      </c>
      <c r="K122" s="2">
        <v>65.038600000000002</v>
      </c>
      <c r="L122" s="2">
        <v>240</v>
      </c>
      <c r="M122" s="2">
        <v>113.8252</v>
      </c>
      <c r="N122" s="2">
        <v>9</v>
      </c>
      <c r="O122" s="2">
        <v>111.94670000000001</v>
      </c>
      <c r="P122" s="2">
        <v>31</v>
      </c>
      <c r="Q122" s="2">
        <v>105.52209999999999</v>
      </c>
      <c r="R122" s="2">
        <v>263</v>
      </c>
      <c r="S122" s="2">
        <v>107.8308</v>
      </c>
      <c r="T122" s="2">
        <v>284</v>
      </c>
      <c r="U122" s="2">
        <v>0.60606099999999996</v>
      </c>
      <c r="V122" s="2">
        <v>121</v>
      </c>
      <c r="W122" s="2">
        <v>2008</v>
      </c>
    </row>
    <row r="123" spans="1:23" ht="12.3" x14ac:dyDescent="0.4">
      <c r="A123" s="2" t="s">
        <v>146</v>
      </c>
      <c r="B123" s="2"/>
      <c r="C123" s="2"/>
      <c r="D123" s="2"/>
      <c r="E123" s="2"/>
      <c r="F123" s="2"/>
      <c r="G123" s="2"/>
      <c r="H123" s="2"/>
      <c r="I123" s="2">
        <v>65.090400000000002</v>
      </c>
      <c r="J123" s="2">
        <v>242</v>
      </c>
      <c r="K123" s="2">
        <v>65.868099999999998</v>
      </c>
      <c r="L123" s="2">
        <v>205</v>
      </c>
      <c r="M123" s="2">
        <v>96.148600000000002</v>
      </c>
      <c r="N123" s="2">
        <v>266</v>
      </c>
      <c r="O123" s="2">
        <v>99.062899999999999</v>
      </c>
      <c r="P123" s="2">
        <v>216</v>
      </c>
      <c r="Q123" s="2">
        <v>99.922799999999995</v>
      </c>
      <c r="R123" s="2">
        <v>113</v>
      </c>
      <c r="S123" s="2">
        <v>95.606899999999996</v>
      </c>
      <c r="T123" s="2">
        <v>47</v>
      </c>
      <c r="U123" s="2">
        <v>0.60069600000000001</v>
      </c>
      <c r="V123" s="2">
        <v>122</v>
      </c>
      <c r="W123" s="2">
        <v>2008</v>
      </c>
    </row>
    <row r="124" spans="1:23" ht="12.3" x14ac:dyDescent="0.4">
      <c r="A124" s="2" t="s">
        <v>129</v>
      </c>
      <c r="B124" s="2"/>
      <c r="C124" s="2"/>
      <c r="D124" s="2"/>
      <c r="E124" s="2"/>
      <c r="F124" s="2"/>
      <c r="G124" s="2"/>
      <c r="H124" s="2"/>
      <c r="I124" s="2">
        <v>62.349899999999998</v>
      </c>
      <c r="J124" s="2">
        <v>309</v>
      </c>
      <c r="K124" s="2">
        <v>62.340600000000002</v>
      </c>
      <c r="L124" s="2">
        <v>316</v>
      </c>
      <c r="M124" s="2">
        <v>98.218500000000006</v>
      </c>
      <c r="N124" s="2">
        <v>234</v>
      </c>
      <c r="O124" s="2">
        <v>102.82510000000001</v>
      </c>
      <c r="P124" s="2">
        <v>156</v>
      </c>
      <c r="Q124" s="2">
        <v>103.1146</v>
      </c>
      <c r="R124" s="2">
        <v>198</v>
      </c>
      <c r="S124" s="2">
        <v>99.290199999999999</v>
      </c>
      <c r="T124" s="2">
        <v>106</v>
      </c>
      <c r="U124" s="2">
        <v>0.59924100000000002</v>
      </c>
      <c r="V124" s="2">
        <v>123</v>
      </c>
      <c r="W124" s="2">
        <v>2008</v>
      </c>
    </row>
    <row r="125" spans="1:23" ht="12.3" x14ac:dyDescent="0.4">
      <c r="A125" s="2" t="s">
        <v>207</v>
      </c>
      <c r="B125" s="2"/>
      <c r="C125" s="2"/>
      <c r="D125" s="2"/>
      <c r="E125" s="2"/>
      <c r="F125" s="2"/>
      <c r="G125" s="2"/>
      <c r="H125" s="2"/>
      <c r="I125" s="2">
        <v>68.525800000000004</v>
      </c>
      <c r="J125" s="2">
        <v>113</v>
      </c>
      <c r="K125" s="2">
        <v>67.594200000000001</v>
      </c>
      <c r="L125" s="2">
        <v>141</v>
      </c>
      <c r="M125" s="2">
        <v>105.6194</v>
      </c>
      <c r="N125" s="2">
        <v>102</v>
      </c>
      <c r="O125" s="2">
        <v>109.2079</v>
      </c>
      <c r="P125" s="2">
        <v>57</v>
      </c>
      <c r="Q125" s="2">
        <v>109.7834</v>
      </c>
      <c r="R125" s="2">
        <v>319</v>
      </c>
      <c r="S125" s="2">
        <v>105.57899999999999</v>
      </c>
      <c r="T125" s="2">
        <v>237</v>
      </c>
      <c r="U125" s="2">
        <v>0.59595299999999995</v>
      </c>
      <c r="V125" s="2">
        <v>124</v>
      </c>
      <c r="W125" s="2">
        <v>2008</v>
      </c>
    </row>
    <row r="126" spans="1:23" ht="12.3" x14ac:dyDescent="0.4">
      <c r="A126" s="2" t="s">
        <v>267</v>
      </c>
      <c r="B126" s="2"/>
      <c r="C126" s="2"/>
      <c r="D126" s="2"/>
      <c r="E126" s="2"/>
      <c r="F126" s="2"/>
      <c r="G126" s="2"/>
      <c r="H126" s="2"/>
      <c r="I126" s="2">
        <v>63.896099999999997</v>
      </c>
      <c r="J126" s="2">
        <v>285</v>
      </c>
      <c r="K126" s="2">
        <v>66.207700000000003</v>
      </c>
      <c r="L126" s="2">
        <v>189</v>
      </c>
      <c r="M126" s="2">
        <v>100.0842</v>
      </c>
      <c r="N126" s="2">
        <v>204</v>
      </c>
      <c r="O126" s="2">
        <v>104.7711</v>
      </c>
      <c r="P126" s="2">
        <v>123</v>
      </c>
      <c r="Q126" s="2">
        <v>104.49120000000001</v>
      </c>
      <c r="R126" s="2">
        <v>226</v>
      </c>
      <c r="S126" s="2">
        <v>101.3086</v>
      </c>
      <c r="T126" s="2">
        <v>145</v>
      </c>
      <c r="U126" s="2">
        <v>0.59543299999999999</v>
      </c>
      <c r="V126" s="2">
        <v>125</v>
      </c>
      <c r="W126" s="2">
        <v>2008</v>
      </c>
    </row>
    <row r="127" spans="1:23" ht="12.3" x14ac:dyDescent="0.4">
      <c r="A127" s="2" t="s">
        <v>74</v>
      </c>
      <c r="B127" s="2"/>
      <c r="C127" s="2"/>
      <c r="D127" s="2"/>
      <c r="E127" s="2"/>
      <c r="F127" s="2"/>
      <c r="G127" s="2"/>
      <c r="H127" s="2"/>
      <c r="I127" s="2">
        <v>65.6233</v>
      </c>
      <c r="J127" s="2">
        <v>219</v>
      </c>
      <c r="K127" s="2">
        <v>67.183899999999994</v>
      </c>
      <c r="L127" s="2">
        <v>152</v>
      </c>
      <c r="M127" s="2">
        <v>105.1301</v>
      </c>
      <c r="N127" s="2">
        <v>115</v>
      </c>
      <c r="O127" s="2">
        <v>106.6477</v>
      </c>
      <c r="P127" s="2">
        <v>92</v>
      </c>
      <c r="Q127" s="2">
        <v>102.124</v>
      </c>
      <c r="R127" s="2">
        <v>175</v>
      </c>
      <c r="S127" s="2">
        <v>103.1979</v>
      </c>
      <c r="T127" s="2">
        <v>190</v>
      </c>
      <c r="U127" s="2">
        <v>0.59342499999999998</v>
      </c>
      <c r="V127" s="2">
        <v>126</v>
      </c>
      <c r="W127" s="2">
        <v>2008</v>
      </c>
    </row>
    <row r="128" spans="1:23" ht="12.3" x14ac:dyDescent="0.4">
      <c r="A128" s="2" t="s">
        <v>233</v>
      </c>
      <c r="B128" s="2"/>
      <c r="C128" s="2"/>
      <c r="D128" s="2"/>
      <c r="E128" s="2"/>
      <c r="F128" s="2"/>
      <c r="G128" s="2"/>
      <c r="H128" s="2"/>
      <c r="I128" s="2">
        <v>62.4465</v>
      </c>
      <c r="J128" s="2">
        <v>307</v>
      </c>
      <c r="K128" s="2">
        <v>62.6248</v>
      </c>
      <c r="L128" s="2">
        <v>308</v>
      </c>
      <c r="M128" s="2">
        <v>109.2067</v>
      </c>
      <c r="N128" s="2">
        <v>47</v>
      </c>
      <c r="O128" s="2">
        <v>106.5078</v>
      </c>
      <c r="P128" s="2">
        <v>95</v>
      </c>
      <c r="Q128" s="2">
        <v>101.667</v>
      </c>
      <c r="R128" s="2">
        <v>159</v>
      </c>
      <c r="S128" s="2">
        <v>103.1365</v>
      </c>
      <c r="T128" s="2">
        <v>185</v>
      </c>
      <c r="U128" s="2">
        <v>0.59143400000000002</v>
      </c>
      <c r="V128" s="2">
        <v>127</v>
      </c>
      <c r="W128" s="2">
        <v>2008</v>
      </c>
    </row>
    <row r="129" spans="1:23" ht="12.3" x14ac:dyDescent="0.4">
      <c r="A129" s="2" t="s">
        <v>230</v>
      </c>
      <c r="B129" s="2"/>
      <c r="C129" s="2"/>
      <c r="D129" s="2"/>
      <c r="E129" s="2"/>
      <c r="F129" s="2"/>
      <c r="G129" s="2"/>
      <c r="H129" s="2"/>
      <c r="I129" s="2">
        <v>63.438099999999999</v>
      </c>
      <c r="J129" s="2">
        <v>293</v>
      </c>
      <c r="K129" s="2">
        <v>64.834500000000006</v>
      </c>
      <c r="L129" s="2">
        <v>248</v>
      </c>
      <c r="M129" s="2">
        <v>101.54730000000001</v>
      </c>
      <c r="N129" s="2">
        <v>175</v>
      </c>
      <c r="O129" s="2">
        <v>106.4667</v>
      </c>
      <c r="P129" s="2">
        <v>96</v>
      </c>
      <c r="Q129" s="2">
        <v>104.8783</v>
      </c>
      <c r="R129" s="2">
        <v>244</v>
      </c>
      <c r="S129" s="2">
        <v>103.1957</v>
      </c>
      <c r="T129" s="2">
        <v>189</v>
      </c>
      <c r="U129" s="2">
        <v>0.58876300000000004</v>
      </c>
      <c r="V129" s="2">
        <v>128</v>
      </c>
      <c r="W129" s="2">
        <v>2008</v>
      </c>
    </row>
    <row r="130" spans="1:23" ht="12.3" x14ac:dyDescent="0.4">
      <c r="A130" s="2" t="s">
        <v>212</v>
      </c>
      <c r="B130" s="2">
        <v>14</v>
      </c>
      <c r="C130" s="2"/>
      <c r="D130" s="2"/>
      <c r="E130" s="2"/>
      <c r="F130" s="2"/>
      <c r="G130" s="2"/>
      <c r="H130" s="2"/>
      <c r="I130" s="2">
        <v>72.355699999999999</v>
      </c>
      <c r="J130" s="2">
        <v>24</v>
      </c>
      <c r="K130" s="2">
        <v>72.414100000000005</v>
      </c>
      <c r="L130" s="2">
        <v>17</v>
      </c>
      <c r="M130" s="2">
        <v>109.9851</v>
      </c>
      <c r="N130" s="2">
        <v>42</v>
      </c>
      <c r="O130" s="2">
        <v>106.64319999999999</v>
      </c>
      <c r="P130" s="2">
        <v>93</v>
      </c>
      <c r="Q130" s="2">
        <v>102.7667</v>
      </c>
      <c r="R130" s="2">
        <v>189</v>
      </c>
      <c r="S130" s="2">
        <v>103.3789</v>
      </c>
      <c r="T130" s="2">
        <v>192</v>
      </c>
      <c r="U130" s="2">
        <v>0.58843900000000005</v>
      </c>
      <c r="V130" s="2">
        <v>129</v>
      </c>
      <c r="W130" s="2">
        <v>2008</v>
      </c>
    </row>
    <row r="131" spans="1:23" ht="12.3" x14ac:dyDescent="0.4">
      <c r="A131" s="2" t="s">
        <v>225</v>
      </c>
      <c r="B131" s="2"/>
      <c r="C131" s="2"/>
      <c r="D131" s="2"/>
      <c r="E131" s="2"/>
      <c r="F131" s="2"/>
      <c r="G131" s="2"/>
      <c r="H131" s="2"/>
      <c r="I131" s="2">
        <v>69.492400000000004</v>
      </c>
      <c r="J131" s="2">
        <v>85</v>
      </c>
      <c r="K131" s="2">
        <v>68.391099999999994</v>
      </c>
      <c r="L131" s="2">
        <v>113</v>
      </c>
      <c r="M131" s="2">
        <v>96.706000000000003</v>
      </c>
      <c r="N131" s="2">
        <v>260</v>
      </c>
      <c r="O131" s="2">
        <v>96.077100000000002</v>
      </c>
      <c r="P131" s="2">
        <v>268</v>
      </c>
      <c r="Q131" s="2">
        <v>88.924700000000001</v>
      </c>
      <c r="R131" s="2">
        <v>3</v>
      </c>
      <c r="S131" s="2">
        <v>93.468199999999996</v>
      </c>
      <c r="T131" s="2">
        <v>25</v>
      </c>
      <c r="U131" s="2">
        <v>0.57849600000000001</v>
      </c>
      <c r="V131" s="2">
        <v>130</v>
      </c>
      <c r="W131" s="2">
        <v>2008</v>
      </c>
    </row>
    <row r="132" spans="1:23" ht="12.3" x14ac:dyDescent="0.4">
      <c r="A132" s="2" t="s">
        <v>244</v>
      </c>
      <c r="B132" s="2">
        <v>15</v>
      </c>
      <c r="C132" s="2"/>
      <c r="D132" s="2"/>
      <c r="E132" s="2"/>
      <c r="F132" s="2"/>
      <c r="G132" s="2"/>
      <c r="H132" s="2"/>
      <c r="I132" s="2">
        <v>71.511099999999999</v>
      </c>
      <c r="J132" s="2">
        <v>36</v>
      </c>
      <c r="K132" s="2">
        <v>70.426000000000002</v>
      </c>
      <c r="L132" s="2">
        <v>48</v>
      </c>
      <c r="M132" s="2">
        <v>109.7821</v>
      </c>
      <c r="N132" s="2">
        <v>43</v>
      </c>
      <c r="O132" s="2">
        <v>107.4327</v>
      </c>
      <c r="P132" s="2">
        <v>73</v>
      </c>
      <c r="Q132" s="2">
        <v>102.43819999999999</v>
      </c>
      <c r="R132" s="2">
        <v>182</v>
      </c>
      <c r="S132" s="2">
        <v>104.5431</v>
      </c>
      <c r="T132" s="2">
        <v>215</v>
      </c>
      <c r="U132" s="2">
        <v>0.57775100000000001</v>
      </c>
      <c r="V132" s="2">
        <v>131</v>
      </c>
      <c r="W132" s="2">
        <v>2008</v>
      </c>
    </row>
    <row r="133" spans="1:23" ht="12.3" x14ac:dyDescent="0.4">
      <c r="A133" s="2" t="s">
        <v>103</v>
      </c>
      <c r="B133" s="2"/>
      <c r="C133" s="2"/>
      <c r="D133" s="2"/>
      <c r="E133" s="2"/>
      <c r="F133" s="2"/>
      <c r="G133" s="2"/>
      <c r="H133" s="2"/>
      <c r="I133" s="2">
        <v>66.807400000000001</v>
      </c>
      <c r="J133" s="2">
        <v>177</v>
      </c>
      <c r="K133" s="2">
        <v>65.159099999999995</v>
      </c>
      <c r="L133" s="2">
        <v>235</v>
      </c>
      <c r="M133" s="2">
        <v>102.25530000000001</v>
      </c>
      <c r="N133" s="2">
        <v>163</v>
      </c>
      <c r="O133" s="2">
        <v>103.74339999999999</v>
      </c>
      <c r="P133" s="2">
        <v>145</v>
      </c>
      <c r="Q133" s="2">
        <v>103.0949</v>
      </c>
      <c r="R133" s="2">
        <v>197</v>
      </c>
      <c r="S133" s="2">
        <v>101.0262</v>
      </c>
      <c r="T133" s="2">
        <v>137</v>
      </c>
      <c r="U133" s="2">
        <v>0.57571700000000003</v>
      </c>
      <c r="V133" s="2">
        <v>132</v>
      </c>
      <c r="W133" s="2">
        <v>2008</v>
      </c>
    </row>
    <row r="134" spans="1:23" ht="12.3" x14ac:dyDescent="0.4">
      <c r="A134" s="2" t="s">
        <v>226</v>
      </c>
      <c r="B134" s="2">
        <v>15</v>
      </c>
      <c r="C134" s="2"/>
      <c r="D134" s="2"/>
      <c r="E134" s="2"/>
      <c r="F134" s="2"/>
      <c r="G134" s="2"/>
      <c r="H134" s="2"/>
      <c r="I134" s="2">
        <v>60.916400000000003</v>
      </c>
      <c r="J134" s="2">
        <v>324</v>
      </c>
      <c r="K134" s="2">
        <v>61.920900000000003</v>
      </c>
      <c r="L134" s="2">
        <v>320</v>
      </c>
      <c r="M134" s="2">
        <v>106.95359999999999</v>
      </c>
      <c r="N134" s="2">
        <v>78</v>
      </c>
      <c r="O134" s="2">
        <v>107.8497</v>
      </c>
      <c r="P134" s="2">
        <v>72</v>
      </c>
      <c r="Q134" s="2">
        <v>101.55540000000001</v>
      </c>
      <c r="R134" s="2">
        <v>153</v>
      </c>
      <c r="S134" s="2">
        <v>105.0294</v>
      </c>
      <c r="T134" s="2">
        <v>228</v>
      </c>
      <c r="U134" s="2">
        <v>0.5756</v>
      </c>
      <c r="V134" s="2">
        <v>133</v>
      </c>
      <c r="W134" s="2">
        <v>2008</v>
      </c>
    </row>
    <row r="135" spans="1:23" ht="12.3" x14ac:dyDescent="0.4">
      <c r="A135" s="2" t="s">
        <v>198</v>
      </c>
      <c r="B135" s="2"/>
      <c r="C135" s="2"/>
      <c r="D135" s="2"/>
      <c r="E135" s="2"/>
      <c r="F135" s="2"/>
      <c r="G135" s="2"/>
      <c r="H135" s="2"/>
      <c r="I135" s="2">
        <v>74.662800000000004</v>
      </c>
      <c r="J135" s="2">
        <v>10</v>
      </c>
      <c r="K135" s="2">
        <v>73.587100000000007</v>
      </c>
      <c r="L135" s="2">
        <v>10</v>
      </c>
      <c r="M135" s="2">
        <v>103.47450000000001</v>
      </c>
      <c r="N135" s="2">
        <v>143</v>
      </c>
      <c r="O135" s="2">
        <v>100.3998</v>
      </c>
      <c r="P135" s="2">
        <v>194</v>
      </c>
      <c r="Q135" s="2">
        <v>95.930199999999999</v>
      </c>
      <c r="R135" s="2">
        <v>47</v>
      </c>
      <c r="S135" s="2">
        <v>97.861900000000006</v>
      </c>
      <c r="T135" s="2">
        <v>82</v>
      </c>
      <c r="U135" s="2">
        <v>0.57308199999999998</v>
      </c>
      <c r="V135" s="2">
        <v>134</v>
      </c>
      <c r="W135" s="2">
        <v>2008</v>
      </c>
    </row>
    <row r="136" spans="1:23" ht="12.3" x14ac:dyDescent="0.4">
      <c r="A136" s="2" t="s">
        <v>153</v>
      </c>
      <c r="B136" s="2"/>
      <c r="C136" s="2"/>
      <c r="D136" s="2"/>
      <c r="E136" s="2"/>
      <c r="F136" s="2"/>
      <c r="G136" s="2"/>
      <c r="H136" s="2"/>
      <c r="I136" s="2">
        <v>70.530900000000003</v>
      </c>
      <c r="J136" s="2">
        <v>55</v>
      </c>
      <c r="K136" s="2">
        <v>70.787700000000001</v>
      </c>
      <c r="L136" s="2">
        <v>42</v>
      </c>
      <c r="M136" s="2">
        <v>105.03060000000001</v>
      </c>
      <c r="N136" s="2">
        <v>116</v>
      </c>
      <c r="O136" s="2">
        <v>104.2325</v>
      </c>
      <c r="P136" s="2">
        <v>138</v>
      </c>
      <c r="Q136" s="2">
        <v>101.12560000000001</v>
      </c>
      <c r="R136" s="2">
        <v>144</v>
      </c>
      <c r="S136" s="2">
        <v>101.81659999999999</v>
      </c>
      <c r="T136" s="2">
        <v>157</v>
      </c>
      <c r="U136" s="2">
        <v>0.56701500000000005</v>
      </c>
      <c r="V136" s="2">
        <v>135</v>
      </c>
      <c r="W136" s="2">
        <v>2008</v>
      </c>
    </row>
    <row r="137" spans="1:23" ht="12.3" x14ac:dyDescent="0.4">
      <c r="A137" s="2" t="s">
        <v>169</v>
      </c>
      <c r="B137" s="2"/>
      <c r="C137" s="2"/>
      <c r="D137" s="2"/>
      <c r="E137" s="2"/>
      <c r="F137" s="2"/>
      <c r="G137" s="2"/>
      <c r="H137" s="2"/>
      <c r="I137" s="2">
        <v>70.639899999999997</v>
      </c>
      <c r="J137" s="2">
        <v>53</v>
      </c>
      <c r="K137" s="2">
        <v>70.229799999999997</v>
      </c>
      <c r="L137" s="2">
        <v>53</v>
      </c>
      <c r="M137" s="2">
        <v>104.3081</v>
      </c>
      <c r="N137" s="2">
        <v>129</v>
      </c>
      <c r="O137" s="2">
        <v>108.0016</v>
      </c>
      <c r="P137" s="2">
        <v>68</v>
      </c>
      <c r="Q137" s="2">
        <v>106.1698</v>
      </c>
      <c r="R137" s="2">
        <v>275</v>
      </c>
      <c r="S137" s="2">
        <v>105.5307</v>
      </c>
      <c r="T137" s="2">
        <v>235</v>
      </c>
      <c r="U137" s="2">
        <v>0.56615000000000004</v>
      </c>
      <c r="V137" s="2">
        <v>136</v>
      </c>
      <c r="W137" s="2">
        <v>2008</v>
      </c>
    </row>
    <row r="138" spans="1:23" ht="12.3" x14ac:dyDescent="0.4">
      <c r="A138" s="2" t="s">
        <v>194</v>
      </c>
      <c r="B138" s="2"/>
      <c r="C138" s="2"/>
      <c r="D138" s="2"/>
      <c r="E138" s="2"/>
      <c r="F138" s="2"/>
      <c r="G138" s="2"/>
      <c r="H138" s="2"/>
      <c r="I138" s="2">
        <v>71.462599999999995</v>
      </c>
      <c r="J138" s="2">
        <v>38</v>
      </c>
      <c r="K138" s="2">
        <v>71.612300000000005</v>
      </c>
      <c r="L138" s="2">
        <v>26</v>
      </c>
      <c r="M138" s="2">
        <v>106.80929999999999</v>
      </c>
      <c r="N138" s="2">
        <v>83</v>
      </c>
      <c r="O138" s="2">
        <v>104.8424</v>
      </c>
      <c r="P138" s="2">
        <v>119</v>
      </c>
      <c r="Q138" s="2">
        <v>101.7882</v>
      </c>
      <c r="R138" s="2">
        <v>164</v>
      </c>
      <c r="S138" s="2">
        <v>102.5249</v>
      </c>
      <c r="T138" s="2">
        <v>174</v>
      </c>
      <c r="U138" s="2">
        <v>0.56391100000000005</v>
      </c>
      <c r="V138" s="2">
        <v>137</v>
      </c>
      <c r="W138" s="2">
        <v>2008</v>
      </c>
    </row>
    <row r="139" spans="1:23" ht="12.3" x14ac:dyDescent="0.4">
      <c r="A139" s="2" t="s">
        <v>360</v>
      </c>
      <c r="B139" s="2"/>
      <c r="C139" s="2"/>
      <c r="D139" s="2"/>
      <c r="E139" s="2"/>
      <c r="F139" s="2"/>
      <c r="G139" s="2"/>
      <c r="H139" s="2"/>
      <c r="I139" s="2">
        <v>68.990600000000001</v>
      </c>
      <c r="J139" s="2">
        <v>98</v>
      </c>
      <c r="K139" s="2">
        <v>68.789199999999994</v>
      </c>
      <c r="L139" s="2">
        <v>101</v>
      </c>
      <c r="M139" s="2">
        <v>107.8361</v>
      </c>
      <c r="N139" s="2">
        <v>63</v>
      </c>
      <c r="O139" s="2">
        <v>104.36450000000001</v>
      </c>
      <c r="P139" s="2">
        <v>133</v>
      </c>
      <c r="Q139" s="2">
        <v>102.31910000000001</v>
      </c>
      <c r="R139" s="2">
        <v>179</v>
      </c>
      <c r="S139" s="2">
        <v>102.1476</v>
      </c>
      <c r="T139" s="2">
        <v>165</v>
      </c>
      <c r="U139" s="2">
        <v>0.56141700000000005</v>
      </c>
      <c r="V139" s="2">
        <v>138</v>
      </c>
      <c r="W139" s="2">
        <v>2008</v>
      </c>
    </row>
    <row r="140" spans="1:23" ht="12.3" x14ac:dyDescent="0.4">
      <c r="A140" s="2" t="s">
        <v>184</v>
      </c>
      <c r="B140" s="2"/>
      <c r="C140" s="2"/>
      <c r="D140" s="2"/>
      <c r="E140" s="2"/>
      <c r="F140" s="2"/>
      <c r="G140" s="2"/>
      <c r="H140" s="2"/>
      <c r="I140" s="2">
        <v>69.583299999999994</v>
      </c>
      <c r="J140" s="2">
        <v>83</v>
      </c>
      <c r="K140" s="2">
        <v>69.187399999999997</v>
      </c>
      <c r="L140" s="2">
        <v>84</v>
      </c>
      <c r="M140" s="2">
        <v>107.3587</v>
      </c>
      <c r="N140" s="2">
        <v>72</v>
      </c>
      <c r="O140" s="2">
        <v>104.0903</v>
      </c>
      <c r="P140" s="2">
        <v>141</v>
      </c>
      <c r="Q140" s="2">
        <v>100.71550000000001</v>
      </c>
      <c r="R140" s="2">
        <v>134</v>
      </c>
      <c r="S140" s="2">
        <v>102.15940000000001</v>
      </c>
      <c r="T140" s="2">
        <v>166</v>
      </c>
      <c r="U140" s="2">
        <v>0.55362599999999995</v>
      </c>
      <c r="V140" s="2">
        <v>139</v>
      </c>
      <c r="W140" s="2">
        <v>2008</v>
      </c>
    </row>
    <row r="141" spans="1:23" ht="12.3" x14ac:dyDescent="0.4">
      <c r="A141" s="2" t="s">
        <v>84</v>
      </c>
      <c r="B141" s="2"/>
      <c r="C141" s="2"/>
      <c r="D141" s="2"/>
      <c r="E141" s="2"/>
      <c r="F141" s="2"/>
      <c r="G141" s="2"/>
      <c r="H141" s="2"/>
      <c r="I141" s="2">
        <v>59.488199999999999</v>
      </c>
      <c r="J141" s="2">
        <v>334</v>
      </c>
      <c r="K141" s="2">
        <v>60.408099999999997</v>
      </c>
      <c r="L141" s="2">
        <v>333</v>
      </c>
      <c r="M141" s="2">
        <v>94.250699999999995</v>
      </c>
      <c r="N141" s="2">
        <v>291</v>
      </c>
      <c r="O141" s="2">
        <v>97.16</v>
      </c>
      <c r="P141" s="2">
        <v>248</v>
      </c>
      <c r="Q141" s="2">
        <v>97.639099999999999</v>
      </c>
      <c r="R141" s="2">
        <v>69</v>
      </c>
      <c r="S141" s="2">
        <v>95.664100000000005</v>
      </c>
      <c r="T141" s="2">
        <v>48</v>
      </c>
      <c r="U141" s="2">
        <v>0.544493</v>
      </c>
      <c r="V141" s="2">
        <v>140</v>
      </c>
      <c r="W141" s="2">
        <v>2008</v>
      </c>
    </row>
    <row r="142" spans="1:23" ht="12.3" x14ac:dyDescent="0.4">
      <c r="A142" s="2" t="s">
        <v>154</v>
      </c>
      <c r="B142" s="2"/>
      <c r="C142" s="2"/>
      <c r="D142" s="2"/>
      <c r="E142" s="2"/>
      <c r="F142" s="2"/>
      <c r="G142" s="2"/>
      <c r="H142" s="2"/>
      <c r="I142" s="2">
        <v>64.195700000000002</v>
      </c>
      <c r="J142" s="2">
        <v>278</v>
      </c>
      <c r="K142" s="2">
        <v>66.264799999999994</v>
      </c>
      <c r="L142" s="2">
        <v>186</v>
      </c>
      <c r="M142" s="2">
        <v>97.517200000000003</v>
      </c>
      <c r="N142" s="2">
        <v>244</v>
      </c>
      <c r="O142" s="2">
        <v>100.6823</v>
      </c>
      <c r="P142" s="2">
        <v>191</v>
      </c>
      <c r="Q142" s="2">
        <v>105.1151</v>
      </c>
      <c r="R142" s="2">
        <v>250</v>
      </c>
      <c r="S142" s="2">
        <v>99.173199999999994</v>
      </c>
      <c r="T142" s="2">
        <v>102</v>
      </c>
      <c r="U142" s="2">
        <v>0.54330999999999996</v>
      </c>
      <c r="V142" s="2">
        <v>141</v>
      </c>
      <c r="W142" s="2">
        <v>2008</v>
      </c>
    </row>
    <row r="143" spans="1:23" ht="12.3" x14ac:dyDescent="0.4">
      <c r="A143" s="2" t="s">
        <v>308</v>
      </c>
      <c r="B143" s="2"/>
      <c r="C143" s="2"/>
      <c r="D143" s="2"/>
      <c r="E143" s="2"/>
      <c r="F143" s="2"/>
      <c r="G143" s="2"/>
      <c r="H143" s="2"/>
      <c r="I143" s="2">
        <v>62.681399999999996</v>
      </c>
      <c r="J143" s="2">
        <v>306</v>
      </c>
      <c r="K143" s="2">
        <v>62.858600000000003</v>
      </c>
      <c r="L143" s="2">
        <v>302</v>
      </c>
      <c r="M143" s="2">
        <v>100.4782</v>
      </c>
      <c r="N143" s="2">
        <v>196</v>
      </c>
      <c r="O143" s="2">
        <v>101.2619</v>
      </c>
      <c r="P143" s="2">
        <v>181</v>
      </c>
      <c r="Q143" s="2">
        <v>100.7807</v>
      </c>
      <c r="R143" s="2">
        <v>135</v>
      </c>
      <c r="S143" s="2">
        <v>99.789000000000001</v>
      </c>
      <c r="T143" s="2">
        <v>114</v>
      </c>
      <c r="U143" s="2">
        <v>0.54202399999999995</v>
      </c>
      <c r="V143" s="2">
        <v>142</v>
      </c>
      <c r="W143" s="2">
        <v>2008</v>
      </c>
    </row>
    <row r="144" spans="1:23" ht="12.3" x14ac:dyDescent="0.4">
      <c r="A144" s="2" t="s">
        <v>113</v>
      </c>
      <c r="B144" s="2"/>
      <c r="C144" s="2"/>
      <c r="D144" s="2"/>
      <c r="E144" s="2"/>
      <c r="F144" s="2"/>
      <c r="G144" s="2"/>
      <c r="H144" s="2"/>
      <c r="I144" s="2">
        <v>67.573300000000003</v>
      </c>
      <c r="J144" s="2">
        <v>152</v>
      </c>
      <c r="K144" s="2">
        <v>66.888499999999993</v>
      </c>
      <c r="L144" s="2">
        <v>163</v>
      </c>
      <c r="M144" s="2">
        <v>105.7099</v>
      </c>
      <c r="N144" s="2">
        <v>100</v>
      </c>
      <c r="O144" s="2">
        <v>108.5317</v>
      </c>
      <c r="P144" s="2">
        <v>62</v>
      </c>
      <c r="Q144" s="2">
        <v>107.8929</v>
      </c>
      <c r="R144" s="2">
        <v>293</v>
      </c>
      <c r="S144" s="2">
        <v>106.974</v>
      </c>
      <c r="T144" s="2">
        <v>266</v>
      </c>
      <c r="U144" s="2">
        <v>0.54146799999999995</v>
      </c>
      <c r="V144" s="2">
        <v>143</v>
      </c>
      <c r="W144" s="2">
        <v>2008</v>
      </c>
    </row>
    <row r="145" spans="1:23" ht="12.3" x14ac:dyDescent="0.4">
      <c r="A145" s="2" t="s">
        <v>307</v>
      </c>
      <c r="B145" s="2"/>
      <c r="C145" s="2"/>
      <c r="D145" s="2"/>
      <c r="E145" s="2"/>
      <c r="F145" s="2"/>
      <c r="G145" s="2"/>
      <c r="H145" s="2"/>
      <c r="I145" s="2">
        <v>71.203900000000004</v>
      </c>
      <c r="J145" s="2">
        <v>44</v>
      </c>
      <c r="K145" s="2">
        <v>70.201499999999996</v>
      </c>
      <c r="L145" s="2">
        <v>55</v>
      </c>
      <c r="M145" s="2">
        <v>104.6645</v>
      </c>
      <c r="N145" s="2">
        <v>123</v>
      </c>
      <c r="O145" s="2">
        <v>100.9667</v>
      </c>
      <c r="P145" s="2">
        <v>185</v>
      </c>
      <c r="Q145" s="2">
        <v>94.686899999999994</v>
      </c>
      <c r="R145" s="2">
        <v>29</v>
      </c>
      <c r="S145" s="2">
        <v>99.598600000000005</v>
      </c>
      <c r="T145" s="2">
        <v>109</v>
      </c>
      <c r="U145" s="2">
        <v>0.53913999999999995</v>
      </c>
      <c r="V145" s="2">
        <v>144</v>
      </c>
      <c r="W145" s="2">
        <v>2008</v>
      </c>
    </row>
    <row r="146" spans="1:23" ht="12.3" x14ac:dyDescent="0.4">
      <c r="A146" s="2" t="s">
        <v>165</v>
      </c>
      <c r="B146" s="2"/>
      <c r="C146" s="2"/>
      <c r="D146" s="2"/>
      <c r="E146" s="2"/>
      <c r="F146" s="2"/>
      <c r="G146" s="2"/>
      <c r="H146" s="2"/>
      <c r="I146" s="2">
        <v>68.8429</v>
      </c>
      <c r="J146" s="2">
        <v>104</v>
      </c>
      <c r="K146" s="2">
        <v>68.263599999999997</v>
      </c>
      <c r="L146" s="2">
        <v>117</v>
      </c>
      <c r="M146" s="2">
        <v>110.66370000000001</v>
      </c>
      <c r="N146" s="2">
        <v>32</v>
      </c>
      <c r="O146" s="2">
        <v>109.59350000000001</v>
      </c>
      <c r="P146" s="2">
        <v>51</v>
      </c>
      <c r="Q146" s="2">
        <v>109.14190000000001</v>
      </c>
      <c r="R146" s="2">
        <v>311</v>
      </c>
      <c r="S146" s="2">
        <v>108.166</v>
      </c>
      <c r="T146" s="2">
        <v>291</v>
      </c>
      <c r="U146" s="2">
        <v>0.53762100000000002</v>
      </c>
      <c r="V146" s="2">
        <v>145</v>
      </c>
      <c r="W146" s="2">
        <v>2008</v>
      </c>
    </row>
    <row r="147" spans="1:23" ht="12.3" x14ac:dyDescent="0.4">
      <c r="A147" s="2" t="s">
        <v>192</v>
      </c>
      <c r="B147" s="2"/>
      <c r="C147" s="2"/>
      <c r="D147" s="2"/>
      <c r="E147" s="2"/>
      <c r="F147" s="2"/>
      <c r="G147" s="2"/>
      <c r="H147" s="2"/>
      <c r="I147" s="2">
        <v>61.364400000000003</v>
      </c>
      <c r="J147" s="2">
        <v>321</v>
      </c>
      <c r="K147" s="2">
        <v>62.511899999999997</v>
      </c>
      <c r="L147" s="2">
        <v>310</v>
      </c>
      <c r="M147" s="2">
        <v>100.2431</v>
      </c>
      <c r="N147" s="2">
        <v>201</v>
      </c>
      <c r="O147" s="2">
        <v>102.76949999999999</v>
      </c>
      <c r="P147" s="2">
        <v>158</v>
      </c>
      <c r="Q147" s="2">
        <v>103.4162</v>
      </c>
      <c r="R147" s="2">
        <v>204</v>
      </c>
      <c r="S147" s="2">
        <v>101.5172</v>
      </c>
      <c r="T147" s="2">
        <v>150</v>
      </c>
      <c r="U147" s="2">
        <v>0.53519000000000005</v>
      </c>
      <c r="V147" s="2">
        <v>146</v>
      </c>
      <c r="W147" s="2">
        <v>2008</v>
      </c>
    </row>
    <row r="148" spans="1:23" ht="12.3" x14ac:dyDescent="0.4">
      <c r="A148" s="2" t="s">
        <v>100</v>
      </c>
      <c r="B148" s="2"/>
      <c r="C148" s="2"/>
      <c r="D148" s="2"/>
      <c r="E148" s="2"/>
      <c r="F148" s="2"/>
      <c r="G148" s="2"/>
      <c r="H148" s="2"/>
      <c r="I148" s="2">
        <v>64.230900000000005</v>
      </c>
      <c r="J148" s="2">
        <v>276</v>
      </c>
      <c r="K148" s="2">
        <v>63.9221</v>
      </c>
      <c r="L148" s="2">
        <v>282</v>
      </c>
      <c r="M148" s="2">
        <v>97.319400000000002</v>
      </c>
      <c r="N148" s="2">
        <v>250</v>
      </c>
      <c r="O148" s="2">
        <v>99.448800000000006</v>
      </c>
      <c r="P148" s="2">
        <v>206</v>
      </c>
      <c r="Q148" s="2">
        <v>100.6863</v>
      </c>
      <c r="R148" s="2">
        <v>133</v>
      </c>
      <c r="S148" s="2">
        <v>98.29</v>
      </c>
      <c r="T148" s="2">
        <v>88</v>
      </c>
      <c r="U148" s="2">
        <v>0.53364800000000001</v>
      </c>
      <c r="V148" s="2">
        <v>147</v>
      </c>
      <c r="W148" s="2">
        <v>2008</v>
      </c>
    </row>
    <row r="149" spans="1:23" ht="12.3" x14ac:dyDescent="0.4">
      <c r="A149" s="2" t="s">
        <v>143</v>
      </c>
      <c r="B149" s="2"/>
      <c r="C149" s="2"/>
      <c r="D149" s="2"/>
      <c r="E149" s="2"/>
      <c r="F149" s="2"/>
      <c r="G149" s="2"/>
      <c r="H149" s="2"/>
      <c r="I149" s="2">
        <v>65.662099999999995</v>
      </c>
      <c r="J149" s="2">
        <v>215</v>
      </c>
      <c r="K149" s="2">
        <v>65.060699999999997</v>
      </c>
      <c r="L149" s="2">
        <v>238</v>
      </c>
      <c r="M149" s="2">
        <v>104.96129999999999</v>
      </c>
      <c r="N149" s="2">
        <v>118</v>
      </c>
      <c r="O149" s="2">
        <v>104.2719</v>
      </c>
      <c r="P149" s="2">
        <v>137</v>
      </c>
      <c r="Q149" s="2">
        <v>102.8852</v>
      </c>
      <c r="R149" s="2">
        <v>192</v>
      </c>
      <c r="S149" s="2">
        <v>103.1576</v>
      </c>
      <c r="T149" s="2">
        <v>186</v>
      </c>
      <c r="U149" s="2">
        <v>0.53085000000000004</v>
      </c>
      <c r="V149" s="2">
        <v>148</v>
      </c>
      <c r="W149" s="2">
        <v>2008</v>
      </c>
    </row>
    <row r="150" spans="1:23" ht="12.3" x14ac:dyDescent="0.4">
      <c r="A150" s="2" t="s">
        <v>197</v>
      </c>
      <c r="B150" s="2"/>
      <c r="C150" s="2"/>
      <c r="D150" s="2"/>
      <c r="E150" s="2"/>
      <c r="F150" s="2"/>
      <c r="G150" s="2"/>
      <c r="H150" s="2"/>
      <c r="I150" s="2">
        <v>64.071600000000004</v>
      </c>
      <c r="J150" s="2">
        <v>280</v>
      </c>
      <c r="K150" s="2">
        <v>64.293499999999995</v>
      </c>
      <c r="L150" s="2">
        <v>271</v>
      </c>
      <c r="M150" s="2">
        <v>103.2444</v>
      </c>
      <c r="N150" s="2">
        <v>149</v>
      </c>
      <c r="O150" s="2">
        <v>103.71850000000001</v>
      </c>
      <c r="P150" s="2">
        <v>146</v>
      </c>
      <c r="Q150" s="2">
        <v>102.8498</v>
      </c>
      <c r="R150" s="2">
        <v>191</v>
      </c>
      <c r="S150" s="2">
        <v>102.6555</v>
      </c>
      <c r="T150" s="2">
        <v>179</v>
      </c>
      <c r="U150" s="2">
        <v>0.52958099999999997</v>
      </c>
      <c r="V150" s="2">
        <v>149</v>
      </c>
      <c r="W150" s="2">
        <v>2008</v>
      </c>
    </row>
    <row r="151" spans="1:23" ht="12.3" x14ac:dyDescent="0.4">
      <c r="A151" s="2" t="s">
        <v>126</v>
      </c>
      <c r="B151" s="2"/>
      <c r="C151" s="2"/>
      <c r="D151" s="2"/>
      <c r="E151" s="2"/>
      <c r="F151" s="2"/>
      <c r="G151" s="2"/>
      <c r="H151" s="2"/>
      <c r="I151" s="2">
        <v>65.545599999999993</v>
      </c>
      <c r="J151" s="2">
        <v>222</v>
      </c>
      <c r="K151" s="2">
        <v>64.868200000000002</v>
      </c>
      <c r="L151" s="2">
        <v>246</v>
      </c>
      <c r="M151" s="2">
        <v>108.4756</v>
      </c>
      <c r="N151" s="2">
        <v>58</v>
      </c>
      <c r="O151" s="2">
        <v>104.8126</v>
      </c>
      <c r="P151" s="2">
        <v>121</v>
      </c>
      <c r="Q151" s="2">
        <v>101.23739999999999</v>
      </c>
      <c r="R151" s="2">
        <v>146</v>
      </c>
      <c r="S151" s="2">
        <v>103.86669999999999</v>
      </c>
      <c r="T151" s="2">
        <v>202</v>
      </c>
      <c r="U151" s="2">
        <v>0.52603900000000003</v>
      </c>
      <c r="V151" s="2">
        <v>150</v>
      </c>
      <c r="W151" s="2">
        <v>2008</v>
      </c>
    </row>
    <row r="152" spans="1:23" ht="12.3" x14ac:dyDescent="0.4">
      <c r="A152" s="2" t="s">
        <v>253</v>
      </c>
      <c r="B152" s="2"/>
      <c r="C152" s="2"/>
      <c r="D152" s="2"/>
      <c r="E152" s="2"/>
      <c r="F152" s="2"/>
      <c r="G152" s="2"/>
      <c r="H152" s="2"/>
      <c r="I152" s="2">
        <v>67.075599999999994</v>
      </c>
      <c r="J152" s="2">
        <v>168</v>
      </c>
      <c r="K152" s="2">
        <v>66.563900000000004</v>
      </c>
      <c r="L152" s="2">
        <v>176</v>
      </c>
      <c r="M152" s="2">
        <v>105.3407</v>
      </c>
      <c r="N152" s="2">
        <v>110</v>
      </c>
      <c r="O152" s="2">
        <v>104.0986</v>
      </c>
      <c r="P152" s="2">
        <v>140</v>
      </c>
      <c r="Q152" s="2">
        <v>102.36320000000001</v>
      </c>
      <c r="R152" s="2">
        <v>181</v>
      </c>
      <c r="S152" s="2">
        <v>103.1948</v>
      </c>
      <c r="T152" s="2">
        <v>188</v>
      </c>
      <c r="U152" s="2">
        <v>0.52505100000000005</v>
      </c>
      <c r="V152" s="2">
        <v>151</v>
      </c>
      <c r="W152" s="2">
        <v>2008</v>
      </c>
    </row>
    <row r="153" spans="1:23" ht="12.3" x14ac:dyDescent="0.4">
      <c r="A153" s="2" t="s">
        <v>266</v>
      </c>
      <c r="B153" s="2"/>
      <c r="C153" s="2"/>
      <c r="D153" s="2"/>
      <c r="E153" s="2"/>
      <c r="F153" s="2"/>
      <c r="G153" s="2"/>
      <c r="H153" s="2"/>
      <c r="I153" s="2">
        <v>72.375699999999995</v>
      </c>
      <c r="J153" s="2">
        <v>21</v>
      </c>
      <c r="K153" s="2">
        <v>71.165400000000005</v>
      </c>
      <c r="L153" s="2">
        <v>35</v>
      </c>
      <c r="M153" s="2">
        <v>106.4224</v>
      </c>
      <c r="N153" s="2">
        <v>88</v>
      </c>
      <c r="O153" s="2">
        <v>107.8511</v>
      </c>
      <c r="P153" s="2">
        <v>71</v>
      </c>
      <c r="Q153" s="2">
        <v>102.636</v>
      </c>
      <c r="R153" s="2">
        <v>185</v>
      </c>
      <c r="S153" s="2">
        <v>106.929</v>
      </c>
      <c r="T153" s="2">
        <v>262</v>
      </c>
      <c r="U153" s="2">
        <v>0.52466699999999999</v>
      </c>
      <c r="V153" s="2">
        <v>152</v>
      </c>
      <c r="W153" s="2">
        <v>2008</v>
      </c>
    </row>
    <row r="154" spans="1:23" ht="12.3" x14ac:dyDescent="0.4">
      <c r="A154" s="2" t="s">
        <v>228</v>
      </c>
      <c r="B154" s="2"/>
      <c r="C154" s="2"/>
      <c r="D154" s="2"/>
      <c r="E154" s="2"/>
      <c r="F154" s="2"/>
      <c r="G154" s="2"/>
      <c r="H154" s="2"/>
      <c r="I154" s="2">
        <v>64.820099999999996</v>
      </c>
      <c r="J154" s="2">
        <v>260</v>
      </c>
      <c r="K154" s="2">
        <v>63.614899999999999</v>
      </c>
      <c r="L154" s="2">
        <v>290</v>
      </c>
      <c r="M154" s="2">
        <v>103.2843</v>
      </c>
      <c r="N154" s="2">
        <v>145</v>
      </c>
      <c r="O154" s="2">
        <v>104.49209999999999</v>
      </c>
      <c r="P154" s="2">
        <v>127</v>
      </c>
      <c r="Q154" s="2">
        <v>106.2148</v>
      </c>
      <c r="R154" s="2">
        <v>276</v>
      </c>
      <c r="S154" s="2">
        <v>103.6075</v>
      </c>
      <c r="T154" s="2">
        <v>196</v>
      </c>
      <c r="U154" s="2">
        <v>0.52442299999999997</v>
      </c>
      <c r="V154" s="2">
        <v>153</v>
      </c>
      <c r="W154" s="2">
        <v>2008</v>
      </c>
    </row>
    <row r="155" spans="1:23" ht="12.3" x14ac:dyDescent="0.4">
      <c r="A155" s="2" t="s">
        <v>340</v>
      </c>
      <c r="B155" s="2"/>
      <c r="C155" s="2"/>
      <c r="D155" s="2"/>
      <c r="E155" s="2"/>
      <c r="F155" s="2"/>
      <c r="G155" s="2"/>
      <c r="H155" s="2"/>
      <c r="I155" s="2">
        <v>67.413300000000007</v>
      </c>
      <c r="J155" s="2">
        <v>159</v>
      </c>
      <c r="K155" s="2">
        <v>66.604299999999995</v>
      </c>
      <c r="L155" s="2">
        <v>171</v>
      </c>
      <c r="M155" s="2">
        <v>106.0681</v>
      </c>
      <c r="N155" s="2">
        <v>92</v>
      </c>
      <c r="O155" s="2">
        <v>106.7457</v>
      </c>
      <c r="P155" s="2">
        <v>89</v>
      </c>
      <c r="Q155" s="2">
        <v>104.69589999999999</v>
      </c>
      <c r="R155" s="2">
        <v>234</v>
      </c>
      <c r="S155" s="2">
        <v>105.872</v>
      </c>
      <c r="T155" s="2">
        <v>243</v>
      </c>
      <c r="U155" s="2">
        <v>0.52361199999999997</v>
      </c>
      <c r="V155" s="2">
        <v>154</v>
      </c>
      <c r="W155" s="2">
        <v>2008</v>
      </c>
    </row>
    <row r="156" spans="1:23" ht="12.3" x14ac:dyDescent="0.4">
      <c r="A156" s="2" t="s">
        <v>204</v>
      </c>
      <c r="B156" s="2"/>
      <c r="C156" s="2"/>
      <c r="D156" s="2"/>
      <c r="E156" s="2"/>
      <c r="F156" s="2"/>
      <c r="G156" s="2"/>
      <c r="H156" s="2"/>
      <c r="I156" s="2">
        <v>58.047400000000003</v>
      </c>
      <c r="J156" s="2">
        <v>338</v>
      </c>
      <c r="K156" s="2">
        <v>58.151899999999998</v>
      </c>
      <c r="L156" s="2">
        <v>338</v>
      </c>
      <c r="M156" s="2">
        <v>98.224800000000002</v>
      </c>
      <c r="N156" s="2">
        <v>233</v>
      </c>
      <c r="O156" s="2">
        <v>98.373699999999999</v>
      </c>
      <c r="P156" s="2">
        <v>224</v>
      </c>
      <c r="Q156" s="2">
        <v>97.839399999999998</v>
      </c>
      <c r="R156" s="2">
        <v>74</v>
      </c>
      <c r="S156" s="2">
        <v>97.706900000000005</v>
      </c>
      <c r="T156" s="2">
        <v>77</v>
      </c>
      <c r="U156" s="2">
        <v>0.51954500000000003</v>
      </c>
      <c r="V156" s="2">
        <v>155</v>
      </c>
      <c r="W156" s="2">
        <v>2008</v>
      </c>
    </row>
    <row r="157" spans="1:23" ht="12.3" x14ac:dyDescent="0.4">
      <c r="A157" s="2" t="s">
        <v>116</v>
      </c>
      <c r="B157" s="2"/>
      <c r="C157" s="2"/>
      <c r="D157" s="2"/>
      <c r="E157" s="2"/>
      <c r="F157" s="2"/>
      <c r="G157" s="2"/>
      <c r="H157" s="2"/>
      <c r="I157" s="2">
        <v>59.779499999999999</v>
      </c>
      <c r="J157" s="2">
        <v>333</v>
      </c>
      <c r="K157" s="2">
        <v>60.440800000000003</v>
      </c>
      <c r="L157" s="2">
        <v>332</v>
      </c>
      <c r="M157" s="2">
        <v>97.013499999999993</v>
      </c>
      <c r="N157" s="2">
        <v>255</v>
      </c>
      <c r="O157" s="2">
        <v>98.881</v>
      </c>
      <c r="P157" s="2">
        <v>217</v>
      </c>
      <c r="Q157" s="2">
        <v>101.5873</v>
      </c>
      <c r="R157" s="2">
        <v>156</v>
      </c>
      <c r="S157" s="2">
        <v>98.267300000000006</v>
      </c>
      <c r="T157" s="2">
        <v>87</v>
      </c>
      <c r="U157" s="2">
        <v>0.51789200000000002</v>
      </c>
      <c r="V157" s="2">
        <v>156</v>
      </c>
      <c r="W157" s="2">
        <v>2008</v>
      </c>
    </row>
    <row r="158" spans="1:23" ht="12.3" x14ac:dyDescent="0.4">
      <c r="A158" s="2" t="s">
        <v>236</v>
      </c>
      <c r="B158" s="2"/>
      <c r="C158" s="2"/>
      <c r="D158" s="2"/>
      <c r="E158" s="2"/>
      <c r="F158" s="2"/>
      <c r="G158" s="2"/>
      <c r="H158" s="2"/>
      <c r="I158" s="2">
        <v>65.818799999999996</v>
      </c>
      <c r="J158" s="2">
        <v>205</v>
      </c>
      <c r="K158" s="2">
        <v>67.235200000000006</v>
      </c>
      <c r="L158" s="2">
        <v>149</v>
      </c>
      <c r="M158" s="2">
        <v>104.36409999999999</v>
      </c>
      <c r="N158" s="2">
        <v>128</v>
      </c>
      <c r="O158" s="2">
        <v>104.4329</v>
      </c>
      <c r="P158" s="2">
        <v>129</v>
      </c>
      <c r="Q158" s="2">
        <v>105.27030000000001</v>
      </c>
      <c r="R158" s="2">
        <v>255</v>
      </c>
      <c r="S158" s="2">
        <v>103.86190000000001</v>
      </c>
      <c r="T158" s="2">
        <v>201</v>
      </c>
      <c r="U158" s="2">
        <v>0.51575899999999997</v>
      </c>
      <c r="V158" s="2">
        <v>157</v>
      </c>
      <c r="W158" s="2">
        <v>2008</v>
      </c>
    </row>
    <row r="159" spans="1:23" ht="12.3" x14ac:dyDescent="0.4">
      <c r="A159" s="2" t="s">
        <v>217</v>
      </c>
      <c r="B159" s="2"/>
      <c r="C159" s="2"/>
      <c r="D159" s="2"/>
      <c r="E159" s="2"/>
      <c r="F159" s="2"/>
      <c r="G159" s="2"/>
      <c r="H159" s="2"/>
      <c r="I159" s="2">
        <v>61.721899999999998</v>
      </c>
      <c r="J159" s="2">
        <v>317</v>
      </c>
      <c r="K159" s="2">
        <v>61.598700000000001</v>
      </c>
      <c r="L159" s="2">
        <v>324</v>
      </c>
      <c r="M159" s="2">
        <v>99.488399999999999</v>
      </c>
      <c r="N159" s="2">
        <v>213</v>
      </c>
      <c r="O159" s="2">
        <v>98.118499999999997</v>
      </c>
      <c r="P159" s="2">
        <v>233</v>
      </c>
      <c r="Q159" s="2">
        <v>98.707599999999999</v>
      </c>
      <c r="R159" s="2">
        <v>87</v>
      </c>
      <c r="S159" s="2">
        <v>97.664500000000004</v>
      </c>
      <c r="T159" s="2">
        <v>75</v>
      </c>
      <c r="U159" s="2">
        <v>0.51333099999999998</v>
      </c>
      <c r="V159" s="2">
        <v>158</v>
      </c>
      <c r="W159" s="2">
        <v>2008</v>
      </c>
    </row>
    <row r="160" spans="1:23" ht="12.3" x14ac:dyDescent="0.4">
      <c r="A160" s="2" t="s">
        <v>349</v>
      </c>
      <c r="B160" s="2">
        <v>16</v>
      </c>
      <c r="C160" s="2"/>
      <c r="D160" s="2"/>
      <c r="E160" s="2"/>
      <c r="F160" s="2"/>
      <c r="G160" s="2"/>
      <c r="H160" s="2"/>
      <c r="I160" s="2">
        <v>68.343400000000003</v>
      </c>
      <c r="J160" s="2">
        <v>120</v>
      </c>
      <c r="K160" s="2">
        <v>67.788200000000003</v>
      </c>
      <c r="L160" s="2">
        <v>136</v>
      </c>
      <c r="M160" s="2">
        <v>100.7011</v>
      </c>
      <c r="N160" s="2">
        <v>189</v>
      </c>
      <c r="O160" s="2">
        <v>98.769800000000004</v>
      </c>
      <c r="P160" s="2">
        <v>219</v>
      </c>
      <c r="Q160" s="2">
        <v>97.054199999999994</v>
      </c>
      <c r="R160" s="2">
        <v>62</v>
      </c>
      <c r="S160" s="2">
        <v>98.3215</v>
      </c>
      <c r="T160" s="2">
        <v>90</v>
      </c>
      <c r="U160" s="2">
        <v>0.51307499999999995</v>
      </c>
      <c r="V160" s="2">
        <v>159</v>
      </c>
      <c r="W160" s="2">
        <v>2008</v>
      </c>
    </row>
    <row r="161" spans="1:23" ht="12.3" x14ac:dyDescent="0.4">
      <c r="A161" s="2" t="s">
        <v>254</v>
      </c>
      <c r="B161" s="2"/>
      <c r="C161" s="2"/>
      <c r="D161" s="2"/>
      <c r="E161" s="2"/>
      <c r="F161" s="2"/>
      <c r="G161" s="2"/>
      <c r="H161" s="2"/>
      <c r="I161" s="2">
        <v>67.498000000000005</v>
      </c>
      <c r="J161" s="2">
        <v>156</v>
      </c>
      <c r="K161" s="2">
        <v>67.594499999999996</v>
      </c>
      <c r="L161" s="2">
        <v>140</v>
      </c>
      <c r="M161" s="2">
        <v>105.8488</v>
      </c>
      <c r="N161" s="2">
        <v>97</v>
      </c>
      <c r="O161" s="2">
        <v>104.19670000000001</v>
      </c>
      <c r="P161" s="2">
        <v>139</v>
      </c>
      <c r="Q161" s="2">
        <v>101.32210000000001</v>
      </c>
      <c r="R161" s="2">
        <v>148</v>
      </c>
      <c r="S161" s="2">
        <v>103.73569999999999</v>
      </c>
      <c r="T161" s="2">
        <v>199</v>
      </c>
      <c r="U161" s="2">
        <v>0.51274399999999998</v>
      </c>
      <c r="V161" s="2">
        <v>160</v>
      </c>
      <c r="W161" s="2">
        <v>2008</v>
      </c>
    </row>
    <row r="162" spans="1:23" ht="12.3" x14ac:dyDescent="0.4">
      <c r="A162" s="2" t="s">
        <v>227</v>
      </c>
      <c r="B162" s="2">
        <v>15</v>
      </c>
      <c r="C162" s="2"/>
      <c r="D162" s="2"/>
      <c r="E162" s="2"/>
      <c r="F162" s="2"/>
      <c r="G162" s="2"/>
      <c r="H162" s="2"/>
      <c r="I162" s="2">
        <v>67.232200000000006</v>
      </c>
      <c r="J162" s="2">
        <v>163</v>
      </c>
      <c r="K162" s="2">
        <v>67.453699999999998</v>
      </c>
      <c r="L162" s="2">
        <v>145</v>
      </c>
      <c r="M162" s="2">
        <v>108.6632</v>
      </c>
      <c r="N162" s="2">
        <v>56</v>
      </c>
      <c r="O162" s="2">
        <v>103.44970000000001</v>
      </c>
      <c r="P162" s="2">
        <v>149</v>
      </c>
      <c r="Q162" s="2">
        <v>102.7603</v>
      </c>
      <c r="R162" s="2">
        <v>188</v>
      </c>
      <c r="S162" s="2">
        <v>103.02119999999999</v>
      </c>
      <c r="T162" s="2">
        <v>182</v>
      </c>
      <c r="U162" s="2">
        <v>0.51192899999999997</v>
      </c>
      <c r="V162" s="2">
        <v>161</v>
      </c>
      <c r="W162" s="2">
        <v>2008</v>
      </c>
    </row>
    <row r="163" spans="1:23" ht="12.3" x14ac:dyDescent="0.4">
      <c r="A163" s="2" t="s">
        <v>102</v>
      </c>
      <c r="B163" s="2"/>
      <c r="C163" s="2"/>
      <c r="D163" s="2"/>
      <c r="E163" s="2"/>
      <c r="F163" s="2"/>
      <c r="G163" s="2"/>
      <c r="H163" s="2"/>
      <c r="I163" s="2">
        <v>66.155699999999996</v>
      </c>
      <c r="J163" s="2">
        <v>197</v>
      </c>
      <c r="K163" s="2">
        <v>65.244299999999996</v>
      </c>
      <c r="L163" s="2">
        <v>231</v>
      </c>
      <c r="M163" s="2">
        <v>93.443799999999996</v>
      </c>
      <c r="N163" s="2">
        <v>300</v>
      </c>
      <c r="O163" s="2">
        <v>96.26</v>
      </c>
      <c r="P163" s="2">
        <v>261</v>
      </c>
      <c r="Q163" s="2">
        <v>100.1161</v>
      </c>
      <c r="R163" s="2">
        <v>117</v>
      </c>
      <c r="S163" s="2">
        <v>96.020099999999999</v>
      </c>
      <c r="T163" s="2">
        <v>53</v>
      </c>
      <c r="U163" s="2">
        <v>0.50717500000000004</v>
      </c>
      <c r="V163" s="2">
        <v>162</v>
      </c>
      <c r="W163" s="2">
        <v>2008</v>
      </c>
    </row>
    <row r="164" spans="1:23" ht="12.3" x14ac:dyDescent="0.4">
      <c r="A164" s="2" t="s">
        <v>83</v>
      </c>
      <c r="B164" s="2"/>
      <c r="C164" s="2"/>
      <c r="D164" s="2"/>
      <c r="E164" s="2"/>
      <c r="F164" s="2"/>
      <c r="G164" s="2"/>
      <c r="H164" s="2"/>
      <c r="I164" s="2">
        <v>67.494200000000006</v>
      </c>
      <c r="J164" s="2">
        <v>157</v>
      </c>
      <c r="K164" s="2">
        <v>68.176199999999994</v>
      </c>
      <c r="L164" s="2">
        <v>119</v>
      </c>
      <c r="M164" s="2">
        <v>106.82380000000001</v>
      </c>
      <c r="N164" s="2">
        <v>82</v>
      </c>
      <c r="O164" s="2">
        <v>106.29300000000001</v>
      </c>
      <c r="P164" s="2">
        <v>101</v>
      </c>
      <c r="Q164" s="2">
        <v>104.7671</v>
      </c>
      <c r="R164" s="2">
        <v>238</v>
      </c>
      <c r="S164" s="2">
        <v>106.0553</v>
      </c>
      <c r="T164" s="2">
        <v>245</v>
      </c>
      <c r="U164" s="2">
        <v>0.506436</v>
      </c>
      <c r="V164" s="2">
        <v>163</v>
      </c>
      <c r="W164" s="2">
        <v>2008</v>
      </c>
    </row>
    <row r="165" spans="1:23" ht="12.3" x14ac:dyDescent="0.4">
      <c r="A165" s="2" t="s">
        <v>249</v>
      </c>
      <c r="B165" s="2"/>
      <c r="C165" s="2"/>
      <c r="D165" s="2"/>
      <c r="E165" s="2"/>
      <c r="F165" s="2"/>
      <c r="G165" s="2"/>
      <c r="H165" s="2"/>
      <c r="I165" s="2">
        <v>64.280299999999997</v>
      </c>
      <c r="J165" s="2">
        <v>273</v>
      </c>
      <c r="K165" s="2">
        <v>63.506900000000002</v>
      </c>
      <c r="L165" s="2">
        <v>293</v>
      </c>
      <c r="M165" s="2">
        <v>99.929400000000001</v>
      </c>
      <c r="N165" s="2">
        <v>207</v>
      </c>
      <c r="O165" s="2">
        <v>100.9997</v>
      </c>
      <c r="P165" s="2">
        <v>184</v>
      </c>
      <c r="Q165" s="2">
        <v>104.2346</v>
      </c>
      <c r="R165" s="2">
        <v>218</v>
      </c>
      <c r="S165" s="2">
        <v>100.9962</v>
      </c>
      <c r="T165" s="2">
        <v>136</v>
      </c>
      <c r="U165" s="2">
        <v>0.50010100000000002</v>
      </c>
      <c r="V165" s="2">
        <v>164</v>
      </c>
      <c r="W165" s="2">
        <v>2008</v>
      </c>
    </row>
    <row r="166" spans="1:23" ht="12.3" x14ac:dyDescent="0.4">
      <c r="A166" s="2" t="s">
        <v>345</v>
      </c>
      <c r="B166" s="2"/>
      <c r="C166" s="2"/>
      <c r="D166" s="2"/>
      <c r="E166" s="2"/>
      <c r="F166" s="2"/>
      <c r="G166" s="2"/>
      <c r="H166" s="2"/>
      <c r="I166" s="2">
        <v>65.046800000000005</v>
      </c>
      <c r="J166" s="2">
        <v>247</v>
      </c>
      <c r="K166" s="2">
        <v>66.030799999999999</v>
      </c>
      <c r="L166" s="2">
        <v>198</v>
      </c>
      <c r="M166" s="2">
        <v>102.53400000000001</v>
      </c>
      <c r="N166" s="2">
        <v>159</v>
      </c>
      <c r="O166" s="2">
        <v>97.754000000000005</v>
      </c>
      <c r="P166" s="2">
        <v>238</v>
      </c>
      <c r="Q166" s="2">
        <v>92.843900000000005</v>
      </c>
      <c r="R166" s="2">
        <v>18</v>
      </c>
      <c r="S166" s="2">
        <v>97.869399999999999</v>
      </c>
      <c r="T166" s="2">
        <v>83</v>
      </c>
      <c r="U166" s="2">
        <v>0.49660900000000002</v>
      </c>
      <c r="V166" s="2">
        <v>165</v>
      </c>
      <c r="W166" s="2">
        <v>2008</v>
      </c>
    </row>
    <row r="167" spans="1:23" ht="12.3" x14ac:dyDescent="0.4">
      <c r="A167" s="2" t="s">
        <v>110</v>
      </c>
      <c r="B167" s="2"/>
      <c r="C167" s="2"/>
      <c r="D167" s="2"/>
      <c r="E167" s="2"/>
      <c r="F167" s="2"/>
      <c r="G167" s="2"/>
      <c r="H167" s="2"/>
      <c r="I167" s="2">
        <v>64.811300000000003</v>
      </c>
      <c r="J167" s="2">
        <v>261</v>
      </c>
      <c r="K167" s="2">
        <v>64.391300000000001</v>
      </c>
      <c r="L167" s="2">
        <v>268</v>
      </c>
      <c r="M167" s="2">
        <v>103.86660000000001</v>
      </c>
      <c r="N167" s="2">
        <v>137</v>
      </c>
      <c r="O167" s="2">
        <v>101.92140000000001</v>
      </c>
      <c r="P167" s="2">
        <v>175</v>
      </c>
      <c r="Q167" s="2">
        <v>101.8231</v>
      </c>
      <c r="R167" s="2">
        <v>166</v>
      </c>
      <c r="S167" s="2">
        <v>102.053</v>
      </c>
      <c r="T167" s="2">
        <v>162</v>
      </c>
      <c r="U167" s="2">
        <v>0.49629099999999998</v>
      </c>
      <c r="V167" s="2">
        <v>166</v>
      </c>
      <c r="W167" s="2">
        <v>2008</v>
      </c>
    </row>
    <row r="168" spans="1:23" ht="12.3" x14ac:dyDescent="0.4">
      <c r="A168" s="2" t="s">
        <v>166</v>
      </c>
      <c r="B168" s="2"/>
      <c r="C168" s="2"/>
      <c r="D168" s="2"/>
      <c r="E168" s="2"/>
      <c r="F168" s="2"/>
      <c r="G168" s="2"/>
      <c r="H168" s="2"/>
      <c r="I168" s="2">
        <v>72.662499999999994</v>
      </c>
      <c r="J168" s="2">
        <v>16</v>
      </c>
      <c r="K168" s="2">
        <v>73.834400000000002</v>
      </c>
      <c r="L168" s="2">
        <v>9</v>
      </c>
      <c r="M168" s="2">
        <v>101.2991</v>
      </c>
      <c r="N168" s="2">
        <v>179</v>
      </c>
      <c r="O168" s="2">
        <v>99.889099999999999</v>
      </c>
      <c r="P168" s="2">
        <v>199</v>
      </c>
      <c r="Q168" s="2">
        <v>101.1597</v>
      </c>
      <c r="R168" s="2">
        <v>145</v>
      </c>
      <c r="S168" s="2">
        <v>100.3801</v>
      </c>
      <c r="T168" s="2">
        <v>124</v>
      </c>
      <c r="U168" s="2">
        <v>0.48590699999999998</v>
      </c>
      <c r="V168" s="2">
        <v>167</v>
      </c>
      <c r="W168" s="2">
        <v>2008</v>
      </c>
    </row>
    <row r="169" spans="1:23" ht="12.3" x14ac:dyDescent="0.4">
      <c r="A169" s="2" t="s">
        <v>220</v>
      </c>
      <c r="B169" s="2"/>
      <c r="C169" s="2"/>
      <c r="D169" s="2"/>
      <c r="E169" s="2"/>
      <c r="F169" s="2"/>
      <c r="G169" s="2"/>
      <c r="H169" s="2"/>
      <c r="I169" s="2">
        <v>70.018900000000002</v>
      </c>
      <c r="J169" s="2">
        <v>69</v>
      </c>
      <c r="K169" s="2">
        <v>70.545000000000002</v>
      </c>
      <c r="L169" s="2">
        <v>44</v>
      </c>
      <c r="M169" s="2">
        <v>102.6164</v>
      </c>
      <c r="N169" s="2">
        <v>158</v>
      </c>
      <c r="O169" s="2">
        <v>99.588899999999995</v>
      </c>
      <c r="P169" s="2">
        <v>202</v>
      </c>
      <c r="Q169" s="2">
        <v>99.480199999999996</v>
      </c>
      <c r="R169" s="2">
        <v>102</v>
      </c>
      <c r="S169" s="2">
        <v>100.08839999999999</v>
      </c>
      <c r="T169" s="2">
        <v>121</v>
      </c>
      <c r="U169" s="2">
        <v>0.48562100000000002</v>
      </c>
      <c r="V169" s="2">
        <v>168</v>
      </c>
      <c r="W169" s="2">
        <v>2008</v>
      </c>
    </row>
    <row r="170" spans="1:23" ht="12.3" x14ac:dyDescent="0.4">
      <c r="A170" s="2" t="s">
        <v>122</v>
      </c>
      <c r="B170" s="2"/>
      <c r="C170" s="2"/>
      <c r="D170" s="2"/>
      <c r="E170" s="2"/>
      <c r="F170" s="2"/>
      <c r="G170" s="2"/>
      <c r="H170" s="2"/>
      <c r="I170" s="2">
        <v>67.257199999999997</v>
      </c>
      <c r="J170" s="2">
        <v>161</v>
      </c>
      <c r="K170" s="2">
        <v>68.687700000000007</v>
      </c>
      <c r="L170" s="2">
        <v>104</v>
      </c>
      <c r="M170" s="2">
        <v>97.403800000000004</v>
      </c>
      <c r="N170" s="2">
        <v>246</v>
      </c>
      <c r="O170" s="2">
        <v>98.239000000000004</v>
      </c>
      <c r="P170" s="2">
        <v>228</v>
      </c>
      <c r="Q170" s="2">
        <v>101.5412</v>
      </c>
      <c r="R170" s="2">
        <v>152</v>
      </c>
      <c r="S170" s="2">
        <v>98.943299999999994</v>
      </c>
      <c r="T170" s="2">
        <v>95</v>
      </c>
      <c r="U170" s="2">
        <v>0.47947200000000001</v>
      </c>
      <c r="V170" s="2">
        <v>169</v>
      </c>
      <c r="W170" s="2">
        <v>2008</v>
      </c>
    </row>
    <row r="171" spans="1:23" ht="12.3" x14ac:dyDescent="0.4">
      <c r="A171" s="2" t="s">
        <v>232</v>
      </c>
      <c r="B171" s="2"/>
      <c r="C171" s="2"/>
      <c r="D171" s="2"/>
      <c r="E171" s="2"/>
      <c r="F171" s="2"/>
      <c r="G171" s="2"/>
      <c r="H171" s="2"/>
      <c r="I171" s="2">
        <v>65.131699999999995</v>
      </c>
      <c r="J171" s="2">
        <v>239</v>
      </c>
      <c r="K171" s="2">
        <v>64.644400000000005</v>
      </c>
      <c r="L171" s="2">
        <v>258</v>
      </c>
      <c r="M171" s="2">
        <v>97.396900000000002</v>
      </c>
      <c r="N171" s="2">
        <v>247</v>
      </c>
      <c r="O171" s="2">
        <v>99.479299999999995</v>
      </c>
      <c r="P171" s="2">
        <v>205</v>
      </c>
      <c r="Q171" s="2">
        <v>104.4269</v>
      </c>
      <c r="R171" s="2">
        <v>225</v>
      </c>
      <c r="S171" s="2">
        <v>100.69029999999999</v>
      </c>
      <c r="T171" s="2">
        <v>129</v>
      </c>
      <c r="U171" s="2">
        <v>0.46527099999999999</v>
      </c>
      <c r="V171" s="2">
        <v>170</v>
      </c>
      <c r="W171" s="2">
        <v>2008</v>
      </c>
    </row>
    <row r="172" spans="1:23" ht="12.3" x14ac:dyDescent="0.4">
      <c r="A172" s="2" t="s">
        <v>108</v>
      </c>
      <c r="B172" s="2"/>
      <c r="C172" s="2"/>
      <c r="D172" s="2"/>
      <c r="E172" s="2"/>
      <c r="F172" s="2"/>
      <c r="G172" s="2"/>
      <c r="H172" s="2"/>
      <c r="I172" s="2">
        <v>74.118499999999997</v>
      </c>
      <c r="J172" s="2">
        <v>13</v>
      </c>
      <c r="K172" s="2">
        <v>73.452600000000004</v>
      </c>
      <c r="L172" s="2">
        <v>12</v>
      </c>
      <c r="M172" s="2">
        <v>103.9079</v>
      </c>
      <c r="N172" s="2">
        <v>136</v>
      </c>
      <c r="O172" s="2">
        <v>101.9331</v>
      </c>
      <c r="P172" s="2">
        <v>174</v>
      </c>
      <c r="Q172" s="2">
        <v>103.2346</v>
      </c>
      <c r="R172" s="2">
        <v>202</v>
      </c>
      <c r="S172" s="2">
        <v>103.1814</v>
      </c>
      <c r="T172" s="2">
        <v>187</v>
      </c>
      <c r="U172" s="2">
        <v>0.465063</v>
      </c>
      <c r="V172" s="2">
        <v>171</v>
      </c>
      <c r="W172" s="2">
        <v>2008</v>
      </c>
    </row>
    <row r="173" spans="1:23" ht="12.3" x14ac:dyDescent="0.4">
      <c r="A173" s="2" t="s">
        <v>178</v>
      </c>
      <c r="B173" s="2"/>
      <c r="C173" s="2"/>
      <c r="D173" s="2"/>
      <c r="E173" s="2"/>
      <c r="F173" s="2"/>
      <c r="G173" s="2"/>
      <c r="H173" s="2"/>
      <c r="I173" s="2">
        <v>60.900399999999998</v>
      </c>
      <c r="J173" s="2">
        <v>325</v>
      </c>
      <c r="K173" s="2">
        <v>61.4758</v>
      </c>
      <c r="L173" s="2">
        <v>326</v>
      </c>
      <c r="M173" s="2">
        <v>100.19159999999999</v>
      </c>
      <c r="N173" s="2">
        <v>202</v>
      </c>
      <c r="O173" s="2">
        <v>100.1563</v>
      </c>
      <c r="P173" s="2">
        <v>196</v>
      </c>
      <c r="Q173" s="2">
        <v>98.714200000000005</v>
      </c>
      <c r="R173" s="2">
        <v>88</v>
      </c>
      <c r="S173" s="2">
        <v>101.51560000000001</v>
      </c>
      <c r="T173" s="2">
        <v>149</v>
      </c>
      <c r="U173" s="2">
        <v>0.46131899999999998</v>
      </c>
      <c r="V173" s="2">
        <v>172</v>
      </c>
      <c r="W173" s="2">
        <v>2008</v>
      </c>
    </row>
    <row r="174" spans="1:23" ht="12.3" x14ac:dyDescent="0.4">
      <c r="A174" s="2" t="s">
        <v>105</v>
      </c>
      <c r="B174" s="2"/>
      <c r="C174" s="2"/>
      <c r="D174" s="2"/>
      <c r="E174" s="2"/>
      <c r="F174" s="2"/>
      <c r="G174" s="2"/>
      <c r="H174" s="2"/>
      <c r="I174" s="2">
        <v>67.667699999999996</v>
      </c>
      <c r="J174" s="2">
        <v>150</v>
      </c>
      <c r="K174" s="2">
        <v>67.106800000000007</v>
      </c>
      <c r="L174" s="2">
        <v>155</v>
      </c>
      <c r="M174" s="2">
        <v>105.6691</v>
      </c>
      <c r="N174" s="2">
        <v>101</v>
      </c>
      <c r="O174" s="2">
        <v>105.4843</v>
      </c>
      <c r="P174" s="2">
        <v>112</v>
      </c>
      <c r="Q174" s="2">
        <v>105.21980000000001</v>
      </c>
      <c r="R174" s="2">
        <v>253</v>
      </c>
      <c r="S174" s="2">
        <v>106.9405</v>
      </c>
      <c r="T174" s="2">
        <v>263</v>
      </c>
      <c r="U174" s="2">
        <v>0.46066400000000002</v>
      </c>
      <c r="V174" s="2">
        <v>173</v>
      </c>
      <c r="W174" s="2">
        <v>2008</v>
      </c>
    </row>
    <row r="175" spans="1:23" ht="12.3" x14ac:dyDescent="0.4">
      <c r="A175" s="2" t="s">
        <v>161</v>
      </c>
      <c r="B175" s="2"/>
      <c r="C175" s="2"/>
      <c r="D175" s="2"/>
      <c r="E175" s="2"/>
      <c r="F175" s="2"/>
      <c r="G175" s="2"/>
      <c r="H175" s="2"/>
      <c r="I175" s="2">
        <v>65.971999999999994</v>
      </c>
      <c r="J175" s="2">
        <v>199</v>
      </c>
      <c r="K175" s="2">
        <v>65.3874</v>
      </c>
      <c r="L175" s="2">
        <v>226</v>
      </c>
      <c r="M175" s="2">
        <v>98.932900000000004</v>
      </c>
      <c r="N175" s="2">
        <v>221</v>
      </c>
      <c r="O175" s="2">
        <v>99.249700000000004</v>
      </c>
      <c r="P175" s="2">
        <v>212</v>
      </c>
      <c r="Q175" s="2">
        <v>101.68980000000001</v>
      </c>
      <c r="R175" s="2">
        <v>162</v>
      </c>
      <c r="S175" s="2">
        <v>100.9225</v>
      </c>
      <c r="T175" s="2">
        <v>135</v>
      </c>
      <c r="U175" s="2">
        <v>0.452096</v>
      </c>
      <c r="V175" s="2">
        <v>174</v>
      </c>
      <c r="W175" s="2">
        <v>2008</v>
      </c>
    </row>
    <row r="176" spans="1:23" ht="12.3" x14ac:dyDescent="0.4">
      <c r="A176" s="2" t="s">
        <v>270</v>
      </c>
      <c r="B176" s="2">
        <v>16</v>
      </c>
      <c r="C176" s="2"/>
      <c r="D176" s="2"/>
      <c r="E176" s="2"/>
      <c r="F176" s="2"/>
      <c r="G176" s="2"/>
      <c r="H176" s="2"/>
      <c r="I176" s="2">
        <v>71.203999999999994</v>
      </c>
      <c r="J176" s="2">
        <v>43</v>
      </c>
      <c r="K176" s="2">
        <v>70.147800000000004</v>
      </c>
      <c r="L176" s="2">
        <v>57</v>
      </c>
      <c r="M176" s="2">
        <v>100.8066</v>
      </c>
      <c r="N176" s="2">
        <v>187</v>
      </c>
      <c r="O176" s="2">
        <v>100.7145</v>
      </c>
      <c r="P176" s="2">
        <v>189</v>
      </c>
      <c r="Q176" s="2">
        <v>97.602000000000004</v>
      </c>
      <c r="R176" s="2">
        <v>68</v>
      </c>
      <c r="S176" s="2">
        <v>102.6367</v>
      </c>
      <c r="T176" s="2">
        <v>178</v>
      </c>
      <c r="U176" s="2">
        <v>0.44585900000000001</v>
      </c>
      <c r="V176" s="2">
        <v>175</v>
      </c>
      <c r="W176" s="2">
        <v>2008</v>
      </c>
    </row>
    <row r="177" spans="1:23" ht="12.3" x14ac:dyDescent="0.4">
      <c r="A177" s="2" t="s">
        <v>247</v>
      </c>
      <c r="B177" s="2"/>
      <c r="C177" s="2"/>
      <c r="D177" s="2"/>
      <c r="E177" s="2"/>
      <c r="F177" s="2"/>
      <c r="G177" s="2"/>
      <c r="H177" s="2"/>
      <c r="I177" s="2">
        <v>65.698599999999999</v>
      </c>
      <c r="J177" s="2">
        <v>212</v>
      </c>
      <c r="K177" s="2">
        <v>65.538300000000007</v>
      </c>
      <c r="L177" s="2">
        <v>219</v>
      </c>
      <c r="M177" s="2">
        <v>98.454499999999996</v>
      </c>
      <c r="N177" s="2">
        <v>228</v>
      </c>
      <c r="O177" s="2">
        <v>96.985900000000001</v>
      </c>
      <c r="P177" s="2">
        <v>251</v>
      </c>
      <c r="Q177" s="2">
        <v>97.281199999999998</v>
      </c>
      <c r="R177" s="2">
        <v>65</v>
      </c>
      <c r="S177" s="2">
        <v>98.962500000000006</v>
      </c>
      <c r="T177" s="2">
        <v>97</v>
      </c>
      <c r="U177" s="2">
        <v>0.44225500000000001</v>
      </c>
      <c r="V177" s="2">
        <v>176</v>
      </c>
      <c r="W177" s="2">
        <v>2008</v>
      </c>
    </row>
    <row r="178" spans="1:23" ht="12.3" x14ac:dyDescent="0.4">
      <c r="A178" s="2" t="s">
        <v>339</v>
      </c>
      <c r="B178" s="2"/>
      <c r="C178" s="2"/>
      <c r="D178" s="2"/>
      <c r="E178" s="2"/>
      <c r="F178" s="2"/>
      <c r="G178" s="2"/>
      <c r="H178" s="2"/>
      <c r="I178" s="2">
        <v>65.114699999999999</v>
      </c>
      <c r="J178" s="2">
        <v>241</v>
      </c>
      <c r="K178" s="2">
        <v>65.188500000000005</v>
      </c>
      <c r="L178" s="2">
        <v>234</v>
      </c>
      <c r="M178" s="2">
        <v>103.5977</v>
      </c>
      <c r="N178" s="2">
        <v>141</v>
      </c>
      <c r="O178" s="2">
        <v>102.19840000000001</v>
      </c>
      <c r="P178" s="2">
        <v>170</v>
      </c>
      <c r="Q178" s="2">
        <v>100.29340000000001</v>
      </c>
      <c r="R178" s="2">
        <v>121</v>
      </c>
      <c r="S178" s="2">
        <v>104.3229</v>
      </c>
      <c r="T178" s="2">
        <v>209</v>
      </c>
      <c r="U178" s="2">
        <v>0.44112099999999999</v>
      </c>
      <c r="V178" s="2">
        <v>177</v>
      </c>
      <c r="W178" s="2">
        <v>2008</v>
      </c>
    </row>
    <row r="179" spans="1:23" ht="12.3" x14ac:dyDescent="0.4">
      <c r="A179" s="2" t="s">
        <v>183</v>
      </c>
      <c r="B179" s="2"/>
      <c r="C179" s="2"/>
      <c r="D179" s="2"/>
      <c r="E179" s="2"/>
      <c r="F179" s="2"/>
      <c r="G179" s="2"/>
      <c r="H179" s="2"/>
      <c r="I179" s="2">
        <v>68.794799999999995</v>
      </c>
      <c r="J179" s="2">
        <v>105</v>
      </c>
      <c r="K179" s="2">
        <v>69.982600000000005</v>
      </c>
      <c r="L179" s="2">
        <v>60</v>
      </c>
      <c r="M179" s="2">
        <v>104.8948</v>
      </c>
      <c r="N179" s="2">
        <v>120</v>
      </c>
      <c r="O179" s="2">
        <v>102.926</v>
      </c>
      <c r="P179" s="2">
        <v>155</v>
      </c>
      <c r="Q179" s="2">
        <v>104.093</v>
      </c>
      <c r="R179" s="2">
        <v>215</v>
      </c>
      <c r="S179" s="2">
        <v>105.10769999999999</v>
      </c>
      <c r="T179" s="2">
        <v>231</v>
      </c>
      <c r="U179" s="2">
        <v>0.43998599999999999</v>
      </c>
      <c r="V179" s="2">
        <v>178</v>
      </c>
      <c r="W179" s="2">
        <v>2008</v>
      </c>
    </row>
    <row r="180" spans="1:23" ht="12.3" x14ac:dyDescent="0.4">
      <c r="A180" s="2" t="s">
        <v>273</v>
      </c>
      <c r="B180" s="2"/>
      <c r="C180" s="2"/>
      <c r="D180" s="2"/>
      <c r="E180" s="2"/>
      <c r="F180" s="2"/>
      <c r="G180" s="2"/>
      <c r="H180" s="2"/>
      <c r="I180" s="2">
        <v>69.258700000000005</v>
      </c>
      <c r="J180" s="2">
        <v>91</v>
      </c>
      <c r="K180" s="2">
        <v>70.226299999999995</v>
      </c>
      <c r="L180" s="2">
        <v>54</v>
      </c>
      <c r="M180" s="2">
        <v>105.4237</v>
      </c>
      <c r="N180" s="2">
        <v>107</v>
      </c>
      <c r="O180" s="2">
        <v>105.1433</v>
      </c>
      <c r="P180" s="2">
        <v>116</v>
      </c>
      <c r="Q180" s="2">
        <v>103.7764</v>
      </c>
      <c r="R180" s="2">
        <v>209</v>
      </c>
      <c r="S180" s="2">
        <v>107.4883</v>
      </c>
      <c r="T180" s="2">
        <v>275</v>
      </c>
      <c r="U180" s="2">
        <v>0.436921</v>
      </c>
      <c r="V180" s="2">
        <v>179</v>
      </c>
      <c r="W180" s="2">
        <v>2008</v>
      </c>
    </row>
    <row r="181" spans="1:23" ht="12.3" x14ac:dyDescent="0.4">
      <c r="A181" s="2" t="s">
        <v>331</v>
      </c>
      <c r="B181" s="2"/>
      <c r="C181" s="2"/>
      <c r="D181" s="2"/>
      <c r="E181" s="2"/>
      <c r="F181" s="2"/>
      <c r="G181" s="2"/>
      <c r="H181" s="2"/>
      <c r="I181" s="2">
        <v>64.086200000000005</v>
      </c>
      <c r="J181" s="2">
        <v>279</v>
      </c>
      <c r="K181" s="2">
        <v>64.149199999999993</v>
      </c>
      <c r="L181" s="2">
        <v>275</v>
      </c>
      <c r="M181" s="2">
        <v>103.2611</v>
      </c>
      <c r="N181" s="2">
        <v>148</v>
      </c>
      <c r="O181" s="2">
        <v>103.23909999999999</v>
      </c>
      <c r="P181" s="2">
        <v>152</v>
      </c>
      <c r="Q181" s="2">
        <v>105.4395</v>
      </c>
      <c r="R181" s="2">
        <v>259</v>
      </c>
      <c r="S181" s="2">
        <v>105.64579999999999</v>
      </c>
      <c r="T181" s="2">
        <v>239</v>
      </c>
      <c r="U181" s="2">
        <v>0.43413200000000002</v>
      </c>
      <c r="V181" s="2">
        <v>180</v>
      </c>
      <c r="W181" s="2">
        <v>2008</v>
      </c>
    </row>
    <row r="182" spans="1:23" ht="12.3" x14ac:dyDescent="0.4">
      <c r="A182" s="2" t="s">
        <v>235</v>
      </c>
      <c r="B182" s="2"/>
      <c r="C182" s="2"/>
      <c r="D182" s="2"/>
      <c r="E182" s="2"/>
      <c r="F182" s="2"/>
      <c r="G182" s="2"/>
      <c r="H182" s="2"/>
      <c r="I182" s="2">
        <v>69.112399999999994</v>
      </c>
      <c r="J182" s="2">
        <v>95</v>
      </c>
      <c r="K182" s="2">
        <v>68.992999999999995</v>
      </c>
      <c r="L182" s="2">
        <v>93</v>
      </c>
      <c r="M182" s="2">
        <v>99.678700000000006</v>
      </c>
      <c r="N182" s="2">
        <v>212</v>
      </c>
      <c r="O182" s="2">
        <v>102.634</v>
      </c>
      <c r="P182" s="2">
        <v>161</v>
      </c>
      <c r="Q182" s="2">
        <v>105.0057</v>
      </c>
      <c r="R182" s="2">
        <v>247</v>
      </c>
      <c r="S182" s="2">
        <v>105.0821</v>
      </c>
      <c r="T182" s="2">
        <v>229</v>
      </c>
      <c r="U182" s="2">
        <v>0.43264200000000003</v>
      </c>
      <c r="V182" s="2">
        <v>181</v>
      </c>
      <c r="W182" s="2">
        <v>2008</v>
      </c>
    </row>
    <row r="183" spans="1:23" ht="12.3" x14ac:dyDescent="0.4">
      <c r="A183" s="2" t="s">
        <v>281</v>
      </c>
      <c r="B183" s="2"/>
      <c r="C183" s="2"/>
      <c r="D183" s="2"/>
      <c r="E183" s="2"/>
      <c r="F183" s="2"/>
      <c r="G183" s="2"/>
      <c r="H183" s="2"/>
      <c r="I183" s="2">
        <v>67.513199999999998</v>
      </c>
      <c r="J183" s="2">
        <v>153</v>
      </c>
      <c r="K183" s="2">
        <v>65.692499999999995</v>
      </c>
      <c r="L183" s="2">
        <v>211</v>
      </c>
      <c r="M183" s="2">
        <v>108.6968</v>
      </c>
      <c r="N183" s="2">
        <v>54</v>
      </c>
      <c r="O183" s="2">
        <v>104.2766</v>
      </c>
      <c r="P183" s="2">
        <v>136</v>
      </c>
      <c r="Q183" s="2">
        <v>104.8141</v>
      </c>
      <c r="R183" s="2">
        <v>242</v>
      </c>
      <c r="S183" s="2">
        <v>106.77970000000001</v>
      </c>
      <c r="T183" s="2">
        <v>259</v>
      </c>
      <c r="U183" s="2">
        <v>0.43222300000000002</v>
      </c>
      <c r="V183" s="2">
        <v>182</v>
      </c>
      <c r="W183" s="2">
        <v>2008</v>
      </c>
    </row>
    <row r="184" spans="1:23" ht="12.3" x14ac:dyDescent="0.4">
      <c r="A184" s="2" t="s">
        <v>142</v>
      </c>
      <c r="B184" s="2"/>
      <c r="C184" s="2"/>
      <c r="D184" s="2"/>
      <c r="E184" s="2"/>
      <c r="F184" s="2"/>
      <c r="G184" s="2"/>
      <c r="H184" s="2"/>
      <c r="I184" s="2">
        <v>68.300899999999999</v>
      </c>
      <c r="J184" s="2">
        <v>121</v>
      </c>
      <c r="K184" s="2">
        <v>67.992500000000007</v>
      </c>
      <c r="L184" s="2">
        <v>127</v>
      </c>
      <c r="M184" s="2">
        <v>97.668199999999999</v>
      </c>
      <c r="N184" s="2">
        <v>240</v>
      </c>
      <c r="O184" s="2">
        <v>99.304000000000002</v>
      </c>
      <c r="P184" s="2">
        <v>209</v>
      </c>
      <c r="Q184" s="2">
        <v>99.564499999999995</v>
      </c>
      <c r="R184" s="2">
        <v>106</v>
      </c>
      <c r="S184" s="2">
        <v>101.7346</v>
      </c>
      <c r="T184" s="2">
        <v>156</v>
      </c>
      <c r="U184" s="2">
        <v>0.430923</v>
      </c>
      <c r="V184" s="2">
        <v>183</v>
      </c>
      <c r="W184" s="2">
        <v>2008</v>
      </c>
    </row>
    <row r="185" spans="1:23" ht="12.3" x14ac:dyDescent="0.4">
      <c r="A185" s="2" t="s">
        <v>300</v>
      </c>
      <c r="B185" s="2"/>
      <c r="C185" s="2"/>
      <c r="D185" s="2"/>
      <c r="E185" s="2"/>
      <c r="F185" s="2"/>
      <c r="G185" s="2"/>
      <c r="H185" s="2"/>
      <c r="I185" s="2">
        <v>74.747</v>
      </c>
      <c r="J185" s="2">
        <v>9</v>
      </c>
      <c r="K185" s="2">
        <v>75.221699999999998</v>
      </c>
      <c r="L185" s="2">
        <v>6</v>
      </c>
      <c r="M185" s="2">
        <v>100.8976</v>
      </c>
      <c r="N185" s="2">
        <v>186</v>
      </c>
      <c r="O185" s="2">
        <v>100.6348</v>
      </c>
      <c r="P185" s="2">
        <v>192</v>
      </c>
      <c r="Q185" s="2">
        <v>96.863900000000001</v>
      </c>
      <c r="R185" s="2">
        <v>57</v>
      </c>
      <c r="S185" s="2">
        <v>103.11060000000001</v>
      </c>
      <c r="T185" s="2">
        <v>184</v>
      </c>
      <c r="U185" s="2">
        <v>0.43057699999999999</v>
      </c>
      <c r="V185" s="2">
        <v>184</v>
      </c>
      <c r="W185" s="2">
        <v>2008</v>
      </c>
    </row>
    <row r="186" spans="1:23" ht="12.3" x14ac:dyDescent="0.4">
      <c r="A186" s="2" t="s">
        <v>123</v>
      </c>
      <c r="B186" s="2"/>
      <c r="C186" s="2"/>
      <c r="D186" s="2"/>
      <c r="E186" s="2"/>
      <c r="F186" s="2"/>
      <c r="G186" s="2"/>
      <c r="H186" s="2"/>
      <c r="I186" s="2">
        <v>67.513000000000005</v>
      </c>
      <c r="J186" s="2">
        <v>154</v>
      </c>
      <c r="K186" s="2">
        <v>66.388900000000007</v>
      </c>
      <c r="L186" s="2">
        <v>181</v>
      </c>
      <c r="M186" s="2">
        <v>91.376400000000004</v>
      </c>
      <c r="N186" s="2">
        <v>321</v>
      </c>
      <c r="O186" s="2">
        <v>94.0886</v>
      </c>
      <c r="P186" s="2">
        <v>295</v>
      </c>
      <c r="Q186" s="2">
        <v>100.6814</v>
      </c>
      <c r="R186" s="2">
        <v>132</v>
      </c>
      <c r="S186" s="2">
        <v>96.519499999999994</v>
      </c>
      <c r="T186" s="2">
        <v>59</v>
      </c>
      <c r="U186" s="2">
        <v>0.42718499999999998</v>
      </c>
      <c r="V186" s="2">
        <v>185</v>
      </c>
      <c r="W186" s="2">
        <v>2008</v>
      </c>
    </row>
    <row r="187" spans="1:23" ht="12.3" x14ac:dyDescent="0.4">
      <c r="A187" s="2" t="s">
        <v>330</v>
      </c>
      <c r="B187" s="2"/>
      <c r="C187" s="2"/>
      <c r="D187" s="2"/>
      <c r="E187" s="2"/>
      <c r="F187" s="2"/>
      <c r="G187" s="2"/>
      <c r="H187" s="2"/>
      <c r="I187" s="2">
        <v>64.347700000000003</v>
      </c>
      <c r="J187" s="2">
        <v>270</v>
      </c>
      <c r="K187" s="2">
        <v>63.400700000000001</v>
      </c>
      <c r="L187" s="2">
        <v>296</v>
      </c>
      <c r="M187" s="2">
        <v>104.5355</v>
      </c>
      <c r="N187" s="2">
        <v>125</v>
      </c>
      <c r="O187" s="2">
        <v>101.94410000000001</v>
      </c>
      <c r="P187" s="2">
        <v>173</v>
      </c>
      <c r="Q187" s="2">
        <v>101.61669999999999</v>
      </c>
      <c r="R187" s="2">
        <v>158</v>
      </c>
      <c r="S187" s="2">
        <v>104.73439999999999</v>
      </c>
      <c r="T187" s="2">
        <v>220</v>
      </c>
      <c r="U187" s="2">
        <v>0.422985</v>
      </c>
      <c r="V187" s="2">
        <v>186</v>
      </c>
      <c r="W187" s="2">
        <v>2008</v>
      </c>
    </row>
    <row r="188" spans="1:23" ht="12.3" x14ac:dyDescent="0.4">
      <c r="A188" s="2" t="s">
        <v>257</v>
      </c>
      <c r="B188" s="2"/>
      <c r="C188" s="2"/>
      <c r="D188" s="2"/>
      <c r="E188" s="2"/>
      <c r="F188" s="2"/>
      <c r="G188" s="2"/>
      <c r="H188" s="2"/>
      <c r="I188" s="2">
        <v>61.805</v>
      </c>
      <c r="J188" s="2">
        <v>316</v>
      </c>
      <c r="K188" s="2">
        <v>62.358499999999999</v>
      </c>
      <c r="L188" s="2">
        <v>314</v>
      </c>
      <c r="M188" s="2">
        <v>98.444000000000003</v>
      </c>
      <c r="N188" s="2">
        <v>229</v>
      </c>
      <c r="O188" s="2">
        <v>99.346199999999996</v>
      </c>
      <c r="P188" s="2">
        <v>207</v>
      </c>
      <c r="Q188" s="2">
        <v>101.3916</v>
      </c>
      <c r="R188" s="2">
        <v>151</v>
      </c>
      <c r="S188" s="2">
        <v>102.1934</v>
      </c>
      <c r="T188" s="2">
        <v>167</v>
      </c>
      <c r="U188" s="2">
        <v>0.41946899999999998</v>
      </c>
      <c r="V188" s="2">
        <v>187</v>
      </c>
      <c r="W188" s="2">
        <v>2008</v>
      </c>
    </row>
    <row r="189" spans="1:23" ht="12.3" x14ac:dyDescent="0.4">
      <c r="A189" s="2" t="s">
        <v>93</v>
      </c>
      <c r="B189" s="2"/>
      <c r="C189" s="2"/>
      <c r="D189" s="2"/>
      <c r="E189" s="2"/>
      <c r="F189" s="2"/>
      <c r="G189" s="2"/>
      <c r="H189" s="2"/>
      <c r="I189" s="2">
        <v>68.944699999999997</v>
      </c>
      <c r="J189" s="2">
        <v>99</v>
      </c>
      <c r="K189" s="2">
        <v>70.250399999999999</v>
      </c>
      <c r="L189" s="2">
        <v>52</v>
      </c>
      <c r="M189" s="2">
        <v>97.570099999999996</v>
      </c>
      <c r="N189" s="2">
        <v>243</v>
      </c>
      <c r="O189" s="2">
        <v>99.263599999999997</v>
      </c>
      <c r="P189" s="2">
        <v>211</v>
      </c>
      <c r="Q189" s="2">
        <v>104.7273</v>
      </c>
      <c r="R189" s="2">
        <v>235</v>
      </c>
      <c r="S189" s="2">
        <v>102.1117</v>
      </c>
      <c r="T189" s="2">
        <v>164</v>
      </c>
      <c r="U189" s="2">
        <v>0.41937999999999998</v>
      </c>
      <c r="V189" s="2">
        <v>188</v>
      </c>
      <c r="W189" s="2">
        <v>2008</v>
      </c>
    </row>
    <row r="190" spans="1:23" ht="12.3" x14ac:dyDescent="0.4">
      <c r="A190" s="2" t="s">
        <v>213</v>
      </c>
      <c r="B190" s="2"/>
      <c r="C190" s="2"/>
      <c r="D190" s="2"/>
      <c r="E190" s="2"/>
      <c r="F190" s="2"/>
      <c r="G190" s="2"/>
      <c r="H190" s="2"/>
      <c r="I190" s="2">
        <v>71.707599999999999</v>
      </c>
      <c r="J190" s="2">
        <v>33</v>
      </c>
      <c r="K190" s="2">
        <v>73.2346</v>
      </c>
      <c r="L190" s="2">
        <v>14</v>
      </c>
      <c r="M190" s="2">
        <v>96.873199999999997</v>
      </c>
      <c r="N190" s="2">
        <v>257</v>
      </c>
      <c r="O190" s="2">
        <v>99.699200000000005</v>
      </c>
      <c r="P190" s="2">
        <v>201</v>
      </c>
      <c r="Q190" s="2">
        <v>101.79389999999999</v>
      </c>
      <c r="R190" s="2">
        <v>165</v>
      </c>
      <c r="S190" s="2">
        <v>102.5996</v>
      </c>
      <c r="T190" s="2">
        <v>177</v>
      </c>
      <c r="U190" s="2">
        <v>0.41829699999999997</v>
      </c>
      <c r="V190" s="2">
        <v>189</v>
      </c>
      <c r="W190" s="2">
        <v>2008</v>
      </c>
    </row>
    <row r="191" spans="1:23" ht="12.3" x14ac:dyDescent="0.4">
      <c r="A191" s="2" t="s">
        <v>306</v>
      </c>
      <c r="B191" s="2"/>
      <c r="C191" s="2"/>
      <c r="D191" s="2"/>
      <c r="E191" s="2"/>
      <c r="F191" s="2"/>
      <c r="G191" s="2"/>
      <c r="H191" s="2"/>
      <c r="I191" s="2">
        <v>64.000600000000006</v>
      </c>
      <c r="J191" s="2">
        <v>282</v>
      </c>
      <c r="K191" s="2">
        <v>63.5852</v>
      </c>
      <c r="L191" s="2">
        <v>292</v>
      </c>
      <c r="M191" s="2">
        <v>96.726200000000006</v>
      </c>
      <c r="N191" s="2">
        <v>259</v>
      </c>
      <c r="O191" s="2">
        <v>95.7517</v>
      </c>
      <c r="P191" s="2">
        <v>274</v>
      </c>
      <c r="Q191" s="2">
        <v>100.66459999999999</v>
      </c>
      <c r="R191" s="2">
        <v>131</v>
      </c>
      <c r="S191" s="2">
        <v>98.592799999999997</v>
      </c>
      <c r="T191" s="2">
        <v>94</v>
      </c>
      <c r="U191" s="2">
        <v>0.41671799999999998</v>
      </c>
      <c r="V191" s="2">
        <v>190</v>
      </c>
      <c r="W191" s="2">
        <v>2008</v>
      </c>
    </row>
    <row r="192" spans="1:23" ht="12.3" x14ac:dyDescent="0.4">
      <c r="A192" s="2" t="s">
        <v>337</v>
      </c>
      <c r="B192" s="2"/>
      <c r="C192" s="2"/>
      <c r="D192" s="2"/>
      <c r="E192" s="2"/>
      <c r="F192" s="2"/>
      <c r="G192" s="2"/>
      <c r="H192" s="2"/>
      <c r="I192" s="2">
        <v>69.372900000000001</v>
      </c>
      <c r="J192" s="2">
        <v>87</v>
      </c>
      <c r="K192" s="2">
        <v>68.108199999999997</v>
      </c>
      <c r="L192" s="2">
        <v>123</v>
      </c>
      <c r="M192" s="2">
        <v>101.3484</v>
      </c>
      <c r="N192" s="2">
        <v>177</v>
      </c>
      <c r="O192" s="2">
        <v>99.541499999999999</v>
      </c>
      <c r="P192" s="2">
        <v>203</v>
      </c>
      <c r="Q192" s="2">
        <v>99.300299999999993</v>
      </c>
      <c r="R192" s="2">
        <v>98</v>
      </c>
      <c r="S192" s="2">
        <v>102.57470000000001</v>
      </c>
      <c r="T192" s="2">
        <v>176</v>
      </c>
      <c r="U192" s="2">
        <v>0.41454999999999997</v>
      </c>
      <c r="V192" s="2">
        <v>191</v>
      </c>
      <c r="W192" s="2">
        <v>2008</v>
      </c>
    </row>
    <row r="193" spans="1:23" ht="12.3" x14ac:dyDescent="0.4">
      <c r="A193" s="2" t="s">
        <v>156</v>
      </c>
      <c r="B193" s="2"/>
      <c r="C193" s="2"/>
      <c r="D193" s="2"/>
      <c r="E193" s="2"/>
      <c r="F193" s="2"/>
      <c r="G193" s="2"/>
      <c r="H193" s="2"/>
      <c r="I193" s="2">
        <v>65.172300000000007</v>
      </c>
      <c r="J193" s="2">
        <v>235</v>
      </c>
      <c r="K193" s="2">
        <v>64.656199999999998</v>
      </c>
      <c r="L193" s="2">
        <v>257</v>
      </c>
      <c r="M193" s="2">
        <v>105.5562</v>
      </c>
      <c r="N193" s="2">
        <v>105</v>
      </c>
      <c r="O193" s="2">
        <v>104.032</v>
      </c>
      <c r="P193" s="2">
        <v>142</v>
      </c>
      <c r="Q193" s="2">
        <v>103.6087</v>
      </c>
      <c r="R193" s="2">
        <v>206</v>
      </c>
      <c r="S193" s="2">
        <v>107.2313</v>
      </c>
      <c r="T193" s="2">
        <v>270</v>
      </c>
      <c r="U193" s="2">
        <v>0.41378700000000002</v>
      </c>
      <c r="V193" s="2">
        <v>192</v>
      </c>
      <c r="W193" s="2">
        <v>2008</v>
      </c>
    </row>
    <row r="194" spans="1:23" ht="12.3" x14ac:dyDescent="0.4">
      <c r="A194" s="2" t="s">
        <v>211</v>
      </c>
      <c r="B194" s="2"/>
      <c r="C194" s="2"/>
      <c r="D194" s="2"/>
      <c r="E194" s="2"/>
      <c r="F194" s="2"/>
      <c r="G194" s="2"/>
      <c r="H194" s="2"/>
      <c r="I194" s="2">
        <v>73.537899999999993</v>
      </c>
      <c r="J194" s="2">
        <v>14</v>
      </c>
      <c r="K194" s="2">
        <v>71.854100000000003</v>
      </c>
      <c r="L194" s="2">
        <v>22</v>
      </c>
      <c r="M194" s="2">
        <v>103.0822</v>
      </c>
      <c r="N194" s="2">
        <v>154</v>
      </c>
      <c r="O194" s="2">
        <v>101.6259</v>
      </c>
      <c r="P194" s="2">
        <v>179</v>
      </c>
      <c r="Q194" s="2">
        <v>101.9021</v>
      </c>
      <c r="R194" s="2">
        <v>167</v>
      </c>
      <c r="S194" s="2">
        <v>104.7919</v>
      </c>
      <c r="T194" s="2">
        <v>222</v>
      </c>
      <c r="U194" s="2">
        <v>0.41270499999999999</v>
      </c>
      <c r="V194" s="2">
        <v>193</v>
      </c>
      <c r="W194" s="2">
        <v>2008</v>
      </c>
    </row>
    <row r="195" spans="1:23" ht="12.3" x14ac:dyDescent="0.4">
      <c r="A195" s="2" t="s">
        <v>125</v>
      </c>
      <c r="B195" s="2"/>
      <c r="C195" s="2"/>
      <c r="D195" s="2"/>
      <c r="E195" s="2"/>
      <c r="F195" s="2"/>
      <c r="G195" s="2"/>
      <c r="H195" s="2"/>
      <c r="I195" s="2">
        <v>66.684100000000001</v>
      </c>
      <c r="J195" s="2">
        <v>182</v>
      </c>
      <c r="K195" s="2">
        <v>66.055400000000006</v>
      </c>
      <c r="L195" s="2">
        <v>197</v>
      </c>
      <c r="M195" s="2">
        <v>96.146799999999999</v>
      </c>
      <c r="N195" s="2">
        <v>267</v>
      </c>
      <c r="O195" s="2">
        <v>94.2774</v>
      </c>
      <c r="P195" s="2">
        <v>290</v>
      </c>
      <c r="Q195" s="2">
        <v>94.710899999999995</v>
      </c>
      <c r="R195" s="2">
        <v>30</v>
      </c>
      <c r="S195" s="2">
        <v>97.379199999999997</v>
      </c>
      <c r="T195" s="2">
        <v>67</v>
      </c>
      <c r="U195" s="2">
        <v>0.40799400000000002</v>
      </c>
      <c r="V195" s="2">
        <v>194</v>
      </c>
      <c r="W195" s="2">
        <v>2008</v>
      </c>
    </row>
    <row r="196" spans="1:23" ht="12.3" x14ac:dyDescent="0.4">
      <c r="A196" s="2" t="s">
        <v>170</v>
      </c>
      <c r="B196" s="2"/>
      <c r="C196" s="2"/>
      <c r="D196" s="2"/>
      <c r="E196" s="2"/>
      <c r="F196" s="2"/>
      <c r="G196" s="2"/>
      <c r="H196" s="2"/>
      <c r="I196" s="2">
        <v>65.048199999999994</v>
      </c>
      <c r="J196" s="2">
        <v>246</v>
      </c>
      <c r="K196" s="2">
        <v>65.447800000000001</v>
      </c>
      <c r="L196" s="2">
        <v>221</v>
      </c>
      <c r="M196" s="2">
        <v>100.99120000000001</v>
      </c>
      <c r="N196" s="2">
        <v>185</v>
      </c>
      <c r="O196" s="2">
        <v>98.344700000000003</v>
      </c>
      <c r="P196" s="2">
        <v>225</v>
      </c>
      <c r="Q196" s="2">
        <v>99.787899999999993</v>
      </c>
      <c r="R196" s="2">
        <v>110</v>
      </c>
      <c r="S196" s="2">
        <v>101.6168</v>
      </c>
      <c r="T196" s="2">
        <v>152</v>
      </c>
      <c r="U196" s="2">
        <v>0.406995</v>
      </c>
      <c r="V196" s="2">
        <v>195</v>
      </c>
      <c r="W196" s="2">
        <v>2008</v>
      </c>
    </row>
    <row r="197" spans="1:23" ht="12.3" x14ac:dyDescent="0.4">
      <c r="A197" s="2" t="s">
        <v>124</v>
      </c>
      <c r="B197" s="2"/>
      <c r="C197" s="2"/>
      <c r="D197" s="2"/>
      <c r="E197" s="2"/>
      <c r="F197" s="2"/>
      <c r="G197" s="2"/>
      <c r="H197" s="2"/>
      <c r="I197" s="2">
        <v>61.507800000000003</v>
      </c>
      <c r="J197" s="2">
        <v>320</v>
      </c>
      <c r="K197" s="2">
        <v>62.430199999999999</v>
      </c>
      <c r="L197" s="2">
        <v>312</v>
      </c>
      <c r="M197" s="2">
        <v>98.6267</v>
      </c>
      <c r="N197" s="2">
        <v>227</v>
      </c>
      <c r="O197" s="2">
        <v>103.9311</v>
      </c>
      <c r="P197" s="2">
        <v>143</v>
      </c>
      <c r="Q197" s="2">
        <v>110.8723</v>
      </c>
      <c r="R197" s="2">
        <v>330</v>
      </c>
      <c r="S197" s="2">
        <v>107.50449999999999</v>
      </c>
      <c r="T197" s="2">
        <v>277</v>
      </c>
      <c r="U197" s="2">
        <v>0.40401700000000002</v>
      </c>
      <c r="V197" s="2">
        <v>196</v>
      </c>
      <c r="W197" s="2">
        <v>2008</v>
      </c>
    </row>
    <row r="198" spans="1:23" ht="12.3" x14ac:dyDescent="0.4">
      <c r="A198" s="2" t="s">
        <v>117</v>
      </c>
      <c r="B198" s="2"/>
      <c r="C198" s="2"/>
      <c r="D198" s="2"/>
      <c r="E198" s="2"/>
      <c r="F198" s="2"/>
      <c r="G198" s="2"/>
      <c r="H198" s="2"/>
      <c r="I198" s="2">
        <v>65.353099999999998</v>
      </c>
      <c r="J198" s="2">
        <v>229</v>
      </c>
      <c r="K198" s="2">
        <v>65.257900000000006</v>
      </c>
      <c r="L198" s="2">
        <v>230</v>
      </c>
      <c r="M198" s="2">
        <v>97.935699999999997</v>
      </c>
      <c r="N198" s="2">
        <v>236</v>
      </c>
      <c r="O198" s="2">
        <v>96.126999999999995</v>
      </c>
      <c r="P198" s="2">
        <v>266</v>
      </c>
      <c r="Q198" s="2">
        <v>99.991200000000006</v>
      </c>
      <c r="R198" s="2">
        <v>114</v>
      </c>
      <c r="S198" s="2">
        <v>99.692999999999998</v>
      </c>
      <c r="T198" s="2">
        <v>112</v>
      </c>
      <c r="U198" s="2">
        <v>0.39678099999999999</v>
      </c>
      <c r="V198" s="2">
        <v>197</v>
      </c>
      <c r="W198" s="2">
        <v>2008</v>
      </c>
    </row>
    <row r="199" spans="1:23" ht="12.3" x14ac:dyDescent="0.4">
      <c r="A199" s="2" t="s">
        <v>322</v>
      </c>
      <c r="B199" s="2"/>
      <c r="C199" s="2"/>
      <c r="D199" s="2"/>
      <c r="E199" s="2"/>
      <c r="F199" s="2"/>
      <c r="G199" s="2"/>
      <c r="H199" s="2"/>
      <c r="I199" s="2">
        <v>67.216999999999999</v>
      </c>
      <c r="J199" s="2">
        <v>165</v>
      </c>
      <c r="K199" s="2">
        <v>67.543599999999998</v>
      </c>
      <c r="L199" s="2">
        <v>143</v>
      </c>
      <c r="M199" s="2">
        <v>97.9208</v>
      </c>
      <c r="N199" s="2">
        <v>237</v>
      </c>
      <c r="O199" s="2">
        <v>98.624899999999997</v>
      </c>
      <c r="P199" s="2">
        <v>221</v>
      </c>
      <c r="Q199" s="2">
        <v>104.7749</v>
      </c>
      <c r="R199" s="2">
        <v>239</v>
      </c>
      <c r="S199" s="2">
        <v>102.41630000000001</v>
      </c>
      <c r="T199" s="2">
        <v>170</v>
      </c>
      <c r="U199" s="2">
        <v>0.39321899999999999</v>
      </c>
      <c r="V199" s="2">
        <v>198</v>
      </c>
      <c r="W199" s="2">
        <v>2008</v>
      </c>
    </row>
    <row r="200" spans="1:23" ht="12.3" x14ac:dyDescent="0.4">
      <c r="A200" s="2" t="s">
        <v>150</v>
      </c>
      <c r="B200" s="2"/>
      <c r="C200" s="2"/>
      <c r="D200" s="2"/>
      <c r="E200" s="2"/>
      <c r="F200" s="2"/>
      <c r="G200" s="2"/>
      <c r="H200" s="2"/>
      <c r="I200" s="2">
        <v>60.722299999999997</v>
      </c>
      <c r="J200" s="2">
        <v>326</v>
      </c>
      <c r="K200" s="2">
        <v>61.898699999999998</v>
      </c>
      <c r="L200" s="2">
        <v>321</v>
      </c>
      <c r="M200" s="2">
        <v>96.425399999999996</v>
      </c>
      <c r="N200" s="2">
        <v>263</v>
      </c>
      <c r="O200" s="2">
        <v>98.433700000000002</v>
      </c>
      <c r="P200" s="2">
        <v>223</v>
      </c>
      <c r="Q200" s="2">
        <v>104.2773</v>
      </c>
      <c r="R200" s="2">
        <v>219</v>
      </c>
      <c r="S200" s="2">
        <v>102.26</v>
      </c>
      <c r="T200" s="2">
        <v>169</v>
      </c>
      <c r="U200" s="2">
        <v>0.39208599999999999</v>
      </c>
      <c r="V200" s="2">
        <v>199</v>
      </c>
      <c r="W200" s="2">
        <v>2008</v>
      </c>
    </row>
    <row r="201" spans="1:23" ht="12.3" x14ac:dyDescent="0.4">
      <c r="A201" s="2" t="s">
        <v>89</v>
      </c>
      <c r="B201" s="2"/>
      <c r="C201" s="2"/>
      <c r="D201" s="2"/>
      <c r="E201" s="2"/>
      <c r="F201" s="2"/>
      <c r="G201" s="2"/>
      <c r="H201" s="2"/>
      <c r="I201" s="2">
        <v>64.775000000000006</v>
      </c>
      <c r="J201" s="2">
        <v>263</v>
      </c>
      <c r="K201" s="2">
        <v>65.438000000000002</v>
      </c>
      <c r="L201" s="2">
        <v>222</v>
      </c>
      <c r="M201" s="2">
        <v>97.367900000000006</v>
      </c>
      <c r="N201" s="2">
        <v>249</v>
      </c>
      <c r="O201" s="2">
        <v>99.311099999999996</v>
      </c>
      <c r="P201" s="2">
        <v>208</v>
      </c>
      <c r="Q201" s="2">
        <v>103.8712</v>
      </c>
      <c r="R201" s="2">
        <v>210</v>
      </c>
      <c r="S201" s="2">
        <v>103.2223</v>
      </c>
      <c r="T201" s="2">
        <v>191</v>
      </c>
      <c r="U201" s="2">
        <v>0.390735</v>
      </c>
      <c r="V201" s="2">
        <v>200</v>
      </c>
      <c r="W201" s="2">
        <v>2008</v>
      </c>
    </row>
    <row r="202" spans="1:23" ht="12.3" x14ac:dyDescent="0.4">
      <c r="A202" s="2" t="s">
        <v>316</v>
      </c>
      <c r="B202" s="2"/>
      <c r="C202" s="2"/>
      <c r="D202" s="2"/>
      <c r="E202" s="2"/>
      <c r="F202" s="2"/>
      <c r="G202" s="2"/>
      <c r="H202" s="2"/>
      <c r="I202" s="2">
        <v>69.708200000000005</v>
      </c>
      <c r="J202" s="2">
        <v>79</v>
      </c>
      <c r="K202" s="2">
        <v>69.647400000000005</v>
      </c>
      <c r="L202" s="2">
        <v>77</v>
      </c>
      <c r="M202" s="2">
        <v>102.4815</v>
      </c>
      <c r="N202" s="2">
        <v>160</v>
      </c>
      <c r="O202" s="2">
        <v>101.0872</v>
      </c>
      <c r="P202" s="2">
        <v>182</v>
      </c>
      <c r="Q202" s="2">
        <v>101.6023</v>
      </c>
      <c r="R202" s="2">
        <v>157</v>
      </c>
      <c r="S202" s="2">
        <v>105.0994</v>
      </c>
      <c r="T202" s="2">
        <v>230</v>
      </c>
      <c r="U202" s="2">
        <v>0.389928</v>
      </c>
      <c r="V202" s="2">
        <v>201</v>
      </c>
      <c r="W202" s="2">
        <v>2008</v>
      </c>
    </row>
    <row r="203" spans="1:23" ht="12.3" x14ac:dyDescent="0.4">
      <c r="A203" s="2" t="s">
        <v>106</v>
      </c>
      <c r="B203" s="2"/>
      <c r="C203" s="2"/>
      <c r="D203" s="2"/>
      <c r="E203" s="2"/>
      <c r="F203" s="2"/>
      <c r="G203" s="2"/>
      <c r="H203" s="2"/>
      <c r="I203" s="2">
        <v>66.301299999999998</v>
      </c>
      <c r="J203" s="2">
        <v>193</v>
      </c>
      <c r="K203" s="2">
        <v>66.3005</v>
      </c>
      <c r="L203" s="2">
        <v>184</v>
      </c>
      <c r="M203" s="2">
        <v>100.59829999999999</v>
      </c>
      <c r="N203" s="2">
        <v>191</v>
      </c>
      <c r="O203" s="2">
        <v>104.8036</v>
      </c>
      <c r="P203" s="2">
        <v>122</v>
      </c>
      <c r="Q203" s="2">
        <v>109.5205</v>
      </c>
      <c r="R203" s="2">
        <v>314</v>
      </c>
      <c r="S203" s="2">
        <v>109.0733</v>
      </c>
      <c r="T203" s="2">
        <v>304</v>
      </c>
      <c r="U203" s="2">
        <v>0.38717200000000002</v>
      </c>
      <c r="V203" s="2">
        <v>202</v>
      </c>
      <c r="W203" s="2">
        <v>2008</v>
      </c>
    </row>
    <row r="204" spans="1:23" ht="12.3" x14ac:dyDescent="0.4">
      <c r="A204" s="2" t="s">
        <v>243</v>
      </c>
      <c r="B204" s="2"/>
      <c r="C204" s="2"/>
      <c r="D204" s="2"/>
      <c r="E204" s="2"/>
      <c r="F204" s="2"/>
      <c r="G204" s="2"/>
      <c r="H204" s="2"/>
      <c r="I204" s="2">
        <v>67.936400000000006</v>
      </c>
      <c r="J204" s="2">
        <v>137</v>
      </c>
      <c r="K204" s="2">
        <v>68.743499999999997</v>
      </c>
      <c r="L204" s="2">
        <v>103</v>
      </c>
      <c r="M204" s="2">
        <v>96.133499999999998</v>
      </c>
      <c r="N204" s="2">
        <v>268</v>
      </c>
      <c r="O204" s="2">
        <v>97.502600000000001</v>
      </c>
      <c r="P204" s="2">
        <v>241</v>
      </c>
      <c r="Q204" s="2">
        <v>100.1729</v>
      </c>
      <c r="R204" s="2">
        <v>119</v>
      </c>
      <c r="S204" s="2">
        <v>101.5998</v>
      </c>
      <c r="T204" s="2">
        <v>151</v>
      </c>
      <c r="U204" s="2">
        <v>0.38381799999999999</v>
      </c>
      <c r="V204" s="2">
        <v>203</v>
      </c>
      <c r="W204" s="2">
        <v>2008</v>
      </c>
    </row>
    <row r="205" spans="1:23" ht="12.3" x14ac:dyDescent="0.4">
      <c r="A205" s="2" t="s">
        <v>174</v>
      </c>
      <c r="B205" s="2"/>
      <c r="C205" s="2"/>
      <c r="D205" s="2"/>
      <c r="E205" s="2"/>
      <c r="F205" s="2"/>
      <c r="G205" s="2"/>
      <c r="H205" s="2"/>
      <c r="I205" s="2">
        <v>65.688599999999994</v>
      </c>
      <c r="J205" s="2">
        <v>213</v>
      </c>
      <c r="K205" s="2">
        <v>66.333699999999993</v>
      </c>
      <c r="L205" s="2">
        <v>183</v>
      </c>
      <c r="M205" s="2">
        <v>94.583699999999993</v>
      </c>
      <c r="N205" s="2">
        <v>287</v>
      </c>
      <c r="O205" s="2">
        <v>97.2654</v>
      </c>
      <c r="P205" s="2">
        <v>246</v>
      </c>
      <c r="Q205" s="2">
        <v>99.515299999999996</v>
      </c>
      <c r="R205" s="2">
        <v>104</v>
      </c>
      <c r="S205" s="2">
        <v>101.4276</v>
      </c>
      <c r="T205" s="2">
        <v>148</v>
      </c>
      <c r="U205" s="2">
        <v>0.38180900000000001</v>
      </c>
      <c r="V205" s="2">
        <v>204</v>
      </c>
      <c r="W205" s="2">
        <v>2008</v>
      </c>
    </row>
    <row r="206" spans="1:23" ht="12.3" x14ac:dyDescent="0.4">
      <c r="A206" s="2" t="s">
        <v>181</v>
      </c>
      <c r="B206" s="2"/>
      <c r="C206" s="2"/>
      <c r="D206" s="2"/>
      <c r="E206" s="2"/>
      <c r="F206" s="2"/>
      <c r="G206" s="2"/>
      <c r="H206" s="2"/>
      <c r="I206" s="2">
        <v>66.179000000000002</v>
      </c>
      <c r="J206" s="2">
        <v>196</v>
      </c>
      <c r="K206" s="2">
        <v>65.567899999999995</v>
      </c>
      <c r="L206" s="2">
        <v>215</v>
      </c>
      <c r="M206" s="2">
        <v>108.48050000000001</v>
      </c>
      <c r="N206" s="2">
        <v>57</v>
      </c>
      <c r="O206" s="2">
        <v>102.2711</v>
      </c>
      <c r="P206" s="2">
        <v>168</v>
      </c>
      <c r="Q206" s="2">
        <v>104.02849999999999</v>
      </c>
      <c r="R206" s="2">
        <v>213</v>
      </c>
      <c r="S206" s="2">
        <v>106.7576</v>
      </c>
      <c r="T206" s="2">
        <v>258</v>
      </c>
      <c r="U206" s="2">
        <v>0.37901200000000002</v>
      </c>
      <c r="V206" s="2">
        <v>205</v>
      </c>
      <c r="W206" s="2">
        <v>2008</v>
      </c>
    </row>
    <row r="207" spans="1:23" ht="12.3" x14ac:dyDescent="0.4">
      <c r="A207" s="2" t="s">
        <v>221</v>
      </c>
      <c r="B207" s="2"/>
      <c r="C207" s="2"/>
      <c r="D207" s="2"/>
      <c r="E207" s="2"/>
      <c r="F207" s="2"/>
      <c r="G207" s="2"/>
      <c r="H207" s="2"/>
      <c r="I207" s="2">
        <v>62.257899999999999</v>
      </c>
      <c r="J207" s="2">
        <v>310</v>
      </c>
      <c r="K207" s="2">
        <v>62.034500000000001</v>
      </c>
      <c r="L207" s="2">
        <v>319</v>
      </c>
      <c r="M207" s="2">
        <v>103.7355</v>
      </c>
      <c r="N207" s="2">
        <v>140</v>
      </c>
      <c r="O207" s="2">
        <v>104.3927</v>
      </c>
      <c r="P207" s="2">
        <v>131</v>
      </c>
      <c r="Q207" s="2">
        <v>108.89230000000001</v>
      </c>
      <c r="R207" s="2">
        <v>307</v>
      </c>
      <c r="S207" s="2">
        <v>108.98139999999999</v>
      </c>
      <c r="T207" s="2">
        <v>302</v>
      </c>
      <c r="U207" s="2">
        <v>0.37878800000000001</v>
      </c>
      <c r="V207" s="2">
        <v>206</v>
      </c>
      <c r="W207" s="2">
        <v>2008</v>
      </c>
    </row>
    <row r="208" spans="1:23" ht="12.3" x14ac:dyDescent="0.4">
      <c r="A208" s="2" t="s">
        <v>214</v>
      </c>
      <c r="B208" s="2"/>
      <c r="C208" s="2"/>
      <c r="D208" s="2"/>
      <c r="E208" s="2"/>
      <c r="F208" s="2"/>
      <c r="G208" s="2"/>
      <c r="H208" s="2"/>
      <c r="I208" s="2">
        <v>69.318299999999994</v>
      </c>
      <c r="J208" s="2">
        <v>89</v>
      </c>
      <c r="K208" s="2">
        <v>67.676100000000005</v>
      </c>
      <c r="L208" s="2">
        <v>138</v>
      </c>
      <c r="M208" s="2">
        <v>102.0699</v>
      </c>
      <c r="N208" s="2">
        <v>165</v>
      </c>
      <c r="O208" s="2">
        <v>101.6926</v>
      </c>
      <c r="P208" s="2">
        <v>178</v>
      </c>
      <c r="Q208" s="2">
        <v>103.16119999999999</v>
      </c>
      <c r="R208" s="2">
        <v>200</v>
      </c>
      <c r="S208" s="2">
        <v>106.16719999999999</v>
      </c>
      <c r="T208" s="2">
        <v>248</v>
      </c>
      <c r="U208" s="2">
        <v>0.37867000000000001</v>
      </c>
      <c r="V208" s="2">
        <v>207</v>
      </c>
      <c r="W208" s="2">
        <v>2008</v>
      </c>
    </row>
    <row r="209" spans="1:23" ht="12.3" x14ac:dyDescent="0.4">
      <c r="A209" s="2" t="s">
        <v>112</v>
      </c>
      <c r="B209" s="2"/>
      <c r="C209" s="2"/>
      <c r="D209" s="2"/>
      <c r="E209" s="2"/>
      <c r="F209" s="2"/>
      <c r="G209" s="2"/>
      <c r="H209" s="2"/>
      <c r="I209" s="2">
        <v>68.479799999999997</v>
      </c>
      <c r="J209" s="2">
        <v>117</v>
      </c>
      <c r="K209" s="2">
        <v>68.164000000000001</v>
      </c>
      <c r="L209" s="2">
        <v>121</v>
      </c>
      <c r="M209" s="2">
        <v>99.062299999999993</v>
      </c>
      <c r="N209" s="2">
        <v>219</v>
      </c>
      <c r="O209" s="2">
        <v>96.456999999999994</v>
      </c>
      <c r="P209" s="2">
        <v>258</v>
      </c>
      <c r="Q209" s="2">
        <v>99.795299999999997</v>
      </c>
      <c r="R209" s="2">
        <v>111</v>
      </c>
      <c r="S209" s="2">
        <v>100.7385</v>
      </c>
      <c r="T209" s="2">
        <v>130</v>
      </c>
      <c r="U209" s="2">
        <v>0.37766899999999998</v>
      </c>
      <c r="V209" s="2">
        <v>208</v>
      </c>
      <c r="W209" s="2">
        <v>2008</v>
      </c>
    </row>
    <row r="210" spans="1:23" ht="12.3" x14ac:dyDescent="0.4">
      <c r="A210" s="2" t="s">
        <v>328</v>
      </c>
      <c r="B210" s="2"/>
      <c r="C210" s="2"/>
      <c r="D210" s="2"/>
      <c r="E210" s="2"/>
      <c r="F210" s="2"/>
      <c r="G210" s="2"/>
      <c r="H210" s="2"/>
      <c r="I210" s="2">
        <v>67.503299999999996</v>
      </c>
      <c r="J210" s="2">
        <v>155</v>
      </c>
      <c r="K210" s="2">
        <v>65.8489</v>
      </c>
      <c r="L210" s="2">
        <v>206</v>
      </c>
      <c r="M210" s="2">
        <v>94.888599999999997</v>
      </c>
      <c r="N210" s="2">
        <v>282</v>
      </c>
      <c r="O210" s="2">
        <v>94.930099999999996</v>
      </c>
      <c r="P210" s="2">
        <v>283</v>
      </c>
      <c r="Q210" s="2">
        <v>94.965599999999995</v>
      </c>
      <c r="R210" s="2">
        <v>35</v>
      </c>
      <c r="S210" s="2">
        <v>99.212299999999999</v>
      </c>
      <c r="T210" s="2">
        <v>104</v>
      </c>
      <c r="U210" s="2">
        <v>0.375805</v>
      </c>
      <c r="V210" s="2">
        <v>209</v>
      </c>
      <c r="W210" s="2">
        <v>2008</v>
      </c>
    </row>
    <row r="211" spans="1:23" ht="12.3" x14ac:dyDescent="0.4">
      <c r="A211" s="2" t="s">
        <v>279</v>
      </c>
      <c r="B211" s="2"/>
      <c r="C211" s="2"/>
      <c r="D211" s="2"/>
      <c r="E211" s="2"/>
      <c r="F211" s="2"/>
      <c r="G211" s="2"/>
      <c r="H211" s="2"/>
      <c r="I211" s="2">
        <v>62.793799999999997</v>
      </c>
      <c r="J211" s="2">
        <v>302</v>
      </c>
      <c r="K211" s="2">
        <v>62.987499999999997</v>
      </c>
      <c r="L211" s="2">
        <v>299</v>
      </c>
      <c r="M211" s="2">
        <v>103.0951</v>
      </c>
      <c r="N211" s="2">
        <v>152</v>
      </c>
      <c r="O211" s="2">
        <v>104.8826</v>
      </c>
      <c r="P211" s="2">
        <v>118</v>
      </c>
      <c r="Q211" s="2">
        <v>109.67319999999999</v>
      </c>
      <c r="R211" s="2">
        <v>317</v>
      </c>
      <c r="S211" s="2">
        <v>109.7886</v>
      </c>
      <c r="T211" s="2">
        <v>310</v>
      </c>
      <c r="U211" s="2">
        <v>0.37151400000000001</v>
      </c>
      <c r="V211" s="2">
        <v>210</v>
      </c>
      <c r="W211" s="2">
        <v>2008</v>
      </c>
    </row>
    <row r="212" spans="1:23" ht="12.3" x14ac:dyDescent="0.4">
      <c r="A212" s="2" t="s">
        <v>292</v>
      </c>
      <c r="B212" s="2"/>
      <c r="C212" s="2"/>
      <c r="D212" s="2"/>
      <c r="E212" s="2"/>
      <c r="F212" s="2"/>
      <c r="G212" s="2"/>
      <c r="H212" s="2"/>
      <c r="I212" s="2">
        <v>62.740499999999997</v>
      </c>
      <c r="J212" s="2">
        <v>304</v>
      </c>
      <c r="K212" s="2">
        <v>64.729100000000003</v>
      </c>
      <c r="L212" s="2">
        <v>253</v>
      </c>
      <c r="M212" s="2">
        <v>94.811400000000006</v>
      </c>
      <c r="N212" s="2">
        <v>284</v>
      </c>
      <c r="O212" s="2">
        <v>97.016199999999998</v>
      </c>
      <c r="P212" s="2">
        <v>250</v>
      </c>
      <c r="Q212" s="2">
        <v>105.1283</v>
      </c>
      <c r="R212" s="2">
        <v>251</v>
      </c>
      <c r="S212" s="2">
        <v>101.6529</v>
      </c>
      <c r="T212" s="2">
        <v>153</v>
      </c>
      <c r="U212" s="2">
        <v>0.36891200000000002</v>
      </c>
      <c r="V212" s="2">
        <v>211</v>
      </c>
      <c r="W212" s="2">
        <v>2008</v>
      </c>
    </row>
    <row r="213" spans="1:23" ht="12.3" x14ac:dyDescent="0.4">
      <c r="A213" s="2" t="s">
        <v>343</v>
      </c>
      <c r="B213" s="2"/>
      <c r="C213" s="2"/>
      <c r="D213" s="2"/>
      <c r="E213" s="2"/>
      <c r="F213" s="2"/>
      <c r="G213" s="2"/>
      <c r="H213" s="2"/>
      <c r="I213" s="2">
        <v>71.125</v>
      </c>
      <c r="J213" s="2">
        <v>46</v>
      </c>
      <c r="K213" s="2">
        <v>70.939499999999995</v>
      </c>
      <c r="L213" s="2">
        <v>40</v>
      </c>
      <c r="M213" s="2">
        <v>101.57210000000001</v>
      </c>
      <c r="N213" s="2">
        <v>174</v>
      </c>
      <c r="O213" s="2">
        <v>99.248099999999994</v>
      </c>
      <c r="P213" s="2">
        <v>213</v>
      </c>
      <c r="Q213" s="2">
        <v>100.4913</v>
      </c>
      <c r="R213" s="2">
        <v>127</v>
      </c>
      <c r="S213" s="2">
        <v>104.0317</v>
      </c>
      <c r="T213" s="2">
        <v>204</v>
      </c>
      <c r="U213" s="2">
        <v>0.36787799999999998</v>
      </c>
      <c r="V213" s="2">
        <v>212</v>
      </c>
      <c r="W213" s="2">
        <v>2008</v>
      </c>
    </row>
    <row r="214" spans="1:23" ht="12.3" x14ac:dyDescent="0.4">
      <c r="A214" s="2" t="s">
        <v>297</v>
      </c>
      <c r="B214" s="2"/>
      <c r="C214" s="2"/>
      <c r="D214" s="2"/>
      <c r="E214" s="2"/>
      <c r="F214" s="2"/>
      <c r="G214" s="2"/>
      <c r="H214" s="2"/>
      <c r="I214" s="2">
        <v>66.732900000000001</v>
      </c>
      <c r="J214" s="2">
        <v>180</v>
      </c>
      <c r="K214" s="2">
        <v>65.557400000000001</v>
      </c>
      <c r="L214" s="2">
        <v>217</v>
      </c>
      <c r="M214" s="2">
        <v>106.4941</v>
      </c>
      <c r="N214" s="2">
        <v>85</v>
      </c>
      <c r="O214" s="2">
        <v>100.6913</v>
      </c>
      <c r="P214" s="2">
        <v>190</v>
      </c>
      <c r="Q214" s="2">
        <v>97.393500000000003</v>
      </c>
      <c r="R214" s="2">
        <v>67</v>
      </c>
      <c r="S214" s="2">
        <v>105.5539</v>
      </c>
      <c r="T214" s="2">
        <v>236</v>
      </c>
      <c r="U214" s="2">
        <v>0.36763800000000002</v>
      </c>
      <c r="V214" s="2">
        <v>213</v>
      </c>
      <c r="W214" s="2">
        <v>2008</v>
      </c>
    </row>
    <row r="215" spans="1:23" ht="12.3" x14ac:dyDescent="0.4">
      <c r="A215" s="2" t="s">
        <v>135</v>
      </c>
      <c r="B215" s="2"/>
      <c r="C215" s="2"/>
      <c r="D215" s="2"/>
      <c r="E215" s="2"/>
      <c r="F215" s="2"/>
      <c r="G215" s="2"/>
      <c r="H215" s="2"/>
      <c r="I215" s="2">
        <v>67.759299999999996</v>
      </c>
      <c r="J215" s="2">
        <v>144</v>
      </c>
      <c r="K215" s="2">
        <v>68.664400000000001</v>
      </c>
      <c r="L215" s="2">
        <v>106</v>
      </c>
      <c r="M215" s="2">
        <v>95.536600000000007</v>
      </c>
      <c r="N215" s="2">
        <v>273</v>
      </c>
      <c r="O215" s="2">
        <v>93.183000000000007</v>
      </c>
      <c r="P215" s="2">
        <v>307</v>
      </c>
      <c r="Q215" s="2">
        <v>91.814800000000005</v>
      </c>
      <c r="R215" s="2">
        <v>9</v>
      </c>
      <c r="S215" s="2">
        <v>97.796899999999994</v>
      </c>
      <c r="T215" s="2">
        <v>79</v>
      </c>
      <c r="U215" s="2">
        <v>0.36452600000000002</v>
      </c>
      <c r="V215" s="2">
        <v>214</v>
      </c>
      <c r="W215" s="2">
        <v>2008</v>
      </c>
    </row>
    <row r="216" spans="1:23" ht="12.3" x14ac:dyDescent="0.4">
      <c r="A216" s="2" t="s">
        <v>203</v>
      </c>
      <c r="B216" s="2"/>
      <c r="C216" s="2"/>
      <c r="D216" s="2"/>
      <c r="E216" s="2"/>
      <c r="F216" s="2"/>
      <c r="G216" s="2"/>
      <c r="H216" s="2"/>
      <c r="I216" s="2">
        <v>64.328299999999999</v>
      </c>
      <c r="J216" s="2">
        <v>271</v>
      </c>
      <c r="K216" s="2">
        <v>64.555999999999997</v>
      </c>
      <c r="L216" s="2">
        <v>263</v>
      </c>
      <c r="M216" s="2">
        <v>97.632400000000004</v>
      </c>
      <c r="N216" s="2">
        <v>241</v>
      </c>
      <c r="O216" s="2">
        <v>96.474100000000007</v>
      </c>
      <c r="P216" s="2">
        <v>257</v>
      </c>
      <c r="Q216" s="2">
        <v>100.88720000000001</v>
      </c>
      <c r="R216" s="2">
        <v>137</v>
      </c>
      <c r="S216" s="2">
        <v>101.29770000000001</v>
      </c>
      <c r="T216" s="2">
        <v>143</v>
      </c>
      <c r="U216" s="2">
        <v>0.36330000000000001</v>
      </c>
      <c r="V216" s="2">
        <v>215</v>
      </c>
      <c r="W216" s="2">
        <v>2008</v>
      </c>
    </row>
    <row r="217" spans="1:23" ht="12.3" x14ac:dyDescent="0.4">
      <c r="A217" s="2" t="s">
        <v>234</v>
      </c>
      <c r="B217" s="2"/>
      <c r="C217" s="2"/>
      <c r="D217" s="2"/>
      <c r="E217" s="2"/>
      <c r="F217" s="2"/>
      <c r="G217" s="2"/>
      <c r="H217" s="2"/>
      <c r="I217" s="2">
        <v>63.109699999999997</v>
      </c>
      <c r="J217" s="2">
        <v>296</v>
      </c>
      <c r="K217" s="2">
        <v>64.088999999999999</v>
      </c>
      <c r="L217" s="2">
        <v>276</v>
      </c>
      <c r="M217" s="2">
        <v>107.3364</v>
      </c>
      <c r="N217" s="2">
        <v>75</v>
      </c>
      <c r="O217" s="2">
        <v>104.35890000000001</v>
      </c>
      <c r="P217" s="2">
        <v>134</v>
      </c>
      <c r="Q217" s="2">
        <v>106.8079</v>
      </c>
      <c r="R217" s="2">
        <v>285</v>
      </c>
      <c r="S217" s="2">
        <v>109.58410000000001</v>
      </c>
      <c r="T217" s="2">
        <v>307</v>
      </c>
      <c r="U217" s="2">
        <v>0.363118</v>
      </c>
      <c r="V217" s="2">
        <v>216</v>
      </c>
      <c r="W217" s="2">
        <v>2008</v>
      </c>
    </row>
    <row r="218" spans="1:23" ht="12.3" x14ac:dyDescent="0.4">
      <c r="A218" s="2" t="s">
        <v>218</v>
      </c>
      <c r="B218" s="2"/>
      <c r="C218" s="2"/>
      <c r="D218" s="2"/>
      <c r="E218" s="2"/>
      <c r="F218" s="2"/>
      <c r="G218" s="2"/>
      <c r="H218" s="2"/>
      <c r="I218" s="2">
        <v>70.391300000000001</v>
      </c>
      <c r="J218" s="2">
        <v>61</v>
      </c>
      <c r="K218" s="2">
        <v>71.115399999999994</v>
      </c>
      <c r="L218" s="2">
        <v>37</v>
      </c>
      <c r="M218" s="2">
        <v>101.2787</v>
      </c>
      <c r="N218" s="2">
        <v>180</v>
      </c>
      <c r="O218" s="2">
        <v>101.0749</v>
      </c>
      <c r="P218" s="2">
        <v>183</v>
      </c>
      <c r="Q218" s="2">
        <v>105.20529999999999</v>
      </c>
      <c r="R218" s="2">
        <v>252</v>
      </c>
      <c r="S218" s="2">
        <v>106.2569</v>
      </c>
      <c r="T218" s="2">
        <v>251</v>
      </c>
      <c r="U218" s="2">
        <v>0.36009000000000002</v>
      </c>
      <c r="V218" s="2">
        <v>217</v>
      </c>
      <c r="W218" s="2">
        <v>2008</v>
      </c>
    </row>
    <row r="219" spans="1:23" ht="12.3" x14ac:dyDescent="0.4">
      <c r="A219" s="2" t="s">
        <v>315</v>
      </c>
      <c r="B219" s="2"/>
      <c r="C219" s="2"/>
      <c r="D219" s="2"/>
      <c r="E219" s="2"/>
      <c r="F219" s="2"/>
      <c r="G219" s="2"/>
      <c r="H219" s="2"/>
      <c r="I219" s="2">
        <v>64.556600000000003</v>
      </c>
      <c r="J219" s="2">
        <v>266</v>
      </c>
      <c r="K219" s="2">
        <v>63.827399999999997</v>
      </c>
      <c r="L219" s="2">
        <v>284</v>
      </c>
      <c r="M219" s="2">
        <v>101.8562</v>
      </c>
      <c r="N219" s="2">
        <v>166</v>
      </c>
      <c r="O219" s="2">
        <v>98.534300000000002</v>
      </c>
      <c r="P219" s="2">
        <v>222</v>
      </c>
      <c r="Q219" s="2">
        <v>102.63930000000001</v>
      </c>
      <c r="R219" s="2">
        <v>186</v>
      </c>
      <c r="S219" s="2">
        <v>103.61109999999999</v>
      </c>
      <c r="T219" s="2">
        <v>197</v>
      </c>
      <c r="U219" s="2">
        <v>0.35944799999999999</v>
      </c>
      <c r="V219" s="2">
        <v>218</v>
      </c>
      <c r="W219" s="2">
        <v>2008</v>
      </c>
    </row>
    <row r="220" spans="1:23" ht="12.3" x14ac:dyDescent="0.4">
      <c r="A220" s="2" t="s">
        <v>215</v>
      </c>
      <c r="B220" s="2"/>
      <c r="C220" s="2"/>
      <c r="D220" s="2"/>
      <c r="E220" s="2"/>
      <c r="F220" s="2"/>
      <c r="G220" s="2"/>
      <c r="H220" s="2"/>
      <c r="I220" s="2">
        <v>69.739900000000006</v>
      </c>
      <c r="J220" s="2">
        <v>77</v>
      </c>
      <c r="K220" s="2">
        <v>68.984499999999997</v>
      </c>
      <c r="L220" s="2">
        <v>94</v>
      </c>
      <c r="M220" s="2">
        <v>99.932199999999995</v>
      </c>
      <c r="N220" s="2">
        <v>206</v>
      </c>
      <c r="O220" s="2">
        <v>96.0929</v>
      </c>
      <c r="P220" s="2">
        <v>267</v>
      </c>
      <c r="Q220" s="2">
        <v>99.185699999999997</v>
      </c>
      <c r="R220" s="2">
        <v>95</v>
      </c>
      <c r="S220" s="2">
        <v>101.1443</v>
      </c>
      <c r="T220" s="2">
        <v>139</v>
      </c>
      <c r="U220" s="2">
        <v>0.356825</v>
      </c>
      <c r="V220" s="2">
        <v>219</v>
      </c>
      <c r="W220" s="2">
        <v>2008</v>
      </c>
    </row>
    <row r="221" spans="1:23" ht="12.3" x14ac:dyDescent="0.4">
      <c r="A221" s="2" t="s">
        <v>346</v>
      </c>
      <c r="B221" s="2"/>
      <c r="C221" s="2"/>
      <c r="D221" s="2"/>
      <c r="E221" s="2"/>
      <c r="F221" s="2"/>
      <c r="G221" s="2"/>
      <c r="H221" s="2"/>
      <c r="I221" s="2">
        <v>64.926699999999997</v>
      </c>
      <c r="J221" s="2">
        <v>251</v>
      </c>
      <c r="K221" s="2">
        <v>63.967700000000001</v>
      </c>
      <c r="L221" s="2">
        <v>279</v>
      </c>
      <c r="M221" s="2">
        <v>105.61669999999999</v>
      </c>
      <c r="N221" s="2">
        <v>103</v>
      </c>
      <c r="O221" s="2">
        <v>101.9055</v>
      </c>
      <c r="P221" s="2">
        <v>176</v>
      </c>
      <c r="Q221" s="2">
        <v>105.0239</v>
      </c>
      <c r="R221" s="2">
        <v>249</v>
      </c>
      <c r="S221" s="2">
        <v>107.2991</v>
      </c>
      <c r="T221" s="2">
        <v>272</v>
      </c>
      <c r="U221" s="2">
        <v>0.35592400000000002</v>
      </c>
      <c r="V221" s="2">
        <v>220</v>
      </c>
      <c r="W221" s="2">
        <v>2008</v>
      </c>
    </row>
    <row r="222" spans="1:23" ht="12.3" x14ac:dyDescent="0.4">
      <c r="A222" s="2" t="s">
        <v>355</v>
      </c>
      <c r="B222" s="2"/>
      <c r="C222" s="2"/>
      <c r="D222" s="2"/>
      <c r="E222" s="2"/>
      <c r="F222" s="2"/>
      <c r="G222" s="2"/>
      <c r="H222" s="2"/>
      <c r="I222" s="2">
        <v>64.828800000000001</v>
      </c>
      <c r="J222" s="2">
        <v>258</v>
      </c>
      <c r="K222" s="2">
        <v>62.491199999999999</v>
      </c>
      <c r="L222" s="2">
        <v>311</v>
      </c>
      <c r="M222" s="2">
        <v>106.0149</v>
      </c>
      <c r="N222" s="2">
        <v>93</v>
      </c>
      <c r="O222" s="2">
        <v>102.7184</v>
      </c>
      <c r="P222" s="2">
        <v>160</v>
      </c>
      <c r="Q222" s="2">
        <v>104.5826</v>
      </c>
      <c r="R222" s="2">
        <v>229</v>
      </c>
      <c r="S222" s="2">
        <v>108.32559999999999</v>
      </c>
      <c r="T222" s="2">
        <v>294</v>
      </c>
      <c r="U222" s="2">
        <v>0.35177799999999998</v>
      </c>
      <c r="V222" s="2">
        <v>221</v>
      </c>
      <c r="W222" s="2">
        <v>2008</v>
      </c>
    </row>
    <row r="223" spans="1:23" ht="12.3" x14ac:dyDescent="0.4">
      <c r="A223" s="2" t="s">
        <v>237</v>
      </c>
      <c r="B223" s="2"/>
      <c r="C223" s="2"/>
      <c r="D223" s="2"/>
      <c r="E223" s="2"/>
      <c r="F223" s="2"/>
      <c r="G223" s="2"/>
      <c r="H223" s="2"/>
      <c r="I223" s="2">
        <v>67.048199999999994</v>
      </c>
      <c r="J223" s="2">
        <v>169</v>
      </c>
      <c r="K223" s="2">
        <v>66.489099999999993</v>
      </c>
      <c r="L223" s="2">
        <v>179</v>
      </c>
      <c r="M223" s="2">
        <v>100.7197</v>
      </c>
      <c r="N223" s="2">
        <v>188</v>
      </c>
      <c r="O223" s="2">
        <v>101.86620000000001</v>
      </c>
      <c r="P223" s="2">
        <v>177</v>
      </c>
      <c r="Q223" s="2">
        <v>106.8747</v>
      </c>
      <c r="R223" s="2">
        <v>286</v>
      </c>
      <c r="S223" s="2">
        <v>107.4896</v>
      </c>
      <c r="T223" s="2">
        <v>276</v>
      </c>
      <c r="U223" s="2">
        <v>0.35025000000000001</v>
      </c>
      <c r="V223" s="2">
        <v>222</v>
      </c>
      <c r="W223" s="2">
        <v>2008</v>
      </c>
    </row>
    <row r="224" spans="1:23" ht="12.3" x14ac:dyDescent="0.4">
      <c r="A224" s="2" t="s">
        <v>200</v>
      </c>
      <c r="B224" s="2"/>
      <c r="C224" s="2"/>
      <c r="D224" s="2"/>
      <c r="E224" s="2"/>
      <c r="F224" s="2"/>
      <c r="G224" s="2"/>
      <c r="H224" s="2"/>
      <c r="I224" s="2">
        <v>70.057199999999995</v>
      </c>
      <c r="J224" s="2">
        <v>67</v>
      </c>
      <c r="K224" s="2">
        <v>69.835800000000006</v>
      </c>
      <c r="L224" s="2">
        <v>69</v>
      </c>
      <c r="M224" s="2">
        <v>103.2363</v>
      </c>
      <c r="N224" s="2">
        <v>150</v>
      </c>
      <c r="O224" s="2">
        <v>102.40770000000001</v>
      </c>
      <c r="P224" s="2">
        <v>165</v>
      </c>
      <c r="Q224" s="2">
        <v>105.4836</v>
      </c>
      <c r="R224" s="2">
        <v>261</v>
      </c>
      <c r="S224" s="2">
        <v>108.1824</v>
      </c>
      <c r="T224" s="2">
        <v>292</v>
      </c>
      <c r="U224" s="2">
        <v>0.34731899999999999</v>
      </c>
      <c r="V224" s="2">
        <v>223</v>
      </c>
      <c r="W224" s="2">
        <v>2008</v>
      </c>
    </row>
    <row r="225" spans="1:23" ht="12.3" x14ac:dyDescent="0.4">
      <c r="A225" s="2" t="s">
        <v>268</v>
      </c>
      <c r="B225" s="2"/>
      <c r="C225" s="2"/>
      <c r="D225" s="2"/>
      <c r="E225" s="2"/>
      <c r="F225" s="2"/>
      <c r="G225" s="2"/>
      <c r="H225" s="2"/>
      <c r="I225" s="2">
        <v>69.819599999999994</v>
      </c>
      <c r="J225" s="2">
        <v>73</v>
      </c>
      <c r="K225" s="2">
        <v>69.91</v>
      </c>
      <c r="L225" s="2">
        <v>64</v>
      </c>
      <c r="M225" s="2">
        <v>106.87860000000001</v>
      </c>
      <c r="N225" s="2">
        <v>80</v>
      </c>
      <c r="O225" s="2">
        <v>103.5167</v>
      </c>
      <c r="P225" s="2">
        <v>148</v>
      </c>
      <c r="Q225" s="2">
        <v>108.46420000000001</v>
      </c>
      <c r="R225" s="2">
        <v>300</v>
      </c>
      <c r="S225" s="2">
        <v>109.4629</v>
      </c>
      <c r="T225" s="2">
        <v>306</v>
      </c>
      <c r="U225" s="2">
        <v>0.344725</v>
      </c>
      <c r="V225" s="2">
        <v>224</v>
      </c>
      <c r="W225" s="2">
        <v>2008</v>
      </c>
    </row>
    <row r="226" spans="1:23" ht="12.3" x14ac:dyDescent="0.4">
      <c r="A226" s="2" t="s">
        <v>186</v>
      </c>
      <c r="B226" s="2"/>
      <c r="C226" s="2"/>
      <c r="D226" s="2"/>
      <c r="E226" s="2"/>
      <c r="F226" s="2"/>
      <c r="G226" s="2"/>
      <c r="H226" s="2"/>
      <c r="I226" s="2">
        <v>65.673699999999997</v>
      </c>
      <c r="J226" s="2">
        <v>214</v>
      </c>
      <c r="K226" s="2">
        <v>66.185900000000004</v>
      </c>
      <c r="L226" s="2">
        <v>191</v>
      </c>
      <c r="M226" s="2">
        <v>90.421000000000006</v>
      </c>
      <c r="N226" s="2">
        <v>327</v>
      </c>
      <c r="O226" s="2">
        <v>92.890500000000003</v>
      </c>
      <c r="P226" s="2">
        <v>310</v>
      </c>
      <c r="Q226" s="2">
        <v>101.7488</v>
      </c>
      <c r="R226" s="2">
        <v>163</v>
      </c>
      <c r="S226" s="2">
        <v>98.522599999999997</v>
      </c>
      <c r="T226" s="2">
        <v>93</v>
      </c>
      <c r="U226" s="2">
        <v>0.33694400000000002</v>
      </c>
      <c r="V226" s="2">
        <v>225</v>
      </c>
      <c r="W226" s="2">
        <v>2008</v>
      </c>
    </row>
    <row r="227" spans="1:23" ht="12.3" x14ac:dyDescent="0.4">
      <c r="A227" s="2" t="s">
        <v>241</v>
      </c>
      <c r="B227" s="2"/>
      <c r="C227" s="2"/>
      <c r="D227" s="2"/>
      <c r="E227" s="2"/>
      <c r="F227" s="2"/>
      <c r="G227" s="2"/>
      <c r="H227" s="2"/>
      <c r="I227" s="2">
        <v>68.875</v>
      </c>
      <c r="J227" s="2">
        <v>102</v>
      </c>
      <c r="K227" s="2">
        <v>67.780100000000004</v>
      </c>
      <c r="L227" s="2">
        <v>137</v>
      </c>
      <c r="M227" s="2">
        <v>94.956699999999998</v>
      </c>
      <c r="N227" s="2">
        <v>279</v>
      </c>
      <c r="O227" s="2">
        <v>93.73</v>
      </c>
      <c r="P227" s="2">
        <v>299</v>
      </c>
      <c r="Q227" s="2">
        <v>99.626400000000004</v>
      </c>
      <c r="R227" s="2">
        <v>107</v>
      </c>
      <c r="S227" s="2">
        <v>99.4328</v>
      </c>
      <c r="T227" s="2">
        <v>108</v>
      </c>
      <c r="U227" s="2">
        <v>0.33643200000000001</v>
      </c>
      <c r="V227" s="2">
        <v>226</v>
      </c>
      <c r="W227" s="2">
        <v>2008</v>
      </c>
    </row>
    <row r="228" spans="1:23" ht="12.3" x14ac:dyDescent="0.4">
      <c r="A228" s="2" t="s">
        <v>79</v>
      </c>
      <c r="B228" s="2"/>
      <c r="C228" s="2"/>
      <c r="D228" s="2"/>
      <c r="E228" s="2"/>
      <c r="F228" s="2"/>
      <c r="G228" s="2"/>
      <c r="H228" s="2"/>
      <c r="I228" s="2">
        <v>74.9251</v>
      </c>
      <c r="J228" s="2">
        <v>7</v>
      </c>
      <c r="K228" s="2">
        <v>74.389799999999994</v>
      </c>
      <c r="L228" s="2">
        <v>8</v>
      </c>
      <c r="M228" s="2">
        <v>95.987399999999994</v>
      </c>
      <c r="N228" s="2">
        <v>270</v>
      </c>
      <c r="O228" s="2">
        <v>98.259799999999998</v>
      </c>
      <c r="P228" s="2">
        <v>227</v>
      </c>
      <c r="Q228" s="2">
        <v>105.42059999999999</v>
      </c>
      <c r="R228" s="2">
        <v>258</v>
      </c>
      <c r="S228" s="2">
        <v>104.38800000000001</v>
      </c>
      <c r="T228" s="2">
        <v>211</v>
      </c>
      <c r="U228" s="2">
        <v>0.332756</v>
      </c>
      <c r="V228" s="2">
        <v>227</v>
      </c>
      <c r="W228" s="2">
        <v>2008</v>
      </c>
    </row>
    <row r="229" spans="1:23" ht="12.3" x14ac:dyDescent="0.4">
      <c r="A229" s="2" t="s">
        <v>259</v>
      </c>
      <c r="B229" s="2"/>
      <c r="C229" s="2"/>
      <c r="D229" s="2"/>
      <c r="E229" s="2"/>
      <c r="F229" s="2"/>
      <c r="G229" s="2"/>
      <c r="H229" s="2"/>
      <c r="I229" s="2">
        <v>74.826400000000007</v>
      </c>
      <c r="J229" s="2">
        <v>8</v>
      </c>
      <c r="K229" s="2">
        <v>73.526200000000003</v>
      </c>
      <c r="L229" s="2">
        <v>11</v>
      </c>
      <c r="M229" s="2">
        <v>94.761200000000002</v>
      </c>
      <c r="N229" s="2">
        <v>285</v>
      </c>
      <c r="O229" s="2">
        <v>99.072500000000005</v>
      </c>
      <c r="P229" s="2">
        <v>215</v>
      </c>
      <c r="Q229" s="2">
        <v>104.735</v>
      </c>
      <c r="R229" s="2">
        <v>236</v>
      </c>
      <c r="S229" s="2">
        <v>105.2547</v>
      </c>
      <c r="T229" s="2">
        <v>233</v>
      </c>
      <c r="U229" s="2">
        <v>0.33267400000000003</v>
      </c>
      <c r="V229" s="2">
        <v>228</v>
      </c>
      <c r="W229" s="2">
        <v>2008</v>
      </c>
    </row>
    <row r="230" spans="1:23" ht="12.3" x14ac:dyDescent="0.4">
      <c r="A230" s="2" t="s">
        <v>206</v>
      </c>
      <c r="B230" s="2"/>
      <c r="C230" s="2"/>
      <c r="D230" s="2"/>
      <c r="E230" s="2"/>
      <c r="F230" s="2"/>
      <c r="G230" s="2"/>
      <c r="H230" s="2"/>
      <c r="I230" s="2">
        <v>66.418899999999994</v>
      </c>
      <c r="J230" s="2">
        <v>188</v>
      </c>
      <c r="K230" s="2">
        <v>66.994900000000001</v>
      </c>
      <c r="L230" s="2">
        <v>159</v>
      </c>
      <c r="M230" s="2">
        <v>100.52979999999999</v>
      </c>
      <c r="N230" s="2">
        <v>195</v>
      </c>
      <c r="O230" s="2">
        <v>102.4727</v>
      </c>
      <c r="P230" s="2">
        <v>164</v>
      </c>
      <c r="Q230" s="2">
        <v>109.4076</v>
      </c>
      <c r="R230" s="2">
        <v>313</v>
      </c>
      <c r="S230" s="2">
        <v>108.9012</v>
      </c>
      <c r="T230" s="2">
        <v>300</v>
      </c>
      <c r="U230" s="2">
        <v>0.33187499999999998</v>
      </c>
      <c r="V230" s="2">
        <v>229</v>
      </c>
      <c r="W230" s="2">
        <v>2008</v>
      </c>
    </row>
    <row r="231" spans="1:23" ht="12.3" x14ac:dyDescent="0.4">
      <c r="A231" s="2" t="s">
        <v>295</v>
      </c>
      <c r="B231" s="2"/>
      <c r="C231" s="2"/>
      <c r="D231" s="2"/>
      <c r="E231" s="2"/>
      <c r="F231" s="2"/>
      <c r="G231" s="2"/>
      <c r="H231" s="2"/>
      <c r="I231" s="2">
        <v>68.704300000000003</v>
      </c>
      <c r="J231" s="2">
        <v>109</v>
      </c>
      <c r="K231" s="2">
        <v>68.545000000000002</v>
      </c>
      <c r="L231" s="2">
        <v>110</v>
      </c>
      <c r="M231" s="2">
        <v>102.4794</v>
      </c>
      <c r="N231" s="2">
        <v>161</v>
      </c>
      <c r="O231" s="2">
        <v>100.7784</v>
      </c>
      <c r="P231" s="2">
        <v>187</v>
      </c>
      <c r="Q231" s="2">
        <v>106.7525</v>
      </c>
      <c r="R231" s="2">
        <v>284</v>
      </c>
      <c r="S231" s="2">
        <v>107.346</v>
      </c>
      <c r="T231" s="2">
        <v>273</v>
      </c>
      <c r="U231" s="2">
        <v>0.32606400000000002</v>
      </c>
      <c r="V231" s="2">
        <v>230</v>
      </c>
      <c r="W231" s="2">
        <v>2008</v>
      </c>
    </row>
    <row r="232" spans="1:23" ht="12.3" x14ac:dyDescent="0.4">
      <c r="A232" s="2" t="s">
        <v>107</v>
      </c>
      <c r="B232" s="2"/>
      <c r="C232" s="2"/>
      <c r="D232" s="2"/>
      <c r="E232" s="2"/>
      <c r="F232" s="2"/>
      <c r="G232" s="2"/>
      <c r="H232" s="2"/>
      <c r="I232" s="2">
        <v>67.7256</v>
      </c>
      <c r="J232" s="2">
        <v>148</v>
      </c>
      <c r="K232" s="2">
        <v>66.593999999999994</v>
      </c>
      <c r="L232" s="2">
        <v>174</v>
      </c>
      <c r="M232" s="2">
        <v>93.513599999999997</v>
      </c>
      <c r="N232" s="2">
        <v>299</v>
      </c>
      <c r="O232" s="2">
        <v>96.238699999999994</v>
      </c>
      <c r="P232" s="2">
        <v>262</v>
      </c>
      <c r="Q232" s="2">
        <v>100.3366</v>
      </c>
      <c r="R232" s="2">
        <v>123</v>
      </c>
      <c r="S232" s="2">
        <v>102.53230000000001</v>
      </c>
      <c r="T232" s="2">
        <v>175</v>
      </c>
      <c r="U232" s="2">
        <v>0.32552799999999998</v>
      </c>
      <c r="V232" s="2">
        <v>231</v>
      </c>
      <c r="W232" s="2">
        <v>2008</v>
      </c>
    </row>
    <row r="233" spans="1:23" ht="12.3" x14ac:dyDescent="0.4">
      <c r="A233" s="2" t="s">
        <v>286</v>
      </c>
      <c r="B233" s="2"/>
      <c r="C233" s="2"/>
      <c r="D233" s="2"/>
      <c r="E233" s="2"/>
      <c r="F233" s="2"/>
      <c r="G233" s="2"/>
      <c r="H233" s="2"/>
      <c r="I233" s="2">
        <v>56.878</v>
      </c>
      <c r="J233" s="2">
        <v>339</v>
      </c>
      <c r="K233" s="2">
        <v>56.832799999999999</v>
      </c>
      <c r="L233" s="2">
        <v>340</v>
      </c>
      <c r="M233" s="2">
        <v>97.263000000000005</v>
      </c>
      <c r="N233" s="2">
        <v>251</v>
      </c>
      <c r="O233" s="2">
        <v>97.522000000000006</v>
      </c>
      <c r="P233" s="2">
        <v>240</v>
      </c>
      <c r="Q233" s="2">
        <v>104.6156</v>
      </c>
      <c r="R233" s="2">
        <v>230</v>
      </c>
      <c r="S233" s="2">
        <v>103.91160000000001</v>
      </c>
      <c r="T233" s="2">
        <v>203</v>
      </c>
      <c r="U233" s="2">
        <v>0.32523299999999999</v>
      </c>
      <c r="V233" s="2">
        <v>232</v>
      </c>
      <c r="W233" s="2">
        <v>2008</v>
      </c>
    </row>
    <row r="234" spans="1:23" ht="12.3" x14ac:dyDescent="0.4">
      <c r="A234" s="2" t="s">
        <v>317</v>
      </c>
      <c r="B234" s="2"/>
      <c r="C234" s="2"/>
      <c r="D234" s="2"/>
      <c r="E234" s="2"/>
      <c r="F234" s="2"/>
      <c r="G234" s="2"/>
      <c r="H234" s="2"/>
      <c r="I234" s="2">
        <v>67.787099999999995</v>
      </c>
      <c r="J234" s="2">
        <v>143</v>
      </c>
      <c r="K234" s="2">
        <v>69.143500000000003</v>
      </c>
      <c r="L234" s="2">
        <v>86</v>
      </c>
      <c r="M234" s="2">
        <v>93.611500000000007</v>
      </c>
      <c r="N234" s="2">
        <v>298</v>
      </c>
      <c r="O234" s="2">
        <v>96.155500000000004</v>
      </c>
      <c r="P234" s="2">
        <v>265</v>
      </c>
      <c r="Q234" s="2">
        <v>104.3845</v>
      </c>
      <c r="R234" s="2">
        <v>223</v>
      </c>
      <c r="S234" s="2">
        <v>102.5048</v>
      </c>
      <c r="T234" s="2">
        <v>173</v>
      </c>
      <c r="U234" s="2">
        <v>0.32402399999999998</v>
      </c>
      <c r="V234" s="2">
        <v>233</v>
      </c>
      <c r="W234" s="2">
        <v>2008</v>
      </c>
    </row>
    <row r="235" spans="1:23" ht="12.3" x14ac:dyDescent="0.4">
      <c r="A235" s="2" t="s">
        <v>347</v>
      </c>
      <c r="B235" s="2"/>
      <c r="C235" s="2"/>
      <c r="D235" s="2"/>
      <c r="E235" s="2"/>
      <c r="F235" s="2"/>
      <c r="G235" s="2"/>
      <c r="H235" s="2"/>
      <c r="I235" s="2">
        <v>68.045100000000005</v>
      </c>
      <c r="J235" s="2">
        <v>131</v>
      </c>
      <c r="K235" s="2">
        <v>66.495099999999994</v>
      </c>
      <c r="L235" s="2">
        <v>178</v>
      </c>
      <c r="M235" s="2">
        <v>91.778400000000005</v>
      </c>
      <c r="N235" s="2">
        <v>316</v>
      </c>
      <c r="O235" s="2">
        <v>93.436800000000005</v>
      </c>
      <c r="P235" s="2">
        <v>303</v>
      </c>
      <c r="Q235" s="2">
        <v>101.0711</v>
      </c>
      <c r="R235" s="2">
        <v>141</v>
      </c>
      <c r="S235" s="2">
        <v>99.610900000000001</v>
      </c>
      <c r="T235" s="2">
        <v>110</v>
      </c>
      <c r="U235" s="2">
        <v>0.32391300000000001</v>
      </c>
      <c r="V235" s="2">
        <v>234</v>
      </c>
      <c r="W235" s="2">
        <v>2008</v>
      </c>
    </row>
    <row r="236" spans="1:23" ht="12.3" x14ac:dyDescent="0.4">
      <c r="A236" s="2" t="s">
        <v>202</v>
      </c>
      <c r="B236" s="2"/>
      <c r="C236" s="2"/>
      <c r="D236" s="2"/>
      <c r="E236" s="2"/>
      <c r="F236" s="2"/>
      <c r="G236" s="2"/>
      <c r="H236" s="2"/>
      <c r="I236" s="2">
        <v>66.649500000000003</v>
      </c>
      <c r="J236" s="2">
        <v>185</v>
      </c>
      <c r="K236" s="2">
        <v>64.464500000000001</v>
      </c>
      <c r="L236" s="2">
        <v>266</v>
      </c>
      <c r="M236" s="2">
        <v>107.1904</v>
      </c>
      <c r="N236" s="2">
        <v>76</v>
      </c>
      <c r="O236" s="2">
        <v>104.5205</v>
      </c>
      <c r="P236" s="2">
        <v>126</v>
      </c>
      <c r="Q236" s="2">
        <v>106.9618</v>
      </c>
      <c r="R236" s="2">
        <v>287</v>
      </c>
      <c r="S236" s="2">
        <v>111.578</v>
      </c>
      <c r="T236" s="2">
        <v>325</v>
      </c>
      <c r="U236" s="2">
        <v>0.32051400000000002</v>
      </c>
      <c r="V236" s="2">
        <v>235</v>
      </c>
      <c r="W236" s="2">
        <v>2008</v>
      </c>
    </row>
    <row r="237" spans="1:23" ht="12.3" x14ac:dyDescent="0.4">
      <c r="A237" s="2" t="s">
        <v>274</v>
      </c>
      <c r="B237" s="2"/>
      <c r="C237" s="2"/>
      <c r="D237" s="2"/>
      <c r="E237" s="2"/>
      <c r="F237" s="2"/>
      <c r="G237" s="2"/>
      <c r="H237" s="2"/>
      <c r="I237" s="2">
        <v>68.481700000000004</v>
      </c>
      <c r="J237" s="2">
        <v>116</v>
      </c>
      <c r="K237" s="2">
        <v>67.935500000000005</v>
      </c>
      <c r="L237" s="2">
        <v>131</v>
      </c>
      <c r="M237" s="2">
        <v>105.38</v>
      </c>
      <c r="N237" s="2">
        <v>108</v>
      </c>
      <c r="O237" s="2">
        <v>104.2876</v>
      </c>
      <c r="P237" s="2">
        <v>135</v>
      </c>
      <c r="Q237" s="2">
        <v>106.45959999999999</v>
      </c>
      <c r="R237" s="2">
        <v>281</v>
      </c>
      <c r="S237" s="2">
        <v>111.3383</v>
      </c>
      <c r="T237" s="2">
        <v>323</v>
      </c>
      <c r="U237" s="2">
        <v>0.32031199999999999</v>
      </c>
      <c r="V237" s="2">
        <v>236</v>
      </c>
      <c r="W237" s="2">
        <v>2008</v>
      </c>
    </row>
    <row r="238" spans="1:23" ht="12.3" x14ac:dyDescent="0.4">
      <c r="A238" s="2" t="s">
        <v>356</v>
      </c>
      <c r="B238" s="2"/>
      <c r="C238" s="2"/>
      <c r="D238" s="2"/>
      <c r="E238" s="2"/>
      <c r="F238" s="2"/>
      <c r="G238" s="2"/>
      <c r="H238" s="2"/>
      <c r="I238" s="2">
        <v>71.638199999999998</v>
      </c>
      <c r="J238" s="2">
        <v>35</v>
      </c>
      <c r="K238" s="2">
        <v>71.057199999999995</v>
      </c>
      <c r="L238" s="2">
        <v>38</v>
      </c>
      <c r="M238" s="2">
        <v>103.279</v>
      </c>
      <c r="N238" s="2">
        <v>146</v>
      </c>
      <c r="O238" s="2">
        <v>103.86239999999999</v>
      </c>
      <c r="P238" s="2">
        <v>144</v>
      </c>
      <c r="Q238" s="2">
        <v>110.1785</v>
      </c>
      <c r="R238" s="2">
        <v>322</v>
      </c>
      <c r="S238" s="2">
        <v>111.06059999999999</v>
      </c>
      <c r="T238" s="2">
        <v>321</v>
      </c>
      <c r="U238" s="2">
        <v>0.31634899999999999</v>
      </c>
      <c r="V238" s="2">
        <v>237</v>
      </c>
      <c r="W238" s="2">
        <v>2008</v>
      </c>
    </row>
    <row r="239" spans="1:23" ht="12.3" x14ac:dyDescent="0.4">
      <c r="A239" s="2" t="s">
        <v>293</v>
      </c>
      <c r="B239" s="2"/>
      <c r="C239" s="2"/>
      <c r="D239" s="2"/>
      <c r="E239" s="2"/>
      <c r="F239" s="2"/>
      <c r="G239" s="2"/>
      <c r="H239" s="2"/>
      <c r="I239" s="2">
        <v>66.355000000000004</v>
      </c>
      <c r="J239" s="2">
        <v>191</v>
      </c>
      <c r="K239" s="2">
        <v>67.337100000000007</v>
      </c>
      <c r="L239" s="2">
        <v>146</v>
      </c>
      <c r="M239" s="2">
        <v>97.582700000000003</v>
      </c>
      <c r="N239" s="2">
        <v>242</v>
      </c>
      <c r="O239" s="2">
        <v>98.209299999999999</v>
      </c>
      <c r="P239" s="2">
        <v>231</v>
      </c>
      <c r="Q239" s="2">
        <v>103.2192</v>
      </c>
      <c r="R239" s="2">
        <v>201</v>
      </c>
      <c r="S239" s="2">
        <v>105.0275</v>
      </c>
      <c r="T239" s="2">
        <v>227</v>
      </c>
      <c r="U239" s="2">
        <v>0.31607000000000002</v>
      </c>
      <c r="V239" s="2">
        <v>238</v>
      </c>
      <c r="W239" s="2">
        <v>2008</v>
      </c>
    </row>
    <row r="240" spans="1:23" ht="12.3" x14ac:dyDescent="0.4">
      <c r="A240" s="2" t="s">
        <v>160</v>
      </c>
      <c r="B240" s="2"/>
      <c r="C240" s="2"/>
      <c r="D240" s="2"/>
      <c r="E240" s="2"/>
      <c r="F240" s="2"/>
      <c r="G240" s="2"/>
      <c r="H240" s="2"/>
      <c r="I240" s="2">
        <v>66.563699999999997</v>
      </c>
      <c r="J240" s="2">
        <v>186</v>
      </c>
      <c r="K240" s="2">
        <v>66.751800000000003</v>
      </c>
      <c r="L240" s="2">
        <v>167</v>
      </c>
      <c r="M240" s="2">
        <v>100.4576</v>
      </c>
      <c r="N240" s="2">
        <v>197</v>
      </c>
      <c r="O240" s="2">
        <v>98.7941</v>
      </c>
      <c r="P240" s="2">
        <v>218</v>
      </c>
      <c r="Q240" s="2">
        <v>104.92700000000001</v>
      </c>
      <c r="R240" s="2">
        <v>245</v>
      </c>
      <c r="S240" s="2">
        <v>105.7221</v>
      </c>
      <c r="T240" s="2">
        <v>240</v>
      </c>
      <c r="U240" s="2">
        <v>0.314442</v>
      </c>
      <c r="V240" s="2">
        <v>239</v>
      </c>
      <c r="W240" s="2">
        <v>2008</v>
      </c>
    </row>
    <row r="241" spans="1:23" ht="12.3" x14ac:dyDescent="0.4">
      <c r="A241" s="2" t="s">
        <v>326</v>
      </c>
      <c r="B241" s="2"/>
      <c r="C241" s="2"/>
      <c r="D241" s="2"/>
      <c r="E241" s="2"/>
      <c r="F241" s="2"/>
      <c r="G241" s="2"/>
      <c r="H241" s="2"/>
      <c r="I241" s="2">
        <v>65.003200000000007</v>
      </c>
      <c r="J241" s="2">
        <v>249</v>
      </c>
      <c r="K241" s="2">
        <v>66.029700000000005</v>
      </c>
      <c r="L241" s="2">
        <v>199</v>
      </c>
      <c r="M241" s="2">
        <v>97.069699999999997</v>
      </c>
      <c r="N241" s="2">
        <v>253</v>
      </c>
      <c r="O241" s="2">
        <v>94.724900000000005</v>
      </c>
      <c r="P241" s="2">
        <v>287</v>
      </c>
      <c r="Q241" s="2">
        <v>98.997699999999995</v>
      </c>
      <c r="R241" s="2">
        <v>93</v>
      </c>
      <c r="S241" s="2">
        <v>101.4181</v>
      </c>
      <c r="T241" s="2">
        <v>147</v>
      </c>
      <c r="U241" s="2">
        <v>0.31320799999999999</v>
      </c>
      <c r="V241" s="2">
        <v>240</v>
      </c>
      <c r="W241" s="2">
        <v>2008</v>
      </c>
    </row>
    <row r="242" spans="1:23" ht="12.3" x14ac:dyDescent="0.4">
      <c r="A242" s="2" t="s">
        <v>101</v>
      </c>
      <c r="B242" s="2"/>
      <c r="C242" s="2"/>
      <c r="D242" s="2"/>
      <c r="E242" s="2"/>
      <c r="F242" s="2"/>
      <c r="G242" s="2"/>
      <c r="H242" s="2"/>
      <c r="I242" s="2">
        <v>61.8245</v>
      </c>
      <c r="J242" s="2">
        <v>315</v>
      </c>
      <c r="K242" s="2">
        <v>62.631999999999998</v>
      </c>
      <c r="L242" s="2">
        <v>307</v>
      </c>
      <c r="M242" s="2">
        <v>92.5655</v>
      </c>
      <c r="N242" s="2">
        <v>309</v>
      </c>
      <c r="O242" s="2">
        <v>94.546199999999999</v>
      </c>
      <c r="P242" s="2">
        <v>288</v>
      </c>
      <c r="Q242" s="2">
        <v>102.5605</v>
      </c>
      <c r="R242" s="2">
        <v>184</v>
      </c>
      <c r="S242" s="2">
        <v>101.2893</v>
      </c>
      <c r="T242" s="2">
        <v>142</v>
      </c>
      <c r="U242" s="2">
        <v>0.31168400000000002</v>
      </c>
      <c r="V242" s="2">
        <v>241</v>
      </c>
      <c r="W242" s="2">
        <v>2008</v>
      </c>
    </row>
    <row r="243" spans="1:23" ht="12.3" x14ac:dyDescent="0.4">
      <c r="A243" s="2" t="s">
        <v>139</v>
      </c>
      <c r="B243" s="2"/>
      <c r="C243" s="2"/>
      <c r="D243" s="2"/>
      <c r="E243" s="2"/>
      <c r="F243" s="2"/>
      <c r="G243" s="2"/>
      <c r="H243" s="2"/>
      <c r="I243" s="2">
        <v>67.962699999999998</v>
      </c>
      <c r="J243" s="2">
        <v>135</v>
      </c>
      <c r="K243" s="2">
        <v>67.569100000000006</v>
      </c>
      <c r="L243" s="2">
        <v>142</v>
      </c>
      <c r="M243" s="2">
        <v>101.7381</v>
      </c>
      <c r="N243" s="2">
        <v>170</v>
      </c>
      <c r="O243" s="2">
        <v>101.3888</v>
      </c>
      <c r="P243" s="2">
        <v>180</v>
      </c>
      <c r="Q243" s="2">
        <v>104.29949999999999</v>
      </c>
      <c r="R243" s="2">
        <v>220</v>
      </c>
      <c r="S243" s="2">
        <v>108.6759</v>
      </c>
      <c r="T243" s="2">
        <v>297</v>
      </c>
      <c r="U243" s="2">
        <v>0.31041299999999999</v>
      </c>
      <c r="V243" s="2">
        <v>242</v>
      </c>
      <c r="W243" s="2">
        <v>2008</v>
      </c>
    </row>
    <row r="244" spans="1:23" ht="12.3" x14ac:dyDescent="0.4">
      <c r="A244" s="2" t="s">
        <v>280</v>
      </c>
      <c r="B244" s="2"/>
      <c r="C244" s="2"/>
      <c r="D244" s="2"/>
      <c r="E244" s="2"/>
      <c r="F244" s="2"/>
      <c r="G244" s="2"/>
      <c r="H244" s="2"/>
      <c r="I244" s="2">
        <v>69.939800000000005</v>
      </c>
      <c r="J244" s="2">
        <v>71</v>
      </c>
      <c r="K244" s="2">
        <v>69.840100000000007</v>
      </c>
      <c r="L244" s="2">
        <v>68</v>
      </c>
      <c r="M244" s="2">
        <v>106.8764</v>
      </c>
      <c r="N244" s="2">
        <v>81</v>
      </c>
      <c r="O244" s="2">
        <v>105.2608</v>
      </c>
      <c r="P244" s="2">
        <v>115</v>
      </c>
      <c r="Q244" s="2">
        <v>109.0421</v>
      </c>
      <c r="R244" s="2">
        <v>310</v>
      </c>
      <c r="S244" s="2">
        <v>112.92149999999999</v>
      </c>
      <c r="T244" s="2">
        <v>333</v>
      </c>
      <c r="U244" s="2">
        <v>0.30833899999999997</v>
      </c>
      <c r="V244" s="2">
        <v>243</v>
      </c>
      <c r="W244" s="2">
        <v>2008</v>
      </c>
    </row>
    <row r="245" spans="1:23" ht="12.3" x14ac:dyDescent="0.4">
      <c r="A245" s="2" t="s">
        <v>263</v>
      </c>
      <c r="B245" s="2"/>
      <c r="C245" s="2"/>
      <c r="D245" s="2"/>
      <c r="E245" s="2"/>
      <c r="F245" s="2"/>
      <c r="G245" s="2"/>
      <c r="H245" s="2"/>
      <c r="I245" s="2">
        <v>78.812799999999996</v>
      </c>
      <c r="J245" s="2">
        <v>2</v>
      </c>
      <c r="K245" s="2">
        <v>79.743399999999994</v>
      </c>
      <c r="L245" s="2">
        <v>2</v>
      </c>
      <c r="M245" s="2">
        <v>105.6142</v>
      </c>
      <c r="N245" s="2">
        <v>104</v>
      </c>
      <c r="O245" s="2">
        <v>104.9448</v>
      </c>
      <c r="P245" s="2">
        <v>117</v>
      </c>
      <c r="Q245" s="2">
        <v>108.7097</v>
      </c>
      <c r="R245" s="2">
        <v>304</v>
      </c>
      <c r="S245" s="2">
        <v>112.5902</v>
      </c>
      <c r="T245" s="2">
        <v>331</v>
      </c>
      <c r="U245" s="2">
        <v>0.30817099999999997</v>
      </c>
      <c r="V245" s="2">
        <v>244</v>
      </c>
      <c r="W245" s="2">
        <v>2008</v>
      </c>
    </row>
    <row r="246" spans="1:23" ht="12.3" x14ac:dyDescent="0.4">
      <c r="A246" s="2" t="s">
        <v>289</v>
      </c>
      <c r="B246" s="2"/>
      <c r="C246" s="2"/>
      <c r="D246" s="2"/>
      <c r="E246" s="2"/>
      <c r="F246" s="2"/>
      <c r="G246" s="2"/>
      <c r="H246" s="2"/>
      <c r="I246" s="2">
        <v>63.748100000000001</v>
      </c>
      <c r="J246" s="2">
        <v>289</v>
      </c>
      <c r="K246" s="2">
        <v>63.6768</v>
      </c>
      <c r="L246" s="2">
        <v>287</v>
      </c>
      <c r="M246" s="2">
        <v>94.893199999999993</v>
      </c>
      <c r="N246" s="2">
        <v>281</v>
      </c>
      <c r="O246" s="2">
        <v>94.806700000000006</v>
      </c>
      <c r="P246" s="2">
        <v>284</v>
      </c>
      <c r="Q246" s="2">
        <v>100.3656</v>
      </c>
      <c r="R246" s="2">
        <v>124</v>
      </c>
      <c r="S246" s="2">
        <v>101.8275</v>
      </c>
      <c r="T246" s="2">
        <v>158</v>
      </c>
      <c r="U246" s="2">
        <v>0.30543100000000001</v>
      </c>
      <c r="V246" s="2">
        <v>245</v>
      </c>
      <c r="W246" s="2">
        <v>2008</v>
      </c>
    </row>
    <row r="247" spans="1:23" ht="12.3" x14ac:dyDescent="0.4">
      <c r="A247" s="2" t="s">
        <v>66</v>
      </c>
      <c r="B247" s="2"/>
      <c r="C247" s="2"/>
      <c r="D247" s="2"/>
      <c r="E247" s="2"/>
      <c r="F247" s="2"/>
      <c r="G247" s="2"/>
      <c r="H247" s="2"/>
      <c r="I247" s="2">
        <v>68.616399999999999</v>
      </c>
      <c r="J247" s="2">
        <v>111</v>
      </c>
      <c r="K247" s="2">
        <v>68.325599999999994</v>
      </c>
      <c r="L247" s="2">
        <v>114</v>
      </c>
      <c r="M247" s="2">
        <v>102.32259999999999</v>
      </c>
      <c r="N247" s="2">
        <v>162</v>
      </c>
      <c r="O247" s="2">
        <v>100.15130000000001</v>
      </c>
      <c r="P247" s="2">
        <v>197</v>
      </c>
      <c r="Q247" s="2">
        <v>106.3783</v>
      </c>
      <c r="R247" s="2">
        <v>280</v>
      </c>
      <c r="S247" s="2">
        <v>107.6872</v>
      </c>
      <c r="T247" s="2">
        <v>281</v>
      </c>
      <c r="U247" s="2">
        <v>0.30273600000000001</v>
      </c>
      <c r="V247" s="2">
        <v>246</v>
      </c>
      <c r="W247" s="2">
        <v>2008</v>
      </c>
    </row>
    <row r="248" spans="1:23" ht="12.3" x14ac:dyDescent="0.4">
      <c r="A248" s="2" t="s">
        <v>114</v>
      </c>
      <c r="B248" s="2"/>
      <c r="C248" s="2"/>
      <c r="D248" s="2"/>
      <c r="E248" s="2"/>
      <c r="F248" s="2"/>
      <c r="G248" s="2"/>
      <c r="H248" s="2"/>
      <c r="I248" s="2">
        <v>71.890699999999995</v>
      </c>
      <c r="J248" s="2">
        <v>29</v>
      </c>
      <c r="K248" s="2">
        <v>71.591800000000006</v>
      </c>
      <c r="L248" s="2">
        <v>28</v>
      </c>
      <c r="M248" s="2">
        <v>101.80500000000001</v>
      </c>
      <c r="N248" s="2">
        <v>167</v>
      </c>
      <c r="O248" s="2">
        <v>99.075599999999994</v>
      </c>
      <c r="P248" s="2">
        <v>214</v>
      </c>
      <c r="Q248" s="2">
        <v>103.8832</v>
      </c>
      <c r="R248" s="2">
        <v>211</v>
      </c>
      <c r="S248" s="2">
        <v>106.62439999999999</v>
      </c>
      <c r="T248" s="2">
        <v>257</v>
      </c>
      <c r="U248" s="2">
        <v>0.30060199999999998</v>
      </c>
      <c r="V248" s="2">
        <v>247</v>
      </c>
      <c r="W248" s="2">
        <v>2008</v>
      </c>
    </row>
    <row r="249" spans="1:23" ht="12.3" x14ac:dyDescent="0.4">
      <c r="A249" s="2" t="s">
        <v>358</v>
      </c>
      <c r="B249" s="2"/>
      <c r="C249" s="2"/>
      <c r="D249" s="2"/>
      <c r="E249" s="2"/>
      <c r="F249" s="2"/>
      <c r="G249" s="2"/>
      <c r="H249" s="2"/>
      <c r="I249" s="2">
        <v>67.965100000000007</v>
      </c>
      <c r="J249" s="2">
        <v>134</v>
      </c>
      <c r="K249" s="2">
        <v>69.805800000000005</v>
      </c>
      <c r="L249" s="2">
        <v>70</v>
      </c>
      <c r="M249" s="2">
        <v>99.822299999999998</v>
      </c>
      <c r="N249" s="2">
        <v>210</v>
      </c>
      <c r="O249" s="2">
        <v>98.231800000000007</v>
      </c>
      <c r="P249" s="2">
        <v>230</v>
      </c>
      <c r="Q249" s="2">
        <v>103.3045</v>
      </c>
      <c r="R249" s="2">
        <v>203</v>
      </c>
      <c r="S249" s="2">
        <v>105.8301</v>
      </c>
      <c r="T249" s="2">
        <v>241</v>
      </c>
      <c r="U249" s="2">
        <v>0.29800599999999999</v>
      </c>
      <c r="V249" s="2">
        <v>248</v>
      </c>
      <c r="W249" s="2">
        <v>2008</v>
      </c>
    </row>
    <row r="250" spans="1:23" ht="12.3" x14ac:dyDescent="0.4">
      <c r="A250" s="2" t="s">
        <v>152</v>
      </c>
      <c r="B250" s="2"/>
      <c r="C250" s="2"/>
      <c r="D250" s="2"/>
      <c r="E250" s="2"/>
      <c r="F250" s="2"/>
      <c r="G250" s="2"/>
      <c r="H250" s="2"/>
      <c r="I250" s="2">
        <v>63.091000000000001</v>
      </c>
      <c r="J250" s="2">
        <v>297</v>
      </c>
      <c r="K250" s="2">
        <v>63.490699999999997</v>
      </c>
      <c r="L250" s="2">
        <v>294</v>
      </c>
      <c r="M250" s="2">
        <v>96.889399999999995</v>
      </c>
      <c r="N250" s="2">
        <v>256</v>
      </c>
      <c r="O250" s="2">
        <v>97.363</v>
      </c>
      <c r="P250" s="2">
        <v>244</v>
      </c>
      <c r="Q250" s="2">
        <v>104.0883</v>
      </c>
      <c r="R250" s="2">
        <v>214</v>
      </c>
      <c r="S250" s="2">
        <v>104.959</v>
      </c>
      <c r="T250" s="2">
        <v>225</v>
      </c>
      <c r="U250" s="2">
        <v>0.29652099999999998</v>
      </c>
      <c r="V250" s="2">
        <v>249</v>
      </c>
      <c r="W250" s="2">
        <v>2008</v>
      </c>
    </row>
    <row r="251" spans="1:23" ht="12.3" x14ac:dyDescent="0.4">
      <c r="A251" s="2" t="s">
        <v>246</v>
      </c>
      <c r="B251" s="2"/>
      <c r="C251" s="2"/>
      <c r="D251" s="2"/>
      <c r="E251" s="2"/>
      <c r="F251" s="2"/>
      <c r="G251" s="2"/>
      <c r="H251" s="2"/>
      <c r="I251" s="2">
        <v>65.050399999999996</v>
      </c>
      <c r="J251" s="2">
        <v>244</v>
      </c>
      <c r="K251" s="2">
        <v>64.557000000000002</v>
      </c>
      <c r="L251" s="2">
        <v>261</v>
      </c>
      <c r="M251" s="2">
        <v>97.161799999999999</v>
      </c>
      <c r="N251" s="2">
        <v>252</v>
      </c>
      <c r="O251" s="2">
        <v>96.841700000000003</v>
      </c>
      <c r="P251" s="2">
        <v>256</v>
      </c>
      <c r="Q251" s="2">
        <v>105.59229999999999</v>
      </c>
      <c r="R251" s="2">
        <v>266</v>
      </c>
      <c r="S251" s="2">
        <v>104.5371</v>
      </c>
      <c r="T251" s="2">
        <v>214</v>
      </c>
      <c r="U251" s="2">
        <v>0.29331400000000002</v>
      </c>
      <c r="V251" s="2">
        <v>250</v>
      </c>
      <c r="W251" s="2">
        <v>2008</v>
      </c>
    </row>
    <row r="252" spans="1:23" ht="12.3" x14ac:dyDescent="0.4">
      <c r="A252" s="2" t="s">
        <v>314</v>
      </c>
      <c r="B252" s="2"/>
      <c r="C252" s="2"/>
      <c r="D252" s="2"/>
      <c r="E252" s="2"/>
      <c r="F252" s="2"/>
      <c r="G252" s="2"/>
      <c r="H252" s="2"/>
      <c r="I252" s="2">
        <v>64.506699999999995</v>
      </c>
      <c r="J252" s="2">
        <v>268</v>
      </c>
      <c r="K252" s="2">
        <v>64.488399999999999</v>
      </c>
      <c r="L252" s="2">
        <v>265</v>
      </c>
      <c r="M252" s="2">
        <v>90.677999999999997</v>
      </c>
      <c r="N252" s="2">
        <v>326</v>
      </c>
      <c r="O252" s="2">
        <v>89.1233</v>
      </c>
      <c r="P252" s="2">
        <v>332</v>
      </c>
      <c r="Q252" s="2">
        <v>95.351799999999997</v>
      </c>
      <c r="R252" s="2">
        <v>41</v>
      </c>
      <c r="S252" s="2">
        <v>96.235799999999998</v>
      </c>
      <c r="T252" s="2">
        <v>55</v>
      </c>
      <c r="U252" s="2">
        <v>0.29256300000000002</v>
      </c>
      <c r="V252" s="2">
        <v>251</v>
      </c>
      <c r="W252" s="2">
        <v>2008</v>
      </c>
    </row>
    <row r="253" spans="1:23" ht="12.3" x14ac:dyDescent="0.4">
      <c r="A253" s="2" t="s">
        <v>348</v>
      </c>
      <c r="B253" s="2"/>
      <c r="C253" s="2"/>
      <c r="D253" s="2"/>
      <c r="E253" s="2"/>
      <c r="F253" s="2"/>
      <c r="G253" s="2"/>
      <c r="H253" s="2"/>
      <c r="I253" s="2">
        <v>72.129099999999994</v>
      </c>
      <c r="J253" s="2">
        <v>26</v>
      </c>
      <c r="K253" s="2">
        <v>73.052199999999999</v>
      </c>
      <c r="L253" s="2">
        <v>16</v>
      </c>
      <c r="M253" s="2">
        <v>98.360799999999998</v>
      </c>
      <c r="N253" s="2">
        <v>232</v>
      </c>
      <c r="O253" s="2">
        <v>102.2122</v>
      </c>
      <c r="P253" s="2">
        <v>169</v>
      </c>
      <c r="Q253" s="2">
        <v>111.358</v>
      </c>
      <c r="R253" s="2">
        <v>331</v>
      </c>
      <c r="S253" s="2">
        <v>110.6297</v>
      </c>
      <c r="T253" s="2">
        <v>319</v>
      </c>
      <c r="U253" s="2">
        <v>0.28698299999999999</v>
      </c>
      <c r="V253" s="2">
        <v>252</v>
      </c>
      <c r="W253" s="2">
        <v>2008</v>
      </c>
    </row>
    <row r="254" spans="1:23" ht="12.3" x14ac:dyDescent="0.4">
      <c r="A254" s="2" t="s">
        <v>187</v>
      </c>
      <c r="B254" s="2"/>
      <c r="C254" s="2"/>
      <c r="D254" s="2"/>
      <c r="E254" s="2"/>
      <c r="F254" s="2"/>
      <c r="G254" s="2"/>
      <c r="H254" s="2"/>
      <c r="I254" s="2">
        <v>65.1494</v>
      </c>
      <c r="J254" s="2">
        <v>236</v>
      </c>
      <c r="K254" s="2">
        <v>65.746300000000005</v>
      </c>
      <c r="L254" s="2">
        <v>210</v>
      </c>
      <c r="M254" s="2">
        <v>95.156800000000004</v>
      </c>
      <c r="N254" s="2">
        <v>277</v>
      </c>
      <c r="O254" s="2">
        <v>95.027100000000004</v>
      </c>
      <c r="P254" s="2">
        <v>281</v>
      </c>
      <c r="Q254" s="2">
        <v>103.0604</v>
      </c>
      <c r="R254" s="2">
        <v>196</v>
      </c>
      <c r="S254" s="2">
        <v>103.1083</v>
      </c>
      <c r="T254" s="2">
        <v>183</v>
      </c>
      <c r="U254" s="2">
        <v>0.28118300000000002</v>
      </c>
      <c r="V254" s="2">
        <v>253</v>
      </c>
      <c r="W254" s="2">
        <v>2008</v>
      </c>
    </row>
    <row r="255" spans="1:23" ht="12.3" x14ac:dyDescent="0.4">
      <c r="A255" s="2" t="s">
        <v>285</v>
      </c>
      <c r="B255" s="2"/>
      <c r="C255" s="2"/>
      <c r="D255" s="2"/>
      <c r="E255" s="2"/>
      <c r="F255" s="2"/>
      <c r="G255" s="2"/>
      <c r="H255" s="2"/>
      <c r="I255" s="2">
        <v>67.831199999999995</v>
      </c>
      <c r="J255" s="2">
        <v>141</v>
      </c>
      <c r="K255" s="2">
        <v>67.872699999999995</v>
      </c>
      <c r="L255" s="2">
        <v>133</v>
      </c>
      <c r="M255" s="2">
        <v>98.075900000000004</v>
      </c>
      <c r="N255" s="2">
        <v>235</v>
      </c>
      <c r="O255" s="2">
        <v>98.043499999999995</v>
      </c>
      <c r="P255" s="2">
        <v>234</v>
      </c>
      <c r="Q255" s="2">
        <v>107.0646</v>
      </c>
      <c r="R255" s="2">
        <v>289</v>
      </c>
      <c r="S255" s="2">
        <v>106.38339999999999</v>
      </c>
      <c r="T255" s="2">
        <v>252</v>
      </c>
      <c r="U255" s="2">
        <v>0.281136</v>
      </c>
      <c r="V255" s="2">
        <v>254</v>
      </c>
      <c r="W255" s="2">
        <v>2008</v>
      </c>
    </row>
    <row r="256" spans="1:23" ht="12.3" x14ac:dyDescent="0.4">
      <c r="A256" s="2" t="s">
        <v>354</v>
      </c>
      <c r="B256" s="2"/>
      <c r="C256" s="2"/>
      <c r="D256" s="2"/>
      <c r="E256" s="2"/>
      <c r="F256" s="2"/>
      <c r="G256" s="2"/>
      <c r="H256" s="2"/>
      <c r="I256" s="2">
        <v>79.823599999999999</v>
      </c>
      <c r="J256" s="2">
        <v>1</v>
      </c>
      <c r="K256" s="2">
        <v>80.069500000000005</v>
      </c>
      <c r="L256" s="2">
        <v>1</v>
      </c>
      <c r="M256" s="2">
        <v>99.916399999999996</v>
      </c>
      <c r="N256" s="2">
        <v>208</v>
      </c>
      <c r="O256" s="2">
        <v>99.942300000000003</v>
      </c>
      <c r="P256" s="2">
        <v>198</v>
      </c>
      <c r="Q256" s="2">
        <v>104.6326</v>
      </c>
      <c r="R256" s="2">
        <v>231</v>
      </c>
      <c r="S256" s="2">
        <v>108.4494</v>
      </c>
      <c r="T256" s="2">
        <v>295</v>
      </c>
      <c r="U256" s="2">
        <v>0.28101300000000001</v>
      </c>
      <c r="V256" s="2">
        <v>255</v>
      </c>
      <c r="W256" s="2">
        <v>2008</v>
      </c>
    </row>
    <row r="257" spans="1:23" ht="12.3" x14ac:dyDescent="0.4">
      <c r="A257" s="2" t="s">
        <v>191</v>
      </c>
      <c r="B257" s="2"/>
      <c r="C257" s="2"/>
      <c r="D257" s="2"/>
      <c r="E257" s="2"/>
      <c r="F257" s="2"/>
      <c r="G257" s="2"/>
      <c r="H257" s="2"/>
      <c r="I257" s="2">
        <v>67.185299999999998</v>
      </c>
      <c r="J257" s="2">
        <v>166</v>
      </c>
      <c r="K257" s="2">
        <v>67.849199999999996</v>
      </c>
      <c r="L257" s="2">
        <v>134</v>
      </c>
      <c r="M257" s="2">
        <v>99.4</v>
      </c>
      <c r="N257" s="2">
        <v>215</v>
      </c>
      <c r="O257" s="2">
        <v>98.003799999999998</v>
      </c>
      <c r="P257" s="2">
        <v>235</v>
      </c>
      <c r="Q257" s="2">
        <v>108.9978</v>
      </c>
      <c r="R257" s="2">
        <v>309</v>
      </c>
      <c r="S257" s="2">
        <v>106.41200000000001</v>
      </c>
      <c r="T257" s="2">
        <v>253</v>
      </c>
      <c r="U257" s="2">
        <v>0.27956999999999999</v>
      </c>
      <c r="V257" s="2">
        <v>256</v>
      </c>
      <c r="W257" s="2">
        <v>2008</v>
      </c>
    </row>
    <row r="258" spans="1:23" ht="12.3" x14ac:dyDescent="0.4">
      <c r="A258" s="2" t="s">
        <v>271</v>
      </c>
      <c r="B258" s="2"/>
      <c r="C258" s="2"/>
      <c r="D258" s="2"/>
      <c r="E258" s="2"/>
      <c r="F258" s="2"/>
      <c r="G258" s="2"/>
      <c r="H258" s="2"/>
      <c r="I258" s="2">
        <v>63.024999999999999</v>
      </c>
      <c r="J258" s="2">
        <v>298</v>
      </c>
      <c r="K258" s="2">
        <v>63.686100000000003</v>
      </c>
      <c r="L258" s="2">
        <v>286</v>
      </c>
      <c r="M258" s="2">
        <v>98.414400000000001</v>
      </c>
      <c r="N258" s="2">
        <v>230</v>
      </c>
      <c r="O258" s="2">
        <v>96.406999999999996</v>
      </c>
      <c r="P258" s="2">
        <v>260</v>
      </c>
      <c r="Q258" s="2">
        <v>101.9799</v>
      </c>
      <c r="R258" s="2">
        <v>171</v>
      </c>
      <c r="S258" s="2">
        <v>104.68559999999999</v>
      </c>
      <c r="T258" s="2">
        <v>219</v>
      </c>
      <c r="U258" s="2">
        <v>0.27940700000000002</v>
      </c>
      <c r="V258" s="2">
        <v>257</v>
      </c>
      <c r="W258" s="2">
        <v>2008</v>
      </c>
    </row>
    <row r="259" spans="1:23" ht="12.3" x14ac:dyDescent="0.4">
      <c r="A259" s="2" t="s">
        <v>132</v>
      </c>
      <c r="B259" s="2"/>
      <c r="C259" s="2"/>
      <c r="D259" s="2"/>
      <c r="E259" s="2"/>
      <c r="F259" s="2"/>
      <c r="G259" s="2"/>
      <c r="H259" s="2"/>
      <c r="I259" s="2">
        <v>60.458199999999998</v>
      </c>
      <c r="J259" s="2">
        <v>328</v>
      </c>
      <c r="K259" s="2">
        <v>61.6768</v>
      </c>
      <c r="L259" s="2">
        <v>323</v>
      </c>
      <c r="M259" s="2">
        <v>96.633200000000002</v>
      </c>
      <c r="N259" s="2">
        <v>262</v>
      </c>
      <c r="O259" s="2">
        <v>99.302499999999995</v>
      </c>
      <c r="P259" s="2">
        <v>210</v>
      </c>
      <c r="Q259" s="2">
        <v>109.2317</v>
      </c>
      <c r="R259" s="2">
        <v>312</v>
      </c>
      <c r="S259" s="2">
        <v>107.9025</v>
      </c>
      <c r="T259" s="2">
        <v>285</v>
      </c>
      <c r="U259" s="2">
        <v>0.27784900000000001</v>
      </c>
      <c r="V259" s="2">
        <v>258</v>
      </c>
      <c r="W259" s="2">
        <v>2008</v>
      </c>
    </row>
    <row r="260" spans="1:23" ht="12.3" x14ac:dyDescent="0.4">
      <c r="A260" s="2" t="s">
        <v>163</v>
      </c>
      <c r="B260" s="2"/>
      <c r="C260" s="2"/>
      <c r="D260" s="2"/>
      <c r="E260" s="2"/>
      <c r="F260" s="2"/>
      <c r="G260" s="2"/>
      <c r="H260" s="2"/>
      <c r="I260" s="2">
        <v>68.230400000000003</v>
      </c>
      <c r="J260" s="2">
        <v>124</v>
      </c>
      <c r="K260" s="2">
        <v>67.995400000000004</v>
      </c>
      <c r="L260" s="2">
        <v>126</v>
      </c>
      <c r="M260" s="2">
        <v>105.20229999999999</v>
      </c>
      <c r="N260" s="2">
        <v>114</v>
      </c>
      <c r="O260" s="2">
        <v>102.0797</v>
      </c>
      <c r="P260" s="2">
        <v>172</v>
      </c>
      <c r="Q260" s="2">
        <v>107.74339999999999</v>
      </c>
      <c r="R260" s="2">
        <v>292</v>
      </c>
      <c r="S260" s="2">
        <v>111.0213</v>
      </c>
      <c r="T260" s="2">
        <v>320</v>
      </c>
      <c r="U260" s="2">
        <v>0.27575100000000002</v>
      </c>
      <c r="V260" s="2">
        <v>259</v>
      </c>
      <c r="W260" s="2">
        <v>2008</v>
      </c>
    </row>
    <row r="261" spans="1:23" ht="12.3" x14ac:dyDescent="0.4">
      <c r="A261" s="2" t="s">
        <v>210</v>
      </c>
      <c r="B261" s="2"/>
      <c r="C261" s="2"/>
      <c r="D261" s="2"/>
      <c r="E261" s="2"/>
      <c r="F261" s="2"/>
      <c r="G261" s="2"/>
      <c r="H261" s="2"/>
      <c r="I261" s="2">
        <v>65.659400000000005</v>
      </c>
      <c r="J261" s="2">
        <v>216</v>
      </c>
      <c r="K261" s="2">
        <v>66.013400000000004</v>
      </c>
      <c r="L261" s="2">
        <v>201</v>
      </c>
      <c r="M261" s="2">
        <v>89.218800000000002</v>
      </c>
      <c r="N261" s="2">
        <v>332</v>
      </c>
      <c r="O261" s="2">
        <v>89.500100000000003</v>
      </c>
      <c r="P261" s="2">
        <v>330</v>
      </c>
      <c r="Q261" s="2">
        <v>97.307000000000002</v>
      </c>
      <c r="R261" s="2">
        <v>66</v>
      </c>
      <c r="S261" s="2">
        <v>97.509900000000002</v>
      </c>
      <c r="T261" s="2">
        <v>71</v>
      </c>
      <c r="U261" s="2">
        <v>0.271758</v>
      </c>
      <c r="V261" s="2">
        <v>260</v>
      </c>
      <c r="W261" s="2">
        <v>2008</v>
      </c>
    </row>
    <row r="262" spans="1:23" ht="12.3" x14ac:dyDescent="0.4">
      <c r="A262" s="2" t="s">
        <v>209</v>
      </c>
      <c r="B262" s="2"/>
      <c r="C262" s="2"/>
      <c r="D262" s="2"/>
      <c r="E262" s="2"/>
      <c r="F262" s="2"/>
      <c r="G262" s="2"/>
      <c r="H262" s="2"/>
      <c r="I262" s="2">
        <v>70.408900000000003</v>
      </c>
      <c r="J262" s="2">
        <v>60</v>
      </c>
      <c r="K262" s="2">
        <v>71.480999999999995</v>
      </c>
      <c r="L262" s="2">
        <v>30</v>
      </c>
      <c r="M262" s="2">
        <v>92.986800000000002</v>
      </c>
      <c r="N262" s="2">
        <v>306</v>
      </c>
      <c r="O262" s="2">
        <v>95.3489</v>
      </c>
      <c r="P262" s="2">
        <v>275</v>
      </c>
      <c r="Q262" s="2">
        <v>106.5076</v>
      </c>
      <c r="R262" s="2">
        <v>282</v>
      </c>
      <c r="S262" s="2">
        <v>104.0484</v>
      </c>
      <c r="T262" s="2">
        <v>205</v>
      </c>
      <c r="U262" s="2">
        <v>0.26813500000000001</v>
      </c>
      <c r="V262" s="2">
        <v>261</v>
      </c>
      <c r="W262" s="2">
        <v>2008</v>
      </c>
    </row>
    <row r="263" spans="1:23" ht="12.3" x14ac:dyDescent="0.4">
      <c r="A263" s="2" t="s">
        <v>149</v>
      </c>
      <c r="B263" s="2"/>
      <c r="C263" s="2"/>
      <c r="D263" s="2"/>
      <c r="E263" s="2"/>
      <c r="F263" s="2"/>
      <c r="G263" s="2"/>
      <c r="H263" s="2"/>
      <c r="I263" s="2">
        <v>65.658199999999994</v>
      </c>
      <c r="J263" s="2">
        <v>217</v>
      </c>
      <c r="K263" s="2">
        <v>67.138099999999994</v>
      </c>
      <c r="L263" s="2">
        <v>153</v>
      </c>
      <c r="M263" s="2">
        <v>91.024600000000007</v>
      </c>
      <c r="N263" s="2">
        <v>324</v>
      </c>
      <c r="O263" s="2">
        <v>93.321899999999999</v>
      </c>
      <c r="P263" s="2">
        <v>305</v>
      </c>
      <c r="Q263" s="2">
        <v>107.7115</v>
      </c>
      <c r="R263" s="2">
        <v>291</v>
      </c>
      <c r="S263" s="2">
        <v>101.8608</v>
      </c>
      <c r="T263" s="2">
        <v>159</v>
      </c>
      <c r="U263" s="2">
        <v>0.267596</v>
      </c>
      <c r="V263" s="2">
        <v>262</v>
      </c>
      <c r="W263" s="2">
        <v>2008</v>
      </c>
    </row>
    <row r="264" spans="1:23" ht="12.3" x14ac:dyDescent="0.4">
      <c r="A264" s="2" t="s">
        <v>260</v>
      </c>
      <c r="B264" s="2"/>
      <c r="C264" s="2"/>
      <c r="D264" s="2"/>
      <c r="E264" s="2"/>
      <c r="F264" s="2"/>
      <c r="G264" s="2"/>
      <c r="H264" s="2"/>
      <c r="I264" s="2">
        <v>68.789299999999997</v>
      </c>
      <c r="J264" s="2">
        <v>107</v>
      </c>
      <c r="K264" s="2">
        <v>67.988</v>
      </c>
      <c r="L264" s="2">
        <v>129</v>
      </c>
      <c r="M264" s="2">
        <v>92.197900000000004</v>
      </c>
      <c r="N264" s="2">
        <v>312</v>
      </c>
      <c r="O264" s="2">
        <v>91.641099999999994</v>
      </c>
      <c r="P264" s="2">
        <v>324</v>
      </c>
      <c r="Q264" s="2">
        <v>101.6711</v>
      </c>
      <c r="R264" s="2">
        <v>160</v>
      </c>
      <c r="S264" s="2">
        <v>100.0406</v>
      </c>
      <c r="T264" s="2">
        <v>117</v>
      </c>
      <c r="U264" s="2">
        <v>0.26727099999999998</v>
      </c>
      <c r="V264" s="2">
        <v>263</v>
      </c>
      <c r="W264" s="2">
        <v>2008</v>
      </c>
    </row>
    <row r="265" spans="1:23" ht="12.3" x14ac:dyDescent="0.4">
      <c r="A265" s="2" t="s">
        <v>278</v>
      </c>
      <c r="B265" s="2"/>
      <c r="C265" s="2"/>
      <c r="D265" s="2"/>
      <c r="E265" s="2"/>
      <c r="F265" s="2"/>
      <c r="G265" s="2"/>
      <c r="H265" s="2"/>
      <c r="I265" s="2">
        <v>67.889600000000002</v>
      </c>
      <c r="J265" s="2">
        <v>140</v>
      </c>
      <c r="K265" s="2">
        <v>68.063199999999995</v>
      </c>
      <c r="L265" s="2">
        <v>124</v>
      </c>
      <c r="M265" s="2">
        <v>97.913300000000007</v>
      </c>
      <c r="N265" s="2">
        <v>238</v>
      </c>
      <c r="O265" s="2">
        <v>97.482600000000005</v>
      </c>
      <c r="P265" s="2">
        <v>242</v>
      </c>
      <c r="Q265" s="2">
        <v>105.5508</v>
      </c>
      <c r="R265" s="2">
        <v>265</v>
      </c>
      <c r="S265" s="2">
        <v>106.59059999999999</v>
      </c>
      <c r="T265" s="2">
        <v>256</v>
      </c>
      <c r="U265" s="2">
        <v>0.263629</v>
      </c>
      <c r="V265" s="2">
        <v>264</v>
      </c>
      <c r="W265" s="2">
        <v>2008</v>
      </c>
    </row>
    <row r="266" spans="1:23" ht="12.3" x14ac:dyDescent="0.4">
      <c r="A266" s="2" t="s">
        <v>298</v>
      </c>
      <c r="B266" s="2"/>
      <c r="C266" s="2"/>
      <c r="D266" s="2"/>
      <c r="E266" s="2"/>
      <c r="F266" s="2"/>
      <c r="G266" s="2"/>
      <c r="H266" s="2"/>
      <c r="I266" s="2">
        <v>67.7</v>
      </c>
      <c r="J266" s="2">
        <v>149</v>
      </c>
      <c r="K266" s="2">
        <v>66.102800000000002</v>
      </c>
      <c r="L266" s="2">
        <v>195</v>
      </c>
      <c r="M266" s="2">
        <v>94.941599999999994</v>
      </c>
      <c r="N266" s="2">
        <v>280</v>
      </c>
      <c r="O266" s="2">
        <v>92.915599999999998</v>
      </c>
      <c r="P266" s="2">
        <v>309</v>
      </c>
      <c r="Q266" s="2">
        <v>99.508799999999994</v>
      </c>
      <c r="R266" s="2">
        <v>103</v>
      </c>
      <c r="S266" s="2">
        <v>101.7269</v>
      </c>
      <c r="T266" s="2">
        <v>155</v>
      </c>
      <c r="U266" s="2">
        <v>0.26078299999999999</v>
      </c>
      <c r="V266" s="2">
        <v>265</v>
      </c>
      <c r="W266" s="2">
        <v>2008</v>
      </c>
    </row>
    <row r="267" spans="1:23" ht="12.3" x14ac:dyDescent="0.4">
      <c r="A267" s="2" t="s">
        <v>173</v>
      </c>
      <c r="B267" s="2"/>
      <c r="C267" s="2"/>
      <c r="D267" s="2"/>
      <c r="E267" s="2"/>
      <c r="F267" s="2"/>
      <c r="G267" s="2"/>
      <c r="H267" s="2"/>
      <c r="I267" s="2">
        <v>67.661199999999994</v>
      </c>
      <c r="J267" s="2">
        <v>151</v>
      </c>
      <c r="K267" s="2">
        <v>67.470200000000006</v>
      </c>
      <c r="L267" s="2">
        <v>144</v>
      </c>
      <c r="M267" s="2">
        <v>97.0227</v>
      </c>
      <c r="N267" s="2">
        <v>254</v>
      </c>
      <c r="O267" s="2">
        <v>97.204099999999997</v>
      </c>
      <c r="P267" s="2">
        <v>247</v>
      </c>
      <c r="Q267" s="2">
        <v>105.8753</v>
      </c>
      <c r="R267" s="2">
        <v>269</v>
      </c>
      <c r="S267" s="2">
        <v>106.43729999999999</v>
      </c>
      <c r="T267" s="2">
        <v>255</v>
      </c>
      <c r="U267" s="2">
        <v>0.26046599999999998</v>
      </c>
      <c r="V267" s="2">
        <v>266</v>
      </c>
      <c r="W267" s="2">
        <v>2008</v>
      </c>
    </row>
    <row r="268" spans="1:23" ht="12.3" x14ac:dyDescent="0.4">
      <c r="A268" s="2" t="s">
        <v>157</v>
      </c>
      <c r="B268" s="2"/>
      <c r="C268" s="2"/>
      <c r="D268" s="2"/>
      <c r="E268" s="2"/>
      <c r="F268" s="2"/>
      <c r="G268" s="2"/>
      <c r="H268" s="2"/>
      <c r="I268" s="2">
        <v>64.508799999999994</v>
      </c>
      <c r="J268" s="2">
        <v>267</v>
      </c>
      <c r="K268" s="2">
        <v>65.604500000000002</v>
      </c>
      <c r="L268" s="2">
        <v>214</v>
      </c>
      <c r="M268" s="2">
        <v>96.652600000000007</v>
      </c>
      <c r="N268" s="2">
        <v>261</v>
      </c>
      <c r="O268" s="2">
        <v>99.529399999999995</v>
      </c>
      <c r="P268" s="2">
        <v>204</v>
      </c>
      <c r="Q268" s="2">
        <v>112.4966</v>
      </c>
      <c r="R268" s="2">
        <v>336</v>
      </c>
      <c r="S268" s="2">
        <v>109.0489</v>
      </c>
      <c r="T268" s="2">
        <v>303</v>
      </c>
      <c r="U268" s="2">
        <v>0.25913700000000001</v>
      </c>
      <c r="V268" s="2">
        <v>267</v>
      </c>
      <c r="W268" s="2">
        <v>2008</v>
      </c>
    </row>
    <row r="269" spans="1:23" ht="12.3" x14ac:dyDescent="0.4">
      <c r="A269" s="2" t="s">
        <v>265</v>
      </c>
      <c r="B269" s="2"/>
      <c r="C269" s="2"/>
      <c r="D269" s="2"/>
      <c r="E269" s="2"/>
      <c r="F269" s="2"/>
      <c r="G269" s="2"/>
      <c r="H269" s="2"/>
      <c r="I269" s="2">
        <v>56.852899999999998</v>
      </c>
      <c r="J269" s="2">
        <v>340</v>
      </c>
      <c r="K269" s="2">
        <v>56.9758</v>
      </c>
      <c r="L269" s="2">
        <v>339</v>
      </c>
      <c r="M269" s="2">
        <v>101.1352</v>
      </c>
      <c r="N269" s="2">
        <v>183</v>
      </c>
      <c r="O269" s="2">
        <v>100.753</v>
      </c>
      <c r="P269" s="2">
        <v>188</v>
      </c>
      <c r="Q269" s="2">
        <v>108.8065</v>
      </c>
      <c r="R269" s="2">
        <v>305</v>
      </c>
      <c r="S269" s="2">
        <v>110.5504</v>
      </c>
      <c r="T269" s="2">
        <v>318</v>
      </c>
      <c r="U269" s="2">
        <v>0.255936</v>
      </c>
      <c r="V269" s="2">
        <v>268</v>
      </c>
      <c r="W269" s="2">
        <v>2008</v>
      </c>
    </row>
    <row r="270" spans="1:23" ht="12.3" x14ac:dyDescent="0.4">
      <c r="A270" s="2" t="s">
        <v>276</v>
      </c>
      <c r="B270" s="2"/>
      <c r="C270" s="2"/>
      <c r="D270" s="2"/>
      <c r="E270" s="2"/>
      <c r="F270" s="2"/>
      <c r="G270" s="2"/>
      <c r="H270" s="2"/>
      <c r="I270" s="2">
        <v>66.773600000000002</v>
      </c>
      <c r="J270" s="2">
        <v>178</v>
      </c>
      <c r="K270" s="2">
        <v>65.417500000000004</v>
      </c>
      <c r="L270" s="2">
        <v>223</v>
      </c>
      <c r="M270" s="2">
        <v>95.179400000000001</v>
      </c>
      <c r="N270" s="2">
        <v>276</v>
      </c>
      <c r="O270" s="2">
        <v>95.125399999999999</v>
      </c>
      <c r="P270" s="2">
        <v>279</v>
      </c>
      <c r="Q270" s="2">
        <v>104.30719999999999</v>
      </c>
      <c r="R270" s="2">
        <v>221</v>
      </c>
      <c r="S270" s="2">
        <v>104.3942</v>
      </c>
      <c r="T270" s="2">
        <v>212</v>
      </c>
      <c r="U270" s="2">
        <v>0.255546</v>
      </c>
      <c r="V270" s="2">
        <v>269</v>
      </c>
      <c r="W270" s="2">
        <v>2008</v>
      </c>
    </row>
    <row r="271" spans="1:23" ht="12.3" x14ac:dyDescent="0.4">
      <c r="A271" s="2" t="s">
        <v>193</v>
      </c>
      <c r="B271" s="2"/>
      <c r="C271" s="2"/>
      <c r="D271" s="2"/>
      <c r="E271" s="2"/>
      <c r="F271" s="2"/>
      <c r="G271" s="2"/>
      <c r="H271" s="2"/>
      <c r="I271" s="2">
        <v>66.656999999999996</v>
      </c>
      <c r="J271" s="2">
        <v>184</v>
      </c>
      <c r="K271" s="2">
        <v>66.594499999999996</v>
      </c>
      <c r="L271" s="2">
        <v>173</v>
      </c>
      <c r="M271" s="2">
        <v>99.398300000000006</v>
      </c>
      <c r="N271" s="2">
        <v>216</v>
      </c>
      <c r="O271" s="2">
        <v>100.59820000000001</v>
      </c>
      <c r="P271" s="2">
        <v>193</v>
      </c>
      <c r="Q271" s="2">
        <v>111.46169999999999</v>
      </c>
      <c r="R271" s="2">
        <v>332</v>
      </c>
      <c r="S271" s="2">
        <v>110.4337</v>
      </c>
      <c r="T271" s="2">
        <v>315</v>
      </c>
      <c r="U271" s="2">
        <v>0.254884</v>
      </c>
      <c r="V271" s="2">
        <v>270</v>
      </c>
      <c r="W271" s="2">
        <v>2008</v>
      </c>
    </row>
    <row r="272" spans="1:23" ht="12.3" x14ac:dyDescent="0.4">
      <c r="A272" s="2" t="s">
        <v>172</v>
      </c>
      <c r="B272" s="2"/>
      <c r="C272" s="2"/>
      <c r="D272" s="2"/>
      <c r="E272" s="2"/>
      <c r="F272" s="2"/>
      <c r="G272" s="2"/>
      <c r="H272" s="2"/>
      <c r="I272" s="2">
        <v>65.714399999999998</v>
      </c>
      <c r="J272" s="2">
        <v>211</v>
      </c>
      <c r="K272" s="2">
        <v>65.985200000000006</v>
      </c>
      <c r="L272" s="2">
        <v>202</v>
      </c>
      <c r="M272" s="2">
        <v>104.1664</v>
      </c>
      <c r="N272" s="2">
        <v>131</v>
      </c>
      <c r="O272" s="2">
        <v>103.3856</v>
      </c>
      <c r="P272" s="2">
        <v>150</v>
      </c>
      <c r="Q272" s="2">
        <v>113.2625</v>
      </c>
      <c r="R272" s="2">
        <v>338</v>
      </c>
      <c r="S272" s="2">
        <v>113.5988</v>
      </c>
      <c r="T272" s="2">
        <v>335</v>
      </c>
      <c r="U272" s="2">
        <v>0.25286599999999998</v>
      </c>
      <c r="V272" s="2">
        <v>271</v>
      </c>
      <c r="W272" s="2">
        <v>2008</v>
      </c>
    </row>
    <row r="273" spans="1:23" ht="12.3" x14ac:dyDescent="0.4">
      <c r="A273" s="2" t="s">
        <v>189</v>
      </c>
      <c r="B273" s="2"/>
      <c r="C273" s="2"/>
      <c r="D273" s="2"/>
      <c r="E273" s="2"/>
      <c r="F273" s="2"/>
      <c r="G273" s="2"/>
      <c r="H273" s="2"/>
      <c r="I273" s="2">
        <v>66.703400000000002</v>
      </c>
      <c r="J273" s="2">
        <v>181</v>
      </c>
      <c r="K273" s="2">
        <v>66.405500000000004</v>
      </c>
      <c r="L273" s="2">
        <v>180</v>
      </c>
      <c r="M273" s="2">
        <v>94.368099999999998</v>
      </c>
      <c r="N273" s="2">
        <v>289</v>
      </c>
      <c r="O273" s="2">
        <v>93.787999999999997</v>
      </c>
      <c r="P273" s="2">
        <v>298</v>
      </c>
      <c r="Q273" s="2">
        <v>104.4002</v>
      </c>
      <c r="R273" s="2">
        <v>224</v>
      </c>
      <c r="S273" s="2">
        <v>103.3961</v>
      </c>
      <c r="T273" s="2">
        <v>193</v>
      </c>
      <c r="U273" s="2">
        <v>0.24571399999999999</v>
      </c>
      <c r="V273" s="2">
        <v>272</v>
      </c>
      <c r="W273" s="2">
        <v>2008</v>
      </c>
    </row>
    <row r="274" spans="1:23" ht="12.3" x14ac:dyDescent="0.4">
      <c r="A274" s="2" t="s">
        <v>290</v>
      </c>
      <c r="B274" s="2"/>
      <c r="C274" s="2"/>
      <c r="D274" s="2"/>
      <c r="E274" s="2"/>
      <c r="F274" s="2"/>
      <c r="G274" s="2"/>
      <c r="H274" s="2"/>
      <c r="I274" s="2">
        <v>65.218900000000005</v>
      </c>
      <c r="J274" s="2">
        <v>232</v>
      </c>
      <c r="K274" s="2">
        <v>64.261899999999997</v>
      </c>
      <c r="L274" s="2">
        <v>272</v>
      </c>
      <c r="M274" s="2">
        <v>96.031000000000006</v>
      </c>
      <c r="N274" s="2">
        <v>269</v>
      </c>
      <c r="O274" s="2">
        <v>96.863699999999994</v>
      </c>
      <c r="P274" s="2">
        <v>255</v>
      </c>
      <c r="Q274" s="2">
        <v>106.30200000000001</v>
      </c>
      <c r="R274" s="2">
        <v>278</v>
      </c>
      <c r="S274" s="2">
        <v>106.9629</v>
      </c>
      <c r="T274" s="2">
        <v>265</v>
      </c>
      <c r="U274" s="2">
        <v>0.24222199999999999</v>
      </c>
      <c r="V274" s="2">
        <v>273</v>
      </c>
      <c r="W274" s="2">
        <v>2008</v>
      </c>
    </row>
    <row r="275" spans="1:23" ht="12.3" x14ac:dyDescent="0.4">
      <c r="A275" s="2" t="s">
        <v>77</v>
      </c>
      <c r="B275" s="2"/>
      <c r="C275" s="2"/>
      <c r="D275" s="2"/>
      <c r="E275" s="2"/>
      <c r="F275" s="2"/>
      <c r="G275" s="2"/>
      <c r="H275" s="2"/>
      <c r="I275" s="2">
        <v>70.045699999999997</v>
      </c>
      <c r="J275" s="2">
        <v>68</v>
      </c>
      <c r="K275" s="2">
        <v>70.010999999999996</v>
      </c>
      <c r="L275" s="2">
        <v>58</v>
      </c>
      <c r="M275" s="2">
        <v>96.243399999999994</v>
      </c>
      <c r="N275" s="2">
        <v>265</v>
      </c>
      <c r="O275" s="2">
        <v>95.878100000000003</v>
      </c>
      <c r="P275" s="2">
        <v>273</v>
      </c>
      <c r="Q275" s="2">
        <v>105.9945</v>
      </c>
      <c r="R275" s="2">
        <v>272</v>
      </c>
      <c r="S275" s="2">
        <v>106.15300000000001</v>
      </c>
      <c r="T275" s="2">
        <v>247</v>
      </c>
      <c r="U275" s="2">
        <v>0.23672000000000001</v>
      </c>
      <c r="V275" s="2">
        <v>274</v>
      </c>
      <c r="W275" s="2">
        <v>2008</v>
      </c>
    </row>
    <row r="276" spans="1:23" ht="12.3" x14ac:dyDescent="0.4">
      <c r="A276" s="2" t="s">
        <v>362</v>
      </c>
      <c r="B276" s="2"/>
      <c r="C276" s="2"/>
      <c r="D276" s="2"/>
      <c r="E276" s="2"/>
      <c r="F276" s="2"/>
      <c r="G276" s="2"/>
      <c r="H276" s="2"/>
      <c r="I276" s="2">
        <v>65.591300000000004</v>
      </c>
      <c r="J276" s="2">
        <v>221</v>
      </c>
      <c r="K276" s="2">
        <v>66.266199999999998</v>
      </c>
      <c r="L276" s="2">
        <v>185</v>
      </c>
      <c r="M276" s="2">
        <v>99.777799999999999</v>
      </c>
      <c r="N276" s="2">
        <v>211</v>
      </c>
      <c r="O276" s="2">
        <v>96.974400000000003</v>
      </c>
      <c r="P276" s="2">
        <v>253</v>
      </c>
      <c r="Q276" s="2">
        <v>108.39919999999999</v>
      </c>
      <c r="R276" s="2">
        <v>298</v>
      </c>
      <c r="S276" s="2">
        <v>107.50449999999999</v>
      </c>
      <c r="T276" s="2">
        <v>278</v>
      </c>
      <c r="U276" s="2">
        <v>0.234067</v>
      </c>
      <c r="V276" s="2">
        <v>275</v>
      </c>
      <c r="W276" s="2">
        <v>2008</v>
      </c>
    </row>
    <row r="277" spans="1:23" ht="12.3" x14ac:dyDescent="0.4">
      <c r="A277" s="2" t="s">
        <v>324</v>
      </c>
      <c r="B277" s="2"/>
      <c r="C277" s="2"/>
      <c r="D277" s="2"/>
      <c r="E277" s="2"/>
      <c r="F277" s="2"/>
      <c r="G277" s="2"/>
      <c r="H277" s="2"/>
      <c r="I277" s="2">
        <v>62.377000000000002</v>
      </c>
      <c r="J277" s="2">
        <v>308</v>
      </c>
      <c r="K277" s="2">
        <v>61.813800000000001</v>
      </c>
      <c r="L277" s="2">
        <v>322</v>
      </c>
      <c r="M277" s="2">
        <v>100.3827</v>
      </c>
      <c r="N277" s="2">
        <v>198</v>
      </c>
      <c r="O277" s="2">
        <v>97.324399999999997</v>
      </c>
      <c r="P277" s="2">
        <v>245</v>
      </c>
      <c r="Q277" s="2">
        <v>105.5236</v>
      </c>
      <c r="R277" s="2">
        <v>264</v>
      </c>
      <c r="S277" s="2">
        <v>107.93129999999999</v>
      </c>
      <c r="T277" s="2">
        <v>288</v>
      </c>
      <c r="U277" s="2">
        <v>0.23332700000000001</v>
      </c>
      <c r="V277" s="2">
        <v>276</v>
      </c>
      <c r="W277" s="2">
        <v>2008</v>
      </c>
    </row>
    <row r="278" spans="1:23" ht="12.3" x14ac:dyDescent="0.4">
      <c r="A278" s="2" t="s">
        <v>224</v>
      </c>
      <c r="B278" s="2"/>
      <c r="C278" s="2"/>
      <c r="D278" s="2"/>
      <c r="E278" s="2"/>
      <c r="F278" s="2"/>
      <c r="G278" s="2"/>
      <c r="H278" s="2"/>
      <c r="I278" s="2">
        <v>69.511399999999995</v>
      </c>
      <c r="J278" s="2">
        <v>84</v>
      </c>
      <c r="K278" s="2">
        <v>69.265500000000003</v>
      </c>
      <c r="L278" s="2">
        <v>83</v>
      </c>
      <c r="M278" s="2">
        <v>97.4148</v>
      </c>
      <c r="N278" s="2">
        <v>245</v>
      </c>
      <c r="O278" s="2">
        <v>97.960800000000006</v>
      </c>
      <c r="P278" s="2">
        <v>237</v>
      </c>
      <c r="Q278" s="2">
        <v>109.54349999999999</v>
      </c>
      <c r="R278" s="2">
        <v>315</v>
      </c>
      <c r="S278" s="2">
        <v>108.74120000000001</v>
      </c>
      <c r="T278" s="2">
        <v>298</v>
      </c>
      <c r="U278" s="2">
        <v>0.23136200000000001</v>
      </c>
      <c r="V278" s="2">
        <v>277</v>
      </c>
      <c r="W278" s="2">
        <v>2008</v>
      </c>
    </row>
    <row r="279" spans="1:23" ht="12.3" x14ac:dyDescent="0.4">
      <c r="A279" s="2" t="s">
        <v>310</v>
      </c>
      <c r="B279" s="2"/>
      <c r="C279" s="2"/>
      <c r="D279" s="2"/>
      <c r="E279" s="2"/>
      <c r="F279" s="2"/>
      <c r="G279" s="2"/>
      <c r="H279" s="2"/>
      <c r="I279" s="2">
        <v>66.372600000000006</v>
      </c>
      <c r="J279" s="2">
        <v>190</v>
      </c>
      <c r="K279" s="2">
        <v>66.259799999999998</v>
      </c>
      <c r="L279" s="2">
        <v>187</v>
      </c>
      <c r="M279" s="2">
        <v>98.985399999999998</v>
      </c>
      <c r="N279" s="2">
        <v>220</v>
      </c>
      <c r="O279" s="2">
        <v>96.423299999999998</v>
      </c>
      <c r="P279" s="2">
        <v>259</v>
      </c>
      <c r="Q279" s="2">
        <v>105.0056</v>
      </c>
      <c r="R279" s="2">
        <v>246</v>
      </c>
      <c r="S279" s="2">
        <v>107.0471</v>
      </c>
      <c r="T279" s="2">
        <v>269</v>
      </c>
      <c r="U279" s="2">
        <v>0.23111899999999999</v>
      </c>
      <c r="V279" s="2">
        <v>278</v>
      </c>
      <c r="W279" s="2">
        <v>2008</v>
      </c>
    </row>
    <row r="280" spans="1:23" ht="12.3" x14ac:dyDescent="0.4">
      <c r="A280" s="2" t="s">
        <v>352</v>
      </c>
      <c r="B280" s="2"/>
      <c r="C280" s="2"/>
      <c r="D280" s="2"/>
      <c r="E280" s="2"/>
      <c r="F280" s="2"/>
      <c r="G280" s="2"/>
      <c r="H280" s="2"/>
      <c r="I280" s="2">
        <v>67.741699999999994</v>
      </c>
      <c r="J280" s="2">
        <v>145</v>
      </c>
      <c r="K280" s="2">
        <v>67.989800000000002</v>
      </c>
      <c r="L280" s="2">
        <v>128</v>
      </c>
      <c r="M280" s="2">
        <v>84.062200000000004</v>
      </c>
      <c r="N280" s="2">
        <v>338</v>
      </c>
      <c r="O280" s="2">
        <v>88.200699999999998</v>
      </c>
      <c r="P280" s="2">
        <v>334</v>
      </c>
      <c r="Q280" s="2">
        <v>98.480099999999993</v>
      </c>
      <c r="R280" s="2">
        <v>80</v>
      </c>
      <c r="S280" s="2">
        <v>98.104900000000001</v>
      </c>
      <c r="T280" s="2">
        <v>86</v>
      </c>
      <c r="U280" s="2">
        <v>0.22725799999999999</v>
      </c>
      <c r="V280" s="2">
        <v>279</v>
      </c>
      <c r="W280" s="2">
        <v>2008</v>
      </c>
    </row>
    <row r="281" spans="1:23" ht="12.3" x14ac:dyDescent="0.4">
      <c r="A281" s="2" t="s">
        <v>320</v>
      </c>
      <c r="B281" s="2"/>
      <c r="C281" s="2"/>
      <c r="D281" s="2"/>
      <c r="E281" s="2"/>
      <c r="F281" s="2"/>
      <c r="G281" s="2"/>
      <c r="H281" s="2"/>
      <c r="I281" s="2">
        <v>69.688400000000001</v>
      </c>
      <c r="J281" s="2">
        <v>81</v>
      </c>
      <c r="K281" s="2">
        <v>70.290599999999998</v>
      </c>
      <c r="L281" s="2">
        <v>51</v>
      </c>
      <c r="M281" s="2">
        <v>99.404300000000006</v>
      </c>
      <c r="N281" s="2">
        <v>214</v>
      </c>
      <c r="O281" s="2">
        <v>95.932500000000005</v>
      </c>
      <c r="P281" s="2">
        <v>272</v>
      </c>
      <c r="Q281" s="2">
        <v>101.24939999999999</v>
      </c>
      <c r="R281" s="2">
        <v>147</v>
      </c>
      <c r="S281" s="2">
        <v>106.9513</v>
      </c>
      <c r="T281" s="2">
        <v>264</v>
      </c>
      <c r="U281" s="2">
        <v>0.222634</v>
      </c>
      <c r="V281" s="2">
        <v>280</v>
      </c>
      <c r="W281" s="2">
        <v>2008</v>
      </c>
    </row>
    <row r="282" spans="1:23" ht="12.3" x14ac:dyDescent="0.4">
      <c r="A282" s="2" t="s">
        <v>318</v>
      </c>
      <c r="B282" s="2"/>
      <c r="C282" s="2"/>
      <c r="D282" s="2"/>
      <c r="E282" s="2"/>
      <c r="F282" s="2"/>
      <c r="G282" s="2"/>
      <c r="H282" s="2"/>
      <c r="I282" s="2">
        <v>74.241799999999998</v>
      </c>
      <c r="J282" s="2">
        <v>12</v>
      </c>
      <c r="K282" s="2">
        <v>72.073499999999996</v>
      </c>
      <c r="L282" s="2">
        <v>20</v>
      </c>
      <c r="M282" s="2">
        <v>100.58320000000001</v>
      </c>
      <c r="N282" s="2">
        <v>192</v>
      </c>
      <c r="O282" s="2">
        <v>96.878299999999996</v>
      </c>
      <c r="P282" s="2">
        <v>254</v>
      </c>
      <c r="Q282" s="2">
        <v>104.8</v>
      </c>
      <c r="R282" s="2">
        <v>240</v>
      </c>
      <c r="S282" s="2">
        <v>108.021</v>
      </c>
      <c r="T282" s="2">
        <v>290</v>
      </c>
      <c r="U282" s="2">
        <v>0.222353</v>
      </c>
      <c r="V282" s="2">
        <v>281</v>
      </c>
      <c r="W282" s="2">
        <v>2008</v>
      </c>
    </row>
    <row r="283" spans="1:23" ht="12.3" x14ac:dyDescent="0.4">
      <c r="A283" s="2" t="s">
        <v>255</v>
      </c>
      <c r="B283" s="2"/>
      <c r="C283" s="2"/>
      <c r="D283" s="2"/>
      <c r="E283" s="2"/>
      <c r="F283" s="2"/>
      <c r="G283" s="2"/>
      <c r="H283" s="2"/>
      <c r="I283" s="2">
        <v>68.593500000000006</v>
      </c>
      <c r="J283" s="2">
        <v>112</v>
      </c>
      <c r="K283" s="2">
        <v>68.898099999999999</v>
      </c>
      <c r="L283" s="2">
        <v>99</v>
      </c>
      <c r="M283" s="2">
        <v>99.397099999999995</v>
      </c>
      <c r="N283" s="2">
        <v>217</v>
      </c>
      <c r="O283" s="2">
        <v>98.129000000000005</v>
      </c>
      <c r="P283" s="2">
        <v>232</v>
      </c>
      <c r="Q283" s="2">
        <v>108.08159999999999</v>
      </c>
      <c r="R283" s="2">
        <v>295</v>
      </c>
      <c r="S283" s="2">
        <v>109.44159999999999</v>
      </c>
      <c r="T283" s="2">
        <v>305</v>
      </c>
      <c r="U283" s="2">
        <v>0.22187899999999999</v>
      </c>
      <c r="V283" s="2">
        <v>282</v>
      </c>
      <c r="W283" s="2">
        <v>2008</v>
      </c>
    </row>
    <row r="284" spans="1:23" ht="12.3" x14ac:dyDescent="0.4">
      <c r="A284" s="2" t="s">
        <v>334</v>
      </c>
      <c r="B284" s="2"/>
      <c r="C284" s="2"/>
      <c r="D284" s="2"/>
      <c r="E284" s="2"/>
      <c r="F284" s="2"/>
      <c r="G284" s="2"/>
      <c r="H284" s="2"/>
      <c r="I284" s="2">
        <v>65.518299999999996</v>
      </c>
      <c r="J284" s="2">
        <v>225</v>
      </c>
      <c r="K284" s="2">
        <v>64.560100000000006</v>
      </c>
      <c r="L284" s="2">
        <v>260</v>
      </c>
      <c r="M284" s="2">
        <v>101.1648</v>
      </c>
      <c r="N284" s="2">
        <v>182</v>
      </c>
      <c r="O284" s="2">
        <v>98.234499999999997</v>
      </c>
      <c r="P284" s="2">
        <v>229</v>
      </c>
      <c r="Q284" s="2">
        <v>109.9834</v>
      </c>
      <c r="R284" s="2">
        <v>320</v>
      </c>
      <c r="S284" s="2">
        <v>109.6052</v>
      </c>
      <c r="T284" s="2">
        <v>308</v>
      </c>
      <c r="U284" s="2">
        <v>0.22104699999999999</v>
      </c>
      <c r="V284" s="2">
        <v>283</v>
      </c>
      <c r="W284" s="2">
        <v>2008</v>
      </c>
    </row>
    <row r="285" spans="1:23" ht="12.3" x14ac:dyDescent="0.4">
      <c r="A285" s="2" t="s">
        <v>185</v>
      </c>
      <c r="B285" s="2"/>
      <c r="C285" s="2"/>
      <c r="D285" s="2"/>
      <c r="E285" s="2"/>
      <c r="F285" s="2"/>
      <c r="G285" s="2"/>
      <c r="H285" s="2"/>
      <c r="I285" s="2">
        <v>65.030600000000007</v>
      </c>
      <c r="J285" s="2">
        <v>248</v>
      </c>
      <c r="K285" s="2">
        <v>64.413600000000002</v>
      </c>
      <c r="L285" s="2">
        <v>267</v>
      </c>
      <c r="M285" s="2">
        <v>92.184399999999997</v>
      </c>
      <c r="N285" s="2">
        <v>313</v>
      </c>
      <c r="O285" s="2">
        <v>94.141499999999994</v>
      </c>
      <c r="P285" s="2">
        <v>293</v>
      </c>
      <c r="Q285" s="2">
        <v>104.0012</v>
      </c>
      <c r="R285" s="2">
        <v>212</v>
      </c>
      <c r="S285" s="2">
        <v>105.1088</v>
      </c>
      <c r="T285" s="2">
        <v>232</v>
      </c>
      <c r="U285" s="2">
        <v>0.21972700000000001</v>
      </c>
      <c r="V285" s="2">
        <v>284</v>
      </c>
      <c r="W285" s="2">
        <v>2008</v>
      </c>
    </row>
    <row r="286" spans="1:23" ht="12.3" x14ac:dyDescent="0.4">
      <c r="A286" s="2" t="s">
        <v>335</v>
      </c>
      <c r="B286" s="2"/>
      <c r="C286" s="2"/>
      <c r="D286" s="2"/>
      <c r="E286" s="2"/>
      <c r="F286" s="2"/>
      <c r="G286" s="2"/>
      <c r="H286" s="2"/>
      <c r="I286" s="2">
        <v>69.339699999999993</v>
      </c>
      <c r="J286" s="2">
        <v>88</v>
      </c>
      <c r="K286" s="2">
        <v>68.664900000000003</v>
      </c>
      <c r="L286" s="2">
        <v>105</v>
      </c>
      <c r="M286" s="2">
        <v>95.864599999999996</v>
      </c>
      <c r="N286" s="2">
        <v>271</v>
      </c>
      <c r="O286" s="2">
        <v>93.5077</v>
      </c>
      <c r="P286" s="2">
        <v>302</v>
      </c>
      <c r="Q286" s="2">
        <v>104.5111</v>
      </c>
      <c r="R286" s="2">
        <v>227</v>
      </c>
      <c r="S286" s="2">
        <v>104.4468</v>
      </c>
      <c r="T286" s="2">
        <v>213</v>
      </c>
      <c r="U286" s="2">
        <v>0.218865</v>
      </c>
      <c r="V286" s="2">
        <v>285</v>
      </c>
      <c r="W286" s="2">
        <v>2008</v>
      </c>
    </row>
    <row r="287" spans="1:23" ht="12.3" x14ac:dyDescent="0.4">
      <c r="A287" s="2" t="s">
        <v>341</v>
      </c>
      <c r="B287" s="2">
        <v>16</v>
      </c>
      <c r="C287" s="2"/>
      <c r="D287" s="2"/>
      <c r="E287" s="2"/>
      <c r="F287" s="2"/>
      <c r="G287" s="2"/>
      <c r="H287" s="2"/>
      <c r="I287" s="2">
        <v>63.731699999999996</v>
      </c>
      <c r="J287" s="2">
        <v>290</v>
      </c>
      <c r="K287" s="2">
        <v>63.997599999999998</v>
      </c>
      <c r="L287" s="2">
        <v>278</v>
      </c>
      <c r="M287" s="2">
        <v>90.7727</v>
      </c>
      <c r="N287" s="2">
        <v>325</v>
      </c>
      <c r="O287" s="2">
        <v>93.313199999999995</v>
      </c>
      <c r="P287" s="2">
        <v>306</v>
      </c>
      <c r="Q287" s="2">
        <v>102.30589999999999</v>
      </c>
      <c r="R287" s="2">
        <v>178</v>
      </c>
      <c r="S287" s="2">
        <v>104.2839</v>
      </c>
      <c r="T287" s="2">
        <v>208</v>
      </c>
      <c r="U287" s="2">
        <v>0.21784200000000001</v>
      </c>
      <c r="V287" s="2">
        <v>286</v>
      </c>
      <c r="W287" s="2">
        <v>2008</v>
      </c>
    </row>
    <row r="288" spans="1:23" ht="12.3" x14ac:dyDescent="0.4">
      <c r="A288" s="2" t="s">
        <v>367</v>
      </c>
      <c r="B288" s="2"/>
      <c r="C288" s="2"/>
      <c r="D288" s="2"/>
      <c r="E288" s="2"/>
      <c r="F288" s="2"/>
      <c r="G288" s="2"/>
      <c r="H288" s="2"/>
      <c r="I288" s="2">
        <v>67.492800000000003</v>
      </c>
      <c r="J288" s="2">
        <v>158</v>
      </c>
      <c r="K288" s="2">
        <v>65.311700000000002</v>
      </c>
      <c r="L288" s="2">
        <v>228</v>
      </c>
      <c r="M288" s="2">
        <v>91.398499999999999</v>
      </c>
      <c r="N288" s="2">
        <v>320</v>
      </c>
      <c r="O288" s="2">
        <v>92.775099999999995</v>
      </c>
      <c r="P288" s="2">
        <v>311</v>
      </c>
      <c r="Q288" s="2">
        <v>104.10890000000001</v>
      </c>
      <c r="R288" s="2">
        <v>217</v>
      </c>
      <c r="S288" s="2">
        <v>103.7709</v>
      </c>
      <c r="T288" s="2">
        <v>200</v>
      </c>
      <c r="U288" s="2">
        <v>0.21617800000000001</v>
      </c>
      <c r="V288" s="2">
        <v>287</v>
      </c>
      <c r="W288" s="2">
        <v>2008</v>
      </c>
    </row>
    <row r="289" spans="1:23" ht="12.3" x14ac:dyDescent="0.4">
      <c r="A289" s="2" t="s">
        <v>364</v>
      </c>
      <c r="B289" s="2"/>
      <c r="C289" s="2"/>
      <c r="D289" s="2"/>
      <c r="E289" s="2"/>
      <c r="F289" s="2"/>
      <c r="G289" s="2"/>
      <c r="H289" s="2"/>
      <c r="I289" s="2">
        <v>68.013599999999997</v>
      </c>
      <c r="J289" s="2">
        <v>132</v>
      </c>
      <c r="K289" s="2">
        <v>66.699799999999996</v>
      </c>
      <c r="L289" s="2">
        <v>168</v>
      </c>
      <c r="M289" s="2">
        <v>93.226799999999997</v>
      </c>
      <c r="N289" s="2">
        <v>303</v>
      </c>
      <c r="O289" s="2">
        <v>92.541700000000006</v>
      </c>
      <c r="P289" s="2">
        <v>316</v>
      </c>
      <c r="Q289" s="2">
        <v>100.1322</v>
      </c>
      <c r="R289" s="2">
        <v>118</v>
      </c>
      <c r="S289" s="2">
        <v>103.5762</v>
      </c>
      <c r="T289" s="2">
        <v>195</v>
      </c>
      <c r="U289" s="2">
        <v>0.21493100000000001</v>
      </c>
      <c r="V289" s="2">
        <v>288</v>
      </c>
      <c r="W289" s="2">
        <v>2008</v>
      </c>
    </row>
    <row r="290" spans="1:23" ht="12.3" x14ac:dyDescent="0.4">
      <c r="A290" s="2" t="s">
        <v>201</v>
      </c>
      <c r="B290" s="2"/>
      <c r="C290" s="2"/>
      <c r="D290" s="2"/>
      <c r="E290" s="2"/>
      <c r="F290" s="2"/>
      <c r="G290" s="2"/>
      <c r="H290" s="2"/>
      <c r="I290" s="2">
        <v>64.220600000000005</v>
      </c>
      <c r="J290" s="2">
        <v>277</v>
      </c>
      <c r="K290" s="2">
        <v>64.001999999999995</v>
      </c>
      <c r="L290" s="2">
        <v>277</v>
      </c>
      <c r="M290" s="2">
        <v>98.393500000000003</v>
      </c>
      <c r="N290" s="2">
        <v>231</v>
      </c>
      <c r="O290" s="2">
        <v>94.049499999999995</v>
      </c>
      <c r="P290" s="2">
        <v>296</v>
      </c>
      <c r="Q290" s="2">
        <v>105.98260000000001</v>
      </c>
      <c r="R290" s="2">
        <v>271</v>
      </c>
      <c r="S290" s="2">
        <v>105.6384</v>
      </c>
      <c r="T290" s="2">
        <v>238</v>
      </c>
      <c r="U290" s="2">
        <v>0.208117</v>
      </c>
      <c r="V290" s="2">
        <v>289</v>
      </c>
      <c r="W290" s="2">
        <v>2008</v>
      </c>
    </row>
    <row r="291" spans="1:23" ht="12.3" x14ac:dyDescent="0.4">
      <c r="A291" s="2" t="s">
        <v>140</v>
      </c>
      <c r="B291" s="2"/>
      <c r="C291" s="2"/>
      <c r="D291" s="2"/>
      <c r="E291" s="2"/>
      <c r="F291" s="2"/>
      <c r="G291" s="2"/>
      <c r="H291" s="2"/>
      <c r="I291" s="2">
        <v>66.997</v>
      </c>
      <c r="J291" s="2">
        <v>171</v>
      </c>
      <c r="K291" s="2">
        <v>66.1648</v>
      </c>
      <c r="L291" s="2">
        <v>192</v>
      </c>
      <c r="M291" s="2">
        <v>91.735600000000005</v>
      </c>
      <c r="N291" s="2">
        <v>317</v>
      </c>
      <c r="O291" s="2">
        <v>94.003699999999995</v>
      </c>
      <c r="P291" s="2">
        <v>297</v>
      </c>
      <c r="Q291" s="2">
        <v>105.2543</v>
      </c>
      <c r="R291" s="2">
        <v>254</v>
      </c>
      <c r="S291" s="2">
        <v>106.13500000000001</v>
      </c>
      <c r="T291" s="2">
        <v>246</v>
      </c>
      <c r="U291" s="2">
        <v>0.19847699999999999</v>
      </c>
      <c r="V291" s="2">
        <v>290</v>
      </c>
      <c r="W291" s="2">
        <v>2008</v>
      </c>
    </row>
    <row r="292" spans="1:23" ht="12.3" x14ac:dyDescent="0.4">
      <c r="A292" s="2" t="s">
        <v>301</v>
      </c>
      <c r="B292" s="2"/>
      <c r="C292" s="2"/>
      <c r="D292" s="2"/>
      <c r="E292" s="2"/>
      <c r="F292" s="2"/>
      <c r="G292" s="2"/>
      <c r="H292" s="2"/>
      <c r="I292" s="2">
        <v>66.9268</v>
      </c>
      <c r="J292" s="2">
        <v>174</v>
      </c>
      <c r="K292" s="2">
        <v>67.103899999999996</v>
      </c>
      <c r="L292" s="2">
        <v>156</v>
      </c>
      <c r="M292" s="2">
        <v>94.026700000000005</v>
      </c>
      <c r="N292" s="2">
        <v>296</v>
      </c>
      <c r="O292" s="2">
        <v>94.746499999999997</v>
      </c>
      <c r="P292" s="2">
        <v>286</v>
      </c>
      <c r="Q292" s="2">
        <v>103.1498</v>
      </c>
      <c r="R292" s="2">
        <v>199</v>
      </c>
      <c r="S292" s="2">
        <v>107.0333</v>
      </c>
      <c r="T292" s="2">
        <v>268</v>
      </c>
      <c r="U292" s="2">
        <v>0.197459</v>
      </c>
      <c r="V292" s="2">
        <v>291</v>
      </c>
      <c r="W292" s="2">
        <v>2008</v>
      </c>
    </row>
    <row r="293" spans="1:23" ht="12.3" x14ac:dyDescent="0.4">
      <c r="A293" s="2" t="s">
        <v>299</v>
      </c>
      <c r="B293" s="2">
        <v>16</v>
      </c>
      <c r="C293" s="2"/>
      <c r="D293" s="2"/>
      <c r="E293" s="2"/>
      <c r="F293" s="2"/>
      <c r="G293" s="2"/>
      <c r="H293" s="2"/>
      <c r="I293" s="2">
        <v>65.141099999999994</v>
      </c>
      <c r="J293" s="2">
        <v>238</v>
      </c>
      <c r="K293" s="2">
        <v>64.698800000000006</v>
      </c>
      <c r="L293" s="2">
        <v>255</v>
      </c>
      <c r="M293" s="2">
        <v>92.817999999999998</v>
      </c>
      <c r="N293" s="2">
        <v>308</v>
      </c>
      <c r="O293" s="2">
        <v>92.2821</v>
      </c>
      <c r="P293" s="2">
        <v>317</v>
      </c>
      <c r="Q293" s="2">
        <v>100.9277</v>
      </c>
      <c r="R293" s="2">
        <v>138</v>
      </c>
      <c r="S293" s="2">
        <v>104.2745</v>
      </c>
      <c r="T293" s="2">
        <v>207</v>
      </c>
      <c r="U293" s="2">
        <v>0.19702</v>
      </c>
      <c r="V293" s="2">
        <v>292</v>
      </c>
      <c r="W293" s="2">
        <v>2008</v>
      </c>
    </row>
    <row r="294" spans="1:23" ht="12.3" x14ac:dyDescent="0.4">
      <c r="A294" s="2" t="s">
        <v>208</v>
      </c>
      <c r="B294" s="2"/>
      <c r="C294" s="2"/>
      <c r="D294" s="2"/>
      <c r="E294" s="2"/>
      <c r="F294" s="2"/>
      <c r="G294" s="2"/>
      <c r="H294" s="2"/>
      <c r="I294" s="2">
        <v>56.8277</v>
      </c>
      <c r="J294" s="2">
        <v>341</v>
      </c>
      <c r="K294" s="2">
        <v>56.404899999999998</v>
      </c>
      <c r="L294" s="2">
        <v>341</v>
      </c>
      <c r="M294" s="2">
        <v>99.915700000000001</v>
      </c>
      <c r="N294" s="2">
        <v>209</v>
      </c>
      <c r="O294" s="2">
        <v>97.0899</v>
      </c>
      <c r="P294" s="2">
        <v>249</v>
      </c>
      <c r="Q294" s="2">
        <v>108.2427</v>
      </c>
      <c r="R294" s="2">
        <v>297</v>
      </c>
      <c r="S294" s="2">
        <v>109.9496</v>
      </c>
      <c r="T294" s="2">
        <v>312</v>
      </c>
      <c r="U294" s="2">
        <v>0.19303300000000001</v>
      </c>
      <c r="V294" s="2">
        <v>293</v>
      </c>
      <c r="W294" s="2">
        <v>2008</v>
      </c>
    </row>
    <row r="295" spans="1:23" ht="12.3" x14ac:dyDescent="0.4">
      <c r="A295" s="2" t="s">
        <v>319</v>
      </c>
      <c r="B295" s="2"/>
      <c r="C295" s="2"/>
      <c r="D295" s="2"/>
      <c r="E295" s="2"/>
      <c r="F295" s="2"/>
      <c r="G295" s="2"/>
      <c r="H295" s="2"/>
      <c r="I295" s="2">
        <v>71.507099999999994</v>
      </c>
      <c r="J295" s="2">
        <v>37</v>
      </c>
      <c r="K295" s="2">
        <v>69.769499999999994</v>
      </c>
      <c r="L295" s="2">
        <v>72</v>
      </c>
      <c r="M295" s="2">
        <v>98.889700000000005</v>
      </c>
      <c r="N295" s="2">
        <v>222</v>
      </c>
      <c r="O295" s="2">
        <v>95.278000000000006</v>
      </c>
      <c r="P295" s="2">
        <v>278</v>
      </c>
      <c r="Q295" s="2">
        <v>105.0202</v>
      </c>
      <c r="R295" s="2">
        <v>248</v>
      </c>
      <c r="S295" s="2">
        <v>107.9079</v>
      </c>
      <c r="T295" s="2">
        <v>286</v>
      </c>
      <c r="U295" s="2">
        <v>0.19286300000000001</v>
      </c>
      <c r="V295" s="2">
        <v>294</v>
      </c>
      <c r="W295" s="2">
        <v>2008</v>
      </c>
    </row>
    <row r="296" spans="1:23" ht="12.3" x14ac:dyDescent="0.4">
      <c r="A296" s="2" t="s">
        <v>195</v>
      </c>
      <c r="B296" s="2"/>
      <c r="C296" s="2"/>
      <c r="D296" s="2"/>
      <c r="E296" s="2"/>
      <c r="F296" s="2"/>
      <c r="G296" s="2"/>
      <c r="H296" s="2"/>
      <c r="I296" s="2">
        <v>65.800799999999995</v>
      </c>
      <c r="J296" s="2">
        <v>206</v>
      </c>
      <c r="K296" s="2">
        <v>66.138400000000004</v>
      </c>
      <c r="L296" s="2">
        <v>193</v>
      </c>
      <c r="M296" s="2">
        <v>93.367500000000007</v>
      </c>
      <c r="N296" s="2">
        <v>302</v>
      </c>
      <c r="O296" s="2">
        <v>93.076300000000003</v>
      </c>
      <c r="P296" s="2">
        <v>308</v>
      </c>
      <c r="Q296" s="2">
        <v>108.4014</v>
      </c>
      <c r="R296" s="2">
        <v>299</v>
      </c>
      <c r="S296" s="2">
        <v>105.4786</v>
      </c>
      <c r="T296" s="2">
        <v>234</v>
      </c>
      <c r="U296" s="2">
        <v>0.191774</v>
      </c>
      <c r="V296" s="2">
        <v>295</v>
      </c>
      <c r="W296" s="2">
        <v>2008</v>
      </c>
    </row>
    <row r="297" spans="1:23" ht="12.3" x14ac:dyDescent="0.4">
      <c r="A297" s="2" t="s">
        <v>283</v>
      </c>
      <c r="B297" s="2"/>
      <c r="C297" s="2"/>
      <c r="D297" s="2"/>
      <c r="E297" s="2"/>
      <c r="F297" s="2"/>
      <c r="G297" s="2"/>
      <c r="H297" s="2"/>
      <c r="I297" s="2">
        <v>66.677000000000007</v>
      </c>
      <c r="J297" s="2">
        <v>183</v>
      </c>
      <c r="K297" s="2">
        <v>65.843999999999994</v>
      </c>
      <c r="L297" s="2">
        <v>207</v>
      </c>
      <c r="M297" s="2">
        <v>93.109800000000007</v>
      </c>
      <c r="N297" s="2">
        <v>304</v>
      </c>
      <c r="O297" s="2">
        <v>94.755700000000004</v>
      </c>
      <c r="P297" s="2">
        <v>285</v>
      </c>
      <c r="Q297" s="2">
        <v>109.76</v>
      </c>
      <c r="R297" s="2">
        <v>318</v>
      </c>
      <c r="S297" s="2">
        <v>107.3965</v>
      </c>
      <c r="T297" s="2">
        <v>274</v>
      </c>
      <c r="U297" s="2">
        <v>0.19153000000000001</v>
      </c>
      <c r="V297" s="2">
        <v>296</v>
      </c>
      <c r="W297" s="2">
        <v>2008</v>
      </c>
    </row>
    <row r="298" spans="1:23" ht="12.3" x14ac:dyDescent="0.4">
      <c r="A298" s="2" t="s">
        <v>304</v>
      </c>
      <c r="B298" s="2"/>
      <c r="C298" s="2"/>
      <c r="D298" s="2"/>
      <c r="E298" s="2"/>
      <c r="F298" s="2"/>
      <c r="G298" s="2"/>
      <c r="H298" s="2"/>
      <c r="I298" s="2">
        <v>65.910700000000006</v>
      </c>
      <c r="J298" s="2">
        <v>202</v>
      </c>
      <c r="K298" s="2">
        <v>65.630499999999998</v>
      </c>
      <c r="L298" s="2">
        <v>213</v>
      </c>
      <c r="M298" s="2">
        <v>94.821399999999997</v>
      </c>
      <c r="N298" s="2">
        <v>283</v>
      </c>
      <c r="O298" s="2">
        <v>95.990200000000002</v>
      </c>
      <c r="P298" s="2">
        <v>270</v>
      </c>
      <c r="Q298" s="2">
        <v>108.54219999999999</v>
      </c>
      <c r="R298" s="2">
        <v>302</v>
      </c>
      <c r="S298" s="2">
        <v>108.9289</v>
      </c>
      <c r="T298" s="2">
        <v>301</v>
      </c>
      <c r="U298" s="2">
        <v>0.189362</v>
      </c>
      <c r="V298" s="2">
        <v>297</v>
      </c>
      <c r="W298" s="2">
        <v>2008</v>
      </c>
    </row>
    <row r="299" spans="1:23" ht="12.3" x14ac:dyDescent="0.4">
      <c r="A299" s="2" t="s">
        <v>368</v>
      </c>
      <c r="B299" s="2"/>
      <c r="C299" s="2"/>
      <c r="D299" s="2"/>
      <c r="E299" s="2"/>
      <c r="F299" s="2"/>
      <c r="G299" s="2"/>
      <c r="H299" s="2"/>
      <c r="I299" s="2">
        <v>60.4773</v>
      </c>
      <c r="J299" s="2">
        <v>327</v>
      </c>
      <c r="K299" s="2">
        <v>60.699599999999997</v>
      </c>
      <c r="L299" s="2">
        <v>330</v>
      </c>
      <c r="M299" s="2">
        <v>91.86</v>
      </c>
      <c r="N299" s="2">
        <v>315</v>
      </c>
      <c r="O299" s="2">
        <v>95.039100000000005</v>
      </c>
      <c r="P299" s="2">
        <v>280</v>
      </c>
      <c r="Q299" s="2">
        <v>112.9532</v>
      </c>
      <c r="R299" s="2">
        <v>337</v>
      </c>
      <c r="S299" s="2">
        <v>107.9472</v>
      </c>
      <c r="T299" s="2">
        <v>289</v>
      </c>
      <c r="U299" s="2">
        <v>0.18776899999999999</v>
      </c>
      <c r="V299" s="2">
        <v>298</v>
      </c>
      <c r="W299" s="2">
        <v>2008</v>
      </c>
    </row>
    <row r="300" spans="1:23" ht="12.3" x14ac:dyDescent="0.4">
      <c r="A300" s="2" t="s">
        <v>284</v>
      </c>
      <c r="B300" s="2"/>
      <c r="C300" s="2"/>
      <c r="D300" s="2"/>
      <c r="E300" s="2"/>
      <c r="F300" s="2"/>
      <c r="G300" s="2"/>
      <c r="H300" s="2"/>
      <c r="I300" s="2">
        <v>64.240899999999996</v>
      </c>
      <c r="J300" s="2">
        <v>275</v>
      </c>
      <c r="K300" s="2">
        <v>63.6068</v>
      </c>
      <c r="L300" s="2">
        <v>291</v>
      </c>
      <c r="M300" s="2">
        <v>91.625799999999998</v>
      </c>
      <c r="N300" s="2">
        <v>318</v>
      </c>
      <c r="O300" s="2">
        <v>93.363200000000006</v>
      </c>
      <c r="P300" s="2">
        <v>304</v>
      </c>
      <c r="Q300" s="2">
        <v>105.5025</v>
      </c>
      <c r="R300" s="2">
        <v>262</v>
      </c>
      <c r="S300" s="2">
        <v>106.1677</v>
      </c>
      <c r="T300" s="2">
        <v>249</v>
      </c>
      <c r="U300" s="2">
        <v>0.185728</v>
      </c>
      <c r="V300" s="2">
        <v>299</v>
      </c>
      <c r="W300" s="2">
        <v>2008</v>
      </c>
    </row>
    <row r="301" spans="1:23" ht="12.3" x14ac:dyDescent="0.4">
      <c r="A301" s="2" t="s">
        <v>223</v>
      </c>
      <c r="B301" s="2"/>
      <c r="C301" s="2"/>
      <c r="D301" s="2"/>
      <c r="E301" s="2"/>
      <c r="F301" s="2"/>
      <c r="G301" s="2"/>
      <c r="H301" s="2"/>
      <c r="I301" s="2">
        <v>69.8108</v>
      </c>
      <c r="J301" s="2">
        <v>74</v>
      </c>
      <c r="K301" s="2">
        <v>70.440700000000007</v>
      </c>
      <c r="L301" s="2">
        <v>47</v>
      </c>
      <c r="M301" s="2">
        <v>95.286199999999994</v>
      </c>
      <c r="N301" s="2">
        <v>275</v>
      </c>
      <c r="O301" s="2">
        <v>94.257300000000001</v>
      </c>
      <c r="P301" s="2">
        <v>291</v>
      </c>
      <c r="Q301" s="2">
        <v>110.1807</v>
      </c>
      <c r="R301" s="2">
        <v>323</v>
      </c>
      <c r="S301" s="2">
        <v>107.24939999999999</v>
      </c>
      <c r="T301" s="2">
        <v>271</v>
      </c>
      <c r="U301" s="2">
        <v>0.18467700000000001</v>
      </c>
      <c r="V301" s="2">
        <v>300</v>
      </c>
      <c r="W301" s="2">
        <v>2008</v>
      </c>
    </row>
    <row r="302" spans="1:23" ht="12.3" x14ac:dyDescent="0.4">
      <c r="A302" s="2" t="s">
        <v>294</v>
      </c>
      <c r="B302" s="2"/>
      <c r="C302" s="2"/>
      <c r="D302" s="2"/>
      <c r="E302" s="2"/>
      <c r="F302" s="2"/>
      <c r="G302" s="2"/>
      <c r="H302" s="2"/>
      <c r="I302" s="2">
        <v>61.6374</v>
      </c>
      <c r="J302" s="2">
        <v>319</v>
      </c>
      <c r="K302" s="2">
        <v>61.550899999999999</v>
      </c>
      <c r="L302" s="2">
        <v>325</v>
      </c>
      <c r="M302" s="2">
        <v>94.275999999999996</v>
      </c>
      <c r="N302" s="2">
        <v>290</v>
      </c>
      <c r="O302" s="2">
        <v>94.387100000000004</v>
      </c>
      <c r="P302" s="2">
        <v>289</v>
      </c>
      <c r="Q302" s="2">
        <v>110.1808</v>
      </c>
      <c r="R302" s="2">
        <v>324</v>
      </c>
      <c r="S302" s="2">
        <v>107.5702</v>
      </c>
      <c r="T302" s="2">
        <v>280</v>
      </c>
      <c r="U302" s="2">
        <v>0.18190300000000001</v>
      </c>
      <c r="V302" s="2">
        <v>301</v>
      </c>
      <c r="W302" s="2">
        <v>2008</v>
      </c>
    </row>
    <row r="303" spans="1:23" ht="12.3" x14ac:dyDescent="0.4">
      <c r="A303" s="2" t="s">
        <v>336</v>
      </c>
      <c r="B303" s="2"/>
      <c r="C303" s="2"/>
      <c r="D303" s="2"/>
      <c r="E303" s="2"/>
      <c r="F303" s="2"/>
      <c r="G303" s="2"/>
      <c r="H303" s="2"/>
      <c r="I303" s="2">
        <v>64.246799999999993</v>
      </c>
      <c r="J303" s="2">
        <v>274</v>
      </c>
      <c r="K303" s="2">
        <v>63.946899999999999</v>
      </c>
      <c r="L303" s="2">
        <v>280</v>
      </c>
      <c r="M303" s="2">
        <v>94.226200000000006</v>
      </c>
      <c r="N303" s="2">
        <v>292</v>
      </c>
      <c r="O303" s="2">
        <v>91.959800000000001</v>
      </c>
      <c r="P303" s="2">
        <v>319</v>
      </c>
      <c r="Q303" s="2">
        <v>102.7311</v>
      </c>
      <c r="R303" s="2">
        <v>187</v>
      </c>
      <c r="S303" s="2">
        <v>104.84739999999999</v>
      </c>
      <c r="T303" s="2">
        <v>223</v>
      </c>
      <c r="U303" s="2">
        <v>0.18119399999999999</v>
      </c>
      <c r="V303" s="2">
        <v>302</v>
      </c>
      <c r="W303" s="2">
        <v>2008</v>
      </c>
    </row>
    <row r="304" spans="1:23" ht="12.3" x14ac:dyDescent="0.4">
      <c r="A304" s="2" t="s">
        <v>344</v>
      </c>
      <c r="B304" s="2"/>
      <c r="C304" s="2"/>
      <c r="D304" s="2"/>
      <c r="E304" s="2"/>
      <c r="F304" s="2"/>
      <c r="G304" s="2"/>
      <c r="H304" s="2"/>
      <c r="I304" s="2">
        <v>69.604200000000006</v>
      </c>
      <c r="J304" s="2">
        <v>82</v>
      </c>
      <c r="K304" s="2">
        <v>69.012200000000007</v>
      </c>
      <c r="L304" s="2">
        <v>91</v>
      </c>
      <c r="M304" s="2">
        <v>100.18129999999999</v>
      </c>
      <c r="N304" s="2">
        <v>203</v>
      </c>
      <c r="O304" s="2">
        <v>98.308899999999994</v>
      </c>
      <c r="P304" s="2">
        <v>226</v>
      </c>
      <c r="Q304" s="2">
        <v>112.0658</v>
      </c>
      <c r="R304" s="2">
        <v>334</v>
      </c>
      <c r="S304" s="2">
        <v>112.1148</v>
      </c>
      <c r="T304" s="2">
        <v>328</v>
      </c>
      <c r="U304" s="2">
        <v>0.18076100000000001</v>
      </c>
      <c r="V304" s="2">
        <v>303</v>
      </c>
      <c r="W304" s="2">
        <v>2008</v>
      </c>
    </row>
    <row r="305" spans="1:23" ht="12.3" x14ac:dyDescent="0.4">
      <c r="A305" s="2" t="s">
        <v>277</v>
      </c>
      <c r="B305" s="2"/>
      <c r="C305" s="2"/>
      <c r="D305" s="2"/>
      <c r="E305" s="2"/>
      <c r="F305" s="2"/>
      <c r="G305" s="2"/>
      <c r="H305" s="2"/>
      <c r="I305" s="2">
        <v>69.801100000000005</v>
      </c>
      <c r="J305" s="2">
        <v>76</v>
      </c>
      <c r="K305" s="2">
        <v>69.075000000000003</v>
      </c>
      <c r="L305" s="2">
        <v>88</v>
      </c>
      <c r="M305" s="2">
        <v>94.194800000000001</v>
      </c>
      <c r="N305" s="2">
        <v>294</v>
      </c>
      <c r="O305" s="2">
        <v>91.810599999999994</v>
      </c>
      <c r="P305" s="2">
        <v>321</v>
      </c>
      <c r="Q305" s="2">
        <v>102.97580000000001</v>
      </c>
      <c r="R305" s="2">
        <v>194</v>
      </c>
      <c r="S305" s="2">
        <v>104.90770000000001</v>
      </c>
      <c r="T305" s="2">
        <v>224</v>
      </c>
      <c r="U305" s="2">
        <v>0.17747399999999999</v>
      </c>
      <c r="V305" s="2">
        <v>304</v>
      </c>
      <c r="W305" s="2">
        <v>2008</v>
      </c>
    </row>
    <row r="306" spans="1:23" ht="12.3" x14ac:dyDescent="0.4">
      <c r="A306" s="2" t="s">
        <v>327</v>
      </c>
      <c r="B306" s="2"/>
      <c r="C306" s="2"/>
      <c r="D306" s="2"/>
      <c r="E306" s="2"/>
      <c r="F306" s="2"/>
      <c r="G306" s="2"/>
      <c r="H306" s="2"/>
      <c r="I306" s="2">
        <v>66.441299999999998</v>
      </c>
      <c r="J306" s="2">
        <v>187</v>
      </c>
      <c r="K306" s="2">
        <v>66.642600000000002</v>
      </c>
      <c r="L306" s="2">
        <v>169</v>
      </c>
      <c r="M306" s="2">
        <v>93.073400000000007</v>
      </c>
      <c r="N306" s="2">
        <v>305</v>
      </c>
      <c r="O306" s="2">
        <v>91.6584</v>
      </c>
      <c r="P306" s="2">
        <v>323</v>
      </c>
      <c r="Q306" s="2">
        <v>104.0932</v>
      </c>
      <c r="R306" s="2">
        <v>216</v>
      </c>
      <c r="S306" s="2">
        <v>104.9632</v>
      </c>
      <c r="T306" s="2">
        <v>226</v>
      </c>
      <c r="U306" s="2">
        <v>0.17383100000000001</v>
      </c>
      <c r="V306" s="2">
        <v>305</v>
      </c>
      <c r="W306" s="2">
        <v>2008</v>
      </c>
    </row>
    <row r="307" spans="1:23" ht="12.3" x14ac:dyDescent="0.4">
      <c r="A307" s="2" t="s">
        <v>361</v>
      </c>
      <c r="B307" s="2"/>
      <c r="C307" s="2"/>
      <c r="D307" s="2"/>
      <c r="E307" s="2"/>
      <c r="F307" s="2"/>
      <c r="G307" s="2"/>
      <c r="H307" s="2"/>
      <c r="I307" s="2">
        <v>71.8887</v>
      </c>
      <c r="J307" s="2">
        <v>30</v>
      </c>
      <c r="K307" s="2">
        <v>69.962199999999996</v>
      </c>
      <c r="L307" s="2">
        <v>61</v>
      </c>
      <c r="M307" s="2">
        <v>94.681299999999993</v>
      </c>
      <c r="N307" s="2">
        <v>286</v>
      </c>
      <c r="O307" s="2">
        <v>93.706599999999995</v>
      </c>
      <c r="P307" s="2">
        <v>301</v>
      </c>
      <c r="Q307" s="2">
        <v>103.5993</v>
      </c>
      <c r="R307" s="2">
        <v>205</v>
      </c>
      <c r="S307" s="2">
        <v>107.53100000000001</v>
      </c>
      <c r="T307" s="2">
        <v>279</v>
      </c>
      <c r="U307" s="2">
        <v>0.17043900000000001</v>
      </c>
      <c r="V307" s="2">
        <v>306</v>
      </c>
      <c r="W307" s="2">
        <v>2008</v>
      </c>
    </row>
    <row r="308" spans="1:23" ht="12.3" x14ac:dyDescent="0.4">
      <c r="A308" s="2" t="s">
        <v>188</v>
      </c>
      <c r="B308" s="2"/>
      <c r="C308" s="2"/>
      <c r="D308" s="2"/>
      <c r="E308" s="2"/>
      <c r="F308" s="2"/>
      <c r="G308" s="2"/>
      <c r="H308" s="2"/>
      <c r="I308" s="2">
        <v>65.116299999999995</v>
      </c>
      <c r="J308" s="2">
        <v>240</v>
      </c>
      <c r="K308" s="2">
        <v>64.556399999999996</v>
      </c>
      <c r="L308" s="2">
        <v>262</v>
      </c>
      <c r="M308" s="2">
        <v>95.332999999999998</v>
      </c>
      <c r="N308" s="2">
        <v>274</v>
      </c>
      <c r="O308" s="2">
        <v>96.213300000000004</v>
      </c>
      <c r="P308" s="2">
        <v>264</v>
      </c>
      <c r="Q308" s="2">
        <v>108.96899999999999</v>
      </c>
      <c r="R308" s="2">
        <v>308</v>
      </c>
      <c r="S308" s="2">
        <v>110.52889999999999</v>
      </c>
      <c r="T308" s="2">
        <v>317</v>
      </c>
      <c r="U308" s="2">
        <v>0.16866</v>
      </c>
      <c r="V308" s="2">
        <v>307</v>
      </c>
      <c r="W308" s="2">
        <v>2008</v>
      </c>
    </row>
    <row r="309" spans="1:23" ht="12.3" x14ac:dyDescent="0.4">
      <c r="A309" s="2" t="s">
        <v>251</v>
      </c>
      <c r="B309" s="2"/>
      <c r="C309" s="2"/>
      <c r="D309" s="2"/>
      <c r="E309" s="2"/>
      <c r="F309" s="2"/>
      <c r="G309" s="2"/>
      <c r="H309" s="2"/>
      <c r="I309" s="2">
        <v>63.324800000000003</v>
      </c>
      <c r="J309" s="2">
        <v>294</v>
      </c>
      <c r="K309" s="2">
        <v>62.188099999999999</v>
      </c>
      <c r="L309" s="2">
        <v>318</v>
      </c>
      <c r="M309" s="2">
        <v>92.378799999999998</v>
      </c>
      <c r="N309" s="2">
        <v>310</v>
      </c>
      <c r="O309" s="2">
        <v>92.665099999999995</v>
      </c>
      <c r="P309" s="2">
        <v>313</v>
      </c>
      <c r="Q309" s="2">
        <v>104.3122</v>
      </c>
      <c r="R309" s="2">
        <v>222</v>
      </c>
      <c r="S309" s="2">
        <v>106.8008</v>
      </c>
      <c r="T309" s="2">
        <v>260</v>
      </c>
      <c r="U309" s="2">
        <v>0.163463</v>
      </c>
      <c r="V309" s="2">
        <v>308</v>
      </c>
      <c r="W309" s="2">
        <v>2008</v>
      </c>
    </row>
    <row r="310" spans="1:23" ht="12.3" x14ac:dyDescent="0.4">
      <c r="A310" s="2" t="s">
        <v>312</v>
      </c>
      <c r="B310" s="2"/>
      <c r="C310" s="2"/>
      <c r="D310" s="2"/>
      <c r="E310" s="2"/>
      <c r="F310" s="2"/>
      <c r="G310" s="2"/>
      <c r="H310" s="2"/>
      <c r="I310" s="2">
        <v>72.276499999999999</v>
      </c>
      <c r="J310" s="2">
        <v>25</v>
      </c>
      <c r="K310" s="2">
        <v>71.475200000000001</v>
      </c>
      <c r="L310" s="2">
        <v>31</v>
      </c>
      <c r="M310" s="2">
        <v>95.078299999999999</v>
      </c>
      <c r="N310" s="2">
        <v>278</v>
      </c>
      <c r="O310" s="2">
        <v>92.631</v>
      </c>
      <c r="P310" s="2">
        <v>314</v>
      </c>
      <c r="Q310" s="2">
        <v>102.2042</v>
      </c>
      <c r="R310" s="2">
        <v>176</v>
      </c>
      <c r="S310" s="2">
        <v>106.84950000000001</v>
      </c>
      <c r="T310" s="2">
        <v>261</v>
      </c>
      <c r="U310" s="2">
        <v>0.16216900000000001</v>
      </c>
      <c r="V310" s="2">
        <v>309</v>
      </c>
      <c r="W310" s="2">
        <v>2008</v>
      </c>
    </row>
    <row r="311" spans="1:23" ht="12.3" x14ac:dyDescent="0.4">
      <c r="A311" s="2" t="s">
        <v>296</v>
      </c>
      <c r="B311" s="2"/>
      <c r="C311" s="2"/>
      <c r="D311" s="2"/>
      <c r="E311" s="2"/>
      <c r="F311" s="2"/>
      <c r="G311" s="2"/>
      <c r="H311" s="2"/>
      <c r="I311" s="2">
        <v>68.2774</v>
      </c>
      <c r="J311" s="2">
        <v>122</v>
      </c>
      <c r="K311" s="2">
        <v>68.820099999999996</v>
      </c>
      <c r="L311" s="2">
        <v>100</v>
      </c>
      <c r="M311" s="2">
        <v>95.654399999999995</v>
      </c>
      <c r="N311" s="2">
        <v>272</v>
      </c>
      <c r="O311" s="2">
        <v>95.330699999999993</v>
      </c>
      <c r="P311" s="2">
        <v>276</v>
      </c>
      <c r="Q311" s="2">
        <v>105.86</v>
      </c>
      <c r="R311" s="2">
        <v>268</v>
      </c>
      <c r="S311" s="2">
        <v>109.9952</v>
      </c>
      <c r="T311" s="2">
        <v>313</v>
      </c>
      <c r="U311" s="2">
        <v>0.161722</v>
      </c>
      <c r="V311" s="2">
        <v>310</v>
      </c>
      <c r="W311" s="2">
        <v>2008</v>
      </c>
    </row>
    <row r="312" spans="1:23" ht="12.3" x14ac:dyDescent="0.4">
      <c r="A312" s="2" t="s">
        <v>369</v>
      </c>
      <c r="B312" s="2"/>
      <c r="C312" s="2"/>
      <c r="D312" s="2"/>
      <c r="E312" s="2"/>
      <c r="F312" s="2"/>
      <c r="G312" s="2"/>
      <c r="H312" s="2"/>
      <c r="I312" s="2">
        <v>69.810400000000001</v>
      </c>
      <c r="J312" s="2">
        <v>75</v>
      </c>
      <c r="K312" s="2">
        <v>69.045400000000001</v>
      </c>
      <c r="L312" s="2">
        <v>89</v>
      </c>
      <c r="M312" s="2">
        <v>93.392899999999997</v>
      </c>
      <c r="N312" s="2">
        <v>301</v>
      </c>
      <c r="O312" s="2">
        <v>94.122799999999998</v>
      </c>
      <c r="P312" s="2">
        <v>294</v>
      </c>
      <c r="Q312" s="2">
        <v>104.67059999999999</v>
      </c>
      <c r="R312" s="2">
        <v>232</v>
      </c>
      <c r="S312" s="2">
        <v>108.77290000000001</v>
      </c>
      <c r="T312" s="2">
        <v>299</v>
      </c>
      <c r="U312" s="2">
        <v>0.159277</v>
      </c>
      <c r="V312" s="2">
        <v>311</v>
      </c>
      <c r="W312" s="2">
        <v>2008</v>
      </c>
    </row>
    <row r="313" spans="1:23" ht="12.3" x14ac:dyDescent="0.4">
      <c r="A313" s="2" t="s">
        <v>288</v>
      </c>
      <c r="B313" s="2"/>
      <c r="C313" s="2"/>
      <c r="D313" s="2"/>
      <c r="E313" s="2"/>
      <c r="F313" s="2"/>
      <c r="G313" s="2"/>
      <c r="H313" s="2"/>
      <c r="I313" s="2">
        <v>71.9452</v>
      </c>
      <c r="J313" s="2">
        <v>28</v>
      </c>
      <c r="K313" s="2">
        <v>72.043400000000005</v>
      </c>
      <c r="L313" s="2">
        <v>21</v>
      </c>
      <c r="M313" s="2">
        <v>96.757800000000003</v>
      </c>
      <c r="N313" s="2">
        <v>258</v>
      </c>
      <c r="O313" s="2">
        <v>96.237799999999993</v>
      </c>
      <c r="P313" s="2">
        <v>263</v>
      </c>
      <c r="Q313" s="2">
        <v>104.6729</v>
      </c>
      <c r="R313" s="2">
        <v>233</v>
      </c>
      <c r="S313" s="2">
        <v>111.40479999999999</v>
      </c>
      <c r="T313" s="2">
        <v>324</v>
      </c>
      <c r="U313" s="2">
        <v>0.156698</v>
      </c>
      <c r="V313" s="2">
        <v>312</v>
      </c>
      <c r="W313" s="2">
        <v>2008</v>
      </c>
    </row>
    <row r="314" spans="1:23" ht="12.3" x14ac:dyDescent="0.4">
      <c r="A314" s="2" t="s">
        <v>305</v>
      </c>
      <c r="B314" s="2"/>
      <c r="C314" s="2"/>
      <c r="D314" s="2"/>
      <c r="E314" s="2"/>
      <c r="F314" s="2"/>
      <c r="G314" s="2"/>
      <c r="H314" s="2"/>
      <c r="I314" s="2">
        <v>70.620999999999995</v>
      </c>
      <c r="J314" s="2">
        <v>54</v>
      </c>
      <c r="K314" s="2">
        <v>69.932599999999994</v>
      </c>
      <c r="L314" s="2">
        <v>62</v>
      </c>
      <c r="M314" s="2">
        <v>99.345299999999995</v>
      </c>
      <c r="N314" s="2">
        <v>218</v>
      </c>
      <c r="O314" s="2">
        <v>98.701300000000003</v>
      </c>
      <c r="P314" s="2">
        <v>220</v>
      </c>
      <c r="Q314" s="2">
        <v>113.3352</v>
      </c>
      <c r="R314" s="2">
        <v>340</v>
      </c>
      <c r="S314" s="2">
        <v>114.52500000000001</v>
      </c>
      <c r="T314" s="2">
        <v>337</v>
      </c>
      <c r="U314" s="2">
        <v>0.15316399999999999</v>
      </c>
      <c r="V314" s="2">
        <v>313</v>
      </c>
      <c r="W314" s="2">
        <v>2008</v>
      </c>
    </row>
    <row r="315" spans="1:23" ht="12.3" x14ac:dyDescent="0.4">
      <c r="A315" s="2" t="s">
        <v>272</v>
      </c>
      <c r="B315" s="2"/>
      <c r="C315" s="2"/>
      <c r="D315" s="2"/>
      <c r="E315" s="2"/>
      <c r="F315" s="2"/>
      <c r="G315" s="2"/>
      <c r="H315" s="2"/>
      <c r="I315" s="2">
        <v>70.349000000000004</v>
      </c>
      <c r="J315" s="2">
        <v>63</v>
      </c>
      <c r="K315" s="2">
        <v>69.500900000000001</v>
      </c>
      <c r="L315" s="2">
        <v>79</v>
      </c>
      <c r="M315" s="2">
        <v>91.162899999999993</v>
      </c>
      <c r="N315" s="2">
        <v>322</v>
      </c>
      <c r="O315" s="2">
        <v>89.146299999999997</v>
      </c>
      <c r="P315" s="2">
        <v>331</v>
      </c>
      <c r="Q315" s="2">
        <v>96.553299999999993</v>
      </c>
      <c r="R315" s="2">
        <v>54</v>
      </c>
      <c r="S315" s="2">
        <v>103.45950000000001</v>
      </c>
      <c r="T315" s="2">
        <v>194</v>
      </c>
      <c r="U315" s="2">
        <v>0.15285699999999999</v>
      </c>
      <c r="V315" s="2">
        <v>314</v>
      </c>
      <c r="W315" s="2">
        <v>2008</v>
      </c>
    </row>
    <row r="316" spans="1:23" ht="12.3" x14ac:dyDescent="0.4">
      <c r="A316" s="2" t="s">
        <v>338</v>
      </c>
      <c r="B316" s="2"/>
      <c r="C316" s="2"/>
      <c r="D316" s="2"/>
      <c r="E316" s="2"/>
      <c r="F316" s="2"/>
      <c r="G316" s="2"/>
      <c r="H316" s="2"/>
      <c r="I316" s="2">
        <v>66.381399999999999</v>
      </c>
      <c r="J316" s="2">
        <v>189</v>
      </c>
      <c r="K316" s="2">
        <v>64.742599999999996</v>
      </c>
      <c r="L316" s="2">
        <v>252</v>
      </c>
      <c r="M316" s="2">
        <v>91.489800000000002</v>
      </c>
      <c r="N316" s="2">
        <v>319</v>
      </c>
      <c r="O316" s="2">
        <v>89.878799999999998</v>
      </c>
      <c r="P316" s="2">
        <v>326</v>
      </c>
      <c r="Q316" s="2">
        <v>98.704300000000003</v>
      </c>
      <c r="R316" s="2">
        <v>86</v>
      </c>
      <c r="S316" s="2">
        <v>104.3854</v>
      </c>
      <c r="T316" s="2">
        <v>210</v>
      </c>
      <c r="U316" s="2">
        <v>0.151779</v>
      </c>
      <c r="V316" s="2">
        <v>315</v>
      </c>
      <c r="W316" s="2">
        <v>2008</v>
      </c>
    </row>
    <row r="317" spans="1:23" ht="12.3" x14ac:dyDescent="0.4">
      <c r="A317" s="2" t="s">
        <v>176</v>
      </c>
      <c r="B317" s="2"/>
      <c r="C317" s="2"/>
      <c r="D317" s="2"/>
      <c r="E317" s="2"/>
      <c r="F317" s="2"/>
      <c r="G317" s="2"/>
      <c r="H317" s="2"/>
      <c r="I317" s="2">
        <v>59.957700000000003</v>
      </c>
      <c r="J317" s="2">
        <v>331</v>
      </c>
      <c r="K317" s="2">
        <v>60.569000000000003</v>
      </c>
      <c r="L317" s="2">
        <v>331</v>
      </c>
      <c r="M317" s="2">
        <v>93.8142</v>
      </c>
      <c r="N317" s="2">
        <v>297</v>
      </c>
      <c r="O317" s="2">
        <v>92.734300000000005</v>
      </c>
      <c r="P317" s="2">
        <v>312</v>
      </c>
      <c r="Q317" s="2">
        <v>106.24769999999999</v>
      </c>
      <c r="R317" s="2">
        <v>277</v>
      </c>
      <c r="S317" s="2">
        <v>107.705</v>
      </c>
      <c r="T317" s="2">
        <v>282</v>
      </c>
      <c r="U317" s="2">
        <v>0.15173500000000001</v>
      </c>
      <c r="V317" s="2">
        <v>316</v>
      </c>
      <c r="W317" s="2">
        <v>2008</v>
      </c>
    </row>
    <row r="318" spans="1:23" ht="12.3" x14ac:dyDescent="0.4">
      <c r="A318" s="2" t="s">
        <v>303</v>
      </c>
      <c r="B318" s="2"/>
      <c r="C318" s="2"/>
      <c r="D318" s="2"/>
      <c r="E318" s="2"/>
      <c r="F318" s="2"/>
      <c r="G318" s="2"/>
      <c r="H318" s="2"/>
      <c r="I318" s="2">
        <v>74.971100000000007</v>
      </c>
      <c r="J318" s="2">
        <v>6</v>
      </c>
      <c r="K318" s="2">
        <v>76.375500000000002</v>
      </c>
      <c r="L318" s="2">
        <v>3</v>
      </c>
      <c r="M318" s="2">
        <v>98.829300000000003</v>
      </c>
      <c r="N318" s="2">
        <v>223</v>
      </c>
      <c r="O318" s="2">
        <v>94.994699999999995</v>
      </c>
      <c r="P318" s="2">
        <v>282</v>
      </c>
      <c r="Q318" s="2">
        <v>107.9128</v>
      </c>
      <c r="R318" s="2">
        <v>294</v>
      </c>
      <c r="S318" s="2">
        <v>110.3308</v>
      </c>
      <c r="T318" s="2">
        <v>314</v>
      </c>
      <c r="U318" s="2">
        <v>0.151728</v>
      </c>
      <c r="V318" s="2">
        <v>317</v>
      </c>
      <c r="W318" s="2">
        <v>2008</v>
      </c>
    </row>
    <row r="319" spans="1:23" ht="12.3" x14ac:dyDescent="0.4">
      <c r="A319" s="2" t="s">
        <v>370</v>
      </c>
      <c r="B319" s="2"/>
      <c r="C319" s="2"/>
      <c r="D319" s="2"/>
      <c r="E319" s="2"/>
      <c r="F319" s="2"/>
      <c r="G319" s="2"/>
      <c r="H319" s="2"/>
      <c r="I319" s="2">
        <v>67.3292</v>
      </c>
      <c r="J319" s="2">
        <v>160</v>
      </c>
      <c r="K319" s="2">
        <v>67.041499999999999</v>
      </c>
      <c r="L319" s="2">
        <v>158</v>
      </c>
      <c r="M319" s="2">
        <v>97.754900000000006</v>
      </c>
      <c r="N319" s="2">
        <v>239</v>
      </c>
      <c r="O319" s="2">
        <v>95.294700000000006</v>
      </c>
      <c r="P319" s="2">
        <v>277</v>
      </c>
      <c r="Q319" s="2">
        <v>110.7803</v>
      </c>
      <c r="R319" s="2">
        <v>329</v>
      </c>
      <c r="S319" s="2">
        <v>111.1692</v>
      </c>
      <c r="T319" s="2">
        <v>322</v>
      </c>
      <c r="U319" s="2">
        <v>0.14530399999999999</v>
      </c>
      <c r="V319" s="2">
        <v>318</v>
      </c>
      <c r="W319" s="2">
        <v>2008</v>
      </c>
    </row>
    <row r="320" spans="1:23" ht="12.3" x14ac:dyDescent="0.4">
      <c r="A320" s="2" t="s">
        <v>332</v>
      </c>
      <c r="B320" s="2"/>
      <c r="C320" s="2"/>
      <c r="D320" s="2"/>
      <c r="E320" s="2"/>
      <c r="F320" s="2"/>
      <c r="G320" s="2"/>
      <c r="H320" s="2"/>
      <c r="I320" s="2">
        <v>63.507100000000001</v>
      </c>
      <c r="J320" s="2">
        <v>292</v>
      </c>
      <c r="K320" s="2">
        <v>62.603099999999998</v>
      </c>
      <c r="L320" s="2">
        <v>309</v>
      </c>
      <c r="M320" s="2">
        <v>97.379199999999997</v>
      </c>
      <c r="N320" s="2">
        <v>248</v>
      </c>
      <c r="O320" s="2">
        <v>96.005700000000004</v>
      </c>
      <c r="P320" s="2">
        <v>269</v>
      </c>
      <c r="Q320" s="2">
        <v>110.405</v>
      </c>
      <c r="R320" s="2">
        <v>326</v>
      </c>
      <c r="S320" s="2">
        <v>112.1896</v>
      </c>
      <c r="T320" s="2">
        <v>329</v>
      </c>
      <c r="U320" s="2">
        <v>0.14288899999999999</v>
      </c>
      <c r="V320" s="2">
        <v>319</v>
      </c>
      <c r="W320" s="2">
        <v>2008</v>
      </c>
    </row>
    <row r="321" spans="1:23" ht="12.3" x14ac:dyDescent="0.4">
      <c r="A321" s="2" t="s">
        <v>264</v>
      </c>
      <c r="B321" s="2"/>
      <c r="C321" s="2"/>
      <c r="D321" s="2"/>
      <c r="E321" s="2"/>
      <c r="F321" s="2"/>
      <c r="G321" s="2"/>
      <c r="H321" s="2"/>
      <c r="I321" s="2">
        <v>62.6997</v>
      </c>
      <c r="J321" s="2">
        <v>305</v>
      </c>
      <c r="K321" s="2">
        <v>62.973199999999999</v>
      </c>
      <c r="L321" s="2">
        <v>300</v>
      </c>
      <c r="M321" s="2">
        <v>98.689599999999999</v>
      </c>
      <c r="N321" s="2">
        <v>225</v>
      </c>
      <c r="O321" s="2">
        <v>95.942300000000003</v>
      </c>
      <c r="P321" s="2">
        <v>271</v>
      </c>
      <c r="Q321" s="2">
        <v>109.5861</v>
      </c>
      <c r="R321" s="2">
        <v>316</v>
      </c>
      <c r="S321" s="2">
        <v>112.7419</v>
      </c>
      <c r="T321" s="2">
        <v>332</v>
      </c>
      <c r="U321" s="2">
        <v>0.13522000000000001</v>
      </c>
      <c r="V321" s="2">
        <v>320</v>
      </c>
      <c r="W321" s="2">
        <v>2008</v>
      </c>
    </row>
    <row r="322" spans="1:23" ht="12.3" x14ac:dyDescent="0.4">
      <c r="A322" s="2" t="s">
        <v>309</v>
      </c>
      <c r="B322" s="2"/>
      <c r="C322" s="2"/>
      <c r="D322" s="2"/>
      <c r="E322" s="2"/>
      <c r="F322" s="2"/>
      <c r="G322" s="2"/>
      <c r="H322" s="2"/>
      <c r="I322" s="2">
        <v>68.506900000000002</v>
      </c>
      <c r="J322" s="2">
        <v>115</v>
      </c>
      <c r="K322" s="2">
        <v>68.650700000000001</v>
      </c>
      <c r="L322" s="2">
        <v>108</v>
      </c>
      <c r="M322" s="2">
        <v>91.073099999999997</v>
      </c>
      <c r="N322" s="2">
        <v>323</v>
      </c>
      <c r="O322" s="2">
        <v>91.734300000000005</v>
      </c>
      <c r="P322" s="2">
        <v>322</v>
      </c>
      <c r="Q322" s="2">
        <v>105.4496</v>
      </c>
      <c r="R322" s="2">
        <v>260</v>
      </c>
      <c r="S322" s="2">
        <v>107.8151</v>
      </c>
      <c r="T322" s="2">
        <v>283</v>
      </c>
      <c r="U322" s="2">
        <v>0.134995</v>
      </c>
      <c r="V322" s="2">
        <v>321</v>
      </c>
      <c r="W322" s="2">
        <v>2008</v>
      </c>
    </row>
    <row r="323" spans="1:23" ht="12.3" x14ac:dyDescent="0.4">
      <c r="A323" s="2" t="s">
        <v>357</v>
      </c>
      <c r="B323" s="2"/>
      <c r="C323" s="2"/>
      <c r="D323" s="2"/>
      <c r="E323" s="2"/>
      <c r="F323" s="2"/>
      <c r="G323" s="2"/>
      <c r="H323" s="2"/>
      <c r="I323" s="2">
        <v>64.362099999999998</v>
      </c>
      <c r="J323" s="2">
        <v>269</v>
      </c>
      <c r="K323" s="2">
        <v>64.331100000000006</v>
      </c>
      <c r="L323" s="2">
        <v>270</v>
      </c>
      <c r="M323" s="2">
        <v>96.259100000000004</v>
      </c>
      <c r="N323" s="2">
        <v>264</v>
      </c>
      <c r="O323" s="2">
        <v>97.620500000000007</v>
      </c>
      <c r="P323" s="2">
        <v>239</v>
      </c>
      <c r="Q323" s="2">
        <v>113.3219</v>
      </c>
      <c r="R323" s="2">
        <v>339</v>
      </c>
      <c r="S323" s="2">
        <v>114.8017</v>
      </c>
      <c r="T323" s="2">
        <v>339</v>
      </c>
      <c r="U323" s="2">
        <v>0.13419500000000001</v>
      </c>
      <c r="V323" s="2">
        <v>322</v>
      </c>
      <c r="W323" s="2">
        <v>2008</v>
      </c>
    </row>
    <row r="324" spans="1:23" ht="12.3" x14ac:dyDescent="0.4">
      <c r="A324" s="2" t="s">
        <v>231</v>
      </c>
      <c r="B324" s="2"/>
      <c r="C324" s="2"/>
      <c r="D324" s="2"/>
      <c r="E324" s="2"/>
      <c r="F324" s="2"/>
      <c r="G324" s="2"/>
      <c r="H324" s="2"/>
      <c r="I324" s="2">
        <v>67.830799999999996</v>
      </c>
      <c r="J324" s="2">
        <v>142</v>
      </c>
      <c r="K324" s="2">
        <v>66.603300000000004</v>
      </c>
      <c r="L324" s="2">
        <v>172</v>
      </c>
      <c r="M324" s="2">
        <v>82.651899999999998</v>
      </c>
      <c r="N324" s="2">
        <v>339</v>
      </c>
      <c r="O324" s="2">
        <v>86.09</v>
      </c>
      <c r="P324" s="2">
        <v>340</v>
      </c>
      <c r="Q324" s="2">
        <v>101.98009999999999</v>
      </c>
      <c r="R324" s="2">
        <v>172</v>
      </c>
      <c r="S324" s="2">
        <v>101.3052</v>
      </c>
      <c r="T324" s="2">
        <v>144</v>
      </c>
      <c r="U324" s="2">
        <v>0.13336100000000001</v>
      </c>
      <c r="V324" s="2">
        <v>323</v>
      </c>
      <c r="W324" s="2">
        <v>2008</v>
      </c>
    </row>
    <row r="325" spans="1:23" ht="12.3" x14ac:dyDescent="0.4">
      <c r="A325" s="2" t="s">
        <v>275</v>
      </c>
      <c r="B325" s="2"/>
      <c r="C325" s="2"/>
      <c r="D325" s="2"/>
      <c r="E325" s="2"/>
      <c r="F325" s="2"/>
      <c r="G325" s="2"/>
      <c r="H325" s="2"/>
      <c r="I325" s="2">
        <v>69.697999999999993</v>
      </c>
      <c r="J325" s="2">
        <v>80</v>
      </c>
      <c r="K325" s="2">
        <v>69.085099999999997</v>
      </c>
      <c r="L325" s="2">
        <v>87</v>
      </c>
      <c r="M325" s="2">
        <v>100.6186</v>
      </c>
      <c r="N325" s="2">
        <v>190</v>
      </c>
      <c r="O325" s="2">
        <v>96.977500000000006</v>
      </c>
      <c r="P325" s="2">
        <v>252</v>
      </c>
      <c r="Q325" s="2">
        <v>110.2285</v>
      </c>
      <c r="R325" s="2">
        <v>325</v>
      </c>
      <c r="S325" s="2">
        <v>114.12130000000001</v>
      </c>
      <c r="T325" s="2">
        <v>336</v>
      </c>
      <c r="U325" s="2">
        <v>0.13331100000000001</v>
      </c>
      <c r="V325" s="2">
        <v>324</v>
      </c>
      <c r="W325" s="2">
        <v>2008</v>
      </c>
    </row>
    <row r="326" spans="1:23" ht="12.3" x14ac:dyDescent="0.4">
      <c r="A326" s="2" t="s">
        <v>359</v>
      </c>
      <c r="B326" s="2"/>
      <c r="C326" s="2"/>
      <c r="D326" s="2"/>
      <c r="E326" s="2"/>
      <c r="F326" s="2"/>
      <c r="G326" s="2"/>
      <c r="H326" s="2"/>
      <c r="I326" s="2">
        <v>70.326499999999996</v>
      </c>
      <c r="J326" s="2">
        <v>64</v>
      </c>
      <c r="K326" s="2">
        <v>68.939700000000002</v>
      </c>
      <c r="L326" s="2">
        <v>96</v>
      </c>
      <c r="M326" s="2">
        <v>94.0321</v>
      </c>
      <c r="N326" s="2">
        <v>295</v>
      </c>
      <c r="O326" s="2">
        <v>97.961500000000001</v>
      </c>
      <c r="P326" s="2">
        <v>236</v>
      </c>
      <c r="Q326" s="2">
        <v>110.5501</v>
      </c>
      <c r="R326" s="2">
        <v>328</v>
      </c>
      <c r="S326" s="2">
        <v>115.43940000000001</v>
      </c>
      <c r="T326" s="2">
        <v>340</v>
      </c>
      <c r="U326" s="2">
        <v>0.13147600000000001</v>
      </c>
      <c r="V326" s="2">
        <v>325</v>
      </c>
      <c r="W326" s="2">
        <v>2008</v>
      </c>
    </row>
    <row r="327" spans="1:23" ht="12.3" x14ac:dyDescent="0.4">
      <c r="A327" s="2" t="s">
        <v>365</v>
      </c>
      <c r="B327" s="2"/>
      <c r="C327" s="2"/>
      <c r="D327" s="2"/>
      <c r="E327" s="2"/>
      <c r="F327" s="2"/>
      <c r="G327" s="2"/>
      <c r="H327" s="2"/>
      <c r="I327" s="2">
        <v>67.989000000000004</v>
      </c>
      <c r="J327" s="2">
        <v>133</v>
      </c>
      <c r="K327" s="2">
        <v>67.095399999999998</v>
      </c>
      <c r="L327" s="2">
        <v>157</v>
      </c>
      <c r="M327" s="2">
        <v>90.263599999999997</v>
      </c>
      <c r="N327" s="2">
        <v>328</v>
      </c>
      <c r="O327" s="2">
        <v>89.506500000000003</v>
      </c>
      <c r="P327" s="2">
        <v>329</v>
      </c>
      <c r="Q327" s="2">
        <v>99.343000000000004</v>
      </c>
      <c r="R327" s="2">
        <v>100</v>
      </c>
      <c r="S327" s="2">
        <v>106.2187</v>
      </c>
      <c r="T327" s="2">
        <v>250</v>
      </c>
      <c r="U327" s="2">
        <v>0.122531</v>
      </c>
      <c r="V327" s="2">
        <v>326</v>
      </c>
      <c r="W327" s="2">
        <v>2008</v>
      </c>
    </row>
    <row r="328" spans="1:23" ht="12.3" x14ac:dyDescent="0.4">
      <c r="A328" s="2" t="s">
        <v>313</v>
      </c>
      <c r="B328" s="2" t="e">
        <v>#N/A</v>
      </c>
      <c r="C328" s="2"/>
      <c r="D328" s="2"/>
      <c r="E328" s="2"/>
      <c r="F328" s="2"/>
      <c r="G328" s="2"/>
      <c r="H328" s="2"/>
      <c r="I328" s="2">
        <v>58.985999999999997</v>
      </c>
      <c r="J328" s="2">
        <v>337</v>
      </c>
      <c r="K328" s="2">
        <v>59.372799999999998</v>
      </c>
      <c r="L328" s="2">
        <v>336</v>
      </c>
      <c r="M328" s="2">
        <v>94.384</v>
      </c>
      <c r="N328" s="2">
        <v>288</v>
      </c>
      <c r="O328" s="2">
        <v>92.194400000000002</v>
      </c>
      <c r="P328" s="2">
        <v>318</v>
      </c>
      <c r="Q328" s="2">
        <v>101.99550000000001</v>
      </c>
      <c r="R328" s="2">
        <v>174</v>
      </c>
      <c r="S328" s="2">
        <v>109.8049</v>
      </c>
      <c r="T328" s="2">
        <v>311</v>
      </c>
      <c r="U328" s="2">
        <v>0.118129</v>
      </c>
      <c r="V328" s="2">
        <v>327</v>
      </c>
      <c r="W328" s="2">
        <v>2008</v>
      </c>
    </row>
    <row r="329" spans="1:23" ht="12.3" x14ac:dyDescent="0.4">
      <c r="A329" s="2" t="s">
        <v>94</v>
      </c>
      <c r="B329" s="2"/>
      <c r="C329" s="2"/>
      <c r="D329" s="2"/>
      <c r="E329" s="2"/>
      <c r="F329" s="2"/>
      <c r="G329" s="2"/>
      <c r="H329" s="2"/>
      <c r="I329" s="2">
        <v>65.8232</v>
      </c>
      <c r="J329" s="2">
        <v>204</v>
      </c>
      <c r="K329" s="2">
        <v>65.416700000000006</v>
      </c>
      <c r="L329" s="2">
        <v>224</v>
      </c>
      <c r="M329" s="2">
        <v>92.353399999999993</v>
      </c>
      <c r="N329" s="2">
        <v>311</v>
      </c>
      <c r="O329" s="2">
        <v>92.607900000000001</v>
      </c>
      <c r="P329" s="2">
        <v>315</v>
      </c>
      <c r="Q329" s="2">
        <v>108.8901</v>
      </c>
      <c r="R329" s="2">
        <v>306</v>
      </c>
      <c r="S329" s="2">
        <v>110.4751</v>
      </c>
      <c r="T329" s="2">
        <v>316</v>
      </c>
      <c r="U329" s="2">
        <v>0.116214</v>
      </c>
      <c r="V329" s="2">
        <v>328</v>
      </c>
      <c r="W329" s="2">
        <v>2008</v>
      </c>
    </row>
    <row r="330" spans="1:23" ht="12.3" x14ac:dyDescent="0.4">
      <c r="A330" s="2" t="s">
        <v>351</v>
      </c>
      <c r="B330" s="2" t="e">
        <v>#N/A</v>
      </c>
      <c r="C330" s="2"/>
      <c r="D330" s="2"/>
      <c r="E330" s="2"/>
      <c r="F330" s="2"/>
      <c r="G330" s="2"/>
      <c r="H330" s="2"/>
      <c r="I330" s="2">
        <v>65.472200000000001</v>
      </c>
      <c r="J330" s="2">
        <v>226</v>
      </c>
      <c r="K330" s="2">
        <v>64.171499999999995</v>
      </c>
      <c r="L330" s="2">
        <v>274</v>
      </c>
      <c r="M330" s="2">
        <v>89.885099999999994</v>
      </c>
      <c r="N330" s="2">
        <v>330</v>
      </c>
      <c r="O330" s="2">
        <v>88.225399999999993</v>
      </c>
      <c r="P330" s="2">
        <v>333</v>
      </c>
      <c r="Q330" s="2">
        <v>98.027000000000001</v>
      </c>
      <c r="R330" s="2">
        <v>77</v>
      </c>
      <c r="S330" s="2">
        <v>105.8419</v>
      </c>
      <c r="T330" s="2">
        <v>242</v>
      </c>
      <c r="U330" s="2">
        <v>0.109721</v>
      </c>
      <c r="V330" s="2">
        <v>329</v>
      </c>
      <c r="W330" s="2">
        <v>2008</v>
      </c>
    </row>
    <row r="331" spans="1:23" ht="12.3" x14ac:dyDescent="0.4">
      <c r="A331" s="2" t="s">
        <v>342</v>
      </c>
      <c r="B331" s="2" t="e">
        <v>#N/A</v>
      </c>
      <c r="C331" s="2"/>
      <c r="D331" s="2"/>
      <c r="E331" s="2"/>
      <c r="F331" s="2"/>
      <c r="G331" s="2"/>
      <c r="H331" s="2"/>
      <c r="I331" s="2">
        <v>72.650000000000006</v>
      </c>
      <c r="J331" s="2">
        <v>17</v>
      </c>
      <c r="K331" s="2">
        <v>71.343599999999995</v>
      </c>
      <c r="L331" s="2">
        <v>32</v>
      </c>
      <c r="M331" s="2">
        <v>89.9589</v>
      </c>
      <c r="N331" s="2">
        <v>329</v>
      </c>
      <c r="O331" s="2">
        <v>89.774199999999993</v>
      </c>
      <c r="P331" s="2">
        <v>327</v>
      </c>
      <c r="Q331" s="2">
        <v>105.655</v>
      </c>
      <c r="R331" s="2">
        <v>267</v>
      </c>
      <c r="S331" s="2">
        <v>109.6544</v>
      </c>
      <c r="T331" s="2">
        <v>309</v>
      </c>
      <c r="U331" s="2">
        <v>9.1089000000000003E-2</v>
      </c>
      <c r="V331" s="2">
        <v>330</v>
      </c>
      <c r="W331" s="2">
        <v>2008</v>
      </c>
    </row>
    <row r="332" spans="1:23" ht="12.3" x14ac:dyDescent="0.4">
      <c r="A332" s="2" t="s">
        <v>371</v>
      </c>
      <c r="B332" s="2" t="e">
        <v>#N/A</v>
      </c>
      <c r="C332" s="2"/>
      <c r="D332" s="2"/>
      <c r="E332" s="2"/>
      <c r="F332" s="2"/>
      <c r="G332" s="2"/>
      <c r="H332" s="2"/>
      <c r="I332" s="2">
        <v>70.846199999999996</v>
      </c>
      <c r="J332" s="2">
        <v>50</v>
      </c>
      <c r="K332" s="2">
        <v>70.623800000000003</v>
      </c>
      <c r="L332" s="2">
        <v>43</v>
      </c>
      <c r="M332" s="2">
        <v>77.304000000000002</v>
      </c>
      <c r="N332" s="2">
        <v>341</v>
      </c>
      <c r="O332" s="2">
        <v>86.727500000000006</v>
      </c>
      <c r="P332" s="2">
        <v>336</v>
      </c>
      <c r="Q332" s="2">
        <v>112.2771</v>
      </c>
      <c r="R332" s="2">
        <v>335</v>
      </c>
      <c r="S332" s="2">
        <v>106.035</v>
      </c>
      <c r="T332" s="2">
        <v>244</v>
      </c>
      <c r="U332" s="2">
        <v>9.0176999999999993E-2</v>
      </c>
      <c r="V332" s="2">
        <v>331</v>
      </c>
      <c r="W332" s="2">
        <v>2008</v>
      </c>
    </row>
    <row r="333" spans="1:23" ht="12.3" x14ac:dyDescent="0.4">
      <c r="A333" s="2" t="s">
        <v>179</v>
      </c>
      <c r="B333" s="2" t="e">
        <v>#N/A</v>
      </c>
      <c r="C333" s="2"/>
      <c r="D333" s="2"/>
      <c r="E333" s="2"/>
      <c r="F333" s="2"/>
      <c r="G333" s="2"/>
      <c r="H333" s="2"/>
      <c r="I333" s="2">
        <v>63.9756</v>
      </c>
      <c r="J333" s="2">
        <v>283</v>
      </c>
      <c r="K333" s="2">
        <v>63.672400000000003</v>
      </c>
      <c r="L333" s="2">
        <v>288</v>
      </c>
      <c r="M333" s="2">
        <v>92.887200000000007</v>
      </c>
      <c r="N333" s="2">
        <v>307</v>
      </c>
      <c r="O333" s="2">
        <v>93.719399999999993</v>
      </c>
      <c r="P333" s="2">
        <v>300</v>
      </c>
      <c r="Q333" s="2">
        <v>117.3258</v>
      </c>
      <c r="R333" s="2">
        <v>341</v>
      </c>
      <c r="S333" s="2">
        <v>114.601</v>
      </c>
      <c r="T333" s="2">
        <v>338</v>
      </c>
      <c r="U333" s="2">
        <v>9.0032000000000001E-2</v>
      </c>
      <c r="V333" s="2">
        <v>332</v>
      </c>
      <c r="W333" s="2">
        <v>2008</v>
      </c>
    </row>
    <row r="334" spans="1:23" ht="12.3" x14ac:dyDescent="0.4">
      <c r="A334" s="2" t="s">
        <v>242</v>
      </c>
      <c r="B334" s="2" t="e">
        <v>#N/A</v>
      </c>
      <c r="C334" s="2"/>
      <c r="D334" s="2"/>
      <c r="E334" s="2"/>
      <c r="F334" s="2"/>
      <c r="G334" s="2"/>
      <c r="H334" s="2"/>
      <c r="I334" s="2">
        <v>66.225999999999999</v>
      </c>
      <c r="J334" s="2">
        <v>195</v>
      </c>
      <c r="K334" s="2">
        <v>64.875600000000006</v>
      </c>
      <c r="L334" s="2">
        <v>245</v>
      </c>
      <c r="M334" s="2">
        <v>86.037000000000006</v>
      </c>
      <c r="N334" s="2">
        <v>335</v>
      </c>
      <c r="O334" s="2">
        <v>86.447400000000002</v>
      </c>
      <c r="P334" s="2">
        <v>338</v>
      </c>
      <c r="Q334" s="2">
        <v>106.1651</v>
      </c>
      <c r="R334" s="2">
        <v>274</v>
      </c>
      <c r="S334" s="2">
        <v>106.4311</v>
      </c>
      <c r="T334" s="2">
        <v>254</v>
      </c>
      <c r="U334" s="2">
        <v>8.3818000000000004E-2</v>
      </c>
      <c r="V334" s="2">
        <v>333</v>
      </c>
      <c r="W334" s="2">
        <v>2008</v>
      </c>
    </row>
    <row r="335" spans="1:23" ht="12.3" x14ac:dyDescent="0.4">
      <c r="A335" s="2" t="s">
        <v>329</v>
      </c>
      <c r="B335" s="2" t="e">
        <v>#N/A</v>
      </c>
      <c r="C335" s="2"/>
      <c r="D335" s="2"/>
      <c r="E335" s="2"/>
      <c r="F335" s="2"/>
      <c r="G335" s="2"/>
      <c r="H335" s="2"/>
      <c r="I335" s="2">
        <v>70.478700000000003</v>
      </c>
      <c r="J335" s="2">
        <v>58</v>
      </c>
      <c r="K335" s="2">
        <v>69.790099999999995</v>
      </c>
      <c r="L335" s="2">
        <v>71</v>
      </c>
      <c r="M335" s="2">
        <v>92.128</v>
      </c>
      <c r="N335" s="2">
        <v>314</v>
      </c>
      <c r="O335" s="2">
        <v>91.879300000000001</v>
      </c>
      <c r="P335" s="2">
        <v>320</v>
      </c>
      <c r="Q335" s="2">
        <v>107.10380000000001</v>
      </c>
      <c r="R335" s="2">
        <v>290</v>
      </c>
      <c r="S335" s="2">
        <v>113.306</v>
      </c>
      <c r="T335" s="2">
        <v>334</v>
      </c>
      <c r="U335" s="2">
        <v>8.2368999999999998E-2</v>
      </c>
      <c r="V335" s="2">
        <v>334</v>
      </c>
      <c r="W335" s="2">
        <v>2008</v>
      </c>
    </row>
    <row r="336" spans="1:23" ht="12.3" x14ac:dyDescent="0.4">
      <c r="A336" s="2" t="s">
        <v>291</v>
      </c>
      <c r="B336" s="2" t="e">
        <v>#N/A</v>
      </c>
      <c r="C336" s="2"/>
      <c r="D336" s="2"/>
      <c r="E336" s="2"/>
      <c r="F336" s="2"/>
      <c r="G336" s="2"/>
      <c r="H336" s="2"/>
      <c r="I336" s="2">
        <v>70.362099999999998</v>
      </c>
      <c r="J336" s="2">
        <v>62</v>
      </c>
      <c r="K336" s="2">
        <v>70.196100000000001</v>
      </c>
      <c r="L336" s="2">
        <v>56</v>
      </c>
      <c r="M336" s="2">
        <v>86.753900000000002</v>
      </c>
      <c r="N336" s="2">
        <v>334</v>
      </c>
      <c r="O336" s="2">
        <v>90.313199999999995</v>
      </c>
      <c r="P336" s="2">
        <v>325</v>
      </c>
      <c r="Q336" s="2">
        <v>110.5428</v>
      </c>
      <c r="R336" s="2">
        <v>327</v>
      </c>
      <c r="S336" s="2">
        <v>111.9729</v>
      </c>
      <c r="T336" s="2">
        <v>327</v>
      </c>
      <c r="U336" s="2">
        <v>7.7829999999999996E-2</v>
      </c>
      <c r="V336" s="2">
        <v>335</v>
      </c>
      <c r="W336" s="2">
        <v>2008</v>
      </c>
    </row>
    <row r="337" spans="1:23" ht="12.3" x14ac:dyDescent="0.4">
      <c r="A337" s="2" t="s">
        <v>325</v>
      </c>
      <c r="B337" s="2" t="e">
        <v>#N/A</v>
      </c>
      <c r="C337" s="2"/>
      <c r="D337" s="2"/>
      <c r="E337" s="2"/>
      <c r="F337" s="2"/>
      <c r="G337" s="2"/>
      <c r="H337" s="2"/>
      <c r="I337" s="2">
        <v>69.959199999999996</v>
      </c>
      <c r="J337" s="2">
        <v>70</v>
      </c>
      <c r="K337" s="2">
        <v>69.405299999999997</v>
      </c>
      <c r="L337" s="2">
        <v>81</v>
      </c>
      <c r="M337" s="2">
        <v>89.036699999999996</v>
      </c>
      <c r="N337" s="2">
        <v>333</v>
      </c>
      <c r="O337" s="2">
        <v>87.263300000000001</v>
      </c>
      <c r="P337" s="2">
        <v>335</v>
      </c>
      <c r="Q337" s="2">
        <v>105.88290000000001</v>
      </c>
      <c r="R337" s="2">
        <v>270</v>
      </c>
      <c r="S337" s="2">
        <v>108.5954</v>
      </c>
      <c r="T337" s="2">
        <v>296</v>
      </c>
      <c r="U337" s="2">
        <v>7.4810000000000001E-2</v>
      </c>
      <c r="V337" s="2">
        <v>336</v>
      </c>
      <c r="W337" s="2">
        <v>2008</v>
      </c>
    </row>
    <row r="338" spans="1:23" ht="12.3" x14ac:dyDescent="0.4">
      <c r="A338" s="2" t="s">
        <v>363</v>
      </c>
      <c r="B338" s="2" t="e">
        <v>#N/A</v>
      </c>
      <c r="C338" s="2"/>
      <c r="D338" s="2"/>
      <c r="E338" s="2"/>
      <c r="F338" s="2"/>
      <c r="G338" s="2"/>
      <c r="H338" s="2"/>
      <c r="I338" s="2">
        <v>68.218199999999996</v>
      </c>
      <c r="J338" s="2">
        <v>125</v>
      </c>
      <c r="K338" s="2">
        <v>66.022599999999997</v>
      </c>
      <c r="L338" s="2">
        <v>200</v>
      </c>
      <c r="M338" s="2">
        <v>85.809700000000007</v>
      </c>
      <c r="N338" s="2">
        <v>336</v>
      </c>
      <c r="O338" s="2">
        <v>86.648300000000006</v>
      </c>
      <c r="P338" s="2">
        <v>337</v>
      </c>
      <c r="Q338" s="2">
        <v>106.5157</v>
      </c>
      <c r="R338" s="2">
        <v>283</v>
      </c>
      <c r="S338" s="2">
        <v>107.9088</v>
      </c>
      <c r="T338" s="2">
        <v>287</v>
      </c>
      <c r="U338" s="2">
        <v>7.4231000000000005E-2</v>
      </c>
      <c r="V338" s="2">
        <v>337</v>
      </c>
      <c r="W338" s="2">
        <v>2008</v>
      </c>
    </row>
    <row r="339" spans="1:23" ht="12.3" x14ac:dyDescent="0.4">
      <c r="A339" s="2" t="s">
        <v>261</v>
      </c>
      <c r="B339" s="2" t="e">
        <v>#N/A</v>
      </c>
      <c r="C339" s="2"/>
      <c r="D339" s="2"/>
      <c r="E339" s="2"/>
      <c r="F339" s="2"/>
      <c r="G339" s="2"/>
      <c r="H339" s="2"/>
      <c r="I339" s="2">
        <v>70.783799999999999</v>
      </c>
      <c r="J339" s="2">
        <v>52</v>
      </c>
      <c r="K339" s="2">
        <v>69.575299999999999</v>
      </c>
      <c r="L339" s="2">
        <v>78</v>
      </c>
      <c r="M339" s="2">
        <v>94.197699999999998</v>
      </c>
      <c r="N339" s="2">
        <v>293</v>
      </c>
      <c r="O339" s="2">
        <v>94.148799999999994</v>
      </c>
      <c r="P339" s="2">
        <v>292</v>
      </c>
      <c r="Q339" s="2">
        <v>109.99639999999999</v>
      </c>
      <c r="R339" s="2">
        <v>321</v>
      </c>
      <c r="S339" s="2">
        <v>117.2514</v>
      </c>
      <c r="T339" s="2">
        <v>341</v>
      </c>
      <c r="U339" s="2">
        <v>7.4219999999999994E-2</v>
      </c>
      <c r="V339" s="2">
        <v>338</v>
      </c>
      <c r="W339" s="2">
        <v>2008</v>
      </c>
    </row>
    <row r="340" spans="1:23" ht="12.3" x14ac:dyDescent="0.4">
      <c r="A340" s="2" t="s">
        <v>302</v>
      </c>
      <c r="B340" s="2" t="e">
        <v>#N/A</v>
      </c>
      <c r="C340" s="2"/>
      <c r="D340" s="2"/>
      <c r="E340" s="2"/>
      <c r="F340" s="2"/>
      <c r="G340" s="2"/>
      <c r="H340" s="2"/>
      <c r="I340" s="2">
        <v>70.102900000000005</v>
      </c>
      <c r="J340" s="2">
        <v>66</v>
      </c>
      <c r="K340" s="2">
        <v>70.478800000000007</v>
      </c>
      <c r="L340" s="2">
        <v>46</v>
      </c>
      <c r="M340" s="2">
        <v>89.754800000000003</v>
      </c>
      <c r="N340" s="2">
        <v>331</v>
      </c>
      <c r="O340" s="2">
        <v>89.528899999999993</v>
      </c>
      <c r="P340" s="2">
        <v>328</v>
      </c>
      <c r="Q340" s="2">
        <v>111.4796</v>
      </c>
      <c r="R340" s="2">
        <v>333</v>
      </c>
      <c r="S340" s="2">
        <v>111.6507</v>
      </c>
      <c r="T340" s="2">
        <v>326</v>
      </c>
      <c r="U340" s="2">
        <v>7.3144000000000001E-2</v>
      </c>
      <c r="V340" s="2">
        <v>339</v>
      </c>
      <c r="W340" s="2">
        <v>2008</v>
      </c>
    </row>
    <row r="341" spans="1:23" ht="12.3" x14ac:dyDescent="0.4">
      <c r="A341" s="2" t="s">
        <v>321</v>
      </c>
      <c r="B341" s="2" t="e">
        <v>#N/A</v>
      </c>
      <c r="C341" s="2"/>
      <c r="D341" s="2"/>
      <c r="E341" s="2"/>
      <c r="F341" s="2"/>
      <c r="G341" s="2"/>
      <c r="H341" s="2"/>
      <c r="I341" s="2">
        <v>68.5137</v>
      </c>
      <c r="J341" s="2">
        <v>114</v>
      </c>
      <c r="K341" s="2">
        <v>69.393500000000003</v>
      </c>
      <c r="L341" s="2">
        <v>82</v>
      </c>
      <c r="M341" s="2">
        <v>85.670100000000005</v>
      </c>
      <c r="N341" s="2">
        <v>337</v>
      </c>
      <c r="O341" s="2">
        <v>86.379599999999996</v>
      </c>
      <c r="P341" s="2">
        <v>339</v>
      </c>
      <c r="Q341" s="2">
        <v>108.6825</v>
      </c>
      <c r="R341" s="2">
        <v>303</v>
      </c>
      <c r="S341" s="2">
        <v>112.38500000000001</v>
      </c>
      <c r="T341" s="2">
        <v>330</v>
      </c>
      <c r="U341" s="2">
        <v>4.6240000000000003E-2</v>
      </c>
      <c r="V341" s="2">
        <v>340</v>
      </c>
      <c r="W341" s="2">
        <v>2008</v>
      </c>
    </row>
    <row r="342" spans="1:23" ht="12.3" x14ac:dyDescent="0.4">
      <c r="A342" s="2" t="s">
        <v>366</v>
      </c>
      <c r="B342" s="2" t="e">
        <v>#N/A</v>
      </c>
      <c r="C342" s="2"/>
      <c r="D342" s="2"/>
      <c r="E342" s="2"/>
      <c r="F342" s="2"/>
      <c r="G342" s="2"/>
      <c r="H342" s="2"/>
      <c r="I342" s="2">
        <v>71.233599999999996</v>
      </c>
      <c r="J342" s="2">
        <v>42</v>
      </c>
      <c r="K342" s="2">
        <v>71.267200000000003</v>
      </c>
      <c r="L342" s="2">
        <v>33</v>
      </c>
      <c r="M342" s="2">
        <v>78.290000000000006</v>
      </c>
      <c r="N342" s="2">
        <v>340</v>
      </c>
      <c r="O342" s="2">
        <v>77.726299999999995</v>
      </c>
      <c r="P342" s="2">
        <v>341</v>
      </c>
      <c r="Q342" s="2">
        <v>108.1473</v>
      </c>
      <c r="R342" s="2">
        <v>296</v>
      </c>
      <c r="S342" s="2">
        <v>107.0241</v>
      </c>
      <c r="T342" s="2">
        <v>267</v>
      </c>
      <c r="U342" s="2">
        <v>2.4641E-2</v>
      </c>
      <c r="V342" s="2">
        <v>341</v>
      </c>
      <c r="W342" s="2">
        <v>2008</v>
      </c>
    </row>
  </sheetData>
  <autoFilter ref="A1:V34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W345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71</v>
      </c>
      <c r="B2" s="2">
        <v>2</v>
      </c>
      <c r="C2" s="3" t="s">
        <v>33</v>
      </c>
      <c r="D2" s="3" t="s">
        <v>33</v>
      </c>
      <c r="E2" s="2"/>
      <c r="F2" s="2"/>
      <c r="G2" s="2"/>
      <c r="H2" s="2"/>
      <c r="I2" s="2">
        <v>67.7774</v>
      </c>
      <c r="J2" s="2">
        <v>118</v>
      </c>
      <c r="K2" s="2">
        <v>66.456299999999999</v>
      </c>
      <c r="L2" s="2">
        <v>163</v>
      </c>
      <c r="M2" s="2">
        <v>108.9131</v>
      </c>
      <c r="N2" s="2">
        <v>47</v>
      </c>
      <c r="O2" s="2">
        <v>108.4135</v>
      </c>
      <c r="P2" s="2">
        <v>62</v>
      </c>
      <c r="Q2" s="2">
        <v>83.445999999999998</v>
      </c>
      <c r="R2" s="2">
        <v>1</v>
      </c>
      <c r="S2" s="2">
        <v>81.127700000000004</v>
      </c>
      <c r="T2" s="2">
        <v>1</v>
      </c>
      <c r="U2" s="2">
        <v>0.96558299999999997</v>
      </c>
      <c r="V2" s="2">
        <v>1</v>
      </c>
      <c r="W2" s="2">
        <v>2009</v>
      </c>
    </row>
    <row r="3" spans="1:23" ht="15.75" customHeight="1" x14ac:dyDescent="0.4">
      <c r="A3" s="2" t="s">
        <v>46</v>
      </c>
      <c r="B3" s="2">
        <v>1</v>
      </c>
      <c r="C3" s="3" t="s">
        <v>33</v>
      </c>
      <c r="D3" s="3" t="s">
        <v>33</v>
      </c>
      <c r="E3" s="3" t="s">
        <v>33</v>
      </c>
      <c r="F3" s="2"/>
      <c r="G3" s="2"/>
      <c r="H3" s="2"/>
      <c r="I3" s="2">
        <v>66.883899999999997</v>
      </c>
      <c r="J3" s="2">
        <v>146</v>
      </c>
      <c r="K3" s="2">
        <v>66.419600000000003</v>
      </c>
      <c r="L3" s="2">
        <v>165</v>
      </c>
      <c r="M3" s="2">
        <v>116.78279999999999</v>
      </c>
      <c r="N3" s="2">
        <v>3</v>
      </c>
      <c r="O3" s="2">
        <v>119.85120000000001</v>
      </c>
      <c r="P3" s="2">
        <v>2</v>
      </c>
      <c r="Q3" s="2">
        <v>96.328900000000004</v>
      </c>
      <c r="R3" s="2">
        <v>61</v>
      </c>
      <c r="S3" s="2">
        <v>93.053200000000004</v>
      </c>
      <c r="T3" s="2">
        <v>24</v>
      </c>
      <c r="U3" s="2">
        <v>0.94835899999999995</v>
      </c>
      <c r="V3" s="2">
        <v>2</v>
      </c>
      <c r="W3" s="2">
        <v>2009</v>
      </c>
    </row>
    <row r="4" spans="1:23" ht="15.75" customHeight="1" x14ac:dyDescent="0.4">
      <c r="A4" s="2" t="s">
        <v>54</v>
      </c>
      <c r="B4" s="2">
        <v>1</v>
      </c>
      <c r="C4" s="3" t="s">
        <v>33</v>
      </c>
      <c r="D4" s="3" t="s">
        <v>33</v>
      </c>
      <c r="E4" s="3" t="s">
        <v>33</v>
      </c>
      <c r="F4" s="3" t="s">
        <v>33</v>
      </c>
      <c r="G4" s="2"/>
      <c r="H4" s="2"/>
      <c r="I4" s="2">
        <v>67.471500000000006</v>
      </c>
      <c r="J4" s="2">
        <v>133</v>
      </c>
      <c r="K4" s="2">
        <v>67.359300000000005</v>
      </c>
      <c r="L4" s="2">
        <v>127</v>
      </c>
      <c r="M4" s="2">
        <v>111.6104</v>
      </c>
      <c r="N4" s="2">
        <v>19</v>
      </c>
      <c r="O4" s="2">
        <v>112.2406</v>
      </c>
      <c r="P4" s="2">
        <v>28</v>
      </c>
      <c r="Q4" s="2">
        <v>91.688199999999995</v>
      </c>
      <c r="R4" s="2">
        <v>8</v>
      </c>
      <c r="S4" s="2">
        <v>87.540099999999995</v>
      </c>
      <c r="T4" s="2">
        <v>3</v>
      </c>
      <c r="U4" s="2">
        <v>0.94574599999999998</v>
      </c>
      <c r="V4" s="2">
        <v>3</v>
      </c>
      <c r="W4" s="2">
        <v>2009</v>
      </c>
    </row>
    <row r="5" spans="1:23" ht="15.75" customHeight="1" x14ac:dyDescent="0.4">
      <c r="A5" s="2" t="s">
        <v>168</v>
      </c>
      <c r="B5" s="2">
        <v>1</v>
      </c>
      <c r="C5" s="3" t="s">
        <v>33</v>
      </c>
      <c r="D5" s="3" t="s">
        <v>33</v>
      </c>
      <c r="E5" s="3" t="s">
        <v>33</v>
      </c>
      <c r="F5" s="3" t="s">
        <v>33</v>
      </c>
      <c r="G5" s="3" t="s">
        <v>33</v>
      </c>
      <c r="H5" s="3" t="s">
        <v>33</v>
      </c>
      <c r="I5" s="2">
        <v>75.774500000000003</v>
      </c>
      <c r="J5" s="2">
        <v>4</v>
      </c>
      <c r="K5" s="2">
        <v>74.071200000000005</v>
      </c>
      <c r="L5" s="2">
        <v>7</v>
      </c>
      <c r="M5" s="2">
        <v>117.4778</v>
      </c>
      <c r="N5" s="2">
        <v>2</v>
      </c>
      <c r="O5" s="2">
        <v>121.90819999999999</v>
      </c>
      <c r="P5" s="2">
        <v>1</v>
      </c>
      <c r="Q5" s="2">
        <v>96.254199999999997</v>
      </c>
      <c r="R5" s="2">
        <v>59</v>
      </c>
      <c r="S5" s="2">
        <v>95.354900000000001</v>
      </c>
      <c r="T5" s="2">
        <v>49</v>
      </c>
      <c r="U5" s="2">
        <v>0.94401800000000002</v>
      </c>
      <c r="V5" s="2">
        <v>4</v>
      </c>
      <c r="W5" s="2">
        <v>2009</v>
      </c>
    </row>
    <row r="6" spans="1:23" ht="15.75" customHeight="1" x14ac:dyDescent="0.4">
      <c r="A6" s="2" t="s">
        <v>86</v>
      </c>
      <c r="B6" s="2">
        <v>1</v>
      </c>
      <c r="C6" s="3" t="s">
        <v>33</v>
      </c>
      <c r="D6" s="3" t="s">
        <v>33</v>
      </c>
      <c r="E6" s="3" t="s">
        <v>33</v>
      </c>
      <c r="F6" s="2"/>
      <c r="G6" s="2"/>
      <c r="H6" s="2"/>
      <c r="I6" s="2">
        <v>69.310400000000001</v>
      </c>
      <c r="J6" s="2">
        <v>74</v>
      </c>
      <c r="K6" s="2">
        <v>68.395300000000006</v>
      </c>
      <c r="L6" s="2">
        <v>90</v>
      </c>
      <c r="M6" s="2">
        <v>106.15770000000001</v>
      </c>
      <c r="N6" s="2">
        <v>85</v>
      </c>
      <c r="O6" s="2">
        <v>107.706</v>
      </c>
      <c r="P6" s="2">
        <v>72</v>
      </c>
      <c r="Q6" s="2">
        <v>88.7333</v>
      </c>
      <c r="R6" s="2">
        <v>3</v>
      </c>
      <c r="S6" s="2">
        <v>85.781899999999993</v>
      </c>
      <c r="T6" s="2">
        <v>2</v>
      </c>
      <c r="U6" s="2">
        <v>0.93197099999999999</v>
      </c>
      <c r="V6" s="2">
        <v>5</v>
      </c>
      <c r="W6" s="2">
        <v>2009</v>
      </c>
    </row>
    <row r="7" spans="1:23" ht="15.75" customHeight="1" x14ac:dyDescent="0.4">
      <c r="A7" s="2" t="s">
        <v>47</v>
      </c>
      <c r="B7" s="2">
        <v>4</v>
      </c>
      <c r="C7" s="3" t="s">
        <v>33</v>
      </c>
      <c r="D7" s="3" t="s">
        <v>33</v>
      </c>
      <c r="E7" s="2"/>
      <c r="F7" s="2"/>
      <c r="G7" s="2"/>
      <c r="H7" s="2"/>
      <c r="I7" s="2">
        <v>67.983000000000004</v>
      </c>
      <c r="J7" s="2">
        <v>110</v>
      </c>
      <c r="K7" s="2">
        <v>68.432299999999998</v>
      </c>
      <c r="L7" s="2">
        <v>88</v>
      </c>
      <c r="M7" s="2">
        <v>114.87309999999999</v>
      </c>
      <c r="N7" s="2">
        <v>5</v>
      </c>
      <c r="O7" s="2">
        <v>115.4522</v>
      </c>
      <c r="P7" s="2">
        <v>12</v>
      </c>
      <c r="Q7" s="2">
        <v>89.832099999999997</v>
      </c>
      <c r="R7" s="2">
        <v>4</v>
      </c>
      <c r="S7" s="2">
        <v>92.789699999999996</v>
      </c>
      <c r="T7" s="2">
        <v>21</v>
      </c>
      <c r="U7" s="2">
        <v>0.92504799999999998</v>
      </c>
      <c r="V7" s="2">
        <v>6</v>
      </c>
      <c r="W7" s="2">
        <v>2009</v>
      </c>
    </row>
    <row r="8" spans="1:23" ht="15.75" customHeight="1" x14ac:dyDescent="0.4">
      <c r="A8" s="2" t="s">
        <v>229</v>
      </c>
      <c r="B8" s="2">
        <v>6</v>
      </c>
      <c r="C8" s="2"/>
      <c r="D8" s="2"/>
      <c r="E8" s="2"/>
      <c r="F8" s="2"/>
      <c r="G8" s="2"/>
      <c r="H8" s="2"/>
      <c r="I8" s="2">
        <v>65.844800000000006</v>
      </c>
      <c r="J8" s="2">
        <v>189</v>
      </c>
      <c r="K8" s="2">
        <v>65.092399999999998</v>
      </c>
      <c r="L8" s="2">
        <v>232</v>
      </c>
      <c r="M8" s="2">
        <v>109.66630000000001</v>
      </c>
      <c r="N8" s="2">
        <v>34</v>
      </c>
      <c r="O8" s="2">
        <v>112.8715</v>
      </c>
      <c r="P8" s="2">
        <v>21</v>
      </c>
      <c r="Q8" s="2">
        <v>93.691599999999994</v>
      </c>
      <c r="R8" s="2">
        <v>23</v>
      </c>
      <c r="S8" s="2">
        <v>90.716399999999993</v>
      </c>
      <c r="T8" s="2">
        <v>10</v>
      </c>
      <c r="U8" s="2">
        <v>0.92503999999999997</v>
      </c>
      <c r="V8" s="2">
        <v>7</v>
      </c>
      <c r="W8" s="2">
        <v>2009</v>
      </c>
    </row>
    <row r="9" spans="1:23" ht="15.75" customHeight="1" x14ac:dyDescent="0.4">
      <c r="A9" s="2" t="s">
        <v>32</v>
      </c>
      <c r="B9" s="2">
        <v>2</v>
      </c>
      <c r="C9" s="3" t="s">
        <v>33</v>
      </c>
      <c r="D9" s="3" t="s">
        <v>33</v>
      </c>
      <c r="E9" s="2"/>
      <c r="F9" s="2"/>
      <c r="G9" s="2"/>
      <c r="H9" s="2"/>
      <c r="I9" s="2">
        <v>69.350499999999997</v>
      </c>
      <c r="J9" s="2">
        <v>72</v>
      </c>
      <c r="K9" s="2">
        <v>67.492999999999995</v>
      </c>
      <c r="L9" s="2">
        <v>121</v>
      </c>
      <c r="M9" s="2">
        <v>112.0145</v>
      </c>
      <c r="N9" s="2">
        <v>15</v>
      </c>
      <c r="O9" s="2">
        <v>117.2739</v>
      </c>
      <c r="P9" s="2">
        <v>4</v>
      </c>
      <c r="Q9" s="2">
        <v>94.6374</v>
      </c>
      <c r="R9" s="2">
        <v>34</v>
      </c>
      <c r="S9" s="2">
        <v>94.336799999999997</v>
      </c>
      <c r="T9" s="2">
        <v>38</v>
      </c>
      <c r="U9" s="2">
        <v>0.92434300000000003</v>
      </c>
      <c r="V9" s="2">
        <v>8</v>
      </c>
      <c r="W9" s="2">
        <v>2009</v>
      </c>
    </row>
    <row r="10" spans="1:23" ht="15.75" customHeight="1" x14ac:dyDescent="0.4">
      <c r="A10" s="2" t="s">
        <v>65</v>
      </c>
      <c r="B10" s="2">
        <v>6</v>
      </c>
      <c r="C10" s="3" t="s">
        <v>33</v>
      </c>
      <c r="D10" s="2"/>
      <c r="E10" s="2"/>
      <c r="F10" s="2"/>
      <c r="G10" s="2"/>
      <c r="H10" s="2"/>
      <c r="I10" s="2">
        <v>65.398200000000003</v>
      </c>
      <c r="J10" s="2">
        <v>207</v>
      </c>
      <c r="K10" s="2">
        <v>66.642499999999998</v>
      </c>
      <c r="L10" s="2">
        <v>158</v>
      </c>
      <c r="M10" s="2">
        <v>116.1125</v>
      </c>
      <c r="N10" s="2">
        <v>4</v>
      </c>
      <c r="O10" s="2">
        <v>118.1729</v>
      </c>
      <c r="P10" s="2">
        <v>3</v>
      </c>
      <c r="Q10" s="2">
        <v>97.200400000000002</v>
      </c>
      <c r="R10" s="2">
        <v>82</v>
      </c>
      <c r="S10" s="2">
        <v>95.705399999999997</v>
      </c>
      <c r="T10" s="2">
        <v>55</v>
      </c>
      <c r="U10" s="2">
        <v>0.91871700000000001</v>
      </c>
      <c r="V10" s="2">
        <v>9</v>
      </c>
      <c r="W10" s="2">
        <v>2009</v>
      </c>
    </row>
    <row r="11" spans="1:23" ht="15.75" customHeight="1" x14ac:dyDescent="0.4">
      <c r="A11" s="2" t="s">
        <v>58</v>
      </c>
      <c r="B11" s="2">
        <v>2</v>
      </c>
      <c r="C11" s="3" t="s">
        <v>33</v>
      </c>
      <c r="D11" s="3" t="s">
        <v>33</v>
      </c>
      <c r="E11" s="3" t="s">
        <v>33</v>
      </c>
      <c r="F11" s="3" t="s">
        <v>33</v>
      </c>
      <c r="G11" s="3" t="s">
        <v>33</v>
      </c>
      <c r="H11" s="2"/>
      <c r="I11" s="2">
        <v>66.289500000000004</v>
      </c>
      <c r="J11" s="2">
        <v>169</v>
      </c>
      <c r="K11" s="2">
        <v>67.654899999999998</v>
      </c>
      <c r="L11" s="2">
        <v>114</v>
      </c>
      <c r="M11" s="2">
        <v>108.55119999999999</v>
      </c>
      <c r="N11" s="2">
        <v>53</v>
      </c>
      <c r="O11" s="2">
        <v>110.8623</v>
      </c>
      <c r="P11" s="2">
        <v>35</v>
      </c>
      <c r="Q11" s="2">
        <v>94.863</v>
      </c>
      <c r="R11" s="2">
        <v>40</v>
      </c>
      <c r="S11" s="2">
        <v>90.599400000000003</v>
      </c>
      <c r="T11" s="2">
        <v>9</v>
      </c>
      <c r="U11" s="2">
        <v>0.91061599999999998</v>
      </c>
      <c r="V11" s="2">
        <v>10</v>
      </c>
      <c r="W11" s="2">
        <v>2009</v>
      </c>
    </row>
    <row r="12" spans="1:23" ht="15.75" customHeight="1" x14ac:dyDescent="0.4">
      <c r="A12" s="2" t="s">
        <v>73</v>
      </c>
      <c r="B12" s="2">
        <v>3</v>
      </c>
      <c r="C12" s="3" t="s">
        <v>33</v>
      </c>
      <c r="D12" s="3" t="s">
        <v>33</v>
      </c>
      <c r="E12" s="3" t="s">
        <v>33</v>
      </c>
      <c r="F12" s="2"/>
      <c r="G12" s="2"/>
      <c r="H12" s="2"/>
      <c r="I12" s="2">
        <v>72.447400000000002</v>
      </c>
      <c r="J12" s="2">
        <v>15</v>
      </c>
      <c r="K12" s="2">
        <v>71.201400000000007</v>
      </c>
      <c r="L12" s="2">
        <v>21</v>
      </c>
      <c r="M12" s="2">
        <v>111.6704</v>
      </c>
      <c r="N12" s="2">
        <v>18</v>
      </c>
      <c r="O12" s="2">
        <v>112.273</v>
      </c>
      <c r="P12" s="2">
        <v>27</v>
      </c>
      <c r="Q12" s="2">
        <v>91.7102</v>
      </c>
      <c r="R12" s="2">
        <v>9</v>
      </c>
      <c r="S12" s="2">
        <v>91.798900000000003</v>
      </c>
      <c r="T12" s="2">
        <v>14</v>
      </c>
      <c r="U12" s="2">
        <v>0.91013900000000003</v>
      </c>
      <c r="V12" s="2">
        <v>11</v>
      </c>
      <c r="W12" s="2">
        <v>2009</v>
      </c>
    </row>
    <row r="13" spans="1:23" ht="15.75" customHeight="1" x14ac:dyDescent="0.4">
      <c r="A13" s="2" t="s">
        <v>38</v>
      </c>
      <c r="B13" s="2">
        <v>2</v>
      </c>
      <c r="C13" s="3" t="s">
        <v>33</v>
      </c>
      <c r="D13" s="3" t="s">
        <v>33</v>
      </c>
      <c r="E13" s="3" t="s">
        <v>33</v>
      </c>
      <c r="F13" s="2"/>
      <c r="G13" s="2"/>
      <c r="H13" s="2"/>
      <c r="I13" s="2">
        <v>69.104500000000002</v>
      </c>
      <c r="J13" s="2">
        <v>80</v>
      </c>
      <c r="K13" s="2">
        <v>68.252099999999999</v>
      </c>
      <c r="L13" s="2">
        <v>94</v>
      </c>
      <c r="M13" s="2">
        <v>114.15560000000001</v>
      </c>
      <c r="N13" s="2">
        <v>8</v>
      </c>
      <c r="O13" s="2">
        <v>116.5286</v>
      </c>
      <c r="P13" s="2">
        <v>6</v>
      </c>
      <c r="Q13" s="2">
        <v>97.648600000000002</v>
      </c>
      <c r="R13" s="2">
        <v>89</v>
      </c>
      <c r="S13" s="2">
        <v>95.585099999999997</v>
      </c>
      <c r="T13" s="2">
        <v>53</v>
      </c>
      <c r="U13" s="2">
        <v>0.90707000000000004</v>
      </c>
      <c r="V13" s="2">
        <v>12</v>
      </c>
      <c r="W13" s="2">
        <v>2009</v>
      </c>
    </row>
    <row r="14" spans="1:23" ht="15.75" customHeight="1" x14ac:dyDescent="0.4">
      <c r="A14" s="2" t="s">
        <v>121</v>
      </c>
      <c r="B14" s="2">
        <v>5</v>
      </c>
      <c r="C14" s="3" t="s">
        <v>33</v>
      </c>
      <c r="D14" s="2"/>
      <c r="E14" s="2"/>
      <c r="F14" s="2"/>
      <c r="G14" s="2"/>
      <c r="H14" s="2"/>
      <c r="I14" s="2">
        <v>65.200199999999995</v>
      </c>
      <c r="J14" s="2">
        <v>218</v>
      </c>
      <c r="K14" s="2">
        <v>66.936999999999998</v>
      </c>
      <c r="L14" s="2">
        <v>146</v>
      </c>
      <c r="M14" s="2">
        <v>105.44670000000001</v>
      </c>
      <c r="N14" s="2">
        <v>94</v>
      </c>
      <c r="O14" s="2">
        <v>109.4021</v>
      </c>
      <c r="P14" s="2">
        <v>48</v>
      </c>
      <c r="Q14" s="2">
        <v>90.095200000000006</v>
      </c>
      <c r="R14" s="2">
        <v>7</v>
      </c>
      <c r="S14" s="2">
        <v>89.762799999999999</v>
      </c>
      <c r="T14" s="2">
        <v>5</v>
      </c>
      <c r="U14" s="2">
        <v>0.90681699999999998</v>
      </c>
      <c r="V14" s="2">
        <v>13</v>
      </c>
      <c r="W14" s="2">
        <v>2009</v>
      </c>
    </row>
    <row r="15" spans="1:23" ht="15.75" customHeight="1" x14ac:dyDescent="0.4">
      <c r="A15" s="2" t="s">
        <v>35</v>
      </c>
      <c r="B15" s="2">
        <v>3</v>
      </c>
      <c r="C15" s="3" t="s">
        <v>33</v>
      </c>
      <c r="D15" s="3" t="s">
        <v>33</v>
      </c>
      <c r="E15" s="2"/>
      <c r="F15" s="2"/>
      <c r="G15" s="2"/>
      <c r="H15" s="2"/>
      <c r="I15" s="2">
        <v>69.563500000000005</v>
      </c>
      <c r="J15" s="2">
        <v>66</v>
      </c>
      <c r="K15" s="2">
        <v>68.489400000000003</v>
      </c>
      <c r="L15" s="2">
        <v>85</v>
      </c>
      <c r="M15" s="2">
        <v>110.48350000000001</v>
      </c>
      <c r="N15" s="2">
        <v>25</v>
      </c>
      <c r="O15" s="2">
        <v>112.60169999999999</v>
      </c>
      <c r="P15" s="2">
        <v>25</v>
      </c>
      <c r="Q15" s="2">
        <v>94.204499999999996</v>
      </c>
      <c r="R15" s="2">
        <v>25</v>
      </c>
      <c r="S15" s="2">
        <v>92.404399999999995</v>
      </c>
      <c r="T15" s="2">
        <v>19</v>
      </c>
      <c r="U15" s="2">
        <v>0.90664400000000001</v>
      </c>
      <c r="V15" s="2">
        <v>14</v>
      </c>
      <c r="W15" s="2">
        <v>2009</v>
      </c>
    </row>
    <row r="16" spans="1:23" ht="15.75" customHeight="1" x14ac:dyDescent="0.4">
      <c r="A16" s="2" t="s">
        <v>131</v>
      </c>
      <c r="B16" s="2">
        <v>4</v>
      </c>
      <c r="C16" s="3" t="s">
        <v>33</v>
      </c>
      <c r="D16" s="2"/>
      <c r="E16" s="2"/>
      <c r="F16" s="2"/>
      <c r="G16" s="2"/>
      <c r="H16" s="2"/>
      <c r="I16" s="2">
        <v>71.997799999999998</v>
      </c>
      <c r="J16" s="2">
        <v>19</v>
      </c>
      <c r="K16" s="2">
        <v>74.174000000000007</v>
      </c>
      <c r="L16" s="2">
        <v>6</v>
      </c>
      <c r="M16" s="2">
        <v>108.0774</v>
      </c>
      <c r="N16" s="2">
        <v>57</v>
      </c>
      <c r="O16" s="2">
        <v>110.76560000000001</v>
      </c>
      <c r="P16" s="2">
        <v>37</v>
      </c>
      <c r="Q16" s="2">
        <v>95.606999999999999</v>
      </c>
      <c r="R16" s="2">
        <v>48</v>
      </c>
      <c r="S16" s="2">
        <v>90.979699999999994</v>
      </c>
      <c r="T16" s="2">
        <v>11</v>
      </c>
      <c r="U16" s="2">
        <v>0.90576400000000001</v>
      </c>
      <c r="V16" s="2">
        <v>15</v>
      </c>
      <c r="W16" s="2">
        <v>2009</v>
      </c>
    </row>
    <row r="17" spans="1:23" ht="15.75" customHeight="1" x14ac:dyDescent="0.4">
      <c r="A17" s="2" t="s">
        <v>23</v>
      </c>
      <c r="B17" s="2">
        <v>3</v>
      </c>
      <c r="C17" s="3" t="s">
        <v>33</v>
      </c>
      <c r="D17" s="3" t="s">
        <v>33</v>
      </c>
      <c r="E17" s="2"/>
      <c r="F17" s="2"/>
      <c r="G17" s="2"/>
      <c r="H17" s="2"/>
      <c r="I17" s="2">
        <v>71.285399999999996</v>
      </c>
      <c r="J17" s="2">
        <v>30</v>
      </c>
      <c r="K17" s="2">
        <v>70.527900000000002</v>
      </c>
      <c r="L17" s="2">
        <v>32</v>
      </c>
      <c r="M17" s="2">
        <v>109.6083</v>
      </c>
      <c r="N17" s="2">
        <v>35</v>
      </c>
      <c r="O17" s="2">
        <v>117.0626</v>
      </c>
      <c r="P17" s="2">
        <v>5</v>
      </c>
      <c r="Q17" s="2">
        <v>98.838200000000001</v>
      </c>
      <c r="R17" s="2">
        <v>109</v>
      </c>
      <c r="S17" s="2">
        <v>96.264200000000002</v>
      </c>
      <c r="T17" s="2">
        <v>62</v>
      </c>
      <c r="U17" s="2">
        <v>0.90461100000000005</v>
      </c>
      <c r="V17" s="2">
        <v>16</v>
      </c>
      <c r="W17" s="2">
        <v>2009</v>
      </c>
    </row>
    <row r="18" spans="1:23" ht="15.75" customHeight="1" x14ac:dyDescent="0.4">
      <c r="A18" s="2" t="s">
        <v>99</v>
      </c>
      <c r="B18" s="2">
        <v>6</v>
      </c>
      <c r="C18" s="3" t="s">
        <v>33</v>
      </c>
      <c r="D18" s="2"/>
      <c r="E18" s="2"/>
      <c r="F18" s="2"/>
      <c r="G18" s="2"/>
      <c r="H18" s="2"/>
      <c r="I18" s="2">
        <v>60.4955</v>
      </c>
      <c r="J18" s="2">
        <v>330</v>
      </c>
      <c r="K18" s="2">
        <v>60.131999999999998</v>
      </c>
      <c r="L18" s="2">
        <v>333</v>
      </c>
      <c r="M18" s="2">
        <v>113.4389</v>
      </c>
      <c r="N18" s="2">
        <v>9</v>
      </c>
      <c r="O18" s="2">
        <v>115.7012</v>
      </c>
      <c r="P18" s="2">
        <v>11</v>
      </c>
      <c r="Q18" s="2">
        <v>97.994900000000001</v>
      </c>
      <c r="R18" s="2">
        <v>94</v>
      </c>
      <c r="S18" s="2">
        <v>95.302099999999996</v>
      </c>
      <c r="T18" s="2">
        <v>47</v>
      </c>
      <c r="U18" s="2">
        <v>0.90295800000000004</v>
      </c>
      <c r="V18" s="2">
        <v>17</v>
      </c>
      <c r="W18" s="2">
        <v>2009</v>
      </c>
    </row>
    <row r="19" spans="1:23" ht="15.75" customHeight="1" x14ac:dyDescent="0.4">
      <c r="A19" s="2" t="s">
        <v>78</v>
      </c>
      <c r="B19" s="2">
        <v>3</v>
      </c>
      <c r="C19" s="3" t="s">
        <v>33</v>
      </c>
      <c r="D19" s="3" t="s">
        <v>33</v>
      </c>
      <c r="E19" s="3" t="s">
        <v>33</v>
      </c>
      <c r="F19" s="3" t="s">
        <v>33</v>
      </c>
      <c r="G19" s="2"/>
      <c r="H19" s="2"/>
      <c r="I19" s="2">
        <v>69.127899999999997</v>
      </c>
      <c r="J19" s="2">
        <v>79</v>
      </c>
      <c r="K19" s="2">
        <v>68.4696</v>
      </c>
      <c r="L19" s="2">
        <v>86</v>
      </c>
      <c r="M19" s="2">
        <v>109.9945</v>
      </c>
      <c r="N19" s="2">
        <v>29</v>
      </c>
      <c r="O19" s="2">
        <v>111.9937</v>
      </c>
      <c r="P19" s="2">
        <v>30</v>
      </c>
      <c r="Q19" s="2">
        <v>95.776799999999994</v>
      </c>
      <c r="R19" s="2">
        <v>51</v>
      </c>
      <c r="S19" s="2">
        <v>92.271699999999996</v>
      </c>
      <c r="T19" s="2">
        <v>17</v>
      </c>
      <c r="U19" s="2">
        <v>0.902702</v>
      </c>
      <c r="V19" s="2">
        <v>18</v>
      </c>
      <c r="W19" s="2">
        <v>2009</v>
      </c>
    </row>
    <row r="20" spans="1:23" ht="15.75" customHeight="1" x14ac:dyDescent="0.4">
      <c r="A20" s="2" t="s">
        <v>96</v>
      </c>
      <c r="B20" s="2">
        <v>8</v>
      </c>
      <c r="C20" s="2"/>
      <c r="D20" s="2"/>
      <c r="E20" s="2"/>
      <c r="F20" s="2"/>
      <c r="G20" s="2"/>
      <c r="H20" s="2"/>
      <c r="I20" s="2">
        <v>68.725399999999993</v>
      </c>
      <c r="J20" s="2">
        <v>94</v>
      </c>
      <c r="K20" s="2">
        <v>69.983900000000006</v>
      </c>
      <c r="L20" s="2">
        <v>44</v>
      </c>
      <c r="M20" s="2">
        <v>111.8682</v>
      </c>
      <c r="N20" s="2">
        <v>17</v>
      </c>
      <c r="O20" s="2">
        <v>113.0282</v>
      </c>
      <c r="P20" s="2">
        <v>19</v>
      </c>
      <c r="Q20" s="2">
        <v>93.682299999999998</v>
      </c>
      <c r="R20" s="2">
        <v>22</v>
      </c>
      <c r="S20" s="2">
        <v>93.548599999999993</v>
      </c>
      <c r="T20" s="2">
        <v>30</v>
      </c>
      <c r="U20" s="2">
        <v>0.89800899999999995</v>
      </c>
      <c r="V20" s="2">
        <v>19</v>
      </c>
      <c r="W20" s="2">
        <v>2009</v>
      </c>
    </row>
    <row r="21" spans="1:23" ht="15.75" customHeight="1" x14ac:dyDescent="0.4">
      <c r="A21" s="2" t="s">
        <v>39</v>
      </c>
      <c r="B21" s="2">
        <v>6</v>
      </c>
      <c r="C21" s="3" t="s">
        <v>33</v>
      </c>
      <c r="D21" s="2"/>
      <c r="E21" s="2"/>
      <c r="F21" s="2"/>
      <c r="G21" s="2"/>
      <c r="H21" s="2"/>
      <c r="I21" s="2">
        <v>69.515600000000006</v>
      </c>
      <c r="J21" s="2">
        <v>67</v>
      </c>
      <c r="K21" s="2">
        <v>68.781099999999995</v>
      </c>
      <c r="L21" s="2">
        <v>75</v>
      </c>
      <c r="M21" s="2">
        <v>113.11150000000001</v>
      </c>
      <c r="N21" s="2">
        <v>11</v>
      </c>
      <c r="O21" s="2">
        <v>116.1857</v>
      </c>
      <c r="P21" s="2">
        <v>9</v>
      </c>
      <c r="Q21" s="2">
        <v>98.9559</v>
      </c>
      <c r="R21" s="2">
        <v>113</v>
      </c>
      <c r="S21" s="2">
        <v>96.541799999999995</v>
      </c>
      <c r="T21" s="2">
        <v>63</v>
      </c>
      <c r="U21" s="2">
        <v>0.89378100000000005</v>
      </c>
      <c r="V21" s="2">
        <v>20</v>
      </c>
      <c r="W21" s="2">
        <v>2009</v>
      </c>
    </row>
    <row r="22" spans="1:23" ht="15.75" customHeight="1" x14ac:dyDescent="0.4">
      <c r="A22" s="2" t="s">
        <v>61</v>
      </c>
      <c r="B22" s="2">
        <v>4</v>
      </c>
      <c r="C22" s="2"/>
      <c r="D22" s="2"/>
      <c r="E22" s="2"/>
      <c r="F22" s="2"/>
      <c r="G22" s="2"/>
      <c r="H22" s="2"/>
      <c r="I22" s="2">
        <v>75.325800000000001</v>
      </c>
      <c r="J22" s="2">
        <v>6</v>
      </c>
      <c r="K22" s="2">
        <v>73.388800000000003</v>
      </c>
      <c r="L22" s="2">
        <v>10</v>
      </c>
      <c r="M22" s="2">
        <v>107.883</v>
      </c>
      <c r="N22" s="2">
        <v>62</v>
      </c>
      <c r="O22" s="2">
        <v>109.7782</v>
      </c>
      <c r="P22" s="2">
        <v>45</v>
      </c>
      <c r="Q22" s="2">
        <v>93.201999999999998</v>
      </c>
      <c r="R22" s="2">
        <v>18</v>
      </c>
      <c r="S22" s="2">
        <v>92.031700000000001</v>
      </c>
      <c r="T22" s="2">
        <v>16</v>
      </c>
      <c r="U22" s="2">
        <v>0.883683</v>
      </c>
      <c r="V22" s="2">
        <v>21</v>
      </c>
      <c r="W22" s="2">
        <v>2009</v>
      </c>
    </row>
    <row r="23" spans="1:23" ht="15.75" customHeight="1" x14ac:dyDescent="0.4">
      <c r="A23" s="2" t="s">
        <v>24</v>
      </c>
      <c r="B23" s="2">
        <v>7</v>
      </c>
      <c r="C23" s="2"/>
      <c r="D23" s="2"/>
      <c r="E23" s="2"/>
      <c r="F23" s="2"/>
      <c r="G23" s="2"/>
      <c r="H23" s="2"/>
      <c r="I23" s="2">
        <v>70.428600000000003</v>
      </c>
      <c r="J23" s="2">
        <v>43</v>
      </c>
      <c r="K23" s="2">
        <v>69.061000000000007</v>
      </c>
      <c r="L23" s="2">
        <v>65</v>
      </c>
      <c r="M23" s="2">
        <v>111.9457</v>
      </c>
      <c r="N23" s="2">
        <v>16</v>
      </c>
      <c r="O23" s="2">
        <v>116.2067</v>
      </c>
      <c r="P23" s="2">
        <v>8</v>
      </c>
      <c r="Q23" s="2">
        <v>96.069199999999995</v>
      </c>
      <c r="R23" s="2">
        <v>56</v>
      </c>
      <c r="S23" s="2">
        <v>97.548699999999997</v>
      </c>
      <c r="T23" s="2">
        <v>78</v>
      </c>
      <c r="U23" s="2">
        <v>0.88212599999999997</v>
      </c>
      <c r="V23" s="2">
        <v>22</v>
      </c>
      <c r="W23" s="2">
        <v>2009</v>
      </c>
    </row>
    <row r="24" spans="1:23" ht="15.75" customHeight="1" x14ac:dyDescent="0.4">
      <c r="A24" s="2" t="s">
        <v>44</v>
      </c>
      <c r="B24" s="2">
        <v>5</v>
      </c>
      <c r="C24" s="2"/>
      <c r="D24" s="2"/>
      <c r="E24" s="2"/>
      <c r="F24" s="2"/>
      <c r="G24" s="2"/>
      <c r="H24" s="2"/>
      <c r="I24" s="2">
        <v>62.714399999999998</v>
      </c>
      <c r="J24" s="2">
        <v>296</v>
      </c>
      <c r="K24" s="2">
        <v>63.569699999999997</v>
      </c>
      <c r="L24" s="2">
        <v>283</v>
      </c>
      <c r="M24" s="2">
        <v>102.06229999999999</v>
      </c>
      <c r="N24" s="2">
        <v>163</v>
      </c>
      <c r="O24" s="2">
        <v>103.9402</v>
      </c>
      <c r="P24" s="2">
        <v>127</v>
      </c>
      <c r="Q24" s="2">
        <v>89.974400000000003</v>
      </c>
      <c r="R24" s="2">
        <v>6</v>
      </c>
      <c r="S24" s="2">
        <v>87.626099999999994</v>
      </c>
      <c r="T24" s="2">
        <v>4</v>
      </c>
      <c r="U24" s="2">
        <v>0.87690800000000002</v>
      </c>
      <c r="V24" s="2">
        <v>23</v>
      </c>
      <c r="W24" s="2">
        <v>2009</v>
      </c>
    </row>
    <row r="25" spans="1:23" ht="15.75" customHeight="1" x14ac:dyDescent="0.4">
      <c r="A25" s="2" t="s">
        <v>50</v>
      </c>
      <c r="B25" s="2">
        <v>4</v>
      </c>
      <c r="C25" s="3" t="s">
        <v>33</v>
      </c>
      <c r="D25" s="3" t="s">
        <v>33</v>
      </c>
      <c r="E25" s="2"/>
      <c r="F25" s="2"/>
      <c r="G25" s="2"/>
      <c r="H25" s="2"/>
      <c r="I25" s="2">
        <v>67.121499999999997</v>
      </c>
      <c r="J25" s="2">
        <v>137</v>
      </c>
      <c r="K25" s="2">
        <v>66.871899999999997</v>
      </c>
      <c r="L25" s="2">
        <v>148</v>
      </c>
      <c r="M25" s="2">
        <v>107.5317</v>
      </c>
      <c r="N25" s="2">
        <v>73</v>
      </c>
      <c r="O25" s="2">
        <v>109.4507</v>
      </c>
      <c r="P25" s="2">
        <v>47</v>
      </c>
      <c r="Q25" s="2">
        <v>92.569500000000005</v>
      </c>
      <c r="R25" s="2">
        <v>13</v>
      </c>
      <c r="S25" s="2">
        <v>92.388999999999996</v>
      </c>
      <c r="T25" s="2">
        <v>18</v>
      </c>
      <c r="U25" s="2">
        <v>0.87532200000000004</v>
      </c>
      <c r="V25" s="2">
        <v>24</v>
      </c>
      <c r="W25" s="2">
        <v>2009</v>
      </c>
    </row>
    <row r="26" spans="1:23" ht="15.75" customHeight="1" x14ac:dyDescent="0.4">
      <c r="A26" s="2" t="s">
        <v>70</v>
      </c>
      <c r="B26" s="2">
        <v>5</v>
      </c>
      <c r="C26" s="2"/>
      <c r="D26" s="2"/>
      <c r="E26" s="2"/>
      <c r="F26" s="2"/>
      <c r="G26" s="2"/>
      <c r="H26" s="2"/>
      <c r="I26" s="2">
        <v>65.098699999999994</v>
      </c>
      <c r="J26" s="2">
        <v>222</v>
      </c>
      <c r="K26" s="2">
        <v>65.399699999999996</v>
      </c>
      <c r="L26" s="2">
        <v>217</v>
      </c>
      <c r="M26" s="2">
        <v>107.8438</v>
      </c>
      <c r="N26" s="2">
        <v>63</v>
      </c>
      <c r="O26" s="2">
        <v>108.66759999999999</v>
      </c>
      <c r="P26" s="2">
        <v>58</v>
      </c>
      <c r="Q26" s="2">
        <v>96.354299999999995</v>
      </c>
      <c r="R26" s="2">
        <v>63</v>
      </c>
      <c r="S26" s="2">
        <v>91.935199999999995</v>
      </c>
      <c r="T26" s="2">
        <v>15</v>
      </c>
      <c r="U26" s="2">
        <v>0.87246299999999999</v>
      </c>
      <c r="V26" s="2">
        <v>25</v>
      </c>
      <c r="W26" s="2">
        <v>2009</v>
      </c>
    </row>
    <row r="27" spans="1:23" ht="15.75" customHeight="1" x14ac:dyDescent="0.4">
      <c r="A27" s="2" t="s">
        <v>76</v>
      </c>
      <c r="B27" s="2">
        <v>12</v>
      </c>
      <c r="C27" s="3" t="s">
        <v>33</v>
      </c>
      <c r="D27" s="2"/>
      <c r="E27" s="2"/>
      <c r="F27" s="2"/>
      <c r="G27" s="2"/>
      <c r="H27" s="2"/>
      <c r="I27" s="2">
        <v>58.725900000000003</v>
      </c>
      <c r="J27" s="2">
        <v>341</v>
      </c>
      <c r="K27" s="2">
        <v>59.915399999999998</v>
      </c>
      <c r="L27" s="2">
        <v>334</v>
      </c>
      <c r="M27" s="2">
        <v>108.59650000000001</v>
      </c>
      <c r="N27" s="2">
        <v>51</v>
      </c>
      <c r="O27" s="2">
        <v>112.1296</v>
      </c>
      <c r="P27" s="2">
        <v>29</v>
      </c>
      <c r="Q27" s="2">
        <v>99.506699999999995</v>
      </c>
      <c r="R27" s="2">
        <v>121</v>
      </c>
      <c r="S27" s="2">
        <v>95.770300000000006</v>
      </c>
      <c r="T27" s="2">
        <v>56</v>
      </c>
      <c r="U27" s="2">
        <v>0.85979399999999995</v>
      </c>
      <c r="V27" s="2">
        <v>26</v>
      </c>
      <c r="W27" s="2">
        <v>2009</v>
      </c>
    </row>
    <row r="28" spans="1:23" ht="15.75" customHeight="1" x14ac:dyDescent="0.4">
      <c r="A28" s="2" t="s">
        <v>42</v>
      </c>
      <c r="B28" s="2">
        <v>10</v>
      </c>
      <c r="C28" s="3" t="s">
        <v>33</v>
      </c>
      <c r="D28" s="2"/>
      <c r="E28" s="2"/>
      <c r="F28" s="2"/>
      <c r="G28" s="2"/>
      <c r="H28" s="2"/>
      <c r="I28" s="2">
        <v>65.0779</v>
      </c>
      <c r="J28" s="2">
        <v>224</v>
      </c>
      <c r="K28" s="2">
        <v>64.627700000000004</v>
      </c>
      <c r="L28" s="2">
        <v>247</v>
      </c>
      <c r="M28" s="2">
        <v>104.59229999999999</v>
      </c>
      <c r="N28" s="2">
        <v>115</v>
      </c>
      <c r="O28" s="2">
        <v>108.0282</v>
      </c>
      <c r="P28" s="2">
        <v>66</v>
      </c>
      <c r="Q28" s="2">
        <v>97.586299999999994</v>
      </c>
      <c r="R28" s="2">
        <v>88</v>
      </c>
      <c r="S28" s="2">
        <v>92.493499999999997</v>
      </c>
      <c r="T28" s="2">
        <v>20</v>
      </c>
      <c r="U28" s="2">
        <v>0.85636500000000004</v>
      </c>
      <c r="V28" s="2">
        <v>27</v>
      </c>
      <c r="W28" s="2">
        <v>2009</v>
      </c>
    </row>
    <row r="29" spans="1:23" ht="12.3" x14ac:dyDescent="0.4">
      <c r="A29" s="2" t="s">
        <v>67</v>
      </c>
      <c r="B29" s="2">
        <v>7</v>
      </c>
      <c r="C29" s="3" t="s">
        <v>33</v>
      </c>
      <c r="D29" s="2"/>
      <c r="E29" s="2"/>
      <c r="F29" s="2"/>
      <c r="G29" s="2"/>
      <c r="H29" s="2"/>
      <c r="I29" s="2">
        <v>67.539100000000005</v>
      </c>
      <c r="J29" s="2">
        <v>131</v>
      </c>
      <c r="K29" s="2">
        <v>66.141099999999994</v>
      </c>
      <c r="L29" s="2">
        <v>174</v>
      </c>
      <c r="M29" s="2">
        <v>106.66589999999999</v>
      </c>
      <c r="N29" s="2">
        <v>79</v>
      </c>
      <c r="O29" s="2">
        <v>109.2162</v>
      </c>
      <c r="P29" s="2">
        <v>51</v>
      </c>
      <c r="Q29" s="2">
        <v>96.383399999999995</v>
      </c>
      <c r="R29" s="2">
        <v>65</v>
      </c>
      <c r="S29" s="2">
        <v>93.570899999999995</v>
      </c>
      <c r="T29" s="2">
        <v>31</v>
      </c>
      <c r="U29" s="2">
        <v>0.85545199999999999</v>
      </c>
      <c r="V29" s="2">
        <v>28</v>
      </c>
      <c r="W29" s="2">
        <v>2009</v>
      </c>
    </row>
    <row r="30" spans="1:23" ht="12.3" x14ac:dyDescent="0.4">
      <c r="A30" s="2" t="s">
        <v>57</v>
      </c>
      <c r="B30" s="2">
        <v>7</v>
      </c>
      <c r="C30" s="2"/>
      <c r="D30" s="2"/>
      <c r="E30" s="2"/>
      <c r="F30" s="2"/>
      <c r="G30" s="2"/>
      <c r="H30" s="2"/>
      <c r="I30" s="2">
        <v>66.184200000000004</v>
      </c>
      <c r="J30" s="2">
        <v>175</v>
      </c>
      <c r="K30" s="2">
        <v>67.169799999999995</v>
      </c>
      <c r="L30" s="2">
        <v>135</v>
      </c>
      <c r="M30" s="2">
        <v>112.23350000000001</v>
      </c>
      <c r="N30" s="2">
        <v>14</v>
      </c>
      <c r="O30" s="2">
        <v>115.70489999999999</v>
      </c>
      <c r="P30" s="2">
        <v>10</v>
      </c>
      <c r="Q30" s="2">
        <v>101.88979999999999</v>
      </c>
      <c r="R30" s="2">
        <v>188</v>
      </c>
      <c r="S30" s="2">
        <v>99.332800000000006</v>
      </c>
      <c r="T30" s="2">
        <v>124</v>
      </c>
      <c r="U30" s="2">
        <v>0.852522</v>
      </c>
      <c r="V30" s="2">
        <v>29</v>
      </c>
      <c r="W30" s="2">
        <v>2009</v>
      </c>
    </row>
    <row r="31" spans="1:23" ht="12.3" x14ac:dyDescent="0.4">
      <c r="A31" s="2" t="s">
        <v>20</v>
      </c>
      <c r="B31" s="2">
        <v>5</v>
      </c>
      <c r="C31" s="2"/>
      <c r="D31" s="2"/>
      <c r="E31" s="2"/>
      <c r="F31" s="2"/>
      <c r="G31" s="2"/>
      <c r="H31" s="2"/>
      <c r="I31" s="2">
        <v>68.257999999999996</v>
      </c>
      <c r="J31" s="2">
        <v>104</v>
      </c>
      <c r="K31" s="2">
        <v>66.983699999999999</v>
      </c>
      <c r="L31" s="2">
        <v>144</v>
      </c>
      <c r="M31" s="2">
        <v>100.44880000000001</v>
      </c>
      <c r="N31" s="2">
        <v>187</v>
      </c>
      <c r="O31" s="2">
        <v>104.7221</v>
      </c>
      <c r="P31" s="2">
        <v>110</v>
      </c>
      <c r="Q31" s="2">
        <v>94.917400000000001</v>
      </c>
      <c r="R31" s="2">
        <v>41</v>
      </c>
      <c r="S31" s="2">
        <v>89.948899999999995</v>
      </c>
      <c r="T31" s="2">
        <v>6</v>
      </c>
      <c r="U31" s="2">
        <v>0.85179899999999997</v>
      </c>
      <c r="V31" s="2">
        <v>30</v>
      </c>
      <c r="W31" s="2">
        <v>2009</v>
      </c>
    </row>
    <row r="32" spans="1:23" ht="12.3" x14ac:dyDescent="0.4">
      <c r="A32" s="2" t="s">
        <v>72</v>
      </c>
      <c r="B32" s="2">
        <v>8</v>
      </c>
      <c r="C32" s="3" t="s">
        <v>33</v>
      </c>
      <c r="D32" s="2"/>
      <c r="E32" s="2"/>
      <c r="F32" s="2"/>
      <c r="G32" s="2"/>
      <c r="H32" s="2"/>
      <c r="I32" s="2">
        <v>72.418700000000001</v>
      </c>
      <c r="J32" s="2">
        <v>16</v>
      </c>
      <c r="K32" s="2">
        <v>70.432900000000004</v>
      </c>
      <c r="L32" s="2">
        <v>34</v>
      </c>
      <c r="M32" s="2">
        <v>111.4555</v>
      </c>
      <c r="N32" s="2">
        <v>20</v>
      </c>
      <c r="O32" s="2">
        <v>112.8104</v>
      </c>
      <c r="P32" s="2">
        <v>22</v>
      </c>
      <c r="Q32" s="2">
        <v>101.5167</v>
      </c>
      <c r="R32" s="2">
        <v>176</v>
      </c>
      <c r="S32" s="2">
        <v>96.962199999999996</v>
      </c>
      <c r="T32" s="2">
        <v>68</v>
      </c>
      <c r="U32" s="2">
        <v>0.85080699999999998</v>
      </c>
      <c r="V32" s="2">
        <v>31</v>
      </c>
      <c r="W32" s="2">
        <v>2009</v>
      </c>
    </row>
    <row r="33" spans="1:23" ht="12.3" x14ac:dyDescent="0.4">
      <c r="A33" s="2" t="s">
        <v>97</v>
      </c>
      <c r="B33" s="2"/>
      <c r="C33" s="2"/>
      <c r="D33" s="2"/>
      <c r="E33" s="2"/>
      <c r="F33" s="2"/>
      <c r="G33" s="2"/>
      <c r="H33" s="2"/>
      <c r="I33" s="2">
        <v>62.649299999999997</v>
      </c>
      <c r="J33" s="2">
        <v>297</v>
      </c>
      <c r="K33" s="2">
        <v>62.458300000000001</v>
      </c>
      <c r="L33" s="2">
        <v>310</v>
      </c>
      <c r="M33" s="2">
        <v>106.2171</v>
      </c>
      <c r="N33" s="2">
        <v>84</v>
      </c>
      <c r="O33" s="2">
        <v>108.4532</v>
      </c>
      <c r="P33" s="2">
        <v>61</v>
      </c>
      <c r="Q33" s="2">
        <v>95.340999999999994</v>
      </c>
      <c r="R33" s="2">
        <v>44</v>
      </c>
      <c r="S33" s="2">
        <v>93.321600000000004</v>
      </c>
      <c r="T33" s="2">
        <v>28</v>
      </c>
      <c r="U33" s="2">
        <v>0.84916499999999995</v>
      </c>
      <c r="V33" s="2">
        <v>32</v>
      </c>
      <c r="W33" s="2">
        <v>2009</v>
      </c>
    </row>
    <row r="34" spans="1:23" ht="12.3" x14ac:dyDescent="0.4">
      <c r="A34" s="2" t="s">
        <v>21</v>
      </c>
      <c r="B34" s="2">
        <v>8</v>
      </c>
      <c r="C34" s="2"/>
      <c r="D34" s="2"/>
      <c r="E34" s="2"/>
      <c r="F34" s="2"/>
      <c r="G34" s="2"/>
      <c r="H34" s="2"/>
      <c r="I34" s="2">
        <v>61.712299999999999</v>
      </c>
      <c r="J34" s="2">
        <v>318</v>
      </c>
      <c r="K34" s="2">
        <v>63.355899999999998</v>
      </c>
      <c r="L34" s="2">
        <v>288</v>
      </c>
      <c r="M34" s="2">
        <v>107.6511</v>
      </c>
      <c r="N34" s="2">
        <v>69</v>
      </c>
      <c r="O34" s="2">
        <v>113.0316</v>
      </c>
      <c r="P34" s="2">
        <v>18</v>
      </c>
      <c r="Q34" s="2">
        <v>99.724599999999995</v>
      </c>
      <c r="R34" s="2">
        <v>131</v>
      </c>
      <c r="S34" s="2">
        <v>97.763599999999997</v>
      </c>
      <c r="T34" s="2">
        <v>84</v>
      </c>
      <c r="U34" s="2">
        <v>0.84141999999999995</v>
      </c>
      <c r="V34" s="2">
        <v>33</v>
      </c>
      <c r="W34" s="2">
        <v>2009</v>
      </c>
    </row>
    <row r="35" spans="1:23" ht="12.3" x14ac:dyDescent="0.4">
      <c r="A35" s="2" t="s">
        <v>62</v>
      </c>
      <c r="B35" s="2"/>
      <c r="C35" s="2"/>
      <c r="D35" s="2"/>
      <c r="E35" s="2"/>
      <c r="F35" s="2"/>
      <c r="G35" s="2"/>
      <c r="H35" s="2"/>
      <c r="I35" s="2">
        <v>64.528999999999996</v>
      </c>
      <c r="J35" s="2">
        <v>256</v>
      </c>
      <c r="K35" s="2">
        <v>63.9831</v>
      </c>
      <c r="L35" s="2">
        <v>271</v>
      </c>
      <c r="M35" s="2">
        <v>105.2988</v>
      </c>
      <c r="N35" s="2">
        <v>96</v>
      </c>
      <c r="O35" s="2">
        <v>107.41030000000001</v>
      </c>
      <c r="P35" s="2">
        <v>75</v>
      </c>
      <c r="Q35" s="2">
        <v>96.348600000000005</v>
      </c>
      <c r="R35" s="2">
        <v>62</v>
      </c>
      <c r="S35" s="2">
        <v>92.962699999999998</v>
      </c>
      <c r="T35" s="2">
        <v>22</v>
      </c>
      <c r="U35" s="2">
        <v>0.84040800000000004</v>
      </c>
      <c r="V35" s="2">
        <v>34</v>
      </c>
      <c r="W35" s="2">
        <v>2009</v>
      </c>
    </row>
    <row r="36" spans="1:23" ht="12.3" x14ac:dyDescent="0.4">
      <c r="A36" s="2" t="s">
        <v>18</v>
      </c>
      <c r="B36" s="2">
        <v>9</v>
      </c>
      <c r="C36" s="2"/>
      <c r="D36" s="2"/>
      <c r="E36" s="2"/>
      <c r="F36" s="2"/>
      <c r="G36" s="2"/>
      <c r="H36" s="2"/>
      <c r="I36" s="2">
        <v>62.612099999999998</v>
      </c>
      <c r="J36" s="2">
        <v>298</v>
      </c>
      <c r="K36" s="2">
        <v>63.422800000000002</v>
      </c>
      <c r="L36" s="2">
        <v>286</v>
      </c>
      <c r="M36" s="2">
        <v>106.91330000000001</v>
      </c>
      <c r="N36" s="2">
        <v>78</v>
      </c>
      <c r="O36" s="2">
        <v>108.4606</v>
      </c>
      <c r="P36" s="2">
        <v>60</v>
      </c>
      <c r="Q36" s="2">
        <v>92.915099999999995</v>
      </c>
      <c r="R36" s="2">
        <v>15</v>
      </c>
      <c r="S36" s="2">
        <v>94.121200000000002</v>
      </c>
      <c r="T36" s="2">
        <v>36</v>
      </c>
      <c r="U36" s="2">
        <v>0.83627200000000002</v>
      </c>
      <c r="V36" s="2">
        <v>35</v>
      </c>
      <c r="W36" s="2">
        <v>2009</v>
      </c>
    </row>
    <row r="37" spans="1:23" ht="12.3" x14ac:dyDescent="0.4">
      <c r="A37" s="2" t="s">
        <v>81</v>
      </c>
      <c r="B37" s="2">
        <v>9</v>
      </c>
      <c r="C37" s="2"/>
      <c r="D37" s="2"/>
      <c r="E37" s="2"/>
      <c r="F37" s="2"/>
      <c r="G37" s="2"/>
      <c r="H37" s="2"/>
      <c r="I37" s="2">
        <v>71.5625</v>
      </c>
      <c r="J37" s="2">
        <v>27</v>
      </c>
      <c r="K37" s="2">
        <v>68.968699999999998</v>
      </c>
      <c r="L37" s="2">
        <v>67</v>
      </c>
      <c r="M37" s="2">
        <v>109.1284</v>
      </c>
      <c r="N37" s="2">
        <v>44</v>
      </c>
      <c r="O37" s="2">
        <v>113.3582</v>
      </c>
      <c r="P37" s="2">
        <v>17</v>
      </c>
      <c r="Q37" s="2">
        <v>101.178</v>
      </c>
      <c r="R37" s="2">
        <v>168</v>
      </c>
      <c r="S37" s="2">
        <v>98.644999999999996</v>
      </c>
      <c r="T37" s="2">
        <v>105</v>
      </c>
      <c r="U37" s="2">
        <v>0.83184800000000003</v>
      </c>
      <c r="V37" s="2">
        <v>36</v>
      </c>
      <c r="W37" s="2">
        <v>2009</v>
      </c>
    </row>
    <row r="38" spans="1:23" ht="12.3" x14ac:dyDescent="0.4">
      <c r="A38" s="2" t="s">
        <v>75</v>
      </c>
      <c r="B38" s="2">
        <v>10</v>
      </c>
      <c r="C38" s="2"/>
      <c r="D38" s="2"/>
      <c r="E38" s="2"/>
      <c r="F38" s="2"/>
      <c r="G38" s="2"/>
      <c r="H38" s="2"/>
      <c r="I38" s="2">
        <v>63.649299999999997</v>
      </c>
      <c r="J38" s="2">
        <v>277</v>
      </c>
      <c r="K38" s="2">
        <v>65.376599999999996</v>
      </c>
      <c r="L38" s="2">
        <v>218</v>
      </c>
      <c r="M38" s="2">
        <v>103.44329999999999</v>
      </c>
      <c r="N38" s="2">
        <v>136</v>
      </c>
      <c r="O38" s="2">
        <v>105.0415</v>
      </c>
      <c r="P38" s="2">
        <v>102</v>
      </c>
      <c r="Q38" s="2">
        <v>95.924599999999998</v>
      </c>
      <c r="R38" s="2">
        <v>53</v>
      </c>
      <c r="S38" s="2">
        <v>91.428299999999993</v>
      </c>
      <c r="T38" s="2">
        <v>13</v>
      </c>
      <c r="U38" s="2">
        <v>0.831488</v>
      </c>
      <c r="V38" s="2">
        <v>37</v>
      </c>
      <c r="W38" s="2">
        <v>2009</v>
      </c>
    </row>
    <row r="39" spans="1:23" ht="12.3" x14ac:dyDescent="0.4">
      <c r="A39" s="2" t="s">
        <v>43</v>
      </c>
      <c r="B39" s="2">
        <v>12</v>
      </c>
      <c r="C39" s="3" t="s">
        <v>33</v>
      </c>
      <c r="D39" s="3" t="s">
        <v>33</v>
      </c>
      <c r="E39" s="2"/>
      <c r="F39" s="2"/>
      <c r="G39" s="2"/>
      <c r="H39" s="2"/>
      <c r="I39" s="2">
        <v>64.403599999999997</v>
      </c>
      <c r="J39" s="2">
        <v>262</v>
      </c>
      <c r="K39" s="2">
        <v>65.537499999999994</v>
      </c>
      <c r="L39" s="2">
        <v>208</v>
      </c>
      <c r="M39" s="2">
        <v>111.43049999999999</v>
      </c>
      <c r="N39" s="2">
        <v>21</v>
      </c>
      <c r="O39" s="2">
        <v>116.26260000000001</v>
      </c>
      <c r="P39" s="2">
        <v>7</v>
      </c>
      <c r="Q39" s="2">
        <v>105.8351</v>
      </c>
      <c r="R39" s="2">
        <v>267</v>
      </c>
      <c r="S39" s="2">
        <v>101.3051</v>
      </c>
      <c r="T39" s="2">
        <v>165</v>
      </c>
      <c r="U39" s="2">
        <v>0.82972999999999997</v>
      </c>
      <c r="V39" s="2">
        <v>38</v>
      </c>
      <c r="W39" s="2">
        <v>2009</v>
      </c>
    </row>
    <row r="40" spans="1:23" ht="12.3" x14ac:dyDescent="0.4">
      <c r="A40" s="2" t="s">
        <v>56</v>
      </c>
      <c r="B40" s="2"/>
      <c r="C40" s="2"/>
      <c r="D40" s="2"/>
      <c r="E40" s="2"/>
      <c r="F40" s="2"/>
      <c r="G40" s="2"/>
      <c r="H40" s="2"/>
      <c r="I40" s="2">
        <v>68.249399999999994</v>
      </c>
      <c r="J40" s="2">
        <v>105</v>
      </c>
      <c r="K40" s="2">
        <v>68.108000000000004</v>
      </c>
      <c r="L40" s="2">
        <v>100</v>
      </c>
      <c r="M40" s="2">
        <v>110.63590000000001</v>
      </c>
      <c r="N40" s="2">
        <v>24</v>
      </c>
      <c r="O40" s="2">
        <v>114.39279999999999</v>
      </c>
      <c r="P40" s="2">
        <v>14</v>
      </c>
      <c r="Q40" s="2">
        <v>103.32980000000001</v>
      </c>
      <c r="R40" s="2">
        <v>221</v>
      </c>
      <c r="S40" s="2">
        <v>99.700100000000006</v>
      </c>
      <c r="T40" s="2">
        <v>130</v>
      </c>
      <c r="U40" s="2">
        <v>0.82933400000000002</v>
      </c>
      <c r="V40" s="2">
        <v>39</v>
      </c>
      <c r="W40" s="2">
        <v>2009</v>
      </c>
    </row>
    <row r="41" spans="1:23" ht="12.3" x14ac:dyDescent="0.4">
      <c r="A41" s="2" t="s">
        <v>37</v>
      </c>
      <c r="B41" s="2"/>
      <c r="C41" s="2"/>
      <c r="D41" s="2"/>
      <c r="E41" s="2"/>
      <c r="F41" s="2"/>
      <c r="G41" s="2"/>
      <c r="H41" s="2"/>
      <c r="I41" s="2">
        <v>68.833299999999994</v>
      </c>
      <c r="J41" s="2">
        <v>85</v>
      </c>
      <c r="K41" s="2">
        <v>66.668199999999999</v>
      </c>
      <c r="L41" s="2">
        <v>157</v>
      </c>
      <c r="M41" s="2">
        <v>112.6553</v>
      </c>
      <c r="N41" s="2">
        <v>12</v>
      </c>
      <c r="O41" s="2">
        <v>113.40430000000001</v>
      </c>
      <c r="P41" s="2">
        <v>16</v>
      </c>
      <c r="Q41" s="2">
        <v>98.544899999999998</v>
      </c>
      <c r="R41" s="2">
        <v>103</v>
      </c>
      <c r="S41" s="2">
        <v>99.059299999999993</v>
      </c>
      <c r="T41" s="2">
        <v>118</v>
      </c>
      <c r="U41" s="2">
        <v>0.82567299999999999</v>
      </c>
      <c r="V41" s="2">
        <v>40</v>
      </c>
      <c r="W41" s="2">
        <v>2009</v>
      </c>
    </row>
    <row r="42" spans="1:23" ht="12.3" x14ac:dyDescent="0.4">
      <c r="A42" s="2" t="s">
        <v>115</v>
      </c>
      <c r="B42" s="2"/>
      <c r="C42" s="2"/>
      <c r="D42" s="2"/>
      <c r="E42" s="2"/>
      <c r="F42" s="2"/>
      <c r="G42" s="2"/>
      <c r="H42" s="2"/>
      <c r="I42" s="2">
        <v>66.343800000000002</v>
      </c>
      <c r="J42" s="2">
        <v>167</v>
      </c>
      <c r="K42" s="2">
        <v>65.6203</v>
      </c>
      <c r="L42" s="2">
        <v>201</v>
      </c>
      <c r="M42" s="2">
        <v>110.1386</v>
      </c>
      <c r="N42" s="2">
        <v>27</v>
      </c>
      <c r="O42" s="2">
        <v>110.4327</v>
      </c>
      <c r="P42" s="2">
        <v>39</v>
      </c>
      <c r="Q42" s="2">
        <v>97.9572</v>
      </c>
      <c r="R42" s="2">
        <v>93</v>
      </c>
      <c r="S42" s="2">
        <v>96.651600000000002</v>
      </c>
      <c r="T42" s="2">
        <v>65</v>
      </c>
      <c r="U42" s="2">
        <v>0.82242700000000002</v>
      </c>
      <c r="V42" s="2">
        <v>41</v>
      </c>
      <c r="W42" s="2">
        <v>2009</v>
      </c>
    </row>
    <row r="43" spans="1:23" ht="12.3" x14ac:dyDescent="0.4">
      <c r="A43" s="2" t="s">
        <v>239</v>
      </c>
      <c r="B43" s="2"/>
      <c r="C43" s="2"/>
      <c r="D43" s="2"/>
      <c r="E43" s="2"/>
      <c r="F43" s="2"/>
      <c r="G43" s="2"/>
      <c r="H43" s="2"/>
      <c r="I43" s="2">
        <v>58.516100000000002</v>
      </c>
      <c r="J43" s="2">
        <v>342</v>
      </c>
      <c r="K43" s="2">
        <v>58.545299999999997</v>
      </c>
      <c r="L43" s="2">
        <v>341</v>
      </c>
      <c r="M43" s="2">
        <v>100.854</v>
      </c>
      <c r="N43" s="2">
        <v>179</v>
      </c>
      <c r="O43" s="2">
        <v>103.3004</v>
      </c>
      <c r="P43" s="2">
        <v>134</v>
      </c>
      <c r="Q43" s="2">
        <v>93.7958</v>
      </c>
      <c r="R43" s="2">
        <v>24</v>
      </c>
      <c r="S43" s="2">
        <v>90.485600000000005</v>
      </c>
      <c r="T43" s="2">
        <v>8</v>
      </c>
      <c r="U43" s="2">
        <v>0.82100700000000004</v>
      </c>
      <c r="V43" s="2">
        <v>42</v>
      </c>
      <c r="W43" s="2">
        <v>2009</v>
      </c>
    </row>
    <row r="44" spans="1:23" ht="12.3" x14ac:dyDescent="0.4">
      <c r="A44" s="2" t="s">
        <v>248</v>
      </c>
      <c r="B44" s="2">
        <v>9</v>
      </c>
      <c r="C44" s="3" t="s">
        <v>33</v>
      </c>
      <c r="D44" s="2"/>
      <c r="E44" s="2"/>
      <c r="F44" s="2"/>
      <c r="G44" s="2"/>
      <c r="H44" s="2"/>
      <c r="I44" s="2">
        <v>65.992999999999995</v>
      </c>
      <c r="J44" s="2">
        <v>181</v>
      </c>
      <c r="K44" s="2">
        <v>65.094099999999997</v>
      </c>
      <c r="L44" s="2">
        <v>231</v>
      </c>
      <c r="M44" s="2">
        <v>107.8173</v>
      </c>
      <c r="N44" s="2">
        <v>64</v>
      </c>
      <c r="O44" s="2">
        <v>111.4631</v>
      </c>
      <c r="P44" s="2">
        <v>33</v>
      </c>
      <c r="Q44" s="2">
        <v>100.2696</v>
      </c>
      <c r="R44" s="2">
        <v>145</v>
      </c>
      <c r="S44" s="2">
        <v>97.822000000000003</v>
      </c>
      <c r="T44" s="2">
        <v>86</v>
      </c>
      <c r="U44" s="2">
        <v>0.81776199999999999</v>
      </c>
      <c r="V44" s="2">
        <v>43</v>
      </c>
      <c r="W44" s="2">
        <v>2009</v>
      </c>
    </row>
    <row r="45" spans="1:23" ht="12.3" x14ac:dyDescent="0.4">
      <c r="A45" s="2" t="s">
        <v>88</v>
      </c>
      <c r="B45" s="2">
        <v>11</v>
      </c>
      <c r="C45" s="2"/>
      <c r="D45" s="2"/>
      <c r="E45" s="2"/>
      <c r="F45" s="2"/>
      <c r="G45" s="2"/>
      <c r="H45" s="2"/>
      <c r="I45" s="2">
        <v>65.133700000000005</v>
      </c>
      <c r="J45" s="2">
        <v>221</v>
      </c>
      <c r="K45" s="2">
        <v>64.401899999999998</v>
      </c>
      <c r="L45" s="2">
        <v>260</v>
      </c>
      <c r="M45" s="2">
        <v>105.8472</v>
      </c>
      <c r="N45" s="2">
        <v>88</v>
      </c>
      <c r="O45" s="2">
        <v>107.9807</v>
      </c>
      <c r="P45" s="2">
        <v>67</v>
      </c>
      <c r="Q45" s="2">
        <v>97.412800000000004</v>
      </c>
      <c r="R45" s="2">
        <v>87</v>
      </c>
      <c r="S45" s="2">
        <v>95.004900000000006</v>
      </c>
      <c r="T45" s="2">
        <v>43</v>
      </c>
      <c r="U45" s="2">
        <v>0.81340299999999999</v>
      </c>
      <c r="V45" s="2">
        <v>44</v>
      </c>
      <c r="W45" s="2">
        <v>2009</v>
      </c>
    </row>
    <row r="46" spans="1:23" ht="12.3" x14ac:dyDescent="0.4">
      <c r="A46" s="2" t="s">
        <v>154</v>
      </c>
      <c r="B46" s="2">
        <v>10</v>
      </c>
      <c r="C46" s="3" t="s">
        <v>33</v>
      </c>
      <c r="D46" s="2"/>
      <c r="E46" s="2"/>
      <c r="F46" s="2"/>
      <c r="G46" s="2"/>
      <c r="H46" s="2"/>
      <c r="I46" s="2">
        <v>62.2883</v>
      </c>
      <c r="J46" s="2">
        <v>309</v>
      </c>
      <c r="K46" s="2">
        <v>64.132000000000005</v>
      </c>
      <c r="L46" s="2">
        <v>267</v>
      </c>
      <c r="M46" s="2">
        <v>105.57380000000001</v>
      </c>
      <c r="N46" s="2">
        <v>92</v>
      </c>
      <c r="O46" s="2">
        <v>110.80840000000001</v>
      </c>
      <c r="P46" s="2">
        <v>36</v>
      </c>
      <c r="Q46" s="2">
        <v>100.68810000000001</v>
      </c>
      <c r="R46" s="2">
        <v>157</v>
      </c>
      <c r="S46" s="2">
        <v>97.522000000000006</v>
      </c>
      <c r="T46" s="2">
        <v>77</v>
      </c>
      <c r="U46" s="2">
        <v>0.81288000000000005</v>
      </c>
      <c r="V46" s="2">
        <v>45</v>
      </c>
      <c r="W46" s="2">
        <v>2009</v>
      </c>
    </row>
    <row r="47" spans="1:23" ht="12.3" x14ac:dyDescent="0.4">
      <c r="A47" s="2" t="s">
        <v>60</v>
      </c>
      <c r="B47" s="2"/>
      <c r="C47" s="2"/>
      <c r="D47" s="2"/>
      <c r="E47" s="2"/>
      <c r="F47" s="2"/>
      <c r="G47" s="2"/>
      <c r="H47" s="2"/>
      <c r="I47" s="2">
        <v>66.179299999999998</v>
      </c>
      <c r="J47" s="2">
        <v>176</v>
      </c>
      <c r="K47" s="2">
        <v>64.943200000000004</v>
      </c>
      <c r="L47" s="2">
        <v>238</v>
      </c>
      <c r="M47" s="2">
        <v>107.9097</v>
      </c>
      <c r="N47" s="2">
        <v>60</v>
      </c>
      <c r="O47" s="2">
        <v>109.2046</v>
      </c>
      <c r="P47" s="2">
        <v>52</v>
      </c>
      <c r="Q47" s="2">
        <v>98.559600000000003</v>
      </c>
      <c r="R47" s="2">
        <v>104</v>
      </c>
      <c r="S47" s="2">
        <v>96.149199999999993</v>
      </c>
      <c r="T47" s="2">
        <v>60</v>
      </c>
      <c r="U47" s="2">
        <v>0.81217499999999998</v>
      </c>
      <c r="V47" s="2">
        <v>46</v>
      </c>
      <c r="W47" s="2">
        <v>2009</v>
      </c>
    </row>
    <row r="48" spans="1:23" ht="12.3" x14ac:dyDescent="0.4">
      <c r="A48" s="2" t="s">
        <v>85</v>
      </c>
      <c r="B48" s="2">
        <v>8</v>
      </c>
      <c r="C48" s="3" t="s">
        <v>33</v>
      </c>
      <c r="D48" s="2"/>
      <c r="E48" s="2"/>
      <c r="F48" s="2"/>
      <c r="G48" s="2"/>
      <c r="H48" s="2"/>
      <c r="I48" s="2">
        <v>68.184899999999999</v>
      </c>
      <c r="J48" s="2">
        <v>106</v>
      </c>
      <c r="K48" s="2">
        <v>66.868700000000004</v>
      </c>
      <c r="L48" s="2">
        <v>149</v>
      </c>
      <c r="M48" s="2">
        <v>109.1335</v>
      </c>
      <c r="N48" s="2">
        <v>43</v>
      </c>
      <c r="O48" s="2">
        <v>109.0287</v>
      </c>
      <c r="P48" s="2">
        <v>55</v>
      </c>
      <c r="Q48" s="2">
        <v>95.348500000000001</v>
      </c>
      <c r="R48" s="2">
        <v>45</v>
      </c>
      <c r="S48" s="2">
        <v>96.242199999999997</v>
      </c>
      <c r="T48" s="2">
        <v>61</v>
      </c>
      <c r="U48" s="2">
        <v>0.80760900000000002</v>
      </c>
      <c r="V48" s="2">
        <v>47</v>
      </c>
      <c r="W48" s="2">
        <v>2009</v>
      </c>
    </row>
    <row r="49" spans="1:23" ht="12.3" x14ac:dyDescent="0.4">
      <c r="A49" s="2" t="s">
        <v>36</v>
      </c>
      <c r="B49" s="2">
        <v>10</v>
      </c>
      <c r="C49" s="3" t="s">
        <v>33</v>
      </c>
      <c r="D49" s="2"/>
      <c r="E49" s="2"/>
      <c r="F49" s="2"/>
      <c r="G49" s="2"/>
      <c r="H49" s="2"/>
      <c r="I49" s="2">
        <v>68.746700000000004</v>
      </c>
      <c r="J49" s="2">
        <v>92</v>
      </c>
      <c r="K49" s="2">
        <v>67.2714</v>
      </c>
      <c r="L49" s="2">
        <v>129</v>
      </c>
      <c r="M49" s="2">
        <v>103.1284</v>
      </c>
      <c r="N49" s="2">
        <v>141</v>
      </c>
      <c r="O49" s="2">
        <v>107.6215</v>
      </c>
      <c r="P49" s="2">
        <v>74</v>
      </c>
      <c r="Q49" s="2">
        <v>98.89</v>
      </c>
      <c r="R49" s="2">
        <v>111</v>
      </c>
      <c r="S49" s="2">
        <v>95.117099999999994</v>
      </c>
      <c r="T49" s="2">
        <v>45</v>
      </c>
      <c r="U49" s="2">
        <v>0.80539899999999998</v>
      </c>
      <c r="V49" s="2">
        <v>48</v>
      </c>
      <c r="W49" s="2">
        <v>2009</v>
      </c>
    </row>
    <row r="50" spans="1:23" ht="12.3" x14ac:dyDescent="0.4">
      <c r="A50" s="2" t="s">
        <v>137</v>
      </c>
      <c r="B50" s="2">
        <v>11</v>
      </c>
      <c r="C50" s="2"/>
      <c r="D50" s="2"/>
      <c r="E50" s="2"/>
      <c r="F50" s="2"/>
      <c r="G50" s="2"/>
      <c r="H50" s="2"/>
      <c r="I50" s="2">
        <v>66.120900000000006</v>
      </c>
      <c r="J50" s="2">
        <v>178</v>
      </c>
      <c r="K50" s="2">
        <v>67.092299999999994</v>
      </c>
      <c r="L50" s="2">
        <v>138</v>
      </c>
      <c r="M50" s="2">
        <v>108.2766</v>
      </c>
      <c r="N50" s="2">
        <v>55</v>
      </c>
      <c r="O50" s="2">
        <v>107.9363</v>
      </c>
      <c r="P50" s="2">
        <v>68</v>
      </c>
      <c r="Q50" s="2">
        <v>94.858500000000006</v>
      </c>
      <c r="R50" s="2">
        <v>39</v>
      </c>
      <c r="S50" s="2">
        <v>95.493700000000004</v>
      </c>
      <c r="T50" s="2">
        <v>51</v>
      </c>
      <c r="U50" s="2">
        <v>0.80353399999999997</v>
      </c>
      <c r="V50" s="2">
        <v>49</v>
      </c>
      <c r="W50" s="2">
        <v>2009</v>
      </c>
    </row>
    <row r="51" spans="1:23" ht="12.3" x14ac:dyDescent="0.4">
      <c r="A51" s="2" t="s">
        <v>158</v>
      </c>
      <c r="B51" s="2"/>
      <c r="C51" s="2"/>
      <c r="D51" s="2"/>
      <c r="E51" s="2"/>
      <c r="F51" s="2"/>
      <c r="G51" s="2"/>
      <c r="H51" s="2"/>
      <c r="I51" s="2">
        <v>68.616100000000003</v>
      </c>
      <c r="J51" s="2">
        <v>98</v>
      </c>
      <c r="K51" s="2">
        <v>66.893799999999999</v>
      </c>
      <c r="L51" s="2">
        <v>147</v>
      </c>
      <c r="M51" s="2">
        <v>109.7324</v>
      </c>
      <c r="N51" s="2">
        <v>33</v>
      </c>
      <c r="O51" s="2">
        <v>112.8972</v>
      </c>
      <c r="P51" s="2">
        <v>20</v>
      </c>
      <c r="Q51" s="2">
        <v>103.2393</v>
      </c>
      <c r="R51" s="2">
        <v>218</v>
      </c>
      <c r="S51" s="2">
        <v>99.971500000000006</v>
      </c>
      <c r="T51" s="2">
        <v>137</v>
      </c>
      <c r="U51" s="2">
        <v>0.80191599999999996</v>
      </c>
      <c r="V51" s="2">
        <v>50</v>
      </c>
      <c r="W51" s="2">
        <v>2009</v>
      </c>
    </row>
    <row r="52" spans="1:23" ht="12.3" x14ac:dyDescent="0.4">
      <c r="A52" s="2" t="s">
        <v>69</v>
      </c>
      <c r="B52" s="2"/>
      <c r="C52" s="2"/>
      <c r="D52" s="2"/>
      <c r="E52" s="2"/>
      <c r="F52" s="2"/>
      <c r="G52" s="2"/>
      <c r="H52" s="2"/>
      <c r="I52" s="2">
        <v>64.946799999999996</v>
      </c>
      <c r="J52" s="2">
        <v>236</v>
      </c>
      <c r="K52" s="2">
        <v>64.569999999999993</v>
      </c>
      <c r="L52" s="2">
        <v>252</v>
      </c>
      <c r="M52" s="2">
        <v>102.85680000000001</v>
      </c>
      <c r="N52" s="2">
        <v>145</v>
      </c>
      <c r="O52" s="2">
        <v>105.3151</v>
      </c>
      <c r="P52" s="2">
        <v>99</v>
      </c>
      <c r="Q52" s="2">
        <v>94.459100000000007</v>
      </c>
      <c r="R52" s="2">
        <v>31</v>
      </c>
      <c r="S52" s="2">
        <v>93.411000000000001</v>
      </c>
      <c r="T52" s="2">
        <v>29</v>
      </c>
      <c r="U52" s="2">
        <v>0.79889399999999999</v>
      </c>
      <c r="V52" s="2">
        <v>51</v>
      </c>
      <c r="W52" s="2">
        <v>2009</v>
      </c>
    </row>
    <row r="53" spans="1:23" ht="12.3" x14ac:dyDescent="0.4">
      <c r="A53" s="2" t="s">
        <v>98</v>
      </c>
      <c r="B53" s="2">
        <v>11</v>
      </c>
      <c r="C53" s="2"/>
      <c r="D53" s="2"/>
      <c r="E53" s="2"/>
      <c r="F53" s="2"/>
      <c r="G53" s="2"/>
      <c r="H53" s="2"/>
      <c r="I53" s="2">
        <v>61.518500000000003</v>
      </c>
      <c r="J53" s="2">
        <v>322</v>
      </c>
      <c r="K53" s="2">
        <v>61.238799999999998</v>
      </c>
      <c r="L53" s="2">
        <v>324</v>
      </c>
      <c r="M53" s="2">
        <v>117.6271</v>
      </c>
      <c r="N53" s="2">
        <v>1</v>
      </c>
      <c r="O53" s="2">
        <v>114.9799</v>
      </c>
      <c r="P53" s="2">
        <v>13</v>
      </c>
      <c r="Q53" s="2">
        <v>100.5955</v>
      </c>
      <c r="R53" s="2">
        <v>152</v>
      </c>
      <c r="S53" s="2">
        <v>102.078</v>
      </c>
      <c r="T53" s="2">
        <v>175</v>
      </c>
      <c r="U53" s="2">
        <v>0.79717499999999997</v>
      </c>
      <c r="V53" s="2">
        <v>52</v>
      </c>
      <c r="W53" s="2">
        <v>2009</v>
      </c>
    </row>
    <row r="54" spans="1:23" ht="12.3" x14ac:dyDescent="0.4">
      <c r="A54" s="2" t="s">
        <v>159</v>
      </c>
      <c r="B54" s="2"/>
      <c r="C54" s="2"/>
      <c r="D54" s="2"/>
      <c r="E54" s="2"/>
      <c r="F54" s="2"/>
      <c r="G54" s="2"/>
      <c r="H54" s="2"/>
      <c r="I54" s="2">
        <v>67.700699999999998</v>
      </c>
      <c r="J54" s="2">
        <v>122</v>
      </c>
      <c r="K54" s="2">
        <v>66.389499999999998</v>
      </c>
      <c r="L54" s="2">
        <v>169</v>
      </c>
      <c r="M54" s="2">
        <v>104.6289</v>
      </c>
      <c r="N54" s="2">
        <v>112</v>
      </c>
      <c r="O54" s="2">
        <v>109.327</v>
      </c>
      <c r="P54" s="2">
        <v>49</v>
      </c>
      <c r="Q54" s="2">
        <v>101.36320000000001</v>
      </c>
      <c r="R54" s="2">
        <v>174</v>
      </c>
      <c r="S54" s="2">
        <v>97.0749</v>
      </c>
      <c r="T54" s="2">
        <v>70</v>
      </c>
      <c r="U54" s="2">
        <v>0.79687699999999995</v>
      </c>
      <c r="V54" s="2">
        <v>53</v>
      </c>
      <c r="W54" s="2">
        <v>2009</v>
      </c>
    </row>
    <row r="55" spans="1:23" ht="12.3" x14ac:dyDescent="0.4">
      <c r="A55" s="2" t="s">
        <v>128</v>
      </c>
      <c r="B55" s="2"/>
      <c r="C55" s="2"/>
      <c r="D55" s="2"/>
      <c r="E55" s="2"/>
      <c r="F55" s="2"/>
      <c r="G55" s="2"/>
      <c r="H55" s="2"/>
      <c r="I55" s="2">
        <v>67.1053</v>
      </c>
      <c r="J55" s="2">
        <v>139</v>
      </c>
      <c r="K55" s="2">
        <v>67.6935</v>
      </c>
      <c r="L55" s="2">
        <v>113</v>
      </c>
      <c r="M55" s="2">
        <v>107.1994</v>
      </c>
      <c r="N55" s="2">
        <v>75</v>
      </c>
      <c r="O55" s="2">
        <v>107.8484</v>
      </c>
      <c r="P55" s="2">
        <v>69</v>
      </c>
      <c r="Q55" s="2">
        <v>96.928100000000001</v>
      </c>
      <c r="R55" s="2">
        <v>77</v>
      </c>
      <c r="S55" s="2">
        <v>95.781599999999997</v>
      </c>
      <c r="T55" s="2">
        <v>57</v>
      </c>
      <c r="U55" s="2">
        <v>0.79649700000000001</v>
      </c>
      <c r="V55" s="2">
        <v>54</v>
      </c>
      <c r="W55" s="2">
        <v>2009</v>
      </c>
    </row>
    <row r="56" spans="1:23" ht="12.3" x14ac:dyDescent="0.4">
      <c r="A56" s="2" t="s">
        <v>148</v>
      </c>
      <c r="B56" s="2"/>
      <c r="C56" s="2"/>
      <c r="D56" s="2"/>
      <c r="E56" s="2"/>
      <c r="F56" s="2"/>
      <c r="G56" s="2"/>
      <c r="H56" s="2"/>
      <c r="I56" s="2">
        <v>69.283799999999999</v>
      </c>
      <c r="J56" s="2">
        <v>77</v>
      </c>
      <c r="K56" s="2">
        <v>68.450299999999999</v>
      </c>
      <c r="L56" s="2">
        <v>87</v>
      </c>
      <c r="M56" s="2">
        <v>107.8032</v>
      </c>
      <c r="N56" s="2">
        <v>65</v>
      </c>
      <c r="O56" s="2">
        <v>107.2311</v>
      </c>
      <c r="P56" s="2">
        <v>78</v>
      </c>
      <c r="Q56" s="2">
        <v>95.196799999999996</v>
      </c>
      <c r="R56" s="2">
        <v>42</v>
      </c>
      <c r="S56" s="2">
        <v>95.346500000000006</v>
      </c>
      <c r="T56" s="2">
        <v>48</v>
      </c>
      <c r="U56" s="2">
        <v>0.79427599999999998</v>
      </c>
      <c r="V56" s="2">
        <v>55</v>
      </c>
      <c r="W56" s="2">
        <v>2009</v>
      </c>
    </row>
    <row r="57" spans="1:23" ht="12.3" x14ac:dyDescent="0.4">
      <c r="A57" s="2" t="s">
        <v>164</v>
      </c>
      <c r="B57" s="2"/>
      <c r="C57" s="2"/>
      <c r="D57" s="2"/>
      <c r="E57" s="2"/>
      <c r="F57" s="2"/>
      <c r="G57" s="2"/>
      <c r="H57" s="2"/>
      <c r="I57" s="2">
        <v>64.142899999999997</v>
      </c>
      <c r="J57" s="2">
        <v>267</v>
      </c>
      <c r="K57" s="2">
        <v>64.871300000000005</v>
      </c>
      <c r="L57" s="2">
        <v>241</v>
      </c>
      <c r="M57" s="2">
        <v>107.59520000000001</v>
      </c>
      <c r="N57" s="2">
        <v>71</v>
      </c>
      <c r="O57" s="2">
        <v>106.5097</v>
      </c>
      <c r="P57" s="2">
        <v>86</v>
      </c>
      <c r="Q57" s="2">
        <v>95.482500000000002</v>
      </c>
      <c r="R57" s="2">
        <v>47</v>
      </c>
      <c r="S57" s="2">
        <v>94.781300000000002</v>
      </c>
      <c r="T57" s="2">
        <v>40</v>
      </c>
      <c r="U57" s="2">
        <v>0.79275799999999996</v>
      </c>
      <c r="V57" s="2">
        <v>56</v>
      </c>
      <c r="W57" s="2">
        <v>2009</v>
      </c>
    </row>
    <row r="58" spans="1:23" ht="12.3" x14ac:dyDescent="0.4">
      <c r="A58" s="2" t="s">
        <v>113</v>
      </c>
      <c r="B58" s="2"/>
      <c r="C58" s="2"/>
      <c r="D58" s="2"/>
      <c r="E58" s="2"/>
      <c r="F58" s="2"/>
      <c r="G58" s="2"/>
      <c r="H58" s="2"/>
      <c r="I58" s="2">
        <v>69.775599999999997</v>
      </c>
      <c r="J58" s="2">
        <v>63</v>
      </c>
      <c r="K58" s="2">
        <v>68.958699999999993</v>
      </c>
      <c r="L58" s="2">
        <v>68</v>
      </c>
      <c r="M58" s="2">
        <v>103.4778</v>
      </c>
      <c r="N58" s="2">
        <v>134</v>
      </c>
      <c r="O58" s="2">
        <v>105.15089999999999</v>
      </c>
      <c r="P58" s="2">
        <v>100</v>
      </c>
      <c r="Q58" s="2">
        <v>94.375100000000003</v>
      </c>
      <c r="R58" s="2">
        <v>29</v>
      </c>
      <c r="S58" s="2">
        <v>93.665899999999993</v>
      </c>
      <c r="T58" s="2">
        <v>34</v>
      </c>
      <c r="U58" s="2">
        <v>0.79085899999999998</v>
      </c>
      <c r="V58" s="2">
        <v>57</v>
      </c>
      <c r="W58" s="2">
        <v>2009</v>
      </c>
    </row>
    <row r="59" spans="1:23" ht="12.3" x14ac:dyDescent="0.4">
      <c r="A59" s="2" t="s">
        <v>52</v>
      </c>
      <c r="B59" s="2"/>
      <c r="C59" s="2"/>
      <c r="D59" s="2"/>
      <c r="E59" s="2"/>
      <c r="F59" s="2"/>
      <c r="G59" s="2"/>
      <c r="H59" s="2"/>
      <c r="I59" s="2">
        <v>67.787899999999993</v>
      </c>
      <c r="J59" s="2">
        <v>117</v>
      </c>
      <c r="K59" s="2">
        <v>68.713399999999993</v>
      </c>
      <c r="L59" s="2">
        <v>76</v>
      </c>
      <c r="M59" s="2">
        <v>107.4661</v>
      </c>
      <c r="N59" s="2">
        <v>74</v>
      </c>
      <c r="O59" s="2">
        <v>110.4049</v>
      </c>
      <c r="P59" s="2">
        <v>40</v>
      </c>
      <c r="Q59" s="2">
        <v>101.75149999999999</v>
      </c>
      <c r="R59" s="2">
        <v>184</v>
      </c>
      <c r="S59" s="2">
        <v>98.469899999999996</v>
      </c>
      <c r="T59" s="2">
        <v>96</v>
      </c>
      <c r="U59" s="2">
        <v>0.78845600000000005</v>
      </c>
      <c r="V59" s="2">
        <v>58</v>
      </c>
      <c r="W59" s="2">
        <v>2009</v>
      </c>
    </row>
    <row r="60" spans="1:23" ht="12.3" x14ac:dyDescent="0.4">
      <c r="A60" s="2" t="s">
        <v>45</v>
      </c>
      <c r="B60" s="2"/>
      <c r="C60" s="2"/>
      <c r="D60" s="2"/>
      <c r="E60" s="2"/>
      <c r="F60" s="2"/>
      <c r="G60" s="2"/>
      <c r="H60" s="2"/>
      <c r="I60" s="2">
        <v>70.931799999999996</v>
      </c>
      <c r="J60" s="2">
        <v>34</v>
      </c>
      <c r="K60" s="2">
        <v>68.173000000000002</v>
      </c>
      <c r="L60" s="2">
        <v>97</v>
      </c>
      <c r="M60" s="2">
        <v>105.2131</v>
      </c>
      <c r="N60" s="2">
        <v>99</v>
      </c>
      <c r="O60" s="2">
        <v>104.90170000000001</v>
      </c>
      <c r="P60" s="2">
        <v>105</v>
      </c>
      <c r="Q60" s="2">
        <v>93.365600000000001</v>
      </c>
      <c r="R60" s="2">
        <v>19</v>
      </c>
      <c r="S60" s="2">
        <v>93.660799999999995</v>
      </c>
      <c r="T60" s="2">
        <v>33</v>
      </c>
      <c r="U60" s="2">
        <v>0.78641700000000003</v>
      </c>
      <c r="V60" s="2">
        <v>59</v>
      </c>
      <c r="W60" s="2">
        <v>2009</v>
      </c>
    </row>
    <row r="61" spans="1:23" ht="12.3" x14ac:dyDescent="0.4">
      <c r="A61" s="2" t="s">
        <v>196</v>
      </c>
      <c r="B61" s="2">
        <v>9</v>
      </c>
      <c r="C61" s="3" t="s">
        <v>33</v>
      </c>
      <c r="D61" s="2"/>
      <c r="E61" s="2"/>
      <c r="F61" s="2"/>
      <c r="G61" s="2"/>
      <c r="H61" s="2"/>
      <c r="I61" s="2">
        <v>71.967399999999998</v>
      </c>
      <c r="J61" s="2">
        <v>22</v>
      </c>
      <c r="K61" s="2">
        <v>71.873199999999997</v>
      </c>
      <c r="L61" s="2">
        <v>16</v>
      </c>
      <c r="M61" s="2">
        <v>107.60250000000001</v>
      </c>
      <c r="N61" s="2">
        <v>70</v>
      </c>
      <c r="O61" s="2">
        <v>110.11920000000001</v>
      </c>
      <c r="P61" s="2">
        <v>41</v>
      </c>
      <c r="Q61" s="2">
        <v>96.841099999999997</v>
      </c>
      <c r="R61" s="2">
        <v>75</v>
      </c>
      <c r="S61" s="2">
        <v>98.467299999999994</v>
      </c>
      <c r="T61" s="2">
        <v>95</v>
      </c>
      <c r="U61" s="2">
        <v>0.78349299999999999</v>
      </c>
      <c r="V61" s="2">
        <v>60</v>
      </c>
      <c r="W61" s="2">
        <v>2009</v>
      </c>
    </row>
    <row r="62" spans="1:23" ht="12.3" x14ac:dyDescent="0.4">
      <c r="A62" s="2" t="s">
        <v>222</v>
      </c>
      <c r="B62" s="2">
        <v>13</v>
      </c>
      <c r="C62" s="3" t="s">
        <v>33</v>
      </c>
      <c r="D62" s="2"/>
      <c r="E62" s="2"/>
      <c r="F62" s="2"/>
      <c r="G62" s="2"/>
      <c r="H62" s="2"/>
      <c r="I62" s="2">
        <v>64.316400000000002</v>
      </c>
      <c r="J62" s="2">
        <v>265</v>
      </c>
      <c r="K62" s="2">
        <v>64.5792</v>
      </c>
      <c r="L62" s="2">
        <v>251</v>
      </c>
      <c r="M62" s="2">
        <v>101.0395</v>
      </c>
      <c r="N62" s="2">
        <v>174</v>
      </c>
      <c r="O62" s="2">
        <v>103.90430000000001</v>
      </c>
      <c r="P62" s="2">
        <v>129</v>
      </c>
      <c r="Q62" s="2">
        <v>92.860500000000002</v>
      </c>
      <c r="R62" s="2">
        <v>14</v>
      </c>
      <c r="S62" s="2">
        <v>93.221000000000004</v>
      </c>
      <c r="T62" s="2">
        <v>26</v>
      </c>
      <c r="U62" s="2">
        <v>0.77690599999999999</v>
      </c>
      <c r="V62" s="2">
        <v>61</v>
      </c>
      <c r="W62" s="2">
        <v>2009</v>
      </c>
    </row>
    <row r="63" spans="1:23" ht="12.3" x14ac:dyDescent="0.4">
      <c r="A63" s="2" t="s">
        <v>90</v>
      </c>
      <c r="B63" s="2"/>
      <c r="C63" s="2"/>
      <c r="D63" s="2"/>
      <c r="E63" s="2"/>
      <c r="F63" s="2"/>
      <c r="G63" s="2"/>
      <c r="H63" s="2"/>
      <c r="I63" s="2">
        <v>67.552899999999994</v>
      </c>
      <c r="J63" s="2">
        <v>129</v>
      </c>
      <c r="K63" s="2">
        <v>68.794899999999998</v>
      </c>
      <c r="L63" s="2">
        <v>74</v>
      </c>
      <c r="M63" s="2">
        <v>108.61969999999999</v>
      </c>
      <c r="N63" s="2">
        <v>50</v>
      </c>
      <c r="O63" s="2">
        <v>110.0842</v>
      </c>
      <c r="P63" s="2">
        <v>42</v>
      </c>
      <c r="Q63" s="2">
        <v>96.709100000000007</v>
      </c>
      <c r="R63" s="2">
        <v>70</v>
      </c>
      <c r="S63" s="2">
        <v>98.838200000000001</v>
      </c>
      <c r="T63" s="2">
        <v>113</v>
      </c>
      <c r="U63" s="2">
        <v>0.77543399999999996</v>
      </c>
      <c r="V63" s="2">
        <v>62</v>
      </c>
      <c r="W63" s="2">
        <v>2009</v>
      </c>
    </row>
    <row r="64" spans="1:23" ht="12.3" x14ac:dyDescent="0.4">
      <c r="A64" s="2" t="s">
        <v>48</v>
      </c>
      <c r="B64" s="2">
        <v>13</v>
      </c>
      <c r="C64" s="2"/>
      <c r="D64" s="2"/>
      <c r="E64" s="2"/>
      <c r="F64" s="2"/>
      <c r="G64" s="2"/>
      <c r="H64" s="2"/>
      <c r="I64" s="2">
        <v>69.860399999999998</v>
      </c>
      <c r="J64" s="2">
        <v>59</v>
      </c>
      <c r="K64" s="2">
        <v>68.2547</v>
      </c>
      <c r="L64" s="2">
        <v>93</v>
      </c>
      <c r="M64" s="2">
        <v>104.2522</v>
      </c>
      <c r="N64" s="2">
        <v>120</v>
      </c>
      <c r="O64" s="2">
        <v>106.2569</v>
      </c>
      <c r="P64" s="2">
        <v>88</v>
      </c>
      <c r="Q64" s="2">
        <v>97.165899999999993</v>
      </c>
      <c r="R64" s="2">
        <v>81</v>
      </c>
      <c r="S64" s="2">
        <v>95.5351</v>
      </c>
      <c r="T64" s="2">
        <v>52</v>
      </c>
      <c r="U64" s="2">
        <v>0.77262900000000001</v>
      </c>
      <c r="V64" s="2">
        <v>63</v>
      </c>
      <c r="W64" s="2">
        <v>2009</v>
      </c>
    </row>
    <row r="65" spans="1:23" ht="12.3" x14ac:dyDescent="0.4">
      <c r="A65" s="2" t="s">
        <v>95</v>
      </c>
      <c r="B65" s="2">
        <v>7</v>
      </c>
      <c r="C65" s="2"/>
      <c r="D65" s="2"/>
      <c r="E65" s="2"/>
      <c r="F65" s="2"/>
      <c r="G65" s="2"/>
      <c r="H65" s="2"/>
      <c r="I65" s="2">
        <v>67.689300000000003</v>
      </c>
      <c r="J65" s="2">
        <v>123</v>
      </c>
      <c r="K65" s="2">
        <v>66.484999999999999</v>
      </c>
      <c r="L65" s="2">
        <v>162</v>
      </c>
      <c r="M65" s="2">
        <v>109.90949999999999</v>
      </c>
      <c r="N65" s="2">
        <v>30</v>
      </c>
      <c r="O65" s="2">
        <v>111.7364</v>
      </c>
      <c r="P65" s="2">
        <v>32</v>
      </c>
      <c r="Q65" s="2">
        <v>103.5741</v>
      </c>
      <c r="R65" s="2">
        <v>226</v>
      </c>
      <c r="S65" s="2">
        <v>100.6032</v>
      </c>
      <c r="T65" s="2">
        <v>148</v>
      </c>
      <c r="U65" s="2">
        <v>0.76977200000000001</v>
      </c>
      <c r="V65" s="2">
        <v>64</v>
      </c>
      <c r="W65" s="2">
        <v>2009</v>
      </c>
    </row>
    <row r="66" spans="1:23" ht="12.3" x14ac:dyDescent="0.4">
      <c r="A66" s="2" t="s">
        <v>109</v>
      </c>
      <c r="B66" s="2"/>
      <c r="C66" s="2"/>
      <c r="D66" s="2"/>
      <c r="E66" s="2"/>
      <c r="F66" s="2"/>
      <c r="G66" s="2"/>
      <c r="H66" s="2"/>
      <c r="I66" s="2">
        <v>66.206500000000005</v>
      </c>
      <c r="J66" s="2">
        <v>173</v>
      </c>
      <c r="K66" s="2">
        <v>66.589600000000004</v>
      </c>
      <c r="L66" s="2">
        <v>160</v>
      </c>
      <c r="M66" s="2">
        <v>103.30719999999999</v>
      </c>
      <c r="N66" s="2">
        <v>137</v>
      </c>
      <c r="O66" s="2">
        <v>104.577</v>
      </c>
      <c r="P66" s="2">
        <v>113</v>
      </c>
      <c r="Q66" s="2">
        <v>96.231200000000001</v>
      </c>
      <c r="R66" s="2">
        <v>58</v>
      </c>
      <c r="S66" s="2">
        <v>94.184799999999996</v>
      </c>
      <c r="T66" s="2">
        <v>37</v>
      </c>
      <c r="U66" s="2">
        <v>0.769173</v>
      </c>
      <c r="V66" s="2">
        <v>65</v>
      </c>
      <c r="W66" s="2">
        <v>2009</v>
      </c>
    </row>
    <row r="67" spans="1:23" ht="12.3" x14ac:dyDescent="0.4">
      <c r="A67" s="2" t="s">
        <v>262</v>
      </c>
      <c r="B67" s="2"/>
      <c r="C67" s="2"/>
      <c r="D67" s="2"/>
      <c r="E67" s="2"/>
      <c r="F67" s="2"/>
      <c r="G67" s="2"/>
      <c r="H67" s="2"/>
      <c r="I67" s="2">
        <v>66.477500000000006</v>
      </c>
      <c r="J67" s="2">
        <v>161</v>
      </c>
      <c r="K67" s="2">
        <v>66.405199999999994</v>
      </c>
      <c r="L67" s="2">
        <v>166</v>
      </c>
      <c r="M67" s="2">
        <v>109.5223</v>
      </c>
      <c r="N67" s="2">
        <v>38</v>
      </c>
      <c r="O67" s="2">
        <v>108.3801</v>
      </c>
      <c r="P67" s="2">
        <v>63</v>
      </c>
      <c r="Q67" s="2">
        <v>97.279499999999999</v>
      </c>
      <c r="R67" s="2">
        <v>84</v>
      </c>
      <c r="S67" s="2">
        <v>97.625</v>
      </c>
      <c r="T67" s="2">
        <v>81</v>
      </c>
      <c r="U67" s="2">
        <v>0.76885800000000004</v>
      </c>
      <c r="V67" s="2">
        <v>66</v>
      </c>
      <c r="W67" s="2">
        <v>2009</v>
      </c>
    </row>
    <row r="68" spans="1:23" ht="12.3" x14ac:dyDescent="0.4">
      <c r="A68" s="2" t="s">
        <v>124</v>
      </c>
      <c r="B68" s="2"/>
      <c r="C68" s="2"/>
      <c r="D68" s="2"/>
      <c r="E68" s="2"/>
      <c r="F68" s="2"/>
      <c r="G68" s="2"/>
      <c r="H68" s="2"/>
      <c r="I68" s="2">
        <v>60.026400000000002</v>
      </c>
      <c r="J68" s="2">
        <v>334</v>
      </c>
      <c r="K68" s="2">
        <v>61.051600000000001</v>
      </c>
      <c r="L68" s="2">
        <v>327</v>
      </c>
      <c r="M68" s="2">
        <v>105.7435</v>
      </c>
      <c r="N68" s="2">
        <v>91</v>
      </c>
      <c r="O68" s="2">
        <v>110.0197</v>
      </c>
      <c r="P68" s="2">
        <v>43</v>
      </c>
      <c r="Q68" s="2">
        <v>100.4161</v>
      </c>
      <c r="R68" s="2">
        <v>148</v>
      </c>
      <c r="S68" s="2">
        <v>99.122799999999998</v>
      </c>
      <c r="T68" s="2">
        <v>120</v>
      </c>
      <c r="U68" s="2">
        <v>0.768428</v>
      </c>
      <c r="V68" s="2">
        <v>67</v>
      </c>
      <c r="W68" s="2">
        <v>2009</v>
      </c>
    </row>
    <row r="69" spans="1:23" ht="12.3" x14ac:dyDescent="0.4">
      <c r="A69" s="2" t="s">
        <v>258</v>
      </c>
      <c r="B69" s="2"/>
      <c r="C69" s="2"/>
      <c r="D69" s="2"/>
      <c r="E69" s="2"/>
      <c r="F69" s="2"/>
      <c r="G69" s="2"/>
      <c r="H69" s="2"/>
      <c r="I69" s="2">
        <v>69.353800000000007</v>
      </c>
      <c r="J69" s="2">
        <v>71</v>
      </c>
      <c r="K69" s="2">
        <v>68.9392</v>
      </c>
      <c r="L69" s="2">
        <v>70</v>
      </c>
      <c r="M69" s="2">
        <v>112.2491</v>
      </c>
      <c r="N69" s="2">
        <v>13</v>
      </c>
      <c r="O69" s="2">
        <v>111.4096</v>
      </c>
      <c r="P69" s="2">
        <v>34</v>
      </c>
      <c r="Q69" s="2">
        <v>102.08839999999999</v>
      </c>
      <c r="R69" s="2">
        <v>194</v>
      </c>
      <c r="S69" s="2">
        <v>100.4042</v>
      </c>
      <c r="T69" s="2">
        <v>144</v>
      </c>
      <c r="U69" s="2">
        <v>0.76783100000000004</v>
      </c>
      <c r="V69" s="2">
        <v>68</v>
      </c>
      <c r="W69" s="2">
        <v>2009</v>
      </c>
    </row>
    <row r="70" spans="1:23" ht="12.3" x14ac:dyDescent="0.4">
      <c r="A70" s="2" t="s">
        <v>17</v>
      </c>
      <c r="B70" s="2"/>
      <c r="C70" s="2"/>
      <c r="D70" s="2"/>
      <c r="E70" s="2"/>
      <c r="F70" s="2"/>
      <c r="G70" s="2"/>
      <c r="H70" s="2"/>
      <c r="I70" s="2">
        <v>73.996499999999997</v>
      </c>
      <c r="J70" s="2">
        <v>9</v>
      </c>
      <c r="K70" s="2">
        <v>73.406000000000006</v>
      </c>
      <c r="L70" s="2">
        <v>9</v>
      </c>
      <c r="M70" s="2">
        <v>105.7766</v>
      </c>
      <c r="N70" s="2">
        <v>89</v>
      </c>
      <c r="O70" s="2">
        <v>106.2291</v>
      </c>
      <c r="P70" s="2">
        <v>89</v>
      </c>
      <c r="Q70" s="2">
        <v>95.421300000000002</v>
      </c>
      <c r="R70" s="2">
        <v>46</v>
      </c>
      <c r="S70" s="2">
        <v>95.853700000000003</v>
      </c>
      <c r="T70" s="2">
        <v>58</v>
      </c>
      <c r="U70" s="2">
        <v>0.76529000000000003</v>
      </c>
      <c r="V70" s="2">
        <v>69</v>
      </c>
      <c r="W70" s="2">
        <v>2009</v>
      </c>
    </row>
    <row r="71" spans="1:23" ht="12.3" x14ac:dyDescent="0.4">
      <c r="A71" s="2" t="s">
        <v>194</v>
      </c>
      <c r="B71" s="2"/>
      <c r="C71" s="2"/>
      <c r="D71" s="2"/>
      <c r="E71" s="2"/>
      <c r="F71" s="2"/>
      <c r="G71" s="2"/>
      <c r="H71" s="2"/>
      <c r="I71" s="2">
        <v>70.656899999999993</v>
      </c>
      <c r="J71" s="2">
        <v>40</v>
      </c>
      <c r="K71" s="2">
        <v>69.909499999999994</v>
      </c>
      <c r="L71" s="2">
        <v>47</v>
      </c>
      <c r="M71" s="2">
        <v>107.542</v>
      </c>
      <c r="N71" s="2">
        <v>72</v>
      </c>
      <c r="O71" s="2">
        <v>107.82170000000001</v>
      </c>
      <c r="P71" s="2">
        <v>71</v>
      </c>
      <c r="Q71" s="2">
        <v>94.683300000000003</v>
      </c>
      <c r="R71" s="2">
        <v>35</v>
      </c>
      <c r="S71" s="2">
        <v>97.400700000000001</v>
      </c>
      <c r="T71" s="2">
        <v>74</v>
      </c>
      <c r="U71" s="2">
        <v>0.76294899999999999</v>
      </c>
      <c r="V71" s="2">
        <v>70</v>
      </c>
      <c r="W71" s="2">
        <v>2009</v>
      </c>
    </row>
    <row r="72" spans="1:23" ht="12.3" x14ac:dyDescent="0.4">
      <c r="A72" s="2" t="s">
        <v>130</v>
      </c>
      <c r="B72" s="2"/>
      <c r="C72" s="2"/>
      <c r="D72" s="2"/>
      <c r="E72" s="2"/>
      <c r="F72" s="2"/>
      <c r="G72" s="2"/>
      <c r="H72" s="2"/>
      <c r="I72" s="2">
        <v>70.269400000000005</v>
      </c>
      <c r="J72" s="2">
        <v>47</v>
      </c>
      <c r="K72" s="2">
        <v>69.882800000000003</v>
      </c>
      <c r="L72" s="2">
        <v>49</v>
      </c>
      <c r="M72" s="2">
        <v>108.3801</v>
      </c>
      <c r="N72" s="2">
        <v>54</v>
      </c>
      <c r="O72" s="2">
        <v>108.21129999999999</v>
      </c>
      <c r="P72" s="2">
        <v>64</v>
      </c>
      <c r="Q72" s="2">
        <v>97.368899999999996</v>
      </c>
      <c r="R72" s="2">
        <v>85</v>
      </c>
      <c r="S72" s="2">
        <v>97.763499999999993</v>
      </c>
      <c r="T72" s="2">
        <v>83</v>
      </c>
      <c r="U72" s="2">
        <v>0.76271800000000001</v>
      </c>
      <c r="V72" s="2">
        <v>71</v>
      </c>
      <c r="W72" s="2">
        <v>2009</v>
      </c>
    </row>
    <row r="73" spans="1:23" ht="12.3" x14ac:dyDescent="0.4">
      <c r="A73" s="2" t="s">
        <v>136</v>
      </c>
      <c r="B73" s="2"/>
      <c r="C73" s="2"/>
      <c r="D73" s="2"/>
      <c r="E73" s="2"/>
      <c r="F73" s="2"/>
      <c r="G73" s="2"/>
      <c r="H73" s="2"/>
      <c r="I73" s="2">
        <v>63.506599999999999</v>
      </c>
      <c r="J73" s="2">
        <v>281</v>
      </c>
      <c r="K73" s="2">
        <v>63.227600000000002</v>
      </c>
      <c r="L73" s="2">
        <v>292</v>
      </c>
      <c r="M73" s="2">
        <v>101.009</v>
      </c>
      <c r="N73" s="2">
        <v>176</v>
      </c>
      <c r="O73" s="2">
        <v>100.8819</v>
      </c>
      <c r="P73" s="2">
        <v>182</v>
      </c>
      <c r="Q73" s="2">
        <v>93.621300000000005</v>
      </c>
      <c r="R73" s="2">
        <v>21</v>
      </c>
      <c r="S73" s="2">
        <v>91.348399999999998</v>
      </c>
      <c r="T73" s="2">
        <v>12</v>
      </c>
      <c r="U73" s="2">
        <v>0.75797300000000001</v>
      </c>
      <c r="V73" s="2">
        <v>72</v>
      </c>
      <c r="W73" s="2">
        <v>2009</v>
      </c>
    </row>
    <row r="74" spans="1:23" ht="12.3" x14ac:dyDescent="0.4">
      <c r="A74" s="2" t="s">
        <v>360</v>
      </c>
      <c r="B74" s="2">
        <v>14</v>
      </c>
      <c r="C74" s="2"/>
      <c r="D74" s="2"/>
      <c r="E74" s="2"/>
      <c r="F74" s="2"/>
      <c r="G74" s="2"/>
      <c r="H74" s="2"/>
      <c r="I74" s="2">
        <v>67.583500000000001</v>
      </c>
      <c r="J74" s="2">
        <v>128</v>
      </c>
      <c r="K74" s="2">
        <v>68.648399999999995</v>
      </c>
      <c r="L74" s="2">
        <v>79</v>
      </c>
      <c r="M74" s="2">
        <v>114.6974</v>
      </c>
      <c r="N74" s="2">
        <v>6</v>
      </c>
      <c r="O74" s="2">
        <v>112.5865</v>
      </c>
      <c r="P74" s="2">
        <v>26</v>
      </c>
      <c r="Q74" s="2">
        <v>99.988299999999995</v>
      </c>
      <c r="R74" s="2">
        <v>139</v>
      </c>
      <c r="S74" s="2">
        <v>102.02719999999999</v>
      </c>
      <c r="T74" s="2">
        <v>174</v>
      </c>
      <c r="U74" s="2">
        <v>0.75630900000000001</v>
      </c>
      <c r="V74" s="2">
        <v>73</v>
      </c>
      <c r="W74" s="2">
        <v>2009</v>
      </c>
    </row>
    <row r="75" spans="1:23" ht="12.3" x14ac:dyDescent="0.4">
      <c r="A75" s="2" t="s">
        <v>219</v>
      </c>
      <c r="B75" s="2"/>
      <c r="C75" s="2"/>
      <c r="D75" s="2"/>
      <c r="E75" s="2"/>
      <c r="F75" s="2"/>
      <c r="G75" s="2"/>
      <c r="H75" s="2"/>
      <c r="I75" s="2">
        <v>71.768000000000001</v>
      </c>
      <c r="J75" s="2">
        <v>23</v>
      </c>
      <c r="K75" s="2">
        <v>71.421300000000002</v>
      </c>
      <c r="L75" s="2">
        <v>19</v>
      </c>
      <c r="M75" s="2">
        <v>103.9795</v>
      </c>
      <c r="N75" s="2">
        <v>124</v>
      </c>
      <c r="O75" s="2">
        <v>104.6262</v>
      </c>
      <c r="P75" s="2">
        <v>111</v>
      </c>
      <c r="Q75" s="2">
        <v>98.791399999999996</v>
      </c>
      <c r="R75" s="2">
        <v>107</v>
      </c>
      <c r="S75" s="2">
        <v>95.138000000000005</v>
      </c>
      <c r="T75" s="2">
        <v>46</v>
      </c>
      <c r="U75" s="2">
        <v>0.74899300000000002</v>
      </c>
      <c r="V75" s="2">
        <v>74</v>
      </c>
      <c r="W75" s="2">
        <v>2009</v>
      </c>
    </row>
    <row r="76" spans="1:23" ht="12.3" x14ac:dyDescent="0.4">
      <c r="A76" s="2" t="s">
        <v>120</v>
      </c>
      <c r="B76" s="2"/>
      <c r="C76" s="2"/>
      <c r="D76" s="2"/>
      <c r="E76" s="2"/>
      <c r="F76" s="2"/>
      <c r="G76" s="2"/>
      <c r="H76" s="2"/>
      <c r="I76" s="2">
        <v>73.075000000000003</v>
      </c>
      <c r="J76" s="2">
        <v>10</v>
      </c>
      <c r="K76" s="2">
        <v>73.011200000000002</v>
      </c>
      <c r="L76" s="2">
        <v>11</v>
      </c>
      <c r="M76" s="2">
        <v>106.9937</v>
      </c>
      <c r="N76" s="2">
        <v>76</v>
      </c>
      <c r="O76" s="2">
        <v>110.4588</v>
      </c>
      <c r="P76" s="2">
        <v>38</v>
      </c>
      <c r="Q76" s="2">
        <v>104.1202</v>
      </c>
      <c r="R76" s="2">
        <v>232</v>
      </c>
      <c r="S76" s="2">
        <v>100.45180000000001</v>
      </c>
      <c r="T76" s="2">
        <v>145</v>
      </c>
      <c r="U76" s="2">
        <v>0.748776</v>
      </c>
      <c r="V76" s="2">
        <v>75</v>
      </c>
      <c r="W76" s="2">
        <v>2009</v>
      </c>
    </row>
    <row r="77" spans="1:23" ht="12.3" x14ac:dyDescent="0.4">
      <c r="A77" s="2" t="s">
        <v>216</v>
      </c>
      <c r="B77" s="2">
        <v>12</v>
      </c>
      <c r="C77" s="2"/>
      <c r="D77" s="2"/>
      <c r="E77" s="2"/>
      <c r="F77" s="2"/>
      <c r="G77" s="2"/>
      <c r="H77" s="2"/>
      <c r="I77" s="2">
        <v>61.311</v>
      </c>
      <c r="J77" s="2">
        <v>325</v>
      </c>
      <c r="K77" s="2">
        <v>61.855400000000003</v>
      </c>
      <c r="L77" s="2">
        <v>318</v>
      </c>
      <c r="M77" s="2">
        <v>108.1962</v>
      </c>
      <c r="N77" s="2">
        <v>56</v>
      </c>
      <c r="O77" s="2">
        <v>109.1155</v>
      </c>
      <c r="P77" s="2">
        <v>53</v>
      </c>
      <c r="Q77" s="2">
        <v>102.1995</v>
      </c>
      <c r="R77" s="2">
        <v>198</v>
      </c>
      <c r="S77" s="2">
        <v>99.241100000000003</v>
      </c>
      <c r="T77" s="2">
        <v>122</v>
      </c>
      <c r="U77" s="2">
        <v>0.74853800000000004</v>
      </c>
      <c r="V77" s="2">
        <v>76</v>
      </c>
      <c r="W77" s="2">
        <v>2009</v>
      </c>
    </row>
    <row r="78" spans="1:23" ht="12.3" x14ac:dyDescent="0.4">
      <c r="A78" s="2" t="s">
        <v>230</v>
      </c>
      <c r="B78" s="2"/>
      <c r="C78" s="2"/>
      <c r="D78" s="2"/>
      <c r="E78" s="2"/>
      <c r="F78" s="2"/>
      <c r="G78" s="2"/>
      <c r="H78" s="2"/>
      <c r="I78" s="2">
        <v>61.798400000000001</v>
      </c>
      <c r="J78" s="2">
        <v>316</v>
      </c>
      <c r="K78" s="2">
        <v>62.470300000000002</v>
      </c>
      <c r="L78" s="2">
        <v>308</v>
      </c>
      <c r="M78" s="2">
        <v>105.77200000000001</v>
      </c>
      <c r="N78" s="2">
        <v>90</v>
      </c>
      <c r="O78" s="2">
        <v>108.82550000000001</v>
      </c>
      <c r="P78" s="2">
        <v>56</v>
      </c>
      <c r="Q78" s="2">
        <v>100.0699</v>
      </c>
      <c r="R78" s="2">
        <v>142</v>
      </c>
      <c r="S78" s="2">
        <v>99.047799999999995</v>
      </c>
      <c r="T78" s="2">
        <v>117</v>
      </c>
      <c r="U78" s="2">
        <v>0.74699599999999999</v>
      </c>
      <c r="V78" s="2">
        <v>77</v>
      </c>
      <c r="W78" s="2">
        <v>2009</v>
      </c>
    </row>
    <row r="79" spans="1:23" ht="12.3" x14ac:dyDescent="0.4">
      <c r="A79" s="2" t="s">
        <v>236</v>
      </c>
      <c r="B79" s="2"/>
      <c r="C79" s="2"/>
      <c r="D79" s="2"/>
      <c r="E79" s="2"/>
      <c r="F79" s="2"/>
      <c r="G79" s="2"/>
      <c r="H79" s="2"/>
      <c r="I79" s="2">
        <v>64.896500000000003</v>
      </c>
      <c r="J79" s="2">
        <v>241</v>
      </c>
      <c r="K79" s="2">
        <v>65.909300000000002</v>
      </c>
      <c r="L79" s="2">
        <v>186</v>
      </c>
      <c r="M79" s="2">
        <v>110.9177</v>
      </c>
      <c r="N79" s="2">
        <v>23</v>
      </c>
      <c r="O79" s="2">
        <v>112.8082</v>
      </c>
      <c r="P79" s="2">
        <v>23</v>
      </c>
      <c r="Q79" s="2">
        <v>101.15940000000001</v>
      </c>
      <c r="R79" s="2">
        <v>167</v>
      </c>
      <c r="S79" s="2">
        <v>102.82210000000001</v>
      </c>
      <c r="T79" s="2">
        <v>192</v>
      </c>
      <c r="U79" s="2">
        <v>0.74382000000000004</v>
      </c>
      <c r="V79" s="2">
        <v>78</v>
      </c>
      <c r="W79" s="2">
        <v>2009</v>
      </c>
    </row>
    <row r="80" spans="1:23" ht="12.3" x14ac:dyDescent="0.4">
      <c r="A80" s="2" t="s">
        <v>119</v>
      </c>
      <c r="B80" s="2"/>
      <c r="C80" s="2"/>
      <c r="D80" s="2"/>
      <c r="E80" s="2"/>
      <c r="F80" s="2"/>
      <c r="G80" s="2"/>
      <c r="H80" s="2"/>
      <c r="I80" s="2">
        <v>69.484700000000004</v>
      </c>
      <c r="J80" s="2">
        <v>69</v>
      </c>
      <c r="K80" s="2">
        <v>69.191599999999994</v>
      </c>
      <c r="L80" s="2">
        <v>60</v>
      </c>
      <c r="M80" s="2">
        <v>105.0013</v>
      </c>
      <c r="N80" s="2">
        <v>105</v>
      </c>
      <c r="O80" s="2">
        <v>109.03530000000001</v>
      </c>
      <c r="P80" s="2">
        <v>54</v>
      </c>
      <c r="Q80" s="2">
        <v>102.8532</v>
      </c>
      <c r="R80" s="2">
        <v>208</v>
      </c>
      <c r="S80" s="2">
        <v>99.737300000000005</v>
      </c>
      <c r="T80" s="2">
        <v>132</v>
      </c>
      <c r="U80" s="2">
        <v>0.73594800000000005</v>
      </c>
      <c r="V80" s="2">
        <v>79</v>
      </c>
      <c r="W80" s="2">
        <v>2009</v>
      </c>
    </row>
    <row r="81" spans="1:23" ht="12.3" x14ac:dyDescent="0.4">
      <c r="A81" s="2" t="s">
        <v>55</v>
      </c>
      <c r="B81" s="2"/>
      <c r="C81" s="2"/>
      <c r="D81" s="2"/>
      <c r="E81" s="2"/>
      <c r="F81" s="2"/>
      <c r="G81" s="2"/>
      <c r="H81" s="2"/>
      <c r="I81" s="2">
        <v>65.859399999999994</v>
      </c>
      <c r="J81" s="2">
        <v>188</v>
      </c>
      <c r="K81" s="2">
        <v>64.069299999999998</v>
      </c>
      <c r="L81" s="2">
        <v>268</v>
      </c>
      <c r="M81" s="2">
        <v>109.4769</v>
      </c>
      <c r="N81" s="2">
        <v>40</v>
      </c>
      <c r="O81" s="2">
        <v>112.7807</v>
      </c>
      <c r="P81" s="2">
        <v>24</v>
      </c>
      <c r="Q81" s="2">
        <v>104.5364</v>
      </c>
      <c r="R81" s="2">
        <v>246</v>
      </c>
      <c r="S81" s="2">
        <v>103.2189</v>
      </c>
      <c r="T81" s="2">
        <v>206</v>
      </c>
      <c r="U81" s="2">
        <v>0.73474399999999995</v>
      </c>
      <c r="V81" s="2">
        <v>80</v>
      </c>
      <c r="W81" s="2">
        <v>2009</v>
      </c>
    </row>
    <row r="82" spans="1:23" ht="12.3" x14ac:dyDescent="0.4">
      <c r="A82" s="2" t="s">
        <v>134</v>
      </c>
      <c r="B82" s="2"/>
      <c r="C82" s="2"/>
      <c r="D82" s="2"/>
      <c r="E82" s="2"/>
      <c r="F82" s="2"/>
      <c r="G82" s="2"/>
      <c r="H82" s="2"/>
      <c r="I82" s="2">
        <v>70.271100000000004</v>
      </c>
      <c r="J82" s="2">
        <v>46</v>
      </c>
      <c r="K82" s="2">
        <v>70.648799999999994</v>
      </c>
      <c r="L82" s="2">
        <v>28</v>
      </c>
      <c r="M82" s="2">
        <v>110.0153</v>
      </c>
      <c r="N82" s="2">
        <v>28</v>
      </c>
      <c r="O82" s="2">
        <v>101.499</v>
      </c>
      <c r="P82" s="2">
        <v>164</v>
      </c>
      <c r="Q82" s="2">
        <v>92.349000000000004</v>
      </c>
      <c r="R82" s="2">
        <v>12</v>
      </c>
      <c r="S82" s="2">
        <v>93.044799999999995</v>
      </c>
      <c r="T82" s="2">
        <v>23</v>
      </c>
      <c r="U82" s="2">
        <v>0.73108300000000004</v>
      </c>
      <c r="V82" s="2">
        <v>81</v>
      </c>
      <c r="W82" s="2">
        <v>2009</v>
      </c>
    </row>
    <row r="83" spans="1:23" ht="12.3" x14ac:dyDescent="0.4">
      <c r="A83" s="2" t="s">
        <v>111</v>
      </c>
      <c r="B83" s="2"/>
      <c r="C83" s="2"/>
      <c r="D83" s="2"/>
      <c r="E83" s="2"/>
      <c r="F83" s="2"/>
      <c r="G83" s="2"/>
      <c r="H83" s="2"/>
      <c r="I83" s="2">
        <v>67.643100000000004</v>
      </c>
      <c r="J83" s="2">
        <v>124</v>
      </c>
      <c r="K83" s="2">
        <v>66.397900000000007</v>
      </c>
      <c r="L83" s="2">
        <v>167</v>
      </c>
      <c r="M83" s="2">
        <v>104.1478</v>
      </c>
      <c r="N83" s="2">
        <v>122</v>
      </c>
      <c r="O83" s="2">
        <v>105.9816</v>
      </c>
      <c r="P83" s="2">
        <v>94</v>
      </c>
      <c r="Q83" s="2">
        <v>96.840699999999998</v>
      </c>
      <c r="R83" s="2">
        <v>74</v>
      </c>
      <c r="S83" s="2">
        <v>97.183000000000007</v>
      </c>
      <c r="T83" s="2">
        <v>72</v>
      </c>
      <c r="U83" s="2">
        <v>0.73040799999999995</v>
      </c>
      <c r="V83" s="2">
        <v>82</v>
      </c>
      <c r="W83" s="2">
        <v>2009</v>
      </c>
    </row>
    <row r="84" spans="1:23" ht="12.3" x14ac:dyDescent="0.4">
      <c r="A84" s="2" t="s">
        <v>64</v>
      </c>
      <c r="B84" s="2">
        <v>11</v>
      </c>
      <c r="C84" s="3" t="s">
        <v>33</v>
      </c>
      <c r="D84" s="2"/>
      <c r="E84" s="2"/>
      <c r="F84" s="2"/>
      <c r="G84" s="2"/>
      <c r="H84" s="2"/>
      <c r="I84" s="2">
        <v>65.5077</v>
      </c>
      <c r="J84" s="2">
        <v>204</v>
      </c>
      <c r="K84" s="2">
        <v>65.585300000000004</v>
      </c>
      <c r="L84" s="2">
        <v>203</v>
      </c>
      <c r="M84" s="2">
        <v>102.1484</v>
      </c>
      <c r="N84" s="2">
        <v>160</v>
      </c>
      <c r="O84" s="2">
        <v>102.3203</v>
      </c>
      <c r="P84" s="2">
        <v>150</v>
      </c>
      <c r="Q84" s="2">
        <v>92.946700000000007</v>
      </c>
      <c r="R84" s="2">
        <v>16</v>
      </c>
      <c r="S84" s="2">
        <v>93.921499999999995</v>
      </c>
      <c r="T84" s="2">
        <v>35</v>
      </c>
      <c r="U84" s="2">
        <v>0.72809199999999996</v>
      </c>
      <c r="V84" s="2">
        <v>83</v>
      </c>
      <c r="W84" s="2">
        <v>2009</v>
      </c>
    </row>
    <row r="85" spans="1:23" ht="12.3" x14ac:dyDescent="0.4">
      <c r="A85" s="2" t="s">
        <v>250</v>
      </c>
      <c r="B85" s="2"/>
      <c r="C85" s="2"/>
      <c r="D85" s="2"/>
      <c r="E85" s="2"/>
      <c r="F85" s="2"/>
      <c r="G85" s="2"/>
      <c r="H85" s="2"/>
      <c r="I85" s="2">
        <v>70.257800000000003</v>
      </c>
      <c r="J85" s="2">
        <v>48</v>
      </c>
      <c r="K85" s="2">
        <v>69.7928</v>
      </c>
      <c r="L85" s="2">
        <v>51</v>
      </c>
      <c r="M85" s="2">
        <v>110.31570000000001</v>
      </c>
      <c r="N85" s="2">
        <v>26</v>
      </c>
      <c r="O85" s="2">
        <v>113.70010000000001</v>
      </c>
      <c r="P85" s="2">
        <v>15</v>
      </c>
      <c r="Q85" s="2">
        <v>104.4753</v>
      </c>
      <c r="R85" s="2">
        <v>244</v>
      </c>
      <c r="S85" s="2">
        <v>104.79949999999999</v>
      </c>
      <c r="T85" s="2">
        <v>243</v>
      </c>
      <c r="U85" s="2">
        <v>0.71857899999999997</v>
      </c>
      <c r="V85" s="2">
        <v>84</v>
      </c>
      <c r="W85" s="2">
        <v>2009</v>
      </c>
    </row>
    <row r="86" spans="1:23" ht="12.3" x14ac:dyDescent="0.4">
      <c r="A86" s="2" t="s">
        <v>220</v>
      </c>
      <c r="B86" s="2"/>
      <c r="C86" s="2"/>
      <c r="D86" s="2"/>
      <c r="E86" s="2"/>
      <c r="F86" s="2"/>
      <c r="G86" s="2"/>
      <c r="H86" s="2"/>
      <c r="I86" s="2">
        <v>69.323899999999995</v>
      </c>
      <c r="J86" s="2">
        <v>73</v>
      </c>
      <c r="K86" s="2">
        <v>69.830299999999994</v>
      </c>
      <c r="L86" s="2">
        <v>50</v>
      </c>
      <c r="M86" s="2">
        <v>109.56140000000001</v>
      </c>
      <c r="N86" s="2">
        <v>36</v>
      </c>
      <c r="O86" s="2">
        <v>106.8506</v>
      </c>
      <c r="P86" s="2">
        <v>82</v>
      </c>
      <c r="Q86" s="2">
        <v>94.363100000000003</v>
      </c>
      <c r="R86" s="2">
        <v>28</v>
      </c>
      <c r="S86" s="2">
        <v>98.772999999999996</v>
      </c>
      <c r="T86" s="2">
        <v>109</v>
      </c>
      <c r="U86" s="2">
        <v>0.71176799999999996</v>
      </c>
      <c r="V86" s="2">
        <v>85</v>
      </c>
      <c r="W86" s="2">
        <v>2009</v>
      </c>
    </row>
    <row r="87" spans="1:23" ht="12.3" x14ac:dyDescent="0.4">
      <c r="A87" s="2" t="s">
        <v>282</v>
      </c>
      <c r="B87" s="2">
        <v>14</v>
      </c>
      <c r="C87" s="2"/>
      <c r="D87" s="2"/>
      <c r="E87" s="2"/>
      <c r="F87" s="2"/>
      <c r="G87" s="2"/>
      <c r="H87" s="2"/>
      <c r="I87" s="2">
        <v>64.377399999999994</v>
      </c>
      <c r="J87" s="2">
        <v>264</v>
      </c>
      <c r="K87" s="2">
        <v>62.919499999999999</v>
      </c>
      <c r="L87" s="2">
        <v>300</v>
      </c>
      <c r="M87" s="2">
        <v>98.13</v>
      </c>
      <c r="N87" s="2">
        <v>227</v>
      </c>
      <c r="O87" s="2">
        <v>97.094499999999996</v>
      </c>
      <c r="P87" s="2">
        <v>248</v>
      </c>
      <c r="Q87" s="2">
        <v>88.648700000000005</v>
      </c>
      <c r="R87" s="2">
        <v>2</v>
      </c>
      <c r="S87" s="2">
        <v>90.441199999999995</v>
      </c>
      <c r="T87" s="2">
        <v>7</v>
      </c>
      <c r="U87" s="2">
        <v>0.69345699999999999</v>
      </c>
      <c r="V87" s="2">
        <v>86</v>
      </c>
      <c r="W87" s="2">
        <v>2009</v>
      </c>
    </row>
    <row r="88" spans="1:23" ht="12.3" x14ac:dyDescent="0.4">
      <c r="A88" s="2" t="s">
        <v>68</v>
      </c>
      <c r="B88" s="2">
        <v>12</v>
      </c>
      <c r="C88" s="3" t="s">
        <v>33</v>
      </c>
      <c r="D88" s="2"/>
      <c r="E88" s="2"/>
      <c r="F88" s="2"/>
      <c r="G88" s="2"/>
      <c r="H88" s="2"/>
      <c r="I88" s="2">
        <v>65.9726</v>
      </c>
      <c r="J88" s="2">
        <v>182</v>
      </c>
      <c r="K88" s="2">
        <v>65.903499999999994</v>
      </c>
      <c r="L88" s="2">
        <v>187</v>
      </c>
      <c r="M88" s="2">
        <v>109.5453</v>
      </c>
      <c r="N88" s="2">
        <v>37</v>
      </c>
      <c r="O88" s="2">
        <v>109.2259</v>
      </c>
      <c r="P88" s="2">
        <v>50</v>
      </c>
      <c r="Q88" s="2">
        <v>101.57599999999999</v>
      </c>
      <c r="R88" s="2">
        <v>178</v>
      </c>
      <c r="S88" s="2">
        <v>101.75279999999999</v>
      </c>
      <c r="T88" s="2">
        <v>170</v>
      </c>
      <c r="U88" s="2">
        <v>0.69318100000000005</v>
      </c>
      <c r="V88" s="2">
        <v>87</v>
      </c>
      <c r="W88" s="2">
        <v>2009</v>
      </c>
    </row>
    <row r="89" spans="1:23" ht="12.3" x14ac:dyDescent="0.4">
      <c r="A89" s="2" t="s">
        <v>147</v>
      </c>
      <c r="B89" s="2"/>
      <c r="C89" s="2"/>
      <c r="D89" s="2"/>
      <c r="E89" s="2"/>
      <c r="F89" s="2"/>
      <c r="G89" s="2"/>
      <c r="H89" s="2"/>
      <c r="I89" s="2">
        <v>63.192399999999999</v>
      </c>
      <c r="J89" s="2">
        <v>289</v>
      </c>
      <c r="K89" s="2">
        <v>63.261099999999999</v>
      </c>
      <c r="L89" s="2">
        <v>290</v>
      </c>
      <c r="M89" s="2">
        <v>103.88939999999999</v>
      </c>
      <c r="N89" s="2">
        <v>126</v>
      </c>
      <c r="O89" s="2">
        <v>101.7456</v>
      </c>
      <c r="P89" s="2">
        <v>157</v>
      </c>
      <c r="Q89" s="2">
        <v>94.736599999999996</v>
      </c>
      <c r="R89" s="2">
        <v>38</v>
      </c>
      <c r="S89" s="2">
        <v>94.835599999999999</v>
      </c>
      <c r="T89" s="2">
        <v>42</v>
      </c>
      <c r="U89" s="2">
        <v>0.691855</v>
      </c>
      <c r="V89" s="2">
        <v>88</v>
      </c>
      <c r="W89" s="2">
        <v>2009</v>
      </c>
    </row>
    <row r="90" spans="1:23" ht="12.3" x14ac:dyDescent="0.4">
      <c r="A90" s="2" t="s">
        <v>34</v>
      </c>
      <c r="B90" s="2"/>
      <c r="C90" s="2"/>
      <c r="D90" s="2"/>
      <c r="E90" s="2"/>
      <c r="F90" s="2"/>
      <c r="G90" s="2"/>
      <c r="H90" s="2"/>
      <c r="I90" s="2">
        <v>65.1755</v>
      </c>
      <c r="J90" s="2">
        <v>219</v>
      </c>
      <c r="K90" s="2">
        <v>64.396900000000002</v>
      </c>
      <c r="L90" s="2">
        <v>261</v>
      </c>
      <c r="M90" s="2">
        <v>103.2144</v>
      </c>
      <c r="N90" s="2">
        <v>140</v>
      </c>
      <c r="O90" s="2">
        <v>106.5552</v>
      </c>
      <c r="P90" s="2">
        <v>83</v>
      </c>
      <c r="Q90" s="2">
        <v>102.1927</v>
      </c>
      <c r="R90" s="2">
        <v>196</v>
      </c>
      <c r="S90" s="2">
        <v>99.586100000000002</v>
      </c>
      <c r="T90" s="2">
        <v>127</v>
      </c>
      <c r="U90" s="2">
        <v>0.68522000000000005</v>
      </c>
      <c r="V90" s="2">
        <v>89</v>
      </c>
      <c r="W90" s="2">
        <v>2009</v>
      </c>
    </row>
    <row r="91" spans="1:23" ht="12.3" x14ac:dyDescent="0.4">
      <c r="A91" s="2" t="s">
        <v>171</v>
      </c>
      <c r="B91" s="2"/>
      <c r="C91" s="2"/>
      <c r="D91" s="2"/>
      <c r="E91" s="2"/>
      <c r="F91" s="2"/>
      <c r="G91" s="2"/>
      <c r="H91" s="2"/>
      <c r="I91" s="2">
        <v>61.7622</v>
      </c>
      <c r="J91" s="2">
        <v>317</v>
      </c>
      <c r="K91" s="2">
        <v>62.8401</v>
      </c>
      <c r="L91" s="2">
        <v>303</v>
      </c>
      <c r="M91" s="2">
        <v>97.218500000000006</v>
      </c>
      <c r="N91" s="2">
        <v>246</v>
      </c>
      <c r="O91" s="2">
        <v>99.357600000000005</v>
      </c>
      <c r="P91" s="2">
        <v>214</v>
      </c>
      <c r="Q91" s="2">
        <v>92.178700000000006</v>
      </c>
      <c r="R91" s="2">
        <v>11</v>
      </c>
      <c r="S91" s="2">
        <v>93.178200000000004</v>
      </c>
      <c r="T91" s="2">
        <v>25</v>
      </c>
      <c r="U91" s="2">
        <v>0.67665299999999995</v>
      </c>
      <c r="V91" s="2">
        <v>90</v>
      </c>
      <c r="W91" s="2">
        <v>2009</v>
      </c>
    </row>
    <row r="92" spans="1:23" ht="12.3" x14ac:dyDescent="0.4">
      <c r="A92" s="2" t="s">
        <v>256</v>
      </c>
      <c r="B92" s="2">
        <v>13</v>
      </c>
      <c r="C92" s="2"/>
      <c r="D92" s="2"/>
      <c r="E92" s="2"/>
      <c r="F92" s="2"/>
      <c r="G92" s="2"/>
      <c r="H92" s="2"/>
      <c r="I92" s="2">
        <v>64.793800000000005</v>
      </c>
      <c r="J92" s="2">
        <v>246</v>
      </c>
      <c r="K92" s="2">
        <v>66.012600000000006</v>
      </c>
      <c r="L92" s="2">
        <v>180</v>
      </c>
      <c r="M92" s="2">
        <v>101.2427</v>
      </c>
      <c r="N92" s="2">
        <v>172</v>
      </c>
      <c r="O92" s="2">
        <v>101.256</v>
      </c>
      <c r="P92" s="2">
        <v>170</v>
      </c>
      <c r="Q92" s="2">
        <v>92.160600000000002</v>
      </c>
      <c r="R92" s="2">
        <v>10</v>
      </c>
      <c r="S92" s="2">
        <v>95.038899999999998</v>
      </c>
      <c r="T92" s="2">
        <v>44</v>
      </c>
      <c r="U92" s="2">
        <v>0.67452299999999998</v>
      </c>
      <c r="V92" s="2">
        <v>91</v>
      </c>
      <c r="W92" s="2">
        <v>2009</v>
      </c>
    </row>
    <row r="93" spans="1:23" ht="12.3" x14ac:dyDescent="0.4">
      <c r="A93" s="2" t="s">
        <v>138</v>
      </c>
      <c r="B93" s="2"/>
      <c r="C93" s="2"/>
      <c r="D93" s="2"/>
      <c r="E93" s="2"/>
      <c r="F93" s="2"/>
      <c r="G93" s="2"/>
      <c r="H93" s="2"/>
      <c r="I93" s="2">
        <v>67.965000000000003</v>
      </c>
      <c r="J93" s="2">
        <v>111</v>
      </c>
      <c r="K93" s="2">
        <v>68.536699999999996</v>
      </c>
      <c r="L93" s="2">
        <v>84</v>
      </c>
      <c r="M93" s="2">
        <v>102.4585</v>
      </c>
      <c r="N93" s="2">
        <v>154</v>
      </c>
      <c r="O93" s="2">
        <v>100.379</v>
      </c>
      <c r="P93" s="2">
        <v>195</v>
      </c>
      <c r="Q93" s="2">
        <v>96.589699999999993</v>
      </c>
      <c r="R93" s="2">
        <v>68</v>
      </c>
      <c r="S93" s="2">
        <v>94.360699999999994</v>
      </c>
      <c r="T93" s="2">
        <v>39</v>
      </c>
      <c r="U93" s="2">
        <v>0.670628</v>
      </c>
      <c r="V93" s="2">
        <v>92</v>
      </c>
      <c r="W93" s="2">
        <v>2009</v>
      </c>
    </row>
    <row r="94" spans="1:23" ht="12.3" x14ac:dyDescent="0.4">
      <c r="A94" s="2" t="s">
        <v>84</v>
      </c>
      <c r="B94" s="2"/>
      <c r="C94" s="2"/>
      <c r="D94" s="2"/>
      <c r="E94" s="2"/>
      <c r="F94" s="2"/>
      <c r="G94" s="2"/>
      <c r="H94" s="2"/>
      <c r="I94" s="2">
        <v>56.748399999999997</v>
      </c>
      <c r="J94" s="2">
        <v>344</v>
      </c>
      <c r="K94" s="2">
        <v>58.429000000000002</v>
      </c>
      <c r="L94" s="2">
        <v>343</v>
      </c>
      <c r="M94" s="2">
        <v>104.7758</v>
      </c>
      <c r="N94" s="2">
        <v>109</v>
      </c>
      <c r="O94" s="2">
        <v>106.0279</v>
      </c>
      <c r="P94" s="2">
        <v>93</v>
      </c>
      <c r="Q94" s="2">
        <v>103.1707</v>
      </c>
      <c r="R94" s="2">
        <v>215</v>
      </c>
      <c r="S94" s="2">
        <v>99.689400000000006</v>
      </c>
      <c r="T94" s="2">
        <v>129</v>
      </c>
      <c r="U94" s="2">
        <v>0.670157</v>
      </c>
      <c r="V94" s="2">
        <v>93</v>
      </c>
      <c r="W94" s="2">
        <v>2009</v>
      </c>
    </row>
    <row r="95" spans="1:23" ht="12.3" x14ac:dyDescent="0.4">
      <c r="A95" s="2" t="s">
        <v>59</v>
      </c>
      <c r="B95" s="2"/>
      <c r="C95" s="2"/>
      <c r="D95" s="2"/>
      <c r="E95" s="2"/>
      <c r="F95" s="2"/>
      <c r="G95" s="2"/>
      <c r="H95" s="2"/>
      <c r="I95" s="2">
        <v>72.811300000000003</v>
      </c>
      <c r="J95" s="2">
        <v>12</v>
      </c>
      <c r="K95" s="2">
        <v>72.170500000000004</v>
      </c>
      <c r="L95" s="2">
        <v>15</v>
      </c>
      <c r="M95" s="2">
        <v>102.9461</v>
      </c>
      <c r="N95" s="2">
        <v>144</v>
      </c>
      <c r="O95" s="2">
        <v>108.559</v>
      </c>
      <c r="P95" s="2">
        <v>59</v>
      </c>
      <c r="Q95" s="2">
        <v>106.9829</v>
      </c>
      <c r="R95" s="2">
        <v>289</v>
      </c>
      <c r="S95" s="2">
        <v>102.1254</v>
      </c>
      <c r="T95" s="2">
        <v>176</v>
      </c>
      <c r="U95" s="2">
        <v>0.66875600000000002</v>
      </c>
      <c r="V95" s="2">
        <v>94</v>
      </c>
      <c r="W95" s="2">
        <v>2009</v>
      </c>
    </row>
    <row r="96" spans="1:23" ht="12.3" x14ac:dyDescent="0.4">
      <c r="A96" s="2" t="s">
        <v>49</v>
      </c>
      <c r="B96" s="2"/>
      <c r="C96" s="2"/>
      <c r="D96" s="2"/>
      <c r="E96" s="2"/>
      <c r="F96" s="2"/>
      <c r="G96" s="2"/>
      <c r="H96" s="2"/>
      <c r="I96" s="2">
        <v>70.219800000000006</v>
      </c>
      <c r="J96" s="2">
        <v>51</v>
      </c>
      <c r="K96" s="2">
        <v>68.665199999999999</v>
      </c>
      <c r="L96" s="2">
        <v>78</v>
      </c>
      <c r="M96" s="2">
        <v>102.63890000000001</v>
      </c>
      <c r="N96" s="2">
        <v>150</v>
      </c>
      <c r="O96" s="2">
        <v>104.77</v>
      </c>
      <c r="P96" s="2">
        <v>108</v>
      </c>
      <c r="Q96" s="2">
        <v>100.279</v>
      </c>
      <c r="R96" s="2">
        <v>146</v>
      </c>
      <c r="S96" s="2">
        <v>98.650800000000004</v>
      </c>
      <c r="T96" s="2">
        <v>106</v>
      </c>
      <c r="U96" s="2">
        <v>0.66642999999999997</v>
      </c>
      <c r="V96" s="2">
        <v>95</v>
      </c>
      <c r="W96" s="2">
        <v>2009</v>
      </c>
    </row>
    <row r="97" spans="1:23" ht="12.3" x14ac:dyDescent="0.4">
      <c r="A97" s="2" t="s">
        <v>308</v>
      </c>
      <c r="B97" s="2"/>
      <c r="C97" s="2"/>
      <c r="D97" s="2"/>
      <c r="E97" s="2"/>
      <c r="F97" s="2"/>
      <c r="G97" s="2"/>
      <c r="H97" s="2"/>
      <c r="I97" s="2">
        <v>60.173299999999998</v>
      </c>
      <c r="J97" s="2">
        <v>332</v>
      </c>
      <c r="K97" s="2">
        <v>61.027200000000001</v>
      </c>
      <c r="L97" s="2">
        <v>328</v>
      </c>
      <c r="M97" s="2">
        <v>102.50539999999999</v>
      </c>
      <c r="N97" s="2">
        <v>153</v>
      </c>
      <c r="O97" s="2">
        <v>104.3805</v>
      </c>
      <c r="P97" s="2">
        <v>119</v>
      </c>
      <c r="Q97" s="2">
        <v>98.162099999999995</v>
      </c>
      <c r="R97" s="2">
        <v>96</v>
      </c>
      <c r="S97" s="2">
        <v>98.303899999999999</v>
      </c>
      <c r="T97" s="2">
        <v>94</v>
      </c>
      <c r="U97" s="2">
        <v>0.66591199999999995</v>
      </c>
      <c r="V97" s="2">
        <v>96</v>
      </c>
      <c r="W97" s="2">
        <v>2009</v>
      </c>
    </row>
    <row r="98" spans="1:23" ht="12.3" x14ac:dyDescent="0.4">
      <c r="A98" s="2" t="s">
        <v>92</v>
      </c>
      <c r="B98" s="2"/>
      <c r="C98" s="2"/>
      <c r="D98" s="2"/>
      <c r="E98" s="2"/>
      <c r="F98" s="2"/>
      <c r="G98" s="2"/>
      <c r="H98" s="2"/>
      <c r="I98" s="2">
        <v>72.844399999999993</v>
      </c>
      <c r="J98" s="2">
        <v>11</v>
      </c>
      <c r="K98" s="2">
        <v>71.410799999999995</v>
      </c>
      <c r="L98" s="2">
        <v>20</v>
      </c>
      <c r="M98" s="2">
        <v>96.241799999999998</v>
      </c>
      <c r="N98" s="2">
        <v>267</v>
      </c>
      <c r="O98" s="2">
        <v>98.728099999999998</v>
      </c>
      <c r="P98" s="2">
        <v>219</v>
      </c>
      <c r="Q98" s="2">
        <v>96.5672</v>
      </c>
      <c r="R98" s="2">
        <v>67</v>
      </c>
      <c r="S98" s="2">
        <v>93.222700000000003</v>
      </c>
      <c r="T98" s="2">
        <v>27</v>
      </c>
      <c r="U98" s="2">
        <v>0.65922700000000001</v>
      </c>
      <c r="V98" s="2">
        <v>97</v>
      </c>
      <c r="W98" s="2">
        <v>2009</v>
      </c>
    </row>
    <row r="99" spans="1:23" ht="12.3" x14ac:dyDescent="0.4">
      <c r="A99" s="2" t="s">
        <v>51</v>
      </c>
      <c r="B99" s="2"/>
      <c r="C99" s="2"/>
      <c r="D99" s="2"/>
      <c r="E99" s="2"/>
      <c r="F99" s="2"/>
      <c r="G99" s="2"/>
      <c r="H99" s="2"/>
      <c r="I99" s="2">
        <v>68.179299999999998</v>
      </c>
      <c r="J99" s="2">
        <v>107</v>
      </c>
      <c r="K99" s="2">
        <v>67.069900000000004</v>
      </c>
      <c r="L99" s="2">
        <v>141</v>
      </c>
      <c r="M99" s="2">
        <v>106.4239</v>
      </c>
      <c r="N99" s="2">
        <v>81</v>
      </c>
      <c r="O99" s="2">
        <v>109.77370000000001</v>
      </c>
      <c r="P99" s="2">
        <v>46</v>
      </c>
      <c r="Q99" s="2">
        <v>105.4481</v>
      </c>
      <c r="R99" s="2">
        <v>259</v>
      </c>
      <c r="S99" s="2">
        <v>103.93980000000001</v>
      </c>
      <c r="T99" s="2">
        <v>221</v>
      </c>
      <c r="U99" s="2">
        <v>0.65203500000000003</v>
      </c>
      <c r="V99" s="2">
        <v>98</v>
      </c>
      <c r="W99" s="2">
        <v>2009</v>
      </c>
    </row>
    <row r="100" spans="1:23" ht="12.3" x14ac:dyDescent="0.4">
      <c r="A100" s="2" t="s">
        <v>167</v>
      </c>
      <c r="B100" s="2"/>
      <c r="C100" s="2"/>
      <c r="D100" s="2"/>
      <c r="E100" s="2"/>
      <c r="F100" s="2"/>
      <c r="G100" s="2"/>
      <c r="H100" s="2"/>
      <c r="I100" s="2">
        <v>61.584400000000002</v>
      </c>
      <c r="J100" s="2">
        <v>320</v>
      </c>
      <c r="K100" s="2">
        <v>61.772399999999998</v>
      </c>
      <c r="L100" s="2">
        <v>319</v>
      </c>
      <c r="M100" s="2">
        <v>98.893699999999995</v>
      </c>
      <c r="N100" s="2">
        <v>214</v>
      </c>
      <c r="O100" s="2">
        <v>101.223</v>
      </c>
      <c r="P100" s="2">
        <v>172</v>
      </c>
      <c r="Q100" s="2">
        <v>94.480099999999993</v>
      </c>
      <c r="R100" s="2">
        <v>32</v>
      </c>
      <c r="S100" s="2">
        <v>95.856399999999994</v>
      </c>
      <c r="T100" s="2">
        <v>59</v>
      </c>
      <c r="U100" s="2">
        <v>0.65168700000000002</v>
      </c>
      <c r="V100" s="2">
        <v>99</v>
      </c>
      <c r="W100" s="2">
        <v>2009</v>
      </c>
    </row>
    <row r="101" spans="1:23" ht="12.3" x14ac:dyDescent="0.4">
      <c r="A101" s="2" t="s">
        <v>145</v>
      </c>
      <c r="B101" s="2"/>
      <c r="C101" s="2"/>
      <c r="D101" s="2"/>
      <c r="E101" s="2"/>
      <c r="F101" s="2"/>
      <c r="G101" s="2"/>
      <c r="H101" s="2"/>
      <c r="I101" s="2">
        <v>66.674000000000007</v>
      </c>
      <c r="J101" s="2">
        <v>154</v>
      </c>
      <c r="K101" s="2">
        <v>67.566400000000002</v>
      </c>
      <c r="L101" s="2">
        <v>118</v>
      </c>
      <c r="M101" s="2">
        <v>104.1373</v>
      </c>
      <c r="N101" s="2">
        <v>123</v>
      </c>
      <c r="O101" s="2">
        <v>103.9774</v>
      </c>
      <c r="P101" s="2">
        <v>125</v>
      </c>
      <c r="Q101" s="2">
        <v>99.781899999999993</v>
      </c>
      <c r="R101" s="2">
        <v>133</v>
      </c>
      <c r="S101" s="2">
        <v>98.500200000000007</v>
      </c>
      <c r="T101" s="2">
        <v>100</v>
      </c>
      <c r="U101" s="2">
        <v>0.65074799999999999</v>
      </c>
      <c r="V101" s="2">
        <v>100</v>
      </c>
      <c r="W101" s="2">
        <v>2009</v>
      </c>
    </row>
    <row r="102" spans="1:23" ht="12.3" x14ac:dyDescent="0.4">
      <c r="A102" s="2" t="s">
        <v>91</v>
      </c>
      <c r="B102" s="2"/>
      <c r="C102" s="2"/>
      <c r="D102" s="2"/>
      <c r="E102" s="2"/>
      <c r="F102" s="2"/>
      <c r="G102" s="2"/>
      <c r="H102" s="2"/>
      <c r="I102" s="2">
        <v>65.241299999999995</v>
      </c>
      <c r="J102" s="2">
        <v>217</v>
      </c>
      <c r="K102" s="2">
        <v>65.118200000000002</v>
      </c>
      <c r="L102" s="2">
        <v>228</v>
      </c>
      <c r="M102" s="2">
        <v>102.6186</v>
      </c>
      <c r="N102" s="2">
        <v>151</v>
      </c>
      <c r="O102" s="2">
        <v>103.9267</v>
      </c>
      <c r="P102" s="2">
        <v>128</v>
      </c>
      <c r="Q102" s="2">
        <v>99.529700000000005</v>
      </c>
      <c r="R102" s="2">
        <v>123</v>
      </c>
      <c r="S102" s="2">
        <v>98.614000000000004</v>
      </c>
      <c r="T102" s="2">
        <v>104</v>
      </c>
      <c r="U102" s="2">
        <v>0.64644299999999999</v>
      </c>
      <c r="V102" s="2">
        <v>101</v>
      </c>
      <c r="W102" s="2">
        <v>2009</v>
      </c>
    </row>
    <row r="103" spans="1:23" ht="12.3" x14ac:dyDescent="0.4">
      <c r="A103" s="2" t="s">
        <v>190</v>
      </c>
      <c r="B103" s="2"/>
      <c r="C103" s="2"/>
      <c r="D103" s="2"/>
      <c r="E103" s="2"/>
      <c r="F103" s="2"/>
      <c r="G103" s="2"/>
      <c r="H103" s="2"/>
      <c r="I103" s="2">
        <v>62.119100000000003</v>
      </c>
      <c r="J103" s="2">
        <v>314</v>
      </c>
      <c r="K103" s="2">
        <v>62.330399999999997</v>
      </c>
      <c r="L103" s="2">
        <v>314</v>
      </c>
      <c r="M103" s="2">
        <v>104.9323</v>
      </c>
      <c r="N103" s="2">
        <v>107</v>
      </c>
      <c r="O103" s="2">
        <v>104.1373</v>
      </c>
      <c r="P103" s="2">
        <v>122</v>
      </c>
      <c r="Q103" s="2">
        <v>97.058499999999995</v>
      </c>
      <c r="R103" s="2">
        <v>79</v>
      </c>
      <c r="S103" s="2">
        <v>98.858099999999993</v>
      </c>
      <c r="T103" s="2">
        <v>114</v>
      </c>
      <c r="U103" s="2">
        <v>0.64526499999999998</v>
      </c>
      <c r="V103" s="2">
        <v>102</v>
      </c>
      <c r="W103" s="2">
        <v>2009</v>
      </c>
    </row>
    <row r="104" spans="1:23" ht="12.3" x14ac:dyDescent="0.4">
      <c r="A104" s="2" t="s">
        <v>226</v>
      </c>
      <c r="B104" s="2">
        <v>14</v>
      </c>
      <c r="C104" s="2"/>
      <c r="D104" s="2"/>
      <c r="E104" s="2"/>
      <c r="F104" s="2"/>
      <c r="G104" s="2"/>
      <c r="H104" s="2"/>
      <c r="I104" s="2">
        <v>61.040700000000001</v>
      </c>
      <c r="J104" s="2">
        <v>327</v>
      </c>
      <c r="K104" s="2">
        <v>61.164200000000001</v>
      </c>
      <c r="L104" s="2">
        <v>325</v>
      </c>
      <c r="M104" s="2">
        <v>105.1724</v>
      </c>
      <c r="N104" s="2">
        <v>101</v>
      </c>
      <c r="O104" s="2">
        <v>103.9704</v>
      </c>
      <c r="P104" s="2">
        <v>126</v>
      </c>
      <c r="Q104" s="2">
        <v>94.454099999999997</v>
      </c>
      <c r="R104" s="2">
        <v>30</v>
      </c>
      <c r="S104" s="2">
        <v>98.721199999999996</v>
      </c>
      <c r="T104" s="2">
        <v>108</v>
      </c>
      <c r="U104" s="2">
        <v>0.64469100000000001</v>
      </c>
      <c r="V104" s="2">
        <v>103</v>
      </c>
      <c r="W104" s="2">
        <v>2009</v>
      </c>
    </row>
    <row r="105" spans="1:23" ht="12.3" x14ac:dyDescent="0.4">
      <c r="A105" s="2" t="s">
        <v>169</v>
      </c>
      <c r="B105" s="2"/>
      <c r="C105" s="2"/>
      <c r="D105" s="2"/>
      <c r="E105" s="2"/>
      <c r="F105" s="2"/>
      <c r="G105" s="2"/>
      <c r="H105" s="2"/>
      <c r="I105" s="2">
        <v>67.756600000000006</v>
      </c>
      <c r="J105" s="2">
        <v>119</v>
      </c>
      <c r="K105" s="2">
        <v>68.175299999999993</v>
      </c>
      <c r="L105" s="2">
        <v>96</v>
      </c>
      <c r="M105" s="2">
        <v>103.4606</v>
      </c>
      <c r="N105" s="2">
        <v>135</v>
      </c>
      <c r="O105" s="2">
        <v>103.2611</v>
      </c>
      <c r="P105" s="2">
        <v>135</v>
      </c>
      <c r="Q105" s="2">
        <v>100.0222</v>
      </c>
      <c r="R105" s="2">
        <v>140</v>
      </c>
      <c r="S105" s="2">
        <v>98.216800000000006</v>
      </c>
      <c r="T105" s="2">
        <v>91</v>
      </c>
      <c r="U105" s="2">
        <v>0.64013699999999996</v>
      </c>
      <c r="V105" s="2">
        <v>104</v>
      </c>
      <c r="W105" s="2">
        <v>2009</v>
      </c>
    </row>
    <row r="106" spans="1:23" ht="12.3" x14ac:dyDescent="0.4">
      <c r="A106" s="2" t="s">
        <v>165</v>
      </c>
      <c r="B106" s="2"/>
      <c r="C106" s="2"/>
      <c r="D106" s="2"/>
      <c r="E106" s="2"/>
      <c r="F106" s="2"/>
      <c r="G106" s="2"/>
      <c r="H106" s="2"/>
      <c r="I106" s="2">
        <v>65.038899999999998</v>
      </c>
      <c r="J106" s="2">
        <v>230</v>
      </c>
      <c r="K106" s="2">
        <v>65.581100000000006</v>
      </c>
      <c r="L106" s="2">
        <v>205</v>
      </c>
      <c r="M106" s="2">
        <v>113.238</v>
      </c>
      <c r="N106" s="2">
        <v>10</v>
      </c>
      <c r="O106" s="2">
        <v>111.99339999999999</v>
      </c>
      <c r="P106" s="2">
        <v>31</v>
      </c>
      <c r="Q106" s="2">
        <v>107.5033</v>
      </c>
      <c r="R106" s="2">
        <v>297</v>
      </c>
      <c r="S106" s="2">
        <v>106.8472</v>
      </c>
      <c r="T106" s="2">
        <v>277</v>
      </c>
      <c r="U106" s="2">
        <v>0.63203699999999996</v>
      </c>
      <c r="V106" s="2">
        <v>105</v>
      </c>
      <c r="W106" s="2">
        <v>2009</v>
      </c>
    </row>
    <row r="107" spans="1:23" ht="12.3" x14ac:dyDescent="0.4">
      <c r="A107" s="2" t="s">
        <v>108</v>
      </c>
      <c r="B107" s="2">
        <v>16</v>
      </c>
      <c r="C107" s="2"/>
      <c r="D107" s="2"/>
      <c r="E107" s="2"/>
      <c r="F107" s="2"/>
      <c r="G107" s="2"/>
      <c r="H107" s="2"/>
      <c r="I107" s="2">
        <v>72.094300000000004</v>
      </c>
      <c r="J107" s="2">
        <v>17</v>
      </c>
      <c r="K107" s="2">
        <v>70.990499999999997</v>
      </c>
      <c r="L107" s="2">
        <v>24</v>
      </c>
      <c r="M107" s="2">
        <v>107.67</v>
      </c>
      <c r="N107" s="2">
        <v>67</v>
      </c>
      <c r="O107" s="2">
        <v>105.0436</v>
      </c>
      <c r="P107" s="2">
        <v>101</v>
      </c>
      <c r="Q107" s="2">
        <v>96.7363</v>
      </c>
      <c r="R107" s="2">
        <v>71</v>
      </c>
      <c r="S107" s="2">
        <v>100.24120000000001</v>
      </c>
      <c r="T107" s="2">
        <v>142</v>
      </c>
      <c r="U107" s="2">
        <v>0.631382</v>
      </c>
      <c r="V107" s="2">
        <v>106</v>
      </c>
      <c r="W107" s="2">
        <v>2009</v>
      </c>
    </row>
    <row r="108" spans="1:23" ht="12.3" x14ac:dyDescent="0.4">
      <c r="A108" s="2" t="s">
        <v>290</v>
      </c>
      <c r="B108" s="2"/>
      <c r="C108" s="2"/>
      <c r="D108" s="2"/>
      <c r="E108" s="2"/>
      <c r="F108" s="2"/>
      <c r="G108" s="2"/>
      <c r="H108" s="2"/>
      <c r="I108" s="2">
        <v>65.636300000000006</v>
      </c>
      <c r="J108" s="2">
        <v>198</v>
      </c>
      <c r="K108" s="2">
        <v>65.405600000000007</v>
      </c>
      <c r="L108" s="2">
        <v>216</v>
      </c>
      <c r="M108" s="2">
        <v>105.2602</v>
      </c>
      <c r="N108" s="2">
        <v>97</v>
      </c>
      <c r="O108" s="2">
        <v>104.8535</v>
      </c>
      <c r="P108" s="2">
        <v>106</v>
      </c>
      <c r="Q108" s="2">
        <v>100.5722</v>
      </c>
      <c r="R108" s="2">
        <v>151</v>
      </c>
      <c r="S108" s="2">
        <v>100.2565</v>
      </c>
      <c r="T108" s="2">
        <v>143</v>
      </c>
      <c r="U108" s="2">
        <v>0.62611099999999997</v>
      </c>
      <c r="V108" s="2">
        <v>107</v>
      </c>
      <c r="W108" s="2">
        <v>2009</v>
      </c>
    </row>
    <row r="109" spans="1:23" ht="12.3" x14ac:dyDescent="0.4">
      <c r="A109" s="2" t="s">
        <v>100</v>
      </c>
      <c r="B109" s="2"/>
      <c r="C109" s="2"/>
      <c r="D109" s="2"/>
      <c r="E109" s="2"/>
      <c r="F109" s="2"/>
      <c r="G109" s="2"/>
      <c r="H109" s="2"/>
      <c r="I109" s="2">
        <v>65.350899999999996</v>
      </c>
      <c r="J109" s="2">
        <v>211</v>
      </c>
      <c r="K109" s="2">
        <v>64.6023</v>
      </c>
      <c r="L109" s="2">
        <v>249</v>
      </c>
      <c r="M109" s="2">
        <v>105.38849999999999</v>
      </c>
      <c r="N109" s="2">
        <v>95</v>
      </c>
      <c r="O109" s="2">
        <v>105.4367</v>
      </c>
      <c r="P109" s="2">
        <v>95</v>
      </c>
      <c r="Q109" s="2">
        <v>101.8644</v>
      </c>
      <c r="R109" s="2">
        <v>186</v>
      </c>
      <c r="S109" s="2">
        <v>100.8274</v>
      </c>
      <c r="T109" s="2">
        <v>154</v>
      </c>
      <c r="U109" s="2">
        <v>0.62575800000000004</v>
      </c>
      <c r="V109" s="2">
        <v>108</v>
      </c>
      <c r="W109" s="2">
        <v>2009</v>
      </c>
    </row>
    <row r="110" spans="1:23" ht="12.3" x14ac:dyDescent="0.4">
      <c r="A110" s="2" t="s">
        <v>198</v>
      </c>
      <c r="B110" s="2">
        <v>15</v>
      </c>
      <c r="C110" s="2"/>
      <c r="D110" s="2"/>
      <c r="E110" s="2"/>
      <c r="F110" s="2"/>
      <c r="G110" s="2"/>
      <c r="H110" s="2"/>
      <c r="I110" s="2">
        <v>71.602500000000006</v>
      </c>
      <c r="J110" s="2">
        <v>26</v>
      </c>
      <c r="K110" s="2">
        <v>72.908799999999999</v>
      </c>
      <c r="L110" s="2">
        <v>12</v>
      </c>
      <c r="M110" s="2">
        <v>102.0672</v>
      </c>
      <c r="N110" s="2">
        <v>162</v>
      </c>
      <c r="O110" s="2">
        <v>99.728999999999999</v>
      </c>
      <c r="P110" s="2">
        <v>206</v>
      </c>
      <c r="Q110" s="2">
        <v>97.228899999999996</v>
      </c>
      <c r="R110" s="2">
        <v>83</v>
      </c>
      <c r="S110" s="2">
        <v>95.380099999999999</v>
      </c>
      <c r="T110" s="2">
        <v>50</v>
      </c>
      <c r="U110" s="2">
        <v>0.62544900000000003</v>
      </c>
      <c r="V110" s="2">
        <v>109</v>
      </c>
      <c r="W110" s="2">
        <v>2009</v>
      </c>
    </row>
    <row r="111" spans="1:23" ht="12.3" x14ac:dyDescent="0.4">
      <c r="A111" s="2" t="s">
        <v>170</v>
      </c>
      <c r="B111" s="2"/>
      <c r="C111" s="2"/>
      <c r="D111" s="2"/>
      <c r="E111" s="2"/>
      <c r="F111" s="2"/>
      <c r="G111" s="2"/>
      <c r="H111" s="2"/>
      <c r="I111" s="2">
        <v>66.487799999999993</v>
      </c>
      <c r="J111" s="2">
        <v>159</v>
      </c>
      <c r="K111" s="2">
        <v>68.1601</v>
      </c>
      <c r="L111" s="2">
        <v>99</v>
      </c>
      <c r="M111" s="2">
        <v>104.7564</v>
      </c>
      <c r="N111" s="2">
        <v>110</v>
      </c>
      <c r="O111" s="2">
        <v>102.15470000000001</v>
      </c>
      <c r="P111" s="2">
        <v>151</v>
      </c>
      <c r="Q111" s="2">
        <v>98.877200000000002</v>
      </c>
      <c r="R111" s="2">
        <v>110</v>
      </c>
      <c r="S111" s="2">
        <v>97.717699999999994</v>
      </c>
      <c r="T111" s="2">
        <v>82</v>
      </c>
      <c r="U111" s="2">
        <v>0.62496200000000002</v>
      </c>
      <c r="V111" s="2">
        <v>110</v>
      </c>
      <c r="W111" s="2">
        <v>2009</v>
      </c>
    </row>
    <row r="112" spans="1:23" ht="12.3" x14ac:dyDescent="0.4">
      <c r="A112" s="2" t="s">
        <v>87</v>
      </c>
      <c r="B112" s="2"/>
      <c r="C112" s="2"/>
      <c r="D112" s="2"/>
      <c r="E112" s="2"/>
      <c r="F112" s="2"/>
      <c r="G112" s="2"/>
      <c r="H112" s="2"/>
      <c r="I112" s="2">
        <v>70.530799999999999</v>
      </c>
      <c r="J112" s="2">
        <v>41</v>
      </c>
      <c r="K112" s="2">
        <v>68.192999999999998</v>
      </c>
      <c r="L112" s="2">
        <v>95</v>
      </c>
      <c r="M112" s="2">
        <v>97.9666</v>
      </c>
      <c r="N112" s="2">
        <v>229</v>
      </c>
      <c r="O112" s="2">
        <v>100.99209999999999</v>
      </c>
      <c r="P112" s="2">
        <v>177</v>
      </c>
      <c r="Q112" s="2">
        <v>101.75230000000001</v>
      </c>
      <c r="R112" s="2">
        <v>185</v>
      </c>
      <c r="S112" s="2">
        <v>96.6143</v>
      </c>
      <c r="T112" s="2">
        <v>64</v>
      </c>
      <c r="U112" s="2">
        <v>0.62472000000000005</v>
      </c>
      <c r="V112" s="2">
        <v>111</v>
      </c>
      <c r="W112" s="2">
        <v>2009</v>
      </c>
    </row>
    <row r="113" spans="1:23" ht="12.3" x14ac:dyDescent="0.4">
      <c r="A113" s="2" t="s">
        <v>93</v>
      </c>
      <c r="B113" s="2"/>
      <c r="C113" s="2"/>
      <c r="D113" s="2"/>
      <c r="E113" s="2"/>
      <c r="F113" s="2"/>
      <c r="G113" s="2"/>
      <c r="H113" s="2"/>
      <c r="I113" s="2">
        <v>69.811499999999995</v>
      </c>
      <c r="J113" s="2">
        <v>61</v>
      </c>
      <c r="K113" s="2">
        <v>70.222999999999999</v>
      </c>
      <c r="L113" s="2">
        <v>39</v>
      </c>
      <c r="M113" s="2">
        <v>104.3548</v>
      </c>
      <c r="N113" s="2">
        <v>119</v>
      </c>
      <c r="O113" s="2">
        <v>106.48569999999999</v>
      </c>
      <c r="P113" s="2">
        <v>87</v>
      </c>
      <c r="Q113" s="2">
        <v>106.8293</v>
      </c>
      <c r="R113" s="2">
        <v>287</v>
      </c>
      <c r="S113" s="2">
        <v>102.1735</v>
      </c>
      <c r="T113" s="2">
        <v>177</v>
      </c>
      <c r="U113" s="2">
        <v>0.61665899999999996</v>
      </c>
      <c r="V113" s="2">
        <v>112</v>
      </c>
      <c r="W113" s="2">
        <v>2009</v>
      </c>
    </row>
    <row r="114" spans="1:23" ht="12.3" x14ac:dyDescent="0.4">
      <c r="A114" s="2" t="s">
        <v>333</v>
      </c>
      <c r="B114" s="2">
        <v>14</v>
      </c>
      <c r="C114" s="2"/>
      <c r="D114" s="2"/>
      <c r="E114" s="2"/>
      <c r="F114" s="2"/>
      <c r="G114" s="2"/>
      <c r="H114" s="2"/>
      <c r="I114" s="2">
        <v>66.423100000000005</v>
      </c>
      <c r="J114" s="2">
        <v>163</v>
      </c>
      <c r="K114" s="2">
        <v>66.832999999999998</v>
      </c>
      <c r="L114" s="2">
        <v>151</v>
      </c>
      <c r="M114" s="2">
        <v>109.0291</v>
      </c>
      <c r="N114" s="2">
        <v>46</v>
      </c>
      <c r="O114" s="2">
        <v>106.1421</v>
      </c>
      <c r="P114" s="2">
        <v>91</v>
      </c>
      <c r="Q114" s="2">
        <v>96.784300000000002</v>
      </c>
      <c r="R114" s="2">
        <v>72</v>
      </c>
      <c r="S114" s="2">
        <v>101.8901</v>
      </c>
      <c r="T114" s="2">
        <v>172</v>
      </c>
      <c r="U114" s="2">
        <v>0.61542399999999997</v>
      </c>
      <c r="V114" s="2">
        <v>113</v>
      </c>
      <c r="W114" s="2">
        <v>2009</v>
      </c>
    </row>
    <row r="115" spans="1:23" ht="12.3" x14ac:dyDescent="0.4">
      <c r="A115" s="2" t="s">
        <v>292</v>
      </c>
      <c r="B115" s="2"/>
      <c r="C115" s="2"/>
      <c r="D115" s="2"/>
      <c r="E115" s="2"/>
      <c r="F115" s="2"/>
      <c r="G115" s="2"/>
      <c r="H115" s="2"/>
      <c r="I115" s="2">
        <v>66.419799999999995</v>
      </c>
      <c r="J115" s="2">
        <v>164</v>
      </c>
      <c r="K115" s="2">
        <v>67.173299999999998</v>
      </c>
      <c r="L115" s="2">
        <v>133</v>
      </c>
      <c r="M115" s="2">
        <v>99.943100000000001</v>
      </c>
      <c r="N115" s="2">
        <v>199</v>
      </c>
      <c r="O115" s="2">
        <v>102.4922</v>
      </c>
      <c r="P115" s="2">
        <v>146</v>
      </c>
      <c r="Q115" s="2">
        <v>98.3566</v>
      </c>
      <c r="R115" s="2">
        <v>101</v>
      </c>
      <c r="S115" s="2">
        <v>98.538200000000003</v>
      </c>
      <c r="T115" s="2">
        <v>102</v>
      </c>
      <c r="U115" s="2">
        <v>0.61121899999999996</v>
      </c>
      <c r="V115" s="2">
        <v>114</v>
      </c>
      <c r="W115" s="2">
        <v>2009</v>
      </c>
    </row>
    <row r="116" spans="1:23" ht="12.3" x14ac:dyDescent="0.4">
      <c r="A116" s="2" t="s">
        <v>245</v>
      </c>
      <c r="B116" s="2"/>
      <c r="C116" s="2"/>
      <c r="D116" s="2"/>
      <c r="E116" s="2"/>
      <c r="F116" s="2"/>
      <c r="G116" s="2"/>
      <c r="H116" s="2"/>
      <c r="I116" s="2">
        <v>65.072999999999993</v>
      </c>
      <c r="J116" s="2">
        <v>226</v>
      </c>
      <c r="K116" s="2">
        <v>65.331500000000005</v>
      </c>
      <c r="L116" s="2">
        <v>219</v>
      </c>
      <c r="M116" s="2">
        <v>102.2662</v>
      </c>
      <c r="N116" s="2">
        <v>156</v>
      </c>
      <c r="O116" s="2">
        <v>104.4061</v>
      </c>
      <c r="P116" s="2">
        <v>117</v>
      </c>
      <c r="Q116" s="2">
        <v>101.26479999999999</v>
      </c>
      <c r="R116" s="2">
        <v>172</v>
      </c>
      <c r="S116" s="2">
        <v>100.4995</v>
      </c>
      <c r="T116" s="2">
        <v>146</v>
      </c>
      <c r="U116" s="2">
        <v>0.60791399999999995</v>
      </c>
      <c r="V116" s="2">
        <v>115</v>
      </c>
      <c r="W116" s="2">
        <v>2009</v>
      </c>
    </row>
    <row r="117" spans="1:23" ht="12.3" x14ac:dyDescent="0.4">
      <c r="A117" s="2" t="s">
        <v>269</v>
      </c>
      <c r="B117" s="2">
        <v>13</v>
      </c>
      <c r="C117" s="2"/>
      <c r="D117" s="2"/>
      <c r="E117" s="2"/>
      <c r="F117" s="2"/>
      <c r="G117" s="2"/>
      <c r="H117" s="2"/>
      <c r="I117" s="2">
        <v>65.8934</v>
      </c>
      <c r="J117" s="2">
        <v>186</v>
      </c>
      <c r="K117" s="2">
        <v>65.987099999999998</v>
      </c>
      <c r="L117" s="2">
        <v>183</v>
      </c>
      <c r="M117" s="2">
        <v>109.4819</v>
      </c>
      <c r="N117" s="2">
        <v>39</v>
      </c>
      <c r="O117" s="2">
        <v>107.8385</v>
      </c>
      <c r="P117" s="2">
        <v>70</v>
      </c>
      <c r="Q117" s="2">
        <v>101.5784</v>
      </c>
      <c r="R117" s="2">
        <v>179</v>
      </c>
      <c r="S117" s="2">
        <v>104.1996</v>
      </c>
      <c r="T117" s="2">
        <v>225</v>
      </c>
      <c r="U117" s="2">
        <v>0.59742700000000004</v>
      </c>
      <c r="V117" s="2">
        <v>116</v>
      </c>
      <c r="W117" s="2">
        <v>2009</v>
      </c>
    </row>
    <row r="118" spans="1:23" ht="12.3" x14ac:dyDescent="0.4">
      <c r="A118" s="2" t="s">
        <v>126</v>
      </c>
      <c r="B118" s="2"/>
      <c r="C118" s="2"/>
      <c r="D118" s="2"/>
      <c r="E118" s="2"/>
      <c r="F118" s="2"/>
      <c r="G118" s="2"/>
      <c r="H118" s="2"/>
      <c r="I118" s="2">
        <v>59.916400000000003</v>
      </c>
      <c r="J118" s="2">
        <v>335</v>
      </c>
      <c r="K118" s="2">
        <v>58.926699999999997</v>
      </c>
      <c r="L118" s="2">
        <v>338</v>
      </c>
      <c r="M118" s="2">
        <v>108.6523</v>
      </c>
      <c r="N118" s="2">
        <v>49</v>
      </c>
      <c r="O118" s="2">
        <v>107.2269</v>
      </c>
      <c r="P118" s="2">
        <v>79</v>
      </c>
      <c r="Q118" s="2">
        <v>101.8897</v>
      </c>
      <c r="R118" s="2">
        <v>187</v>
      </c>
      <c r="S118" s="2">
        <v>103.68219999999999</v>
      </c>
      <c r="T118" s="2">
        <v>212</v>
      </c>
      <c r="U118" s="2">
        <v>0.59546200000000005</v>
      </c>
      <c r="V118" s="2">
        <v>117</v>
      </c>
      <c r="W118" s="2">
        <v>2009</v>
      </c>
    </row>
    <row r="119" spans="1:23" ht="12.3" x14ac:dyDescent="0.4">
      <c r="A119" s="2" t="s">
        <v>149</v>
      </c>
      <c r="B119" s="2"/>
      <c r="C119" s="2"/>
      <c r="D119" s="2"/>
      <c r="E119" s="2"/>
      <c r="F119" s="2"/>
      <c r="G119" s="2"/>
      <c r="H119" s="2"/>
      <c r="I119" s="2">
        <v>58.9681</v>
      </c>
      <c r="J119" s="2">
        <v>339</v>
      </c>
      <c r="K119" s="2">
        <v>59.2117</v>
      </c>
      <c r="L119" s="2">
        <v>337</v>
      </c>
      <c r="M119" s="2">
        <v>98.575999999999993</v>
      </c>
      <c r="N119" s="2">
        <v>224</v>
      </c>
      <c r="O119" s="2">
        <v>102.48350000000001</v>
      </c>
      <c r="P119" s="2">
        <v>147</v>
      </c>
      <c r="Q119" s="2">
        <v>106.25320000000001</v>
      </c>
      <c r="R119" s="2">
        <v>274</v>
      </c>
      <c r="S119" s="2">
        <v>99.108099999999993</v>
      </c>
      <c r="T119" s="2">
        <v>119</v>
      </c>
      <c r="U119" s="2">
        <v>0.595113</v>
      </c>
      <c r="V119" s="2">
        <v>118</v>
      </c>
      <c r="W119" s="2">
        <v>2009</v>
      </c>
    </row>
    <row r="120" spans="1:23" ht="12.3" x14ac:dyDescent="0.4">
      <c r="A120" s="2" t="s">
        <v>213</v>
      </c>
      <c r="B120" s="2"/>
      <c r="C120" s="2"/>
      <c r="D120" s="2"/>
      <c r="E120" s="2"/>
      <c r="F120" s="2"/>
      <c r="G120" s="2"/>
      <c r="H120" s="2"/>
      <c r="I120" s="2">
        <v>65.064499999999995</v>
      </c>
      <c r="J120" s="2">
        <v>228</v>
      </c>
      <c r="K120" s="2">
        <v>65.283100000000005</v>
      </c>
      <c r="L120" s="2">
        <v>222</v>
      </c>
      <c r="M120" s="2">
        <v>98.963999999999999</v>
      </c>
      <c r="N120" s="2">
        <v>211</v>
      </c>
      <c r="O120" s="2">
        <v>100.4727</v>
      </c>
      <c r="P120" s="2">
        <v>194</v>
      </c>
      <c r="Q120" s="2">
        <v>94.5976</v>
      </c>
      <c r="R120" s="2">
        <v>33</v>
      </c>
      <c r="S120" s="2">
        <v>97.177599999999998</v>
      </c>
      <c r="T120" s="2">
        <v>71</v>
      </c>
      <c r="U120" s="2">
        <v>0.59470999999999996</v>
      </c>
      <c r="V120" s="2">
        <v>119</v>
      </c>
      <c r="W120" s="2">
        <v>2009</v>
      </c>
    </row>
    <row r="121" spans="1:23" ht="12.3" x14ac:dyDescent="0.4">
      <c r="A121" s="2" t="s">
        <v>146</v>
      </c>
      <c r="B121" s="2"/>
      <c r="C121" s="2"/>
      <c r="D121" s="2"/>
      <c r="E121" s="2"/>
      <c r="F121" s="2"/>
      <c r="G121" s="2"/>
      <c r="H121" s="2"/>
      <c r="I121" s="2">
        <v>65.446899999999999</v>
      </c>
      <c r="J121" s="2">
        <v>206</v>
      </c>
      <c r="K121" s="2">
        <v>64.923599999999993</v>
      </c>
      <c r="L121" s="2">
        <v>239</v>
      </c>
      <c r="M121" s="2">
        <v>98.950299999999999</v>
      </c>
      <c r="N121" s="2">
        <v>212</v>
      </c>
      <c r="O121" s="2">
        <v>100.21120000000001</v>
      </c>
      <c r="P121" s="2">
        <v>197</v>
      </c>
      <c r="Q121" s="2">
        <v>99.785300000000007</v>
      </c>
      <c r="R121" s="2">
        <v>135</v>
      </c>
      <c r="S121" s="2">
        <v>97.257900000000006</v>
      </c>
      <c r="T121" s="2">
        <v>73</v>
      </c>
      <c r="U121" s="2">
        <v>0.58516299999999999</v>
      </c>
      <c r="V121" s="2">
        <v>120</v>
      </c>
      <c r="W121" s="2">
        <v>2009</v>
      </c>
    </row>
    <row r="122" spans="1:23" ht="12.3" x14ac:dyDescent="0.4">
      <c r="A122" s="2" t="s">
        <v>225</v>
      </c>
      <c r="B122" s="2"/>
      <c r="C122" s="2"/>
      <c r="D122" s="2"/>
      <c r="E122" s="2"/>
      <c r="F122" s="2"/>
      <c r="G122" s="2"/>
      <c r="H122" s="2"/>
      <c r="I122" s="2">
        <v>68.832499999999996</v>
      </c>
      <c r="J122" s="2">
        <v>86</v>
      </c>
      <c r="K122" s="2">
        <v>67.087000000000003</v>
      </c>
      <c r="L122" s="2">
        <v>139</v>
      </c>
      <c r="M122" s="2">
        <v>106.3737</v>
      </c>
      <c r="N122" s="2">
        <v>82</v>
      </c>
      <c r="O122" s="2">
        <v>106.1461</v>
      </c>
      <c r="P122" s="2">
        <v>90</v>
      </c>
      <c r="Q122" s="2">
        <v>102.0089</v>
      </c>
      <c r="R122" s="2">
        <v>191</v>
      </c>
      <c r="S122" s="2">
        <v>103.0214</v>
      </c>
      <c r="T122" s="2">
        <v>196</v>
      </c>
      <c r="U122" s="2">
        <v>0.585067</v>
      </c>
      <c r="V122" s="2">
        <v>121</v>
      </c>
      <c r="W122" s="2">
        <v>2009</v>
      </c>
    </row>
    <row r="123" spans="1:23" ht="12.3" x14ac:dyDescent="0.4">
      <c r="A123" s="2" t="s">
        <v>102</v>
      </c>
      <c r="B123" s="2"/>
      <c r="C123" s="2"/>
      <c r="D123" s="2"/>
      <c r="E123" s="2"/>
      <c r="F123" s="2"/>
      <c r="G123" s="2"/>
      <c r="H123" s="2"/>
      <c r="I123" s="2">
        <v>66.616299999999995</v>
      </c>
      <c r="J123" s="2">
        <v>156</v>
      </c>
      <c r="K123" s="2">
        <v>66.003500000000003</v>
      </c>
      <c r="L123" s="2">
        <v>181</v>
      </c>
      <c r="M123" s="2">
        <v>98.8078</v>
      </c>
      <c r="N123" s="2">
        <v>219</v>
      </c>
      <c r="O123" s="2">
        <v>100.4933</v>
      </c>
      <c r="P123" s="2">
        <v>192</v>
      </c>
      <c r="Q123" s="2">
        <v>100.5629</v>
      </c>
      <c r="R123" s="2">
        <v>150</v>
      </c>
      <c r="S123" s="2">
        <v>97.582700000000003</v>
      </c>
      <c r="T123" s="2">
        <v>79</v>
      </c>
      <c r="U123" s="2">
        <v>0.58370500000000003</v>
      </c>
      <c r="V123" s="2">
        <v>122</v>
      </c>
      <c r="W123" s="2">
        <v>2009</v>
      </c>
    </row>
    <row r="124" spans="1:23" ht="12.3" x14ac:dyDescent="0.4">
      <c r="A124" s="2" t="s">
        <v>214</v>
      </c>
      <c r="B124" s="2"/>
      <c r="C124" s="2"/>
      <c r="D124" s="2"/>
      <c r="E124" s="2"/>
      <c r="F124" s="2"/>
      <c r="G124" s="2"/>
      <c r="H124" s="2"/>
      <c r="I124" s="2">
        <v>68.129199999999997</v>
      </c>
      <c r="J124" s="2">
        <v>109</v>
      </c>
      <c r="K124" s="2">
        <v>67.181299999999993</v>
      </c>
      <c r="L124" s="2">
        <v>131</v>
      </c>
      <c r="M124" s="2">
        <v>108.0307</v>
      </c>
      <c r="N124" s="2">
        <v>58</v>
      </c>
      <c r="O124" s="2">
        <v>107.23260000000001</v>
      </c>
      <c r="P124" s="2">
        <v>77</v>
      </c>
      <c r="Q124" s="2">
        <v>99.499600000000001</v>
      </c>
      <c r="R124" s="2">
        <v>120</v>
      </c>
      <c r="S124" s="2">
        <v>104.1461</v>
      </c>
      <c r="T124" s="2">
        <v>224</v>
      </c>
      <c r="U124" s="2">
        <v>0.58318800000000004</v>
      </c>
      <c r="V124" s="2">
        <v>123</v>
      </c>
      <c r="W124" s="2">
        <v>2009</v>
      </c>
    </row>
    <row r="125" spans="1:23" ht="12.3" x14ac:dyDescent="0.4">
      <c r="A125" s="2" t="s">
        <v>192</v>
      </c>
      <c r="B125" s="2"/>
      <c r="C125" s="2"/>
      <c r="D125" s="2"/>
      <c r="E125" s="2"/>
      <c r="F125" s="2"/>
      <c r="G125" s="2"/>
      <c r="H125" s="2"/>
      <c r="I125" s="2">
        <v>62.594799999999999</v>
      </c>
      <c r="J125" s="2">
        <v>300</v>
      </c>
      <c r="K125" s="2">
        <v>63.398200000000003</v>
      </c>
      <c r="L125" s="2">
        <v>287</v>
      </c>
      <c r="M125" s="2">
        <v>99.486000000000004</v>
      </c>
      <c r="N125" s="2">
        <v>208</v>
      </c>
      <c r="O125" s="2">
        <v>101.2602</v>
      </c>
      <c r="P125" s="2">
        <v>168</v>
      </c>
      <c r="Q125" s="2">
        <v>99.721000000000004</v>
      </c>
      <c r="R125" s="2">
        <v>130</v>
      </c>
      <c r="S125" s="2">
        <v>98.488200000000006</v>
      </c>
      <c r="T125" s="2">
        <v>98</v>
      </c>
      <c r="U125" s="2">
        <v>0.57913099999999995</v>
      </c>
      <c r="V125" s="2">
        <v>124</v>
      </c>
      <c r="W125" s="2">
        <v>2009</v>
      </c>
    </row>
    <row r="126" spans="1:23" ht="12.3" x14ac:dyDescent="0.4">
      <c r="A126" s="2" t="s">
        <v>144</v>
      </c>
      <c r="B126" s="2"/>
      <c r="C126" s="2"/>
      <c r="D126" s="2"/>
      <c r="E126" s="2"/>
      <c r="F126" s="2"/>
      <c r="G126" s="2"/>
      <c r="H126" s="2"/>
      <c r="I126" s="2">
        <v>65.242800000000003</v>
      </c>
      <c r="J126" s="2">
        <v>216</v>
      </c>
      <c r="K126" s="2">
        <v>65.847800000000007</v>
      </c>
      <c r="L126" s="2">
        <v>193</v>
      </c>
      <c r="M126" s="2">
        <v>102.2313</v>
      </c>
      <c r="N126" s="2">
        <v>158</v>
      </c>
      <c r="O126" s="2">
        <v>104.7897</v>
      </c>
      <c r="P126" s="2">
        <v>107</v>
      </c>
      <c r="Q126" s="2">
        <v>101.235</v>
      </c>
      <c r="R126" s="2">
        <v>170</v>
      </c>
      <c r="S126" s="2">
        <v>101.9379</v>
      </c>
      <c r="T126" s="2">
        <v>173</v>
      </c>
      <c r="U126" s="2">
        <v>0.57866700000000004</v>
      </c>
      <c r="V126" s="2">
        <v>125</v>
      </c>
      <c r="W126" s="2">
        <v>2009</v>
      </c>
    </row>
    <row r="127" spans="1:23" ht="12.3" x14ac:dyDescent="0.4">
      <c r="A127" s="2" t="s">
        <v>53</v>
      </c>
      <c r="B127" s="2"/>
      <c r="C127" s="2"/>
      <c r="D127" s="2"/>
      <c r="E127" s="2"/>
      <c r="F127" s="2"/>
      <c r="G127" s="2"/>
      <c r="H127" s="2"/>
      <c r="I127" s="2">
        <v>65.994799999999998</v>
      </c>
      <c r="J127" s="2">
        <v>180</v>
      </c>
      <c r="K127" s="2">
        <v>66.739400000000003</v>
      </c>
      <c r="L127" s="2">
        <v>154</v>
      </c>
      <c r="M127" s="2">
        <v>100.8182</v>
      </c>
      <c r="N127" s="2">
        <v>180</v>
      </c>
      <c r="O127" s="2">
        <v>101.5719</v>
      </c>
      <c r="P127" s="2">
        <v>161</v>
      </c>
      <c r="Q127" s="2">
        <v>95.921300000000002</v>
      </c>
      <c r="R127" s="2">
        <v>52</v>
      </c>
      <c r="S127" s="2">
        <v>98.864599999999996</v>
      </c>
      <c r="T127" s="2">
        <v>115</v>
      </c>
      <c r="U127" s="2">
        <v>0.57704999999999995</v>
      </c>
      <c r="V127" s="2">
        <v>126</v>
      </c>
      <c r="W127" s="2">
        <v>2009</v>
      </c>
    </row>
    <row r="128" spans="1:23" ht="12.3" x14ac:dyDescent="0.4">
      <c r="A128" s="2" t="s">
        <v>142</v>
      </c>
      <c r="B128" s="2"/>
      <c r="C128" s="2"/>
      <c r="D128" s="2"/>
      <c r="E128" s="2"/>
      <c r="F128" s="2"/>
      <c r="G128" s="2"/>
      <c r="H128" s="2"/>
      <c r="I128" s="2">
        <v>63.572400000000002</v>
      </c>
      <c r="J128" s="2">
        <v>279</v>
      </c>
      <c r="K128" s="2">
        <v>64.195499999999996</v>
      </c>
      <c r="L128" s="2">
        <v>266</v>
      </c>
      <c r="M128" s="2">
        <v>98.7697</v>
      </c>
      <c r="N128" s="2">
        <v>221</v>
      </c>
      <c r="O128" s="2">
        <v>101.59010000000001</v>
      </c>
      <c r="P128" s="2">
        <v>160</v>
      </c>
      <c r="Q128" s="2">
        <v>101.1103</v>
      </c>
      <c r="R128" s="2">
        <v>165</v>
      </c>
      <c r="S128" s="2">
        <v>99.024299999999997</v>
      </c>
      <c r="T128" s="2">
        <v>116</v>
      </c>
      <c r="U128" s="2">
        <v>0.57301899999999995</v>
      </c>
      <c r="V128" s="2">
        <v>127</v>
      </c>
      <c r="W128" s="2">
        <v>2009</v>
      </c>
    </row>
    <row r="129" spans="1:23" ht="12.3" x14ac:dyDescent="0.4">
      <c r="A129" s="2" t="s">
        <v>210</v>
      </c>
      <c r="B129" s="2"/>
      <c r="C129" s="2"/>
      <c r="D129" s="2"/>
      <c r="E129" s="2"/>
      <c r="F129" s="2"/>
      <c r="G129" s="2"/>
      <c r="H129" s="2"/>
      <c r="I129" s="2">
        <v>63.4983</v>
      </c>
      <c r="J129" s="2">
        <v>282</v>
      </c>
      <c r="K129" s="2">
        <v>63.759</v>
      </c>
      <c r="L129" s="2">
        <v>276</v>
      </c>
      <c r="M129" s="2">
        <v>96.697900000000004</v>
      </c>
      <c r="N129" s="2">
        <v>255</v>
      </c>
      <c r="O129" s="2">
        <v>97.136200000000002</v>
      </c>
      <c r="P129" s="2">
        <v>245</v>
      </c>
      <c r="Q129" s="2">
        <v>95.649799999999999</v>
      </c>
      <c r="R129" s="2">
        <v>49</v>
      </c>
      <c r="S129" s="2">
        <v>94.806299999999993</v>
      </c>
      <c r="T129" s="2">
        <v>41</v>
      </c>
      <c r="U129" s="2">
        <v>0.56934899999999999</v>
      </c>
      <c r="V129" s="2">
        <v>128</v>
      </c>
      <c r="W129" s="2">
        <v>2009</v>
      </c>
    </row>
    <row r="130" spans="1:23" ht="12.3" x14ac:dyDescent="0.4">
      <c r="A130" s="2" t="s">
        <v>280</v>
      </c>
      <c r="B130" s="2"/>
      <c r="C130" s="2"/>
      <c r="D130" s="2"/>
      <c r="E130" s="2"/>
      <c r="F130" s="2"/>
      <c r="G130" s="2"/>
      <c r="H130" s="2"/>
      <c r="I130" s="2">
        <v>69.438900000000004</v>
      </c>
      <c r="J130" s="2">
        <v>70</v>
      </c>
      <c r="K130" s="2">
        <v>68.870400000000004</v>
      </c>
      <c r="L130" s="2">
        <v>71</v>
      </c>
      <c r="M130" s="2">
        <v>109.83580000000001</v>
      </c>
      <c r="N130" s="2">
        <v>32</v>
      </c>
      <c r="O130" s="2">
        <v>106.5104</v>
      </c>
      <c r="P130" s="2">
        <v>85</v>
      </c>
      <c r="Q130" s="2">
        <v>101.4401</v>
      </c>
      <c r="R130" s="2">
        <v>175</v>
      </c>
      <c r="S130" s="2">
        <v>103.977</v>
      </c>
      <c r="T130" s="2">
        <v>223</v>
      </c>
      <c r="U130" s="2">
        <v>0.56877200000000006</v>
      </c>
      <c r="V130" s="2">
        <v>129</v>
      </c>
      <c r="W130" s="2">
        <v>2009</v>
      </c>
    </row>
    <row r="131" spans="1:23" ht="12.3" x14ac:dyDescent="0.4">
      <c r="A131" s="2" t="s">
        <v>118</v>
      </c>
      <c r="B131" s="2"/>
      <c r="C131" s="2"/>
      <c r="D131" s="2"/>
      <c r="E131" s="2"/>
      <c r="F131" s="2"/>
      <c r="G131" s="2"/>
      <c r="H131" s="2"/>
      <c r="I131" s="2">
        <v>70.229600000000005</v>
      </c>
      <c r="J131" s="2">
        <v>50</v>
      </c>
      <c r="K131" s="2">
        <v>70.348699999999994</v>
      </c>
      <c r="L131" s="2">
        <v>35</v>
      </c>
      <c r="M131" s="2">
        <v>107.9579</v>
      </c>
      <c r="N131" s="2">
        <v>59</v>
      </c>
      <c r="O131" s="2">
        <v>107.1763</v>
      </c>
      <c r="P131" s="2">
        <v>80</v>
      </c>
      <c r="Q131" s="2">
        <v>105.41160000000001</v>
      </c>
      <c r="R131" s="2">
        <v>258</v>
      </c>
      <c r="S131" s="2">
        <v>104.9678</v>
      </c>
      <c r="T131" s="2">
        <v>248</v>
      </c>
      <c r="U131" s="2">
        <v>0.55957599999999996</v>
      </c>
      <c r="V131" s="2">
        <v>130</v>
      </c>
      <c r="W131" s="2">
        <v>2009</v>
      </c>
    </row>
    <row r="132" spans="1:23" ht="12.3" x14ac:dyDescent="0.4">
      <c r="A132" s="2" t="s">
        <v>200</v>
      </c>
      <c r="B132" s="2"/>
      <c r="C132" s="2"/>
      <c r="D132" s="2"/>
      <c r="E132" s="2"/>
      <c r="F132" s="2"/>
      <c r="G132" s="2"/>
      <c r="H132" s="2"/>
      <c r="I132" s="2">
        <v>67.090800000000002</v>
      </c>
      <c r="J132" s="2">
        <v>140</v>
      </c>
      <c r="K132" s="2">
        <v>67.444999999999993</v>
      </c>
      <c r="L132" s="2">
        <v>124</v>
      </c>
      <c r="M132" s="2">
        <v>104.5924</v>
      </c>
      <c r="N132" s="2">
        <v>114</v>
      </c>
      <c r="O132" s="2">
        <v>104.4057</v>
      </c>
      <c r="P132" s="2">
        <v>118</v>
      </c>
      <c r="Q132" s="2">
        <v>100.8326</v>
      </c>
      <c r="R132" s="2">
        <v>161</v>
      </c>
      <c r="S132" s="2">
        <v>102.2551</v>
      </c>
      <c r="T132" s="2">
        <v>179</v>
      </c>
      <c r="U132" s="2">
        <v>0.55955600000000005</v>
      </c>
      <c r="V132" s="2">
        <v>131</v>
      </c>
      <c r="W132" s="2">
        <v>2009</v>
      </c>
    </row>
    <row r="133" spans="1:23" ht="12.3" x14ac:dyDescent="0.4">
      <c r="A133" s="2" t="s">
        <v>217</v>
      </c>
      <c r="B133" s="2"/>
      <c r="C133" s="2"/>
      <c r="D133" s="2"/>
      <c r="E133" s="2"/>
      <c r="F133" s="2"/>
      <c r="G133" s="2"/>
      <c r="H133" s="2"/>
      <c r="I133" s="2">
        <v>64.975700000000003</v>
      </c>
      <c r="J133" s="2">
        <v>233</v>
      </c>
      <c r="K133" s="2">
        <v>65.304599999999994</v>
      </c>
      <c r="L133" s="2">
        <v>221</v>
      </c>
      <c r="M133" s="2">
        <v>99.231300000000005</v>
      </c>
      <c r="N133" s="2">
        <v>210</v>
      </c>
      <c r="O133" s="2">
        <v>100.2223</v>
      </c>
      <c r="P133" s="2">
        <v>196</v>
      </c>
      <c r="Q133" s="2">
        <v>99.055800000000005</v>
      </c>
      <c r="R133" s="2">
        <v>115</v>
      </c>
      <c r="S133" s="2">
        <v>98.171000000000006</v>
      </c>
      <c r="T133" s="2">
        <v>90</v>
      </c>
      <c r="U133" s="2">
        <v>0.55917499999999998</v>
      </c>
      <c r="V133" s="2">
        <v>132</v>
      </c>
      <c r="W133" s="2">
        <v>2009</v>
      </c>
    </row>
    <row r="134" spans="1:23" ht="12.3" x14ac:dyDescent="0.4">
      <c r="A134" s="2" t="s">
        <v>349</v>
      </c>
      <c r="B134" s="2"/>
      <c r="C134" s="2"/>
      <c r="D134" s="2"/>
      <c r="E134" s="2"/>
      <c r="F134" s="2"/>
      <c r="G134" s="2"/>
      <c r="H134" s="2"/>
      <c r="I134" s="2">
        <v>65.396699999999996</v>
      </c>
      <c r="J134" s="2">
        <v>208</v>
      </c>
      <c r="K134" s="2">
        <v>65.046999999999997</v>
      </c>
      <c r="L134" s="2">
        <v>233</v>
      </c>
      <c r="M134" s="2">
        <v>103.7617</v>
      </c>
      <c r="N134" s="2">
        <v>128</v>
      </c>
      <c r="O134" s="2">
        <v>100.7439</v>
      </c>
      <c r="P134" s="2">
        <v>187</v>
      </c>
      <c r="Q134" s="2">
        <v>95.748500000000007</v>
      </c>
      <c r="R134" s="2">
        <v>50</v>
      </c>
      <c r="S134" s="2">
        <v>98.7761</v>
      </c>
      <c r="T134" s="2">
        <v>110</v>
      </c>
      <c r="U134" s="2">
        <v>0.55647000000000002</v>
      </c>
      <c r="V134" s="2">
        <v>133</v>
      </c>
      <c r="W134" s="2">
        <v>2009</v>
      </c>
    </row>
    <row r="135" spans="1:23" ht="12.3" x14ac:dyDescent="0.4">
      <c r="A135" s="2" t="s">
        <v>345</v>
      </c>
      <c r="B135" s="2">
        <v>15</v>
      </c>
      <c r="C135" s="2"/>
      <c r="D135" s="2"/>
      <c r="E135" s="2"/>
      <c r="F135" s="2"/>
      <c r="G135" s="2"/>
      <c r="H135" s="2"/>
      <c r="I135" s="2">
        <v>66.097300000000004</v>
      </c>
      <c r="J135" s="2">
        <v>179</v>
      </c>
      <c r="K135" s="2">
        <v>66.271000000000001</v>
      </c>
      <c r="L135" s="2">
        <v>171</v>
      </c>
      <c r="M135" s="2">
        <v>101.51860000000001</v>
      </c>
      <c r="N135" s="2">
        <v>168</v>
      </c>
      <c r="O135" s="2">
        <v>99.320499999999996</v>
      </c>
      <c r="P135" s="2">
        <v>215</v>
      </c>
      <c r="Q135" s="2">
        <v>93.167699999999996</v>
      </c>
      <c r="R135" s="2">
        <v>17</v>
      </c>
      <c r="S135" s="2">
        <v>97.501900000000006</v>
      </c>
      <c r="T135" s="2">
        <v>76</v>
      </c>
      <c r="U135" s="2">
        <v>0.55293199999999998</v>
      </c>
      <c r="V135" s="2">
        <v>134</v>
      </c>
      <c r="W135" s="2">
        <v>2009</v>
      </c>
    </row>
    <row r="136" spans="1:23" ht="12.3" x14ac:dyDescent="0.4">
      <c r="A136" s="2" t="s">
        <v>155</v>
      </c>
      <c r="B136" s="2"/>
      <c r="C136" s="2"/>
      <c r="D136" s="2"/>
      <c r="E136" s="2"/>
      <c r="F136" s="2"/>
      <c r="G136" s="2"/>
      <c r="H136" s="2"/>
      <c r="I136" s="2">
        <v>69.825000000000003</v>
      </c>
      <c r="J136" s="2">
        <v>60</v>
      </c>
      <c r="K136" s="2">
        <v>69.609899999999996</v>
      </c>
      <c r="L136" s="2">
        <v>53</v>
      </c>
      <c r="M136" s="2">
        <v>100.9747</v>
      </c>
      <c r="N136" s="2">
        <v>177</v>
      </c>
      <c r="O136" s="2">
        <v>104.01949999999999</v>
      </c>
      <c r="P136" s="2">
        <v>124</v>
      </c>
      <c r="Q136" s="2">
        <v>104.67400000000001</v>
      </c>
      <c r="R136" s="2">
        <v>247</v>
      </c>
      <c r="S136" s="2">
        <v>102.2038</v>
      </c>
      <c r="T136" s="2">
        <v>178</v>
      </c>
      <c r="U136" s="2">
        <v>0.55045200000000005</v>
      </c>
      <c r="V136" s="2">
        <v>135</v>
      </c>
      <c r="W136" s="2">
        <v>2009</v>
      </c>
    </row>
    <row r="137" spans="1:23" ht="12.3" x14ac:dyDescent="0.4">
      <c r="A137" s="2" t="s">
        <v>244</v>
      </c>
      <c r="B137" s="2"/>
      <c r="C137" s="2"/>
      <c r="D137" s="2"/>
      <c r="E137" s="2"/>
      <c r="F137" s="2"/>
      <c r="G137" s="2"/>
      <c r="H137" s="2"/>
      <c r="I137" s="2">
        <v>70.209100000000007</v>
      </c>
      <c r="J137" s="2">
        <v>52</v>
      </c>
      <c r="K137" s="2">
        <v>69.0959</v>
      </c>
      <c r="L137" s="2">
        <v>63</v>
      </c>
      <c r="M137" s="2">
        <v>108.56319999999999</v>
      </c>
      <c r="N137" s="2">
        <v>52</v>
      </c>
      <c r="O137" s="2">
        <v>104.3022</v>
      </c>
      <c r="P137" s="2">
        <v>121</v>
      </c>
      <c r="Q137" s="2">
        <v>99.509399999999999</v>
      </c>
      <c r="R137" s="2">
        <v>122</v>
      </c>
      <c r="S137" s="2">
        <v>102.5574</v>
      </c>
      <c r="T137" s="2">
        <v>184</v>
      </c>
      <c r="U137" s="2">
        <v>0.54834799999999995</v>
      </c>
      <c r="V137" s="2">
        <v>136</v>
      </c>
      <c r="W137" s="2">
        <v>2009</v>
      </c>
    </row>
    <row r="138" spans="1:23" ht="12.3" x14ac:dyDescent="0.4">
      <c r="A138" s="2" t="s">
        <v>307</v>
      </c>
      <c r="B138" s="2">
        <v>15</v>
      </c>
      <c r="C138" s="2"/>
      <c r="D138" s="2"/>
      <c r="E138" s="2"/>
      <c r="F138" s="2"/>
      <c r="G138" s="2"/>
      <c r="H138" s="2"/>
      <c r="I138" s="2">
        <v>67.146299999999997</v>
      </c>
      <c r="J138" s="2">
        <v>136</v>
      </c>
      <c r="K138" s="2">
        <v>66.702100000000002</v>
      </c>
      <c r="L138" s="2">
        <v>155</v>
      </c>
      <c r="M138" s="2">
        <v>105.108</v>
      </c>
      <c r="N138" s="2">
        <v>104</v>
      </c>
      <c r="O138" s="2">
        <v>100.0742</v>
      </c>
      <c r="P138" s="2">
        <v>201</v>
      </c>
      <c r="Q138" s="2">
        <v>96.299800000000005</v>
      </c>
      <c r="R138" s="2">
        <v>60</v>
      </c>
      <c r="S138" s="2">
        <v>98.495199999999997</v>
      </c>
      <c r="T138" s="2">
        <v>99</v>
      </c>
      <c r="U138" s="2">
        <v>0.545597</v>
      </c>
      <c r="V138" s="2">
        <v>137</v>
      </c>
      <c r="W138" s="2">
        <v>2009</v>
      </c>
    </row>
    <row r="139" spans="1:23" ht="12.3" x14ac:dyDescent="0.4">
      <c r="A139" s="2" t="s">
        <v>80</v>
      </c>
      <c r="B139" s="2"/>
      <c r="C139" s="2"/>
      <c r="D139" s="2"/>
      <c r="E139" s="2"/>
      <c r="F139" s="2"/>
      <c r="G139" s="2"/>
      <c r="H139" s="2"/>
      <c r="I139" s="2">
        <v>71.738399999999999</v>
      </c>
      <c r="J139" s="2">
        <v>24</v>
      </c>
      <c r="K139" s="2">
        <v>69.915800000000004</v>
      </c>
      <c r="L139" s="2">
        <v>46</v>
      </c>
      <c r="M139" s="2">
        <v>102.3754</v>
      </c>
      <c r="N139" s="2">
        <v>155</v>
      </c>
      <c r="O139" s="2">
        <v>102.9957</v>
      </c>
      <c r="P139" s="2">
        <v>137</v>
      </c>
      <c r="Q139" s="2">
        <v>102.0121</v>
      </c>
      <c r="R139" s="2">
        <v>192</v>
      </c>
      <c r="S139" s="2">
        <v>101.4302</v>
      </c>
      <c r="T139" s="2">
        <v>168</v>
      </c>
      <c r="U139" s="2">
        <v>0.54391900000000004</v>
      </c>
      <c r="V139" s="2">
        <v>138</v>
      </c>
      <c r="W139" s="2">
        <v>2009</v>
      </c>
    </row>
    <row r="140" spans="1:23" ht="12.3" x14ac:dyDescent="0.4">
      <c r="A140" s="2" t="s">
        <v>63</v>
      </c>
      <c r="B140" s="2"/>
      <c r="C140" s="2"/>
      <c r="D140" s="2"/>
      <c r="E140" s="2"/>
      <c r="F140" s="2"/>
      <c r="G140" s="2"/>
      <c r="H140" s="2"/>
      <c r="I140" s="2">
        <v>66.736699999999999</v>
      </c>
      <c r="J140" s="2">
        <v>149</v>
      </c>
      <c r="K140" s="2">
        <v>66.431899999999999</v>
      </c>
      <c r="L140" s="2">
        <v>164</v>
      </c>
      <c r="M140" s="2">
        <v>100.9203</v>
      </c>
      <c r="N140" s="2">
        <v>178</v>
      </c>
      <c r="O140" s="2">
        <v>102.6551</v>
      </c>
      <c r="P140" s="2">
        <v>144</v>
      </c>
      <c r="Q140" s="2">
        <v>103.2654</v>
      </c>
      <c r="R140" s="2">
        <v>219</v>
      </c>
      <c r="S140" s="2">
        <v>101.2136</v>
      </c>
      <c r="T140" s="2">
        <v>163</v>
      </c>
      <c r="U140" s="2">
        <v>0.54056899999999997</v>
      </c>
      <c r="V140" s="2">
        <v>139</v>
      </c>
      <c r="W140" s="2">
        <v>2009</v>
      </c>
    </row>
    <row r="141" spans="1:23" ht="12.3" x14ac:dyDescent="0.4">
      <c r="A141" s="2" t="s">
        <v>116</v>
      </c>
      <c r="B141" s="2"/>
      <c r="C141" s="2"/>
      <c r="D141" s="2"/>
      <c r="E141" s="2"/>
      <c r="F141" s="2"/>
      <c r="G141" s="2"/>
      <c r="H141" s="2"/>
      <c r="I141" s="2">
        <v>60.859499999999997</v>
      </c>
      <c r="J141" s="2">
        <v>328</v>
      </c>
      <c r="K141" s="2">
        <v>61.0242</v>
      </c>
      <c r="L141" s="2">
        <v>329</v>
      </c>
      <c r="M141" s="2">
        <v>99.821299999999994</v>
      </c>
      <c r="N141" s="2">
        <v>201</v>
      </c>
      <c r="O141" s="2">
        <v>100.1574</v>
      </c>
      <c r="P141" s="2">
        <v>199</v>
      </c>
      <c r="Q141" s="2">
        <v>99.245599999999996</v>
      </c>
      <c r="R141" s="2">
        <v>116</v>
      </c>
      <c r="S141" s="2">
        <v>98.792400000000001</v>
      </c>
      <c r="T141" s="2">
        <v>111</v>
      </c>
      <c r="U141" s="2">
        <v>0.53937199999999996</v>
      </c>
      <c r="V141" s="2">
        <v>140</v>
      </c>
      <c r="W141" s="2">
        <v>2009</v>
      </c>
    </row>
    <row r="142" spans="1:23" ht="12.3" x14ac:dyDescent="0.4">
      <c r="A142" s="2" t="s">
        <v>177</v>
      </c>
      <c r="B142" s="2"/>
      <c r="C142" s="2"/>
      <c r="D142" s="2"/>
      <c r="E142" s="2"/>
      <c r="F142" s="2"/>
      <c r="G142" s="2"/>
      <c r="H142" s="2"/>
      <c r="I142" s="2">
        <v>67.111099999999993</v>
      </c>
      <c r="J142" s="2">
        <v>138</v>
      </c>
      <c r="K142" s="2">
        <v>67.060500000000005</v>
      </c>
      <c r="L142" s="2">
        <v>142</v>
      </c>
      <c r="M142" s="2">
        <v>104.7483</v>
      </c>
      <c r="N142" s="2">
        <v>111</v>
      </c>
      <c r="O142" s="2">
        <v>104.443</v>
      </c>
      <c r="P142" s="2">
        <v>115</v>
      </c>
      <c r="Q142" s="2">
        <v>104.08710000000001</v>
      </c>
      <c r="R142" s="2">
        <v>231</v>
      </c>
      <c r="S142" s="2">
        <v>103.05800000000001</v>
      </c>
      <c r="T142" s="2">
        <v>197</v>
      </c>
      <c r="U142" s="2">
        <v>0.538304</v>
      </c>
      <c r="V142" s="2">
        <v>141</v>
      </c>
      <c r="W142" s="2">
        <v>2009</v>
      </c>
    </row>
    <row r="143" spans="1:23" ht="12.3" x14ac:dyDescent="0.4">
      <c r="A143" s="2" t="s">
        <v>212</v>
      </c>
      <c r="B143" s="2"/>
      <c r="C143" s="2"/>
      <c r="D143" s="2"/>
      <c r="E143" s="2"/>
      <c r="F143" s="2"/>
      <c r="G143" s="2"/>
      <c r="H143" s="2"/>
      <c r="I143" s="2">
        <v>69.285200000000003</v>
      </c>
      <c r="J143" s="2">
        <v>76</v>
      </c>
      <c r="K143" s="2">
        <v>69.558400000000006</v>
      </c>
      <c r="L143" s="2">
        <v>55</v>
      </c>
      <c r="M143" s="2">
        <v>102.5735</v>
      </c>
      <c r="N143" s="2">
        <v>152</v>
      </c>
      <c r="O143" s="2">
        <v>102.08280000000001</v>
      </c>
      <c r="P143" s="2">
        <v>154</v>
      </c>
      <c r="Q143" s="2">
        <v>102.2452</v>
      </c>
      <c r="R143" s="2">
        <v>199</v>
      </c>
      <c r="S143" s="2">
        <v>100.9225</v>
      </c>
      <c r="T143" s="2">
        <v>156</v>
      </c>
      <c r="U143" s="2">
        <v>0.53281599999999996</v>
      </c>
      <c r="V143" s="2">
        <v>142</v>
      </c>
      <c r="W143" s="2">
        <v>2009</v>
      </c>
    </row>
    <row r="144" spans="1:23" ht="12.3" x14ac:dyDescent="0.4">
      <c r="A144" s="2" t="s">
        <v>205</v>
      </c>
      <c r="B144" s="2"/>
      <c r="C144" s="2"/>
      <c r="D144" s="2"/>
      <c r="E144" s="2"/>
      <c r="F144" s="2"/>
      <c r="G144" s="2"/>
      <c r="H144" s="2"/>
      <c r="I144" s="2">
        <v>62.606000000000002</v>
      </c>
      <c r="J144" s="2">
        <v>299</v>
      </c>
      <c r="K144" s="2">
        <v>63.854199999999999</v>
      </c>
      <c r="L144" s="2">
        <v>274</v>
      </c>
      <c r="M144" s="2">
        <v>101.43219999999999</v>
      </c>
      <c r="N144" s="2">
        <v>170</v>
      </c>
      <c r="O144" s="2">
        <v>99.365300000000005</v>
      </c>
      <c r="P144" s="2">
        <v>213</v>
      </c>
      <c r="Q144" s="2">
        <v>99.457999999999998</v>
      </c>
      <c r="R144" s="2">
        <v>119</v>
      </c>
      <c r="S144" s="2">
        <v>98.290499999999994</v>
      </c>
      <c r="T144" s="2">
        <v>93</v>
      </c>
      <c r="U144" s="2">
        <v>0.531227</v>
      </c>
      <c r="V144" s="2">
        <v>143</v>
      </c>
      <c r="W144" s="2">
        <v>2009</v>
      </c>
    </row>
    <row r="145" spans="1:23" ht="12.3" x14ac:dyDescent="0.4">
      <c r="A145" s="2" t="s">
        <v>270</v>
      </c>
      <c r="B145" s="2"/>
      <c r="C145" s="2"/>
      <c r="D145" s="2"/>
      <c r="E145" s="2"/>
      <c r="F145" s="2"/>
      <c r="G145" s="2"/>
      <c r="H145" s="2"/>
      <c r="I145" s="2">
        <v>70.167599999999993</v>
      </c>
      <c r="J145" s="2">
        <v>54</v>
      </c>
      <c r="K145" s="2">
        <v>69.925399999999996</v>
      </c>
      <c r="L145" s="2">
        <v>45</v>
      </c>
      <c r="M145" s="2">
        <v>109.15089999999999</v>
      </c>
      <c r="N145" s="2">
        <v>42</v>
      </c>
      <c r="O145" s="2">
        <v>108.0363</v>
      </c>
      <c r="P145" s="2">
        <v>65</v>
      </c>
      <c r="Q145" s="2">
        <v>105.77030000000001</v>
      </c>
      <c r="R145" s="2">
        <v>264</v>
      </c>
      <c r="S145" s="2">
        <v>106.8764</v>
      </c>
      <c r="T145" s="2">
        <v>279</v>
      </c>
      <c r="U145" s="2">
        <v>0.53099399999999997</v>
      </c>
      <c r="V145" s="2">
        <v>144</v>
      </c>
      <c r="W145" s="2">
        <v>2009</v>
      </c>
    </row>
    <row r="146" spans="1:23" ht="12.3" x14ac:dyDescent="0.4">
      <c r="A146" s="2" t="s">
        <v>105</v>
      </c>
      <c r="B146" s="2"/>
      <c r="C146" s="2"/>
      <c r="D146" s="2"/>
      <c r="E146" s="2"/>
      <c r="F146" s="2"/>
      <c r="G146" s="2"/>
      <c r="H146" s="2"/>
      <c r="I146" s="2">
        <v>68.942300000000003</v>
      </c>
      <c r="J146" s="2">
        <v>81</v>
      </c>
      <c r="K146" s="2">
        <v>67.466300000000004</v>
      </c>
      <c r="L146" s="2">
        <v>123</v>
      </c>
      <c r="M146" s="2">
        <v>111.24850000000001</v>
      </c>
      <c r="N146" s="2">
        <v>22</v>
      </c>
      <c r="O146" s="2">
        <v>106.5543</v>
      </c>
      <c r="P146" s="2">
        <v>84</v>
      </c>
      <c r="Q146" s="2">
        <v>104.1652</v>
      </c>
      <c r="R146" s="2">
        <v>234</v>
      </c>
      <c r="S146" s="2">
        <v>105.6343</v>
      </c>
      <c r="T146" s="2">
        <v>261</v>
      </c>
      <c r="U146" s="2">
        <v>0.52490999999999999</v>
      </c>
      <c r="V146" s="2">
        <v>145</v>
      </c>
      <c r="W146" s="2">
        <v>2009</v>
      </c>
    </row>
    <row r="147" spans="1:23" ht="12.3" x14ac:dyDescent="0.4">
      <c r="A147" s="2" t="s">
        <v>181</v>
      </c>
      <c r="B147" s="2"/>
      <c r="C147" s="2"/>
      <c r="D147" s="2"/>
      <c r="E147" s="2"/>
      <c r="F147" s="2"/>
      <c r="G147" s="2"/>
      <c r="H147" s="2"/>
      <c r="I147" s="2">
        <v>63.994799999999998</v>
      </c>
      <c r="J147" s="2">
        <v>269</v>
      </c>
      <c r="K147" s="2">
        <v>63.226300000000002</v>
      </c>
      <c r="L147" s="2">
        <v>293</v>
      </c>
      <c r="M147" s="2">
        <v>104.99460000000001</v>
      </c>
      <c r="N147" s="2">
        <v>106</v>
      </c>
      <c r="O147" s="2">
        <v>100.97</v>
      </c>
      <c r="P147" s="2">
        <v>178</v>
      </c>
      <c r="Q147" s="2">
        <v>99.292900000000003</v>
      </c>
      <c r="R147" s="2">
        <v>117</v>
      </c>
      <c r="S147" s="2">
        <v>100.1237</v>
      </c>
      <c r="T147" s="2">
        <v>139</v>
      </c>
      <c r="U147" s="2">
        <v>0.52417899999999995</v>
      </c>
      <c r="V147" s="2">
        <v>146</v>
      </c>
      <c r="W147" s="2">
        <v>2009</v>
      </c>
    </row>
    <row r="148" spans="1:23" ht="12.3" x14ac:dyDescent="0.4">
      <c r="A148" s="2" t="s">
        <v>175</v>
      </c>
      <c r="B148" s="2"/>
      <c r="C148" s="2"/>
      <c r="D148" s="2"/>
      <c r="E148" s="2"/>
      <c r="F148" s="2"/>
      <c r="G148" s="2"/>
      <c r="H148" s="2"/>
      <c r="I148" s="2">
        <v>63.606499999999997</v>
      </c>
      <c r="J148" s="2">
        <v>278</v>
      </c>
      <c r="K148" s="2">
        <v>63.286700000000003</v>
      </c>
      <c r="L148" s="2">
        <v>289</v>
      </c>
      <c r="M148" s="2">
        <v>102.8105</v>
      </c>
      <c r="N148" s="2">
        <v>146</v>
      </c>
      <c r="O148" s="2">
        <v>105.3313</v>
      </c>
      <c r="P148" s="2">
        <v>97</v>
      </c>
      <c r="Q148" s="2">
        <v>106.62350000000001</v>
      </c>
      <c r="R148" s="2">
        <v>281</v>
      </c>
      <c r="S148" s="2">
        <v>104.5449</v>
      </c>
      <c r="T148" s="2">
        <v>236</v>
      </c>
      <c r="U148" s="2">
        <v>0.52153000000000005</v>
      </c>
      <c r="V148" s="2">
        <v>147</v>
      </c>
      <c r="W148" s="2">
        <v>2009</v>
      </c>
    </row>
    <row r="149" spans="1:23" ht="12.3" x14ac:dyDescent="0.4">
      <c r="A149" s="2" t="s">
        <v>184</v>
      </c>
      <c r="B149" s="2"/>
      <c r="C149" s="2"/>
      <c r="D149" s="2"/>
      <c r="E149" s="2"/>
      <c r="F149" s="2"/>
      <c r="G149" s="2"/>
      <c r="H149" s="2"/>
      <c r="I149" s="2">
        <v>69.302599999999998</v>
      </c>
      <c r="J149" s="2">
        <v>75</v>
      </c>
      <c r="K149" s="2">
        <v>69.375399999999999</v>
      </c>
      <c r="L149" s="2">
        <v>59</v>
      </c>
      <c r="M149" s="2">
        <v>109.2397</v>
      </c>
      <c r="N149" s="2">
        <v>41</v>
      </c>
      <c r="O149" s="2">
        <v>107.6739</v>
      </c>
      <c r="P149" s="2">
        <v>73</v>
      </c>
      <c r="Q149" s="2">
        <v>106.3402</v>
      </c>
      <c r="R149" s="2">
        <v>276</v>
      </c>
      <c r="S149" s="2">
        <v>106.875</v>
      </c>
      <c r="T149" s="2">
        <v>278</v>
      </c>
      <c r="U149" s="2">
        <v>0.52139899999999995</v>
      </c>
      <c r="V149" s="2">
        <v>148</v>
      </c>
      <c r="W149" s="2">
        <v>2009</v>
      </c>
    </row>
    <row r="150" spans="1:23" ht="12.3" x14ac:dyDescent="0.4">
      <c r="A150" s="2" t="s">
        <v>276</v>
      </c>
      <c r="B150" s="2"/>
      <c r="C150" s="2"/>
      <c r="D150" s="2"/>
      <c r="E150" s="2"/>
      <c r="F150" s="2"/>
      <c r="G150" s="2"/>
      <c r="H150" s="2"/>
      <c r="I150" s="2">
        <v>68.801599999999993</v>
      </c>
      <c r="J150" s="2">
        <v>89</v>
      </c>
      <c r="K150" s="2">
        <v>67.3887</v>
      </c>
      <c r="L150" s="2">
        <v>125</v>
      </c>
      <c r="M150" s="2">
        <v>96.345399999999998</v>
      </c>
      <c r="N150" s="2">
        <v>266</v>
      </c>
      <c r="O150" s="2">
        <v>99.393199999999993</v>
      </c>
      <c r="P150" s="2">
        <v>212</v>
      </c>
      <c r="Q150" s="2">
        <v>98.316199999999995</v>
      </c>
      <c r="R150" s="2">
        <v>98</v>
      </c>
      <c r="S150" s="2">
        <v>98.691100000000006</v>
      </c>
      <c r="T150" s="2">
        <v>107</v>
      </c>
      <c r="U150" s="2">
        <v>0.52037100000000003</v>
      </c>
      <c r="V150" s="2">
        <v>149</v>
      </c>
      <c r="W150" s="2">
        <v>2009</v>
      </c>
    </row>
    <row r="151" spans="1:23" ht="12.3" x14ac:dyDescent="0.4">
      <c r="A151" s="2" t="s">
        <v>125</v>
      </c>
      <c r="B151" s="2"/>
      <c r="C151" s="2"/>
      <c r="D151" s="2"/>
      <c r="E151" s="2"/>
      <c r="F151" s="2"/>
      <c r="G151" s="2"/>
      <c r="H151" s="2"/>
      <c r="I151" s="2">
        <v>65.277600000000007</v>
      </c>
      <c r="J151" s="2">
        <v>213</v>
      </c>
      <c r="K151" s="2">
        <v>65.624099999999999</v>
      </c>
      <c r="L151" s="2">
        <v>200</v>
      </c>
      <c r="M151" s="2">
        <v>100.6044</v>
      </c>
      <c r="N151" s="2">
        <v>182</v>
      </c>
      <c r="O151" s="2">
        <v>98.310100000000006</v>
      </c>
      <c r="P151" s="2">
        <v>229</v>
      </c>
      <c r="Q151" s="2">
        <v>95.952600000000004</v>
      </c>
      <c r="R151" s="2">
        <v>55</v>
      </c>
      <c r="S151" s="2">
        <v>97.624799999999993</v>
      </c>
      <c r="T151" s="2">
        <v>80</v>
      </c>
      <c r="U151" s="2">
        <v>0.52010100000000004</v>
      </c>
      <c r="V151" s="2">
        <v>150</v>
      </c>
      <c r="W151" s="2">
        <v>2009</v>
      </c>
    </row>
    <row r="152" spans="1:23" ht="12.3" x14ac:dyDescent="0.4">
      <c r="A152" s="2" t="s">
        <v>122</v>
      </c>
      <c r="B152" s="2"/>
      <c r="C152" s="2"/>
      <c r="D152" s="2"/>
      <c r="E152" s="2"/>
      <c r="F152" s="2"/>
      <c r="G152" s="2"/>
      <c r="H152" s="2"/>
      <c r="I152" s="2">
        <v>66.912999999999997</v>
      </c>
      <c r="J152" s="2">
        <v>144</v>
      </c>
      <c r="K152" s="2">
        <v>67.831100000000006</v>
      </c>
      <c r="L152" s="2">
        <v>108</v>
      </c>
      <c r="M152" s="2">
        <v>100.3369</v>
      </c>
      <c r="N152" s="2">
        <v>190</v>
      </c>
      <c r="O152" s="2">
        <v>103.1692</v>
      </c>
      <c r="P152" s="2">
        <v>136</v>
      </c>
      <c r="Q152" s="2">
        <v>101.9252</v>
      </c>
      <c r="R152" s="2">
        <v>190</v>
      </c>
      <c r="S152" s="2">
        <v>102.571</v>
      </c>
      <c r="T152" s="2">
        <v>185</v>
      </c>
      <c r="U152" s="2">
        <v>0.51671100000000003</v>
      </c>
      <c r="V152" s="2">
        <v>151</v>
      </c>
      <c r="W152" s="2">
        <v>2009</v>
      </c>
    </row>
    <row r="153" spans="1:23" ht="12.3" x14ac:dyDescent="0.4">
      <c r="A153" s="2" t="s">
        <v>89</v>
      </c>
      <c r="B153" s="2"/>
      <c r="C153" s="2"/>
      <c r="D153" s="2"/>
      <c r="E153" s="2"/>
      <c r="F153" s="2"/>
      <c r="G153" s="2"/>
      <c r="H153" s="2"/>
      <c r="I153" s="2">
        <v>62.3489</v>
      </c>
      <c r="J153" s="2">
        <v>308</v>
      </c>
      <c r="K153" s="2">
        <v>63.050800000000002</v>
      </c>
      <c r="L153" s="2">
        <v>299</v>
      </c>
      <c r="M153" s="2">
        <v>99.994799999999998</v>
      </c>
      <c r="N153" s="2">
        <v>195</v>
      </c>
      <c r="O153" s="2">
        <v>100.673</v>
      </c>
      <c r="P153" s="2">
        <v>189</v>
      </c>
      <c r="Q153" s="2">
        <v>97.037499999999994</v>
      </c>
      <c r="R153" s="2">
        <v>78</v>
      </c>
      <c r="S153" s="2">
        <v>100.0958</v>
      </c>
      <c r="T153" s="2">
        <v>138</v>
      </c>
      <c r="U153" s="2">
        <v>0.51652399999999998</v>
      </c>
      <c r="V153" s="2">
        <v>152</v>
      </c>
      <c r="W153" s="2">
        <v>2009</v>
      </c>
    </row>
    <row r="154" spans="1:23" ht="12.3" x14ac:dyDescent="0.4">
      <c r="A154" s="2" t="s">
        <v>263</v>
      </c>
      <c r="B154" s="2"/>
      <c r="C154" s="2"/>
      <c r="D154" s="2"/>
      <c r="E154" s="2"/>
      <c r="F154" s="2"/>
      <c r="G154" s="2"/>
      <c r="H154" s="2"/>
      <c r="I154" s="2">
        <v>81.266800000000003</v>
      </c>
      <c r="J154" s="2">
        <v>1</v>
      </c>
      <c r="K154" s="2">
        <v>80.930700000000002</v>
      </c>
      <c r="L154" s="2">
        <v>1</v>
      </c>
      <c r="M154" s="2">
        <v>109.858</v>
      </c>
      <c r="N154" s="2">
        <v>31</v>
      </c>
      <c r="O154" s="2">
        <v>107.3661</v>
      </c>
      <c r="P154" s="2">
        <v>76</v>
      </c>
      <c r="Q154" s="2">
        <v>104.2208</v>
      </c>
      <c r="R154" s="2">
        <v>237</v>
      </c>
      <c r="S154" s="2">
        <v>106.75239999999999</v>
      </c>
      <c r="T154" s="2">
        <v>276</v>
      </c>
      <c r="U154" s="2">
        <v>0.51647299999999996</v>
      </c>
      <c r="V154" s="2">
        <v>153</v>
      </c>
      <c r="W154" s="2">
        <v>2009</v>
      </c>
    </row>
    <row r="155" spans="1:23" ht="12.3" x14ac:dyDescent="0.4">
      <c r="A155" s="2" t="s">
        <v>82</v>
      </c>
      <c r="B155" s="2"/>
      <c r="C155" s="2"/>
      <c r="D155" s="2"/>
      <c r="E155" s="2"/>
      <c r="F155" s="2"/>
      <c r="G155" s="2"/>
      <c r="H155" s="2"/>
      <c r="I155" s="2">
        <v>64.016099999999994</v>
      </c>
      <c r="J155" s="2">
        <v>268</v>
      </c>
      <c r="K155" s="2">
        <v>65.116</v>
      </c>
      <c r="L155" s="2">
        <v>230</v>
      </c>
      <c r="M155" s="2">
        <v>98.42</v>
      </c>
      <c r="N155" s="2">
        <v>226</v>
      </c>
      <c r="O155" s="2">
        <v>100.4872</v>
      </c>
      <c r="P155" s="2">
        <v>193</v>
      </c>
      <c r="Q155" s="2">
        <v>102.63849999999999</v>
      </c>
      <c r="R155" s="2">
        <v>206</v>
      </c>
      <c r="S155" s="2">
        <v>99.969700000000003</v>
      </c>
      <c r="T155" s="2">
        <v>136</v>
      </c>
      <c r="U155" s="2">
        <v>0.51484099999999999</v>
      </c>
      <c r="V155" s="2">
        <v>154</v>
      </c>
      <c r="W155" s="2">
        <v>2009</v>
      </c>
    </row>
    <row r="156" spans="1:23" ht="12.3" x14ac:dyDescent="0.4">
      <c r="A156" s="2" t="s">
        <v>182</v>
      </c>
      <c r="B156" s="2"/>
      <c r="C156" s="2"/>
      <c r="D156" s="2"/>
      <c r="E156" s="2"/>
      <c r="F156" s="2"/>
      <c r="G156" s="2"/>
      <c r="H156" s="2"/>
      <c r="I156" s="2">
        <v>69.189400000000006</v>
      </c>
      <c r="J156" s="2">
        <v>78</v>
      </c>
      <c r="K156" s="2">
        <v>68.584299999999999</v>
      </c>
      <c r="L156" s="2">
        <v>82</v>
      </c>
      <c r="M156" s="2">
        <v>103.569</v>
      </c>
      <c r="N156" s="2">
        <v>131</v>
      </c>
      <c r="O156" s="2">
        <v>105.343</v>
      </c>
      <c r="P156" s="2">
        <v>96</v>
      </c>
      <c r="Q156" s="2">
        <v>101.31950000000001</v>
      </c>
      <c r="R156" s="2">
        <v>173</v>
      </c>
      <c r="S156" s="2">
        <v>104.8463</v>
      </c>
      <c r="T156" s="2">
        <v>245</v>
      </c>
      <c r="U156" s="2">
        <v>0.51358499999999996</v>
      </c>
      <c r="V156" s="2">
        <v>155</v>
      </c>
      <c r="W156" s="2">
        <v>2009</v>
      </c>
    </row>
    <row r="157" spans="1:23" ht="12.3" x14ac:dyDescent="0.4">
      <c r="A157" s="2" t="s">
        <v>103</v>
      </c>
      <c r="B157" s="2"/>
      <c r="C157" s="2"/>
      <c r="D157" s="2"/>
      <c r="E157" s="2"/>
      <c r="F157" s="2"/>
      <c r="G157" s="2"/>
      <c r="H157" s="2"/>
      <c r="I157" s="2">
        <v>62.205500000000001</v>
      </c>
      <c r="J157" s="2">
        <v>311</v>
      </c>
      <c r="K157" s="2">
        <v>61.2438</v>
      </c>
      <c r="L157" s="2">
        <v>323</v>
      </c>
      <c r="M157" s="2">
        <v>94.990600000000001</v>
      </c>
      <c r="N157" s="2">
        <v>279</v>
      </c>
      <c r="O157" s="2">
        <v>99.530299999999997</v>
      </c>
      <c r="P157" s="2">
        <v>209</v>
      </c>
      <c r="Q157" s="2">
        <v>103.54219999999999</v>
      </c>
      <c r="R157" s="2">
        <v>225</v>
      </c>
      <c r="S157" s="2">
        <v>99.132999999999996</v>
      </c>
      <c r="T157" s="2">
        <v>121</v>
      </c>
      <c r="U157" s="2">
        <v>0.51149699999999998</v>
      </c>
      <c r="V157" s="2">
        <v>156</v>
      </c>
      <c r="W157" s="2">
        <v>2009</v>
      </c>
    </row>
    <row r="158" spans="1:23" ht="12.3" x14ac:dyDescent="0.4">
      <c r="A158" s="2" t="s">
        <v>337</v>
      </c>
      <c r="B158" s="2"/>
      <c r="C158" s="2"/>
      <c r="D158" s="2"/>
      <c r="E158" s="2"/>
      <c r="F158" s="2"/>
      <c r="G158" s="2"/>
      <c r="H158" s="2"/>
      <c r="I158" s="2">
        <v>69.743099999999998</v>
      </c>
      <c r="J158" s="2">
        <v>64</v>
      </c>
      <c r="K158" s="2">
        <v>68.829700000000003</v>
      </c>
      <c r="L158" s="2">
        <v>73</v>
      </c>
      <c r="M158" s="2">
        <v>106.3061</v>
      </c>
      <c r="N158" s="2">
        <v>83</v>
      </c>
      <c r="O158" s="2">
        <v>104.91549999999999</v>
      </c>
      <c r="P158" s="2">
        <v>104</v>
      </c>
      <c r="Q158" s="2">
        <v>99.357100000000003</v>
      </c>
      <c r="R158" s="2">
        <v>118</v>
      </c>
      <c r="S158" s="2">
        <v>104.5986</v>
      </c>
      <c r="T158" s="2">
        <v>237</v>
      </c>
      <c r="U158" s="2">
        <v>0.50869500000000001</v>
      </c>
      <c r="V158" s="2">
        <v>157</v>
      </c>
      <c r="W158" s="2">
        <v>2009</v>
      </c>
    </row>
    <row r="159" spans="1:23" ht="12.3" x14ac:dyDescent="0.4">
      <c r="A159" s="2" t="s">
        <v>201</v>
      </c>
      <c r="B159" s="2">
        <v>16</v>
      </c>
      <c r="C159" s="2"/>
      <c r="D159" s="2"/>
      <c r="E159" s="2"/>
      <c r="F159" s="2"/>
      <c r="G159" s="2"/>
      <c r="H159" s="2"/>
      <c r="I159" s="2">
        <v>66.876900000000006</v>
      </c>
      <c r="J159" s="2">
        <v>147</v>
      </c>
      <c r="K159" s="2">
        <v>66.088200000000001</v>
      </c>
      <c r="L159" s="2">
        <v>177</v>
      </c>
      <c r="M159" s="2">
        <v>103.6198</v>
      </c>
      <c r="N159" s="2">
        <v>130</v>
      </c>
      <c r="O159" s="2">
        <v>101.6664</v>
      </c>
      <c r="P159" s="2">
        <v>158</v>
      </c>
      <c r="Q159" s="2">
        <v>102.6229</v>
      </c>
      <c r="R159" s="2">
        <v>205</v>
      </c>
      <c r="S159" s="2">
        <v>101.3664</v>
      </c>
      <c r="T159" s="2">
        <v>166</v>
      </c>
      <c r="U159" s="2">
        <v>0.508494</v>
      </c>
      <c r="V159" s="2">
        <v>158</v>
      </c>
      <c r="W159" s="2">
        <v>2009</v>
      </c>
    </row>
    <row r="160" spans="1:23" ht="12.3" x14ac:dyDescent="0.4">
      <c r="A160" s="2" t="s">
        <v>197</v>
      </c>
      <c r="B160" s="2"/>
      <c r="C160" s="2"/>
      <c r="D160" s="2"/>
      <c r="E160" s="2"/>
      <c r="F160" s="2"/>
      <c r="G160" s="2"/>
      <c r="H160" s="2"/>
      <c r="I160" s="2">
        <v>65.684100000000001</v>
      </c>
      <c r="J160" s="2">
        <v>197</v>
      </c>
      <c r="K160" s="2">
        <v>65.731399999999994</v>
      </c>
      <c r="L160" s="2">
        <v>198</v>
      </c>
      <c r="M160" s="2">
        <v>104.2127</v>
      </c>
      <c r="N160" s="2">
        <v>121</v>
      </c>
      <c r="O160" s="2">
        <v>105.0039</v>
      </c>
      <c r="P160" s="2">
        <v>103</v>
      </c>
      <c r="Q160" s="2">
        <v>107.873</v>
      </c>
      <c r="R160" s="2">
        <v>304</v>
      </c>
      <c r="S160" s="2">
        <v>104.74</v>
      </c>
      <c r="T160" s="2">
        <v>240</v>
      </c>
      <c r="U160" s="2">
        <v>0.50723600000000002</v>
      </c>
      <c r="V160" s="2">
        <v>159</v>
      </c>
      <c r="W160" s="2">
        <v>2009</v>
      </c>
    </row>
    <row r="161" spans="1:23" ht="12.3" x14ac:dyDescent="0.4">
      <c r="A161" s="2" t="s">
        <v>94</v>
      </c>
      <c r="B161" s="2"/>
      <c r="C161" s="2"/>
      <c r="D161" s="2"/>
      <c r="E161" s="2"/>
      <c r="F161" s="2"/>
      <c r="G161" s="2"/>
      <c r="H161" s="2"/>
      <c r="I161" s="2">
        <v>63.430999999999997</v>
      </c>
      <c r="J161" s="2">
        <v>284</v>
      </c>
      <c r="K161" s="2">
        <v>63.456600000000002</v>
      </c>
      <c r="L161" s="2">
        <v>285</v>
      </c>
      <c r="M161" s="2">
        <v>100.5637</v>
      </c>
      <c r="N161" s="2">
        <v>184</v>
      </c>
      <c r="O161" s="2">
        <v>100.72329999999999</v>
      </c>
      <c r="P161" s="2">
        <v>188</v>
      </c>
      <c r="Q161" s="2">
        <v>99.566400000000002</v>
      </c>
      <c r="R161" s="2">
        <v>125</v>
      </c>
      <c r="S161" s="2">
        <v>100.5549</v>
      </c>
      <c r="T161" s="2">
        <v>147</v>
      </c>
      <c r="U161" s="2">
        <v>0.50481100000000001</v>
      </c>
      <c r="V161" s="2">
        <v>160</v>
      </c>
      <c r="W161" s="2">
        <v>2009</v>
      </c>
    </row>
    <row r="162" spans="1:23" ht="12.3" x14ac:dyDescent="0.4">
      <c r="A162" s="2" t="s">
        <v>315</v>
      </c>
      <c r="B162" s="2">
        <v>15</v>
      </c>
      <c r="C162" s="2"/>
      <c r="D162" s="2"/>
      <c r="E162" s="2"/>
      <c r="F162" s="2"/>
      <c r="G162" s="2"/>
      <c r="H162" s="2"/>
      <c r="I162" s="2">
        <v>66.992599999999996</v>
      </c>
      <c r="J162" s="2">
        <v>142</v>
      </c>
      <c r="K162" s="2">
        <v>68.412700000000001</v>
      </c>
      <c r="L162" s="2">
        <v>89</v>
      </c>
      <c r="M162" s="2">
        <v>103.2525</v>
      </c>
      <c r="N162" s="2">
        <v>138</v>
      </c>
      <c r="O162" s="2">
        <v>101.13590000000001</v>
      </c>
      <c r="P162" s="2">
        <v>173</v>
      </c>
      <c r="Q162" s="2">
        <v>98.519400000000005</v>
      </c>
      <c r="R162" s="2">
        <v>102</v>
      </c>
      <c r="S162" s="2">
        <v>101.0018</v>
      </c>
      <c r="T162" s="2">
        <v>158</v>
      </c>
      <c r="U162" s="2">
        <v>0.50381699999999996</v>
      </c>
      <c r="V162" s="2">
        <v>161</v>
      </c>
      <c r="W162" s="2">
        <v>2009</v>
      </c>
    </row>
    <row r="163" spans="1:23" ht="12.3" x14ac:dyDescent="0.4">
      <c r="A163" s="2" t="s">
        <v>203</v>
      </c>
      <c r="B163" s="2"/>
      <c r="C163" s="2"/>
      <c r="D163" s="2"/>
      <c r="E163" s="2"/>
      <c r="F163" s="2"/>
      <c r="G163" s="2"/>
      <c r="H163" s="2"/>
      <c r="I163" s="2">
        <v>63.091000000000001</v>
      </c>
      <c r="J163" s="2">
        <v>292</v>
      </c>
      <c r="K163" s="2">
        <v>63.579700000000003</v>
      </c>
      <c r="L163" s="2">
        <v>282</v>
      </c>
      <c r="M163" s="2">
        <v>104.6234</v>
      </c>
      <c r="N163" s="2">
        <v>113</v>
      </c>
      <c r="O163" s="2">
        <v>103.5864</v>
      </c>
      <c r="P163" s="2">
        <v>131</v>
      </c>
      <c r="Q163" s="2">
        <v>101.0179</v>
      </c>
      <c r="R163" s="2">
        <v>162</v>
      </c>
      <c r="S163" s="2">
        <v>103.4606</v>
      </c>
      <c r="T163" s="2">
        <v>211</v>
      </c>
      <c r="U163" s="2">
        <v>0.50349299999999997</v>
      </c>
      <c r="V163" s="2">
        <v>162</v>
      </c>
      <c r="W163" s="2">
        <v>2009</v>
      </c>
    </row>
    <row r="164" spans="1:23" ht="12.3" x14ac:dyDescent="0.4">
      <c r="A164" s="2" t="s">
        <v>123</v>
      </c>
      <c r="B164" s="2"/>
      <c r="C164" s="2"/>
      <c r="D164" s="2"/>
      <c r="E164" s="2"/>
      <c r="F164" s="2"/>
      <c r="G164" s="2"/>
      <c r="H164" s="2"/>
      <c r="I164" s="2">
        <v>66.213800000000006</v>
      </c>
      <c r="J164" s="2">
        <v>172</v>
      </c>
      <c r="K164" s="2">
        <v>65.259699999999995</v>
      </c>
      <c r="L164" s="2">
        <v>225</v>
      </c>
      <c r="M164" s="2">
        <v>94.977800000000002</v>
      </c>
      <c r="N164" s="2">
        <v>280</v>
      </c>
      <c r="O164" s="2">
        <v>95.645600000000002</v>
      </c>
      <c r="P164" s="2">
        <v>270</v>
      </c>
      <c r="Q164" s="2">
        <v>99.677700000000002</v>
      </c>
      <c r="R164" s="2">
        <v>127</v>
      </c>
      <c r="S164" s="2">
        <v>95.594700000000003</v>
      </c>
      <c r="T164" s="2">
        <v>54</v>
      </c>
      <c r="U164" s="2">
        <v>0.50153099999999995</v>
      </c>
      <c r="V164" s="2">
        <v>163</v>
      </c>
      <c r="W164" s="2">
        <v>2009</v>
      </c>
    </row>
    <row r="165" spans="1:23" ht="12.3" x14ac:dyDescent="0.4">
      <c r="A165" s="2" t="s">
        <v>223</v>
      </c>
      <c r="B165" s="2">
        <v>16</v>
      </c>
      <c r="C165" s="2"/>
      <c r="D165" s="2"/>
      <c r="E165" s="2"/>
      <c r="F165" s="2"/>
      <c r="G165" s="2"/>
      <c r="H165" s="2"/>
      <c r="I165" s="2">
        <v>71.174300000000002</v>
      </c>
      <c r="J165" s="2">
        <v>31</v>
      </c>
      <c r="K165" s="2">
        <v>69.884500000000003</v>
      </c>
      <c r="L165" s="2">
        <v>48</v>
      </c>
      <c r="M165" s="2">
        <v>102.7826</v>
      </c>
      <c r="N165" s="2">
        <v>147</v>
      </c>
      <c r="O165" s="2">
        <v>101.2514</v>
      </c>
      <c r="P165" s="2">
        <v>171</v>
      </c>
      <c r="Q165" s="2">
        <v>99.534300000000002</v>
      </c>
      <c r="R165" s="2">
        <v>124</v>
      </c>
      <c r="S165" s="2">
        <v>101.2088</v>
      </c>
      <c r="T165" s="2">
        <v>162</v>
      </c>
      <c r="U165" s="2">
        <v>0.50121000000000004</v>
      </c>
      <c r="V165" s="2">
        <v>164</v>
      </c>
      <c r="W165" s="2">
        <v>2009</v>
      </c>
    </row>
    <row r="166" spans="1:23" ht="12.3" x14ac:dyDescent="0.4">
      <c r="A166" s="2" t="s">
        <v>347</v>
      </c>
      <c r="B166" s="2"/>
      <c r="C166" s="2"/>
      <c r="D166" s="2"/>
      <c r="E166" s="2"/>
      <c r="F166" s="2"/>
      <c r="G166" s="2"/>
      <c r="H166" s="2"/>
      <c r="I166" s="2">
        <v>61.666400000000003</v>
      </c>
      <c r="J166" s="2">
        <v>319</v>
      </c>
      <c r="K166" s="2">
        <v>60.248600000000003</v>
      </c>
      <c r="L166" s="2">
        <v>332</v>
      </c>
      <c r="M166" s="2">
        <v>101.03919999999999</v>
      </c>
      <c r="N166" s="2">
        <v>175</v>
      </c>
      <c r="O166" s="2">
        <v>99.9131</v>
      </c>
      <c r="P166" s="2">
        <v>204</v>
      </c>
      <c r="Q166" s="2">
        <v>98.267300000000006</v>
      </c>
      <c r="R166" s="2">
        <v>97</v>
      </c>
      <c r="S166" s="2">
        <v>100.2336</v>
      </c>
      <c r="T166" s="2">
        <v>141</v>
      </c>
      <c r="U166" s="2">
        <v>0.49079400000000001</v>
      </c>
      <c r="V166" s="2">
        <v>165</v>
      </c>
      <c r="W166" s="2">
        <v>2009</v>
      </c>
    </row>
    <row r="167" spans="1:23" ht="12.3" x14ac:dyDescent="0.4">
      <c r="A167" s="2" t="s">
        <v>356</v>
      </c>
      <c r="B167" s="2"/>
      <c r="C167" s="2"/>
      <c r="D167" s="2"/>
      <c r="E167" s="2"/>
      <c r="F167" s="2"/>
      <c r="G167" s="2"/>
      <c r="H167" s="2"/>
      <c r="I167" s="2">
        <v>71.009299999999996</v>
      </c>
      <c r="J167" s="2">
        <v>33</v>
      </c>
      <c r="K167" s="2">
        <v>70.772300000000001</v>
      </c>
      <c r="L167" s="2">
        <v>26</v>
      </c>
      <c r="M167" s="2">
        <v>108.9088</v>
      </c>
      <c r="N167" s="2">
        <v>48</v>
      </c>
      <c r="O167" s="2">
        <v>106.9401</v>
      </c>
      <c r="P167" s="2">
        <v>81</v>
      </c>
      <c r="Q167" s="2">
        <v>107.955</v>
      </c>
      <c r="R167" s="2">
        <v>305</v>
      </c>
      <c r="S167" s="2">
        <v>107.2954</v>
      </c>
      <c r="T167" s="2">
        <v>285</v>
      </c>
      <c r="U167" s="2">
        <v>0.49046499999999998</v>
      </c>
      <c r="V167" s="2">
        <v>166</v>
      </c>
      <c r="W167" s="2">
        <v>2009</v>
      </c>
    </row>
    <row r="168" spans="1:23" ht="12.3" x14ac:dyDescent="0.4">
      <c r="A168" s="2" t="s">
        <v>161</v>
      </c>
      <c r="B168" s="2"/>
      <c r="C168" s="2"/>
      <c r="D168" s="2"/>
      <c r="E168" s="2"/>
      <c r="F168" s="2"/>
      <c r="G168" s="2"/>
      <c r="H168" s="2"/>
      <c r="I168" s="2">
        <v>65.537000000000006</v>
      </c>
      <c r="J168" s="2">
        <v>203</v>
      </c>
      <c r="K168" s="2">
        <v>65.689400000000006</v>
      </c>
      <c r="L168" s="2">
        <v>199</v>
      </c>
      <c r="M168" s="2">
        <v>96.833399999999997</v>
      </c>
      <c r="N168" s="2">
        <v>253</v>
      </c>
      <c r="O168" s="2">
        <v>97.703299999999999</v>
      </c>
      <c r="P168" s="2">
        <v>238</v>
      </c>
      <c r="Q168" s="2">
        <v>99.982799999999997</v>
      </c>
      <c r="R168" s="2">
        <v>138</v>
      </c>
      <c r="S168" s="2">
        <v>98.034499999999994</v>
      </c>
      <c r="T168" s="2">
        <v>87</v>
      </c>
      <c r="U168" s="2">
        <v>0.49027100000000001</v>
      </c>
      <c r="V168" s="2">
        <v>167</v>
      </c>
      <c r="W168" s="2">
        <v>2009</v>
      </c>
    </row>
    <row r="169" spans="1:23" ht="12.3" x14ac:dyDescent="0.4">
      <c r="A169" s="2" t="s">
        <v>304</v>
      </c>
      <c r="B169" s="2"/>
      <c r="C169" s="2"/>
      <c r="D169" s="2"/>
      <c r="E169" s="2"/>
      <c r="F169" s="2"/>
      <c r="G169" s="2"/>
      <c r="H169" s="2"/>
      <c r="I169" s="2">
        <v>63.398299999999999</v>
      </c>
      <c r="J169" s="2">
        <v>287</v>
      </c>
      <c r="K169" s="2">
        <v>63.116599999999998</v>
      </c>
      <c r="L169" s="2">
        <v>297</v>
      </c>
      <c r="M169" s="2">
        <v>102.71599999999999</v>
      </c>
      <c r="N169" s="2">
        <v>148</v>
      </c>
      <c r="O169" s="2">
        <v>102.6742</v>
      </c>
      <c r="P169" s="2">
        <v>143</v>
      </c>
      <c r="Q169" s="2">
        <v>103.3779</v>
      </c>
      <c r="R169" s="2">
        <v>223</v>
      </c>
      <c r="S169" s="2">
        <v>103.16679999999999</v>
      </c>
      <c r="T169" s="2">
        <v>203</v>
      </c>
      <c r="U169" s="2">
        <v>0.48624400000000001</v>
      </c>
      <c r="V169" s="2">
        <v>168</v>
      </c>
      <c r="W169" s="2">
        <v>2009</v>
      </c>
    </row>
    <row r="170" spans="1:23" ht="12.3" x14ac:dyDescent="0.4">
      <c r="A170" s="2" t="s">
        <v>104</v>
      </c>
      <c r="B170" s="2"/>
      <c r="C170" s="2"/>
      <c r="D170" s="2"/>
      <c r="E170" s="2"/>
      <c r="F170" s="2"/>
      <c r="G170" s="2"/>
      <c r="H170" s="2"/>
      <c r="I170" s="2">
        <v>65.549099999999996</v>
      </c>
      <c r="J170" s="2">
        <v>202</v>
      </c>
      <c r="K170" s="2">
        <v>65.871099999999998</v>
      </c>
      <c r="L170" s="2">
        <v>190</v>
      </c>
      <c r="M170" s="2">
        <v>99.958399999999997</v>
      </c>
      <c r="N170" s="2">
        <v>197</v>
      </c>
      <c r="O170" s="2">
        <v>98.342399999999998</v>
      </c>
      <c r="P170" s="2">
        <v>228</v>
      </c>
      <c r="Q170" s="2">
        <v>99.679900000000004</v>
      </c>
      <c r="R170" s="2">
        <v>128</v>
      </c>
      <c r="S170" s="2">
        <v>98.834299999999999</v>
      </c>
      <c r="T170" s="2">
        <v>112</v>
      </c>
      <c r="U170" s="2">
        <v>0.48565700000000001</v>
      </c>
      <c r="V170" s="2">
        <v>169</v>
      </c>
      <c r="W170" s="2">
        <v>2009</v>
      </c>
    </row>
    <row r="171" spans="1:23" ht="12.3" x14ac:dyDescent="0.4">
      <c r="A171" s="2" t="s">
        <v>221</v>
      </c>
      <c r="B171" s="2"/>
      <c r="C171" s="2"/>
      <c r="D171" s="2"/>
      <c r="E171" s="2"/>
      <c r="F171" s="2"/>
      <c r="G171" s="2"/>
      <c r="H171" s="2"/>
      <c r="I171" s="2">
        <v>65.723799999999997</v>
      </c>
      <c r="J171" s="2">
        <v>195</v>
      </c>
      <c r="K171" s="2">
        <v>64.485900000000001</v>
      </c>
      <c r="L171" s="2">
        <v>257</v>
      </c>
      <c r="M171" s="2">
        <v>99.593800000000002</v>
      </c>
      <c r="N171" s="2">
        <v>205</v>
      </c>
      <c r="O171" s="2">
        <v>102.09139999999999</v>
      </c>
      <c r="P171" s="2">
        <v>153</v>
      </c>
      <c r="Q171" s="2">
        <v>102.1026</v>
      </c>
      <c r="R171" s="2">
        <v>195</v>
      </c>
      <c r="S171" s="2">
        <v>102.64879999999999</v>
      </c>
      <c r="T171" s="2">
        <v>187</v>
      </c>
      <c r="U171" s="2">
        <v>0.48435</v>
      </c>
      <c r="V171" s="2">
        <v>170</v>
      </c>
      <c r="W171" s="2">
        <v>2009</v>
      </c>
    </row>
    <row r="172" spans="1:23" ht="12.3" x14ac:dyDescent="0.4">
      <c r="A172" s="2" t="s">
        <v>243</v>
      </c>
      <c r="B172" s="2"/>
      <c r="C172" s="2"/>
      <c r="D172" s="2"/>
      <c r="E172" s="2"/>
      <c r="F172" s="2"/>
      <c r="G172" s="2"/>
      <c r="H172" s="2"/>
      <c r="I172" s="2">
        <v>67.8048</v>
      </c>
      <c r="J172" s="2">
        <v>115</v>
      </c>
      <c r="K172" s="2">
        <v>67.930899999999994</v>
      </c>
      <c r="L172" s="2">
        <v>103</v>
      </c>
      <c r="M172" s="2">
        <v>96.517899999999997</v>
      </c>
      <c r="N172" s="2">
        <v>263</v>
      </c>
      <c r="O172" s="2">
        <v>96.279200000000003</v>
      </c>
      <c r="P172" s="2">
        <v>258</v>
      </c>
      <c r="Q172" s="2">
        <v>96.6006</v>
      </c>
      <c r="R172" s="2">
        <v>69</v>
      </c>
      <c r="S172" s="2">
        <v>96.840699999999998</v>
      </c>
      <c r="T172" s="2">
        <v>67</v>
      </c>
      <c r="U172" s="2">
        <v>0.483288</v>
      </c>
      <c r="V172" s="2">
        <v>171</v>
      </c>
      <c r="W172" s="2">
        <v>2009</v>
      </c>
    </row>
    <row r="173" spans="1:23" ht="12.3" x14ac:dyDescent="0.4">
      <c r="A173" s="2" t="s">
        <v>234</v>
      </c>
      <c r="B173" s="2"/>
      <c r="C173" s="2"/>
      <c r="D173" s="2"/>
      <c r="E173" s="2"/>
      <c r="F173" s="2"/>
      <c r="G173" s="2"/>
      <c r="H173" s="2"/>
      <c r="I173" s="2">
        <v>62.222200000000001</v>
      </c>
      <c r="J173" s="2">
        <v>310</v>
      </c>
      <c r="K173" s="2">
        <v>62.687100000000001</v>
      </c>
      <c r="L173" s="2">
        <v>306</v>
      </c>
      <c r="M173" s="2">
        <v>104.83069999999999</v>
      </c>
      <c r="N173" s="2">
        <v>108</v>
      </c>
      <c r="O173" s="2">
        <v>102.7726</v>
      </c>
      <c r="P173" s="2">
        <v>142</v>
      </c>
      <c r="Q173" s="2">
        <v>103.3429</v>
      </c>
      <c r="R173" s="2">
        <v>222</v>
      </c>
      <c r="S173" s="2">
        <v>103.38720000000001</v>
      </c>
      <c r="T173" s="2">
        <v>210</v>
      </c>
      <c r="U173" s="2">
        <v>0.48286400000000002</v>
      </c>
      <c r="V173" s="2">
        <v>172</v>
      </c>
      <c r="W173" s="2">
        <v>2009</v>
      </c>
    </row>
    <row r="174" spans="1:23" ht="12.3" x14ac:dyDescent="0.4">
      <c r="A174" s="2" t="s">
        <v>41</v>
      </c>
      <c r="B174" s="2"/>
      <c r="C174" s="2"/>
      <c r="D174" s="2"/>
      <c r="E174" s="2"/>
      <c r="F174" s="2"/>
      <c r="G174" s="2"/>
      <c r="H174" s="2"/>
      <c r="I174" s="2">
        <v>68.642200000000003</v>
      </c>
      <c r="J174" s="2">
        <v>96</v>
      </c>
      <c r="K174" s="2">
        <v>69.025800000000004</v>
      </c>
      <c r="L174" s="2">
        <v>66</v>
      </c>
      <c r="M174" s="2">
        <v>97.242500000000007</v>
      </c>
      <c r="N174" s="2">
        <v>245</v>
      </c>
      <c r="O174" s="2">
        <v>102.3336</v>
      </c>
      <c r="P174" s="2">
        <v>149</v>
      </c>
      <c r="Q174" s="2">
        <v>110.4226</v>
      </c>
      <c r="R174" s="2">
        <v>332</v>
      </c>
      <c r="S174" s="2">
        <v>102.9753</v>
      </c>
      <c r="T174" s="2">
        <v>194</v>
      </c>
      <c r="U174" s="2">
        <v>0.48203600000000002</v>
      </c>
      <c r="V174" s="2">
        <v>173</v>
      </c>
      <c r="W174" s="2">
        <v>2009</v>
      </c>
    </row>
    <row r="175" spans="1:23" ht="12.3" x14ac:dyDescent="0.4">
      <c r="A175" s="2" t="s">
        <v>324</v>
      </c>
      <c r="B175" s="2"/>
      <c r="C175" s="2"/>
      <c r="D175" s="2"/>
      <c r="E175" s="2"/>
      <c r="F175" s="2"/>
      <c r="G175" s="2"/>
      <c r="H175" s="2"/>
      <c r="I175" s="2">
        <v>61.542900000000003</v>
      </c>
      <c r="J175" s="2">
        <v>321</v>
      </c>
      <c r="K175" s="2">
        <v>60.589399999999998</v>
      </c>
      <c r="L175" s="2">
        <v>331</v>
      </c>
      <c r="M175" s="2">
        <v>114.15730000000001</v>
      </c>
      <c r="N175" s="2">
        <v>7</v>
      </c>
      <c r="O175" s="2">
        <v>109.9482</v>
      </c>
      <c r="P175" s="2">
        <v>44</v>
      </c>
      <c r="Q175" s="2">
        <v>108.35420000000001</v>
      </c>
      <c r="R175" s="2">
        <v>310</v>
      </c>
      <c r="S175" s="2">
        <v>110.64830000000001</v>
      </c>
      <c r="T175" s="2">
        <v>318</v>
      </c>
      <c r="U175" s="2">
        <v>0.48176000000000002</v>
      </c>
      <c r="V175" s="2">
        <v>174</v>
      </c>
      <c r="W175" s="2">
        <v>2009</v>
      </c>
    </row>
    <row r="176" spans="1:23" ht="12.3" x14ac:dyDescent="0.4">
      <c r="A176" s="2" t="s">
        <v>178</v>
      </c>
      <c r="B176" s="2"/>
      <c r="C176" s="2"/>
      <c r="D176" s="2"/>
      <c r="E176" s="2"/>
      <c r="F176" s="2"/>
      <c r="G176" s="2"/>
      <c r="H176" s="2"/>
      <c r="I176" s="2">
        <v>65.168199999999999</v>
      </c>
      <c r="J176" s="2">
        <v>220</v>
      </c>
      <c r="K176" s="2">
        <v>65.409199999999998</v>
      </c>
      <c r="L176" s="2">
        <v>215</v>
      </c>
      <c r="M176" s="2">
        <v>98.858900000000006</v>
      </c>
      <c r="N176" s="2">
        <v>216</v>
      </c>
      <c r="O176" s="2">
        <v>97.7577</v>
      </c>
      <c r="P176" s="2">
        <v>236</v>
      </c>
      <c r="Q176" s="2">
        <v>94.692099999999996</v>
      </c>
      <c r="R176" s="2">
        <v>36</v>
      </c>
      <c r="S176" s="2">
        <v>98.478300000000004</v>
      </c>
      <c r="T176" s="2">
        <v>97</v>
      </c>
      <c r="U176" s="2">
        <v>0.47889700000000002</v>
      </c>
      <c r="V176" s="2">
        <v>175</v>
      </c>
      <c r="W176" s="2">
        <v>2009</v>
      </c>
    </row>
    <row r="177" spans="1:23" ht="12.3" x14ac:dyDescent="0.4">
      <c r="A177" s="2" t="s">
        <v>179</v>
      </c>
      <c r="B177" s="2"/>
      <c r="C177" s="2"/>
      <c r="D177" s="2"/>
      <c r="E177" s="2"/>
      <c r="F177" s="2"/>
      <c r="G177" s="2"/>
      <c r="H177" s="2"/>
      <c r="I177" s="2">
        <v>62.566099999999999</v>
      </c>
      <c r="J177" s="2">
        <v>301</v>
      </c>
      <c r="K177" s="2">
        <v>62.654400000000003</v>
      </c>
      <c r="L177" s="2">
        <v>307</v>
      </c>
      <c r="M177" s="2">
        <v>105.16679999999999</v>
      </c>
      <c r="N177" s="2">
        <v>102</v>
      </c>
      <c r="O177" s="2">
        <v>102.43389999999999</v>
      </c>
      <c r="P177" s="2">
        <v>148</v>
      </c>
      <c r="Q177" s="2">
        <v>102.71</v>
      </c>
      <c r="R177" s="2">
        <v>207</v>
      </c>
      <c r="S177" s="2">
        <v>103.3085</v>
      </c>
      <c r="T177" s="2">
        <v>207</v>
      </c>
      <c r="U177" s="2">
        <v>0.47557700000000003</v>
      </c>
      <c r="V177" s="2">
        <v>176</v>
      </c>
      <c r="W177" s="2">
        <v>2009</v>
      </c>
    </row>
    <row r="178" spans="1:23" ht="12.3" x14ac:dyDescent="0.4">
      <c r="A178" s="2" t="s">
        <v>336</v>
      </c>
      <c r="B178" s="2"/>
      <c r="C178" s="2"/>
      <c r="D178" s="2"/>
      <c r="E178" s="2"/>
      <c r="F178" s="2"/>
      <c r="G178" s="2"/>
      <c r="H178" s="2"/>
      <c r="I178" s="2">
        <v>63.1783</v>
      </c>
      <c r="J178" s="2">
        <v>290</v>
      </c>
      <c r="K178" s="2">
        <v>64.010199999999998</v>
      </c>
      <c r="L178" s="2">
        <v>269</v>
      </c>
      <c r="M178" s="2">
        <v>98.885599999999997</v>
      </c>
      <c r="N178" s="2">
        <v>215</v>
      </c>
      <c r="O178" s="2">
        <v>97.285399999999996</v>
      </c>
      <c r="P178" s="2">
        <v>241</v>
      </c>
      <c r="Q178" s="2">
        <v>94.705299999999994</v>
      </c>
      <c r="R178" s="2">
        <v>37</v>
      </c>
      <c r="S178" s="2">
        <v>98.525599999999997</v>
      </c>
      <c r="T178" s="2">
        <v>101</v>
      </c>
      <c r="U178" s="2">
        <v>0.46364499999999997</v>
      </c>
      <c r="V178" s="2">
        <v>177</v>
      </c>
      <c r="W178" s="2">
        <v>2009</v>
      </c>
    </row>
    <row r="179" spans="1:23" ht="12.3" x14ac:dyDescent="0.4">
      <c r="A179" s="2" t="s">
        <v>133</v>
      </c>
      <c r="B179" s="2"/>
      <c r="C179" s="2"/>
      <c r="D179" s="2"/>
      <c r="E179" s="2"/>
      <c r="F179" s="2"/>
      <c r="G179" s="2"/>
      <c r="H179" s="2"/>
      <c r="I179" s="2">
        <v>62.549199999999999</v>
      </c>
      <c r="J179" s="2">
        <v>302</v>
      </c>
      <c r="K179" s="2">
        <v>63.152200000000001</v>
      </c>
      <c r="L179" s="2">
        <v>295</v>
      </c>
      <c r="M179" s="2">
        <v>95.888199999999998</v>
      </c>
      <c r="N179" s="2">
        <v>271</v>
      </c>
      <c r="O179" s="2">
        <v>96.238799999999998</v>
      </c>
      <c r="P179" s="2">
        <v>259</v>
      </c>
      <c r="Q179" s="2">
        <v>98.323499999999996</v>
      </c>
      <c r="R179" s="2">
        <v>99</v>
      </c>
      <c r="S179" s="2">
        <v>97.483000000000004</v>
      </c>
      <c r="T179" s="2">
        <v>75</v>
      </c>
      <c r="U179" s="2">
        <v>0.46313700000000002</v>
      </c>
      <c r="V179" s="2">
        <v>178</v>
      </c>
      <c r="W179" s="2">
        <v>2009</v>
      </c>
    </row>
    <row r="180" spans="1:23" ht="12.3" x14ac:dyDescent="0.4">
      <c r="A180" s="2" t="s">
        <v>139</v>
      </c>
      <c r="B180" s="2"/>
      <c r="C180" s="2"/>
      <c r="D180" s="2"/>
      <c r="E180" s="2"/>
      <c r="F180" s="2"/>
      <c r="G180" s="2"/>
      <c r="H180" s="2"/>
      <c r="I180" s="2">
        <v>66.705399999999997</v>
      </c>
      <c r="J180" s="2">
        <v>152</v>
      </c>
      <c r="K180" s="2">
        <v>66.514499999999998</v>
      </c>
      <c r="L180" s="2">
        <v>161</v>
      </c>
      <c r="M180" s="2">
        <v>96.686700000000002</v>
      </c>
      <c r="N180" s="2">
        <v>257</v>
      </c>
      <c r="O180" s="2">
        <v>95.815100000000001</v>
      </c>
      <c r="P180" s="2">
        <v>265</v>
      </c>
      <c r="Q180" s="2">
        <v>95.9255</v>
      </c>
      <c r="R180" s="2">
        <v>54</v>
      </c>
      <c r="S180" s="2">
        <v>97.073999999999998</v>
      </c>
      <c r="T180" s="2">
        <v>69</v>
      </c>
      <c r="U180" s="2">
        <v>0.46254200000000001</v>
      </c>
      <c r="V180" s="2">
        <v>179</v>
      </c>
      <c r="W180" s="2">
        <v>2009</v>
      </c>
    </row>
    <row r="181" spans="1:23" ht="12.3" x14ac:dyDescent="0.4">
      <c r="A181" s="2" t="s">
        <v>188</v>
      </c>
      <c r="B181" s="2"/>
      <c r="C181" s="2"/>
      <c r="D181" s="2"/>
      <c r="E181" s="2"/>
      <c r="F181" s="2"/>
      <c r="G181" s="2"/>
      <c r="H181" s="2"/>
      <c r="I181" s="2">
        <v>66.727400000000003</v>
      </c>
      <c r="J181" s="2">
        <v>150</v>
      </c>
      <c r="K181" s="2">
        <v>67.096000000000004</v>
      </c>
      <c r="L181" s="2">
        <v>137</v>
      </c>
      <c r="M181" s="2">
        <v>103.5384</v>
      </c>
      <c r="N181" s="2">
        <v>132</v>
      </c>
      <c r="O181" s="2">
        <v>102.79389999999999</v>
      </c>
      <c r="P181" s="2">
        <v>140</v>
      </c>
      <c r="Q181" s="2">
        <v>105.25830000000001</v>
      </c>
      <c r="R181" s="2">
        <v>256</v>
      </c>
      <c r="S181" s="2">
        <v>104.2054</v>
      </c>
      <c r="T181" s="2">
        <v>226</v>
      </c>
      <c r="U181" s="2">
        <v>0.46087099999999998</v>
      </c>
      <c r="V181" s="2">
        <v>180</v>
      </c>
      <c r="W181" s="2">
        <v>2009</v>
      </c>
    </row>
    <row r="182" spans="1:23" ht="12.3" x14ac:dyDescent="0.4">
      <c r="A182" s="2" t="s">
        <v>157</v>
      </c>
      <c r="B182" s="2"/>
      <c r="C182" s="2"/>
      <c r="D182" s="2"/>
      <c r="E182" s="2"/>
      <c r="F182" s="2"/>
      <c r="G182" s="2"/>
      <c r="H182" s="2"/>
      <c r="I182" s="2">
        <v>66.684899999999999</v>
      </c>
      <c r="J182" s="2">
        <v>153</v>
      </c>
      <c r="K182" s="2">
        <v>67.581900000000005</v>
      </c>
      <c r="L182" s="2">
        <v>117</v>
      </c>
      <c r="M182" s="2">
        <v>102.18729999999999</v>
      </c>
      <c r="N182" s="2">
        <v>159</v>
      </c>
      <c r="O182" s="2">
        <v>106.1396</v>
      </c>
      <c r="P182" s="2">
        <v>92</v>
      </c>
      <c r="Q182" s="2">
        <v>109.5342</v>
      </c>
      <c r="R182" s="2">
        <v>324</v>
      </c>
      <c r="S182" s="2">
        <v>107.62430000000001</v>
      </c>
      <c r="T182" s="2">
        <v>290</v>
      </c>
      <c r="U182" s="2">
        <v>0.460148</v>
      </c>
      <c r="V182" s="2">
        <v>181</v>
      </c>
      <c r="W182" s="2">
        <v>2009</v>
      </c>
    </row>
    <row r="183" spans="1:23" ht="12.3" x14ac:dyDescent="0.4">
      <c r="A183" s="2" t="s">
        <v>316</v>
      </c>
      <c r="B183" s="2"/>
      <c r="C183" s="2"/>
      <c r="D183" s="2"/>
      <c r="E183" s="2"/>
      <c r="F183" s="2"/>
      <c r="G183" s="2"/>
      <c r="H183" s="2"/>
      <c r="I183" s="2">
        <v>68.777500000000003</v>
      </c>
      <c r="J183" s="2">
        <v>90</v>
      </c>
      <c r="K183" s="2">
        <v>69.068299999999994</v>
      </c>
      <c r="L183" s="2">
        <v>64</v>
      </c>
      <c r="M183" s="2">
        <v>106.1028</v>
      </c>
      <c r="N183" s="2">
        <v>86</v>
      </c>
      <c r="O183" s="2">
        <v>102.90049999999999</v>
      </c>
      <c r="P183" s="2">
        <v>138</v>
      </c>
      <c r="Q183" s="2">
        <v>100.5984</v>
      </c>
      <c r="R183" s="2">
        <v>153</v>
      </c>
      <c r="S183" s="2">
        <v>104.3442</v>
      </c>
      <c r="T183" s="2">
        <v>233</v>
      </c>
      <c r="U183" s="2">
        <v>0.46003100000000002</v>
      </c>
      <c r="V183" s="2">
        <v>182</v>
      </c>
      <c r="W183" s="2">
        <v>2009</v>
      </c>
    </row>
    <row r="184" spans="1:23" ht="12.3" x14ac:dyDescent="0.4">
      <c r="A184" s="2" t="s">
        <v>199</v>
      </c>
      <c r="B184" s="2"/>
      <c r="C184" s="2"/>
      <c r="D184" s="2"/>
      <c r="E184" s="2"/>
      <c r="F184" s="2"/>
      <c r="G184" s="2"/>
      <c r="H184" s="2"/>
      <c r="I184" s="2">
        <v>61.369900000000001</v>
      </c>
      <c r="J184" s="2">
        <v>324</v>
      </c>
      <c r="K184" s="2">
        <v>62.439</v>
      </c>
      <c r="L184" s="2">
        <v>311</v>
      </c>
      <c r="M184" s="2">
        <v>103.7629</v>
      </c>
      <c r="N184" s="2">
        <v>127</v>
      </c>
      <c r="O184" s="2">
        <v>101.6563</v>
      </c>
      <c r="P184" s="2">
        <v>159</v>
      </c>
      <c r="Q184" s="2">
        <v>104.315</v>
      </c>
      <c r="R184" s="2">
        <v>240</v>
      </c>
      <c r="S184" s="2">
        <v>103.1717</v>
      </c>
      <c r="T184" s="2">
        <v>204</v>
      </c>
      <c r="U184" s="2">
        <v>0.45756200000000002</v>
      </c>
      <c r="V184" s="2">
        <v>183</v>
      </c>
      <c r="W184" s="2">
        <v>2009</v>
      </c>
    </row>
    <row r="185" spans="1:23" ht="12.3" x14ac:dyDescent="0.4">
      <c r="A185" s="2" t="s">
        <v>228</v>
      </c>
      <c r="B185" s="2"/>
      <c r="C185" s="2"/>
      <c r="D185" s="2"/>
      <c r="E185" s="2"/>
      <c r="F185" s="2"/>
      <c r="G185" s="2"/>
      <c r="H185" s="2"/>
      <c r="I185" s="2">
        <v>65.335599999999999</v>
      </c>
      <c r="J185" s="2">
        <v>212</v>
      </c>
      <c r="K185" s="2">
        <v>64.502200000000002</v>
      </c>
      <c r="L185" s="2">
        <v>256</v>
      </c>
      <c r="M185" s="2">
        <v>105.9819</v>
      </c>
      <c r="N185" s="2">
        <v>87</v>
      </c>
      <c r="O185" s="2">
        <v>102.7829</v>
      </c>
      <c r="P185" s="2">
        <v>141</v>
      </c>
      <c r="Q185" s="2">
        <v>101.6036</v>
      </c>
      <c r="R185" s="2">
        <v>181</v>
      </c>
      <c r="S185" s="2">
        <v>104.3377</v>
      </c>
      <c r="T185" s="2">
        <v>232</v>
      </c>
      <c r="U185" s="2">
        <v>0.45694099999999999</v>
      </c>
      <c r="V185" s="2">
        <v>184</v>
      </c>
      <c r="W185" s="2">
        <v>2009</v>
      </c>
    </row>
    <row r="186" spans="1:23" ht="12.3" x14ac:dyDescent="0.4">
      <c r="A186" s="2" t="s">
        <v>297</v>
      </c>
      <c r="B186" s="2">
        <v>16</v>
      </c>
      <c r="C186" s="2"/>
      <c r="D186" s="2"/>
      <c r="E186" s="2"/>
      <c r="F186" s="2"/>
      <c r="G186" s="2"/>
      <c r="H186" s="2"/>
      <c r="I186" s="2">
        <v>66.169399999999996</v>
      </c>
      <c r="J186" s="2">
        <v>177</v>
      </c>
      <c r="K186" s="2">
        <v>64.518799999999999</v>
      </c>
      <c r="L186" s="2">
        <v>255</v>
      </c>
      <c r="M186" s="2">
        <v>105.2414</v>
      </c>
      <c r="N186" s="2">
        <v>98</v>
      </c>
      <c r="O186" s="2">
        <v>101.0658</v>
      </c>
      <c r="P186" s="2">
        <v>176</v>
      </c>
      <c r="Q186" s="2">
        <v>96.465000000000003</v>
      </c>
      <c r="R186" s="2">
        <v>66</v>
      </c>
      <c r="S186" s="2">
        <v>102.7761</v>
      </c>
      <c r="T186" s="2">
        <v>190</v>
      </c>
      <c r="U186" s="2">
        <v>0.451903</v>
      </c>
      <c r="V186" s="2">
        <v>185</v>
      </c>
      <c r="W186" s="2">
        <v>2009</v>
      </c>
    </row>
    <row r="187" spans="1:23" ht="12.3" x14ac:dyDescent="0.4">
      <c r="A187" s="2" t="s">
        <v>151</v>
      </c>
      <c r="B187" s="2"/>
      <c r="C187" s="2"/>
      <c r="D187" s="2"/>
      <c r="E187" s="2"/>
      <c r="F187" s="2"/>
      <c r="G187" s="2"/>
      <c r="H187" s="2"/>
      <c r="I187" s="2">
        <v>64.907600000000002</v>
      </c>
      <c r="J187" s="2">
        <v>240</v>
      </c>
      <c r="K187" s="2">
        <v>65.999399999999994</v>
      </c>
      <c r="L187" s="2">
        <v>182</v>
      </c>
      <c r="M187" s="2">
        <v>99.652000000000001</v>
      </c>
      <c r="N187" s="2">
        <v>203</v>
      </c>
      <c r="O187" s="2">
        <v>99.630099999999999</v>
      </c>
      <c r="P187" s="2">
        <v>208</v>
      </c>
      <c r="Q187" s="2">
        <v>100.0645</v>
      </c>
      <c r="R187" s="2">
        <v>141</v>
      </c>
      <c r="S187" s="2">
        <v>101.4243</v>
      </c>
      <c r="T187" s="2">
        <v>167</v>
      </c>
      <c r="U187" s="2">
        <v>0.44886599999999999</v>
      </c>
      <c r="V187" s="2">
        <v>186</v>
      </c>
      <c r="W187" s="2">
        <v>2009</v>
      </c>
    </row>
    <row r="188" spans="1:23" ht="12.3" x14ac:dyDescent="0.4">
      <c r="A188" s="2" t="s">
        <v>267</v>
      </c>
      <c r="B188" s="2"/>
      <c r="C188" s="2"/>
      <c r="D188" s="2"/>
      <c r="E188" s="2"/>
      <c r="F188" s="2"/>
      <c r="G188" s="2"/>
      <c r="H188" s="2"/>
      <c r="I188" s="2">
        <v>63.403799999999997</v>
      </c>
      <c r="J188" s="2">
        <v>286</v>
      </c>
      <c r="K188" s="2">
        <v>64.485200000000006</v>
      </c>
      <c r="L188" s="2">
        <v>258</v>
      </c>
      <c r="M188" s="2">
        <v>97.963999999999999</v>
      </c>
      <c r="N188" s="2">
        <v>230</v>
      </c>
      <c r="O188" s="2">
        <v>102.5299</v>
      </c>
      <c r="P188" s="2">
        <v>145</v>
      </c>
      <c r="Q188" s="2">
        <v>106.2162</v>
      </c>
      <c r="R188" s="2">
        <v>272</v>
      </c>
      <c r="S188" s="2">
        <v>104.4196</v>
      </c>
      <c r="T188" s="2">
        <v>234</v>
      </c>
      <c r="U188" s="2">
        <v>0.447687</v>
      </c>
      <c r="V188" s="2">
        <v>187</v>
      </c>
      <c r="W188" s="2">
        <v>2009</v>
      </c>
    </row>
    <row r="189" spans="1:23" ht="12.3" x14ac:dyDescent="0.4">
      <c r="A189" s="2" t="s">
        <v>287</v>
      </c>
      <c r="B189" s="2"/>
      <c r="C189" s="2"/>
      <c r="D189" s="2"/>
      <c r="E189" s="2"/>
      <c r="F189" s="2"/>
      <c r="G189" s="2"/>
      <c r="H189" s="2"/>
      <c r="I189" s="2">
        <v>65.255300000000005</v>
      </c>
      <c r="J189" s="2">
        <v>215</v>
      </c>
      <c r="K189" s="2">
        <v>63.9696</v>
      </c>
      <c r="L189" s="2">
        <v>272</v>
      </c>
      <c r="M189" s="2">
        <v>105.5647</v>
      </c>
      <c r="N189" s="2">
        <v>93</v>
      </c>
      <c r="O189" s="2">
        <v>100.7452</v>
      </c>
      <c r="P189" s="2">
        <v>186</v>
      </c>
      <c r="Q189" s="2">
        <v>102.5804</v>
      </c>
      <c r="R189" s="2">
        <v>204</v>
      </c>
      <c r="S189" s="2">
        <v>102.70269999999999</v>
      </c>
      <c r="T189" s="2">
        <v>188</v>
      </c>
      <c r="U189" s="2">
        <v>0.44489899999999999</v>
      </c>
      <c r="V189" s="2">
        <v>188</v>
      </c>
      <c r="W189" s="2">
        <v>2009</v>
      </c>
    </row>
    <row r="190" spans="1:23" ht="12.3" x14ac:dyDescent="0.4">
      <c r="A190" s="2" t="s">
        <v>346</v>
      </c>
      <c r="B190" s="2"/>
      <c r="C190" s="2"/>
      <c r="D190" s="2"/>
      <c r="E190" s="2"/>
      <c r="F190" s="2"/>
      <c r="G190" s="2"/>
      <c r="H190" s="2"/>
      <c r="I190" s="2">
        <v>66.726399999999998</v>
      </c>
      <c r="J190" s="2">
        <v>151</v>
      </c>
      <c r="K190" s="2">
        <v>65.757199999999997</v>
      </c>
      <c r="L190" s="2">
        <v>195</v>
      </c>
      <c r="M190" s="2">
        <v>106.9525</v>
      </c>
      <c r="N190" s="2">
        <v>77</v>
      </c>
      <c r="O190" s="2">
        <v>105.3176</v>
      </c>
      <c r="P190" s="2">
        <v>98</v>
      </c>
      <c r="Q190" s="2">
        <v>104.13679999999999</v>
      </c>
      <c r="R190" s="2">
        <v>233</v>
      </c>
      <c r="S190" s="2">
        <v>107.4607</v>
      </c>
      <c r="T190" s="2">
        <v>289</v>
      </c>
      <c r="U190" s="2">
        <v>0.44234099999999998</v>
      </c>
      <c r="V190" s="2">
        <v>189</v>
      </c>
      <c r="W190" s="2">
        <v>2009</v>
      </c>
    </row>
    <row r="191" spans="1:23" ht="12.3" x14ac:dyDescent="0.4">
      <c r="A191" s="2" t="s">
        <v>185</v>
      </c>
      <c r="B191" s="2"/>
      <c r="C191" s="2"/>
      <c r="D191" s="2"/>
      <c r="E191" s="2"/>
      <c r="F191" s="2"/>
      <c r="G191" s="2"/>
      <c r="H191" s="2"/>
      <c r="I191" s="2">
        <v>69.879800000000003</v>
      </c>
      <c r="J191" s="2">
        <v>58</v>
      </c>
      <c r="K191" s="2">
        <v>69.663499999999999</v>
      </c>
      <c r="L191" s="2">
        <v>52</v>
      </c>
      <c r="M191" s="2">
        <v>101.4709</v>
      </c>
      <c r="N191" s="2">
        <v>169</v>
      </c>
      <c r="O191" s="2">
        <v>101.0792</v>
      </c>
      <c r="P191" s="2">
        <v>175</v>
      </c>
      <c r="Q191" s="2">
        <v>101.6118</v>
      </c>
      <c r="R191" s="2">
        <v>182</v>
      </c>
      <c r="S191" s="2">
        <v>103.16030000000001</v>
      </c>
      <c r="T191" s="2">
        <v>202</v>
      </c>
      <c r="U191" s="2">
        <v>0.44167299999999998</v>
      </c>
      <c r="V191" s="2">
        <v>190</v>
      </c>
      <c r="W191" s="2">
        <v>2009</v>
      </c>
    </row>
    <row r="192" spans="1:23" ht="12.3" x14ac:dyDescent="0.4">
      <c r="A192" s="2" t="s">
        <v>232</v>
      </c>
      <c r="B192" s="2"/>
      <c r="C192" s="2"/>
      <c r="D192" s="2"/>
      <c r="E192" s="2"/>
      <c r="F192" s="2"/>
      <c r="G192" s="2"/>
      <c r="H192" s="2"/>
      <c r="I192" s="2">
        <v>64.681100000000001</v>
      </c>
      <c r="J192" s="2">
        <v>251</v>
      </c>
      <c r="K192" s="2">
        <v>64.320099999999996</v>
      </c>
      <c r="L192" s="2">
        <v>264</v>
      </c>
      <c r="M192" s="2">
        <v>100.2193</v>
      </c>
      <c r="N192" s="2">
        <v>191</v>
      </c>
      <c r="O192" s="2">
        <v>100.5017</v>
      </c>
      <c r="P192" s="2">
        <v>191</v>
      </c>
      <c r="Q192" s="2">
        <v>104.2949</v>
      </c>
      <c r="R192" s="2">
        <v>239</v>
      </c>
      <c r="S192" s="2">
        <v>102.7807</v>
      </c>
      <c r="T192" s="2">
        <v>191</v>
      </c>
      <c r="U192" s="2">
        <v>0.43588900000000003</v>
      </c>
      <c r="V192" s="2">
        <v>191</v>
      </c>
      <c r="W192" s="2">
        <v>2009</v>
      </c>
    </row>
    <row r="193" spans="1:23" ht="12.3" x14ac:dyDescent="0.4">
      <c r="A193" s="2" t="s">
        <v>106</v>
      </c>
      <c r="B193" s="2"/>
      <c r="C193" s="2"/>
      <c r="D193" s="2"/>
      <c r="E193" s="2"/>
      <c r="F193" s="2"/>
      <c r="G193" s="2"/>
      <c r="H193" s="2"/>
      <c r="I193" s="2">
        <v>71.126000000000005</v>
      </c>
      <c r="J193" s="2">
        <v>32</v>
      </c>
      <c r="K193" s="2">
        <v>71.162099999999995</v>
      </c>
      <c r="L193" s="2">
        <v>22</v>
      </c>
      <c r="M193" s="2">
        <v>97.396799999999999</v>
      </c>
      <c r="N193" s="2">
        <v>241</v>
      </c>
      <c r="O193" s="2">
        <v>97.207999999999998</v>
      </c>
      <c r="P193" s="2">
        <v>243</v>
      </c>
      <c r="Q193" s="2">
        <v>98.911199999999994</v>
      </c>
      <c r="R193" s="2">
        <v>112</v>
      </c>
      <c r="S193" s="2">
        <v>99.462599999999995</v>
      </c>
      <c r="T193" s="2">
        <v>126</v>
      </c>
      <c r="U193" s="2">
        <v>0.43445899999999998</v>
      </c>
      <c r="V193" s="2">
        <v>192</v>
      </c>
      <c r="W193" s="2">
        <v>2009</v>
      </c>
    </row>
    <row r="194" spans="1:23" ht="12.3" x14ac:dyDescent="0.4">
      <c r="A194" s="2" t="s">
        <v>129</v>
      </c>
      <c r="B194" s="2"/>
      <c r="C194" s="2"/>
      <c r="D194" s="2"/>
      <c r="E194" s="2"/>
      <c r="F194" s="2"/>
      <c r="G194" s="2"/>
      <c r="H194" s="2"/>
      <c r="I194" s="2">
        <v>63.923499999999997</v>
      </c>
      <c r="J194" s="2">
        <v>271</v>
      </c>
      <c r="K194" s="2">
        <v>62.828499999999998</v>
      </c>
      <c r="L194" s="2">
        <v>304</v>
      </c>
      <c r="M194" s="2">
        <v>96.9619</v>
      </c>
      <c r="N194" s="2">
        <v>251</v>
      </c>
      <c r="O194" s="2">
        <v>98.954800000000006</v>
      </c>
      <c r="P194" s="2">
        <v>218</v>
      </c>
      <c r="Q194" s="2">
        <v>104.99079999999999</v>
      </c>
      <c r="R194" s="2">
        <v>253</v>
      </c>
      <c r="S194" s="2">
        <v>101.2694</v>
      </c>
      <c r="T194" s="2">
        <v>164</v>
      </c>
      <c r="U194" s="2">
        <v>0.433917</v>
      </c>
      <c r="V194" s="2">
        <v>193</v>
      </c>
      <c r="W194" s="2">
        <v>2009</v>
      </c>
    </row>
    <row r="195" spans="1:23" ht="12.3" x14ac:dyDescent="0.4">
      <c r="A195" s="2" t="s">
        <v>227</v>
      </c>
      <c r="B195" s="2"/>
      <c r="C195" s="2"/>
      <c r="D195" s="2"/>
      <c r="E195" s="2"/>
      <c r="F195" s="2"/>
      <c r="G195" s="2"/>
      <c r="H195" s="2"/>
      <c r="I195" s="2">
        <v>68.328699999999998</v>
      </c>
      <c r="J195" s="2">
        <v>102</v>
      </c>
      <c r="K195" s="2">
        <v>67.505799999999994</v>
      </c>
      <c r="L195" s="2">
        <v>120</v>
      </c>
      <c r="M195" s="2">
        <v>107.6772</v>
      </c>
      <c r="N195" s="2">
        <v>66</v>
      </c>
      <c r="O195" s="2">
        <v>104.6193</v>
      </c>
      <c r="P195" s="2">
        <v>112</v>
      </c>
      <c r="Q195" s="2">
        <v>107.74890000000001</v>
      </c>
      <c r="R195" s="2">
        <v>301</v>
      </c>
      <c r="S195" s="2">
        <v>107.2235</v>
      </c>
      <c r="T195" s="2">
        <v>284</v>
      </c>
      <c r="U195" s="2">
        <v>0.42978</v>
      </c>
      <c r="V195" s="2">
        <v>194</v>
      </c>
      <c r="W195" s="2">
        <v>2009</v>
      </c>
    </row>
    <row r="196" spans="1:23" ht="12.3" x14ac:dyDescent="0.4">
      <c r="A196" s="2" t="s">
        <v>294</v>
      </c>
      <c r="B196" s="2"/>
      <c r="C196" s="2"/>
      <c r="D196" s="2"/>
      <c r="E196" s="2"/>
      <c r="F196" s="2"/>
      <c r="G196" s="2"/>
      <c r="H196" s="2"/>
      <c r="I196" s="2">
        <v>62.389499999999998</v>
      </c>
      <c r="J196" s="2">
        <v>305</v>
      </c>
      <c r="K196" s="2">
        <v>63.591500000000003</v>
      </c>
      <c r="L196" s="2">
        <v>281</v>
      </c>
      <c r="M196" s="2">
        <v>101.3943</v>
      </c>
      <c r="N196" s="2">
        <v>171</v>
      </c>
      <c r="O196" s="2">
        <v>101.25839999999999</v>
      </c>
      <c r="P196" s="2">
        <v>169</v>
      </c>
      <c r="Q196" s="2">
        <v>106.6631</v>
      </c>
      <c r="R196" s="2">
        <v>283</v>
      </c>
      <c r="S196" s="2">
        <v>103.8022</v>
      </c>
      <c r="T196" s="2">
        <v>218</v>
      </c>
      <c r="U196" s="2">
        <v>0.429147</v>
      </c>
      <c r="V196" s="2">
        <v>195</v>
      </c>
      <c r="W196" s="2">
        <v>2009</v>
      </c>
    </row>
    <row r="197" spans="1:23" ht="12.3" x14ac:dyDescent="0.4">
      <c r="A197" s="2" t="s">
        <v>372</v>
      </c>
      <c r="B197" s="2"/>
      <c r="C197" s="2"/>
      <c r="D197" s="2"/>
      <c r="E197" s="2"/>
      <c r="F197" s="2"/>
      <c r="G197" s="2"/>
      <c r="H197" s="2"/>
      <c r="I197" s="2">
        <v>62.121000000000002</v>
      </c>
      <c r="J197" s="2">
        <v>313</v>
      </c>
      <c r="K197" s="2">
        <v>61.377099999999999</v>
      </c>
      <c r="L197" s="2">
        <v>321</v>
      </c>
      <c r="M197" s="2">
        <v>109.065</v>
      </c>
      <c r="N197" s="2">
        <v>45</v>
      </c>
      <c r="O197" s="2">
        <v>101.9611</v>
      </c>
      <c r="P197" s="2">
        <v>155</v>
      </c>
      <c r="Q197" s="2">
        <v>99.704700000000003</v>
      </c>
      <c r="R197" s="2">
        <v>129</v>
      </c>
      <c r="S197" s="2">
        <v>104.7317</v>
      </c>
      <c r="T197" s="2">
        <v>239</v>
      </c>
      <c r="U197" s="2">
        <v>0.42352600000000001</v>
      </c>
      <c r="V197" s="2">
        <v>196</v>
      </c>
      <c r="W197" s="2">
        <v>2009</v>
      </c>
    </row>
    <row r="198" spans="1:23" ht="12.3" x14ac:dyDescent="0.4">
      <c r="A198" s="2" t="s">
        <v>241</v>
      </c>
      <c r="B198" s="2"/>
      <c r="C198" s="2"/>
      <c r="D198" s="2"/>
      <c r="E198" s="2"/>
      <c r="F198" s="2"/>
      <c r="G198" s="2"/>
      <c r="H198" s="2"/>
      <c r="I198" s="2">
        <v>64.751400000000004</v>
      </c>
      <c r="J198" s="2">
        <v>249</v>
      </c>
      <c r="K198" s="2">
        <v>64.748199999999997</v>
      </c>
      <c r="L198" s="2">
        <v>243</v>
      </c>
      <c r="M198" s="2">
        <v>94.495199999999997</v>
      </c>
      <c r="N198" s="2">
        <v>288</v>
      </c>
      <c r="O198" s="2">
        <v>94.028899999999993</v>
      </c>
      <c r="P198" s="2">
        <v>288</v>
      </c>
      <c r="Q198" s="2">
        <v>96.366</v>
      </c>
      <c r="R198" s="2">
        <v>64</v>
      </c>
      <c r="S198" s="2">
        <v>96.784400000000005</v>
      </c>
      <c r="T198" s="2">
        <v>66</v>
      </c>
      <c r="U198" s="2">
        <v>0.417717</v>
      </c>
      <c r="V198" s="2">
        <v>197</v>
      </c>
      <c r="W198" s="2">
        <v>2009</v>
      </c>
    </row>
    <row r="199" spans="1:23" ht="12.3" x14ac:dyDescent="0.4">
      <c r="A199" s="2" t="s">
        <v>278</v>
      </c>
      <c r="B199" s="2"/>
      <c r="C199" s="2"/>
      <c r="D199" s="2"/>
      <c r="E199" s="2"/>
      <c r="F199" s="2"/>
      <c r="G199" s="2"/>
      <c r="H199" s="2"/>
      <c r="I199" s="2">
        <v>66.256100000000004</v>
      </c>
      <c r="J199" s="2">
        <v>170</v>
      </c>
      <c r="K199" s="2">
        <v>66.857399999999998</v>
      </c>
      <c r="L199" s="2">
        <v>150</v>
      </c>
      <c r="M199" s="2">
        <v>99.949200000000005</v>
      </c>
      <c r="N199" s="2">
        <v>198</v>
      </c>
      <c r="O199" s="2">
        <v>100.8103</v>
      </c>
      <c r="P199" s="2">
        <v>185</v>
      </c>
      <c r="Q199" s="2">
        <v>104.0869</v>
      </c>
      <c r="R199" s="2">
        <v>230</v>
      </c>
      <c r="S199" s="2">
        <v>103.85290000000001</v>
      </c>
      <c r="T199" s="2">
        <v>220</v>
      </c>
      <c r="U199" s="2">
        <v>0.41533799999999998</v>
      </c>
      <c r="V199" s="2">
        <v>198</v>
      </c>
      <c r="W199" s="2">
        <v>2009</v>
      </c>
    </row>
    <row r="200" spans="1:23" ht="12.3" x14ac:dyDescent="0.4">
      <c r="A200" s="2" t="s">
        <v>22</v>
      </c>
      <c r="B200" s="2"/>
      <c r="C200" s="2"/>
      <c r="D200" s="2"/>
      <c r="E200" s="2"/>
      <c r="F200" s="2"/>
      <c r="G200" s="2"/>
      <c r="H200" s="2"/>
      <c r="I200" s="2">
        <v>62.5379</v>
      </c>
      <c r="J200" s="2">
        <v>303</v>
      </c>
      <c r="K200" s="2">
        <v>63.645000000000003</v>
      </c>
      <c r="L200" s="2">
        <v>279</v>
      </c>
      <c r="M200" s="2">
        <v>96.693200000000004</v>
      </c>
      <c r="N200" s="2">
        <v>256</v>
      </c>
      <c r="O200" s="2">
        <v>97.985200000000006</v>
      </c>
      <c r="P200" s="2">
        <v>231</v>
      </c>
      <c r="Q200" s="2">
        <v>101.5822</v>
      </c>
      <c r="R200" s="2">
        <v>180</v>
      </c>
      <c r="S200" s="2">
        <v>100.99250000000001</v>
      </c>
      <c r="T200" s="2">
        <v>157</v>
      </c>
      <c r="U200" s="2">
        <v>0.41395500000000002</v>
      </c>
      <c r="V200" s="2">
        <v>199</v>
      </c>
      <c r="W200" s="2">
        <v>2009</v>
      </c>
    </row>
    <row r="201" spans="1:23" ht="12.3" x14ac:dyDescent="0.4">
      <c r="A201" s="2" t="s">
        <v>166</v>
      </c>
      <c r="B201" s="2">
        <v>16</v>
      </c>
      <c r="C201" s="2"/>
      <c r="D201" s="2"/>
      <c r="E201" s="2"/>
      <c r="F201" s="2"/>
      <c r="G201" s="2"/>
      <c r="H201" s="2"/>
      <c r="I201" s="2">
        <v>70.836299999999994</v>
      </c>
      <c r="J201" s="2">
        <v>37</v>
      </c>
      <c r="K201" s="2">
        <v>70.296099999999996</v>
      </c>
      <c r="L201" s="2">
        <v>36</v>
      </c>
      <c r="M201" s="2">
        <v>105.20489999999999</v>
      </c>
      <c r="N201" s="2">
        <v>100</v>
      </c>
      <c r="O201" s="2">
        <v>104.5025</v>
      </c>
      <c r="P201" s="2">
        <v>114</v>
      </c>
      <c r="Q201" s="2">
        <v>106.5386</v>
      </c>
      <c r="R201" s="2">
        <v>279</v>
      </c>
      <c r="S201" s="2">
        <v>107.8091</v>
      </c>
      <c r="T201" s="2">
        <v>293</v>
      </c>
      <c r="U201" s="2">
        <v>0.41138599999999997</v>
      </c>
      <c r="V201" s="2">
        <v>200</v>
      </c>
      <c r="W201" s="2">
        <v>2009</v>
      </c>
    </row>
    <row r="202" spans="1:23" ht="12.3" x14ac:dyDescent="0.4">
      <c r="A202" s="2" t="s">
        <v>286</v>
      </c>
      <c r="B202" s="2"/>
      <c r="C202" s="2"/>
      <c r="D202" s="2"/>
      <c r="E202" s="2"/>
      <c r="F202" s="2"/>
      <c r="G202" s="2"/>
      <c r="H202" s="2"/>
      <c r="I202" s="2">
        <v>57.432499999999997</v>
      </c>
      <c r="J202" s="2">
        <v>343</v>
      </c>
      <c r="K202" s="2">
        <v>57.395200000000003</v>
      </c>
      <c r="L202" s="2">
        <v>344</v>
      </c>
      <c r="M202" s="2">
        <v>103.95610000000001</v>
      </c>
      <c r="N202" s="2">
        <v>125</v>
      </c>
      <c r="O202" s="2">
        <v>101.56</v>
      </c>
      <c r="P202" s="2">
        <v>162</v>
      </c>
      <c r="Q202" s="2">
        <v>103.1651</v>
      </c>
      <c r="R202" s="2">
        <v>214</v>
      </c>
      <c r="S202" s="2">
        <v>104.815</v>
      </c>
      <c r="T202" s="2">
        <v>244</v>
      </c>
      <c r="U202" s="2">
        <v>0.41028500000000001</v>
      </c>
      <c r="V202" s="2">
        <v>201</v>
      </c>
      <c r="W202" s="2">
        <v>2009</v>
      </c>
    </row>
    <row r="203" spans="1:23" ht="12.3" x14ac:dyDescent="0.4">
      <c r="A203" s="2" t="s">
        <v>328</v>
      </c>
      <c r="B203" s="2"/>
      <c r="C203" s="2"/>
      <c r="D203" s="2"/>
      <c r="E203" s="2"/>
      <c r="F203" s="2"/>
      <c r="G203" s="2"/>
      <c r="H203" s="2"/>
      <c r="I203" s="2">
        <v>67.181100000000001</v>
      </c>
      <c r="J203" s="2">
        <v>135</v>
      </c>
      <c r="K203" s="2">
        <v>65.886399999999995</v>
      </c>
      <c r="L203" s="2">
        <v>189</v>
      </c>
      <c r="M203" s="2">
        <v>98.826400000000007</v>
      </c>
      <c r="N203" s="2">
        <v>218</v>
      </c>
      <c r="O203" s="2">
        <v>99.141599999999997</v>
      </c>
      <c r="P203" s="2">
        <v>217</v>
      </c>
      <c r="Q203" s="2">
        <v>101.0254</v>
      </c>
      <c r="R203" s="2">
        <v>163</v>
      </c>
      <c r="S203" s="2">
        <v>102.3419</v>
      </c>
      <c r="T203" s="2">
        <v>180</v>
      </c>
      <c r="U203" s="2">
        <v>0.40966200000000003</v>
      </c>
      <c r="V203" s="2">
        <v>202</v>
      </c>
      <c r="W203" s="2">
        <v>2009</v>
      </c>
    </row>
    <row r="204" spans="1:23" ht="12.3" x14ac:dyDescent="0.4">
      <c r="A204" s="2" t="s">
        <v>358</v>
      </c>
      <c r="B204" s="2"/>
      <c r="C204" s="2"/>
      <c r="D204" s="2"/>
      <c r="E204" s="2"/>
      <c r="F204" s="2"/>
      <c r="G204" s="2"/>
      <c r="H204" s="2"/>
      <c r="I204" s="2">
        <v>66.903999999999996</v>
      </c>
      <c r="J204" s="2">
        <v>145</v>
      </c>
      <c r="K204" s="2">
        <v>67.531099999999995</v>
      </c>
      <c r="L204" s="2">
        <v>119</v>
      </c>
      <c r="M204" s="2">
        <v>104.4871</v>
      </c>
      <c r="N204" s="2">
        <v>117</v>
      </c>
      <c r="O204" s="2">
        <v>101.4372</v>
      </c>
      <c r="P204" s="2">
        <v>165</v>
      </c>
      <c r="Q204" s="2">
        <v>105.4884</v>
      </c>
      <c r="R204" s="2">
        <v>261</v>
      </c>
      <c r="S204" s="2">
        <v>104.7544</v>
      </c>
      <c r="T204" s="2">
        <v>242</v>
      </c>
      <c r="U204" s="2">
        <v>0.408528</v>
      </c>
      <c r="V204" s="2">
        <v>203</v>
      </c>
      <c r="W204" s="2">
        <v>2009</v>
      </c>
    </row>
    <row r="205" spans="1:23" ht="12.3" x14ac:dyDescent="0.4">
      <c r="A205" s="2" t="s">
        <v>311</v>
      </c>
      <c r="B205" s="2"/>
      <c r="C205" s="2"/>
      <c r="D205" s="2"/>
      <c r="E205" s="2"/>
      <c r="F205" s="2"/>
      <c r="G205" s="2"/>
      <c r="H205" s="2"/>
      <c r="I205" s="2">
        <v>68.535200000000003</v>
      </c>
      <c r="J205" s="2">
        <v>99</v>
      </c>
      <c r="K205" s="2">
        <v>67.914199999999994</v>
      </c>
      <c r="L205" s="2">
        <v>104</v>
      </c>
      <c r="M205" s="2">
        <v>104.589</v>
      </c>
      <c r="N205" s="2">
        <v>116</v>
      </c>
      <c r="O205" s="2">
        <v>104.3582</v>
      </c>
      <c r="P205" s="2">
        <v>120</v>
      </c>
      <c r="Q205" s="2">
        <v>107.55329999999999</v>
      </c>
      <c r="R205" s="2">
        <v>299</v>
      </c>
      <c r="S205" s="2">
        <v>107.85299999999999</v>
      </c>
      <c r="T205" s="2">
        <v>294</v>
      </c>
      <c r="U205" s="2">
        <v>0.406414</v>
      </c>
      <c r="V205" s="2">
        <v>204</v>
      </c>
      <c r="W205" s="2">
        <v>2009</v>
      </c>
    </row>
    <row r="206" spans="1:23" ht="12.3" x14ac:dyDescent="0.4">
      <c r="A206" s="2" t="s">
        <v>140</v>
      </c>
      <c r="B206" s="2"/>
      <c r="C206" s="2"/>
      <c r="D206" s="2"/>
      <c r="E206" s="2"/>
      <c r="F206" s="2"/>
      <c r="G206" s="2"/>
      <c r="H206" s="2"/>
      <c r="I206" s="2">
        <v>64.913300000000007</v>
      </c>
      <c r="J206" s="2">
        <v>238</v>
      </c>
      <c r="K206" s="2">
        <v>64.666499999999999</v>
      </c>
      <c r="L206" s="2">
        <v>245</v>
      </c>
      <c r="M206" s="2">
        <v>97.807199999999995</v>
      </c>
      <c r="N206" s="2">
        <v>234</v>
      </c>
      <c r="O206" s="2">
        <v>101.12779999999999</v>
      </c>
      <c r="P206" s="2">
        <v>174</v>
      </c>
      <c r="Q206" s="2">
        <v>105.8694</v>
      </c>
      <c r="R206" s="2">
        <v>268</v>
      </c>
      <c r="S206" s="2">
        <v>104.67189999999999</v>
      </c>
      <c r="T206" s="2">
        <v>238</v>
      </c>
      <c r="U206" s="2">
        <v>0.40224500000000002</v>
      </c>
      <c r="V206" s="2">
        <v>205</v>
      </c>
      <c r="W206" s="2">
        <v>2009</v>
      </c>
    </row>
    <row r="207" spans="1:23" ht="12.3" x14ac:dyDescent="0.4">
      <c r="A207" s="2" t="s">
        <v>110</v>
      </c>
      <c r="B207" s="2"/>
      <c r="C207" s="2"/>
      <c r="D207" s="2"/>
      <c r="E207" s="2"/>
      <c r="F207" s="2"/>
      <c r="G207" s="2"/>
      <c r="H207" s="2"/>
      <c r="I207" s="2">
        <v>63.466200000000001</v>
      </c>
      <c r="J207" s="2">
        <v>283</v>
      </c>
      <c r="K207" s="2">
        <v>63.530299999999997</v>
      </c>
      <c r="L207" s="2">
        <v>284</v>
      </c>
      <c r="M207" s="2">
        <v>103.0904</v>
      </c>
      <c r="N207" s="2">
        <v>142</v>
      </c>
      <c r="O207" s="2">
        <v>103.6555</v>
      </c>
      <c r="P207" s="2">
        <v>130</v>
      </c>
      <c r="Q207" s="2">
        <v>108.14360000000001</v>
      </c>
      <c r="R207" s="2">
        <v>307</v>
      </c>
      <c r="S207" s="2">
        <v>107.3098</v>
      </c>
      <c r="T207" s="2">
        <v>286</v>
      </c>
      <c r="U207" s="2">
        <v>0.40168700000000002</v>
      </c>
      <c r="V207" s="2">
        <v>206</v>
      </c>
      <c r="W207" s="2">
        <v>2009</v>
      </c>
    </row>
    <row r="208" spans="1:23" ht="12.3" x14ac:dyDescent="0.4">
      <c r="A208" s="2" t="s">
        <v>19</v>
      </c>
      <c r="B208" s="2"/>
      <c r="C208" s="2"/>
      <c r="D208" s="2"/>
      <c r="E208" s="2"/>
      <c r="F208" s="2"/>
      <c r="G208" s="2"/>
      <c r="H208" s="2"/>
      <c r="I208" s="2">
        <v>70.173699999999997</v>
      </c>
      <c r="J208" s="2">
        <v>53</v>
      </c>
      <c r="K208" s="2">
        <v>68.856200000000001</v>
      </c>
      <c r="L208" s="2">
        <v>72</v>
      </c>
      <c r="M208" s="2">
        <v>91.347700000000003</v>
      </c>
      <c r="N208" s="2">
        <v>316</v>
      </c>
      <c r="O208" s="2">
        <v>94.695599999999999</v>
      </c>
      <c r="P208" s="2">
        <v>280</v>
      </c>
      <c r="Q208" s="2">
        <v>98.796999999999997</v>
      </c>
      <c r="R208" s="2">
        <v>108</v>
      </c>
      <c r="S208" s="2">
        <v>98.113500000000002</v>
      </c>
      <c r="T208" s="2">
        <v>89</v>
      </c>
      <c r="U208" s="2">
        <v>0.399449</v>
      </c>
      <c r="V208" s="2">
        <v>207</v>
      </c>
      <c r="W208" s="2">
        <v>2009</v>
      </c>
    </row>
    <row r="209" spans="1:23" ht="12.3" x14ac:dyDescent="0.4">
      <c r="A209" s="2" t="s">
        <v>174</v>
      </c>
      <c r="B209" s="2"/>
      <c r="C209" s="2"/>
      <c r="D209" s="2"/>
      <c r="E209" s="2"/>
      <c r="F209" s="2"/>
      <c r="G209" s="2"/>
      <c r="H209" s="2"/>
      <c r="I209" s="2">
        <v>67.596999999999994</v>
      </c>
      <c r="J209" s="2">
        <v>127</v>
      </c>
      <c r="K209" s="2">
        <v>67.822599999999994</v>
      </c>
      <c r="L209" s="2">
        <v>110</v>
      </c>
      <c r="M209" s="2">
        <v>99.932599999999994</v>
      </c>
      <c r="N209" s="2">
        <v>200</v>
      </c>
      <c r="O209" s="2">
        <v>101.3766</v>
      </c>
      <c r="P209" s="2">
        <v>166</v>
      </c>
      <c r="Q209" s="2">
        <v>103.04600000000001</v>
      </c>
      <c r="R209" s="2">
        <v>213</v>
      </c>
      <c r="S209" s="2">
        <v>105.2368</v>
      </c>
      <c r="T209" s="2">
        <v>252</v>
      </c>
      <c r="U209" s="2">
        <v>0.39418300000000001</v>
      </c>
      <c r="V209" s="2">
        <v>208</v>
      </c>
      <c r="W209" s="2">
        <v>2009</v>
      </c>
    </row>
    <row r="210" spans="1:23" ht="12.3" x14ac:dyDescent="0.4">
      <c r="A210" s="2" t="s">
        <v>340</v>
      </c>
      <c r="B210" s="2"/>
      <c r="C210" s="2"/>
      <c r="D210" s="2"/>
      <c r="E210" s="2"/>
      <c r="F210" s="2"/>
      <c r="G210" s="2"/>
      <c r="H210" s="2"/>
      <c r="I210" s="2">
        <v>67.742000000000004</v>
      </c>
      <c r="J210" s="2">
        <v>120</v>
      </c>
      <c r="K210" s="2">
        <v>66.943100000000001</v>
      </c>
      <c r="L210" s="2">
        <v>145</v>
      </c>
      <c r="M210" s="2">
        <v>98.942599999999999</v>
      </c>
      <c r="N210" s="2">
        <v>213</v>
      </c>
      <c r="O210" s="2">
        <v>102.1527</v>
      </c>
      <c r="P210" s="2">
        <v>152</v>
      </c>
      <c r="Q210" s="2">
        <v>105.4699</v>
      </c>
      <c r="R210" s="2">
        <v>260</v>
      </c>
      <c r="S210" s="2">
        <v>106.41630000000001</v>
      </c>
      <c r="T210" s="2">
        <v>274</v>
      </c>
      <c r="U210" s="2">
        <v>0.38455800000000001</v>
      </c>
      <c r="V210" s="2">
        <v>209</v>
      </c>
      <c r="W210" s="2">
        <v>2009</v>
      </c>
    </row>
    <row r="211" spans="1:23" ht="12.3" x14ac:dyDescent="0.4">
      <c r="A211" s="2" t="s">
        <v>354</v>
      </c>
      <c r="B211" s="2"/>
      <c r="C211" s="2"/>
      <c r="D211" s="2"/>
      <c r="E211" s="2"/>
      <c r="F211" s="2"/>
      <c r="G211" s="2"/>
      <c r="H211" s="2"/>
      <c r="I211" s="2">
        <v>75.7577</v>
      </c>
      <c r="J211" s="2">
        <v>5</v>
      </c>
      <c r="K211" s="2">
        <v>74.565899999999999</v>
      </c>
      <c r="L211" s="2">
        <v>5</v>
      </c>
      <c r="M211" s="2">
        <v>102.2462</v>
      </c>
      <c r="N211" s="2">
        <v>157</v>
      </c>
      <c r="O211" s="2">
        <v>100.9003</v>
      </c>
      <c r="P211" s="2">
        <v>181</v>
      </c>
      <c r="Q211" s="2">
        <v>103.76349999999999</v>
      </c>
      <c r="R211" s="2">
        <v>229</v>
      </c>
      <c r="S211" s="2">
        <v>105.19329999999999</v>
      </c>
      <c r="T211" s="2">
        <v>251</v>
      </c>
      <c r="U211" s="2">
        <v>0.38244800000000001</v>
      </c>
      <c r="V211" s="2">
        <v>210</v>
      </c>
      <c r="W211" s="2">
        <v>2009</v>
      </c>
    </row>
    <row r="212" spans="1:23" ht="12.3" x14ac:dyDescent="0.4">
      <c r="A212" s="2" t="s">
        <v>112</v>
      </c>
      <c r="B212" s="2"/>
      <c r="C212" s="2"/>
      <c r="D212" s="2"/>
      <c r="E212" s="2"/>
      <c r="F212" s="2"/>
      <c r="G212" s="2"/>
      <c r="H212" s="2"/>
      <c r="I212" s="2">
        <v>66.478499999999997</v>
      </c>
      <c r="J212" s="2">
        <v>160</v>
      </c>
      <c r="K212" s="2">
        <v>67.243399999999994</v>
      </c>
      <c r="L212" s="2">
        <v>130</v>
      </c>
      <c r="M212" s="2">
        <v>99.529200000000003</v>
      </c>
      <c r="N212" s="2">
        <v>207</v>
      </c>
      <c r="O212" s="2">
        <v>98.372600000000006</v>
      </c>
      <c r="P212" s="2">
        <v>227</v>
      </c>
      <c r="Q212" s="2">
        <v>103.7152</v>
      </c>
      <c r="R212" s="2">
        <v>228</v>
      </c>
      <c r="S212" s="2">
        <v>102.7149</v>
      </c>
      <c r="T212" s="2">
        <v>189</v>
      </c>
      <c r="U212" s="2">
        <v>0.37830799999999998</v>
      </c>
      <c r="V212" s="2">
        <v>211</v>
      </c>
      <c r="W212" s="2">
        <v>2009</v>
      </c>
    </row>
    <row r="213" spans="1:23" ht="12.3" x14ac:dyDescent="0.4">
      <c r="A213" s="2" t="s">
        <v>362</v>
      </c>
      <c r="B213" s="2"/>
      <c r="C213" s="2"/>
      <c r="D213" s="2"/>
      <c r="E213" s="2"/>
      <c r="F213" s="2"/>
      <c r="G213" s="2"/>
      <c r="H213" s="2"/>
      <c r="I213" s="2">
        <v>64.673100000000005</v>
      </c>
      <c r="J213" s="2">
        <v>253</v>
      </c>
      <c r="K213" s="2">
        <v>65.436899999999994</v>
      </c>
      <c r="L213" s="2">
        <v>213</v>
      </c>
      <c r="M213" s="2">
        <v>104.4365</v>
      </c>
      <c r="N213" s="2">
        <v>118</v>
      </c>
      <c r="O213" s="2">
        <v>102.83459999999999</v>
      </c>
      <c r="P213" s="2">
        <v>139</v>
      </c>
      <c r="Q213" s="2">
        <v>109.1931</v>
      </c>
      <c r="R213" s="2">
        <v>321</v>
      </c>
      <c r="S213" s="2">
        <v>107.44289999999999</v>
      </c>
      <c r="T213" s="2">
        <v>288</v>
      </c>
      <c r="U213" s="2">
        <v>0.37657000000000002</v>
      </c>
      <c r="V213" s="2">
        <v>212</v>
      </c>
      <c r="W213" s="2">
        <v>2009</v>
      </c>
    </row>
    <row r="214" spans="1:23" ht="12.3" x14ac:dyDescent="0.4">
      <c r="A214" s="2" t="s">
        <v>206</v>
      </c>
      <c r="B214" s="2"/>
      <c r="C214" s="2"/>
      <c r="D214" s="2"/>
      <c r="E214" s="2"/>
      <c r="F214" s="2"/>
      <c r="G214" s="2"/>
      <c r="H214" s="2"/>
      <c r="I214" s="2">
        <v>65.965199999999996</v>
      </c>
      <c r="J214" s="2">
        <v>183</v>
      </c>
      <c r="K214" s="2">
        <v>65.507599999999996</v>
      </c>
      <c r="L214" s="2">
        <v>210</v>
      </c>
      <c r="M214" s="2">
        <v>107.89879999999999</v>
      </c>
      <c r="N214" s="2">
        <v>61</v>
      </c>
      <c r="O214" s="2">
        <v>108.78440000000001</v>
      </c>
      <c r="P214" s="2">
        <v>57</v>
      </c>
      <c r="Q214" s="2">
        <v>114.55540000000001</v>
      </c>
      <c r="R214" s="2">
        <v>343</v>
      </c>
      <c r="S214" s="2">
        <v>113.75830000000001</v>
      </c>
      <c r="T214" s="2">
        <v>340</v>
      </c>
      <c r="U214" s="2">
        <v>0.37422299999999997</v>
      </c>
      <c r="V214" s="2">
        <v>213</v>
      </c>
      <c r="W214" s="2">
        <v>2009</v>
      </c>
    </row>
    <row r="215" spans="1:23" ht="12.3" x14ac:dyDescent="0.4">
      <c r="A215" s="2" t="s">
        <v>266</v>
      </c>
      <c r="B215" s="2"/>
      <c r="C215" s="2"/>
      <c r="D215" s="2"/>
      <c r="E215" s="2"/>
      <c r="F215" s="2"/>
      <c r="G215" s="2"/>
      <c r="H215" s="2"/>
      <c r="I215" s="2">
        <v>68.924700000000001</v>
      </c>
      <c r="J215" s="2">
        <v>82</v>
      </c>
      <c r="K215" s="2">
        <v>67.652100000000004</v>
      </c>
      <c r="L215" s="2">
        <v>115</v>
      </c>
      <c r="M215" s="2">
        <v>98.802899999999994</v>
      </c>
      <c r="N215" s="2">
        <v>220</v>
      </c>
      <c r="O215" s="2">
        <v>97.949100000000001</v>
      </c>
      <c r="P215" s="2">
        <v>233</v>
      </c>
      <c r="Q215" s="2">
        <v>104.4208</v>
      </c>
      <c r="R215" s="2">
        <v>242</v>
      </c>
      <c r="S215" s="2">
        <v>102.4528</v>
      </c>
      <c r="T215" s="2">
        <v>182</v>
      </c>
      <c r="U215" s="2">
        <v>0.37356099999999998</v>
      </c>
      <c r="V215" s="2">
        <v>214</v>
      </c>
      <c r="W215" s="2">
        <v>2009</v>
      </c>
    </row>
    <row r="216" spans="1:23" ht="12.3" x14ac:dyDescent="0.4">
      <c r="A216" s="2" t="s">
        <v>40</v>
      </c>
      <c r="B216" s="2"/>
      <c r="C216" s="2"/>
      <c r="D216" s="2"/>
      <c r="E216" s="2"/>
      <c r="F216" s="2"/>
      <c r="G216" s="2"/>
      <c r="H216" s="2"/>
      <c r="I216" s="2">
        <v>65.005799999999994</v>
      </c>
      <c r="J216" s="2">
        <v>232</v>
      </c>
      <c r="K216" s="2">
        <v>66.3934</v>
      </c>
      <c r="L216" s="2">
        <v>168</v>
      </c>
      <c r="M216" s="2">
        <v>91.221800000000002</v>
      </c>
      <c r="N216" s="2">
        <v>319</v>
      </c>
      <c r="O216" s="2">
        <v>97.940399999999997</v>
      </c>
      <c r="P216" s="2">
        <v>234</v>
      </c>
      <c r="Q216" s="2">
        <v>108.239</v>
      </c>
      <c r="R216" s="2">
        <v>309</v>
      </c>
      <c r="S216" s="2">
        <v>102.5151</v>
      </c>
      <c r="T216" s="2">
        <v>183</v>
      </c>
      <c r="U216" s="2">
        <v>0.37168600000000002</v>
      </c>
      <c r="V216" s="2">
        <v>215</v>
      </c>
      <c r="W216" s="2">
        <v>2009</v>
      </c>
    </row>
    <row r="217" spans="1:23" ht="12.3" x14ac:dyDescent="0.4">
      <c r="A217" s="2" t="s">
        <v>66</v>
      </c>
      <c r="B217" s="2"/>
      <c r="C217" s="2"/>
      <c r="D217" s="2"/>
      <c r="E217" s="2"/>
      <c r="F217" s="2"/>
      <c r="G217" s="2"/>
      <c r="H217" s="2"/>
      <c r="I217" s="2">
        <v>65.043800000000005</v>
      </c>
      <c r="J217" s="2">
        <v>229</v>
      </c>
      <c r="K217" s="2">
        <v>65.275899999999993</v>
      </c>
      <c r="L217" s="2">
        <v>223</v>
      </c>
      <c r="M217" s="2">
        <v>97.906800000000004</v>
      </c>
      <c r="N217" s="2">
        <v>231</v>
      </c>
      <c r="O217" s="2">
        <v>94.782499999999999</v>
      </c>
      <c r="P217" s="2">
        <v>279</v>
      </c>
      <c r="Q217" s="2">
        <v>99.7851</v>
      </c>
      <c r="R217" s="2">
        <v>134</v>
      </c>
      <c r="S217" s="2">
        <v>99.277600000000007</v>
      </c>
      <c r="T217" s="2">
        <v>123</v>
      </c>
      <c r="U217" s="2">
        <v>0.36985099999999999</v>
      </c>
      <c r="V217" s="2">
        <v>216</v>
      </c>
      <c r="W217" s="2">
        <v>2009</v>
      </c>
    </row>
    <row r="218" spans="1:23" ht="12.3" x14ac:dyDescent="0.4">
      <c r="A218" s="2" t="s">
        <v>279</v>
      </c>
      <c r="B218" s="2"/>
      <c r="C218" s="2"/>
      <c r="D218" s="2"/>
      <c r="E218" s="2"/>
      <c r="F218" s="2"/>
      <c r="G218" s="2"/>
      <c r="H218" s="2"/>
      <c r="I218" s="2">
        <v>63.5443</v>
      </c>
      <c r="J218" s="2">
        <v>280</v>
      </c>
      <c r="K218" s="2">
        <v>63.259399999999999</v>
      </c>
      <c r="L218" s="2">
        <v>291</v>
      </c>
      <c r="M218" s="2">
        <v>106.5925</v>
      </c>
      <c r="N218" s="2">
        <v>80</v>
      </c>
      <c r="O218" s="2">
        <v>104.73139999999999</v>
      </c>
      <c r="P218" s="2">
        <v>109</v>
      </c>
      <c r="Q218" s="2">
        <v>109.0124</v>
      </c>
      <c r="R218" s="2">
        <v>318</v>
      </c>
      <c r="S218" s="2">
        <v>109.8141</v>
      </c>
      <c r="T218" s="2">
        <v>315</v>
      </c>
      <c r="U218" s="2">
        <v>0.36703000000000002</v>
      </c>
      <c r="V218" s="2">
        <v>217</v>
      </c>
      <c r="W218" s="2">
        <v>2009</v>
      </c>
    </row>
    <row r="219" spans="1:23" ht="12.3" x14ac:dyDescent="0.4">
      <c r="A219" s="2" t="s">
        <v>207</v>
      </c>
      <c r="B219" s="2"/>
      <c r="C219" s="2"/>
      <c r="D219" s="2"/>
      <c r="E219" s="2"/>
      <c r="F219" s="2"/>
      <c r="G219" s="2"/>
      <c r="H219" s="2"/>
      <c r="I219" s="2">
        <v>66.396199999999993</v>
      </c>
      <c r="J219" s="2">
        <v>165</v>
      </c>
      <c r="K219" s="2">
        <v>65.864099999999993</v>
      </c>
      <c r="L219" s="2">
        <v>191</v>
      </c>
      <c r="M219" s="2">
        <v>96.435599999999994</v>
      </c>
      <c r="N219" s="2">
        <v>265</v>
      </c>
      <c r="O219" s="2">
        <v>99.404600000000002</v>
      </c>
      <c r="P219" s="2">
        <v>211</v>
      </c>
      <c r="Q219" s="2">
        <v>109.32429999999999</v>
      </c>
      <c r="R219" s="2">
        <v>323</v>
      </c>
      <c r="S219" s="2">
        <v>104.3356</v>
      </c>
      <c r="T219" s="2">
        <v>231</v>
      </c>
      <c r="U219" s="2">
        <v>0.36429600000000001</v>
      </c>
      <c r="V219" s="2">
        <v>218</v>
      </c>
      <c r="W219" s="2">
        <v>2009</v>
      </c>
    </row>
    <row r="220" spans="1:23" ht="12.3" x14ac:dyDescent="0.4">
      <c r="A220" s="2" t="s">
        <v>322</v>
      </c>
      <c r="B220" s="2"/>
      <c r="C220" s="2"/>
      <c r="D220" s="2"/>
      <c r="E220" s="2"/>
      <c r="F220" s="2"/>
      <c r="G220" s="2"/>
      <c r="H220" s="2"/>
      <c r="I220" s="2">
        <v>65.078400000000002</v>
      </c>
      <c r="J220" s="2">
        <v>223</v>
      </c>
      <c r="K220" s="2">
        <v>66.641199999999998</v>
      </c>
      <c r="L220" s="2">
        <v>159</v>
      </c>
      <c r="M220" s="2">
        <v>99.9739</v>
      </c>
      <c r="N220" s="2">
        <v>196</v>
      </c>
      <c r="O220" s="2">
        <v>100.9615</v>
      </c>
      <c r="P220" s="2">
        <v>180</v>
      </c>
      <c r="Q220" s="2">
        <v>106.67010000000001</v>
      </c>
      <c r="R220" s="2">
        <v>284</v>
      </c>
      <c r="S220" s="2">
        <v>105.9842</v>
      </c>
      <c r="T220" s="2">
        <v>267</v>
      </c>
      <c r="U220" s="2">
        <v>0.36393199999999998</v>
      </c>
      <c r="V220" s="2">
        <v>219</v>
      </c>
      <c r="W220" s="2">
        <v>2009</v>
      </c>
    </row>
    <row r="221" spans="1:23" ht="12.3" x14ac:dyDescent="0.4">
      <c r="A221" s="2" t="s">
        <v>317</v>
      </c>
      <c r="B221" s="2"/>
      <c r="C221" s="2"/>
      <c r="D221" s="2"/>
      <c r="E221" s="2"/>
      <c r="F221" s="2"/>
      <c r="G221" s="2"/>
      <c r="H221" s="2"/>
      <c r="I221" s="2">
        <v>66.205799999999996</v>
      </c>
      <c r="J221" s="2">
        <v>174</v>
      </c>
      <c r="K221" s="2">
        <v>67.074299999999994</v>
      </c>
      <c r="L221" s="2">
        <v>140</v>
      </c>
      <c r="M221" s="2">
        <v>97.293099999999995</v>
      </c>
      <c r="N221" s="2">
        <v>243</v>
      </c>
      <c r="O221" s="2">
        <v>99.716399999999993</v>
      </c>
      <c r="P221" s="2">
        <v>207</v>
      </c>
      <c r="Q221" s="2">
        <v>104.71550000000001</v>
      </c>
      <c r="R221" s="2">
        <v>248</v>
      </c>
      <c r="S221" s="2">
        <v>104.74460000000001</v>
      </c>
      <c r="T221" s="2">
        <v>241</v>
      </c>
      <c r="U221" s="2">
        <v>0.36221999999999999</v>
      </c>
      <c r="V221" s="2">
        <v>220</v>
      </c>
      <c r="W221" s="2">
        <v>2009</v>
      </c>
    </row>
    <row r="222" spans="1:23" ht="12.3" x14ac:dyDescent="0.4">
      <c r="A222" s="2" t="s">
        <v>284</v>
      </c>
      <c r="B222" s="2"/>
      <c r="C222" s="2"/>
      <c r="D222" s="2"/>
      <c r="E222" s="2"/>
      <c r="F222" s="2"/>
      <c r="G222" s="2"/>
      <c r="H222" s="2"/>
      <c r="I222" s="2">
        <v>60.412999999999997</v>
      </c>
      <c r="J222" s="2">
        <v>331</v>
      </c>
      <c r="K222" s="2">
        <v>61.1496</v>
      </c>
      <c r="L222" s="2">
        <v>326</v>
      </c>
      <c r="M222" s="2">
        <v>98.506100000000004</v>
      </c>
      <c r="N222" s="2">
        <v>225</v>
      </c>
      <c r="O222" s="2">
        <v>96.137600000000006</v>
      </c>
      <c r="P222" s="2">
        <v>260</v>
      </c>
      <c r="Q222" s="2">
        <v>100.66379999999999</v>
      </c>
      <c r="R222" s="2">
        <v>155</v>
      </c>
      <c r="S222" s="2">
        <v>101.0063</v>
      </c>
      <c r="T222" s="2">
        <v>159</v>
      </c>
      <c r="U222" s="2">
        <v>0.36166799999999999</v>
      </c>
      <c r="V222" s="2">
        <v>221</v>
      </c>
      <c r="W222" s="2">
        <v>2009</v>
      </c>
    </row>
    <row r="223" spans="1:23" ht="12.3" x14ac:dyDescent="0.4">
      <c r="A223" s="2" t="s">
        <v>318</v>
      </c>
      <c r="B223" s="2"/>
      <c r="C223" s="2"/>
      <c r="D223" s="2"/>
      <c r="E223" s="2"/>
      <c r="F223" s="2"/>
      <c r="G223" s="2"/>
      <c r="H223" s="2"/>
      <c r="I223" s="2">
        <v>70.081299999999999</v>
      </c>
      <c r="J223" s="2">
        <v>56</v>
      </c>
      <c r="K223" s="2">
        <v>68.956900000000005</v>
      </c>
      <c r="L223" s="2">
        <v>69</v>
      </c>
      <c r="M223" s="2">
        <v>103.6704</v>
      </c>
      <c r="N223" s="2">
        <v>129</v>
      </c>
      <c r="O223" s="2">
        <v>103.501</v>
      </c>
      <c r="P223" s="2">
        <v>132</v>
      </c>
      <c r="Q223" s="2">
        <v>106.1584</v>
      </c>
      <c r="R223" s="2">
        <v>270</v>
      </c>
      <c r="S223" s="2">
        <v>108.7448</v>
      </c>
      <c r="T223" s="2">
        <v>304</v>
      </c>
      <c r="U223" s="2">
        <v>0.36161700000000002</v>
      </c>
      <c r="V223" s="2">
        <v>222</v>
      </c>
      <c r="W223" s="2">
        <v>2009</v>
      </c>
    </row>
    <row r="224" spans="1:23" ht="12.3" x14ac:dyDescent="0.4">
      <c r="A224" s="2" t="s">
        <v>211</v>
      </c>
      <c r="B224" s="2"/>
      <c r="C224" s="2"/>
      <c r="D224" s="2"/>
      <c r="E224" s="2"/>
      <c r="F224" s="2"/>
      <c r="G224" s="2"/>
      <c r="H224" s="2"/>
      <c r="I224" s="2">
        <v>70.886700000000005</v>
      </c>
      <c r="J224" s="2">
        <v>35</v>
      </c>
      <c r="K224" s="2">
        <v>69.567499999999995</v>
      </c>
      <c r="L224" s="2">
        <v>54</v>
      </c>
      <c r="M224" s="2">
        <v>101.5732</v>
      </c>
      <c r="N224" s="2">
        <v>167</v>
      </c>
      <c r="O224" s="2">
        <v>100.5536</v>
      </c>
      <c r="P224" s="2">
        <v>190</v>
      </c>
      <c r="Q224" s="2">
        <v>105.9791</v>
      </c>
      <c r="R224" s="2">
        <v>269</v>
      </c>
      <c r="S224" s="2">
        <v>105.7568</v>
      </c>
      <c r="T224" s="2">
        <v>263</v>
      </c>
      <c r="U224" s="2">
        <v>0.35888900000000001</v>
      </c>
      <c r="V224" s="2">
        <v>223</v>
      </c>
      <c r="W224" s="2">
        <v>2009</v>
      </c>
    </row>
    <row r="225" spans="1:23" ht="12.3" x14ac:dyDescent="0.4">
      <c r="A225" s="2" t="s">
        <v>357</v>
      </c>
      <c r="B225" s="2"/>
      <c r="C225" s="2"/>
      <c r="D225" s="2"/>
      <c r="E225" s="2"/>
      <c r="F225" s="2"/>
      <c r="G225" s="2"/>
      <c r="H225" s="2"/>
      <c r="I225" s="2">
        <v>69.487499999999997</v>
      </c>
      <c r="J225" s="2">
        <v>68</v>
      </c>
      <c r="K225" s="2">
        <v>70.592799999999997</v>
      </c>
      <c r="L225" s="2">
        <v>30</v>
      </c>
      <c r="M225" s="2">
        <v>105.127</v>
      </c>
      <c r="N225" s="2">
        <v>103</v>
      </c>
      <c r="O225" s="2">
        <v>104.0825</v>
      </c>
      <c r="P225" s="2">
        <v>123</v>
      </c>
      <c r="Q225" s="2">
        <v>106.6943</v>
      </c>
      <c r="R225" s="2">
        <v>285</v>
      </c>
      <c r="S225" s="2">
        <v>109.5321</v>
      </c>
      <c r="T225" s="2">
        <v>312</v>
      </c>
      <c r="U225" s="2">
        <v>0.35735099999999997</v>
      </c>
      <c r="V225" s="2">
        <v>224</v>
      </c>
      <c r="W225" s="2">
        <v>2009</v>
      </c>
    </row>
    <row r="226" spans="1:23" ht="12.3" x14ac:dyDescent="0.4">
      <c r="A226" s="2" t="s">
        <v>74</v>
      </c>
      <c r="B226" s="2"/>
      <c r="C226" s="2"/>
      <c r="D226" s="2"/>
      <c r="E226" s="2"/>
      <c r="F226" s="2"/>
      <c r="G226" s="2"/>
      <c r="H226" s="2"/>
      <c r="I226" s="2">
        <v>63.703200000000002</v>
      </c>
      <c r="J226" s="2">
        <v>275</v>
      </c>
      <c r="K226" s="2">
        <v>64.323400000000007</v>
      </c>
      <c r="L226" s="2">
        <v>263</v>
      </c>
      <c r="M226" s="2">
        <v>93.936700000000002</v>
      </c>
      <c r="N226" s="2">
        <v>292</v>
      </c>
      <c r="O226" s="2">
        <v>98.454999999999998</v>
      </c>
      <c r="P226" s="2">
        <v>223</v>
      </c>
      <c r="Q226" s="2">
        <v>104.50579999999999</v>
      </c>
      <c r="R226" s="2">
        <v>245</v>
      </c>
      <c r="S226" s="2">
        <v>103.7423</v>
      </c>
      <c r="T226" s="2">
        <v>215</v>
      </c>
      <c r="U226" s="2">
        <v>0.35398200000000002</v>
      </c>
      <c r="V226" s="2">
        <v>225</v>
      </c>
      <c r="W226" s="2">
        <v>2009</v>
      </c>
    </row>
    <row r="227" spans="1:23" ht="12.3" x14ac:dyDescent="0.4">
      <c r="A227" s="2" t="s">
        <v>283</v>
      </c>
      <c r="B227" s="2"/>
      <c r="C227" s="2"/>
      <c r="D227" s="2"/>
      <c r="E227" s="2"/>
      <c r="F227" s="2"/>
      <c r="G227" s="2"/>
      <c r="H227" s="2"/>
      <c r="I227" s="2">
        <v>68.391900000000007</v>
      </c>
      <c r="J227" s="2">
        <v>100</v>
      </c>
      <c r="K227" s="2">
        <v>67.375600000000006</v>
      </c>
      <c r="L227" s="2">
        <v>126</v>
      </c>
      <c r="M227" s="2">
        <v>90.758399999999995</v>
      </c>
      <c r="N227" s="2">
        <v>321</v>
      </c>
      <c r="O227" s="2">
        <v>93.2102</v>
      </c>
      <c r="P227" s="2">
        <v>298</v>
      </c>
      <c r="Q227" s="2">
        <v>97.84</v>
      </c>
      <c r="R227" s="2">
        <v>91</v>
      </c>
      <c r="S227" s="2">
        <v>98.221000000000004</v>
      </c>
      <c r="T227" s="2">
        <v>92</v>
      </c>
      <c r="U227" s="2">
        <v>0.35384700000000002</v>
      </c>
      <c r="V227" s="2">
        <v>226</v>
      </c>
      <c r="W227" s="2">
        <v>2009</v>
      </c>
    </row>
    <row r="228" spans="1:23" ht="12.3" x14ac:dyDescent="0.4">
      <c r="A228" s="2" t="s">
        <v>150</v>
      </c>
      <c r="B228" s="2"/>
      <c r="C228" s="2"/>
      <c r="D228" s="2"/>
      <c r="E228" s="2"/>
      <c r="F228" s="2"/>
      <c r="G228" s="2"/>
      <c r="H228" s="2"/>
      <c r="I228" s="2">
        <v>64.687899999999999</v>
      </c>
      <c r="J228" s="2">
        <v>250</v>
      </c>
      <c r="K228" s="2">
        <v>65.3245</v>
      </c>
      <c r="L228" s="2">
        <v>220</v>
      </c>
      <c r="M228" s="2">
        <v>96.991600000000005</v>
      </c>
      <c r="N228" s="2">
        <v>250</v>
      </c>
      <c r="O228" s="2">
        <v>98.380499999999998</v>
      </c>
      <c r="P228" s="2">
        <v>226</v>
      </c>
      <c r="Q228" s="2">
        <v>103.23609999999999</v>
      </c>
      <c r="R228" s="2">
        <v>216</v>
      </c>
      <c r="S228" s="2">
        <v>103.70529999999999</v>
      </c>
      <c r="T228" s="2">
        <v>214</v>
      </c>
      <c r="U228" s="2">
        <v>0.352933</v>
      </c>
      <c r="V228" s="2">
        <v>227</v>
      </c>
      <c r="W228" s="2">
        <v>2009</v>
      </c>
    </row>
    <row r="229" spans="1:23" ht="12.3" x14ac:dyDescent="0.4">
      <c r="A229" s="2" t="s">
        <v>152</v>
      </c>
      <c r="B229" s="2"/>
      <c r="C229" s="2"/>
      <c r="D229" s="2"/>
      <c r="E229" s="2"/>
      <c r="F229" s="2"/>
      <c r="G229" s="2"/>
      <c r="H229" s="2"/>
      <c r="I229" s="2">
        <v>61.114800000000002</v>
      </c>
      <c r="J229" s="2">
        <v>326</v>
      </c>
      <c r="K229" s="2">
        <v>61.4788</v>
      </c>
      <c r="L229" s="2">
        <v>320</v>
      </c>
      <c r="M229" s="2">
        <v>95.552400000000006</v>
      </c>
      <c r="N229" s="2">
        <v>273</v>
      </c>
      <c r="O229" s="2">
        <v>97.813699999999997</v>
      </c>
      <c r="P229" s="2">
        <v>235</v>
      </c>
      <c r="Q229" s="2">
        <v>102.4744</v>
      </c>
      <c r="R229" s="2">
        <v>202</v>
      </c>
      <c r="S229" s="2">
        <v>103.1221</v>
      </c>
      <c r="T229" s="2">
        <v>201</v>
      </c>
      <c r="U229" s="2">
        <v>0.35256900000000002</v>
      </c>
      <c r="V229" s="2">
        <v>228</v>
      </c>
      <c r="W229" s="2">
        <v>2009</v>
      </c>
    </row>
    <row r="230" spans="1:23" ht="12.3" x14ac:dyDescent="0.4">
      <c r="A230" s="2" t="s">
        <v>163</v>
      </c>
      <c r="B230" s="2"/>
      <c r="C230" s="2"/>
      <c r="D230" s="2"/>
      <c r="E230" s="2"/>
      <c r="F230" s="2"/>
      <c r="G230" s="2"/>
      <c r="H230" s="2"/>
      <c r="I230" s="2">
        <v>64.475399999999993</v>
      </c>
      <c r="J230" s="2">
        <v>258</v>
      </c>
      <c r="K230" s="2">
        <v>65.572900000000004</v>
      </c>
      <c r="L230" s="2">
        <v>206</v>
      </c>
      <c r="M230" s="2">
        <v>100.3954</v>
      </c>
      <c r="N230" s="2">
        <v>188</v>
      </c>
      <c r="O230" s="2">
        <v>100.1686</v>
      </c>
      <c r="P230" s="2">
        <v>198</v>
      </c>
      <c r="Q230" s="2">
        <v>106.2059</v>
      </c>
      <c r="R230" s="2">
        <v>271</v>
      </c>
      <c r="S230" s="2">
        <v>105.7833</v>
      </c>
      <c r="T230" s="2">
        <v>265</v>
      </c>
      <c r="U230" s="2">
        <v>0.34815000000000002</v>
      </c>
      <c r="V230" s="2">
        <v>229</v>
      </c>
      <c r="W230" s="2">
        <v>2009</v>
      </c>
    </row>
    <row r="231" spans="1:23" ht="12.3" x14ac:dyDescent="0.4">
      <c r="A231" s="2" t="s">
        <v>300</v>
      </c>
      <c r="B231" s="2"/>
      <c r="C231" s="2"/>
      <c r="D231" s="2"/>
      <c r="E231" s="2"/>
      <c r="F231" s="2"/>
      <c r="G231" s="2"/>
      <c r="H231" s="2"/>
      <c r="I231" s="2">
        <v>69.787999999999997</v>
      </c>
      <c r="J231" s="2">
        <v>62</v>
      </c>
      <c r="K231" s="2">
        <v>70.269000000000005</v>
      </c>
      <c r="L231" s="2">
        <v>38</v>
      </c>
      <c r="M231" s="2">
        <v>99.530699999999996</v>
      </c>
      <c r="N231" s="2">
        <v>206</v>
      </c>
      <c r="O231" s="2">
        <v>97.117900000000006</v>
      </c>
      <c r="P231" s="2">
        <v>247</v>
      </c>
      <c r="Q231" s="2">
        <v>96.2209</v>
      </c>
      <c r="R231" s="2">
        <v>57</v>
      </c>
      <c r="S231" s="2">
        <v>102.59439999999999</v>
      </c>
      <c r="T231" s="2">
        <v>186</v>
      </c>
      <c r="U231" s="2">
        <v>0.34731299999999998</v>
      </c>
      <c r="V231" s="2">
        <v>230</v>
      </c>
      <c r="W231" s="2">
        <v>2009</v>
      </c>
    </row>
    <row r="232" spans="1:23" ht="12.3" x14ac:dyDescent="0.4">
      <c r="A232" s="2" t="s">
        <v>319</v>
      </c>
      <c r="B232" s="2"/>
      <c r="C232" s="2"/>
      <c r="D232" s="2"/>
      <c r="E232" s="2"/>
      <c r="F232" s="2"/>
      <c r="G232" s="2"/>
      <c r="H232" s="2"/>
      <c r="I232" s="2">
        <v>71.997299999999996</v>
      </c>
      <c r="J232" s="2">
        <v>20</v>
      </c>
      <c r="K232" s="2">
        <v>69.518299999999996</v>
      </c>
      <c r="L232" s="2">
        <v>56</v>
      </c>
      <c r="M232" s="2">
        <v>98.839399999999998</v>
      </c>
      <c r="N232" s="2">
        <v>217</v>
      </c>
      <c r="O232" s="2">
        <v>95.337199999999996</v>
      </c>
      <c r="P232" s="2">
        <v>272</v>
      </c>
      <c r="Q232" s="2">
        <v>99.920900000000003</v>
      </c>
      <c r="R232" s="2">
        <v>136</v>
      </c>
      <c r="S232" s="2">
        <v>100.84690000000001</v>
      </c>
      <c r="T232" s="2">
        <v>155</v>
      </c>
      <c r="U232" s="2">
        <v>0.34386699999999998</v>
      </c>
      <c r="V232" s="2">
        <v>231</v>
      </c>
      <c r="W232" s="2">
        <v>2009</v>
      </c>
    </row>
    <row r="233" spans="1:23" ht="12.3" x14ac:dyDescent="0.4">
      <c r="A233" s="2" t="s">
        <v>204</v>
      </c>
      <c r="B233" s="2"/>
      <c r="C233" s="2"/>
      <c r="D233" s="2"/>
      <c r="E233" s="2"/>
      <c r="F233" s="2"/>
      <c r="G233" s="2"/>
      <c r="H233" s="2"/>
      <c r="I233" s="2">
        <v>59.226300000000002</v>
      </c>
      <c r="J233" s="2">
        <v>338</v>
      </c>
      <c r="K233" s="2">
        <v>58.811</v>
      </c>
      <c r="L233" s="2">
        <v>340</v>
      </c>
      <c r="M233" s="2">
        <v>96.649500000000003</v>
      </c>
      <c r="N233" s="2">
        <v>261</v>
      </c>
      <c r="O233" s="2">
        <v>97.273300000000006</v>
      </c>
      <c r="P233" s="2">
        <v>242</v>
      </c>
      <c r="Q233" s="2">
        <v>105.37220000000001</v>
      </c>
      <c r="R233" s="2">
        <v>257</v>
      </c>
      <c r="S233" s="2">
        <v>102.90049999999999</v>
      </c>
      <c r="T233" s="2">
        <v>193</v>
      </c>
      <c r="U233" s="2">
        <v>0.34372599999999998</v>
      </c>
      <c r="V233" s="2">
        <v>232</v>
      </c>
      <c r="W233" s="2">
        <v>2009</v>
      </c>
    </row>
    <row r="234" spans="1:23" ht="12.3" x14ac:dyDescent="0.4">
      <c r="A234" s="2" t="s">
        <v>231</v>
      </c>
      <c r="B234" s="2"/>
      <c r="C234" s="2"/>
      <c r="D234" s="2"/>
      <c r="E234" s="2"/>
      <c r="F234" s="2"/>
      <c r="G234" s="2"/>
      <c r="H234" s="2"/>
      <c r="I234" s="2">
        <v>64.972099999999998</v>
      </c>
      <c r="J234" s="2">
        <v>234</v>
      </c>
      <c r="K234" s="2">
        <v>64.818200000000004</v>
      </c>
      <c r="L234" s="2">
        <v>242</v>
      </c>
      <c r="M234" s="2">
        <v>97.5959</v>
      </c>
      <c r="N234" s="2">
        <v>238</v>
      </c>
      <c r="O234" s="2">
        <v>98.447999999999993</v>
      </c>
      <c r="P234" s="2">
        <v>224</v>
      </c>
      <c r="Q234" s="2">
        <v>108.9483</v>
      </c>
      <c r="R234" s="2">
        <v>316</v>
      </c>
      <c r="S234" s="2">
        <v>104.2582</v>
      </c>
      <c r="T234" s="2">
        <v>229</v>
      </c>
      <c r="U234" s="2">
        <v>0.340866</v>
      </c>
      <c r="V234" s="2">
        <v>233</v>
      </c>
      <c r="W234" s="2">
        <v>2009</v>
      </c>
    </row>
    <row r="235" spans="1:23" ht="12.3" x14ac:dyDescent="0.4">
      <c r="A235" s="2" t="s">
        <v>343</v>
      </c>
      <c r="B235" s="2"/>
      <c r="C235" s="2"/>
      <c r="D235" s="2"/>
      <c r="E235" s="2"/>
      <c r="F235" s="2"/>
      <c r="G235" s="2"/>
      <c r="H235" s="2"/>
      <c r="I235" s="2">
        <v>67.800700000000006</v>
      </c>
      <c r="J235" s="2">
        <v>116</v>
      </c>
      <c r="K235" s="2">
        <v>68.578999999999994</v>
      </c>
      <c r="L235" s="2">
        <v>83</v>
      </c>
      <c r="M235" s="2">
        <v>103.2234</v>
      </c>
      <c r="N235" s="2">
        <v>139</v>
      </c>
      <c r="O235" s="2">
        <v>99.319500000000005</v>
      </c>
      <c r="P235" s="2">
        <v>216</v>
      </c>
      <c r="Q235" s="2">
        <v>99.730699999999999</v>
      </c>
      <c r="R235" s="2">
        <v>132</v>
      </c>
      <c r="S235" s="2">
        <v>105.23690000000001</v>
      </c>
      <c r="T235" s="2">
        <v>253</v>
      </c>
      <c r="U235" s="2">
        <v>0.33949800000000002</v>
      </c>
      <c r="V235" s="2">
        <v>234</v>
      </c>
      <c r="W235" s="2">
        <v>2009</v>
      </c>
    </row>
    <row r="236" spans="1:23" ht="12.3" x14ac:dyDescent="0.4">
      <c r="A236" s="2" t="s">
        <v>257</v>
      </c>
      <c r="B236" s="2"/>
      <c r="C236" s="2"/>
      <c r="D236" s="2"/>
      <c r="E236" s="2"/>
      <c r="F236" s="2"/>
      <c r="G236" s="2"/>
      <c r="H236" s="2"/>
      <c r="I236" s="2">
        <v>62.066299999999998</v>
      </c>
      <c r="J236" s="2">
        <v>315</v>
      </c>
      <c r="K236" s="2">
        <v>62.220199999999998</v>
      </c>
      <c r="L236" s="2">
        <v>316</v>
      </c>
      <c r="M236" s="2">
        <v>95.398899999999998</v>
      </c>
      <c r="N236" s="2">
        <v>275</v>
      </c>
      <c r="O236" s="2">
        <v>94.887500000000003</v>
      </c>
      <c r="P236" s="2">
        <v>277</v>
      </c>
      <c r="Q236" s="2">
        <v>100.6767</v>
      </c>
      <c r="R236" s="2">
        <v>156</v>
      </c>
      <c r="S236" s="2">
        <v>100.7024</v>
      </c>
      <c r="T236" s="2">
        <v>151</v>
      </c>
      <c r="U236" s="2">
        <v>0.33537</v>
      </c>
      <c r="V236" s="2">
        <v>235</v>
      </c>
      <c r="W236" s="2">
        <v>2009</v>
      </c>
    </row>
    <row r="237" spans="1:23" ht="12.3" x14ac:dyDescent="0.4">
      <c r="A237" s="2" t="s">
        <v>310</v>
      </c>
      <c r="B237" s="2"/>
      <c r="C237" s="2"/>
      <c r="D237" s="2"/>
      <c r="E237" s="2"/>
      <c r="F237" s="2"/>
      <c r="G237" s="2"/>
      <c r="H237" s="2"/>
      <c r="I237" s="2">
        <v>62.761299999999999</v>
      </c>
      <c r="J237" s="2">
        <v>295</v>
      </c>
      <c r="K237" s="2">
        <v>63.122399999999999</v>
      </c>
      <c r="L237" s="2">
        <v>296</v>
      </c>
      <c r="M237" s="2">
        <v>96.206699999999998</v>
      </c>
      <c r="N237" s="2">
        <v>269</v>
      </c>
      <c r="O237" s="2">
        <v>97.7393</v>
      </c>
      <c r="P237" s="2">
        <v>237</v>
      </c>
      <c r="Q237" s="2">
        <v>101.892</v>
      </c>
      <c r="R237" s="2">
        <v>189</v>
      </c>
      <c r="S237" s="2">
        <v>103.7544</v>
      </c>
      <c r="T237" s="2">
        <v>217</v>
      </c>
      <c r="U237" s="2">
        <v>0.33474199999999998</v>
      </c>
      <c r="V237" s="2">
        <v>236</v>
      </c>
      <c r="W237" s="2">
        <v>2009</v>
      </c>
    </row>
    <row r="238" spans="1:23" ht="12.3" x14ac:dyDescent="0.4">
      <c r="A238" s="2" t="s">
        <v>208</v>
      </c>
      <c r="B238" s="2"/>
      <c r="C238" s="2"/>
      <c r="D238" s="2"/>
      <c r="E238" s="2"/>
      <c r="F238" s="2"/>
      <c r="G238" s="2"/>
      <c r="H238" s="2"/>
      <c r="I238" s="2">
        <v>59.612099999999998</v>
      </c>
      <c r="J238" s="2">
        <v>336</v>
      </c>
      <c r="K238" s="2">
        <v>58.863700000000001</v>
      </c>
      <c r="L238" s="2">
        <v>339</v>
      </c>
      <c r="M238" s="2">
        <v>102.68729999999999</v>
      </c>
      <c r="N238" s="2">
        <v>149</v>
      </c>
      <c r="O238" s="2">
        <v>101.30370000000001</v>
      </c>
      <c r="P238" s="2">
        <v>167</v>
      </c>
      <c r="Q238" s="2">
        <v>105.7794</v>
      </c>
      <c r="R238" s="2">
        <v>265</v>
      </c>
      <c r="S238" s="2">
        <v>107.65170000000001</v>
      </c>
      <c r="T238" s="2">
        <v>291</v>
      </c>
      <c r="U238" s="2">
        <v>0.33204499999999998</v>
      </c>
      <c r="V238" s="2">
        <v>237</v>
      </c>
      <c r="W238" s="2">
        <v>2009</v>
      </c>
    </row>
    <row r="239" spans="1:23" ht="12.3" x14ac:dyDescent="0.4">
      <c r="A239" s="2" t="s">
        <v>237</v>
      </c>
      <c r="B239" s="2"/>
      <c r="C239" s="2"/>
      <c r="D239" s="2"/>
      <c r="E239" s="2"/>
      <c r="F239" s="2"/>
      <c r="G239" s="2"/>
      <c r="H239" s="2"/>
      <c r="I239" s="2">
        <v>62.952300000000001</v>
      </c>
      <c r="J239" s="2">
        <v>294</v>
      </c>
      <c r="K239" s="2">
        <v>63.763500000000001</v>
      </c>
      <c r="L239" s="2">
        <v>275</v>
      </c>
      <c r="M239" s="2">
        <v>101.9611</v>
      </c>
      <c r="N239" s="2">
        <v>165</v>
      </c>
      <c r="O239" s="2">
        <v>99.974999999999994</v>
      </c>
      <c r="P239" s="2">
        <v>203</v>
      </c>
      <c r="Q239" s="2">
        <v>107.4941</v>
      </c>
      <c r="R239" s="2">
        <v>296</v>
      </c>
      <c r="S239" s="2">
        <v>106.297</v>
      </c>
      <c r="T239" s="2">
        <v>272</v>
      </c>
      <c r="U239" s="2">
        <v>0.33067200000000002</v>
      </c>
      <c r="V239" s="2">
        <v>238</v>
      </c>
      <c r="W239" s="2">
        <v>2009</v>
      </c>
    </row>
    <row r="240" spans="1:23" ht="12.3" x14ac:dyDescent="0.4">
      <c r="A240" s="2" t="s">
        <v>246</v>
      </c>
      <c r="B240" s="2"/>
      <c r="C240" s="2"/>
      <c r="D240" s="2"/>
      <c r="E240" s="2"/>
      <c r="F240" s="2"/>
      <c r="G240" s="2"/>
      <c r="H240" s="2"/>
      <c r="I240" s="2">
        <v>68.374200000000002</v>
      </c>
      <c r="J240" s="2">
        <v>101</v>
      </c>
      <c r="K240" s="2">
        <v>68.332899999999995</v>
      </c>
      <c r="L240" s="2">
        <v>91</v>
      </c>
      <c r="M240" s="2">
        <v>103.4879</v>
      </c>
      <c r="N240" s="2">
        <v>133</v>
      </c>
      <c r="O240" s="2">
        <v>99.419799999999995</v>
      </c>
      <c r="P240" s="2">
        <v>210</v>
      </c>
      <c r="Q240" s="2">
        <v>106.4802</v>
      </c>
      <c r="R240" s="2">
        <v>278</v>
      </c>
      <c r="S240" s="2">
        <v>105.7685</v>
      </c>
      <c r="T240" s="2">
        <v>264</v>
      </c>
      <c r="U240" s="2">
        <v>0.32918700000000001</v>
      </c>
      <c r="V240" s="2">
        <v>239</v>
      </c>
      <c r="W240" s="2">
        <v>2009</v>
      </c>
    </row>
    <row r="241" spans="1:23" ht="12.3" x14ac:dyDescent="0.4">
      <c r="A241" s="2" t="s">
        <v>160</v>
      </c>
      <c r="B241" s="2"/>
      <c r="C241" s="2"/>
      <c r="D241" s="2"/>
      <c r="E241" s="2"/>
      <c r="F241" s="2"/>
      <c r="G241" s="2"/>
      <c r="H241" s="2"/>
      <c r="I241" s="2">
        <v>65.754199999999997</v>
      </c>
      <c r="J241" s="2">
        <v>193</v>
      </c>
      <c r="K241" s="2">
        <v>66.229799999999997</v>
      </c>
      <c r="L241" s="2">
        <v>172</v>
      </c>
      <c r="M241" s="2">
        <v>94.834299999999999</v>
      </c>
      <c r="N241" s="2">
        <v>282</v>
      </c>
      <c r="O241" s="2">
        <v>95.556399999999996</v>
      </c>
      <c r="P241" s="2">
        <v>271</v>
      </c>
      <c r="Q241" s="2">
        <v>96.8887</v>
      </c>
      <c r="R241" s="2">
        <v>76</v>
      </c>
      <c r="S241" s="2">
        <v>101.7304</v>
      </c>
      <c r="T241" s="2">
        <v>169</v>
      </c>
      <c r="U241" s="2">
        <v>0.32739099999999999</v>
      </c>
      <c r="V241" s="2">
        <v>240</v>
      </c>
      <c r="W241" s="2">
        <v>2009</v>
      </c>
    </row>
    <row r="242" spans="1:23" ht="12.3" x14ac:dyDescent="0.4">
      <c r="A242" s="2" t="s">
        <v>255</v>
      </c>
      <c r="B242" s="2"/>
      <c r="C242" s="2"/>
      <c r="D242" s="2"/>
      <c r="E242" s="2"/>
      <c r="F242" s="2"/>
      <c r="G242" s="2"/>
      <c r="H242" s="2"/>
      <c r="I242" s="2">
        <v>64.471599999999995</v>
      </c>
      <c r="J242" s="2">
        <v>259</v>
      </c>
      <c r="K242" s="2">
        <v>66.096900000000005</v>
      </c>
      <c r="L242" s="2">
        <v>176</v>
      </c>
      <c r="M242" s="2">
        <v>102.08</v>
      </c>
      <c r="N242" s="2">
        <v>161</v>
      </c>
      <c r="O242" s="2">
        <v>101.50620000000001</v>
      </c>
      <c r="P242" s="2">
        <v>163</v>
      </c>
      <c r="Q242" s="2">
        <v>104.43429999999999</v>
      </c>
      <c r="R242" s="2">
        <v>243</v>
      </c>
      <c r="S242" s="2">
        <v>108.3612</v>
      </c>
      <c r="T242" s="2">
        <v>301</v>
      </c>
      <c r="U242" s="2">
        <v>0.32048900000000002</v>
      </c>
      <c r="V242" s="2">
        <v>241</v>
      </c>
      <c r="W242" s="2">
        <v>2009</v>
      </c>
    </row>
    <row r="243" spans="1:23" ht="12.3" x14ac:dyDescent="0.4">
      <c r="A243" s="2" t="s">
        <v>312</v>
      </c>
      <c r="B243" s="2"/>
      <c r="C243" s="2"/>
      <c r="D243" s="2"/>
      <c r="E243" s="2"/>
      <c r="F243" s="2"/>
      <c r="G243" s="2"/>
      <c r="H243" s="2"/>
      <c r="I243" s="2">
        <v>70.049199999999999</v>
      </c>
      <c r="J243" s="2">
        <v>57</v>
      </c>
      <c r="K243" s="2">
        <v>68.627700000000004</v>
      </c>
      <c r="L243" s="2">
        <v>80</v>
      </c>
      <c r="M243" s="2">
        <v>99.631500000000003</v>
      </c>
      <c r="N243" s="2">
        <v>204</v>
      </c>
      <c r="O243" s="2">
        <v>96.626499999999993</v>
      </c>
      <c r="P243" s="2">
        <v>252</v>
      </c>
      <c r="Q243" s="2">
        <v>100.3754</v>
      </c>
      <c r="R243" s="2">
        <v>147</v>
      </c>
      <c r="S243" s="2">
        <v>103.2103</v>
      </c>
      <c r="T243" s="2">
        <v>205</v>
      </c>
      <c r="U243" s="2">
        <v>0.319073</v>
      </c>
      <c r="V243" s="2">
        <v>242</v>
      </c>
      <c r="W243" s="2">
        <v>2009</v>
      </c>
    </row>
    <row r="244" spans="1:23" ht="12.3" x14ac:dyDescent="0.4">
      <c r="A244" s="2" t="s">
        <v>348</v>
      </c>
      <c r="B244" s="2"/>
      <c r="C244" s="2"/>
      <c r="D244" s="2"/>
      <c r="E244" s="2"/>
      <c r="F244" s="2"/>
      <c r="G244" s="2"/>
      <c r="H244" s="2"/>
      <c r="I244" s="2">
        <v>75.250900000000001</v>
      </c>
      <c r="J244" s="2">
        <v>7</v>
      </c>
      <c r="K244" s="2">
        <v>75.422399999999996</v>
      </c>
      <c r="L244" s="2">
        <v>4</v>
      </c>
      <c r="M244" s="2">
        <v>107.66800000000001</v>
      </c>
      <c r="N244" s="2">
        <v>68</v>
      </c>
      <c r="O244" s="2">
        <v>104.4315</v>
      </c>
      <c r="P244" s="2">
        <v>116</v>
      </c>
      <c r="Q244" s="2">
        <v>104.9468</v>
      </c>
      <c r="R244" s="2">
        <v>252</v>
      </c>
      <c r="S244" s="2">
        <v>111.62</v>
      </c>
      <c r="T244" s="2">
        <v>330</v>
      </c>
      <c r="U244" s="2">
        <v>0.317444</v>
      </c>
      <c r="V244" s="2">
        <v>243</v>
      </c>
      <c r="W244" s="2">
        <v>2009</v>
      </c>
    </row>
    <row r="245" spans="1:23" ht="12.3" x14ac:dyDescent="0.4">
      <c r="A245" s="2" t="s">
        <v>172</v>
      </c>
      <c r="B245" s="2"/>
      <c r="C245" s="2"/>
      <c r="D245" s="2"/>
      <c r="E245" s="2"/>
      <c r="F245" s="2"/>
      <c r="G245" s="2"/>
      <c r="H245" s="2"/>
      <c r="I245" s="2">
        <v>64.934399999999997</v>
      </c>
      <c r="J245" s="2">
        <v>237</v>
      </c>
      <c r="K245" s="2">
        <v>65.557599999999994</v>
      </c>
      <c r="L245" s="2">
        <v>207</v>
      </c>
      <c r="M245" s="2">
        <v>96.820300000000003</v>
      </c>
      <c r="N245" s="2">
        <v>254</v>
      </c>
      <c r="O245" s="2">
        <v>94.482900000000001</v>
      </c>
      <c r="P245" s="2">
        <v>284</v>
      </c>
      <c r="Q245" s="2">
        <v>98.340800000000002</v>
      </c>
      <c r="R245" s="2">
        <v>100</v>
      </c>
      <c r="S245" s="2">
        <v>101.07210000000001</v>
      </c>
      <c r="T245" s="2">
        <v>160</v>
      </c>
      <c r="U245" s="2">
        <v>0.31533800000000001</v>
      </c>
      <c r="V245" s="2">
        <v>244</v>
      </c>
      <c r="W245" s="2">
        <v>2009</v>
      </c>
    </row>
    <row r="246" spans="1:23" ht="12.3" x14ac:dyDescent="0.4">
      <c r="A246" s="2" t="s">
        <v>143</v>
      </c>
      <c r="B246" s="2"/>
      <c r="C246" s="2"/>
      <c r="D246" s="2"/>
      <c r="E246" s="2"/>
      <c r="F246" s="2"/>
      <c r="G246" s="2"/>
      <c r="H246" s="2"/>
      <c r="I246" s="2">
        <v>68.849100000000007</v>
      </c>
      <c r="J246" s="2">
        <v>84</v>
      </c>
      <c r="K246" s="2">
        <v>68.091499999999996</v>
      </c>
      <c r="L246" s="2">
        <v>101</v>
      </c>
      <c r="M246" s="2">
        <v>91.555999999999997</v>
      </c>
      <c r="N246" s="2">
        <v>314</v>
      </c>
      <c r="O246" s="2">
        <v>93.589100000000002</v>
      </c>
      <c r="P246" s="2">
        <v>294</v>
      </c>
      <c r="Q246" s="2">
        <v>98.989000000000004</v>
      </c>
      <c r="R246" s="2">
        <v>114</v>
      </c>
      <c r="S246" s="2">
        <v>100.1426</v>
      </c>
      <c r="T246" s="2">
        <v>140</v>
      </c>
      <c r="U246" s="2">
        <v>0.31467699999999998</v>
      </c>
      <c r="V246" s="2">
        <v>245</v>
      </c>
      <c r="W246" s="2">
        <v>2009</v>
      </c>
    </row>
    <row r="247" spans="1:23" ht="12.3" x14ac:dyDescent="0.4">
      <c r="A247" s="2" t="s">
        <v>281</v>
      </c>
      <c r="B247" s="2"/>
      <c r="C247" s="2"/>
      <c r="D247" s="2"/>
      <c r="E247" s="2"/>
      <c r="F247" s="2"/>
      <c r="G247" s="2"/>
      <c r="H247" s="2"/>
      <c r="I247" s="2">
        <v>70.338999999999999</v>
      </c>
      <c r="J247" s="2">
        <v>44</v>
      </c>
      <c r="K247" s="2">
        <v>69.179699999999997</v>
      </c>
      <c r="L247" s="2">
        <v>61</v>
      </c>
      <c r="M247" s="2">
        <v>100.13890000000001</v>
      </c>
      <c r="N247" s="2">
        <v>192</v>
      </c>
      <c r="O247" s="2">
        <v>101.90600000000001</v>
      </c>
      <c r="P247" s="2">
        <v>156</v>
      </c>
      <c r="Q247" s="2">
        <v>109.22499999999999</v>
      </c>
      <c r="R247" s="2">
        <v>322</v>
      </c>
      <c r="S247" s="2">
        <v>109.0446</v>
      </c>
      <c r="T247" s="2">
        <v>305</v>
      </c>
      <c r="U247" s="2">
        <v>0.31461699999999998</v>
      </c>
      <c r="V247" s="2">
        <v>246</v>
      </c>
      <c r="W247" s="2">
        <v>2009</v>
      </c>
    </row>
    <row r="248" spans="1:23" ht="12.3" x14ac:dyDescent="0.4">
      <c r="A248" s="2" t="s">
        <v>368</v>
      </c>
      <c r="B248" s="2"/>
      <c r="C248" s="2"/>
      <c r="D248" s="2"/>
      <c r="E248" s="2"/>
      <c r="F248" s="2"/>
      <c r="G248" s="2"/>
      <c r="H248" s="2"/>
      <c r="I248" s="2">
        <v>63.706499999999998</v>
      </c>
      <c r="J248" s="2">
        <v>274</v>
      </c>
      <c r="K248" s="2">
        <v>62.378599999999999</v>
      </c>
      <c r="L248" s="2">
        <v>313</v>
      </c>
      <c r="M248" s="2">
        <v>92.303399999999996</v>
      </c>
      <c r="N248" s="2">
        <v>308</v>
      </c>
      <c r="O248" s="2">
        <v>91.656599999999997</v>
      </c>
      <c r="P248" s="2">
        <v>312</v>
      </c>
      <c r="Q248" s="2">
        <v>99.6374</v>
      </c>
      <c r="R248" s="2">
        <v>126</v>
      </c>
      <c r="S248" s="2">
        <v>98.113</v>
      </c>
      <c r="T248" s="2">
        <v>88</v>
      </c>
      <c r="U248" s="2">
        <v>0.31371199999999999</v>
      </c>
      <c r="V248" s="2">
        <v>247</v>
      </c>
      <c r="W248" s="2">
        <v>2009</v>
      </c>
    </row>
    <row r="249" spans="1:23" ht="12.3" x14ac:dyDescent="0.4">
      <c r="A249" s="2" t="s">
        <v>252</v>
      </c>
      <c r="B249" s="2"/>
      <c r="C249" s="2"/>
      <c r="D249" s="2"/>
      <c r="E249" s="2"/>
      <c r="F249" s="2"/>
      <c r="G249" s="2"/>
      <c r="H249" s="2"/>
      <c r="I249" s="2">
        <v>63.411700000000003</v>
      </c>
      <c r="J249" s="2">
        <v>285</v>
      </c>
      <c r="K249" s="2">
        <v>64.628699999999995</v>
      </c>
      <c r="L249" s="2">
        <v>246</v>
      </c>
      <c r="M249" s="2">
        <v>100.7278</v>
      </c>
      <c r="N249" s="2">
        <v>181</v>
      </c>
      <c r="O249" s="2">
        <v>100.9671</v>
      </c>
      <c r="P249" s="2">
        <v>179</v>
      </c>
      <c r="Q249" s="2">
        <v>108.2141</v>
      </c>
      <c r="R249" s="2">
        <v>308</v>
      </c>
      <c r="S249" s="2">
        <v>108.1421</v>
      </c>
      <c r="T249" s="2">
        <v>298</v>
      </c>
      <c r="U249" s="2">
        <v>0.31227700000000003</v>
      </c>
      <c r="V249" s="2">
        <v>248</v>
      </c>
      <c r="W249" s="2">
        <v>2009</v>
      </c>
    </row>
    <row r="250" spans="1:23" ht="12.3" x14ac:dyDescent="0.4">
      <c r="A250" s="2" t="s">
        <v>101</v>
      </c>
      <c r="B250" s="2"/>
      <c r="C250" s="2"/>
      <c r="D250" s="2"/>
      <c r="E250" s="2"/>
      <c r="F250" s="2"/>
      <c r="G250" s="2"/>
      <c r="H250" s="2"/>
      <c r="I250" s="2">
        <v>60.819400000000002</v>
      </c>
      <c r="J250" s="2">
        <v>329</v>
      </c>
      <c r="K250" s="2">
        <v>61.368699999999997</v>
      </c>
      <c r="L250" s="2">
        <v>322</v>
      </c>
      <c r="M250" s="2">
        <v>94.010199999999998</v>
      </c>
      <c r="N250" s="2">
        <v>291</v>
      </c>
      <c r="O250" s="2">
        <v>93.965599999999995</v>
      </c>
      <c r="P250" s="2">
        <v>289</v>
      </c>
      <c r="Q250" s="2">
        <v>97.078599999999994</v>
      </c>
      <c r="R250" s="2">
        <v>80</v>
      </c>
      <c r="S250" s="2">
        <v>100.65860000000001</v>
      </c>
      <c r="T250" s="2">
        <v>150</v>
      </c>
      <c r="U250" s="2">
        <v>0.31189699999999998</v>
      </c>
      <c r="V250" s="2">
        <v>249</v>
      </c>
      <c r="W250" s="2">
        <v>2009</v>
      </c>
    </row>
    <row r="251" spans="1:23" ht="12.3" x14ac:dyDescent="0.4">
      <c r="A251" s="2" t="s">
        <v>107</v>
      </c>
      <c r="B251" s="2"/>
      <c r="C251" s="2"/>
      <c r="D251" s="2"/>
      <c r="E251" s="2"/>
      <c r="F251" s="2"/>
      <c r="G251" s="2"/>
      <c r="H251" s="2"/>
      <c r="I251" s="2">
        <v>65.835899999999995</v>
      </c>
      <c r="J251" s="2">
        <v>190</v>
      </c>
      <c r="K251" s="2">
        <v>65.591499999999996</v>
      </c>
      <c r="L251" s="2">
        <v>202</v>
      </c>
      <c r="M251" s="2">
        <v>93.7547</v>
      </c>
      <c r="N251" s="2">
        <v>295</v>
      </c>
      <c r="O251" s="2">
        <v>93.147199999999998</v>
      </c>
      <c r="P251" s="2">
        <v>302</v>
      </c>
      <c r="Q251" s="2">
        <v>96.828299999999999</v>
      </c>
      <c r="R251" s="2">
        <v>73</v>
      </c>
      <c r="S251" s="2">
        <v>99.781999999999996</v>
      </c>
      <c r="T251" s="2">
        <v>133</v>
      </c>
      <c r="U251" s="2">
        <v>0.31189499999999998</v>
      </c>
      <c r="V251" s="2">
        <v>250</v>
      </c>
      <c r="W251" s="2">
        <v>2009</v>
      </c>
    </row>
    <row r="252" spans="1:23" ht="12.3" x14ac:dyDescent="0.4">
      <c r="A252" s="2" t="s">
        <v>339</v>
      </c>
      <c r="B252" s="2"/>
      <c r="C252" s="2"/>
      <c r="D252" s="2"/>
      <c r="E252" s="2"/>
      <c r="F252" s="2"/>
      <c r="G252" s="2"/>
      <c r="H252" s="2"/>
      <c r="I252" s="2">
        <v>65.376400000000004</v>
      </c>
      <c r="J252" s="2">
        <v>209</v>
      </c>
      <c r="K252" s="2">
        <v>65.264799999999994</v>
      </c>
      <c r="L252" s="2">
        <v>224</v>
      </c>
      <c r="M252" s="2">
        <v>97.475899999999996</v>
      </c>
      <c r="N252" s="2">
        <v>240</v>
      </c>
      <c r="O252" s="2">
        <v>96.105000000000004</v>
      </c>
      <c r="P252" s="2">
        <v>261</v>
      </c>
      <c r="Q252" s="2">
        <v>100.4941</v>
      </c>
      <c r="R252" s="2">
        <v>149</v>
      </c>
      <c r="S252" s="2">
        <v>103.121</v>
      </c>
      <c r="T252" s="2">
        <v>200</v>
      </c>
      <c r="U252" s="2">
        <v>0.30782399999999999</v>
      </c>
      <c r="V252" s="2">
        <v>251</v>
      </c>
      <c r="W252" s="2">
        <v>2009</v>
      </c>
    </row>
    <row r="253" spans="1:23" ht="12.3" x14ac:dyDescent="0.4">
      <c r="A253" s="2" t="s">
        <v>224</v>
      </c>
      <c r="B253" s="2"/>
      <c r="C253" s="2"/>
      <c r="D253" s="2"/>
      <c r="E253" s="2"/>
      <c r="F253" s="2"/>
      <c r="G253" s="2"/>
      <c r="H253" s="2"/>
      <c r="I253" s="2">
        <v>67.730599999999995</v>
      </c>
      <c r="J253" s="2">
        <v>121</v>
      </c>
      <c r="K253" s="2">
        <v>67.822699999999998</v>
      </c>
      <c r="L253" s="2">
        <v>109</v>
      </c>
      <c r="M253" s="2">
        <v>94.530500000000004</v>
      </c>
      <c r="N253" s="2">
        <v>287</v>
      </c>
      <c r="O253" s="2">
        <v>94.597099999999998</v>
      </c>
      <c r="P253" s="2">
        <v>282</v>
      </c>
      <c r="Q253" s="2">
        <v>104.7328</v>
      </c>
      <c r="R253" s="2">
        <v>249</v>
      </c>
      <c r="S253" s="2">
        <v>101.7607</v>
      </c>
      <c r="T253" s="2">
        <v>171</v>
      </c>
      <c r="U253" s="2">
        <v>0.30164800000000003</v>
      </c>
      <c r="V253" s="2">
        <v>252</v>
      </c>
      <c r="W253" s="2">
        <v>2009</v>
      </c>
    </row>
    <row r="254" spans="1:23" ht="12.3" x14ac:dyDescent="0.4">
      <c r="A254" s="2" t="s">
        <v>254</v>
      </c>
      <c r="B254" s="2"/>
      <c r="C254" s="2"/>
      <c r="D254" s="2"/>
      <c r="E254" s="2"/>
      <c r="F254" s="2"/>
      <c r="G254" s="2"/>
      <c r="H254" s="2"/>
      <c r="I254" s="2">
        <v>62.423200000000001</v>
      </c>
      <c r="J254" s="2">
        <v>304</v>
      </c>
      <c r="K254" s="2">
        <v>63.114699999999999</v>
      </c>
      <c r="L254" s="2">
        <v>298</v>
      </c>
      <c r="M254" s="2">
        <v>101.8331</v>
      </c>
      <c r="N254" s="2">
        <v>166</v>
      </c>
      <c r="O254" s="2">
        <v>99.793599999999998</v>
      </c>
      <c r="P254" s="2">
        <v>205</v>
      </c>
      <c r="Q254" s="2">
        <v>108.57680000000001</v>
      </c>
      <c r="R254" s="2">
        <v>313</v>
      </c>
      <c r="S254" s="2">
        <v>107.3715</v>
      </c>
      <c r="T254" s="2">
        <v>287</v>
      </c>
      <c r="U254" s="2">
        <v>0.301178</v>
      </c>
      <c r="V254" s="2">
        <v>253</v>
      </c>
      <c r="W254" s="2">
        <v>2009</v>
      </c>
    </row>
    <row r="255" spans="1:23" ht="12.3" x14ac:dyDescent="0.4">
      <c r="A255" s="2" t="s">
        <v>114</v>
      </c>
      <c r="B255" s="2"/>
      <c r="C255" s="2"/>
      <c r="D255" s="2"/>
      <c r="E255" s="2"/>
      <c r="F255" s="2"/>
      <c r="G255" s="2"/>
      <c r="H255" s="2"/>
      <c r="I255" s="2">
        <v>72.643699999999995</v>
      </c>
      <c r="J255" s="2">
        <v>13</v>
      </c>
      <c r="K255" s="2">
        <v>72.448099999999997</v>
      </c>
      <c r="L255" s="2">
        <v>14</v>
      </c>
      <c r="M255" s="2">
        <v>100.5643</v>
      </c>
      <c r="N255" s="2">
        <v>183</v>
      </c>
      <c r="O255" s="2">
        <v>96.324399999999997</v>
      </c>
      <c r="P255" s="2">
        <v>256</v>
      </c>
      <c r="Q255" s="2">
        <v>103.6751</v>
      </c>
      <c r="R255" s="2">
        <v>227</v>
      </c>
      <c r="S255" s="2">
        <v>103.68380000000001</v>
      </c>
      <c r="T255" s="2">
        <v>213</v>
      </c>
      <c r="U255" s="2">
        <v>0.30012899999999998</v>
      </c>
      <c r="V255" s="2">
        <v>254</v>
      </c>
      <c r="W255" s="2">
        <v>2009</v>
      </c>
    </row>
    <row r="256" spans="1:23" ht="12.3" x14ac:dyDescent="0.4">
      <c r="A256" s="2" t="s">
        <v>253</v>
      </c>
      <c r="B256" s="2"/>
      <c r="C256" s="2"/>
      <c r="D256" s="2"/>
      <c r="E256" s="2"/>
      <c r="F256" s="2"/>
      <c r="G256" s="2"/>
      <c r="H256" s="2"/>
      <c r="I256" s="2">
        <v>70.7333</v>
      </c>
      <c r="J256" s="2">
        <v>39</v>
      </c>
      <c r="K256" s="2">
        <v>70.608599999999996</v>
      </c>
      <c r="L256" s="2">
        <v>29</v>
      </c>
      <c r="M256" s="2">
        <v>103.07810000000001</v>
      </c>
      <c r="N256" s="2">
        <v>143</v>
      </c>
      <c r="O256" s="2">
        <v>100.8185</v>
      </c>
      <c r="P256" s="2">
        <v>184</v>
      </c>
      <c r="Q256" s="2">
        <v>107.3439</v>
      </c>
      <c r="R256" s="2">
        <v>295</v>
      </c>
      <c r="S256" s="2">
        <v>108.5496</v>
      </c>
      <c r="T256" s="2">
        <v>303</v>
      </c>
      <c r="U256" s="2">
        <v>0.29949999999999999</v>
      </c>
      <c r="V256" s="2">
        <v>255</v>
      </c>
      <c r="W256" s="2">
        <v>2009</v>
      </c>
    </row>
    <row r="257" spans="1:23" ht="12.3" x14ac:dyDescent="0.4">
      <c r="A257" s="2" t="s">
        <v>173</v>
      </c>
      <c r="B257" s="2"/>
      <c r="C257" s="2"/>
      <c r="D257" s="2"/>
      <c r="E257" s="2"/>
      <c r="F257" s="2"/>
      <c r="G257" s="2"/>
      <c r="H257" s="2"/>
      <c r="I257" s="2">
        <v>65.874600000000001</v>
      </c>
      <c r="J257" s="2">
        <v>187</v>
      </c>
      <c r="K257" s="2">
        <v>65.534099999999995</v>
      </c>
      <c r="L257" s="2">
        <v>209</v>
      </c>
      <c r="M257" s="2">
        <v>100.38030000000001</v>
      </c>
      <c r="N257" s="2">
        <v>189</v>
      </c>
      <c r="O257" s="2">
        <v>103.363</v>
      </c>
      <c r="P257" s="2">
        <v>133</v>
      </c>
      <c r="Q257" s="2">
        <v>110.1264</v>
      </c>
      <c r="R257" s="2">
        <v>330</v>
      </c>
      <c r="S257" s="2">
        <v>111.3074</v>
      </c>
      <c r="T257" s="2">
        <v>327</v>
      </c>
      <c r="U257" s="2">
        <v>0.29910500000000001</v>
      </c>
      <c r="V257" s="2">
        <v>256</v>
      </c>
      <c r="W257" s="2">
        <v>2009</v>
      </c>
    </row>
    <row r="258" spans="1:23" ht="12.3" x14ac:dyDescent="0.4">
      <c r="A258" s="2" t="s">
        <v>235</v>
      </c>
      <c r="B258" s="2"/>
      <c r="C258" s="2"/>
      <c r="D258" s="2"/>
      <c r="E258" s="2"/>
      <c r="F258" s="2"/>
      <c r="G258" s="2"/>
      <c r="H258" s="2"/>
      <c r="I258" s="2">
        <v>63.160899999999998</v>
      </c>
      <c r="J258" s="2">
        <v>291</v>
      </c>
      <c r="K258" s="2">
        <v>63.1708</v>
      </c>
      <c r="L258" s="2">
        <v>294</v>
      </c>
      <c r="M258" s="2">
        <v>97.246200000000002</v>
      </c>
      <c r="N258" s="2">
        <v>244</v>
      </c>
      <c r="O258" s="2">
        <v>97.975300000000004</v>
      </c>
      <c r="P258" s="2">
        <v>232</v>
      </c>
      <c r="Q258" s="2">
        <v>101.2077</v>
      </c>
      <c r="R258" s="2">
        <v>169</v>
      </c>
      <c r="S258" s="2">
        <v>105.63379999999999</v>
      </c>
      <c r="T258" s="2">
        <v>260</v>
      </c>
      <c r="U258" s="2">
        <v>0.29618699999999998</v>
      </c>
      <c r="V258" s="2">
        <v>257</v>
      </c>
      <c r="W258" s="2">
        <v>2009</v>
      </c>
    </row>
    <row r="259" spans="1:23" ht="12.3" x14ac:dyDescent="0.4">
      <c r="A259" s="2" t="s">
        <v>293</v>
      </c>
      <c r="B259" s="2"/>
      <c r="C259" s="2"/>
      <c r="D259" s="2"/>
      <c r="E259" s="2"/>
      <c r="F259" s="2"/>
      <c r="G259" s="2"/>
      <c r="H259" s="2"/>
      <c r="I259" s="2">
        <v>65.634500000000003</v>
      </c>
      <c r="J259" s="2">
        <v>199</v>
      </c>
      <c r="K259" s="2">
        <v>66.790499999999994</v>
      </c>
      <c r="L259" s="2">
        <v>152</v>
      </c>
      <c r="M259" s="2">
        <v>97.805199999999999</v>
      </c>
      <c r="N259" s="2">
        <v>235</v>
      </c>
      <c r="O259" s="2">
        <v>100.06950000000001</v>
      </c>
      <c r="P259" s="2">
        <v>202</v>
      </c>
      <c r="Q259" s="2">
        <v>106.6084</v>
      </c>
      <c r="R259" s="2">
        <v>280</v>
      </c>
      <c r="S259" s="2">
        <v>107.99250000000001</v>
      </c>
      <c r="T259" s="2">
        <v>297</v>
      </c>
      <c r="U259" s="2">
        <v>0.29395199999999999</v>
      </c>
      <c r="V259" s="2">
        <v>258</v>
      </c>
      <c r="W259" s="2">
        <v>2009</v>
      </c>
    </row>
    <row r="260" spans="1:23" ht="12.3" x14ac:dyDescent="0.4">
      <c r="A260" s="2" t="s">
        <v>176</v>
      </c>
      <c r="B260" s="2"/>
      <c r="C260" s="2"/>
      <c r="D260" s="2"/>
      <c r="E260" s="2"/>
      <c r="F260" s="2"/>
      <c r="G260" s="2"/>
      <c r="H260" s="2"/>
      <c r="I260" s="2">
        <v>58.927700000000002</v>
      </c>
      <c r="J260" s="2">
        <v>340</v>
      </c>
      <c r="K260" s="2">
        <v>58.440899999999999</v>
      </c>
      <c r="L260" s="2">
        <v>342</v>
      </c>
      <c r="M260" s="2">
        <v>97.143500000000003</v>
      </c>
      <c r="N260" s="2">
        <v>247</v>
      </c>
      <c r="O260" s="2">
        <v>95.313599999999994</v>
      </c>
      <c r="P260" s="2">
        <v>274</v>
      </c>
      <c r="Q260" s="2">
        <v>97.386099999999999</v>
      </c>
      <c r="R260" s="2">
        <v>86</v>
      </c>
      <c r="S260" s="2">
        <v>103.0073</v>
      </c>
      <c r="T260" s="2">
        <v>195</v>
      </c>
      <c r="U260" s="2">
        <v>0.29055199999999998</v>
      </c>
      <c r="V260" s="2">
        <v>259</v>
      </c>
      <c r="W260" s="2">
        <v>2009</v>
      </c>
    </row>
    <row r="261" spans="1:23" ht="12.3" x14ac:dyDescent="0.4">
      <c r="A261" s="2" t="s">
        <v>187</v>
      </c>
      <c r="B261" s="2"/>
      <c r="C261" s="2"/>
      <c r="D261" s="2"/>
      <c r="E261" s="2"/>
      <c r="F261" s="2"/>
      <c r="G261" s="2"/>
      <c r="H261" s="2"/>
      <c r="I261" s="2">
        <v>64.394300000000001</v>
      </c>
      <c r="J261" s="2">
        <v>263</v>
      </c>
      <c r="K261" s="2">
        <v>64.889399999999995</v>
      </c>
      <c r="L261" s="2">
        <v>240</v>
      </c>
      <c r="M261" s="2">
        <v>97.093999999999994</v>
      </c>
      <c r="N261" s="2">
        <v>248</v>
      </c>
      <c r="O261" s="2">
        <v>95.930599999999998</v>
      </c>
      <c r="P261" s="2">
        <v>263</v>
      </c>
      <c r="Q261" s="2">
        <v>105.16840000000001</v>
      </c>
      <c r="R261" s="2">
        <v>254</v>
      </c>
      <c r="S261" s="2">
        <v>103.7474</v>
      </c>
      <c r="T261" s="2">
        <v>216</v>
      </c>
      <c r="U261" s="2">
        <v>0.28887800000000002</v>
      </c>
      <c r="V261" s="2">
        <v>260</v>
      </c>
      <c r="W261" s="2">
        <v>2009</v>
      </c>
    </row>
    <row r="262" spans="1:23" ht="12.3" x14ac:dyDescent="0.4">
      <c r="A262" s="2" t="s">
        <v>335</v>
      </c>
      <c r="B262" s="2"/>
      <c r="C262" s="2"/>
      <c r="D262" s="2"/>
      <c r="E262" s="2"/>
      <c r="F262" s="2"/>
      <c r="G262" s="2"/>
      <c r="H262" s="2"/>
      <c r="I262" s="2">
        <v>64.678700000000006</v>
      </c>
      <c r="J262" s="2">
        <v>252</v>
      </c>
      <c r="K262" s="2">
        <v>63.892200000000003</v>
      </c>
      <c r="L262" s="2">
        <v>273</v>
      </c>
      <c r="M262" s="2">
        <v>91.705500000000001</v>
      </c>
      <c r="N262" s="2">
        <v>313</v>
      </c>
      <c r="O262" s="2">
        <v>93.194500000000005</v>
      </c>
      <c r="P262" s="2">
        <v>299</v>
      </c>
      <c r="Q262" s="2">
        <v>98.680400000000006</v>
      </c>
      <c r="R262" s="2">
        <v>106</v>
      </c>
      <c r="S262" s="2">
        <v>100.79349999999999</v>
      </c>
      <c r="T262" s="2">
        <v>153</v>
      </c>
      <c r="U262" s="2">
        <v>0.28875800000000001</v>
      </c>
      <c r="V262" s="2">
        <v>261</v>
      </c>
      <c r="W262" s="2">
        <v>2009</v>
      </c>
    </row>
    <row r="263" spans="1:23" ht="12.3" x14ac:dyDescent="0.4">
      <c r="A263" s="2" t="s">
        <v>298</v>
      </c>
      <c r="B263" s="2"/>
      <c r="C263" s="2"/>
      <c r="D263" s="2"/>
      <c r="E263" s="2"/>
      <c r="F263" s="2"/>
      <c r="G263" s="2"/>
      <c r="H263" s="2"/>
      <c r="I263" s="2">
        <v>68.804500000000004</v>
      </c>
      <c r="J263" s="2">
        <v>88</v>
      </c>
      <c r="K263" s="2">
        <v>67.840900000000005</v>
      </c>
      <c r="L263" s="2">
        <v>107</v>
      </c>
      <c r="M263" s="2">
        <v>94.196799999999996</v>
      </c>
      <c r="N263" s="2">
        <v>289</v>
      </c>
      <c r="O263" s="2">
        <v>95.314800000000005</v>
      </c>
      <c r="P263" s="2">
        <v>273</v>
      </c>
      <c r="Q263" s="2">
        <v>100.82340000000001</v>
      </c>
      <c r="R263" s="2">
        <v>160</v>
      </c>
      <c r="S263" s="2">
        <v>103.0889</v>
      </c>
      <c r="T263" s="2">
        <v>199</v>
      </c>
      <c r="U263" s="2">
        <v>0.28870699999999999</v>
      </c>
      <c r="V263" s="2">
        <v>262</v>
      </c>
      <c r="W263" s="2">
        <v>2009</v>
      </c>
    </row>
    <row r="264" spans="1:23" ht="12.3" x14ac:dyDescent="0.4">
      <c r="A264" s="2" t="s">
        <v>117</v>
      </c>
      <c r="B264" s="2"/>
      <c r="C264" s="2"/>
      <c r="D264" s="2"/>
      <c r="E264" s="2"/>
      <c r="F264" s="2"/>
      <c r="G264" s="2"/>
      <c r="H264" s="2"/>
      <c r="I264" s="2">
        <v>66.872799999999998</v>
      </c>
      <c r="J264" s="2">
        <v>148</v>
      </c>
      <c r="K264" s="2">
        <v>67.029200000000003</v>
      </c>
      <c r="L264" s="2">
        <v>143</v>
      </c>
      <c r="M264" s="2">
        <v>96.888599999999997</v>
      </c>
      <c r="N264" s="2">
        <v>252</v>
      </c>
      <c r="O264" s="2">
        <v>96.337000000000003</v>
      </c>
      <c r="P264" s="2">
        <v>255</v>
      </c>
      <c r="Q264" s="2">
        <v>104.218</v>
      </c>
      <c r="R264" s="2">
        <v>236</v>
      </c>
      <c r="S264" s="2">
        <v>104.2479</v>
      </c>
      <c r="T264" s="2">
        <v>228</v>
      </c>
      <c r="U264" s="2">
        <v>0.28749799999999998</v>
      </c>
      <c r="V264" s="2">
        <v>263</v>
      </c>
      <c r="W264" s="2">
        <v>2009</v>
      </c>
    </row>
    <row r="265" spans="1:23" ht="12.3" x14ac:dyDescent="0.4">
      <c r="A265" s="2" t="s">
        <v>162</v>
      </c>
      <c r="B265" s="2"/>
      <c r="C265" s="2"/>
      <c r="D265" s="2"/>
      <c r="E265" s="2"/>
      <c r="F265" s="2"/>
      <c r="G265" s="2"/>
      <c r="H265" s="2"/>
      <c r="I265" s="2">
        <v>63.718200000000003</v>
      </c>
      <c r="J265" s="2">
        <v>273</v>
      </c>
      <c r="K265" s="2">
        <v>65.007099999999994</v>
      </c>
      <c r="L265" s="2">
        <v>235</v>
      </c>
      <c r="M265" s="2">
        <v>96.212900000000005</v>
      </c>
      <c r="N265" s="2">
        <v>268</v>
      </c>
      <c r="O265" s="2">
        <v>96.388300000000001</v>
      </c>
      <c r="P265" s="2">
        <v>254</v>
      </c>
      <c r="Q265" s="2">
        <v>100.2437</v>
      </c>
      <c r="R265" s="2">
        <v>144</v>
      </c>
      <c r="S265" s="2">
        <v>104.4628</v>
      </c>
      <c r="T265" s="2">
        <v>235</v>
      </c>
      <c r="U265" s="2">
        <v>0.283912</v>
      </c>
      <c r="V265" s="2">
        <v>264</v>
      </c>
      <c r="W265" s="2">
        <v>2009</v>
      </c>
    </row>
    <row r="266" spans="1:23" ht="12.3" x14ac:dyDescent="0.4">
      <c r="A266" s="2" t="s">
        <v>341</v>
      </c>
      <c r="B266" s="2"/>
      <c r="C266" s="2"/>
      <c r="D266" s="2"/>
      <c r="E266" s="2"/>
      <c r="F266" s="2"/>
      <c r="G266" s="2"/>
      <c r="H266" s="2"/>
      <c r="I266" s="2">
        <v>64.912499999999994</v>
      </c>
      <c r="J266" s="2">
        <v>239</v>
      </c>
      <c r="K266" s="2">
        <v>65.184600000000003</v>
      </c>
      <c r="L266" s="2">
        <v>227</v>
      </c>
      <c r="M266" s="2">
        <v>96.6755</v>
      </c>
      <c r="N266" s="2">
        <v>258</v>
      </c>
      <c r="O266" s="2">
        <v>98.383200000000002</v>
      </c>
      <c r="P266" s="2">
        <v>225</v>
      </c>
      <c r="Q266" s="2">
        <v>103.2694</v>
      </c>
      <c r="R266" s="2">
        <v>220</v>
      </c>
      <c r="S266" s="2">
        <v>107.0617</v>
      </c>
      <c r="T266" s="2">
        <v>283</v>
      </c>
      <c r="U266" s="2">
        <v>0.274451</v>
      </c>
      <c r="V266" s="2">
        <v>265</v>
      </c>
      <c r="W266" s="2">
        <v>2009</v>
      </c>
    </row>
    <row r="267" spans="1:23" ht="12.3" x14ac:dyDescent="0.4">
      <c r="A267" s="2" t="s">
        <v>215</v>
      </c>
      <c r="B267" s="2"/>
      <c r="C267" s="2"/>
      <c r="D267" s="2"/>
      <c r="E267" s="2"/>
      <c r="F267" s="2"/>
      <c r="G267" s="2"/>
      <c r="H267" s="2"/>
      <c r="I267" s="2">
        <v>67.283100000000005</v>
      </c>
      <c r="J267" s="2">
        <v>134</v>
      </c>
      <c r="K267" s="2">
        <v>67.470699999999994</v>
      </c>
      <c r="L267" s="2">
        <v>122</v>
      </c>
      <c r="M267" s="2">
        <v>99.807599999999994</v>
      </c>
      <c r="N267" s="2">
        <v>202</v>
      </c>
      <c r="O267" s="2">
        <v>96.862700000000004</v>
      </c>
      <c r="P267" s="2">
        <v>250</v>
      </c>
      <c r="Q267" s="2">
        <v>101.11109999999999</v>
      </c>
      <c r="R267" s="2">
        <v>166</v>
      </c>
      <c r="S267" s="2">
        <v>105.5256</v>
      </c>
      <c r="T267" s="2">
        <v>258</v>
      </c>
      <c r="U267" s="2">
        <v>0.27188499999999999</v>
      </c>
      <c r="V267" s="2">
        <v>266</v>
      </c>
      <c r="W267" s="2">
        <v>2009</v>
      </c>
    </row>
    <row r="268" spans="1:23" ht="12.3" x14ac:dyDescent="0.4">
      <c r="A268" s="2" t="s">
        <v>260</v>
      </c>
      <c r="B268" s="2"/>
      <c r="C268" s="2"/>
      <c r="D268" s="2"/>
      <c r="E268" s="2"/>
      <c r="F268" s="2"/>
      <c r="G268" s="2"/>
      <c r="H268" s="2"/>
      <c r="I268" s="2">
        <v>65.068100000000001</v>
      </c>
      <c r="J268" s="2">
        <v>227</v>
      </c>
      <c r="K268" s="2">
        <v>65.453100000000006</v>
      </c>
      <c r="L268" s="2">
        <v>212</v>
      </c>
      <c r="M268" s="2">
        <v>95.945599999999999</v>
      </c>
      <c r="N268" s="2">
        <v>270</v>
      </c>
      <c r="O268" s="2">
        <v>97.136600000000001</v>
      </c>
      <c r="P268" s="2">
        <v>244</v>
      </c>
      <c r="Q268" s="2">
        <v>105.50320000000001</v>
      </c>
      <c r="R268" s="2">
        <v>262</v>
      </c>
      <c r="S268" s="2">
        <v>105.8742</v>
      </c>
      <c r="T268" s="2">
        <v>266</v>
      </c>
      <c r="U268" s="2">
        <v>0.27080500000000002</v>
      </c>
      <c r="V268" s="2">
        <v>267</v>
      </c>
      <c r="W268" s="2">
        <v>2009</v>
      </c>
    </row>
    <row r="269" spans="1:23" ht="12.3" x14ac:dyDescent="0.4">
      <c r="A269" s="2" t="s">
        <v>326</v>
      </c>
      <c r="B269" s="2"/>
      <c r="C269" s="2"/>
      <c r="D269" s="2"/>
      <c r="E269" s="2"/>
      <c r="F269" s="2"/>
      <c r="G269" s="2"/>
      <c r="H269" s="2"/>
      <c r="I269" s="2">
        <v>66.362200000000001</v>
      </c>
      <c r="J269" s="2">
        <v>166</v>
      </c>
      <c r="K269" s="2">
        <v>67.103700000000003</v>
      </c>
      <c r="L269" s="2">
        <v>136</v>
      </c>
      <c r="M269" s="2">
        <v>95.088800000000006</v>
      </c>
      <c r="N269" s="2">
        <v>278</v>
      </c>
      <c r="O269" s="2">
        <v>92.195899999999995</v>
      </c>
      <c r="P269" s="2">
        <v>308</v>
      </c>
      <c r="Q269" s="2">
        <v>93.555700000000002</v>
      </c>
      <c r="R269" s="2">
        <v>20</v>
      </c>
      <c r="S269" s="2">
        <v>100.6143</v>
      </c>
      <c r="T269" s="2">
        <v>149</v>
      </c>
      <c r="U269" s="2">
        <v>0.26798899999999998</v>
      </c>
      <c r="V269" s="2">
        <v>268</v>
      </c>
      <c r="W269" s="2">
        <v>2009</v>
      </c>
    </row>
    <row r="270" spans="1:23" ht="12.3" x14ac:dyDescent="0.4">
      <c r="A270" s="2" t="s">
        <v>189</v>
      </c>
      <c r="B270" s="2"/>
      <c r="C270" s="2"/>
      <c r="D270" s="2"/>
      <c r="E270" s="2"/>
      <c r="F270" s="2"/>
      <c r="G270" s="2"/>
      <c r="H270" s="2"/>
      <c r="I270" s="2">
        <v>65.796899999999994</v>
      </c>
      <c r="J270" s="2">
        <v>192</v>
      </c>
      <c r="K270" s="2">
        <v>66.289000000000001</v>
      </c>
      <c r="L270" s="2">
        <v>170</v>
      </c>
      <c r="M270" s="2">
        <v>98.6785</v>
      </c>
      <c r="N270" s="2">
        <v>222</v>
      </c>
      <c r="O270" s="2">
        <v>97.330699999999993</v>
      </c>
      <c r="P270" s="2">
        <v>240</v>
      </c>
      <c r="Q270" s="2">
        <v>106.7877</v>
      </c>
      <c r="R270" s="2">
        <v>286</v>
      </c>
      <c r="S270" s="2">
        <v>106.3095</v>
      </c>
      <c r="T270" s="2">
        <v>273</v>
      </c>
      <c r="U270" s="2">
        <v>0.26605000000000001</v>
      </c>
      <c r="V270" s="2">
        <v>269</v>
      </c>
      <c r="W270" s="2">
        <v>2009</v>
      </c>
    </row>
    <row r="271" spans="1:23" ht="12.3" x14ac:dyDescent="0.4">
      <c r="A271" s="2" t="s">
        <v>370</v>
      </c>
      <c r="B271" s="2"/>
      <c r="C271" s="2"/>
      <c r="D271" s="2"/>
      <c r="E271" s="2"/>
      <c r="F271" s="2"/>
      <c r="G271" s="2"/>
      <c r="H271" s="2"/>
      <c r="I271" s="2">
        <v>65.558199999999999</v>
      </c>
      <c r="J271" s="2">
        <v>201</v>
      </c>
      <c r="K271" s="2">
        <v>65.931799999999996</v>
      </c>
      <c r="L271" s="2">
        <v>185</v>
      </c>
      <c r="M271" s="2">
        <v>98.644800000000004</v>
      </c>
      <c r="N271" s="2">
        <v>223</v>
      </c>
      <c r="O271" s="2">
        <v>98.714399999999998</v>
      </c>
      <c r="P271" s="2">
        <v>221</v>
      </c>
      <c r="Q271" s="2">
        <v>108.9881</v>
      </c>
      <c r="R271" s="2">
        <v>317</v>
      </c>
      <c r="S271" s="2">
        <v>107.8694</v>
      </c>
      <c r="T271" s="2">
        <v>295</v>
      </c>
      <c r="U271" s="2">
        <v>0.26503700000000002</v>
      </c>
      <c r="V271" s="2">
        <v>270</v>
      </c>
      <c r="W271" s="2">
        <v>2009</v>
      </c>
    </row>
    <row r="272" spans="1:23" ht="12.3" x14ac:dyDescent="0.4">
      <c r="A272" s="2" t="s">
        <v>240</v>
      </c>
      <c r="B272" s="2"/>
      <c r="C272" s="2"/>
      <c r="D272" s="2"/>
      <c r="E272" s="2"/>
      <c r="F272" s="2"/>
      <c r="G272" s="2"/>
      <c r="H272" s="2"/>
      <c r="I272" s="2">
        <v>64.8078</v>
      </c>
      <c r="J272" s="2">
        <v>245</v>
      </c>
      <c r="K272" s="2">
        <v>62.887999999999998</v>
      </c>
      <c r="L272" s="2">
        <v>301</v>
      </c>
      <c r="M272" s="2">
        <v>92.770499999999998</v>
      </c>
      <c r="N272" s="2">
        <v>299</v>
      </c>
      <c r="O272" s="2">
        <v>91.240499999999997</v>
      </c>
      <c r="P272" s="2">
        <v>316</v>
      </c>
      <c r="Q272" s="2">
        <v>102.0309</v>
      </c>
      <c r="R272" s="2">
        <v>193</v>
      </c>
      <c r="S272" s="2">
        <v>99.875500000000002</v>
      </c>
      <c r="T272" s="2">
        <v>134</v>
      </c>
      <c r="U272" s="2">
        <v>0.26117099999999999</v>
      </c>
      <c r="V272" s="2">
        <v>271</v>
      </c>
      <c r="W272" s="2">
        <v>2009</v>
      </c>
    </row>
    <row r="273" spans="1:23" ht="12.3" x14ac:dyDescent="0.4">
      <c r="A273" s="2" t="s">
        <v>275</v>
      </c>
      <c r="B273" s="2"/>
      <c r="C273" s="2"/>
      <c r="D273" s="2"/>
      <c r="E273" s="2"/>
      <c r="F273" s="2"/>
      <c r="G273" s="2"/>
      <c r="H273" s="2"/>
      <c r="I273" s="2">
        <v>66.933800000000005</v>
      </c>
      <c r="J273" s="2">
        <v>143</v>
      </c>
      <c r="K273" s="2">
        <v>65.243499999999997</v>
      </c>
      <c r="L273" s="2">
        <v>226</v>
      </c>
      <c r="M273" s="2">
        <v>102.04559999999999</v>
      </c>
      <c r="N273" s="2">
        <v>164</v>
      </c>
      <c r="O273" s="2">
        <v>98.495500000000007</v>
      </c>
      <c r="P273" s="2">
        <v>222</v>
      </c>
      <c r="Q273" s="2">
        <v>107.79559999999999</v>
      </c>
      <c r="R273" s="2">
        <v>303</v>
      </c>
      <c r="S273" s="2">
        <v>107.8788</v>
      </c>
      <c r="T273" s="2">
        <v>296</v>
      </c>
      <c r="U273" s="2">
        <v>0.259903</v>
      </c>
      <c r="V273" s="2">
        <v>272</v>
      </c>
      <c r="W273" s="2">
        <v>2009</v>
      </c>
    </row>
    <row r="274" spans="1:23" ht="12.3" x14ac:dyDescent="0.4">
      <c r="A274" s="2" t="s">
        <v>288</v>
      </c>
      <c r="B274" s="2"/>
      <c r="C274" s="2"/>
      <c r="D274" s="2"/>
      <c r="E274" s="2"/>
      <c r="F274" s="2"/>
      <c r="G274" s="2"/>
      <c r="H274" s="2"/>
      <c r="I274" s="2">
        <v>68.876199999999997</v>
      </c>
      <c r="J274" s="2">
        <v>83</v>
      </c>
      <c r="K274" s="2">
        <v>69.382300000000001</v>
      </c>
      <c r="L274" s="2">
        <v>58</v>
      </c>
      <c r="M274" s="2">
        <v>97.5779</v>
      </c>
      <c r="N274" s="2">
        <v>239</v>
      </c>
      <c r="O274" s="2">
        <v>95.755499999999998</v>
      </c>
      <c r="P274" s="2">
        <v>267</v>
      </c>
      <c r="Q274" s="2">
        <v>97.738100000000003</v>
      </c>
      <c r="R274" s="2">
        <v>90</v>
      </c>
      <c r="S274" s="2">
        <v>104.9259</v>
      </c>
      <c r="T274" s="2">
        <v>246</v>
      </c>
      <c r="U274" s="2">
        <v>0.25889099999999998</v>
      </c>
      <c r="V274" s="2">
        <v>273</v>
      </c>
      <c r="W274" s="2">
        <v>2009</v>
      </c>
    </row>
    <row r="275" spans="1:23" ht="12.3" x14ac:dyDescent="0.4">
      <c r="A275" s="2" t="s">
        <v>274</v>
      </c>
      <c r="B275" s="2"/>
      <c r="C275" s="2"/>
      <c r="D275" s="2"/>
      <c r="E275" s="2"/>
      <c r="F275" s="2"/>
      <c r="G275" s="2"/>
      <c r="H275" s="2"/>
      <c r="I275" s="2">
        <v>65.474000000000004</v>
      </c>
      <c r="J275" s="2">
        <v>205</v>
      </c>
      <c r="K275" s="2">
        <v>65.486699999999999</v>
      </c>
      <c r="L275" s="2">
        <v>211</v>
      </c>
      <c r="M275" s="2">
        <v>100.5394</v>
      </c>
      <c r="N275" s="2">
        <v>185</v>
      </c>
      <c r="O275" s="2">
        <v>96.710300000000004</v>
      </c>
      <c r="P275" s="2">
        <v>251</v>
      </c>
      <c r="Q275" s="2">
        <v>102.5106</v>
      </c>
      <c r="R275" s="2">
        <v>203</v>
      </c>
      <c r="S275" s="2">
        <v>106.11499999999999</v>
      </c>
      <c r="T275" s="2">
        <v>269</v>
      </c>
      <c r="U275" s="2">
        <v>0.25592700000000002</v>
      </c>
      <c r="V275" s="2">
        <v>274</v>
      </c>
      <c r="W275" s="2">
        <v>2009</v>
      </c>
    </row>
    <row r="276" spans="1:23" ht="12.3" x14ac:dyDescent="0.4">
      <c r="A276" s="2" t="s">
        <v>135</v>
      </c>
      <c r="B276" s="2"/>
      <c r="C276" s="2"/>
      <c r="D276" s="2"/>
      <c r="E276" s="2"/>
      <c r="F276" s="2"/>
      <c r="G276" s="2"/>
      <c r="H276" s="2"/>
      <c r="I276" s="2">
        <v>64.599000000000004</v>
      </c>
      <c r="J276" s="2">
        <v>255</v>
      </c>
      <c r="K276" s="2">
        <v>64.524000000000001</v>
      </c>
      <c r="L276" s="2">
        <v>254</v>
      </c>
      <c r="M276" s="2">
        <v>87.610699999999994</v>
      </c>
      <c r="N276" s="2">
        <v>334</v>
      </c>
      <c r="O276" s="2">
        <v>85.137500000000003</v>
      </c>
      <c r="P276" s="2">
        <v>342</v>
      </c>
      <c r="Q276" s="2">
        <v>89.957499999999996</v>
      </c>
      <c r="R276" s="2">
        <v>5</v>
      </c>
      <c r="S276" s="2">
        <v>93.574100000000001</v>
      </c>
      <c r="T276" s="2">
        <v>32</v>
      </c>
      <c r="U276" s="2">
        <v>0.25226199999999999</v>
      </c>
      <c r="V276" s="2">
        <v>275</v>
      </c>
      <c r="W276" s="2">
        <v>2009</v>
      </c>
    </row>
    <row r="277" spans="1:23" ht="12.3" x14ac:dyDescent="0.4">
      <c r="A277" s="2" t="s">
        <v>268</v>
      </c>
      <c r="B277" s="2"/>
      <c r="C277" s="2"/>
      <c r="D277" s="2"/>
      <c r="E277" s="2"/>
      <c r="F277" s="2"/>
      <c r="G277" s="2"/>
      <c r="H277" s="2"/>
      <c r="I277" s="2">
        <v>70.452200000000005</v>
      </c>
      <c r="J277" s="2">
        <v>42</v>
      </c>
      <c r="K277" s="2">
        <v>70.203400000000002</v>
      </c>
      <c r="L277" s="2">
        <v>41</v>
      </c>
      <c r="M277" s="2">
        <v>101.1408</v>
      </c>
      <c r="N277" s="2">
        <v>173</v>
      </c>
      <c r="O277" s="2">
        <v>100.8591</v>
      </c>
      <c r="P277" s="2">
        <v>183</v>
      </c>
      <c r="Q277" s="2">
        <v>109.9004</v>
      </c>
      <c r="R277" s="2">
        <v>329</v>
      </c>
      <c r="S277" s="2">
        <v>110.90430000000001</v>
      </c>
      <c r="T277" s="2">
        <v>320</v>
      </c>
      <c r="U277" s="2">
        <v>0.25127100000000002</v>
      </c>
      <c r="V277" s="2">
        <v>276</v>
      </c>
      <c r="W277" s="2">
        <v>2009</v>
      </c>
    </row>
    <row r="278" spans="1:23" ht="12.3" x14ac:dyDescent="0.4">
      <c r="A278" s="2" t="s">
        <v>77</v>
      </c>
      <c r="B278" s="2"/>
      <c r="C278" s="2"/>
      <c r="D278" s="2"/>
      <c r="E278" s="2"/>
      <c r="F278" s="2"/>
      <c r="G278" s="2"/>
      <c r="H278" s="2"/>
      <c r="I278" s="2">
        <v>67.964500000000001</v>
      </c>
      <c r="J278" s="2">
        <v>112</v>
      </c>
      <c r="K278" s="2">
        <v>68.170900000000003</v>
      </c>
      <c r="L278" s="2">
        <v>98</v>
      </c>
      <c r="M278" s="2">
        <v>95.7363</v>
      </c>
      <c r="N278" s="2">
        <v>272</v>
      </c>
      <c r="O278" s="2">
        <v>94.807199999999995</v>
      </c>
      <c r="P278" s="2">
        <v>278</v>
      </c>
      <c r="Q278" s="2">
        <v>101.25069999999999</v>
      </c>
      <c r="R278" s="2">
        <v>171</v>
      </c>
      <c r="S278" s="2">
        <v>104.3019</v>
      </c>
      <c r="T278" s="2">
        <v>230</v>
      </c>
      <c r="U278" s="2">
        <v>0.25018800000000002</v>
      </c>
      <c r="V278" s="2">
        <v>277</v>
      </c>
      <c r="W278" s="2">
        <v>2009</v>
      </c>
    </row>
    <row r="279" spans="1:23" ht="12.3" x14ac:dyDescent="0.4">
      <c r="A279" s="2" t="s">
        <v>271</v>
      </c>
      <c r="B279" s="2"/>
      <c r="C279" s="2"/>
      <c r="D279" s="2"/>
      <c r="E279" s="2"/>
      <c r="F279" s="2"/>
      <c r="G279" s="2"/>
      <c r="H279" s="2"/>
      <c r="I279" s="2">
        <v>64.8523</v>
      </c>
      <c r="J279" s="2">
        <v>244</v>
      </c>
      <c r="K279" s="2">
        <v>64.962199999999996</v>
      </c>
      <c r="L279" s="2">
        <v>237</v>
      </c>
      <c r="M279" s="2">
        <v>92.776899999999998</v>
      </c>
      <c r="N279" s="2">
        <v>298</v>
      </c>
      <c r="O279" s="2">
        <v>90.527500000000003</v>
      </c>
      <c r="P279" s="2">
        <v>322</v>
      </c>
      <c r="Q279" s="2">
        <v>95.276200000000003</v>
      </c>
      <c r="R279" s="2">
        <v>43</v>
      </c>
      <c r="S279" s="2">
        <v>99.711699999999993</v>
      </c>
      <c r="T279" s="2">
        <v>131</v>
      </c>
      <c r="U279" s="2">
        <v>0.24764</v>
      </c>
      <c r="V279" s="2">
        <v>278</v>
      </c>
      <c r="W279" s="2">
        <v>2009</v>
      </c>
    </row>
    <row r="280" spans="1:23" ht="12.3" x14ac:dyDescent="0.4">
      <c r="A280" s="2" t="s">
        <v>264</v>
      </c>
      <c r="B280" s="2"/>
      <c r="C280" s="2"/>
      <c r="D280" s="2"/>
      <c r="E280" s="2"/>
      <c r="F280" s="2"/>
      <c r="G280" s="2"/>
      <c r="H280" s="2"/>
      <c r="I280" s="2">
        <v>62.966099999999997</v>
      </c>
      <c r="J280" s="2">
        <v>293</v>
      </c>
      <c r="K280" s="2">
        <v>62.470100000000002</v>
      </c>
      <c r="L280" s="2">
        <v>309</v>
      </c>
      <c r="M280" s="2">
        <v>100.1127</v>
      </c>
      <c r="N280" s="2">
        <v>193</v>
      </c>
      <c r="O280" s="2">
        <v>95.270399999999995</v>
      </c>
      <c r="P280" s="2">
        <v>275</v>
      </c>
      <c r="Q280" s="2">
        <v>106.2641</v>
      </c>
      <c r="R280" s="2">
        <v>275</v>
      </c>
      <c r="S280" s="2">
        <v>105.1564</v>
      </c>
      <c r="T280" s="2">
        <v>249</v>
      </c>
      <c r="U280" s="2">
        <v>0.243169</v>
      </c>
      <c r="V280" s="2">
        <v>279</v>
      </c>
      <c r="W280" s="2">
        <v>2009</v>
      </c>
    </row>
    <row r="281" spans="1:23" ht="12.3" x14ac:dyDescent="0.4">
      <c r="A281" s="2" t="s">
        <v>367</v>
      </c>
      <c r="B281" s="2"/>
      <c r="C281" s="2"/>
      <c r="D281" s="2"/>
      <c r="E281" s="2"/>
      <c r="F281" s="2"/>
      <c r="G281" s="2"/>
      <c r="H281" s="2"/>
      <c r="I281" s="2">
        <v>65.355199999999996</v>
      </c>
      <c r="J281" s="2">
        <v>210</v>
      </c>
      <c r="K281" s="2">
        <v>64.009600000000006</v>
      </c>
      <c r="L281" s="2">
        <v>270</v>
      </c>
      <c r="M281" s="2">
        <v>91.926500000000004</v>
      </c>
      <c r="N281" s="2">
        <v>311</v>
      </c>
      <c r="O281" s="2">
        <v>92.541799999999995</v>
      </c>
      <c r="P281" s="2">
        <v>307</v>
      </c>
      <c r="Q281" s="2">
        <v>103.5018</v>
      </c>
      <c r="R281" s="2">
        <v>224</v>
      </c>
      <c r="S281" s="2">
        <v>102.4357</v>
      </c>
      <c r="T281" s="2">
        <v>181</v>
      </c>
      <c r="U281" s="2">
        <v>0.23719599999999999</v>
      </c>
      <c r="V281" s="2">
        <v>280</v>
      </c>
      <c r="W281" s="2">
        <v>2009</v>
      </c>
    </row>
    <row r="282" spans="1:23" ht="12.3" x14ac:dyDescent="0.4">
      <c r="A282" s="2" t="s">
        <v>334</v>
      </c>
      <c r="B282" s="2"/>
      <c r="C282" s="2"/>
      <c r="D282" s="2"/>
      <c r="E282" s="2"/>
      <c r="F282" s="2"/>
      <c r="G282" s="2"/>
      <c r="H282" s="2"/>
      <c r="I282" s="2">
        <v>68.169499999999999</v>
      </c>
      <c r="J282" s="2">
        <v>108</v>
      </c>
      <c r="K282" s="2">
        <v>67.273700000000005</v>
      </c>
      <c r="L282" s="2">
        <v>128</v>
      </c>
      <c r="M282" s="2">
        <v>97.622</v>
      </c>
      <c r="N282" s="2">
        <v>237</v>
      </c>
      <c r="O282" s="2">
        <v>95.711600000000004</v>
      </c>
      <c r="P282" s="2">
        <v>268</v>
      </c>
      <c r="Q282" s="2">
        <v>104.3717</v>
      </c>
      <c r="R282" s="2">
        <v>241</v>
      </c>
      <c r="S282" s="2">
        <v>106.14109999999999</v>
      </c>
      <c r="T282" s="2">
        <v>270</v>
      </c>
      <c r="U282" s="2">
        <v>0.23336000000000001</v>
      </c>
      <c r="V282" s="2">
        <v>281</v>
      </c>
      <c r="W282" s="2">
        <v>2009</v>
      </c>
    </row>
    <row r="283" spans="1:23" ht="12.3" x14ac:dyDescent="0.4">
      <c r="A283" s="2" t="s">
        <v>132</v>
      </c>
      <c r="B283" s="2"/>
      <c r="C283" s="2"/>
      <c r="D283" s="2"/>
      <c r="E283" s="2"/>
      <c r="F283" s="2"/>
      <c r="G283" s="2"/>
      <c r="H283" s="2"/>
      <c r="I283" s="2">
        <v>63.938400000000001</v>
      </c>
      <c r="J283" s="2">
        <v>270</v>
      </c>
      <c r="K283" s="2">
        <v>65.001300000000001</v>
      </c>
      <c r="L283" s="2">
        <v>236</v>
      </c>
      <c r="M283" s="2">
        <v>87.599599999999995</v>
      </c>
      <c r="N283" s="2">
        <v>335</v>
      </c>
      <c r="O283" s="2">
        <v>89.782399999999996</v>
      </c>
      <c r="P283" s="2">
        <v>329</v>
      </c>
      <c r="Q283" s="2">
        <v>101.5562</v>
      </c>
      <c r="R283" s="2">
        <v>177</v>
      </c>
      <c r="S283" s="2">
        <v>99.602900000000005</v>
      </c>
      <c r="T283" s="2">
        <v>128</v>
      </c>
      <c r="U283" s="2">
        <v>0.232594</v>
      </c>
      <c r="V283" s="2">
        <v>282</v>
      </c>
      <c r="W283" s="2">
        <v>2009</v>
      </c>
    </row>
    <row r="284" spans="1:23" ht="12.3" x14ac:dyDescent="0.4">
      <c r="A284" s="2" t="s">
        <v>313</v>
      </c>
      <c r="B284" s="2"/>
      <c r="C284" s="2"/>
      <c r="D284" s="2"/>
      <c r="E284" s="2"/>
      <c r="F284" s="2"/>
      <c r="G284" s="2"/>
      <c r="H284" s="2"/>
      <c r="I284" s="2">
        <v>61.386299999999999</v>
      </c>
      <c r="J284" s="2">
        <v>323</v>
      </c>
      <c r="K284" s="2">
        <v>60.7254</v>
      </c>
      <c r="L284" s="2">
        <v>330</v>
      </c>
      <c r="M284" s="2">
        <v>91.451800000000006</v>
      </c>
      <c r="N284" s="2">
        <v>315</v>
      </c>
      <c r="O284" s="2">
        <v>88.478800000000007</v>
      </c>
      <c r="P284" s="2">
        <v>334</v>
      </c>
      <c r="Q284" s="2">
        <v>94.281999999999996</v>
      </c>
      <c r="R284" s="2">
        <v>27</v>
      </c>
      <c r="S284" s="2">
        <v>98.602699999999999</v>
      </c>
      <c r="T284" s="2">
        <v>103</v>
      </c>
      <c r="U284" s="2">
        <v>0.22341800000000001</v>
      </c>
      <c r="V284" s="2">
        <v>283</v>
      </c>
      <c r="W284" s="2">
        <v>2009</v>
      </c>
    </row>
    <row r="285" spans="1:23" ht="12.3" x14ac:dyDescent="0.4">
      <c r="A285" s="2" t="s">
        <v>314</v>
      </c>
      <c r="B285" s="2"/>
      <c r="C285" s="2"/>
      <c r="D285" s="2"/>
      <c r="E285" s="2"/>
      <c r="F285" s="2"/>
      <c r="G285" s="2"/>
      <c r="H285" s="2"/>
      <c r="I285" s="2">
        <v>63.741</v>
      </c>
      <c r="J285" s="2">
        <v>272</v>
      </c>
      <c r="K285" s="2">
        <v>64.220399999999998</v>
      </c>
      <c r="L285" s="2">
        <v>265</v>
      </c>
      <c r="M285" s="2">
        <v>88.9773</v>
      </c>
      <c r="N285" s="2">
        <v>332</v>
      </c>
      <c r="O285" s="2">
        <v>87.578400000000002</v>
      </c>
      <c r="P285" s="2">
        <v>338</v>
      </c>
      <c r="Q285" s="2">
        <v>94.264200000000002</v>
      </c>
      <c r="R285" s="2">
        <v>26</v>
      </c>
      <c r="S285" s="2">
        <v>97.804599999999994</v>
      </c>
      <c r="T285" s="2">
        <v>85</v>
      </c>
      <c r="U285" s="2">
        <v>0.219253</v>
      </c>
      <c r="V285" s="2">
        <v>284</v>
      </c>
      <c r="W285" s="2">
        <v>2009</v>
      </c>
    </row>
    <row r="286" spans="1:23" ht="12.3" x14ac:dyDescent="0.4">
      <c r="A286" s="2" t="s">
        <v>191</v>
      </c>
      <c r="B286" s="2"/>
      <c r="C286" s="2"/>
      <c r="D286" s="2"/>
      <c r="E286" s="2"/>
      <c r="F286" s="2"/>
      <c r="G286" s="2"/>
      <c r="H286" s="2"/>
      <c r="I286" s="2">
        <v>66.577500000000001</v>
      </c>
      <c r="J286" s="2">
        <v>157</v>
      </c>
      <c r="K286" s="2">
        <v>67.171000000000006</v>
      </c>
      <c r="L286" s="2">
        <v>134</v>
      </c>
      <c r="M286" s="2">
        <v>97.894099999999995</v>
      </c>
      <c r="N286" s="2">
        <v>232</v>
      </c>
      <c r="O286" s="2">
        <v>98.025000000000006</v>
      </c>
      <c r="P286" s="2">
        <v>230</v>
      </c>
      <c r="Q286" s="2">
        <v>109.80329999999999</v>
      </c>
      <c r="R286" s="2">
        <v>328</v>
      </c>
      <c r="S286" s="2">
        <v>109.5172</v>
      </c>
      <c r="T286" s="2">
        <v>311</v>
      </c>
      <c r="U286" s="2">
        <v>0.21842400000000001</v>
      </c>
      <c r="V286" s="2">
        <v>285</v>
      </c>
      <c r="W286" s="2">
        <v>2009</v>
      </c>
    </row>
    <row r="287" spans="1:23" ht="12.3" x14ac:dyDescent="0.4">
      <c r="A287" s="2" t="s">
        <v>183</v>
      </c>
      <c r="B287" s="2"/>
      <c r="C287" s="2"/>
      <c r="D287" s="2"/>
      <c r="E287" s="2"/>
      <c r="F287" s="2"/>
      <c r="G287" s="2"/>
      <c r="H287" s="2"/>
      <c r="I287" s="2">
        <v>66.232100000000003</v>
      </c>
      <c r="J287" s="2">
        <v>171</v>
      </c>
      <c r="K287" s="2">
        <v>66.785200000000003</v>
      </c>
      <c r="L287" s="2">
        <v>153</v>
      </c>
      <c r="M287" s="2">
        <v>92.704800000000006</v>
      </c>
      <c r="N287" s="2">
        <v>303</v>
      </c>
      <c r="O287" s="2">
        <v>90.431299999999993</v>
      </c>
      <c r="P287" s="2">
        <v>323</v>
      </c>
      <c r="Q287" s="2">
        <v>100.66330000000001</v>
      </c>
      <c r="R287" s="2">
        <v>154</v>
      </c>
      <c r="S287" s="2">
        <v>101.1772</v>
      </c>
      <c r="T287" s="2">
        <v>161</v>
      </c>
      <c r="U287" s="2">
        <v>0.215639</v>
      </c>
      <c r="V287" s="2">
        <v>286</v>
      </c>
      <c r="W287" s="2">
        <v>2009</v>
      </c>
    </row>
    <row r="288" spans="1:23" ht="12.3" x14ac:dyDescent="0.4">
      <c r="A288" s="2" t="s">
        <v>306</v>
      </c>
      <c r="B288" s="2"/>
      <c r="C288" s="2"/>
      <c r="D288" s="2"/>
      <c r="E288" s="2"/>
      <c r="F288" s="2"/>
      <c r="G288" s="2"/>
      <c r="H288" s="2"/>
      <c r="I288" s="2">
        <v>65.933700000000002</v>
      </c>
      <c r="J288" s="2">
        <v>184</v>
      </c>
      <c r="K288" s="2">
        <v>65.116</v>
      </c>
      <c r="L288" s="2">
        <v>229</v>
      </c>
      <c r="M288" s="2">
        <v>96.652199999999993</v>
      </c>
      <c r="N288" s="2">
        <v>260</v>
      </c>
      <c r="O288" s="2">
        <v>94.655100000000004</v>
      </c>
      <c r="P288" s="2">
        <v>281</v>
      </c>
      <c r="Q288" s="2">
        <v>107.53279999999999</v>
      </c>
      <c r="R288" s="2">
        <v>298</v>
      </c>
      <c r="S288" s="2">
        <v>106.00239999999999</v>
      </c>
      <c r="T288" s="2">
        <v>268</v>
      </c>
      <c r="U288" s="2">
        <v>0.21381900000000001</v>
      </c>
      <c r="V288" s="2">
        <v>287</v>
      </c>
      <c r="W288" s="2">
        <v>2009</v>
      </c>
    </row>
    <row r="289" spans="1:23" ht="12.3" x14ac:dyDescent="0.4">
      <c r="A289" s="2" t="s">
        <v>156</v>
      </c>
      <c r="B289" s="2"/>
      <c r="C289" s="2"/>
      <c r="D289" s="2"/>
      <c r="E289" s="2"/>
      <c r="F289" s="2"/>
      <c r="G289" s="2"/>
      <c r="H289" s="2"/>
      <c r="I289" s="2">
        <v>64.426100000000005</v>
      </c>
      <c r="J289" s="2">
        <v>261</v>
      </c>
      <c r="K289" s="2">
        <v>64.579499999999996</v>
      </c>
      <c r="L289" s="2">
        <v>250</v>
      </c>
      <c r="M289" s="2">
        <v>100.0078</v>
      </c>
      <c r="N289" s="2">
        <v>194</v>
      </c>
      <c r="O289" s="2">
        <v>97.121399999999994</v>
      </c>
      <c r="P289" s="2">
        <v>246</v>
      </c>
      <c r="Q289" s="2">
        <v>105.18729999999999</v>
      </c>
      <c r="R289" s="2">
        <v>255</v>
      </c>
      <c r="S289" s="2">
        <v>109.107</v>
      </c>
      <c r="T289" s="2">
        <v>306</v>
      </c>
      <c r="U289" s="2">
        <v>0.20780199999999999</v>
      </c>
      <c r="V289" s="2">
        <v>288</v>
      </c>
      <c r="W289" s="2">
        <v>2009</v>
      </c>
    </row>
    <row r="290" spans="1:23" ht="12.3" x14ac:dyDescent="0.4">
      <c r="A290" s="2" t="s">
        <v>342</v>
      </c>
      <c r="B290" s="2"/>
      <c r="C290" s="2"/>
      <c r="D290" s="2"/>
      <c r="E290" s="2"/>
      <c r="F290" s="2"/>
      <c r="G290" s="2"/>
      <c r="H290" s="2"/>
      <c r="I290" s="2">
        <v>70.241799999999998</v>
      </c>
      <c r="J290" s="2">
        <v>49</v>
      </c>
      <c r="K290" s="2">
        <v>67.842699999999994</v>
      </c>
      <c r="L290" s="2">
        <v>106</v>
      </c>
      <c r="M290" s="2">
        <v>96.608900000000006</v>
      </c>
      <c r="N290" s="2">
        <v>262</v>
      </c>
      <c r="O290" s="2">
        <v>93.565799999999996</v>
      </c>
      <c r="P290" s="2">
        <v>295</v>
      </c>
      <c r="Q290" s="2">
        <v>99.935900000000004</v>
      </c>
      <c r="R290" s="2">
        <v>137</v>
      </c>
      <c r="S290" s="2">
        <v>105.1922</v>
      </c>
      <c r="T290" s="2">
        <v>250</v>
      </c>
      <c r="U290" s="2">
        <v>0.206373</v>
      </c>
      <c r="V290" s="2">
        <v>289</v>
      </c>
      <c r="W290" s="2">
        <v>2009</v>
      </c>
    </row>
    <row r="291" spans="1:23" ht="12.3" x14ac:dyDescent="0.4">
      <c r="A291" s="2" t="s">
        <v>218</v>
      </c>
      <c r="B291" s="2"/>
      <c r="C291" s="2"/>
      <c r="D291" s="2"/>
      <c r="E291" s="2"/>
      <c r="F291" s="2"/>
      <c r="G291" s="2"/>
      <c r="H291" s="2"/>
      <c r="I291" s="2">
        <v>64.892200000000003</v>
      </c>
      <c r="J291" s="2">
        <v>242</v>
      </c>
      <c r="K291" s="2">
        <v>65.428899999999999</v>
      </c>
      <c r="L291" s="2">
        <v>214</v>
      </c>
      <c r="M291" s="2">
        <v>100.482</v>
      </c>
      <c r="N291" s="2">
        <v>186</v>
      </c>
      <c r="O291" s="2">
        <v>100.11109999999999</v>
      </c>
      <c r="P291" s="2">
        <v>200</v>
      </c>
      <c r="Q291" s="2">
        <v>111.75579999999999</v>
      </c>
      <c r="R291" s="2">
        <v>335</v>
      </c>
      <c r="S291" s="2">
        <v>112.771</v>
      </c>
      <c r="T291" s="2">
        <v>337</v>
      </c>
      <c r="U291" s="2">
        <v>0.20271700000000001</v>
      </c>
      <c r="V291" s="2">
        <v>290</v>
      </c>
      <c r="W291" s="2">
        <v>2009</v>
      </c>
    </row>
    <row r="292" spans="1:23" ht="12.3" x14ac:dyDescent="0.4">
      <c r="A292" s="2" t="s">
        <v>209</v>
      </c>
      <c r="B292" s="2"/>
      <c r="C292" s="2"/>
      <c r="D292" s="2"/>
      <c r="E292" s="2"/>
      <c r="F292" s="2"/>
      <c r="G292" s="2"/>
      <c r="H292" s="2"/>
      <c r="I292" s="2">
        <v>68.819000000000003</v>
      </c>
      <c r="J292" s="2">
        <v>87</v>
      </c>
      <c r="K292" s="2">
        <v>70.086699999999993</v>
      </c>
      <c r="L292" s="2">
        <v>43</v>
      </c>
      <c r="M292" s="2">
        <v>94.560699999999997</v>
      </c>
      <c r="N292" s="2">
        <v>286</v>
      </c>
      <c r="O292" s="2">
        <v>93.372500000000002</v>
      </c>
      <c r="P292" s="2">
        <v>296</v>
      </c>
      <c r="Q292" s="2">
        <v>102.3053</v>
      </c>
      <c r="R292" s="2">
        <v>200</v>
      </c>
      <c r="S292" s="2">
        <v>105.3135</v>
      </c>
      <c r="T292" s="2">
        <v>255</v>
      </c>
      <c r="U292" s="2">
        <v>0.20037199999999999</v>
      </c>
      <c r="V292" s="2">
        <v>291</v>
      </c>
      <c r="W292" s="2">
        <v>2009</v>
      </c>
    </row>
    <row r="293" spans="1:23" ht="12.3" x14ac:dyDescent="0.4">
      <c r="A293" s="2" t="s">
        <v>79</v>
      </c>
      <c r="B293" s="2"/>
      <c r="C293" s="2"/>
      <c r="D293" s="2"/>
      <c r="E293" s="2"/>
      <c r="F293" s="2"/>
      <c r="G293" s="2"/>
      <c r="H293" s="2"/>
      <c r="I293" s="2">
        <v>67.610399999999998</v>
      </c>
      <c r="J293" s="2">
        <v>126</v>
      </c>
      <c r="K293" s="2">
        <v>67.726699999999994</v>
      </c>
      <c r="L293" s="2">
        <v>112</v>
      </c>
      <c r="M293" s="2">
        <v>88.634100000000004</v>
      </c>
      <c r="N293" s="2">
        <v>333</v>
      </c>
      <c r="O293" s="2">
        <v>92.134</v>
      </c>
      <c r="P293" s="2">
        <v>309</v>
      </c>
      <c r="Q293" s="2">
        <v>106.983</v>
      </c>
      <c r="R293" s="2">
        <v>290</v>
      </c>
      <c r="S293" s="2">
        <v>103.9759</v>
      </c>
      <c r="T293" s="2">
        <v>222</v>
      </c>
      <c r="U293" s="2">
        <v>0.199325</v>
      </c>
      <c r="V293" s="2">
        <v>292</v>
      </c>
      <c r="W293" s="2">
        <v>2009</v>
      </c>
    </row>
    <row r="294" spans="1:23" ht="12.3" x14ac:dyDescent="0.4">
      <c r="A294" s="2" t="s">
        <v>320</v>
      </c>
      <c r="B294" s="2"/>
      <c r="C294" s="2"/>
      <c r="D294" s="2"/>
      <c r="E294" s="2"/>
      <c r="F294" s="2"/>
      <c r="G294" s="2"/>
      <c r="H294" s="2"/>
      <c r="I294" s="2">
        <v>69.738699999999994</v>
      </c>
      <c r="J294" s="2">
        <v>65</v>
      </c>
      <c r="K294" s="2">
        <v>71.137500000000003</v>
      </c>
      <c r="L294" s="2">
        <v>23</v>
      </c>
      <c r="M294" s="2">
        <v>97.974199999999996</v>
      </c>
      <c r="N294" s="2">
        <v>228</v>
      </c>
      <c r="O294" s="2">
        <v>97.368700000000004</v>
      </c>
      <c r="P294" s="2">
        <v>239</v>
      </c>
      <c r="Q294" s="2">
        <v>102.9984</v>
      </c>
      <c r="R294" s="2">
        <v>211</v>
      </c>
      <c r="S294" s="2">
        <v>109.9815</v>
      </c>
      <c r="T294" s="2">
        <v>316</v>
      </c>
      <c r="U294" s="2">
        <v>0.19769</v>
      </c>
      <c r="V294" s="2">
        <v>293</v>
      </c>
      <c r="W294" s="2">
        <v>2009</v>
      </c>
    </row>
    <row r="295" spans="1:23" ht="12.3" x14ac:dyDescent="0.4">
      <c r="A295" s="2" t="s">
        <v>309</v>
      </c>
      <c r="B295" s="2"/>
      <c r="C295" s="2"/>
      <c r="D295" s="2"/>
      <c r="E295" s="2"/>
      <c r="F295" s="2"/>
      <c r="G295" s="2"/>
      <c r="H295" s="2"/>
      <c r="I295" s="2">
        <v>65.025800000000004</v>
      </c>
      <c r="J295" s="2">
        <v>231</v>
      </c>
      <c r="K295" s="2">
        <v>65.862099999999998</v>
      </c>
      <c r="L295" s="2">
        <v>192</v>
      </c>
      <c r="M295" s="2">
        <v>97.001599999999996</v>
      </c>
      <c r="N295" s="2">
        <v>249</v>
      </c>
      <c r="O295" s="2">
        <v>96.960400000000007</v>
      </c>
      <c r="P295" s="2">
        <v>249</v>
      </c>
      <c r="Q295" s="2">
        <v>106.2457</v>
      </c>
      <c r="R295" s="2">
        <v>273</v>
      </c>
      <c r="S295" s="2">
        <v>109.66970000000001</v>
      </c>
      <c r="T295" s="2">
        <v>313</v>
      </c>
      <c r="U295" s="2">
        <v>0.195217</v>
      </c>
      <c r="V295" s="2">
        <v>294</v>
      </c>
      <c r="W295" s="2">
        <v>2009</v>
      </c>
    </row>
    <row r="296" spans="1:23" ht="12.3" x14ac:dyDescent="0.4">
      <c r="A296" s="2" t="s">
        <v>351</v>
      </c>
      <c r="B296" s="2"/>
      <c r="C296" s="2"/>
      <c r="D296" s="2"/>
      <c r="E296" s="2"/>
      <c r="F296" s="2"/>
      <c r="G296" s="2"/>
      <c r="H296" s="2"/>
      <c r="I296" s="2">
        <v>71.481300000000005</v>
      </c>
      <c r="J296" s="2">
        <v>29</v>
      </c>
      <c r="K296" s="2">
        <v>70.756699999999995</v>
      </c>
      <c r="L296" s="2">
        <v>27</v>
      </c>
      <c r="M296" s="2">
        <v>87.302400000000006</v>
      </c>
      <c r="N296" s="2">
        <v>336</v>
      </c>
      <c r="O296" s="2">
        <v>87.914100000000005</v>
      </c>
      <c r="P296" s="2">
        <v>337</v>
      </c>
      <c r="Q296" s="2">
        <v>98.1374</v>
      </c>
      <c r="R296" s="2">
        <v>95</v>
      </c>
      <c r="S296" s="2">
        <v>99.443700000000007</v>
      </c>
      <c r="T296" s="2">
        <v>125</v>
      </c>
      <c r="U296" s="2">
        <v>0.195106</v>
      </c>
      <c r="V296" s="2">
        <v>295</v>
      </c>
      <c r="W296" s="2">
        <v>2009</v>
      </c>
    </row>
    <row r="297" spans="1:23" ht="12.3" x14ac:dyDescent="0.4">
      <c r="A297" s="2" t="s">
        <v>193</v>
      </c>
      <c r="B297" s="2"/>
      <c r="C297" s="2"/>
      <c r="D297" s="2"/>
      <c r="E297" s="2"/>
      <c r="F297" s="2"/>
      <c r="G297" s="2"/>
      <c r="H297" s="2"/>
      <c r="I297" s="2">
        <v>67.640900000000002</v>
      </c>
      <c r="J297" s="2">
        <v>125</v>
      </c>
      <c r="K297" s="2">
        <v>68.692400000000006</v>
      </c>
      <c r="L297" s="2">
        <v>77</v>
      </c>
      <c r="M297" s="2">
        <v>94.760400000000004</v>
      </c>
      <c r="N297" s="2">
        <v>283</v>
      </c>
      <c r="O297" s="2">
        <v>95.698400000000007</v>
      </c>
      <c r="P297" s="2">
        <v>269</v>
      </c>
      <c r="Q297" s="2">
        <v>107.2456</v>
      </c>
      <c r="R297" s="2">
        <v>293</v>
      </c>
      <c r="S297" s="2">
        <v>108.25490000000001</v>
      </c>
      <c r="T297" s="2">
        <v>299</v>
      </c>
      <c r="U297" s="2">
        <v>0.19500600000000001</v>
      </c>
      <c r="V297" s="2">
        <v>296</v>
      </c>
      <c r="W297" s="2">
        <v>2009</v>
      </c>
    </row>
    <row r="298" spans="1:23" ht="12.3" x14ac:dyDescent="0.4">
      <c r="A298" s="2" t="s">
        <v>83</v>
      </c>
      <c r="B298" s="2"/>
      <c r="C298" s="2"/>
      <c r="D298" s="2"/>
      <c r="E298" s="2"/>
      <c r="F298" s="2"/>
      <c r="G298" s="2"/>
      <c r="H298" s="2"/>
      <c r="I298" s="2">
        <v>72.072400000000002</v>
      </c>
      <c r="J298" s="2">
        <v>18</v>
      </c>
      <c r="K298" s="2">
        <v>71.505300000000005</v>
      </c>
      <c r="L298" s="2">
        <v>18</v>
      </c>
      <c r="M298" s="2">
        <v>96.675200000000004</v>
      </c>
      <c r="N298" s="2">
        <v>259</v>
      </c>
      <c r="O298" s="2">
        <v>98.7209</v>
      </c>
      <c r="P298" s="2">
        <v>220</v>
      </c>
      <c r="Q298" s="2">
        <v>114.0137</v>
      </c>
      <c r="R298" s="2">
        <v>340</v>
      </c>
      <c r="S298" s="2">
        <v>111.7889</v>
      </c>
      <c r="T298" s="2">
        <v>331</v>
      </c>
      <c r="U298" s="2">
        <v>0.193157</v>
      </c>
      <c r="V298" s="2">
        <v>297</v>
      </c>
      <c r="W298" s="2">
        <v>2009</v>
      </c>
    </row>
    <row r="299" spans="1:23" ht="12.3" x14ac:dyDescent="0.4">
      <c r="A299" s="2" t="s">
        <v>289</v>
      </c>
      <c r="B299" s="2"/>
      <c r="C299" s="2"/>
      <c r="D299" s="2"/>
      <c r="E299" s="2"/>
      <c r="F299" s="2"/>
      <c r="G299" s="2"/>
      <c r="H299" s="2"/>
      <c r="I299" s="2">
        <v>68.628900000000002</v>
      </c>
      <c r="J299" s="2">
        <v>97</v>
      </c>
      <c r="K299" s="2">
        <v>68.599800000000002</v>
      </c>
      <c r="L299" s="2">
        <v>81</v>
      </c>
      <c r="M299" s="2">
        <v>91.329300000000003</v>
      </c>
      <c r="N299" s="2">
        <v>317</v>
      </c>
      <c r="O299" s="2">
        <v>92.850800000000007</v>
      </c>
      <c r="P299" s="2">
        <v>306</v>
      </c>
      <c r="Q299" s="2">
        <v>101.6319</v>
      </c>
      <c r="R299" s="2">
        <v>183</v>
      </c>
      <c r="S299" s="2">
        <v>105.2783</v>
      </c>
      <c r="T299" s="2">
        <v>254</v>
      </c>
      <c r="U299" s="2">
        <v>0.19084200000000001</v>
      </c>
      <c r="V299" s="2">
        <v>298</v>
      </c>
      <c r="W299" s="2">
        <v>2009</v>
      </c>
    </row>
    <row r="300" spans="1:23" ht="12.3" x14ac:dyDescent="0.4">
      <c r="A300" s="2" t="s">
        <v>285</v>
      </c>
      <c r="B300" s="2"/>
      <c r="C300" s="2"/>
      <c r="D300" s="2"/>
      <c r="E300" s="2"/>
      <c r="F300" s="2"/>
      <c r="G300" s="2"/>
      <c r="H300" s="2"/>
      <c r="I300" s="2">
        <v>59.424199999999999</v>
      </c>
      <c r="J300" s="2">
        <v>337</v>
      </c>
      <c r="K300" s="2">
        <v>59.620899999999999</v>
      </c>
      <c r="L300" s="2">
        <v>335</v>
      </c>
      <c r="M300" s="2">
        <v>97.662599999999998</v>
      </c>
      <c r="N300" s="2">
        <v>236</v>
      </c>
      <c r="O300" s="2">
        <v>96.463999999999999</v>
      </c>
      <c r="P300" s="2">
        <v>253</v>
      </c>
      <c r="Q300" s="2">
        <v>109.61499999999999</v>
      </c>
      <c r="R300" s="2">
        <v>325</v>
      </c>
      <c r="S300" s="2">
        <v>109.4115</v>
      </c>
      <c r="T300" s="2">
        <v>309</v>
      </c>
      <c r="U300" s="2">
        <v>0.19025</v>
      </c>
      <c r="V300" s="2">
        <v>299</v>
      </c>
      <c r="W300" s="2">
        <v>2009</v>
      </c>
    </row>
    <row r="301" spans="1:23" ht="12.3" x14ac:dyDescent="0.4">
      <c r="A301" s="2" t="s">
        <v>277</v>
      </c>
      <c r="B301" s="2"/>
      <c r="C301" s="2"/>
      <c r="D301" s="2"/>
      <c r="E301" s="2"/>
      <c r="F301" s="2"/>
      <c r="G301" s="2"/>
      <c r="H301" s="2"/>
      <c r="I301" s="2">
        <v>67.551000000000002</v>
      </c>
      <c r="J301" s="2">
        <v>130</v>
      </c>
      <c r="K301" s="2">
        <v>67.5916</v>
      </c>
      <c r="L301" s="2">
        <v>116</v>
      </c>
      <c r="M301" s="2">
        <v>96.498800000000003</v>
      </c>
      <c r="N301" s="2">
        <v>264</v>
      </c>
      <c r="O301" s="2">
        <v>94.919200000000004</v>
      </c>
      <c r="P301" s="2">
        <v>276</v>
      </c>
      <c r="Q301" s="2">
        <v>104.2941</v>
      </c>
      <c r="R301" s="2">
        <v>238</v>
      </c>
      <c r="S301" s="2">
        <v>107.6742</v>
      </c>
      <c r="T301" s="2">
        <v>292</v>
      </c>
      <c r="U301" s="2">
        <v>0.19000700000000001</v>
      </c>
      <c r="V301" s="2">
        <v>300</v>
      </c>
      <c r="W301" s="2">
        <v>2009</v>
      </c>
    </row>
    <row r="302" spans="1:23" ht="12.3" x14ac:dyDescent="0.4">
      <c r="A302" s="2" t="s">
        <v>296</v>
      </c>
      <c r="B302" s="2"/>
      <c r="C302" s="2"/>
      <c r="D302" s="2"/>
      <c r="E302" s="2"/>
      <c r="F302" s="2"/>
      <c r="G302" s="2"/>
      <c r="H302" s="2"/>
      <c r="I302" s="2">
        <v>70.117000000000004</v>
      </c>
      <c r="J302" s="2">
        <v>55</v>
      </c>
      <c r="K302" s="2">
        <v>70.591099999999997</v>
      </c>
      <c r="L302" s="2">
        <v>31</v>
      </c>
      <c r="M302" s="2">
        <v>92.358699999999999</v>
      </c>
      <c r="N302" s="2">
        <v>306</v>
      </c>
      <c r="O302" s="2">
        <v>91.003600000000006</v>
      </c>
      <c r="P302" s="2">
        <v>319</v>
      </c>
      <c r="Q302" s="2">
        <v>97.939700000000002</v>
      </c>
      <c r="R302" s="2">
        <v>92</v>
      </c>
      <c r="S302" s="2">
        <v>103.32389999999999</v>
      </c>
      <c r="T302" s="2">
        <v>208</v>
      </c>
      <c r="U302" s="2">
        <v>0.188443</v>
      </c>
      <c r="V302" s="2">
        <v>301</v>
      </c>
      <c r="W302" s="2">
        <v>2009</v>
      </c>
    </row>
    <row r="303" spans="1:23" ht="12.3" x14ac:dyDescent="0.4">
      <c r="A303" s="2" t="s">
        <v>373</v>
      </c>
      <c r="B303" s="2"/>
      <c r="C303" s="2"/>
      <c r="D303" s="2"/>
      <c r="E303" s="2"/>
      <c r="F303" s="2"/>
      <c r="G303" s="2"/>
      <c r="H303" s="2"/>
      <c r="I303" s="2">
        <v>72.614199999999997</v>
      </c>
      <c r="J303" s="2">
        <v>14</v>
      </c>
      <c r="K303" s="2">
        <v>72.507199999999997</v>
      </c>
      <c r="L303" s="2">
        <v>13</v>
      </c>
      <c r="M303" s="2">
        <v>85.171800000000005</v>
      </c>
      <c r="N303" s="2">
        <v>340</v>
      </c>
      <c r="O303" s="2">
        <v>88.653499999999994</v>
      </c>
      <c r="P303" s="2">
        <v>333</v>
      </c>
      <c r="Q303" s="2">
        <v>107.2962</v>
      </c>
      <c r="R303" s="2">
        <v>294</v>
      </c>
      <c r="S303" s="2">
        <v>100.72280000000001</v>
      </c>
      <c r="T303" s="2">
        <v>152</v>
      </c>
      <c r="U303" s="2">
        <v>0.187274</v>
      </c>
      <c r="V303" s="2">
        <v>302</v>
      </c>
      <c r="W303" s="2">
        <v>2009</v>
      </c>
    </row>
    <row r="304" spans="1:23" ht="12.3" x14ac:dyDescent="0.4">
      <c r="A304" s="2" t="s">
        <v>233</v>
      </c>
      <c r="B304" s="2"/>
      <c r="C304" s="2"/>
      <c r="D304" s="2"/>
      <c r="E304" s="2"/>
      <c r="F304" s="2"/>
      <c r="G304" s="2"/>
      <c r="H304" s="2"/>
      <c r="I304" s="2">
        <v>64.436599999999999</v>
      </c>
      <c r="J304" s="2">
        <v>260</v>
      </c>
      <c r="K304" s="2">
        <v>65.582400000000007</v>
      </c>
      <c r="L304" s="2">
        <v>204</v>
      </c>
      <c r="M304" s="2">
        <v>95.119</v>
      </c>
      <c r="N304" s="2">
        <v>277</v>
      </c>
      <c r="O304" s="2">
        <v>93.704300000000003</v>
      </c>
      <c r="P304" s="2">
        <v>292</v>
      </c>
      <c r="Q304" s="2">
        <v>104.7466</v>
      </c>
      <c r="R304" s="2">
        <v>250</v>
      </c>
      <c r="S304" s="2">
        <v>106.6037</v>
      </c>
      <c r="T304" s="2">
        <v>275</v>
      </c>
      <c r="U304" s="2">
        <v>0.184945</v>
      </c>
      <c r="V304" s="2">
        <v>303</v>
      </c>
      <c r="W304" s="2">
        <v>2009</v>
      </c>
    </row>
    <row r="305" spans="1:23" ht="12.3" x14ac:dyDescent="0.4">
      <c r="A305" s="2" t="s">
        <v>247</v>
      </c>
      <c r="B305" s="2"/>
      <c r="C305" s="2"/>
      <c r="D305" s="2"/>
      <c r="E305" s="2"/>
      <c r="F305" s="2"/>
      <c r="G305" s="2"/>
      <c r="H305" s="2"/>
      <c r="I305" s="2">
        <v>62.354799999999997</v>
      </c>
      <c r="J305" s="2">
        <v>307</v>
      </c>
      <c r="K305" s="2">
        <v>61.868099999999998</v>
      </c>
      <c r="L305" s="2">
        <v>317</v>
      </c>
      <c r="M305" s="2">
        <v>90.1083</v>
      </c>
      <c r="N305" s="2">
        <v>326</v>
      </c>
      <c r="O305" s="2">
        <v>90.387799999999999</v>
      </c>
      <c r="P305" s="2">
        <v>324</v>
      </c>
      <c r="Q305" s="2">
        <v>100.7248</v>
      </c>
      <c r="R305" s="2">
        <v>159</v>
      </c>
      <c r="S305" s="2">
        <v>103.06189999999999</v>
      </c>
      <c r="T305" s="2">
        <v>198</v>
      </c>
      <c r="U305" s="2">
        <v>0.18108099999999999</v>
      </c>
      <c r="V305" s="2">
        <v>304</v>
      </c>
      <c r="W305" s="2">
        <v>2009</v>
      </c>
    </row>
    <row r="306" spans="1:23" ht="12.3" x14ac:dyDescent="0.4">
      <c r="A306" s="2" t="s">
        <v>330</v>
      </c>
      <c r="B306" s="2"/>
      <c r="C306" s="2"/>
      <c r="D306" s="2"/>
      <c r="E306" s="2"/>
      <c r="F306" s="2"/>
      <c r="G306" s="2"/>
      <c r="H306" s="2"/>
      <c r="I306" s="2">
        <v>66.3352</v>
      </c>
      <c r="J306" s="2">
        <v>168</v>
      </c>
      <c r="K306" s="2">
        <v>64.681100000000001</v>
      </c>
      <c r="L306" s="2">
        <v>244</v>
      </c>
      <c r="M306" s="2">
        <v>92.519800000000004</v>
      </c>
      <c r="N306" s="2">
        <v>304</v>
      </c>
      <c r="O306" s="2">
        <v>90.954800000000006</v>
      </c>
      <c r="P306" s="2">
        <v>320</v>
      </c>
      <c r="Q306" s="2">
        <v>102.88849999999999</v>
      </c>
      <c r="R306" s="2">
        <v>209</v>
      </c>
      <c r="S306" s="2">
        <v>103.81189999999999</v>
      </c>
      <c r="T306" s="2">
        <v>219</v>
      </c>
      <c r="U306" s="2">
        <v>0.17938599999999999</v>
      </c>
      <c r="V306" s="2">
        <v>305</v>
      </c>
      <c r="W306" s="2">
        <v>2009</v>
      </c>
    </row>
    <row r="307" spans="1:23" ht="12.3" x14ac:dyDescent="0.4">
      <c r="A307" s="2" t="s">
        <v>369</v>
      </c>
      <c r="B307" s="2"/>
      <c r="C307" s="2"/>
      <c r="D307" s="2"/>
      <c r="E307" s="2"/>
      <c r="F307" s="2"/>
      <c r="G307" s="2"/>
      <c r="H307" s="2"/>
      <c r="I307" s="2">
        <v>70.749200000000002</v>
      </c>
      <c r="J307" s="2">
        <v>38</v>
      </c>
      <c r="K307" s="2">
        <v>70.214699999999993</v>
      </c>
      <c r="L307" s="2">
        <v>40</v>
      </c>
      <c r="M307" s="2">
        <v>92.336100000000002</v>
      </c>
      <c r="N307" s="2">
        <v>307</v>
      </c>
      <c r="O307" s="2">
        <v>91.319699999999997</v>
      </c>
      <c r="P307" s="2">
        <v>314</v>
      </c>
      <c r="Q307" s="2">
        <v>102.1994</v>
      </c>
      <c r="R307" s="2">
        <v>197</v>
      </c>
      <c r="S307" s="2">
        <v>104.2453</v>
      </c>
      <c r="T307" s="2">
        <v>227</v>
      </c>
      <c r="U307" s="2">
        <v>0.17911299999999999</v>
      </c>
      <c r="V307" s="2">
        <v>306</v>
      </c>
      <c r="W307" s="2">
        <v>2009</v>
      </c>
    </row>
    <row r="308" spans="1:23" ht="12.3" x14ac:dyDescent="0.4">
      <c r="A308" s="2" t="s">
        <v>186</v>
      </c>
      <c r="B308" s="2"/>
      <c r="C308" s="2"/>
      <c r="D308" s="2"/>
      <c r="E308" s="2"/>
      <c r="F308" s="2"/>
      <c r="G308" s="2"/>
      <c r="H308" s="2"/>
      <c r="I308" s="2">
        <v>64.953400000000002</v>
      </c>
      <c r="J308" s="2">
        <v>235</v>
      </c>
      <c r="K308" s="2">
        <v>66.052400000000006</v>
      </c>
      <c r="L308" s="2">
        <v>179</v>
      </c>
      <c r="M308" s="2">
        <v>89.476600000000005</v>
      </c>
      <c r="N308" s="2">
        <v>330</v>
      </c>
      <c r="O308" s="2">
        <v>91.8095</v>
      </c>
      <c r="P308" s="2">
        <v>310</v>
      </c>
      <c r="Q308" s="2">
        <v>104.175</v>
      </c>
      <c r="R308" s="2">
        <v>235</v>
      </c>
      <c r="S308" s="2">
        <v>105.33929999999999</v>
      </c>
      <c r="T308" s="2">
        <v>256</v>
      </c>
      <c r="U308" s="2">
        <v>0.17066600000000001</v>
      </c>
      <c r="V308" s="2">
        <v>307</v>
      </c>
      <c r="W308" s="2">
        <v>2009</v>
      </c>
    </row>
    <row r="309" spans="1:23" ht="12.3" x14ac:dyDescent="0.4">
      <c r="A309" s="2" t="s">
        <v>327</v>
      </c>
      <c r="B309" s="2"/>
      <c r="C309" s="2"/>
      <c r="D309" s="2"/>
      <c r="E309" s="2"/>
      <c r="F309" s="2"/>
      <c r="G309" s="2"/>
      <c r="H309" s="2"/>
      <c r="I309" s="2">
        <v>65.267200000000003</v>
      </c>
      <c r="J309" s="2">
        <v>214</v>
      </c>
      <c r="K309" s="2">
        <v>65.783299999999997</v>
      </c>
      <c r="L309" s="2">
        <v>194</v>
      </c>
      <c r="M309" s="2">
        <v>92.711799999999997</v>
      </c>
      <c r="N309" s="2">
        <v>302</v>
      </c>
      <c r="O309" s="2">
        <v>93.173900000000003</v>
      </c>
      <c r="P309" s="2">
        <v>300</v>
      </c>
      <c r="Q309" s="2">
        <v>102.9842</v>
      </c>
      <c r="R309" s="2">
        <v>210</v>
      </c>
      <c r="S309" s="2">
        <v>106.9166</v>
      </c>
      <c r="T309" s="2">
        <v>281</v>
      </c>
      <c r="U309" s="2">
        <v>0.170486</v>
      </c>
      <c r="V309" s="2">
        <v>308</v>
      </c>
      <c r="W309" s="2">
        <v>2009</v>
      </c>
    </row>
    <row r="310" spans="1:23" ht="12.3" x14ac:dyDescent="0.4">
      <c r="A310" s="2" t="s">
        <v>305</v>
      </c>
      <c r="B310" s="2"/>
      <c r="C310" s="2"/>
      <c r="D310" s="2"/>
      <c r="E310" s="2"/>
      <c r="F310" s="2"/>
      <c r="G310" s="2"/>
      <c r="H310" s="2"/>
      <c r="I310" s="2">
        <v>66.549000000000007</v>
      </c>
      <c r="J310" s="2">
        <v>158</v>
      </c>
      <c r="K310" s="2">
        <v>65.892499999999998</v>
      </c>
      <c r="L310" s="2">
        <v>188</v>
      </c>
      <c r="M310" s="2">
        <v>97.321899999999999</v>
      </c>
      <c r="N310" s="2">
        <v>242</v>
      </c>
      <c r="O310" s="2">
        <v>95.805700000000002</v>
      </c>
      <c r="P310" s="2">
        <v>266</v>
      </c>
      <c r="Q310" s="2">
        <v>108.526</v>
      </c>
      <c r="R310" s="2">
        <v>312</v>
      </c>
      <c r="S310" s="2">
        <v>110.23099999999999</v>
      </c>
      <c r="T310" s="2">
        <v>317</v>
      </c>
      <c r="U310" s="2">
        <v>0.166181</v>
      </c>
      <c r="V310" s="2">
        <v>309</v>
      </c>
      <c r="W310" s="2">
        <v>2009</v>
      </c>
    </row>
    <row r="311" spans="1:23" ht="12.3" x14ac:dyDescent="0.4">
      <c r="A311" s="2" t="s">
        <v>153</v>
      </c>
      <c r="B311" s="2"/>
      <c r="C311" s="2"/>
      <c r="D311" s="2"/>
      <c r="E311" s="2"/>
      <c r="F311" s="2"/>
      <c r="G311" s="2"/>
      <c r="H311" s="2"/>
      <c r="I311" s="2">
        <v>70.312899999999999</v>
      </c>
      <c r="J311" s="2">
        <v>45</v>
      </c>
      <c r="K311" s="2">
        <v>70.107500000000002</v>
      </c>
      <c r="L311" s="2">
        <v>42</v>
      </c>
      <c r="M311" s="2">
        <v>99.445599999999999</v>
      </c>
      <c r="N311" s="2">
        <v>209</v>
      </c>
      <c r="O311" s="2">
        <v>96.318799999999996</v>
      </c>
      <c r="P311" s="2">
        <v>257</v>
      </c>
      <c r="Q311" s="2">
        <v>112.437</v>
      </c>
      <c r="R311" s="2">
        <v>338</v>
      </c>
      <c r="S311" s="2">
        <v>111.2321</v>
      </c>
      <c r="T311" s="2">
        <v>325</v>
      </c>
      <c r="U311" s="2">
        <v>0.16036900000000001</v>
      </c>
      <c r="V311" s="2">
        <v>310</v>
      </c>
      <c r="W311" s="2">
        <v>2009</v>
      </c>
    </row>
    <row r="312" spans="1:23" ht="12.3" x14ac:dyDescent="0.4">
      <c r="A312" s="2" t="s">
        <v>331</v>
      </c>
      <c r="B312" s="2"/>
      <c r="C312" s="2"/>
      <c r="D312" s="2"/>
      <c r="E312" s="2"/>
      <c r="F312" s="2"/>
      <c r="G312" s="2"/>
      <c r="H312" s="2"/>
      <c r="I312" s="2">
        <v>62.365200000000002</v>
      </c>
      <c r="J312" s="2">
        <v>306</v>
      </c>
      <c r="K312" s="2">
        <v>62.407899999999998</v>
      </c>
      <c r="L312" s="2">
        <v>312</v>
      </c>
      <c r="M312" s="2">
        <v>87.123400000000004</v>
      </c>
      <c r="N312" s="2">
        <v>337</v>
      </c>
      <c r="O312" s="2">
        <v>89.461299999999994</v>
      </c>
      <c r="P312" s="2">
        <v>331</v>
      </c>
      <c r="Q312" s="2">
        <v>102.46040000000001</v>
      </c>
      <c r="R312" s="2">
        <v>201</v>
      </c>
      <c r="S312" s="2">
        <v>103.3291</v>
      </c>
      <c r="T312" s="2">
        <v>209</v>
      </c>
      <c r="U312" s="2">
        <v>0.16012499999999999</v>
      </c>
      <c r="V312" s="2">
        <v>311</v>
      </c>
      <c r="W312" s="2">
        <v>2009</v>
      </c>
    </row>
    <row r="313" spans="1:23" ht="12.3" x14ac:dyDescent="0.4">
      <c r="A313" s="2" t="s">
        <v>259</v>
      </c>
      <c r="B313" s="2"/>
      <c r="C313" s="2"/>
      <c r="D313" s="2"/>
      <c r="E313" s="2"/>
      <c r="F313" s="2"/>
      <c r="G313" s="2"/>
      <c r="H313" s="2"/>
      <c r="I313" s="2">
        <v>76.148700000000005</v>
      </c>
      <c r="J313" s="2">
        <v>2</v>
      </c>
      <c r="K313" s="2">
        <v>75.9358</v>
      </c>
      <c r="L313" s="2">
        <v>2</v>
      </c>
      <c r="M313" s="2">
        <v>90.099299999999999</v>
      </c>
      <c r="N313" s="2">
        <v>327</v>
      </c>
      <c r="O313" s="2">
        <v>91.245500000000007</v>
      </c>
      <c r="P313" s="2">
        <v>315</v>
      </c>
      <c r="Q313" s="2">
        <v>106.6486</v>
      </c>
      <c r="R313" s="2">
        <v>282</v>
      </c>
      <c r="S313" s="2">
        <v>106.22</v>
      </c>
      <c r="T313" s="2">
        <v>271</v>
      </c>
      <c r="U313" s="2">
        <v>0.14835999999999999</v>
      </c>
      <c r="V313" s="2">
        <v>312</v>
      </c>
      <c r="W313" s="2">
        <v>2009</v>
      </c>
    </row>
    <row r="314" spans="1:23" ht="12.3" x14ac:dyDescent="0.4">
      <c r="A314" s="2" t="s">
        <v>265</v>
      </c>
      <c r="B314" s="2"/>
      <c r="C314" s="2"/>
      <c r="D314" s="2"/>
      <c r="E314" s="2"/>
      <c r="F314" s="2"/>
      <c r="G314" s="2"/>
      <c r="H314" s="2"/>
      <c r="I314" s="2">
        <v>60.044600000000003</v>
      </c>
      <c r="J314" s="2">
        <v>333</v>
      </c>
      <c r="K314" s="2">
        <v>59.389400000000002</v>
      </c>
      <c r="L314" s="2">
        <v>336</v>
      </c>
      <c r="M314" s="2">
        <v>94.129900000000006</v>
      </c>
      <c r="N314" s="2">
        <v>290</v>
      </c>
      <c r="O314" s="2">
        <v>95.849900000000005</v>
      </c>
      <c r="P314" s="2">
        <v>264</v>
      </c>
      <c r="Q314" s="2">
        <v>108.6152</v>
      </c>
      <c r="R314" s="2">
        <v>314</v>
      </c>
      <c r="S314" s="2">
        <v>112.14109999999999</v>
      </c>
      <c r="T314" s="2">
        <v>332</v>
      </c>
      <c r="U314" s="2">
        <v>0.14121900000000001</v>
      </c>
      <c r="V314" s="2">
        <v>313</v>
      </c>
      <c r="W314" s="2">
        <v>2009</v>
      </c>
    </row>
    <row r="315" spans="1:23" ht="12.3" x14ac:dyDescent="0.4">
      <c r="A315" s="2" t="s">
        <v>295</v>
      </c>
      <c r="B315" s="2"/>
      <c r="C315" s="2"/>
      <c r="D315" s="2"/>
      <c r="E315" s="2"/>
      <c r="F315" s="2"/>
      <c r="G315" s="2"/>
      <c r="H315" s="2"/>
      <c r="I315" s="2">
        <v>64.884100000000004</v>
      </c>
      <c r="J315" s="2">
        <v>243</v>
      </c>
      <c r="K315" s="2">
        <v>64.617199999999997</v>
      </c>
      <c r="L315" s="2">
        <v>248</v>
      </c>
      <c r="M315" s="2">
        <v>92.221699999999998</v>
      </c>
      <c r="N315" s="2">
        <v>310</v>
      </c>
      <c r="O315" s="2">
        <v>90.298500000000004</v>
      </c>
      <c r="P315" s="2">
        <v>325</v>
      </c>
      <c r="Q315" s="2">
        <v>106.83620000000001</v>
      </c>
      <c r="R315" s="2">
        <v>288</v>
      </c>
      <c r="S315" s="2">
        <v>105.685</v>
      </c>
      <c r="T315" s="2">
        <v>262</v>
      </c>
      <c r="U315" s="2">
        <v>0.140706</v>
      </c>
      <c r="V315" s="2">
        <v>314</v>
      </c>
      <c r="W315" s="2">
        <v>2009</v>
      </c>
    </row>
    <row r="316" spans="1:23" ht="12.3" x14ac:dyDescent="0.4">
      <c r="A316" s="2" t="s">
        <v>364</v>
      </c>
      <c r="B316" s="2"/>
      <c r="C316" s="2"/>
      <c r="D316" s="2"/>
      <c r="E316" s="2"/>
      <c r="F316" s="2"/>
      <c r="G316" s="2"/>
      <c r="H316" s="2"/>
      <c r="I316" s="2">
        <v>65.914500000000004</v>
      </c>
      <c r="J316" s="2">
        <v>185</v>
      </c>
      <c r="K316" s="2">
        <v>66.116799999999998</v>
      </c>
      <c r="L316" s="2">
        <v>175</v>
      </c>
      <c r="M316" s="2">
        <v>91.775599999999997</v>
      </c>
      <c r="N316" s="2">
        <v>312</v>
      </c>
      <c r="O316" s="2">
        <v>93.653800000000004</v>
      </c>
      <c r="P316" s="2">
        <v>293</v>
      </c>
      <c r="Q316" s="2">
        <v>108.84739999999999</v>
      </c>
      <c r="R316" s="2">
        <v>315</v>
      </c>
      <c r="S316" s="2">
        <v>109.6794</v>
      </c>
      <c r="T316" s="2">
        <v>314</v>
      </c>
      <c r="U316" s="2">
        <v>0.13985400000000001</v>
      </c>
      <c r="V316" s="2">
        <v>315</v>
      </c>
      <c r="W316" s="2">
        <v>2009</v>
      </c>
    </row>
    <row r="317" spans="1:23" ht="12.3" x14ac:dyDescent="0.4">
      <c r="A317" s="2" t="s">
        <v>352</v>
      </c>
      <c r="B317" s="2"/>
      <c r="C317" s="2"/>
      <c r="D317" s="2"/>
      <c r="E317" s="2"/>
      <c r="F317" s="2"/>
      <c r="G317" s="2"/>
      <c r="H317" s="2"/>
      <c r="I317" s="2">
        <v>65.074399999999997</v>
      </c>
      <c r="J317" s="2">
        <v>225</v>
      </c>
      <c r="K317" s="2">
        <v>64.477400000000003</v>
      </c>
      <c r="L317" s="2">
        <v>259</v>
      </c>
      <c r="M317" s="2">
        <v>84.966700000000003</v>
      </c>
      <c r="N317" s="2">
        <v>341</v>
      </c>
      <c r="O317" s="2">
        <v>85.223100000000002</v>
      </c>
      <c r="P317" s="2">
        <v>341</v>
      </c>
      <c r="Q317" s="2">
        <v>98.581199999999995</v>
      </c>
      <c r="R317" s="2">
        <v>105</v>
      </c>
      <c r="S317" s="2">
        <v>99.879300000000001</v>
      </c>
      <c r="T317" s="2">
        <v>135</v>
      </c>
      <c r="U317" s="2">
        <v>0.13884299999999999</v>
      </c>
      <c r="V317" s="2">
        <v>316</v>
      </c>
      <c r="W317" s="2">
        <v>2009</v>
      </c>
    </row>
    <row r="318" spans="1:23" ht="12.3" x14ac:dyDescent="0.4">
      <c r="A318" s="2" t="s">
        <v>359</v>
      </c>
      <c r="B318" s="2"/>
      <c r="C318" s="2"/>
      <c r="D318" s="2"/>
      <c r="E318" s="2"/>
      <c r="F318" s="2"/>
      <c r="G318" s="2"/>
      <c r="H318" s="2"/>
      <c r="I318" s="2">
        <v>75.967100000000002</v>
      </c>
      <c r="J318" s="2">
        <v>3</v>
      </c>
      <c r="K318" s="2">
        <v>75.621099999999998</v>
      </c>
      <c r="L318" s="2">
        <v>3</v>
      </c>
      <c r="M318" s="2">
        <v>97.832499999999996</v>
      </c>
      <c r="N318" s="2">
        <v>233</v>
      </c>
      <c r="O318" s="2">
        <v>96.072100000000006</v>
      </c>
      <c r="P318" s="2">
        <v>262</v>
      </c>
      <c r="Q318" s="2">
        <v>103.0091</v>
      </c>
      <c r="R318" s="2">
        <v>212</v>
      </c>
      <c r="S318" s="2">
        <v>112.65430000000001</v>
      </c>
      <c r="T318" s="2">
        <v>336</v>
      </c>
      <c r="U318" s="2">
        <v>0.13810800000000001</v>
      </c>
      <c r="V318" s="2">
        <v>317</v>
      </c>
      <c r="W318" s="2">
        <v>2009</v>
      </c>
    </row>
    <row r="319" spans="1:23" ht="12.3" x14ac:dyDescent="0.4">
      <c r="A319" s="2" t="s">
        <v>273</v>
      </c>
      <c r="B319" s="2"/>
      <c r="C319" s="2"/>
      <c r="D319" s="2"/>
      <c r="E319" s="2"/>
      <c r="F319" s="2"/>
      <c r="G319" s="2"/>
      <c r="H319" s="2"/>
      <c r="I319" s="2">
        <v>68.653400000000005</v>
      </c>
      <c r="J319" s="2">
        <v>95</v>
      </c>
      <c r="K319" s="2">
        <v>69.412800000000004</v>
      </c>
      <c r="L319" s="2">
        <v>57</v>
      </c>
      <c r="M319" s="2">
        <v>94.662999999999997</v>
      </c>
      <c r="N319" s="2">
        <v>284</v>
      </c>
      <c r="O319" s="2">
        <v>94.191400000000002</v>
      </c>
      <c r="P319" s="2">
        <v>287</v>
      </c>
      <c r="Q319" s="2">
        <v>106.3669</v>
      </c>
      <c r="R319" s="2">
        <v>277</v>
      </c>
      <c r="S319" s="2">
        <v>110.8777</v>
      </c>
      <c r="T319" s="2">
        <v>319</v>
      </c>
      <c r="U319" s="2">
        <v>0.13289000000000001</v>
      </c>
      <c r="V319" s="2">
        <v>318</v>
      </c>
      <c r="W319" s="2">
        <v>2009</v>
      </c>
    </row>
    <row r="320" spans="1:23" ht="12.3" x14ac:dyDescent="0.4">
      <c r="A320" s="2" t="s">
        <v>374</v>
      </c>
      <c r="B320" s="2"/>
      <c r="C320" s="2"/>
      <c r="D320" s="2"/>
      <c r="E320" s="2"/>
      <c r="F320" s="2"/>
      <c r="G320" s="2"/>
      <c r="H320" s="2"/>
      <c r="I320" s="2">
        <v>71.977999999999994</v>
      </c>
      <c r="J320" s="2">
        <v>21</v>
      </c>
      <c r="K320" s="2">
        <v>71.550799999999995</v>
      </c>
      <c r="L320" s="2">
        <v>17</v>
      </c>
      <c r="M320" s="2">
        <v>93.707999999999998</v>
      </c>
      <c r="N320" s="2">
        <v>296</v>
      </c>
      <c r="O320" s="2">
        <v>94.470500000000001</v>
      </c>
      <c r="P320" s="2">
        <v>285</v>
      </c>
      <c r="Q320" s="2">
        <v>114.38460000000001</v>
      </c>
      <c r="R320" s="2">
        <v>341</v>
      </c>
      <c r="S320" s="2">
        <v>111.2976</v>
      </c>
      <c r="T320" s="2">
        <v>326</v>
      </c>
      <c r="U320" s="2">
        <v>0.13180600000000001</v>
      </c>
      <c r="V320" s="2">
        <v>319</v>
      </c>
      <c r="W320" s="2">
        <v>2009</v>
      </c>
    </row>
    <row r="321" spans="1:23" ht="12.3" x14ac:dyDescent="0.4">
      <c r="A321" s="2" t="s">
        <v>127</v>
      </c>
      <c r="B321" s="2"/>
      <c r="C321" s="2"/>
      <c r="D321" s="2"/>
      <c r="E321" s="2"/>
      <c r="F321" s="2"/>
      <c r="G321" s="2"/>
      <c r="H321" s="2"/>
      <c r="I321" s="2">
        <v>65.820800000000006</v>
      </c>
      <c r="J321" s="2">
        <v>191</v>
      </c>
      <c r="K321" s="2">
        <v>65.744500000000002</v>
      </c>
      <c r="L321" s="2">
        <v>197</v>
      </c>
      <c r="M321" s="2">
        <v>93.936099999999996</v>
      </c>
      <c r="N321" s="2">
        <v>293</v>
      </c>
      <c r="O321" s="2">
        <v>94.5244</v>
      </c>
      <c r="P321" s="2">
        <v>283</v>
      </c>
      <c r="Q321" s="2">
        <v>111.6557</v>
      </c>
      <c r="R321" s="2">
        <v>334</v>
      </c>
      <c r="S321" s="2">
        <v>111.47029999999999</v>
      </c>
      <c r="T321" s="2">
        <v>328</v>
      </c>
      <c r="U321" s="2">
        <v>0.130523</v>
      </c>
      <c r="V321" s="2">
        <v>320</v>
      </c>
      <c r="W321" s="2">
        <v>2009</v>
      </c>
    </row>
    <row r="322" spans="1:23" ht="12.3" x14ac:dyDescent="0.4">
      <c r="A322" s="2" t="s">
        <v>363</v>
      </c>
      <c r="B322" s="2"/>
      <c r="C322" s="2"/>
      <c r="D322" s="2"/>
      <c r="E322" s="2"/>
      <c r="F322" s="2"/>
      <c r="G322" s="2"/>
      <c r="H322" s="2"/>
      <c r="I322" s="2">
        <v>64.777100000000004</v>
      </c>
      <c r="J322" s="2">
        <v>247</v>
      </c>
      <c r="K322" s="2">
        <v>63.698500000000003</v>
      </c>
      <c r="L322" s="2">
        <v>278</v>
      </c>
      <c r="M322" s="2">
        <v>86.32</v>
      </c>
      <c r="N322" s="2">
        <v>338</v>
      </c>
      <c r="O322" s="2">
        <v>90.144499999999994</v>
      </c>
      <c r="P322" s="2">
        <v>326</v>
      </c>
      <c r="Q322" s="2">
        <v>107.1939</v>
      </c>
      <c r="R322" s="2">
        <v>292</v>
      </c>
      <c r="S322" s="2">
        <v>106.8942</v>
      </c>
      <c r="T322" s="2">
        <v>280</v>
      </c>
      <c r="U322" s="2">
        <v>0.123478</v>
      </c>
      <c r="V322" s="2">
        <v>321</v>
      </c>
      <c r="W322" s="2">
        <v>2009</v>
      </c>
    </row>
    <row r="323" spans="1:23" ht="12.3" x14ac:dyDescent="0.4">
      <c r="A323" s="2" t="s">
        <v>195</v>
      </c>
      <c r="B323" s="2"/>
      <c r="C323" s="2"/>
      <c r="D323" s="2"/>
      <c r="E323" s="2"/>
      <c r="F323" s="2"/>
      <c r="G323" s="2"/>
      <c r="H323" s="2"/>
      <c r="I323" s="2">
        <v>64.761600000000001</v>
      </c>
      <c r="J323" s="2">
        <v>248</v>
      </c>
      <c r="K323" s="2">
        <v>65.037700000000001</v>
      </c>
      <c r="L323" s="2">
        <v>234</v>
      </c>
      <c r="M323" s="2">
        <v>92.938999999999993</v>
      </c>
      <c r="N323" s="2">
        <v>297</v>
      </c>
      <c r="O323" s="2">
        <v>91.056200000000004</v>
      </c>
      <c r="P323" s="2">
        <v>318</v>
      </c>
      <c r="Q323" s="2">
        <v>110.3379</v>
      </c>
      <c r="R323" s="2">
        <v>331</v>
      </c>
      <c r="S323" s="2">
        <v>108.31489999999999</v>
      </c>
      <c r="T323" s="2">
        <v>300</v>
      </c>
      <c r="U323" s="2">
        <v>0.11962299999999999</v>
      </c>
      <c r="V323" s="2">
        <v>322</v>
      </c>
      <c r="W323" s="2">
        <v>2009</v>
      </c>
    </row>
    <row r="324" spans="1:23" ht="12.3" x14ac:dyDescent="0.4">
      <c r="A324" s="2" t="s">
        <v>251</v>
      </c>
      <c r="B324" s="2"/>
      <c r="C324" s="2"/>
      <c r="D324" s="2"/>
      <c r="E324" s="2"/>
      <c r="F324" s="2"/>
      <c r="G324" s="2"/>
      <c r="H324" s="2"/>
      <c r="I324" s="2">
        <v>65.624200000000002</v>
      </c>
      <c r="J324" s="2">
        <v>200</v>
      </c>
      <c r="K324" s="2">
        <v>65.751400000000004</v>
      </c>
      <c r="L324" s="2">
        <v>196</v>
      </c>
      <c r="M324" s="2">
        <v>94.86</v>
      </c>
      <c r="N324" s="2">
        <v>281</v>
      </c>
      <c r="O324" s="2">
        <v>93.17</v>
      </c>
      <c r="P324" s="2">
        <v>301</v>
      </c>
      <c r="Q324" s="2">
        <v>107.166</v>
      </c>
      <c r="R324" s="2">
        <v>291</v>
      </c>
      <c r="S324" s="2">
        <v>111.04340000000001</v>
      </c>
      <c r="T324" s="2">
        <v>322</v>
      </c>
      <c r="U324" s="2">
        <v>0.11730699999999999</v>
      </c>
      <c r="V324" s="2">
        <v>323</v>
      </c>
      <c r="W324" s="2">
        <v>2009</v>
      </c>
    </row>
    <row r="325" spans="1:23" ht="12.3" x14ac:dyDescent="0.4">
      <c r="A325" s="2" t="s">
        <v>249</v>
      </c>
      <c r="B325" s="2"/>
      <c r="C325" s="2"/>
      <c r="D325" s="2"/>
      <c r="E325" s="2"/>
      <c r="F325" s="2"/>
      <c r="G325" s="2"/>
      <c r="H325" s="2"/>
      <c r="I325" s="2">
        <v>67.812100000000001</v>
      </c>
      <c r="J325" s="2">
        <v>114</v>
      </c>
      <c r="K325" s="2">
        <v>67.843699999999998</v>
      </c>
      <c r="L325" s="2">
        <v>105</v>
      </c>
      <c r="M325" s="2">
        <v>90.396100000000004</v>
      </c>
      <c r="N325" s="2">
        <v>324</v>
      </c>
      <c r="O325" s="2">
        <v>91.718800000000002</v>
      </c>
      <c r="P325" s="2">
        <v>311</v>
      </c>
      <c r="Q325" s="2">
        <v>113.0176</v>
      </c>
      <c r="R325" s="2">
        <v>339</v>
      </c>
      <c r="S325" s="2">
        <v>109.5069</v>
      </c>
      <c r="T325" s="2">
        <v>310</v>
      </c>
      <c r="U325" s="2">
        <v>0.11522</v>
      </c>
      <c r="V325" s="2">
        <v>324</v>
      </c>
      <c r="W325" s="2">
        <v>2009</v>
      </c>
    </row>
    <row r="326" spans="1:23" ht="12.3" x14ac:dyDescent="0.4">
      <c r="A326" s="2" t="s">
        <v>299</v>
      </c>
      <c r="B326" s="2"/>
      <c r="C326" s="2"/>
      <c r="D326" s="2"/>
      <c r="E326" s="2"/>
      <c r="F326" s="2"/>
      <c r="G326" s="2"/>
      <c r="H326" s="2"/>
      <c r="I326" s="2">
        <v>68.754300000000001</v>
      </c>
      <c r="J326" s="2">
        <v>91</v>
      </c>
      <c r="K326" s="2">
        <v>67.964399999999998</v>
      </c>
      <c r="L326" s="2">
        <v>102</v>
      </c>
      <c r="M326" s="2">
        <v>92.509600000000006</v>
      </c>
      <c r="N326" s="2">
        <v>305</v>
      </c>
      <c r="O326" s="2">
        <v>93.062799999999996</v>
      </c>
      <c r="P326" s="2">
        <v>303</v>
      </c>
      <c r="Q326" s="2">
        <v>108.46720000000001</v>
      </c>
      <c r="R326" s="2">
        <v>311</v>
      </c>
      <c r="S326" s="2">
        <v>111.1665</v>
      </c>
      <c r="T326" s="2">
        <v>323</v>
      </c>
      <c r="U326" s="2">
        <v>0.11464199999999999</v>
      </c>
      <c r="V326" s="2">
        <v>325</v>
      </c>
      <c r="W326" s="2">
        <v>2009</v>
      </c>
    </row>
    <row r="327" spans="1:23" ht="12.3" x14ac:dyDescent="0.4">
      <c r="A327" s="2" t="s">
        <v>291</v>
      </c>
      <c r="B327" s="2"/>
      <c r="C327" s="2"/>
      <c r="D327" s="2"/>
      <c r="E327" s="2"/>
      <c r="F327" s="2"/>
      <c r="G327" s="2"/>
      <c r="H327" s="2"/>
      <c r="I327" s="2">
        <v>65.691699999999997</v>
      </c>
      <c r="J327" s="2">
        <v>196</v>
      </c>
      <c r="K327" s="2">
        <v>65.962800000000001</v>
      </c>
      <c r="L327" s="2">
        <v>184</v>
      </c>
      <c r="M327" s="2">
        <v>85.901499999999999</v>
      </c>
      <c r="N327" s="2">
        <v>339</v>
      </c>
      <c r="O327" s="2">
        <v>88.425399999999996</v>
      </c>
      <c r="P327" s="2">
        <v>335</v>
      </c>
      <c r="Q327" s="2">
        <v>109.62</v>
      </c>
      <c r="R327" s="2">
        <v>326</v>
      </c>
      <c r="S327" s="2">
        <v>105.6277</v>
      </c>
      <c r="T327" s="2">
        <v>259</v>
      </c>
      <c r="U327" s="2">
        <v>0.114635</v>
      </c>
      <c r="V327" s="2">
        <v>326</v>
      </c>
      <c r="W327" s="2">
        <v>2009</v>
      </c>
    </row>
    <row r="328" spans="1:23" ht="12.3" x14ac:dyDescent="0.4">
      <c r="A328" s="2" t="s">
        <v>332</v>
      </c>
      <c r="B328" s="2"/>
      <c r="C328" s="2"/>
      <c r="D328" s="2"/>
      <c r="E328" s="2"/>
      <c r="F328" s="2"/>
      <c r="G328" s="2"/>
      <c r="H328" s="2"/>
      <c r="I328" s="2">
        <v>64.192700000000002</v>
      </c>
      <c r="J328" s="2">
        <v>266</v>
      </c>
      <c r="K328" s="2">
        <v>63.606900000000003</v>
      </c>
      <c r="L328" s="2">
        <v>280</v>
      </c>
      <c r="M328" s="2">
        <v>95.461399999999998</v>
      </c>
      <c r="N328" s="2">
        <v>274</v>
      </c>
      <c r="O328" s="2">
        <v>93.854799999999997</v>
      </c>
      <c r="P328" s="2">
        <v>291</v>
      </c>
      <c r="Q328" s="2">
        <v>109.7329</v>
      </c>
      <c r="R328" s="2">
        <v>327</v>
      </c>
      <c r="S328" s="2">
        <v>112.1691</v>
      </c>
      <c r="T328" s="2">
        <v>334</v>
      </c>
      <c r="U328" s="2">
        <v>0.114055</v>
      </c>
      <c r="V328" s="2">
        <v>327</v>
      </c>
      <c r="W328" s="2">
        <v>2009</v>
      </c>
    </row>
    <row r="329" spans="1:23" ht="12.3" x14ac:dyDescent="0.4">
      <c r="A329" s="2" t="s">
        <v>338</v>
      </c>
      <c r="B329" s="2" t="e">
        <v>#N/A</v>
      </c>
      <c r="C329" s="2"/>
      <c r="D329" s="2"/>
      <c r="E329" s="2"/>
      <c r="F329" s="2"/>
      <c r="G329" s="2"/>
      <c r="H329" s="2"/>
      <c r="I329" s="2">
        <v>67.475200000000001</v>
      </c>
      <c r="J329" s="2">
        <v>132</v>
      </c>
      <c r="K329" s="2">
        <v>66.188199999999995</v>
      </c>
      <c r="L329" s="2">
        <v>173</v>
      </c>
      <c r="M329" s="2">
        <v>92.726500000000001</v>
      </c>
      <c r="N329" s="2">
        <v>301</v>
      </c>
      <c r="O329" s="2">
        <v>91.163499999999999</v>
      </c>
      <c r="P329" s="2">
        <v>317</v>
      </c>
      <c r="Q329" s="2">
        <v>103.23650000000001</v>
      </c>
      <c r="R329" s="2">
        <v>217</v>
      </c>
      <c r="S329" s="2">
        <v>109.2805</v>
      </c>
      <c r="T329" s="2">
        <v>307</v>
      </c>
      <c r="U329" s="2">
        <v>0.110609</v>
      </c>
      <c r="V329" s="2">
        <v>328</v>
      </c>
      <c r="W329" s="2">
        <v>2009</v>
      </c>
    </row>
    <row r="330" spans="1:23" ht="12.3" x14ac:dyDescent="0.4">
      <c r="A330" s="2" t="s">
        <v>325</v>
      </c>
      <c r="B330" s="2" t="e">
        <v>#N/A</v>
      </c>
      <c r="C330" s="2"/>
      <c r="D330" s="2"/>
      <c r="E330" s="2"/>
      <c r="F330" s="2"/>
      <c r="G330" s="2"/>
      <c r="H330" s="2"/>
      <c r="I330" s="2">
        <v>68.318700000000007</v>
      </c>
      <c r="J330" s="2">
        <v>103</v>
      </c>
      <c r="K330" s="2">
        <v>67.746899999999997</v>
      </c>
      <c r="L330" s="2">
        <v>111</v>
      </c>
      <c r="M330" s="2">
        <v>93.825400000000002</v>
      </c>
      <c r="N330" s="2">
        <v>294</v>
      </c>
      <c r="O330" s="2">
        <v>92.933800000000005</v>
      </c>
      <c r="P330" s="2">
        <v>304</v>
      </c>
      <c r="Q330" s="2">
        <v>107.7547</v>
      </c>
      <c r="R330" s="2">
        <v>302</v>
      </c>
      <c r="S330" s="2">
        <v>111.47880000000001</v>
      </c>
      <c r="T330" s="2">
        <v>329</v>
      </c>
      <c r="U330" s="2">
        <v>0.10983900000000001</v>
      </c>
      <c r="V330" s="2">
        <v>329</v>
      </c>
      <c r="W330" s="2">
        <v>2009</v>
      </c>
    </row>
    <row r="331" spans="1:23" ht="12.3" x14ac:dyDescent="0.4">
      <c r="A331" s="2" t="s">
        <v>242</v>
      </c>
      <c r="B331" s="2" t="e">
        <v>#N/A</v>
      </c>
      <c r="C331" s="2"/>
      <c r="D331" s="2"/>
      <c r="E331" s="2"/>
      <c r="F331" s="2"/>
      <c r="G331" s="2"/>
      <c r="H331" s="2"/>
      <c r="I331" s="2">
        <v>66.624399999999994</v>
      </c>
      <c r="J331" s="2">
        <v>155</v>
      </c>
      <c r="K331" s="2">
        <v>66.678600000000003</v>
      </c>
      <c r="L331" s="2">
        <v>156</v>
      </c>
      <c r="M331" s="2">
        <v>91.146299999999997</v>
      </c>
      <c r="N331" s="2">
        <v>320</v>
      </c>
      <c r="O331" s="2">
        <v>90.765900000000002</v>
      </c>
      <c r="P331" s="2">
        <v>321</v>
      </c>
      <c r="Q331" s="2">
        <v>104.89109999999999</v>
      </c>
      <c r="R331" s="2">
        <v>251</v>
      </c>
      <c r="S331" s="2">
        <v>109.30549999999999</v>
      </c>
      <c r="T331" s="2">
        <v>308</v>
      </c>
      <c r="U331" s="2">
        <v>0.10551199999999999</v>
      </c>
      <c r="V331" s="2">
        <v>330</v>
      </c>
      <c r="W331" s="2">
        <v>2009</v>
      </c>
    </row>
    <row r="332" spans="1:23" ht="12.3" x14ac:dyDescent="0.4">
      <c r="A332" s="2" t="s">
        <v>301</v>
      </c>
      <c r="B332" s="2" t="e">
        <v>#N/A</v>
      </c>
      <c r="C332" s="2"/>
      <c r="D332" s="2"/>
      <c r="E332" s="2"/>
      <c r="F332" s="2"/>
      <c r="G332" s="2"/>
      <c r="H332" s="2"/>
      <c r="I332" s="2">
        <v>67.047499999999999</v>
      </c>
      <c r="J332" s="2">
        <v>141</v>
      </c>
      <c r="K332" s="2">
        <v>67.181100000000001</v>
      </c>
      <c r="L332" s="2">
        <v>132</v>
      </c>
      <c r="M332" s="2">
        <v>90.302199999999999</v>
      </c>
      <c r="N332" s="2">
        <v>325</v>
      </c>
      <c r="O332" s="2">
        <v>89.991299999999995</v>
      </c>
      <c r="P332" s="2">
        <v>327</v>
      </c>
      <c r="Q332" s="2">
        <v>105.53700000000001</v>
      </c>
      <c r="R332" s="2">
        <v>263</v>
      </c>
      <c r="S332" s="2">
        <v>108.4538</v>
      </c>
      <c r="T332" s="2">
        <v>302</v>
      </c>
      <c r="U332" s="2">
        <v>0.104702</v>
      </c>
      <c r="V332" s="2">
        <v>331</v>
      </c>
      <c r="W332" s="2">
        <v>2009</v>
      </c>
    </row>
    <row r="333" spans="1:23" ht="12.3" x14ac:dyDescent="0.4">
      <c r="A333" s="2" t="s">
        <v>375</v>
      </c>
      <c r="B333" s="2" t="e">
        <v>#N/A</v>
      </c>
      <c r="C333" s="2"/>
      <c r="D333" s="2"/>
      <c r="E333" s="2"/>
      <c r="F333" s="2"/>
      <c r="G333" s="2"/>
      <c r="H333" s="2"/>
      <c r="I333" s="2">
        <v>62.202199999999998</v>
      </c>
      <c r="J333" s="2">
        <v>312</v>
      </c>
      <c r="K333" s="2">
        <v>62.316600000000001</v>
      </c>
      <c r="L333" s="2">
        <v>315</v>
      </c>
      <c r="M333" s="2">
        <v>92.730500000000006</v>
      </c>
      <c r="N333" s="2">
        <v>300</v>
      </c>
      <c r="O333" s="2">
        <v>94.236000000000004</v>
      </c>
      <c r="P333" s="2">
        <v>286</v>
      </c>
      <c r="Q333" s="2">
        <v>109.0519</v>
      </c>
      <c r="R333" s="2">
        <v>319</v>
      </c>
      <c r="S333" s="2">
        <v>113.69329999999999</v>
      </c>
      <c r="T333" s="2">
        <v>339</v>
      </c>
      <c r="U333" s="2">
        <v>0.103533</v>
      </c>
      <c r="V333" s="2">
        <v>332</v>
      </c>
      <c r="W333" s="2">
        <v>2009</v>
      </c>
    </row>
    <row r="334" spans="1:23" ht="12.3" x14ac:dyDescent="0.4">
      <c r="A334" s="2" t="s">
        <v>202</v>
      </c>
      <c r="B334" s="2" t="e">
        <v>#N/A</v>
      </c>
      <c r="C334" s="2"/>
      <c r="D334" s="2"/>
      <c r="E334" s="2"/>
      <c r="F334" s="2"/>
      <c r="G334" s="2"/>
      <c r="H334" s="2"/>
      <c r="I334" s="2">
        <v>65.732600000000005</v>
      </c>
      <c r="J334" s="2">
        <v>194</v>
      </c>
      <c r="K334" s="2">
        <v>63.705399999999997</v>
      </c>
      <c r="L334" s="2">
        <v>277</v>
      </c>
      <c r="M334" s="2">
        <v>94.616200000000006</v>
      </c>
      <c r="N334" s="2">
        <v>285</v>
      </c>
      <c r="O334" s="2">
        <v>93.241900000000001</v>
      </c>
      <c r="P334" s="2">
        <v>297</v>
      </c>
      <c r="Q334" s="2">
        <v>105.7996</v>
      </c>
      <c r="R334" s="2">
        <v>266</v>
      </c>
      <c r="S334" s="2">
        <v>112.60469999999999</v>
      </c>
      <c r="T334" s="2">
        <v>335</v>
      </c>
      <c r="U334" s="2">
        <v>0.10248699999999999</v>
      </c>
      <c r="V334" s="2">
        <v>333</v>
      </c>
      <c r="W334" s="2">
        <v>2009</v>
      </c>
    </row>
    <row r="335" spans="1:23" ht="12.3" x14ac:dyDescent="0.4">
      <c r="A335" s="2" t="s">
        <v>344</v>
      </c>
      <c r="B335" s="2" t="e">
        <v>#N/A</v>
      </c>
      <c r="C335" s="2"/>
      <c r="D335" s="2"/>
      <c r="E335" s="2"/>
      <c r="F335" s="2"/>
      <c r="G335" s="2"/>
      <c r="H335" s="2"/>
      <c r="I335" s="2">
        <v>68.734399999999994</v>
      </c>
      <c r="J335" s="2">
        <v>93</v>
      </c>
      <c r="K335" s="2">
        <v>69.158199999999994</v>
      </c>
      <c r="L335" s="2">
        <v>62</v>
      </c>
      <c r="M335" s="2">
        <v>91.297200000000004</v>
      </c>
      <c r="N335" s="2">
        <v>318</v>
      </c>
      <c r="O335" s="2">
        <v>91.4559</v>
      </c>
      <c r="P335" s="2">
        <v>313</v>
      </c>
      <c r="Q335" s="2">
        <v>109.12869999999999</v>
      </c>
      <c r="R335" s="2">
        <v>320</v>
      </c>
      <c r="S335" s="2">
        <v>111.23180000000001</v>
      </c>
      <c r="T335" s="2">
        <v>324</v>
      </c>
      <c r="U335" s="2">
        <v>9.5242999999999994E-2</v>
      </c>
      <c r="V335" s="2">
        <v>334</v>
      </c>
      <c r="W335" s="2">
        <v>2009</v>
      </c>
    </row>
    <row r="336" spans="1:23" ht="12.3" x14ac:dyDescent="0.4">
      <c r="A336" s="2" t="s">
        <v>272</v>
      </c>
      <c r="B336" s="2" t="e">
        <v>#N/A</v>
      </c>
      <c r="C336" s="2"/>
      <c r="D336" s="2"/>
      <c r="E336" s="2"/>
      <c r="F336" s="2"/>
      <c r="G336" s="2"/>
      <c r="H336" s="2"/>
      <c r="I336" s="2">
        <v>71.509100000000004</v>
      </c>
      <c r="J336" s="2">
        <v>28</v>
      </c>
      <c r="K336" s="2">
        <v>70.282200000000003</v>
      </c>
      <c r="L336" s="2">
        <v>37</v>
      </c>
      <c r="M336" s="2">
        <v>89.120500000000007</v>
      </c>
      <c r="N336" s="2">
        <v>331</v>
      </c>
      <c r="O336" s="2">
        <v>86.532799999999995</v>
      </c>
      <c r="P336" s="2">
        <v>339</v>
      </c>
      <c r="Q336" s="2">
        <v>100.7109</v>
      </c>
      <c r="R336" s="2">
        <v>158</v>
      </c>
      <c r="S336" s="2">
        <v>105.4894</v>
      </c>
      <c r="T336" s="2">
        <v>257</v>
      </c>
      <c r="U336" s="2">
        <v>9.2962000000000003E-2</v>
      </c>
      <c r="V336" s="2">
        <v>335</v>
      </c>
      <c r="W336" s="2">
        <v>2009</v>
      </c>
    </row>
    <row r="337" spans="1:23" ht="12.3" x14ac:dyDescent="0.4">
      <c r="A337" s="2" t="s">
        <v>303</v>
      </c>
      <c r="B337" s="2" t="e">
        <v>#N/A</v>
      </c>
      <c r="C337" s="2"/>
      <c r="D337" s="2"/>
      <c r="E337" s="2"/>
      <c r="F337" s="2"/>
      <c r="G337" s="2"/>
      <c r="H337" s="2"/>
      <c r="I337" s="2">
        <v>70.878399999999999</v>
      </c>
      <c r="J337" s="2">
        <v>36</v>
      </c>
      <c r="K337" s="2">
        <v>70.852099999999993</v>
      </c>
      <c r="L337" s="2">
        <v>25</v>
      </c>
      <c r="M337" s="2">
        <v>95.156000000000006</v>
      </c>
      <c r="N337" s="2">
        <v>276</v>
      </c>
      <c r="O337" s="2">
        <v>93.881699999999995</v>
      </c>
      <c r="P337" s="2">
        <v>290</v>
      </c>
      <c r="Q337" s="2">
        <v>115.5599</v>
      </c>
      <c r="R337" s="2">
        <v>344</v>
      </c>
      <c r="S337" s="2">
        <v>116.3259</v>
      </c>
      <c r="T337" s="2">
        <v>341</v>
      </c>
      <c r="U337" s="2">
        <v>7.8338000000000005E-2</v>
      </c>
      <c r="V337" s="2">
        <v>336</v>
      </c>
      <c r="W337" s="2">
        <v>2009</v>
      </c>
    </row>
    <row r="338" spans="1:23" ht="12.3" x14ac:dyDescent="0.4">
      <c r="A338" s="2" t="s">
        <v>361</v>
      </c>
      <c r="B338" s="2" t="e">
        <v>#N/A</v>
      </c>
      <c r="C338" s="2"/>
      <c r="D338" s="2"/>
      <c r="E338" s="2"/>
      <c r="F338" s="2"/>
      <c r="G338" s="2"/>
      <c r="H338" s="2"/>
      <c r="I338" s="2">
        <v>63.701300000000003</v>
      </c>
      <c r="J338" s="2">
        <v>276</v>
      </c>
      <c r="K338" s="2">
        <v>62.737699999999997</v>
      </c>
      <c r="L338" s="2">
        <v>305</v>
      </c>
      <c r="M338" s="2">
        <v>90.519900000000007</v>
      </c>
      <c r="N338" s="2">
        <v>323</v>
      </c>
      <c r="O338" s="2">
        <v>88.295500000000004</v>
      </c>
      <c r="P338" s="2">
        <v>336</v>
      </c>
      <c r="Q338" s="2">
        <v>107.6262</v>
      </c>
      <c r="R338" s="2">
        <v>300</v>
      </c>
      <c r="S338" s="2">
        <v>110.9659</v>
      </c>
      <c r="T338" s="2">
        <v>321</v>
      </c>
      <c r="U338" s="2">
        <v>6.7349000000000006E-2</v>
      </c>
      <c r="V338" s="2">
        <v>337</v>
      </c>
      <c r="W338" s="2">
        <v>2009</v>
      </c>
    </row>
    <row r="339" spans="1:23" ht="12.3" x14ac:dyDescent="0.4">
      <c r="A339" s="2" t="s">
        <v>365</v>
      </c>
      <c r="B339" s="2" t="e">
        <v>#N/A</v>
      </c>
      <c r="C339" s="2"/>
      <c r="D339" s="2"/>
      <c r="E339" s="2"/>
      <c r="F339" s="2"/>
      <c r="G339" s="2"/>
      <c r="H339" s="2"/>
      <c r="I339" s="2">
        <v>67.852599999999995</v>
      </c>
      <c r="J339" s="2">
        <v>113</v>
      </c>
      <c r="K339" s="2">
        <v>68.279899999999998</v>
      </c>
      <c r="L339" s="2">
        <v>92</v>
      </c>
      <c r="M339" s="2">
        <v>83.257499999999993</v>
      </c>
      <c r="N339" s="2">
        <v>343</v>
      </c>
      <c r="O339" s="2">
        <v>84.727800000000002</v>
      </c>
      <c r="P339" s="2">
        <v>343</v>
      </c>
      <c r="Q339" s="2">
        <v>100.1139</v>
      </c>
      <c r="R339" s="2">
        <v>143</v>
      </c>
      <c r="S339" s="2">
        <v>106.93810000000001</v>
      </c>
      <c r="T339" s="2">
        <v>282</v>
      </c>
      <c r="U339" s="2">
        <v>6.4327999999999996E-2</v>
      </c>
      <c r="V339" s="2">
        <v>338</v>
      </c>
      <c r="W339" s="2">
        <v>2009</v>
      </c>
    </row>
    <row r="340" spans="1:23" ht="12.3" x14ac:dyDescent="0.4">
      <c r="A340" s="2" t="s">
        <v>302</v>
      </c>
      <c r="B340" s="2" t="e">
        <v>#N/A</v>
      </c>
      <c r="C340" s="2"/>
      <c r="D340" s="2"/>
      <c r="E340" s="2"/>
      <c r="F340" s="2"/>
      <c r="G340" s="2"/>
      <c r="H340" s="2"/>
      <c r="I340" s="2">
        <v>63.250900000000001</v>
      </c>
      <c r="J340" s="2">
        <v>288</v>
      </c>
      <c r="K340" s="2">
        <v>64.559700000000007</v>
      </c>
      <c r="L340" s="2">
        <v>253</v>
      </c>
      <c r="M340" s="2">
        <v>89.711299999999994</v>
      </c>
      <c r="N340" s="2">
        <v>329</v>
      </c>
      <c r="O340" s="2">
        <v>88.997100000000003</v>
      </c>
      <c r="P340" s="2">
        <v>332</v>
      </c>
      <c r="Q340" s="2">
        <v>114.51519999999999</v>
      </c>
      <c r="R340" s="2">
        <v>342</v>
      </c>
      <c r="S340" s="2">
        <v>113.20310000000001</v>
      </c>
      <c r="T340" s="2">
        <v>338</v>
      </c>
      <c r="U340" s="2">
        <v>5.9152000000000003E-2</v>
      </c>
      <c r="V340" s="2">
        <v>339</v>
      </c>
      <c r="W340" s="2">
        <v>2009</v>
      </c>
    </row>
    <row r="341" spans="1:23" ht="12.3" x14ac:dyDescent="0.4">
      <c r="A341" s="2" t="s">
        <v>261</v>
      </c>
      <c r="B341" s="2" t="e">
        <v>#N/A</v>
      </c>
      <c r="C341" s="2"/>
      <c r="D341" s="2"/>
      <c r="E341" s="2"/>
      <c r="F341" s="2"/>
      <c r="G341" s="2"/>
      <c r="H341" s="2"/>
      <c r="I341" s="2">
        <v>74.865099999999998</v>
      </c>
      <c r="J341" s="2">
        <v>8</v>
      </c>
      <c r="K341" s="2">
        <v>73.905799999999999</v>
      </c>
      <c r="L341" s="2">
        <v>8</v>
      </c>
      <c r="M341" s="2">
        <v>92.257000000000005</v>
      </c>
      <c r="N341" s="2">
        <v>309</v>
      </c>
      <c r="O341" s="2">
        <v>92.915499999999994</v>
      </c>
      <c r="P341" s="2">
        <v>305</v>
      </c>
      <c r="Q341" s="2">
        <v>112.009</v>
      </c>
      <c r="R341" s="2">
        <v>337</v>
      </c>
      <c r="S341" s="2">
        <v>118.32340000000001</v>
      </c>
      <c r="T341" s="2">
        <v>344</v>
      </c>
      <c r="U341" s="2">
        <v>5.8418999999999999E-2</v>
      </c>
      <c r="V341" s="2">
        <v>340</v>
      </c>
      <c r="W341" s="2">
        <v>2009</v>
      </c>
    </row>
    <row r="342" spans="1:23" ht="12.3" x14ac:dyDescent="0.4">
      <c r="A342" s="2" t="s">
        <v>329</v>
      </c>
      <c r="B342" s="2" t="e">
        <v>#N/A</v>
      </c>
      <c r="C342" s="2"/>
      <c r="D342" s="2"/>
      <c r="E342" s="2"/>
      <c r="F342" s="2"/>
      <c r="G342" s="2"/>
      <c r="H342" s="2"/>
      <c r="I342" s="2">
        <v>64.614699999999999</v>
      </c>
      <c r="J342" s="2">
        <v>254</v>
      </c>
      <c r="K342" s="2">
        <v>62.867199999999997</v>
      </c>
      <c r="L342" s="2">
        <v>302</v>
      </c>
      <c r="M342" s="2">
        <v>90.013499999999993</v>
      </c>
      <c r="N342" s="2">
        <v>328</v>
      </c>
      <c r="O342" s="2">
        <v>89.944900000000004</v>
      </c>
      <c r="P342" s="2">
        <v>328</v>
      </c>
      <c r="Q342" s="2">
        <v>110.57510000000001</v>
      </c>
      <c r="R342" s="2">
        <v>333</v>
      </c>
      <c r="S342" s="2">
        <v>116.3934</v>
      </c>
      <c r="T342" s="2">
        <v>342</v>
      </c>
      <c r="U342" s="2">
        <v>4.9057999999999997E-2</v>
      </c>
      <c r="V342" s="2">
        <v>341</v>
      </c>
      <c r="W342" s="2">
        <v>2009</v>
      </c>
    </row>
    <row r="343" spans="1:23" ht="12.3" x14ac:dyDescent="0.4">
      <c r="A343" s="2" t="s">
        <v>321</v>
      </c>
      <c r="B343" s="2" t="e">
        <v>#N/A</v>
      </c>
      <c r="C343" s="2"/>
      <c r="D343" s="2"/>
      <c r="E343" s="2"/>
      <c r="F343" s="2"/>
      <c r="G343" s="2"/>
      <c r="H343" s="2"/>
      <c r="I343" s="2">
        <v>64.524199999999993</v>
      </c>
      <c r="J343" s="2">
        <v>257</v>
      </c>
      <c r="K343" s="2">
        <v>64.376400000000004</v>
      </c>
      <c r="L343" s="2">
        <v>262</v>
      </c>
      <c r="M343" s="2">
        <v>90.658199999999994</v>
      </c>
      <c r="N343" s="2">
        <v>322</v>
      </c>
      <c r="O343" s="2">
        <v>89.541899999999998</v>
      </c>
      <c r="P343" s="2">
        <v>330</v>
      </c>
      <c r="Q343" s="2">
        <v>108.0254</v>
      </c>
      <c r="R343" s="2">
        <v>306</v>
      </c>
      <c r="S343" s="2">
        <v>116.9873</v>
      </c>
      <c r="T343" s="2">
        <v>343</v>
      </c>
      <c r="U343" s="2">
        <v>4.4165999999999997E-2</v>
      </c>
      <c r="V343" s="2">
        <v>342</v>
      </c>
      <c r="W343" s="2">
        <v>2009</v>
      </c>
    </row>
    <row r="344" spans="1:23" ht="12.3" x14ac:dyDescent="0.4">
      <c r="A344" s="2" t="s">
        <v>371</v>
      </c>
      <c r="B344" s="2" t="e">
        <v>#N/A</v>
      </c>
      <c r="C344" s="2"/>
      <c r="D344" s="2"/>
      <c r="E344" s="2"/>
      <c r="F344" s="2"/>
      <c r="G344" s="2"/>
      <c r="H344" s="2"/>
      <c r="I344" s="2">
        <v>71.603399999999993</v>
      </c>
      <c r="J344" s="2">
        <v>25</v>
      </c>
      <c r="K344" s="2">
        <v>70.487200000000001</v>
      </c>
      <c r="L344" s="2">
        <v>33</v>
      </c>
      <c r="M344" s="2">
        <v>83.685500000000005</v>
      </c>
      <c r="N344" s="2">
        <v>342</v>
      </c>
      <c r="O344" s="2">
        <v>85.533000000000001</v>
      </c>
      <c r="P344" s="2">
        <v>340</v>
      </c>
      <c r="Q344" s="2">
        <v>111.88460000000001</v>
      </c>
      <c r="R344" s="2">
        <v>336</v>
      </c>
      <c r="S344" s="2">
        <v>112.16670000000001</v>
      </c>
      <c r="T344" s="2">
        <v>333</v>
      </c>
      <c r="U344" s="2">
        <v>4.2391999999999999E-2</v>
      </c>
      <c r="V344" s="2">
        <v>343</v>
      </c>
      <c r="W344" s="2">
        <v>2009</v>
      </c>
    </row>
    <row r="345" spans="1:23" ht="12.3" x14ac:dyDescent="0.4">
      <c r="A345" s="2" t="s">
        <v>366</v>
      </c>
      <c r="B345" s="2" t="e">
        <v>#N/A</v>
      </c>
      <c r="C345" s="2"/>
      <c r="D345" s="2"/>
      <c r="E345" s="2"/>
      <c r="F345" s="2"/>
      <c r="G345" s="2"/>
      <c r="H345" s="2"/>
      <c r="I345" s="2">
        <v>66.460099999999997</v>
      </c>
      <c r="J345" s="2">
        <v>162</v>
      </c>
      <c r="K345" s="2">
        <v>66.075199999999995</v>
      </c>
      <c r="L345" s="2">
        <v>178</v>
      </c>
      <c r="M345" s="2">
        <v>74.8566</v>
      </c>
      <c r="N345" s="2">
        <v>344</v>
      </c>
      <c r="O345" s="2">
        <v>72.523799999999994</v>
      </c>
      <c r="P345" s="2">
        <v>344</v>
      </c>
      <c r="Q345" s="2">
        <v>101.0834</v>
      </c>
      <c r="R345" s="2">
        <v>164</v>
      </c>
      <c r="S345" s="2">
        <v>104.9341</v>
      </c>
      <c r="T345" s="2">
        <v>247</v>
      </c>
      <c r="U345" s="2">
        <v>1.4087000000000001E-2</v>
      </c>
      <c r="V345" s="2">
        <v>344</v>
      </c>
      <c r="W345" s="2">
        <v>2009</v>
      </c>
    </row>
  </sheetData>
  <autoFilter ref="A1:V345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348"/>
  <sheetViews>
    <sheetView workbookViewId="0">
      <selection activeCell="S1" sqref="S1"/>
    </sheetView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35</v>
      </c>
      <c r="B2" s="2">
        <v>1</v>
      </c>
      <c r="C2" s="3" t="s">
        <v>33</v>
      </c>
      <c r="D2" s="2"/>
      <c r="E2" s="2"/>
      <c r="F2" s="2"/>
      <c r="G2" s="2"/>
      <c r="H2" s="2"/>
      <c r="I2" s="2">
        <v>69.918899999999994</v>
      </c>
      <c r="J2" s="2">
        <v>68</v>
      </c>
      <c r="K2" s="2">
        <v>68.384699999999995</v>
      </c>
      <c r="L2" s="2">
        <v>119</v>
      </c>
      <c r="M2" s="2">
        <v>116.1563</v>
      </c>
      <c r="N2" s="2">
        <v>4</v>
      </c>
      <c r="O2" s="2">
        <v>118.87779999999999</v>
      </c>
      <c r="P2" s="2">
        <v>1</v>
      </c>
      <c r="Q2" s="2">
        <v>91.097700000000003</v>
      </c>
      <c r="R2" s="2">
        <v>9</v>
      </c>
      <c r="S2" s="2">
        <v>88.795000000000002</v>
      </c>
      <c r="T2" s="2">
        <v>5</v>
      </c>
      <c r="U2" s="2">
        <v>0.96627799999999997</v>
      </c>
      <c r="V2" s="2">
        <v>1</v>
      </c>
      <c r="W2" s="2">
        <v>2010</v>
      </c>
    </row>
    <row r="3" spans="1:23" ht="15.75" customHeight="1" x14ac:dyDescent="0.4">
      <c r="A3" s="2" t="s">
        <v>32</v>
      </c>
      <c r="B3" s="2">
        <v>1</v>
      </c>
      <c r="C3" s="3" t="s">
        <v>33</v>
      </c>
      <c r="D3" s="3" t="s">
        <v>33</v>
      </c>
      <c r="E3" s="3" t="s">
        <v>33</v>
      </c>
      <c r="F3" s="3" t="s">
        <v>33</v>
      </c>
      <c r="G3" s="3" t="s">
        <v>33</v>
      </c>
      <c r="H3" s="3" t="s">
        <v>33</v>
      </c>
      <c r="I3" s="2">
        <v>67.622799999999998</v>
      </c>
      <c r="J3" s="2">
        <v>158</v>
      </c>
      <c r="K3" s="2">
        <v>66.684299999999993</v>
      </c>
      <c r="L3" s="2">
        <v>198</v>
      </c>
      <c r="M3" s="2">
        <v>114.7741</v>
      </c>
      <c r="N3" s="2">
        <v>6</v>
      </c>
      <c r="O3" s="2">
        <v>116.9563</v>
      </c>
      <c r="P3" s="2">
        <v>6</v>
      </c>
      <c r="Q3" s="2">
        <v>91.28</v>
      </c>
      <c r="R3" s="2">
        <v>10</v>
      </c>
      <c r="S3" s="2">
        <v>89.206100000000006</v>
      </c>
      <c r="T3" s="2">
        <v>6</v>
      </c>
      <c r="U3" s="2">
        <v>0.95749799999999996</v>
      </c>
      <c r="V3" s="2">
        <v>2</v>
      </c>
      <c r="W3" s="2">
        <v>2010</v>
      </c>
    </row>
    <row r="4" spans="1:23" ht="15.75" customHeight="1" x14ac:dyDescent="0.4">
      <c r="A4" s="2" t="s">
        <v>23</v>
      </c>
      <c r="B4" s="2">
        <v>1</v>
      </c>
      <c r="C4" s="3" t="s">
        <v>33</v>
      </c>
      <c r="D4" s="3" t="s">
        <v>33</v>
      </c>
      <c r="E4" s="2"/>
      <c r="F4" s="2"/>
      <c r="G4" s="2"/>
      <c r="H4" s="2"/>
      <c r="I4" s="2">
        <v>71.3215</v>
      </c>
      <c r="J4" s="2">
        <v>30</v>
      </c>
      <c r="K4" s="2">
        <v>70.744100000000003</v>
      </c>
      <c r="L4" s="2">
        <v>37</v>
      </c>
      <c r="M4" s="2">
        <v>114.26600000000001</v>
      </c>
      <c r="N4" s="2">
        <v>7</v>
      </c>
      <c r="O4" s="2">
        <v>115.7085</v>
      </c>
      <c r="P4" s="2">
        <v>10</v>
      </c>
      <c r="Q4" s="2">
        <v>94.187799999999996</v>
      </c>
      <c r="R4" s="2">
        <v>40</v>
      </c>
      <c r="S4" s="2">
        <v>91.889099999999999</v>
      </c>
      <c r="T4" s="2">
        <v>22</v>
      </c>
      <c r="U4" s="2">
        <v>0.93405099999999996</v>
      </c>
      <c r="V4" s="2">
        <v>3</v>
      </c>
      <c r="W4" s="2">
        <v>2010</v>
      </c>
    </row>
    <row r="5" spans="1:23" ht="15.75" customHeight="1" x14ac:dyDescent="0.4">
      <c r="A5" s="2" t="s">
        <v>21</v>
      </c>
      <c r="B5" s="2">
        <v>2</v>
      </c>
      <c r="C5" s="3" t="s">
        <v>33</v>
      </c>
      <c r="D5" s="3" t="s">
        <v>33</v>
      </c>
      <c r="E5" s="2"/>
      <c r="F5" s="2"/>
      <c r="G5" s="2"/>
      <c r="H5" s="2"/>
      <c r="I5" s="2">
        <v>64.750699999999995</v>
      </c>
      <c r="J5" s="2">
        <v>281</v>
      </c>
      <c r="K5" s="2">
        <v>65.824100000000001</v>
      </c>
      <c r="L5" s="2">
        <v>236</v>
      </c>
      <c r="M5" s="2">
        <v>113.6388</v>
      </c>
      <c r="N5" s="2">
        <v>9</v>
      </c>
      <c r="O5" s="2">
        <v>116.15819999999999</v>
      </c>
      <c r="P5" s="2">
        <v>8</v>
      </c>
      <c r="Q5" s="2">
        <v>94.143199999999993</v>
      </c>
      <c r="R5" s="2">
        <v>39</v>
      </c>
      <c r="S5" s="2">
        <v>92.656400000000005</v>
      </c>
      <c r="T5" s="2">
        <v>29</v>
      </c>
      <c r="U5" s="2">
        <v>0.93083800000000005</v>
      </c>
      <c r="V5" s="2">
        <v>4</v>
      </c>
      <c r="W5" s="2">
        <v>2010</v>
      </c>
    </row>
    <row r="6" spans="1:23" ht="15.75" customHeight="1" x14ac:dyDescent="0.4">
      <c r="A6" s="2" t="s">
        <v>229</v>
      </c>
      <c r="B6" s="2">
        <v>2</v>
      </c>
      <c r="C6" s="3" t="s">
        <v>33</v>
      </c>
      <c r="D6" s="3" t="s">
        <v>33</v>
      </c>
      <c r="E6" s="3" t="s">
        <v>33</v>
      </c>
      <c r="F6" s="3" t="s">
        <v>33</v>
      </c>
      <c r="G6" s="2"/>
      <c r="H6" s="2"/>
      <c r="I6" s="2">
        <v>63.989100000000001</v>
      </c>
      <c r="J6" s="2">
        <v>298</v>
      </c>
      <c r="K6" s="2">
        <v>63.412999999999997</v>
      </c>
      <c r="L6" s="2">
        <v>312</v>
      </c>
      <c r="M6" s="2">
        <v>111.91119999999999</v>
      </c>
      <c r="N6" s="2">
        <v>17</v>
      </c>
      <c r="O6" s="2">
        <v>115.8246</v>
      </c>
      <c r="P6" s="2">
        <v>9</v>
      </c>
      <c r="Q6" s="2">
        <v>97.724599999999995</v>
      </c>
      <c r="R6" s="2">
        <v>98</v>
      </c>
      <c r="S6" s="2">
        <v>92.837599999999995</v>
      </c>
      <c r="T6" s="2">
        <v>31</v>
      </c>
      <c r="U6" s="2">
        <v>0.92717499999999997</v>
      </c>
      <c r="V6" s="2">
        <v>5</v>
      </c>
      <c r="W6" s="2">
        <v>2010</v>
      </c>
    </row>
    <row r="7" spans="1:23" ht="15.75" customHeight="1" x14ac:dyDescent="0.4">
      <c r="A7" s="2" t="s">
        <v>45</v>
      </c>
      <c r="B7" s="2">
        <v>1</v>
      </c>
      <c r="C7" s="3" t="s">
        <v>33</v>
      </c>
      <c r="D7" s="3" t="s">
        <v>33</v>
      </c>
      <c r="E7" s="3" t="s">
        <v>33</v>
      </c>
      <c r="F7" s="2"/>
      <c r="G7" s="2"/>
      <c r="H7" s="2"/>
      <c r="I7" s="2">
        <v>70.251800000000003</v>
      </c>
      <c r="J7" s="2">
        <v>57</v>
      </c>
      <c r="K7" s="2">
        <v>69.402600000000007</v>
      </c>
      <c r="L7" s="2">
        <v>71</v>
      </c>
      <c r="M7" s="2">
        <v>111.7162</v>
      </c>
      <c r="N7" s="2">
        <v>19</v>
      </c>
      <c r="O7" s="2">
        <v>111.7599</v>
      </c>
      <c r="P7" s="2">
        <v>26</v>
      </c>
      <c r="Q7" s="2">
        <v>92.029399999999995</v>
      </c>
      <c r="R7" s="2">
        <v>21</v>
      </c>
      <c r="S7" s="2">
        <v>89.6768</v>
      </c>
      <c r="T7" s="2">
        <v>9</v>
      </c>
      <c r="U7" s="2">
        <v>0.92632899999999996</v>
      </c>
      <c r="V7" s="2">
        <v>6</v>
      </c>
      <c r="W7" s="2">
        <v>2010</v>
      </c>
    </row>
    <row r="8" spans="1:23" ht="15.75" customHeight="1" x14ac:dyDescent="0.4">
      <c r="A8" s="2" t="s">
        <v>148</v>
      </c>
      <c r="B8" s="2">
        <v>2</v>
      </c>
      <c r="C8" s="3" t="s">
        <v>33</v>
      </c>
      <c r="D8" s="3" t="s">
        <v>33</v>
      </c>
      <c r="E8" s="3" t="s">
        <v>33</v>
      </c>
      <c r="F8" s="2"/>
      <c r="G8" s="2"/>
      <c r="H8" s="2"/>
      <c r="I8" s="2">
        <v>72.0244</v>
      </c>
      <c r="J8" s="2">
        <v>24</v>
      </c>
      <c r="K8" s="2">
        <v>71.048000000000002</v>
      </c>
      <c r="L8" s="2">
        <v>31</v>
      </c>
      <c r="M8" s="2">
        <v>109.5895</v>
      </c>
      <c r="N8" s="2">
        <v>33</v>
      </c>
      <c r="O8" s="2">
        <v>113.9432</v>
      </c>
      <c r="P8" s="2">
        <v>17</v>
      </c>
      <c r="Q8" s="2">
        <v>95.613600000000005</v>
      </c>
      <c r="R8" s="2">
        <v>50</v>
      </c>
      <c r="S8" s="2">
        <v>91.5124</v>
      </c>
      <c r="T8" s="2">
        <v>19</v>
      </c>
      <c r="U8" s="2">
        <v>0.92560699999999996</v>
      </c>
      <c r="V8" s="2">
        <v>7</v>
      </c>
      <c r="W8" s="2">
        <v>2010</v>
      </c>
    </row>
    <row r="9" spans="1:23" ht="15.75" customHeight="1" x14ac:dyDescent="0.4">
      <c r="A9" s="2" t="s">
        <v>76</v>
      </c>
      <c r="B9" s="2">
        <v>4</v>
      </c>
      <c r="C9" s="3" t="s">
        <v>33</v>
      </c>
      <c r="D9" s="2"/>
      <c r="E9" s="2"/>
      <c r="F9" s="2"/>
      <c r="G9" s="2"/>
      <c r="H9" s="2"/>
      <c r="I9" s="2">
        <v>60.0458</v>
      </c>
      <c r="J9" s="2">
        <v>341</v>
      </c>
      <c r="K9" s="2">
        <v>60.210900000000002</v>
      </c>
      <c r="L9" s="2">
        <v>340</v>
      </c>
      <c r="M9" s="2">
        <v>111.4756</v>
      </c>
      <c r="N9" s="2">
        <v>21</v>
      </c>
      <c r="O9" s="2">
        <v>113.3768</v>
      </c>
      <c r="P9" s="2">
        <v>19</v>
      </c>
      <c r="Q9" s="2">
        <v>92.853899999999996</v>
      </c>
      <c r="R9" s="2">
        <v>28</v>
      </c>
      <c r="S9" s="2">
        <v>91.376999999999995</v>
      </c>
      <c r="T9" s="2">
        <v>16</v>
      </c>
      <c r="U9" s="2">
        <v>0.922786</v>
      </c>
      <c r="V9" s="2">
        <v>8</v>
      </c>
      <c r="W9" s="2">
        <v>2010</v>
      </c>
    </row>
    <row r="10" spans="1:23" ht="15.75" customHeight="1" x14ac:dyDescent="0.4">
      <c r="A10" s="2" t="s">
        <v>62</v>
      </c>
      <c r="B10" s="2">
        <v>3</v>
      </c>
      <c r="C10" s="2"/>
      <c r="D10" s="2"/>
      <c r="E10" s="2"/>
      <c r="F10" s="2"/>
      <c r="G10" s="2"/>
      <c r="H10" s="2"/>
      <c r="I10" s="2">
        <v>66.591300000000004</v>
      </c>
      <c r="J10" s="2">
        <v>214</v>
      </c>
      <c r="K10" s="2">
        <v>66.566199999999995</v>
      </c>
      <c r="L10" s="2">
        <v>207</v>
      </c>
      <c r="M10" s="2">
        <v>109.9958</v>
      </c>
      <c r="N10" s="2">
        <v>31</v>
      </c>
      <c r="O10" s="2">
        <v>115.21939999999999</v>
      </c>
      <c r="P10" s="2">
        <v>12</v>
      </c>
      <c r="Q10" s="2">
        <v>97.787899999999993</v>
      </c>
      <c r="R10" s="2">
        <v>100</v>
      </c>
      <c r="S10" s="2">
        <v>93.512100000000004</v>
      </c>
      <c r="T10" s="2">
        <v>37</v>
      </c>
      <c r="U10" s="2">
        <v>0.91687200000000002</v>
      </c>
      <c r="V10" s="2">
        <v>9</v>
      </c>
      <c r="W10" s="2">
        <v>2010</v>
      </c>
    </row>
    <row r="11" spans="1:23" ht="15.75" customHeight="1" x14ac:dyDescent="0.4">
      <c r="A11" s="2" t="s">
        <v>96</v>
      </c>
      <c r="B11" s="2">
        <v>7</v>
      </c>
      <c r="C11" s="3" t="s">
        <v>33</v>
      </c>
      <c r="D11" s="2"/>
      <c r="E11" s="2"/>
      <c r="F11" s="2"/>
      <c r="G11" s="2"/>
      <c r="H11" s="2"/>
      <c r="I11" s="2">
        <v>71.448899999999995</v>
      </c>
      <c r="J11" s="2">
        <v>29</v>
      </c>
      <c r="K11" s="2">
        <v>72.818600000000004</v>
      </c>
      <c r="L11" s="2">
        <v>12</v>
      </c>
      <c r="M11" s="2">
        <v>115.54770000000001</v>
      </c>
      <c r="N11" s="2">
        <v>5</v>
      </c>
      <c r="O11" s="2">
        <v>115.5427</v>
      </c>
      <c r="P11" s="2">
        <v>11</v>
      </c>
      <c r="Q11" s="2">
        <v>91.659499999999994</v>
      </c>
      <c r="R11" s="2">
        <v>12</v>
      </c>
      <c r="S11" s="2">
        <v>93.917599999999993</v>
      </c>
      <c r="T11" s="2">
        <v>44</v>
      </c>
      <c r="U11" s="2">
        <v>0.91552599999999995</v>
      </c>
      <c r="V11" s="2">
        <v>10</v>
      </c>
      <c r="W11" s="2">
        <v>2010</v>
      </c>
    </row>
    <row r="12" spans="1:23" ht="15.75" customHeight="1" x14ac:dyDescent="0.4">
      <c r="A12" s="2" t="s">
        <v>158</v>
      </c>
      <c r="B12" s="2">
        <v>3</v>
      </c>
      <c r="C12" s="3" t="s">
        <v>33</v>
      </c>
      <c r="D12" s="3" t="s">
        <v>33</v>
      </c>
      <c r="E12" s="3" t="s">
        <v>33</v>
      </c>
      <c r="F12" s="2"/>
      <c r="G12" s="2"/>
      <c r="H12" s="2"/>
      <c r="I12" s="2">
        <v>67.519000000000005</v>
      </c>
      <c r="J12" s="2">
        <v>164</v>
      </c>
      <c r="K12" s="2">
        <v>65.818399999999997</v>
      </c>
      <c r="L12" s="2">
        <v>237</v>
      </c>
      <c r="M12" s="2">
        <v>112.7598</v>
      </c>
      <c r="N12" s="2">
        <v>12</v>
      </c>
      <c r="O12" s="2">
        <v>117.53</v>
      </c>
      <c r="P12" s="2">
        <v>4</v>
      </c>
      <c r="Q12" s="2">
        <v>98.089799999999997</v>
      </c>
      <c r="R12" s="2">
        <v>106</v>
      </c>
      <c r="S12" s="2">
        <v>95.608000000000004</v>
      </c>
      <c r="T12" s="2">
        <v>60</v>
      </c>
      <c r="U12" s="2">
        <v>0.914825</v>
      </c>
      <c r="V12" s="2">
        <v>11</v>
      </c>
      <c r="W12" s="2">
        <v>2010</v>
      </c>
    </row>
    <row r="13" spans="1:23" ht="15.75" customHeight="1" x14ac:dyDescent="0.4">
      <c r="A13" s="2" t="s">
        <v>88</v>
      </c>
      <c r="B13" s="2">
        <v>5</v>
      </c>
      <c r="C13" s="2"/>
      <c r="D13" s="2"/>
      <c r="E13" s="2"/>
      <c r="F13" s="2"/>
      <c r="G13" s="2"/>
      <c r="H13" s="2"/>
      <c r="I13" s="2">
        <v>62.057099999999998</v>
      </c>
      <c r="J13" s="2">
        <v>329</v>
      </c>
      <c r="K13" s="2">
        <v>61.204099999999997</v>
      </c>
      <c r="L13" s="2">
        <v>336</v>
      </c>
      <c r="M13" s="2">
        <v>104.0827</v>
      </c>
      <c r="N13" s="2">
        <v>112</v>
      </c>
      <c r="O13" s="2">
        <v>105.8365</v>
      </c>
      <c r="P13" s="2">
        <v>92</v>
      </c>
      <c r="Q13" s="2">
        <v>89.364400000000003</v>
      </c>
      <c r="R13" s="2">
        <v>4</v>
      </c>
      <c r="S13" s="2">
        <v>86.539599999999993</v>
      </c>
      <c r="T13" s="2">
        <v>2</v>
      </c>
      <c r="U13" s="2">
        <v>0.91010100000000005</v>
      </c>
      <c r="V13" s="2">
        <v>12</v>
      </c>
      <c r="W13" s="2">
        <v>2010</v>
      </c>
    </row>
    <row r="14" spans="1:23" ht="15.75" customHeight="1" x14ac:dyDescent="0.4">
      <c r="A14" s="2" t="s">
        <v>36</v>
      </c>
      <c r="B14" s="2">
        <v>4</v>
      </c>
      <c r="C14" s="3" t="s">
        <v>33</v>
      </c>
      <c r="D14" s="2"/>
      <c r="E14" s="2"/>
      <c r="F14" s="2"/>
      <c r="G14" s="2"/>
      <c r="H14" s="2"/>
      <c r="I14" s="2">
        <v>70.327100000000002</v>
      </c>
      <c r="J14" s="2">
        <v>53</v>
      </c>
      <c r="K14" s="2">
        <v>70.172899999999998</v>
      </c>
      <c r="L14" s="2">
        <v>51</v>
      </c>
      <c r="M14" s="2">
        <v>111.324</v>
      </c>
      <c r="N14" s="2">
        <v>23</v>
      </c>
      <c r="O14" s="2">
        <v>116.2984</v>
      </c>
      <c r="P14" s="2">
        <v>7</v>
      </c>
      <c r="Q14" s="2">
        <v>95.808700000000002</v>
      </c>
      <c r="R14" s="2">
        <v>53</v>
      </c>
      <c r="S14" s="2">
        <v>95.673500000000004</v>
      </c>
      <c r="T14" s="2">
        <v>61</v>
      </c>
      <c r="U14" s="2">
        <v>0.90421799999999997</v>
      </c>
      <c r="V14" s="2">
        <v>13</v>
      </c>
      <c r="W14" s="2">
        <v>2010</v>
      </c>
    </row>
    <row r="15" spans="1:23" ht="15.75" customHeight="1" x14ac:dyDescent="0.4">
      <c r="A15" s="2" t="s">
        <v>78</v>
      </c>
      <c r="B15" s="2">
        <v>2</v>
      </c>
      <c r="C15" s="3" t="s">
        <v>33</v>
      </c>
      <c r="D15" s="2"/>
      <c r="E15" s="2"/>
      <c r="F15" s="2"/>
      <c r="G15" s="2"/>
      <c r="H15" s="2"/>
      <c r="I15" s="2">
        <v>72.532799999999995</v>
      </c>
      <c r="J15" s="2">
        <v>20</v>
      </c>
      <c r="K15" s="2">
        <v>72.865600000000001</v>
      </c>
      <c r="L15" s="2">
        <v>11</v>
      </c>
      <c r="M15" s="2">
        <v>113.4836</v>
      </c>
      <c r="N15" s="2">
        <v>10</v>
      </c>
      <c r="O15" s="2">
        <v>116.99809999999999</v>
      </c>
      <c r="P15" s="2">
        <v>5</v>
      </c>
      <c r="Q15" s="2">
        <v>100.265</v>
      </c>
      <c r="R15" s="2">
        <v>149</v>
      </c>
      <c r="S15" s="2">
        <v>96.3553</v>
      </c>
      <c r="T15" s="2">
        <v>67</v>
      </c>
      <c r="U15" s="2">
        <v>0.903115</v>
      </c>
      <c r="V15" s="2">
        <v>14</v>
      </c>
      <c r="W15" s="2">
        <v>2010</v>
      </c>
    </row>
    <row r="16" spans="1:23" ht="15.75" customHeight="1" x14ac:dyDescent="0.4">
      <c r="A16" s="2" t="s">
        <v>121</v>
      </c>
      <c r="B16" s="2">
        <v>4</v>
      </c>
      <c r="C16" s="3" t="s">
        <v>33</v>
      </c>
      <c r="D16" s="3" t="s">
        <v>33</v>
      </c>
      <c r="E16" s="2"/>
      <c r="F16" s="2"/>
      <c r="G16" s="2"/>
      <c r="H16" s="2"/>
      <c r="I16" s="2">
        <v>66.738299999999995</v>
      </c>
      <c r="J16" s="2">
        <v>203</v>
      </c>
      <c r="K16" s="2">
        <v>67.150599999999997</v>
      </c>
      <c r="L16" s="2">
        <v>180</v>
      </c>
      <c r="M16" s="2">
        <v>106.5055</v>
      </c>
      <c r="N16" s="2">
        <v>80</v>
      </c>
      <c r="O16" s="2">
        <v>107.2779</v>
      </c>
      <c r="P16" s="2">
        <v>71</v>
      </c>
      <c r="Q16" s="2">
        <v>91.453999999999994</v>
      </c>
      <c r="R16" s="2">
        <v>11</v>
      </c>
      <c r="S16" s="2">
        <v>88.759299999999996</v>
      </c>
      <c r="T16" s="2">
        <v>4</v>
      </c>
      <c r="U16" s="2">
        <v>0.89836400000000005</v>
      </c>
      <c r="V16" s="2">
        <v>15</v>
      </c>
      <c r="W16" s="2">
        <v>2010</v>
      </c>
    </row>
    <row r="17" spans="1:23" ht="15.75" customHeight="1" x14ac:dyDescent="0.4">
      <c r="A17" s="2" t="s">
        <v>18</v>
      </c>
      <c r="B17" s="2">
        <v>5</v>
      </c>
      <c r="C17" s="3" t="s">
        <v>33</v>
      </c>
      <c r="D17" s="3" t="s">
        <v>33</v>
      </c>
      <c r="E17" s="3" t="s">
        <v>33</v>
      </c>
      <c r="F17" s="3" t="s">
        <v>33</v>
      </c>
      <c r="G17" s="3" t="s">
        <v>33</v>
      </c>
      <c r="H17" s="2"/>
      <c r="I17" s="2">
        <v>64.527299999999997</v>
      </c>
      <c r="J17" s="2">
        <v>287</v>
      </c>
      <c r="K17" s="2">
        <v>65.161699999999996</v>
      </c>
      <c r="L17" s="2">
        <v>269</v>
      </c>
      <c r="M17" s="2">
        <v>108.49290000000001</v>
      </c>
      <c r="N17" s="2">
        <v>47</v>
      </c>
      <c r="O17" s="2">
        <v>108.1695</v>
      </c>
      <c r="P17" s="2">
        <v>55</v>
      </c>
      <c r="Q17" s="2">
        <v>92.537199999999999</v>
      </c>
      <c r="R17" s="2">
        <v>24</v>
      </c>
      <c r="S17" s="2">
        <v>89.628600000000006</v>
      </c>
      <c r="T17" s="2">
        <v>8</v>
      </c>
      <c r="U17" s="2">
        <v>0.89681200000000005</v>
      </c>
      <c r="V17" s="2">
        <v>16</v>
      </c>
      <c r="W17" s="2">
        <v>2010</v>
      </c>
    </row>
    <row r="18" spans="1:23" ht="15.75" customHeight="1" x14ac:dyDescent="0.4">
      <c r="A18" s="2" t="s">
        <v>248</v>
      </c>
      <c r="B18" s="2">
        <v>5</v>
      </c>
      <c r="C18" s="3" t="s">
        <v>33</v>
      </c>
      <c r="D18" s="2"/>
      <c r="E18" s="2"/>
      <c r="F18" s="2"/>
      <c r="G18" s="2"/>
      <c r="H18" s="2"/>
      <c r="I18" s="2">
        <v>66.494299999999996</v>
      </c>
      <c r="J18" s="2">
        <v>222</v>
      </c>
      <c r="K18" s="2">
        <v>65.627499999999998</v>
      </c>
      <c r="L18" s="2">
        <v>246</v>
      </c>
      <c r="M18" s="2">
        <v>107.133</v>
      </c>
      <c r="N18" s="2">
        <v>64</v>
      </c>
      <c r="O18" s="2">
        <v>109.98560000000001</v>
      </c>
      <c r="P18" s="2">
        <v>43</v>
      </c>
      <c r="Q18" s="2">
        <v>97.105199999999996</v>
      </c>
      <c r="R18" s="2">
        <v>84</v>
      </c>
      <c r="S18" s="2">
        <v>91.801500000000004</v>
      </c>
      <c r="T18" s="2">
        <v>21</v>
      </c>
      <c r="U18" s="2">
        <v>0.88877499999999998</v>
      </c>
      <c r="V18" s="2">
        <v>17</v>
      </c>
      <c r="W18" s="2">
        <v>2010</v>
      </c>
    </row>
    <row r="19" spans="1:23" ht="15.75" customHeight="1" x14ac:dyDescent="0.4">
      <c r="A19" s="2" t="s">
        <v>98</v>
      </c>
      <c r="B19" s="2">
        <v>12</v>
      </c>
      <c r="C19" s="2"/>
      <c r="D19" s="2"/>
      <c r="E19" s="2"/>
      <c r="F19" s="2"/>
      <c r="G19" s="2"/>
      <c r="H19" s="2"/>
      <c r="I19" s="2">
        <v>62.666499999999999</v>
      </c>
      <c r="J19" s="2">
        <v>322</v>
      </c>
      <c r="K19" s="2">
        <v>61.534700000000001</v>
      </c>
      <c r="L19" s="2">
        <v>332</v>
      </c>
      <c r="M19" s="2">
        <v>117.1305</v>
      </c>
      <c r="N19" s="2">
        <v>1</v>
      </c>
      <c r="O19" s="2">
        <v>113.6422</v>
      </c>
      <c r="P19" s="2">
        <v>18</v>
      </c>
      <c r="Q19" s="2">
        <v>95.665499999999994</v>
      </c>
      <c r="R19" s="2">
        <v>51</v>
      </c>
      <c r="S19" s="2">
        <v>95.405699999999996</v>
      </c>
      <c r="T19" s="2">
        <v>58</v>
      </c>
      <c r="U19" s="2">
        <v>0.88200299999999998</v>
      </c>
      <c r="V19" s="2">
        <v>18</v>
      </c>
      <c r="W19" s="2">
        <v>2010</v>
      </c>
    </row>
    <row r="20" spans="1:23" ht="15.75" customHeight="1" x14ac:dyDescent="0.4">
      <c r="A20" s="2" t="s">
        <v>57</v>
      </c>
      <c r="B20" s="2">
        <v>8</v>
      </c>
      <c r="C20" s="3" t="s">
        <v>33</v>
      </c>
      <c r="D20" s="2"/>
      <c r="E20" s="2"/>
      <c r="F20" s="2"/>
      <c r="G20" s="2"/>
      <c r="H20" s="2"/>
      <c r="I20" s="2">
        <v>68.562100000000001</v>
      </c>
      <c r="J20" s="2">
        <v>116</v>
      </c>
      <c r="K20" s="2">
        <v>68.461100000000002</v>
      </c>
      <c r="L20" s="2">
        <v>113</v>
      </c>
      <c r="M20" s="2">
        <v>114.0441</v>
      </c>
      <c r="N20" s="2">
        <v>8</v>
      </c>
      <c r="O20" s="2">
        <v>117.8527</v>
      </c>
      <c r="P20" s="2">
        <v>3</v>
      </c>
      <c r="Q20" s="2">
        <v>99.397999999999996</v>
      </c>
      <c r="R20" s="2">
        <v>132</v>
      </c>
      <c r="S20" s="2">
        <v>99.062100000000001</v>
      </c>
      <c r="T20" s="2">
        <v>122</v>
      </c>
      <c r="U20" s="2">
        <v>0.88052600000000003</v>
      </c>
      <c r="V20" s="2">
        <v>19</v>
      </c>
      <c r="W20" s="2">
        <v>2010</v>
      </c>
    </row>
    <row r="21" spans="1:23" ht="15.75" customHeight="1" x14ac:dyDescent="0.4">
      <c r="A21" s="2" t="s">
        <v>50</v>
      </c>
      <c r="B21" s="2">
        <v>6</v>
      </c>
      <c r="C21" s="3" t="s">
        <v>33</v>
      </c>
      <c r="D21" s="3" t="s">
        <v>33</v>
      </c>
      <c r="E21" s="2"/>
      <c r="F21" s="2"/>
      <c r="G21" s="2"/>
      <c r="H21" s="2"/>
      <c r="I21" s="2">
        <v>70.519599999999997</v>
      </c>
      <c r="J21" s="2">
        <v>46</v>
      </c>
      <c r="K21" s="2">
        <v>70.736599999999996</v>
      </c>
      <c r="L21" s="2">
        <v>38</v>
      </c>
      <c r="M21" s="2">
        <v>110.8022</v>
      </c>
      <c r="N21" s="2">
        <v>26</v>
      </c>
      <c r="O21" s="2">
        <v>114.0637</v>
      </c>
      <c r="P21" s="2">
        <v>15</v>
      </c>
      <c r="Q21" s="2">
        <v>95.688000000000002</v>
      </c>
      <c r="R21" s="2">
        <v>52</v>
      </c>
      <c r="S21" s="2">
        <v>95.887900000000002</v>
      </c>
      <c r="T21" s="2">
        <v>64</v>
      </c>
      <c r="U21" s="2">
        <v>0.88039000000000001</v>
      </c>
      <c r="V21" s="2">
        <v>20</v>
      </c>
      <c r="W21" s="2">
        <v>2010</v>
      </c>
    </row>
    <row r="22" spans="1:23" ht="15.75" customHeight="1" x14ac:dyDescent="0.4">
      <c r="A22" s="2" t="s">
        <v>216</v>
      </c>
      <c r="B22" s="2">
        <v>9</v>
      </c>
      <c r="C22" s="3" t="s">
        <v>33</v>
      </c>
      <c r="D22" s="3" t="s">
        <v>33</v>
      </c>
      <c r="E22" s="2"/>
      <c r="F22" s="2"/>
      <c r="G22" s="2"/>
      <c r="H22" s="2"/>
      <c r="I22" s="2">
        <v>59.076599999999999</v>
      </c>
      <c r="J22" s="2">
        <v>345</v>
      </c>
      <c r="K22" s="2">
        <v>59.9</v>
      </c>
      <c r="L22" s="2">
        <v>342</v>
      </c>
      <c r="M22" s="2">
        <v>107.26860000000001</v>
      </c>
      <c r="N22" s="2">
        <v>60</v>
      </c>
      <c r="O22" s="2">
        <v>106.1109</v>
      </c>
      <c r="P22" s="2">
        <v>86</v>
      </c>
      <c r="Q22" s="2">
        <v>91.691500000000005</v>
      </c>
      <c r="R22" s="2">
        <v>15</v>
      </c>
      <c r="S22" s="2">
        <v>89.247500000000002</v>
      </c>
      <c r="T22" s="2">
        <v>7</v>
      </c>
      <c r="U22" s="2">
        <v>0.87977700000000003</v>
      </c>
      <c r="V22" s="2">
        <v>21</v>
      </c>
      <c r="W22" s="2">
        <v>2010</v>
      </c>
    </row>
    <row r="23" spans="1:23" ht="15.75" customHeight="1" x14ac:dyDescent="0.4">
      <c r="A23" s="2" t="s">
        <v>58</v>
      </c>
      <c r="B23" s="2">
        <v>5</v>
      </c>
      <c r="C23" s="3" t="s">
        <v>33</v>
      </c>
      <c r="D23" s="3" t="s">
        <v>33</v>
      </c>
      <c r="E23" s="3" t="s">
        <v>33</v>
      </c>
      <c r="F23" s="3" t="s">
        <v>33</v>
      </c>
      <c r="G23" s="2"/>
      <c r="H23" s="2"/>
      <c r="I23" s="2">
        <v>66.673000000000002</v>
      </c>
      <c r="J23" s="2">
        <v>209</v>
      </c>
      <c r="K23" s="2">
        <v>67.115899999999996</v>
      </c>
      <c r="L23" s="2">
        <v>182</v>
      </c>
      <c r="M23" s="2">
        <v>108.39230000000001</v>
      </c>
      <c r="N23" s="2">
        <v>49</v>
      </c>
      <c r="O23" s="2">
        <v>109.21469999999999</v>
      </c>
      <c r="P23" s="2">
        <v>47</v>
      </c>
      <c r="Q23" s="2">
        <v>95.432599999999994</v>
      </c>
      <c r="R23" s="2">
        <v>45</v>
      </c>
      <c r="S23" s="2">
        <v>91.951999999999998</v>
      </c>
      <c r="T23" s="2">
        <v>23</v>
      </c>
      <c r="U23" s="2">
        <v>0.87852699999999995</v>
      </c>
      <c r="V23" s="2">
        <v>22</v>
      </c>
      <c r="W23" s="2">
        <v>2010</v>
      </c>
    </row>
    <row r="24" spans="1:23" ht="15.75" customHeight="1" x14ac:dyDescent="0.4">
      <c r="A24" s="2" t="s">
        <v>39</v>
      </c>
      <c r="B24" s="2">
        <v>6</v>
      </c>
      <c r="C24" s="2"/>
      <c r="D24" s="2"/>
      <c r="E24" s="2"/>
      <c r="F24" s="2"/>
      <c r="G24" s="2"/>
      <c r="H24" s="2"/>
      <c r="I24" s="2">
        <v>64.580200000000005</v>
      </c>
      <c r="J24" s="2">
        <v>286</v>
      </c>
      <c r="K24" s="2">
        <v>63.774900000000002</v>
      </c>
      <c r="L24" s="2">
        <v>303</v>
      </c>
      <c r="M24" s="2">
        <v>111.18040000000001</v>
      </c>
      <c r="N24" s="2">
        <v>24</v>
      </c>
      <c r="O24" s="2">
        <v>111.824</v>
      </c>
      <c r="P24" s="2">
        <v>24</v>
      </c>
      <c r="Q24" s="2">
        <v>98.190899999999999</v>
      </c>
      <c r="R24" s="2">
        <v>108</v>
      </c>
      <c r="S24" s="2">
        <v>94.228700000000003</v>
      </c>
      <c r="T24" s="2">
        <v>47</v>
      </c>
      <c r="U24" s="2">
        <v>0.87748400000000004</v>
      </c>
      <c r="V24" s="2">
        <v>23</v>
      </c>
      <c r="W24" s="2">
        <v>2010</v>
      </c>
    </row>
    <row r="25" spans="1:23" ht="15.75" customHeight="1" x14ac:dyDescent="0.4">
      <c r="A25" s="2" t="s">
        <v>46</v>
      </c>
      <c r="B25" s="2">
        <v>3</v>
      </c>
      <c r="C25" s="3" t="s">
        <v>33</v>
      </c>
      <c r="D25" s="2"/>
      <c r="E25" s="2"/>
      <c r="F25" s="2"/>
      <c r="G25" s="2"/>
      <c r="H25" s="2"/>
      <c r="I25" s="2">
        <v>62.341999999999999</v>
      </c>
      <c r="J25" s="2">
        <v>327</v>
      </c>
      <c r="K25" s="2">
        <v>61.861400000000003</v>
      </c>
      <c r="L25" s="2">
        <v>331</v>
      </c>
      <c r="M25" s="2">
        <v>106.77079999999999</v>
      </c>
      <c r="N25" s="2">
        <v>74</v>
      </c>
      <c r="O25" s="2">
        <v>109.9858</v>
      </c>
      <c r="P25" s="2">
        <v>42</v>
      </c>
      <c r="Q25" s="2">
        <v>96.484099999999998</v>
      </c>
      <c r="R25" s="2">
        <v>73</v>
      </c>
      <c r="S25" s="2">
        <v>92.914500000000004</v>
      </c>
      <c r="T25" s="2">
        <v>32</v>
      </c>
      <c r="U25" s="2">
        <v>0.87432200000000004</v>
      </c>
      <c r="V25" s="2">
        <v>24</v>
      </c>
      <c r="W25" s="2">
        <v>2010</v>
      </c>
    </row>
    <row r="26" spans="1:23" ht="15.75" customHeight="1" x14ac:dyDescent="0.4">
      <c r="A26" s="2" t="s">
        <v>56</v>
      </c>
      <c r="B26" s="2">
        <v>6</v>
      </c>
      <c r="C26" s="2"/>
      <c r="D26" s="2"/>
      <c r="E26" s="2"/>
      <c r="F26" s="2"/>
      <c r="G26" s="2"/>
      <c r="H26" s="2"/>
      <c r="I26" s="2">
        <v>64.347200000000001</v>
      </c>
      <c r="J26" s="2">
        <v>290</v>
      </c>
      <c r="K26" s="2">
        <v>63.727899999999998</v>
      </c>
      <c r="L26" s="2">
        <v>304</v>
      </c>
      <c r="M26" s="2">
        <v>116.6644</v>
      </c>
      <c r="N26" s="2">
        <v>2</v>
      </c>
      <c r="O26" s="2">
        <v>118.1491</v>
      </c>
      <c r="P26" s="2">
        <v>2</v>
      </c>
      <c r="Q26" s="2">
        <v>105.7914</v>
      </c>
      <c r="R26" s="2">
        <v>280</v>
      </c>
      <c r="S26" s="2">
        <v>99.857500000000002</v>
      </c>
      <c r="T26" s="2">
        <v>138</v>
      </c>
      <c r="U26" s="2">
        <v>0.87372899999999998</v>
      </c>
      <c r="V26" s="2">
        <v>25</v>
      </c>
      <c r="W26" s="2">
        <v>2010</v>
      </c>
    </row>
    <row r="27" spans="1:23" ht="15.75" customHeight="1" x14ac:dyDescent="0.4">
      <c r="A27" s="2" t="s">
        <v>24</v>
      </c>
      <c r="B27" s="2">
        <v>7</v>
      </c>
      <c r="C27" s="2"/>
      <c r="D27" s="2"/>
      <c r="E27" s="2"/>
      <c r="F27" s="2"/>
      <c r="G27" s="2"/>
      <c r="H27" s="2"/>
      <c r="I27" s="2">
        <v>70.025400000000005</v>
      </c>
      <c r="J27" s="2">
        <v>63</v>
      </c>
      <c r="K27" s="2">
        <v>69.057199999999995</v>
      </c>
      <c r="L27" s="2">
        <v>84</v>
      </c>
      <c r="M27" s="2">
        <v>104.51430000000001</v>
      </c>
      <c r="N27" s="2">
        <v>102</v>
      </c>
      <c r="O27" s="2">
        <v>107.7848</v>
      </c>
      <c r="P27" s="2">
        <v>62</v>
      </c>
      <c r="Q27" s="2">
        <v>91.679000000000002</v>
      </c>
      <c r="R27" s="2">
        <v>13</v>
      </c>
      <c r="S27" s="2">
        <v>91.136499999999998</v>
      </c>
      <c r="T27" s="2">
        <v>15</v>
      </c>
      <c r="U27" s="2">
        <v>0.87318899999999999</v>
      </c>
      <c r="V27" s="2">
        <v>26</v>
      </c>
      <c r="W27" s="2">
        <v>2010</v>
      </c>
    </row>
    <row r="28" spans="1:23" ht="15.75" customHeight="1" x14ac:dyDescent="0.4">
      <c r="A28" s="2" t="s">
        <v>67</v>
      </c>
      <c r="B28" s="2">
        <v>8</v>
      </c>
      <c r="C28" s="2"/>
      <c r="D28" s="2"/>
      <c r="E28" s="2"/>
      <c r="F28" s="2"/>
      <c r="G28" s="2"/>
      <c r="H28" s="2"/>
      <c r="I28" s="2">
        <v>74.099800000000002</v>
      </c>
      <c r="J28" s="2">
        <v>9</v>
      </c>
      <c r="K28" s="2">
        <v>72.723299999999995</v>
      </c>
      <c r="L28" s="2">
        <v>14</v>
      </c>
      <c r="M28" s="2">
        <v>108.86790000000001</v>
      </c>
      <c r="N28" s="2">
        <v>43</v>
      </c>
      <c r="O28" s="2">
        <v>111.595</v>
      </c>
      <c r="P28" s="2">
        <v>27</v>
      </c>
      <c r="Q28" s="2">
        <v>93.678600000000003</v>
      </c>
      <c r="R28" s="2">
        <v>31</v>
      </c>
      <c r="S28" s="2">
        <v>94.526700000000005</v>
      </c>
      <c r="T28" s="2">
        <v>48</v>
      </c>
      <c r="U28" s="2">
        <v>0.87089899999999998</v>
      </c>
      <c r="V28" s="2">
        <v>27</v>
      </c>
      <c r="W28" s="2">
        <v>2010</v>
      </c>
    </row>
    <row r="29" spans="1:23" ht="12.3" x14ac:dyDescent="0.4">
      <c r="A29" s="2" t="s">
        <v>20</v>
      </c>
      <c r="B29" s="2">
        <v>9</v>
      </c>
      <c r="C29" s="2"/>
      <c r="D29" s="2"/>
      <c r="E29" s="2"/>
      <c r="F29" s="2"/>
      <c r="G29" s="2"/>
      <c r="H29" s="2"/>
      <c r="I29" s="2">
        <v>67.833200000000005</v>
      </c>
      <c r="J29" s="2">
        <v>144</v>
      </c>
      <c r="K29" s="2">
        <v>66.853999999999999</v>
      </c>
      <c r="L29" s="2">
        <v>191</v>
      </c>
      <c r="M29" s="2">
        <v>100.35509999999999</v>
      </c>
      <c r="N29" s="2">
        <v>188</v>
      </c>
      <c r="O29" s="2">
        <v>102.4203</v>
      </c>
      <c r="P29" s="2">
        <v>153</v>
      </c>
      <c r="Q29" s="2">
        <v>88.543999999999997</v>
      </c>
      <c r="R29" s="2">
        <v>1</v>
      </c>
      <c r="S29" s="2">
        <v>86.992599999999996</v>
      </c>
      <c r="T29" s="2">
        <v>3</v>
      </c>
      <c r="U29" s="2">
        <v>0.86732500000000001</v>
      </c>
      <c r="V29" s="2">
        <v>28</v>
      </c>
      <c r="W29" s="2">
        <v>2010</v>
      </c>
    </row>
    <row r="30" spans="1:23" ht="12.3" x14ac:dyDescent="0.4">
      <c r="A30" s="2" t="s">
        <v>262</v>
      </c>
      <c r="B30" s="2">
        <v>10</v>
      </c>
      <c r="C30" s="3" t="s">
        <v>33</v>
      </c>
      <c r="D30" s="3" t="s">
        <v>33</v>
      </c>
      <c r="E30" s="2"/>
      <c r="F30" s="2"/>
      <c r="G30" s="2"/>
      <c r="H30" s="2"/>
      <c r="I30" s="2">
        <v>67.443399999999997</v>
      </c>
      <c r="J30" s="2">
        <v>170</v>
      </c>
      <c r="K30" s="2">
        <v>67.988299999999995</v>
      </c>
      <c r="L30" s="2">
        <v>135</v>
      </c>
      <c r="M30" s="2">
        <v>116.3831</v>
      </c>
      <c r="N30" s="2">
        <v>3</v>
      </c>
      <c r="O30" s="2">
        <v>114.38039999999999</v>
      </c>
      <c r="P30" s="2">
        <v>14</v>
      </c>
      <c r="Q30" s="2">
        <v>97.803600000000003</v>
      </c>
      <c r="R30" s="2">
        <v>101</v>
      </c>
      <c r="S30" s="2">
        <v>97.408799999999999</v>
      </c>
      <c r="T30" s="2">
        <v>85</v>
      </c>
      <c r="U30" s="2">
        <v>0.86377999999999999</v>
      </c>
      <c r="V30" s="2">
        <v>29</v>
      </c>
      <c r="W30" s="2">
        <v>2010</v>
      </c>
    </row>
    <row r="31" spans="1:23" ht="12.3" x14ac:dyDescent="0.4">
      <c r="A31" s="2" t="s">
        <v>219</v>
      </c>
      <c r="B31" s="2">
        <v>12</v>
      </c>
      <c r="C31" s="2"/>
      <c r="D31" s="2"/>
      <c r="E31" s="2"/>
      <c r="F31" s="2"/>
      <c r="G31" s="2"/>
      <c r="H31" s="2"/>
      <c r="I31" s="2">
        <v>70.000500000000002</v>
      </c>
      <c r="J31" s="2">
        <v>65</v>
      </c>
      <c r="K31" s="2">
        <v>69.447999999999993</v>
      </c>
      <c r="L31" s="2">
        <v>69</v>
      </c>
      <c r="M31" s="2">
        <v>106.76430000000001</v>
      </c>
      <c r="N31" s="2">
        <v>75</v>
      </c>
      <c r="O31" s="2">
        <v>105.4755</v>
      </c>
      <c r="P31" s="2">
        <v>100</v>
      </c>
      <c r="Q31" s="2">
        <v>90.513599999999997</v>
      </c>
      <c r="R31" s="2">
        <v>8</v>
      </c>
      <c r="S31" s="2">
        <v>89.837900000000005</v>
      </c>
      <c r="T31" s="2">
        <v>10</v>
      </c>
      <c r="U31" s="2">
        <v>0.86358900000000005</v>
      </c>
      <c r="V31" s="2">
        <v>30</v>
      </c>
      <c r="W31" s="2">
        <v>2010</v>
      </c>
    </row>
    <row r="32" spans="1:23" ht="12.3" x14ac:dyDescent="0.4">
      <c r="A32" s="2" t="s">
        <v>92</v>
      </c>
      <c r="B32" s="2">
        <v>10</v>
      </c>
      <c r="C32" s="3" t="s">
        <v>33</v>
      </c>
      <c r="D32" s="2"/>
      <c r="E32" s="2"/>
      <c r="F32" s="2"/>
      <c r="G32" s="2"/>
      <c r="H32" s="2"/>
      <c r="I32" s="2">
        <v>70.816100000000006</v>
      </c>
      <c r="J32" s="2">
        <v>38</v>
      </c>
      <c r="K32" s="2">
        <v>69.691400000000002</v>
      </c>
      <c r="L32" s="2">
        <v>63</v>
      </c>
      <c r="M32" s="2">
        <v>102.02079999999999</v>
      </c>
      <c r="N32" s="2">
        <v>152</v>
      </c>
      <c r="O32" s="2">
        <v>107.223</v>
      </c>
      <c r="P32" s="2">
        <v>72</v>
      </c>
      <c r="Q32" s="2">
        <v>93.515900000000002</v>
      </c>
      <c r="R32" s="2">
        <v>30</v>
      </c>
      <c r="S32" s="2">
        <v>91.441900000000004</v>
      </c>
      <c r="T32" s="2">
        <v>17</v>
      </c>
      <c r="U32" s="2">
        <v>0.86186600000000002</v>
      </c>
      <c r="V32" s="2">
        <v>31</v>
      </c>
      <c r="W32" s="2">
        <v>2010</v>
      </c>
    </row>
    <row r="33" spans="1:23" ht="12.3" x14ac:dyDescent="0.4">
      <c r="A33" s="2" t="s">
        <v>73</v>
      </c>
      <c r="B33" s="2">
        <v>10</v>
      </c>
      <c r="C33" s="3" t="s">
        <v>33</v>
      </c>
      <c r="D33" s="2"/>
      <c r="E33" s="2"/>
      <c r="F33" s="2"/>
      <c r="G33" s="2"/>
      <c r="H33" s="2"/>
      <c r="I33" s="2">
        <v>71.678600000000003</v>
      </c>
      <c r="J33" s="2">
        <v>26</v>
      </c>
      <c r="K33" s="2">
        <v>70.517499999999998</v>
      </c>
      <c r="L33" s="2">
        <v>40</v>
      </c>
      <c r="M33" s="2">
        <v>107.1079</v>
      </c>
      <c r="N33" s="2">
        <v>65</v>
      </c>
      <c r="O33" s="2">
        <v>107.35299999999999</v>
      </c>
      <c r="P33" s="2">
        <v>67</v>
      </c>
      <c r="Q33" s="2">
        <v>91.682900000000004</v>
      </c>
      <c r="R33" s="2">
        <v>14</v>
      </c>
      <c r="S33" s="2">
        <v>91.590400000000002</v>
      </c>
      <c r="T33" s="2">
        <v>20</v>
      </c>
      <c r="U33" s="2">
        <v>0.86130300000000004</v>
      </c>
      <c r="V33" s="2">
        <v>32</v>
      </c>
      <c r="W33" s="2">
        <v>2010</v>
      </c>
    </row>
    <row r="34" spans="1:23" ht="12.3" x14ac:dyDescent="0.4">
      <c r="A34" s="2" t="s">
        <v>75</v>
      </c>
      <c r="B34" s="2">
        <v>11</v>
      </c>
      <c r="C34" s="2"/>
      <c r="D34" s="2"/>
      <c r="E34" s="2"/>
      <c r="F34" s="2"/>
      <c r="G34" s="2"/>
      <c r="H34" s="2"/>
      <c r="I34" s="2">
        <v>66.236999999999995</v>
      </c>
      <c r="J34" s="2">
        <v>230</v>
      </c>
      <c r="K34" s="2">
        <v>66.609099999999998</v>
      </c>
      <c r="L34" s="2">
        <v>204</v>
      </c>
      <c r="M34" s="2">
        <v>108.9568</v>
      </c>
      <c r="N34" s="2">
        <v>41</v>
      </c>
      <c r="O34" s="2">
        <v>111.35590000000001</v>
      </c>
      <c r="P34" s="2">
        <v>29</v>
      </c>
      <c r="Q34" s="2">
        <v>96.409599999999998</v>
      </c>
      <c r="R34" s="2">
        <v>70</v>
      </c>
      <c r="S34" s="2">
        <v>95.127300000000005</v>
      </c>
      <c r="T34" s="2">
        <v>54</v>
      </c>
      <c r="U34" s="2">
        <v>0.85953500000000005</v>
      </c>
      <c r="V34" s="2">
        <v>33</v>
      </c>
      <c r="W34" s="2">
        <v>2010</v>
      </c>
    </row>
    <row r="35" spans="1:23" ht="12.3" x14ac:dyDescent="0.4">
      <c r="A35" s="2" t="s">
        <v>190</v>
      </c>
      <c r="B35" s="2">
        <v>11</v>
      </c>
      <c r="C35" s="3" t="s">
        <v>33</v>
      </c>
      <c r="D35" s="2"/>
      <c r="E35" s="2"/>
      <c r="F35" s="2"/>
      <c r="G35" s="2"/>
      <c r="H35" s="2"/>
      <c r="I35" s="2">
        <v>63.3504</v>
      </c>
      <c r="J35" s="2">
        <v>312</v>
      </c>
      <c r="K35" s="2">
        <v>64.061700000000002</v>
      </c>
      <c r="L35" s="2">
        <v>299</v>
      </c>
      <c r="M35" s="2">
        <v>106.26260000000001</v>
      </c>
      <c r="N35" s="2">
        <v>83</v>
      </c>
      <c r="O35" s="2">
        <v>106.9823</v>
      </c>
      <c r="P35" s="2">
        <v>76</v>
      </c>
      <c r="Q35" s="2">
        <v>90.105699999999999</v>
      </c>
      <c r="R35" s="2">
        <v>7</v>
      </c>
      <c r="S35" s="2">
        <v>91.481300000000005</v>
      </c>
      <c r="T35" s="2">
        <v>18</v>
      </c>
      <c r="U35" s="2">
        <v>0.85816000000000003</v>
      </c>
      <c r="V35" s="2">
        <v>34</v>
      </c>
      <c r="W35" s="2">
        <v>2010</v>
      </c>
    </row>
    <row r="36" spans="1:23" ht="12.3" x14ac:dyDescent="0.4">
      <c r="A36" s="2" t="s">
        <v>97</v>
      </c>
      <c r="B36" s="2">
        <v>11</v>
      </c>
      <c r="C36" s="2"/>
      <c r="D36" s="2"/>
      <c r="E36" s="2"/>
      <c r="F36" s="2"/>
      <c r="G36" s="2"/>
      <c r="H36" s="2"/>
      <c r="I36" s="2">
        <v>64.120999999999995</v>
      </c>
      <c r="J36" s="2">
        <v>296</v>
      </c>
      <c r="K36" s="2">
        <v>64.625399999999999</v>
      </c>
      <c r="L36" s="2">
        <v>280</v>
      </c>
      <c r="M36" s="2">
        <v>107.8931</v>
      </c>
      <c r="N36" s="2">
        <v>54</v>
      </c>
      <c r="O36" s="2">
        <v>109.40989999999999</v>
      </c>
      <c r="P36" s="2">
        <v>46</v>
      </c>
      <c r="Q36" s="2">
        <v>95.999200000000002</v>
      </c>
      <c r="R36" s="2">
        <v>60</v>
      </c>
      <c r="S36" s="2">
        <v>93.9251</v>
      </c>
      <c r="T36" s="2">
        <v>46</v>
      </c>
      <c r="U36" s="2">
        <v>0.85257499999999997</v>
      </c>
      <c r="V36" s="2">
        <v>35</v>
      </c>
      <c r="W36" s="2">
        <v>2010</v>
      </c>
    </row>
    <row r="37" spans="1:23" ht="12.3" x14ac:dyDescent="0.4">
      <c r="A37" s="2" t="s">
        <v>159</v>
      </c>
      <c r="B37" s="2"/>
      <c r="C37" s="2"/>
      <c r="D37" s="2"/>
      <c r="E37" s="2"/>
      <c r="F37" s="2"/>
      <c r="G37" s="2"/>
      <c r="H37" s="2"/>
      <c r="I37" s="2">
        <v>68.895099999999999</v>
      </c>
      <c r="J37" s="2">
        <v>95</v>
      </c>
      <c r="K37" s="2">
        <v>69.2072</v>
      </c>
      <c r="L37" s="2">
        <v>78</v>
      </c>
      <c r="M37" s="2">
        <v>103.2992</v>
      </c>
      <c r="N37" s="2">
        <v>129</v>
      </c>
      <c r="O37" s="2">
        <v>107.02370000000001</v>
      </c>
      <c r="P37" s="2">
        <v>75</v>
      </c>
      <c r="Q37" s="2">
        <v>91.959599999999995</v>
      </c>
      <c r="R37" s="2">
        <v>20</v>
      </c>
      <c r="S37" s="2">
        <v>92.104799999999997</v>
      </c>
      <c r="T37" s="2">
        <v>25</v>
      </c>
      <c r="U37" s="2">
        <v>0.84895399999999999</v>
      </c>
      <c r="V37" s="2">
        <v>36</v>
      </c>
      <c r="W37" s="2">
        <v>2010</v>
      </c>
    </row>
    <row r="38" spans="1:23" ht="12.3" x14ac:dyDescent="0.4">
      <c r="A38" s="2" t="s">
        <v>64</v>
      </c>
      <c r="B38" s="2"/>
      <c r="C38" s="2"/>
      <c r="D38" s="2"/>
      <c r="E38" s="2"/>
      <c r="F38" s="2"/>
      <c r="G38" s="2"/>
      <c r="H38" s="2"/>
      <c r="I38" s="2">
        <v>66.838099999999997</v>
      </c>
      <c r="J38" s="2">
        <v>198</v>
      </c>
      <c r="K38" s="2">
        <v>66.214699999999993</v>
      </c>
      <c r="L38" s="2">
        <v>220</v>
      </c>
      <c r="M38" s="2">
        <v>103.06480000000001</v>
      </c>
      <c r="N38" s="2">
        <v>133</v>
      </c>
      <c r="O38" s="2">
        <v>104.51049999999999</v>
      </c>
      <c r="P38" s="2">
        <v>115</v>
      </c>
      <c r="Q38" s="2">
        <v>91.954700000000003</v>
      </c>
      <c r="R38" s="2">
        <v>18</v>
      </c>
      <c r="S38" s="2">
        <v>90.107799999999997</v>
      </c>
      <c r="T38" s="2">
        <v>12</v>
      </c>
      <c r="U38" s="2">
        <v>0.84621599999999997</v>
      </c>
      <c r="V38" s="2">
        <v>37</v>
      </c>
      <c r="W38" s="2">
        <v>2010</v>
      </c>
    </row>
    <row r="39" spans="1:23" ht="12.3" x14ac:dyDescent="0.4">
      <c r="A39" s="2" t="s">
        <v>81</v>
      </c>
      <c r="B39" s="2">
        <v>6</v>
      </c>
      <c r="C39" s="3" t="s">
        <v>33</v>
      </c>
      <c r="D39" s="3" t="s">
        <v>33</v>
      </c>
      <c r="E39" s="3" t="s">
        <v>33</v>
      </c>
      <c r="F39" s="2"/>
      <c r="G39" s="2"/>
      <c r="H39" s="2"/>
      <c r="I39" s="2">
        <v>70.697000000000003</v>
      </c>
      <c r="J39" s="2">
        <v>41</v>
      </c>
      <c r="K39" s="2">
        <v>69.488299999999995</v>
      </c>
      <c r="L39" s="2">
        <v>68</v>
      </c>
      <c r="M39" s="2">
        <v>103.3137</v>
      </c>
      <c r="N39" s="2">
        <v>128</v>
      </c>
      <c r="O39" s="2">
        <v>104.1957</v>
      </c>
      <c r="P39" s="2">
        <v>124</v>
      </c>
      <c r="Q39" s="2">
        <v>91.957899999999995</v>
      </c>
      <c r="R39" s="2">
        <v>19</v>
      </c>
      <c r="S39" s="2">
        <v>89.878900000000002</v>
      </c>
      <c r="T39" s="2">
        <v>11</v>
      </c>
      <c r="U39" s="2">
        <v>0.84550700000000001</v>
      </c>
      <c r="V39" s="2">
        <v>38</v>
      </c>
      <c r="W39" s="2">
        <v>2010</v>
      </c>
    </row>
    <row r="40" spans="1:23" ht="12.3" x14ac:dyDescent="0.4">
      <c r="A40" s="2" t="s">
        <v>72</v>
      </c>
      <c r="B40" s="2">
        <v>7</v>
      </c>
      <c r="C40" s="2"/>
      <c r="D40" s="2"/>
      <c r="E40" s="2"/>
      <c r="F40" s="2"/>
      <c r="G40" s="2"/>
      <c r="H40" s="2"/>
      <c r="I40" s="2">
        <v>69.018600000000006</v>
      </c>
      <c r="J40" s="2">
        <v>90</v>
      </c>
      <c r="K40" s="2">
        <v>68.006399999999999</v>
      </c>
      <c r="L40" s="2">
        <v>131</v>
      </c>
      <c r="M40" s="2">
        <v>107.54640000000001</v>
      </c>
      <c r="N40" s="2">
        <v>58</v>
      </c>
      <c r="O40" s="2">
        <v>110.3771</v>
      </c>
      <c r="P40" s="2">
        <v>41</v>
      </c>
      <c r="Q40" s="2">
        <v>98.647900000000007</v>
      </c>
      <c r="R40" s="2">
        <v>119</v>
      </c>
      <c r="S40" s="2">
        <v>95.427099999999996</v>
      </c>
      <c r="T40" s="2">
        <v>59</v>
      </c>
      <c r="U40" s="2">
        <v>0.84206999999999999</v>
      </c>
      <c r="V40" s="2">
        <v>39</v>
      </c>
      <c r="W40" s="2">
        <v>2010</v>
      </c>
    </row>
    <row r="41" spans="1:23" ht="12.3" x14ac:dyDescent="0.4">
      <c r="A41" s="2" t="s">
        <v>100</v>
      </c>
      <c r="B41" s="2">
        <v>7</v>
      </c>
      <c r="C41" s="2"/>
      <c r="D41" s="2"/>
      <c r="E41" s="2"/>
      <c r="F41" s="2"/>
      <c r="G41" s="2"/>
      <c r="H41" s="2"/>
      <c r="I41" s="2">
        <v>65.1905</v>
      </c>
      <c r="J41" s="2">
        <v>262</v>
      </c>
      <c r="K41" s="2">
        <v>64.104299999999995</v>
      </c>
      <c r="L41" s="2">
        <v>295</v>
      </c>
      <c r="M41" s="2">
        <v>103.7747</v>
      </c>
      <c r="N41" s="2">
        <v>121</v>
      </c>
      <c r="O41" s="2">
        <v>107.92610000000001</v>
      </c>
      <c r="P41" s="2">
        <v>56</v>
      </c>
      <c r="Q41" s="2">
        <v>93.724500000000006</v>
      </c>
      <c r="R41" s="2">
        <v>33</v>
      </c>
      <c r="S41" s="2">
        <v>93.335999999999999</v>
      </c>
      <c r="T41" s="2">
        <v>35</v>
      </c>
      <c r="U41" s="2">
        <v>0.841611</v>
      </c>
      <c r="V41" s="2">
        <v>40</v>
      </c>
      <c r="W41" s="2">
        <v>2010</v>
      </c>
    </row>
    <row r="42" spans="1:23" ht="12.3" x14ac:dyDescent="0.4">
      <c r="A42" s="2" t="s">
        <v>115</v>
      </c>
      <c r="B42" s="2">
        <v>3</v>
      </c>
      <c r="C42" s="3" t="s">
        <v>33</v>
      </c>
      <c r="D42" s="2"/>
      <c r="E42" s="2"/>
      <c r="F42" s="2"/>
      <c r="G42" s="2"/>
      <c r="H42" s="2"/>
      <c r="I42" s="2">
        <v>68.032499999999999</v>
      </c>
      <c r="J42" s="2">
        <v>134</v>
      </c>
      <c r="K42" s="2">
        <v>68.637699999999995</v>
      </c>
      <c r="L42" s="2">
        <v>106</v>
      </c>
      <c r="M42" s="2">
        <v>112.148</v>
      </c>
      <c r="N42" s="2">
        <v>14</v>
      </c>
      <c r="O42" s="2">
        <v>113.06100000000001</v>
      </c>
      <c r="P42" s="2">
        <v>21</v>
      </c>
      <c r="Q42" s="2">
        <v>98.022999999999996</v>
      </c>
      <c r="R42" s="2">
        <v>104</v>
      </c>
      <c r="S42" s="2">
        <v>97.906300000000002</v>
      </c>
      <c r="T42" s="2">
        <v>94</v>
      </c>
      <c r="U42" s="2">
        <v>0.83957199999999998</v>
      </c>
      <c r="V42" s="2">
        <v>41</v>
      </c>
      <c r="W42" s="2">
        <v>2010</v>
      </c>
    </row>
    <row r="43" spans="1:23" ht="12.3" x14ac:dyDescent="0.4">
      <c r="A43" s="2" t="s">
        <v>109</v>
      </c>
      <c r="B43" s="2">
        <v>8</v>
      </c>
      <c r="C43" s="2"/>
      <c r="D43" s="2"/>
      <c r="E43" s="2"/>
      <c r="F43" s="2"/>
      <c r="G43" s="2"/>
      <c r="H43" s="2"/>
      <c r="I43" s="2">
        <v>67.489400000000003</v>
      </c>
      <c r="J43" s="2">
        <v>167</v>
      </c>
      <c r="K43" s="2">
        <v>67.345200000000006</v>
      </c>
      <c r="L43" s="2">
        <v>167</v>
      </c>
      <c r="M43" s="2">
        <v>107.2269</v>
      </c>
      <c r="N43" s="2">
        <v>61</v>
      </c>
      <c r="O43" s="2">
        <v>107.4345</v>
      </c>
      <c r="P43" s="2">
        <v>63</v>
      </c>
      <c r="Q43" s="2">
        <v>94.015799999999999</v>
      </c>
      <c r="R43" s="2">
        <v>35</v>
      </c>
      <c r="S43" s="2">
        <v>93.085400000000007</v>
      </c>
      <c r="T43" s="2">
        <v>33</v>
      </c>
      <c r="U43" s="2">
        <v>0.83871399999999996</v>
      </c>
      <c r="V43" s="2">
        <v>42</v>
      </c>
      <c r="W43" s="2">
        <v>2010</v>
      </c>
    </row>
    <row r="44" spans="1:23" ht="12.3" x14ac:dyDescent="0.4">
      <c r="A44" s="2" t="s">
        <v>86</v>
      </c>
      <c r="B44" s="2">
        <v>9</v>
      </c>
      <c r="C44" s="2"/>
      <c r="D44" s="2"/>
      <c r="E44" s="2"/>
      <c r="F44" s="2"/>
      <c r="G44" s="2"/>
      <c r="H44" s="2"/>
      <c r="I44" s="2">
        <v>68.376400000000004</v>
      </c>
      <c r="J44" s="2">
        <v>124</v>
      </c>
      <c r="K44" s="2">
        <v>67.290199999999999</v>
      </c>
      <c r="L44" s="2">
        <v>172</v>
      </c>
      <c r="M44" s="2">
        <v>110.3721</v>
      </c>
      <c r="N44" s="2">
        <v>28</v>
      </c>
      <c r="O44" s="2">
        <v>113.1934</v>
      </c>
      <c r="P44" s="2">
        <v>20</v>
      </c>
      <c r="Q44" s="2">
        <v>100.76600000000001</v>
      </c>
      <c r="R44" s="2">
        <v>158</v>
      </c>
      <c r="S44" s="2">
        <v>98.139700000000005</v>
      </c>
      <c r="T44" s="2">
        <v>102</v>
      </c>
      <c r="U44" s="2">
        <v>0.83768699999999996</v>
      </c>
      <c r="V44" s="2">
        <v>43</v>
      </c>
      <c r="W44" s="2">
        <v>2010</v>
      </c>
    </row>
    <row r="45" spans="1:23" ht="12.3" x14ac:dyDescent="0.4">
      <c r="A45" s="2" t="s">
        <v>131</v>
      </c>
      <c r="B45" s="2">
        <v>11</v>
      </c>
      <c r="C45" s="3" t="s">
        <v>33</v>
      </c>
      <c r="D45" s="3" t="s">
        <v>33</v>
      </c>
      <c r="E45" s="2"/>
      <c r="F45" s="2"/>
      <c r="G45" s="2"/>
      <c r="H45" s="2"/>
      <c r="I45" s="2">
        <v>73.210499999999996</v>
      </c>
      <c r="J45" s="2">
        <v>13</v>
      </c>
      <c r="K45" s="2">
        <v>73.210300000000004</v>
      </c>
      <c r="L45" s="2">
        <v>10</v>
      </c>
      <c r="M45" s="2">
        <v>108.3075</v>
      </c>
      <c r="N45" s="2">
        <v>51</v>
      </c>
      <c r="O45" s="2">
        <v>109.5266</v>
      </c>
      <c r="P45" s="2">
        <v>45</v>
      </c>
      <c r="Q45" s="2">
        <v>95.611800000000002</v>
      </c>
      <c r="R45" s="2">
        <v>49</v>
      </c>
      <c r="S45" s="2">
        <v>95.1524</v>
      </c>
      <c r="T45" s="2">
        <v>55</v>
      </c>
      <c r="U45" s="2">
        <v>0.83450599999999997</v>
      </c>
      <c r="V45" s="2">
        <v>44</v>
      </c>
      <c r="W45" s="2">
        <v>2010</v>
      </c>
    </row>
    <row r="46" spans="1:23" ht="12.3" x14ac:dyDescent="0.4">
      <c r="A46" s="2" t="s">
        <v>111</v>
      </c>
      <c r="B46" s="2">
        <v>4</v>
      </c>
      <c r="C46" s="2"/>
      <c r="D46" s="2"/>
      <c r="E46" s="2"/>
      <c r="F46" s="2"/>
      <c r="G46" s="2"/>
      <c r="H46" s="2"/>
      <c r="I46" s="2">
        <v>70.473399999999998</v>
      </c>
      <c r="J46" s="2">
        <v>47</v>
      </c>
      <c r="K46" s="2">
        <v>69.749700000000004</v>
      </c>
      <c r="L46" s="2">
        <v>61</v>
      </c>
      <c r="M46" s="2">
        <v>109.4408</v>
      </c>
      <c r="N46" s="2">
        <v>37</v>
      </c>
      <c r="O46" s="2">
        <v>111.5836</v>
      </c>
      <c r="P46" s="2">
        <v>28</v>
      </c>
      <c r="Q46" s="2">
        <v>98.942700000000002</v>
      </c>
      <c r="R46" s="2">
        <v>126</v>
      </c>
      <c r="S46" s="2">
        <v>96.970500000000001</v>
      </c>
      <c r="T46" s="2">
        <v>75</v>
      </c>
      <c r="U46" s="2">
        <v>0.83399699999999999</v>
      </c>
      <c r="V46" s="2">
        <v>45</v>
      </c>
      <c r="W46" s="2">
        <v>2010</v>
      </c>
    </row>
    <row r="47" spans="1:23" ht="12.3" x14ac:dyDescent="0.4">
      <c r="A47" s="2" t="s">
        <v>47</v>
      </c>
      <c r="B47" s="2">
        <v>8</v>
      </c>
      <c r="C47" s="3" t="s">
        <v>33</v>
      </c>
      <c r="D47" s="2"/>
      <c r="E47" s="2"/>
      <c r="F47" s="2"/>
      <c r="G47" s="2"/>
      <c r="H47" s="2"/>
      <c r="I47" s="2">
        <v>69.167199999999994</v>
      </c>
      <c r="J47" s="2">
        <v>85</v>
      </c>
      <c r="K47" s="2">
        <v>68.817800000000005</v>
      </c>
      <c r="L47" s="2">
        <v>95</v>
      </c>
      <c r="M47" s="2">
        <v>110.9178</v>
      </c>
      <c r="N47" s="2">
        <v>25</v>
      </c>
      <c r="O47" s="2">
        <v>110.4838</v>
      </c>
      <c r="P47" s="2">
        <v>39</v>
      </c>
      <c r="Q47" s="2">
        <v>97.109899999999996</v>
      </c>
      <c r="R47" s="2">
        <v>85</v>
      </c>
      <c r="S47" s="2">
        <v>96.209400000000002</v>
      </c>
      <c r="T47" s="2">
        <v>66</v>
      </c>
      <c r="U47" s="2">
        <v>0.83074599999999998</v>
      </c>
      <c r="V47" s="2">
        <v>46</v>
      </c>
      <c r="W47" s="2">
        <v>2010</v>
      </c>
    </row>
    <row r="48" spans="1:23" ht="12.3" x14ac:dyDescent="0.4">
      <c r="A48" s="2" t="s">
        <v>196</v>
      </c>
      <c r="B48" s="2">
        <v>13</v>
      </c>
      <c r="C48" s="2"/>
      <c r="D48" s="2"/>
      <c r="E48" s="2"/>
      <c r="F48" s="2"/>
      <c r="G48" s="2"/>
      <c r="H48" s="2"/>
      <c r="I48" s="2">
        <v>70.015799999999999</v>
      </c>
      <c r="J48" s="2">
        <v>64</v>
      </c>
      <c r="K48" s="2">
        <v>70.125399999999999</v>
      </c>
      <c r="L48" s="2">
        <v>52</v>
      </c>
      <c r="M48" s="2">
        <v>106.9294</v>
      </c>
      <c r="N48" s="2">
        <v>66</v>
      </c>
      <c r="O48" s="2">
        <v>108.4629</v>
      </c>
      <c r="P48" s="2">
        <v>53</v>
      </c>
      <c r="Q48" s="2">
        <v>92.646600000000007</v>
      </c>
      <c r="R48" s="2">
        <v>25</v>
      </c>
      <c r="S48" s="2">
        <v>94.585999999999999</v>
      </c>
      <c r="T48" s="2">
        <v>49</v>
      </c>
      <c r="U48" s="2">
        <v>0.82840100000000005</v>
      </c>
      <c r="V48" s="2">
        <v>47</v>
      </c>
      <c r="W48" s="2">
        <v>2010</v>
      </c>
    </row>
    <row r="49" spans="1:23" ht="12.3" x14ac:dyDescent="0.4">
      <c r="A49" s="2" t="s">
        <v>48</v>
      </c>
      <c r="B49" s="2"/>
      <c r="C49" s="2"/>
      <c r="D49" s="2"/>
      <c r="E49" s="2"/>
      <c r="F49" s="2"/>
      <c r="G49" s="2"/>
      <c r="H49" s="2"/>
      <c r="I49" s="2">
        <v>67.7624</v>
      </c>
      <c r="J49" s="2">
        <v>149</v>
      </c>
      <c r="K49" s="2">
        <v>67.305099999999996</v>
      </c>
      <c r="L49" s="2">
        <v>168</v>
      </c>
      <c r="M49" s="2">
        <v>106.1752</v>
      </c>
      <c r="N49" s="2">
        <v>86</v>
      </c>
      <c r="O49" s="2">
        <v>107.06100000000001</v>
      </c>
      <c r="P49" s="2">
        <v>74</v>
      </c>
      <c r="Q49" s="2">
        <v>94.133099999999999</v>
      </c>
      <c r="R49" s="2">
        <v>38</v>
      </c>
      <c r="S49" s="2">
        <v>93.632800000000003</v>
      </c>
      <c r="T49" s="2">
        <v>39</v>
      </c>
      <c r="U49" s="2">
        <v>0.82364000000000004</v>
      </c>
      <c r="V49" s="2">
        <v>48</v>
      </c>
      <c r="W49" s="2">
        <v>2010</v>
      </c>
    </row>
    <row r="50" spans="1:23" ht="12.3" x14ac:dyDescent="0.4">
      <c r="A50" s="2" t="s">
        <v>181</v>
      </c>
      <c r="B50" s="2">
        <v>13</v>
      </c>
      <c r="C50" s="3" t="s">
        <v>33</v>
      </c>
      <c r="D50" s="2"/>
      <c r="E50" s="2"/>
      <c r="F50" s="2"/>
      <c r="G50" s="2"/>
      <c r="H50" s="2"/>
      <c r="I50" s="2">
        <v>67.939499999999995</v>
      </c>
      <c r="J50" s="2">
        <v>139</v>
      </c>
      <c r="K50" s="2">
        <v>67.248400000000004</v>
      </c>
      <c r="L50" s="2">
        <v>175</v>
      </c>
      <c r="M50" s="2">
        <v>111.96510000000001</v>
      </c>
      <c r="N50" s="2">
        <v>15</v>
      </c>
      <c r="O50" s="2">
        <v>107.28619999999999</v>
      </c>
      <c r="P50" s="2">
        <v>69</v>
      </c>
      <c r="Q50" s="2">
        <v>90.040400000000005</v>
      </c>
      <c r="R50" s="2">
        <v>6</v>
      </c>
      <c r="S50" s="2">
        <v>93.901300000000006</v>
      </c>
      <c r="T50" s="2">
        <v>42</v>
      </c>
      <c r="U50" s="2">
        <v>0.82236299999999996</v>
      </c>
      <c r="V50" s="2">
        <v>49</v>
      </c>
      <c r="W50" s="2">
        <v>2010</v>
      </c>
    </row>
    <row r="51" spans="1:23" ht="12.3" x14ac:dyDescent="0.4">
      <c r="A51" s="2" t="s">
        <v>54</v>
      </c>
      <c r="B51" s="2"/>
      <c r="C51" s="2"/>
      <c r="D51" s="2"/>
      <c r="E51" s="2"/>
      <c r="F51" s="2"/>
      <c r="G51" s="2"/>
      <c r="H51" s="2"/>
      <c r="I51" s="2">
        <v>68.935900000000004</v>
      </c>
      <c r="J51" s="2">
        <v>94</v>
      </c>
      <c r="K51" s="2">
        <v>69.163899999999998</v>
      </c>
      <c r="L51" s="2">
        <v>80</v>
      </c>
      <c r="M51" s="2">
        <v>102.2714</v>
      </c>
      <c r="N51" s="2">
        <v>149</v>
      </c>
      <c r="O51" s="2">
        <v>105.03440000000001</v>
      </c>
      <c r="P51" s="2">
        <v>105</v>
      </c>
      <c r="Q51" s="2">
        <v>97.202500000000001</v>
      </c>
      <c r="R51" s="2">
        <v>87</v>
      </c>
      <c r="S51" s="2">
        <v>92.256600000000006</v>
      </c>
      <c r="T51" s="2">
        <v>27</v>
      </c>
      <c r="U51" s="2">
        <v>0.81633599999999995</v>
      </c>
      <c r="V51" s="2">
        <v>50</v>
      </c>
      <c r="W51" s="2">
        <v>2010</v>
      </c>
    </row>
    <row r="52" spans="1:23" ht="12.3" x14ac:dyDescent="0.4">
      <c r="A52" s="2" t="s">
        <v>60</v>
      </c>
      <c r="B52" s="2"/>
      <c r="C52" s="2"/>
      <c r="D52" s="2"/>
      <c r="E52" s="2"/>
      <c r="F52" s="2"/>
      <c r="G52" s="2"/>
      <c r="H52" s="2"/>
      <c r="I52" s="2">
        <v>67.029700000000005</v>
      </c>
      <c r="J52" s="2">
        <v>186</v>
      </c>
      <c r="K52" s="2">
        <v>66.41</v>
      </c>
      <c r="L52" s="2">
        <v>215</v>
      </c>
      <c r="M52" s="2">
        <v>106.5163</v>
      </c>
      <c r="N52" s="2">
        <v>79</v>
      </c>
      <c r="O52" s="2">
        <v>111.2531</v>
      </c>
      <c r="P52" s="2">
        <v>31</v>
      </c>
      <c r="Q52" s="2">
        <v>97.094300000000004</v>
      </c>
      <c r="R52" s="2">
        <v>83</v>
      </c>
      <c r="S52" s="2">
        <v>97.757999999999996</v>
      </c>
      <c r="T52" s="2">
        <v>91</v>
      </c>
      <c r="U52" s="2">
        <v>0.81564199999999998</v>
      </c>
      <c r="V52" s="2">
        <v>51</v>
      </c>
      <c r="W52" s="2">
        <v>2010</v>
      </c>
    </row>
    <row r="53" spans="1:23" ht="12.3" x14ac:dyDescent="0.4">
      <c r="A53" s="2" t="s">
        <v>37</v>
      </c>
      <c r="B53" s="2">
        <v>10</v>
      </c>
      <c r="C53" s="2"/>
      <c r="D53" s="2"/>
      <c r="E53" s="2"/>
      <c r="F53" s="2"/>
      <c r="G53" s="2"/>
      <c r="H53" s="2"/>
      <c r="I53" s="2">
        <v>66.589600000000004</v>
      </c>
      <c r="J53" s="2">
        <v>215</v>
      </c>
      <c r="K53" s="2">
        <v>65.409499999999994</v>
      </c>
      <c r="L53" s="2">
        <v>258</v>
      </c>
      <c r="M53" s="2">
        <v>107.18380000000001</v>
      </c>
      <c r="N53" s="2">
        <v>63</v>
      </c>
      <c r="O53" s="2">
        <v>111.3105</v>
      </c>
      <c r="P53" s="2">
        <v>30</v>
      </c>
      <c r="Q53" s="2">
        <v>98.138400000000004</v>
      </c>
      <c r="R53" s="2">
        <v>107</v>
      </c>
      <c r="S53" s="2">
        <v>98.039500000000004</v>
      </c>
      <c r="T53" s="2">
        <v>98</v>
      </c>
      <c r="U53" s="2">
        <v>0.81152800000000003</v>
      </c>
      <c r="V53" s="2">
        <v>52</v>
      </c>
      <c r="W53" s="2">
        <v>2010</v>
      </c>
    </row>
    <row r="54" spans="1:23" ht="12.3" x14ac:dyDescent="0.4">
      <c r="A54" s="2" t="s">
        <v>71</v>
      </c>
      <c r="B54" s="2"/>
      <c r="C54" s="2"/>
      <c r="D54" s="2"/>
      <c r="E54" s="2"/>
      <c r="F54" s="2"/>
      <c r="G54" s="2"/>
      <c r="H54" s="2"/>
      <c r="I54" s="2">
        <v>66.957800000000006</v>
      </c>
      <c r="J54" s="2">
        <v>190</v>
      </c>
      <c r="K54" s="2">
        <v>66.618899999999996</v>
      </c>
      <c r="L54" s="2">
        <v>203</v>
      </c>
      <c r="M54" s="2">
        <v>112.5885</v>
      </c>
      <c r="N54" s="2">
        <v>13</v>
      </c>
      <c r="O54" s="2">
        <v>113.0171</v>
      </c>
      <c r="P54" s="2">
        <v>22</v>
      </c>
      <c r="Q54" s="2">
        <v>97.072999999999993</v>
      </c>
      <c r="R54" s="2">
        <v>81</v>
      </c>
      <c r="S54" s="2">
        <v>99.617800000000003</v>
      </c>
      <c r="T54" s="2">
        <v>134</v>
      </c>
      <c r="U54" s="2">
        <v>0.810195</v>
      </c>
      <c r="V54" s="2">
        <v>53</v>
      </c>
      <c r="W54" s="2">
        <v>2010</v>
      </c>
    </row>
    <row r="55" spans="1:23" ht="12.3" x14ac:dyDescent="0.4">
      <c r="A55" s="2" t="s">
        <v>137</v>
      </c>
      <c r="B55" s="2"/>
      <c r="C55" s="2"/>
      <c r="D55" s="2"/>
      <c r="E55" s="2"/>
      <c r="F55" s="2"/>
      <c r="G55" s="2"/>
      <c r="H55" s="2"/>
      <c r="I55" s="2">
        <v>67.773300000000006</v>
      </c>
      <c r="J55" s="2">
        <v>148</v>
      </c>
      <c r="K55" s="2">
        <v>68.643100000000004</v>
      </c>
      <c r="L55" s="2">
        <v>104</v>
      </c>
      <c r="M55" s="2">
        <v>110.66549999999999</v>
      </c>
      <c r="N55" s="2">
        <v>27</v>
      </c>
      <c r="O55" s="2">
        <v>110.768</v>
      </c>
      <c r="P55" s="2">
        <v>36</v>
      </c>
      <c r="Q55" s="2">
        <v>96.442300000000003</v>
      </c>
      <c r="R55" s="2">
        <v>71</v>
      </c>
      <c r="S55" s="2">
        <v>97.937299999999993</v>
      </c>
      <c r="T55" s="2">
        <v>96</v>
      </c>
      <c r="U55" s="2">
        <v>0.804674</v>
      </c>
      <c r="V55" s="2">
        <v>54</v>
      </c>
      <c r="W55" s="2">
        <v>2010</v>
      </c>
    </row>
    <row r="56" spans="1:23" ht="12.3" x14ac:dyDescent="0.4">
      <c r="A56" s="2" t="s">
        <v>51</v>
      </c>
      <c r="B56" s="2"/>
      <c r="C56" s="2"/>
      <c r="D56" s="2"/>
      <c r="E56" s="2"/>
      <c r="F56" s="2"/>
      <c r="G56" s="2"/>
      <c r="H56" s="2"/>
      <c r="I56" s="2">
        <v>70.635900000000007</v>
      </c>
      <c r="J56" s="2">
        <v>44</v>
      </c>
      <c r="K56" s="2">
        <v>69.731700000000004</v>
      </c>
      <c r="L56" s="2">
        <v>62</v>
      </c>
      <c r="M56" s="2">
        <v>109.783</v>
      </c>
      <c r="N56" s="2">
        <v>32</v>
      </c>
      <c r="O56" s="2">
        <v>110.54510000000001</v>
      </c>
      <c r="P56" s="2">
        <v>38</v>
      </c>
      <c r="Q56" s="2">
        <v>98.710599999999999</v>
      </c>
      <c r="R56" s="2">
        <v>122</v>
      </c>
      <c r="S56" s="2">
        <v>97.813199999999995</v>
      </c>
      <c r="T56" s="2">
        <v>92</v>
      </c>
      <c r="U56" s="2">
        <v>0.80332099999999995</v>
      </c>
      <c r="V56" s="2">
        <v>55</v>
      </c>
      <c r="W56" s="2">
        <v>2010</v>
      </c>
    </row>
    <row r="57" spans="1:23" ht="12.3" x14ac:dyDescent="0.4">
      <c r="A57" s="2" t="s">
        <v>44</v>
      </c>
      <c r="B57" s="2"/>
      <c r="C57" s="2"/>
      <c r="D57" s="2"/>
      <c r="E57" s="2"/>
      <c r="F57" s="2"/>
      <c r="G57" s="2"/>
      <c r="H57" s="2"/>
      <c r="I57" s="2">
        <v>66.8155</v>
      </c>
      <c r="J57" s="2">
        <v>199</v>
      </c>
      <c r="K57" s="2">
        <v>67.645399999999995</v>
      </c>
      <c r="L57" s="2">
        <v>151</v>
      </c>
      <c r="M57" s="2">
        <v>103.7971</v>
      </c>
      <c r="N57" s="2">
        <v>120</v>
      </c>
      <c r="O57" s="2">
        <v>106.09690000000001</v>
      </c>
      <c r="P57" s="2">
        <v>87</v>
      </c>
      <c r="Q57" s="2">
        <v>98.414500000000004</v>
      </c>
      <c r="R57" s="2">
        <v>112</v>
      </c>
      <c r="S57" s="2">
        <v>93.884299999999996</v>
      </c>
      <c r="T57" s="2">
        <v>41</v>
      </c>
      <c r="U57" s="2">
        <v>0.80318800000000001</v>
      </c>
      <c r="V57" s="2">
        <v>56</v>
      </c>
      <c r="W57" s="2">
        <v>2010</v>
      </c>
    </row>
    <row r="58" spans="1:23" ht="12.3" x14ac:dyDescent="0.4">
      <c r="A58" s="2" t="s">
        <v>61</v>
      </c>
      <c r="B58" s="2">
        <v>9</v>
      </c>
      <c r="C58" s="3" t="s">
        <v>33</v>
      </c>
      <c r="D58" s="2"/>
      <c r="E58" s="2"/>
      <c r="F58" s="2"/>
      <c r="G58" s="2"/>
      <c r="H58" s="2"/>
      <c r="I58" s="2">
        <v>70.786500000000004</v>
      </c>
      <c r="J58" s="2">
        <v>39</v>
      </c>
      <c r="K58" s="2">
        <v>70.281099999999995</v>
      </c>
      <c r="L58" s="2">
        <v>46</v>
      </c>
      <c r="M58" s="2">
        <v>100.7884</v>
      </c>
      <c r="N58" s="2">
        <v>180</v>
      </c>
      <c r="O58" s="2">
        <v>104.611</v>
      </c>
      <c r="P58" s="2">
        <v>112</v>
      </c>
      <c r="Q58" s="2">
        <v>94.693200000000004</v>
      </c>
      <c r="R58" s="2">
        <v>43</v>
      </c>
      <c r="S58" s="2">
        <v>92.692599999999999</v>
      </c>
      <c r="T58" s="2">
        <v>30</v>
      </c>
      <c r="U58" s="2">
        <v>0.800759</v>
      </c>
      <c r="V58" s="2">
        <v>57</v>
      </c>
      <c r="W58" s="2">
        <v>2010</v>
      </c>
    </row>
    <row r="59" spans="1:23" ht="12.3" x14ac:dyDescent="0.4">
      <c r="A59" s="2" t="s">
        <v>99</v>
      </c>
      <c r="B59" s="2"/>
      <c r="C59" s="2"/>
      <c r="D59" s="2"/>
      <c r="E59" s="2"/>
      <c r="F59" s="2"/>
      <c r="G59" s="2"/>
      <c r="H59" s="2"/>
      <c r="I59" s="2">
        <v>62.017200000000003</v>
      </c>
      <c r="J59" s="2">
        <v>330</v>
      </c>
      <c r="K59" s="2">
        <v>62.2639</v>
      </c>
      <c r="L59" s="2">
        <v>324</v>
      </c>
      <c r="M59" s="2">
        <v>107.7037</v>
      </c>
      <c r="N59" s="2">
        <v>57</v>
      </c>
      <c r="O59" s="2">
        <v>106.855</v>
      </c>
      <c r="P59" s="2">
        <v>78</v>
      </c>
      <c r="Q59" s="2">
        <v>94.103700000000003</v>
      </c>
      <c r="R59" s="2">
        <v>37</v>
      </c>
      <c r="S59" s="2">
        <v>94.795900000000003</v>
      </c>
      <c r="T59" s="2">
        <v>52</v>
      </c>
      <c r="U59" s="2">
        <v>0.79852299999999998</v>
      </c>
      <c r="V59" s="2">
        <v>58</v>
      </c>
      <c r="W59" s="2">
        <v>2010</v>
      </c>
    </row>
    <row r="60" spans="1:23" ht="12.3" x14ac:dyDescent="0.4">
      <c r="A60" s="2" t="s">
        <v>119</v>
      </c>
      <c r="B60" s="2"/>
      <c r="C60" s="2"/>
      <c r="D60" s="2"/>
      <c r="E60" s="2"/>
      <c r="F60" s="2"/>
      <c r="G60" s="2"/>
      <c r="H60" s="2"/>
      <c r="I60" s="2">
        <v>71.881299999999996</v>
      </c>
      <c r="J60" s="2">
        <v>25</v>
      </c>
      <c r="K60" s="2">
        <v>71.2179</v>
      </c>
      <c r="L60" s="2">
        <v>29</v>
      </c>
      <c r="M60" s="2">
        <v>109.55759999999999</v>
      </c>
      <c r="N60" s="2">
        <v>34</v>
      </c>
      <c r="O60" s="2">
        <v>111.1422</v>
      </c>
      <c r="P60" s="2">
        <v>32</v>
      </c>
      <c r="Q60" s="2">
        <v>102.8567</v>
      </c>
      <c r="R60" s="2">
        <v>208</v>
      </c>
      <c r="S60" s="2">
        <v>98.697699999999998</v>
      </c>
      <c r="T60" s="2">
        <v>113</v>
      </c>
      <c r="U60" s="2">
        <v>0.79667100000000002</v>
      </c>
      <c r="V60" s="2">
        <v>59</v>
      </c>
      <c r="W60" s="2">
        <v>2010</v>
      </c>
    </row>
    <row r="61" spans="1:23" ht="12.3" x14ac:dyDescent="0.4">
      <c r="A61" s="2" t="s">
        <v>333</v>
      </c>
      <c r="B61" s="2">
        <v>12</v>
      </c>
      <c r="C61" s="3" t="s">
        <v>33</v>
      </c>
      <c r="D61" s="3" t="s">
        <v>33</v>
      </c>
      <c r="E61" s="2"/>
      <c r="F61" s="2"/>
      <c r="G61" s="2"/>
      <c r="H61" s="2"/>
      <c r="I61" s="2">
        <v>65.532600000000002</v>
      </c>
      <c r="J61" s="2">
        <v>254</v>
      </c>
      <c r="K61" s="2">
        <v>65.781700000000001</v>
      </c>
      <c r="L61" s="2">
        <v>240</v>
      </c>
      <c r="M61" s="2">
        <v>113.4091</v>
      </c>
      <c r="N61" s="2">
        <v>11</v>
      </c>
      <c r="O61" s="2">
        <v>114.0527</v>
      </c>
      <c r="P61" s="2">
        <v>16</v>
      </c>
      <c r="Q61" s="2">
        <v>97.426500000000004</v>
      </c>
      <c r="R61" s="2">
        <v>91</v>
      </c>
      <c r="S61" s="2">
        <v>102.03489999999999</v>
      </c>
      <c r="T61" s="2">
        <v>178</v>
      </c>
      <c r="U61" s="2">
        <v>0.78253099999999998</v>
      </c>
      <c r="V61" s="2">
        <v>60</v>
      </c>
      <c r="W61" s="2">
        <v>2010</v>
      </c>
    </row>
    <row r="62" spans="1:23" ht="12.3" x14ac:dyDescent="0.4">
      <c r="A62" s="2" t="s">
        <v>258</v>
      </c>
      <c r="B62" s="2"/>
      <c r="C62" s="2"/>
      <c r="D62" s="2"/>
      <c r="E62" s="2"/>
      <c r="F62" s="2"/>
      <c r="G62" s="2"/>
      <c r="H62" s="2"/>
      <c r="I62" s="2">
        <v>68.824100000000001</v>
      </c>
      <c r="J62" s="2">
        <v>98</v>
      </c>
      <c r="K62" s="2">
        <v>67.943399999999997</v>
      </c>
      <c r="L62" s="2">
        <v>137</v>
      </c>
      <c r="M62" s="2">
        <v>109.5442</v>
      </c>
      <c r="N62" s="2">
        <v>35</v>
      </c>
      <c r="O62" s="2">
        <v>111.79900000000001</v>
      </c>
      <c r="P62" s="2">
        <v>25</v>
      </c>
      <c r="Q62" s="2">
        <v>101.6131</v>
      </c>
      <c r="R62" s="2">
        <v>179</v>
      </c>
      <c r="S62" s="2">
        <v>100.0338</v>
      </c>
      <c r="T62" s="2">
        <v>141</v>
      </c>
      <c r="U62" s="2">
        <v>0.78223500000000001</v>
      </c>
      <c r="V62" s="2">
        <v>61</v>
      </c>
      <c r="W62" s="2">
        <v>2010</v>
      </c>
    </row>
    <row r="63" spans="1:23" ht="12.3" x14ac:dyDescent="0.4">
      <c r="A63" s="2" t="s">
        <v>102</v>
      </c>
      <c r="B63" s="2"/>
      <c r="C63" s="2"/>
      <c r="D63" s="2"/>
      <c r="E63" s="2"/>
      <c r="F63" s="2"/>
      <c r="G63" s="2"/>
      <c r="H63" s="2"/>
      <c r="I63" s="2">
        <v>65.658799999999999</v>
      </c>
      <c r="J63" s="2">
        <v>252</v>
      </c>
      <c r="K63" s="2">
        <v>65.485799999999998</v>
      </c>
      <c r="L63" s="2">
        <v>252</v>
      </c>
      <c r="M63" s="2">
        <v>100.9855</v>
      </c>
      <c r="N63" s="2">
        <v>178</v>
      </c>
      <c r="O63" s="2">
        <v>104.2107</v>
      </c>
      <c r="P63" s="2">
        <v>123</v>
      </c>
      <c r="Q63" s="2">
        <v>98.442999999999998</v>
      </c>
      <c r="R63" s="2">
        <v>113</v>
      </c>
      <c r="S63" s="2">
        <v>93.598600000000005</v>
      </c>
      <c r="T63" s="2">
        <v>38</v>
      </c>
      <c r="U63" s="2">
        <v>0.77470799999999995</v>
      </c>
      <c r="V63" s="2">
        <v>62</v>
      </c>
      <c r="W63" s="2">
        <v>2010</v>
      </c>
    </row>
    <row r="64" spans="1:23" ht="12.3" x14ac:dyDescent="0.4">
      <c r="A64" s="2" t="s">
        <v>55</v>
      </c>
      <c r="B64" s="2"/>
      <c r="C64" s="2"/>
      <c r="D64" s="2"/>
      <c r="E64" s="2"/>
      <c r="F64" s="2"/>
      <c r="G64" s="2"/>
      <c r="H64" s="2"/>
      <c r="I64" s="2">
        <v>66.041700000000006</v>
      </c>
      <c r="J64" s="2">
        <v>238</v>
      </c>
      <c r="K64" s="2">
        <v>65.396699999999996</v>
      </c>
      <c r="L64" s="2">
        <v>259</v>
      </c>
      <c r="M64" s="2">
        <v>101.5583</v>
      </c>
      <c r="N64" s="2">
        <v>163</v>
      </c>
      <c r="O64" s="2">
        <v>104.5111</v>
      </c>
      <c r="P64" s="2">
        <v>114</v>
      </c>
      <c r="Q64" s="2">
        <v>97.155299999999997</v>
      </c>
      <c r="R64" s="2">
        <v>86</v>
      </c>
      <c r="S64" s="2">
        <v>93.906400000000005</v>
      </c>
      <c r="T64" s="2">
        <v>43</v>
      </c>
      <c r="U64" s="2">
        <v>0.773895</v>
      </c>
      <c r="V64" s="2">
        <v>63</v>
      </c>
      <c r="W64" s="2">
        <v>2010</v>
      </c>
    </row>
    <row r="65" spans="1:23" ht="12.3" x14ac:dyDescent="0.4">
      <c r="A65" s="2" t="s">
        <v>34</v>
      </c>
      <c r="B65" s="2"/>
      <c r="C65" s="2"/>
      <c r="D65" s="2"/>
      <c r="E65" s="2"/>
      <c r="F65" s="2"/>
      <c r="G65" s="2"/>
      <c r="H65" s="2"/>
      <c r="I65" s="2">
        <v>66.278300000000002</v>
      </c>
      <c r="J65" s="2">
        <v>228</v>
      </c>
      <c r="K65" s="2">
        <v>66.148899999999998</v>
      </c>
      <c r="L65" s="2">
        <v>225</v>
      </c>
      <c r="M65" s="2">
        <v>101.82850000000001</v>
      </c>
      <c r="N65" s="2">
        <v>157</v>
      </c>
      <c r="O65" s="2">
        <v>104.3284</v>
      </c>
      <c r="P65" s="2">
        <v>119</v>
      </c>
      <c r="Q65" s="2">
        <v>98.677800000000005</v>
      </c>
      <c r="R65" s="2">
        <v>121</v>
      </c>
      <c r="S65" s="2">
        <v>93.919399999999996</v>
      </c>
      <c r="T65" s="2">
        <v>45</v>
      </c>
      <c r="U65" s="2">
        <v>0.77007199999999998</v>
      </c>
      <c r="V65" s="2">
        <v>64</v>
      </c>
      <c r="W65" s="2">
        <v>2010</v>
      </c>
    </row>
    <row r="66" spans="1:23" ht="12.3" x14ac:dyDescent="0.4">
      <c r="A66" s="2" t="s">
        <v>168</v>
      </c>
      <c r="B66" s="2"/>
      <c r="C66" s="2"/>
      <c r="D66" s="2"/>
      <c r="E66" s="2"/>
      <c r="F66" s="2"/>
      <c r="G66" s="2"/>
      <c r="H66" s="2"/>
      <c r="I66" s="2">
        <v>73.314999999999998</v>
      </c>
      <c r="J66" s="2">
        <v>12</v>
      </c>
      <c r="K66" s="2">
        <v>71.573899999999995</v>
      </c>
      <c r="L66" s="2">
        <v>25</v>
      </c>
      <c r="M66" s="2">
        <v>101.93989999999999</v>
      </c>
      <c r="N66" s="2">
        <v>154</v>
      </c>
      <c r="O66" s="2">
        <v>105.07680000000001</v>
      </c>
      <c r="P66" s="2">
        <v>104</v>
      </c>
      <c r="Q66" s="2">
        <v>98.549199999999999</v>
      </c>
      <c r="R66" s="2">
        <v>116</v>
      </c>
      <c r="S66" s="2">
        <v>94.632800000000003</v>
      </c>
      <c r="T66" s="2">
        <v>51</v>
      </c>
      <c r="U66" s="2">
        <v>0.76921899999999999</v>
      </c>
      <c r="V66" s="2">
        <v>65</v>
      </c>
      <c r="W66" s="2">
        <v>2010</v>
      </c>
    </row>
    <row r="67" spans="1:23" ht="12.3" x14ac:dyDescent="0.4">
      <c r="A67" s="2" t="s">
        <v>154</v>
      </c>
      <c r="B67" s="2"/>
      <c r="C67" s="2"/>
      <c r="D67" s="2"/>
      <c r="E67" s="2"/>
      <c r="F67" s="2"/>
      <c r="G67" s="2"/>
      <c r="H67" s="2"/>
      <c r="I67" s="2">
        <v>61.998199999999997</v>
      </c>
      <c r="J67" s="2">
        <v>331</v>
      </c>
      <c r="K67" s="2">
        <v>62.7746</v>
      </c>
      <c r="L67" s="2">
        <v>320</v>
      </c>
      <c r="M67" s="2">
        <v>101.2373</v>
      </c>
      <c r="N67" s="2">
        <v>169</v>
      </c>
      <c r="O67" s="2">
        <v>105.8548</v>
      </c>
      <c r="P67" s="2">
        <v>91</v>
      </c>
      <c r="Q67" s="2">
        <v>99.563000000000002</v>
      </c>
      <c r="R67" s="2">
        <v>134</v>
      </c>
      <c r="S67" s="2">
        <v>95.337199999999996</v>
      </c>
      <c r="T67" s="2">
        <v>57</v>
      </c>
      <c r="U67" s="2">
        <v>0.76913900000000002</v>
      </c>
      <c r="V67" s="2">
        <v>66</v>
      </c>
      <c r="W67" s="2">
        <v>2010</v>
      </c>
    </row>
    <row r="68" spans="1:23" ht="12.3" x14ac:dyDescent="0.4">
      <c r="A68" s="2" t="s">
        <v>192</v>
      </c>
      <c r="B68" s="2"/>
      <c r="C68" s="2"/>
      <c r="D68" s="2"/>
      <c r="E68" s="2"/>
      <c r="F68" s="2"/>
      <c r="G68" s="2"/>
      <c r="H68" s="2"/>
      <c r="I68" s="2">
        <v>64.4114</v>
      </c>
      <c r="J68" s="2">
        <v>288</v>
      </c>
      <c r="K68" s="2">
        <v>65.473500000000001</v>
      </c>
      <c r="L68" s="2">
        <v>253</v>
      </c>
      <c r="M68" s="2">
        <v>106.861</v>
      </c>
      <c r="N68" s="2">
        <v>70</v>
      </c>
      <c r="O68" s="2">
        <v>107.7937</v>
      </c>
      <c r="P68" s="2">
        <v>61</v>
      </c>
      <c r="Q68" s="2">
        <v>96.850200000000001</v>
      </c>
      <c r="R68" s="2">
        <v>78</v>
      </c>
      <c r="S68" s="2">
        <v>97.313900000000004</v>
      </c>
      <c r="T68" s="2">
        <v>82</v>
      </c>
      <c r="U68" s="2">
        <v>0.76426300000000003</v>
      </c>
      <c r="V68" s="2">
        <v>67</v>
      </c>
      <c r="W68" s="2">
        <v>2010</v>
      </c>
    </row>
    <row r="69" spans="1:23" ht="12.3" x14ac:dyDescent="0.4">
      <c r="A69" s="2" t="s">
        <v>128</v>
      </c>
      <c r="B69" s="2"/>
      <c r="C69" s="2"/>
      <c r="D69" s="2"/>
      <c r="E69" s="2"/>
      <c r="F69" s="2"/>
      <c r="G69" s="2"/>
      <c r="H69" s="2"/>
      <c r="I69" s="2">
        <v>65.138099999999994</v>
      </c>
      <c r="J69" s="2">
        <v>265</v>
      </c>
      <c r="K69" s="2">
        <v>65.730699999999999</v>
      </c>
      <c r="L69" s="2">
        <v>242</v>
      </c>
      <c r="M69" s="2">
        <v>102.3244</v>
      </c>
      <c r="N69" s="2">
        <v>147</v>
      </c>
      <c r="O69" s="2">
        <v>101.9228</v>
      </c>
      <c r="P69" s="2">
        <v>162</v>
      </c>
      <c r="Q69" s="2">
        <v>93.043199999999999</v>
      </c>
      <c r="R69" s="2">
        <v>29</v>
      </c>
      <c r="S69" s="2">
        <v>92.111199999999997</v>
      </c>
      <c r="T69" s="2">
        <v>26</v>
      </c>
      <c r="U69" s="2">
        <v>0.76206300000000005</v>
      </c>
      <c r="V69" s="2">
        <v>68</v>
      </c>
      <c r="W69" s="2">
        <v>2010</v>
      </c>
    </row>
    <row r="70" spans="1:23" ht="12.3" x14ac:dyDescent="0.4">
      <c r="A70" s="2" t="s">
        <v>49</v>
      </c>
      <c r="B70" s="2"/>
      <c r="C70" s="2"/>
      <c r="D70" s="2"/>
      <c r="E70" s="2"/>
      <c r="F70" s="2"/>
      <c r="G70" s="2"/>
      <c r="H70" s="2"/>
      <c r="I70" s="2">
        <v>65.910899999999998</v>
      </c>
      <c r="J70" s="2">
        <v>243</v>
      </c>
      <c r="K70" s="2">
        <v>65.596199999999996</v>
      </c>
      <c r="L70" s="2">
        <v>249</v>
      </c>
      <c r="M70" s="2">
        <v>103.9374</v>
      </c>
      <c r="N70" s="2">
        <v>118</v>
      </c>
      <c r="O70" s="2">
        <v>105.2968</v>
      </c>
      <c r="P70" s="2">
        <v>101</v>
      </c>
      <c r="Q70" s="2">
        <v>98.062200000000004</v>
      </c>
      <c r="R70" s="2">
        <v>105</v>
      </c>
      <c r="S70" s="2">
        <v>95.181799999999996</v>
      </c>
      <c r="T70" s="2">
        <v>56</v>
      </c>
      <c r="U70" s="2">
        <v>0.76159399999999999</v>
      </c>
      <c r="V70" s="2">
        <v>69</v>
      </c>
      <c r="W70" s="2">
        <v>2010</v>
      </c>
    </row>
    <row r="71" spans="1:23" ht="12.3" x14ac:dyDescent="0.4">
      <c r="A71" s="2" t="s">
        <v>171</v>
      </c>
      <c r="B71" s="2"/>
      <c r="C71" s="2"/>
      <c r="D71" s="2"/>
      <c r="E71" s="2"/>
      <c r="F71" s="2"/>
      <c r="G71" s="2"/>
      <c r="H71" s="2"/>
      <c r="I71" s="2">
        <v>63.141500000000001</v>
      </c>
      <c r="J71" s="2">
        <v>315</v>
      </c>
      <c r="K71" s="2">
        <v>63.156100000000002</v>
      </c>
      <c r="L71" s="2">
        <v>315</v>
      </c>
      <c r="M71" s="2">
        <v>106.742</v>
      </c>
      <c r="N71" s="2">
        <v>76</v>
      </c>
      <c r="O71" s="2">
        <v>106.2551</v>
      </c>
      <c r="P71" s="2">
        <v>84</v>
      </c>
      <c r="Q71" s="2">
        <v>96.158100000000005</v>
      </c>
      <c r="R71" s="2">
        <v>62</v>
      </c>
      <c r="S71" s="2">
        <v>96.388199999999998</v>
      </c>
      <c r="T71" s="2">
        <v>68</v>
      </c>
      <c r="U71" s="2">
        <v>0.75413399999999997</v>
      </c>
      <c r="V71" s="2">
        <v>70</v>
      </c>
      <c r="W71" s="2">
        <v>2010</v>
      </c>
    </row>
    <row r="72" spans="1:23" ht="12.3" x14ac:dyDescent="0.4">
      <c r="A72" s="2" t="s">
        <v>279</v>
      </c>
      <c r="B72" s="2">
        <v>13</v>
      </c>
      <c r="C72" s="2"/>
      <c r="D72" s="2"/>
      <c r="E72" s="2"/>
      <c r="F72" s="2"/>
      <c r="G72" s="2"/>
      <c r="H72" s="2"/>
      <c r="I72" s="2">
        <v>65.826599999999999</v>
      </c>
      <c r="J72" s="2">
        <v>245</v>
      </c>
      <c r="K72" s="2">
        <v>65.066800000000001</v>
      </c>
      <c r="L72" s="2">
        <v>272</v>
      </c>
      <c r="M72" s="2">
        <v>104.43170000000001</v>
      </c>
      <c r="N72" s="2">
        <v>103</v>
      </c>
      <c r="O72" s="2">
        <v>102.7302</v>
      </c>
      <c r="P72" s="2">
        <v>151</v>
      </c>
      <c r="Q72" s="2">
        <v>93.686300000000003</v>
      </c>
      <c r="R72" s="2">
        <v>32</v>
      </c>
      <c r="S72" s="2">
        <v>93.259399999999999</v>
      </c>
      <c r="T72" s="2">
        <v>34</v>
      </c>
      <c r="U72" s="2">
        <v>0.75255700000000003</v>
      </c>
      <c r="V72" s="2">
        <v>71</v>
      </c>
      <c r="W72" s="2">
        <v>2010</v>
      </c>
    </row>
    <row r="73" spans="1:23" ht="12.3" x14ac:dyDescent="0.4">
      <c r="A73" s="2" t="s">
        <v>197</v>
      </c>
      <c r="B73" s="2"/>
      <c r="C73" s="2"/>
      <c r="D73" s="2"/>
      <c r="E73" s="2"/>
      <c r="F73" s="2"/>
      <c r="G73" s="2"/>
      <c r="H73" s="2"/>
      <c r="I73" s="2">
        <v>69.516099999999994</v>
      </c>
      <c r="J73" s="2">
        <v>76</v>
      </c>
      <c r="K73" s="2">
        <v>70.095699999999994</v>
      </c>
      <c r="L73" s="2">
        <v>53</v>
      </c>
      <c r="M73" s="2">
        <v>108.1915</v>
      </c>
      <c r="N73" s="2">
        <v>52</v>
      </c>
      <c r="O73" s="2">
        <v>107.869</v>
      </c>
      <c r="P73" s="2">
        <v>60</v>
      </c>
      <c r="Q73" s="2">
        <v>98.383700000000005</v>
      </c>
      <c r="R73" s="2">
        <v>110</v>
      </c>
      <c r="S73" s="2">
        <v>98.074399999999997</v>
      </c>
      <c r="T73" s="2">
        <v>101</v>
      </c>
      <c r="U73" s="2">
        <v>0.74926599999999999</v>
      </c>
      <c r="V73" s="2">
        <v>72</v>
      </c>
      <c r="W73" s="2">
        <v>2010</v>
      </c>
    </row>
    <row r="74" spans="1:23" ht="12.3" x14ac:dyDescent="0.4">
      <c r="A74" s="2" t="s">
        <v>103</v>
      </c>
      <c r="B74" s="2"/>
      <c r="C74" s="2"/>
      <c r="D74" s="2"/>
      <c r="E74" s="2"/>
      <c r="F74" s="2"/>
      <c r="G74" s="2"/>
      <c r="H74" s="2"/>
      <c r="I74" s="2">
        <v>64.944800000000001</v>
      </c>
      <c r="J74" s="2">
        <v>271</v>
      </c>
      <c r="K74" s="2">
        <v>65.159599999999998</v>
      </c>
      <c r="L74" s="2">
        <v>270</v>
      </c>
      <c r="M74" s="2">
        <v>103.3875</v>
      </c>
      <c r="N74" s="2">
        <v>127</v>
      </c>
      <c r="O74" s="2">
        <v>106.65560000000001</v>
      </c>
      <c r="P74" s="2">
        <v>79</v>
      </c>
      <c r="Q74" s="2">
        <v>101.07299999999999</v>
      </c>
      <c r="R74" s="2">
        <v>166</v>
      </c>
      <c r="S74" s="2">
        <v>97.081999999999994</v>
      </c>
      <c r="T74" s="2">
        <v>77</v>
      </c>
      <c r="U74" s="2">
        <v>0.74678900000000004</v>
      </c>
      <c r="V74" s="2">
        <v>73</v>
      </c>
      <c r="W74" s="2">
        <v>2010</v>
      </c>
    </row>
    <row r="75" spans="1:23" ht="12.3" x14ac:dyDescent="0.4">
      <c r="A75" s="2" t="s">
        <v>308</v>
      </c>
      <c r="B75" s="2"/>
      <c r="C75" s="2"/>
      <c r="D75" s="2"/>
      <c r="E75" s="2"/>
      <c r="F75" s="2"/>
      <c r="G75" s="2"/>
      <c r="H75" s="2"/>
      <c r="I75" s="2">
        <v>61.8157</v>
      </c>
      <c r="J75" s="2">
        <v>333</v>
      </c>
      <c r="K75" s="2">
        <v>61.903799999999997</v>
      </c>
      <c r="L75" s="2">
        <v>329</v>
      </c>
      <c r="M75" s="2">
        <v>103.5192</v>
      </c>
      <c r="N75" s="2">
        <v>123</v>
      </c>
      <c r="O75" s="2">
        <v>103.1118</v>
      </c>
      <c r="P75" s="2">
        <v>143</v>
      </c>
      <c r="Q75" s="2">
        <v>95.987799999999993</v>
      </c>
      <c r="R75" s="2">
        <v>59</v>
      </c>
      <c r="S75" s="2">
        <v>93.869399999999999</v>
      </c>
      <c r="T75" s="2">
        <v>40</v>
      </c>
      <c r="U75" s="2">
        <v>0.74648599999999998</v>
      </c>
      <c r="V75" s="2">
        <v>74</v>
      </c>
      <c r="W75" s="2">
        <v>2010</v>
      </c>
    </row>
    <row r="76" spans="1:23" ht="12.3" x14ac:dyDescent="0.4">
      <c r="A76" s="2" t="s">
        <v>95</v>
      </c>
      <c r="B76" s="2"/>
      <c r="C76" s="2"/>
      <c r="D76" s="2"/>
      <c r="E76" s="2"/>
      <c r="F76" s="2"/>
      <c r="G76" s="2"/>
      <c r="H76" s="2"/>
      <c r="I76" s="2">
        <v>66.084699999999998</v>
      </c>
      <c r="J76" s="2">
        <v>236</v>
      </c>
      <c r="K76" s="2">
        <v>65.783500000000004</v>
      </c>
      <c r="L76" s="2">
        <v>239</v>
      </c>
      <c r="M76" s="2">
        <v>104.53660000000001</v>
      </c>
      <c r="N76" s="2">
        <v>101</v>
      </c>
      <c r="O76" s="2">
        <v>108.7086</v>
      </c>
      <c r="P76" s="2">
        <v>50</v>
      </c>
      <c r="Q76" s="2">
        <v>100.1978</v>
      </c>
      <c r="R76" s="2">
        <v>146</v>
      </c>
      <c r="S76" s="2">
        <v>99.048500000000004</v>
      </c>
      <c r="T76" s="2">
        <v>121</v>
      </c>
      <c r="U76" s="2">
        <v>0.74463599999999996</v>
      </c>
      <c r="V76" s="2">
        <v>75</v>
      </c>
      <c r="W76" s="2">
        <v>2010</v>
      </c>
    </row>
    <row r="77" spans="1:23" ht="12.3" x14ac:dyDescent="0.4">
      <c r="A77" s="2" t="s">
        <v>290</v>
      </c>
      <c r="B77" s="2"/>
      <c r="C77" s="2"/>
      <c r="D77" s="2"/>
      <c r="E77" s="2"/>
      <c r="F77" s="2"/>
      <c r="G77" s="2"/>
      <c r="H77" s="2"/>
      <c r="I77" s="2">
        <v>64.806200000000004</v>
      </c>
      <c r="J77" s="2">
        <v>279</v>
      </c>
      <c r="K77" s="2">
        <v>64.429900000000004</v>
      </c>
      <c r="L77" s="2">
        <v>287</v>
      </c>
      <c r="M77" s="2">
        <v>108.8621</v>
      </c>
      <c r="N77" s="2">
        <v>44</v>
      </c>
      <c r="O77" s="2">
        <v>107.87820000000001</v>
      </c>
      <c r="P77" s="2">
        <v>59</v>
      </c>
      <c r="Q77" s="2">
        <v>100.6147</v>
      </c>
      <c r="R77" s="2">
        <v>153</v>
      </c>
      <c r="S77" s="2">
        <v>98.489000000000004</v>
      </c>
      <c r="T77" s="2">
        <v>109</v>
      </c>
      <c r="U77" s="2">
        <v>0.74023000000000005</v>
      </c>
      <c r="V77" s="2">
        <v>76</v>
      </c>
      <c r="W77" s="2">
        <v>2010</v>
      </c>
    </row>
    <row r="78" spans="1:23" ht="12.3" x14ac:dyDescent="0.4">
      <c r="A78" s="2" t="s">
        <v>42</v>
      </c>
      <c r="B78" s="2"/>
      <c r="C78" s="2"/>
      <c r="D78" s="2"/>
      <c r="E78" s="2"/>
      <c r="F78" s="2"/>
      <c r="G78" s="2"/>
      <c r="H78" s="2"/>
      <c r="I78" s="2">
        <v>63.4833</v>
      </c>
      <c r="J78" s="2">
        <v>310</v>
      </c>
      <c r="K78" s="2">
        <v>63.584699999999998</v>
      </c>
      <c r="L78" s="2">
        <v>308</v>
      </c>
      <c r="M78" s="2">
        <v>92.990700000000004</v>
      </c>
      <c r="N78" s="2">
        <v>304</v>
      </c>
      <c r="O78" s="2">
        <v>94.013599999999997</v>
      </c>
      <c r="P78" s="2">
        <v>286</v>
      </c>
      <c r="Q78" s="2">
        <v>89.099299999999999</v>
      </c>
      <c r="R78" s="2">
        <v>3</v>
      </c>
      <c r="S78" s="2">
        <v>86.181200000000004</v>
      </c>
      <c r="T78" s="2">
        <v>1</v>
      </c>
      <c r="U78" s="2">
        <v>0.731128</v>
      </c>
      <c r="V78" s="2">
        <v>77</v>
      </c>
      <c r="W78" s="2">
        <v>2010</v>
      </c>
    </row>
    <row r="79" spans="1:23" ht="12.3" x14ac:dyDescent="0.4">
      <c r="A79" s="2" t="s">
        <v>146</v>
      </c>
      <c r="B79" s="2"/>
      <c r="C79" s="2"/>
      <c r="D79" s="2"/>
      <c r="E79" s="2"/>
      <c r="F79" s="2"/>
      <c r="G79" s="2"/>
      <c r="H79" s="2"/>
      <c r="I79" s="2">
        <v>69.502099999999999</v>
      </c>
      <c r="J79" s="2">
        <v>77</v>
      </c>
      <c r="K79" s="2">
        <v>68.995400000000004</v>
      </c>
      <c r="L79" s="2">
        <v>85</v>
      </c>
      <c r="M79" s="2">
        <v>102.9419</v>
      </c>
      <c r="N79" s="2">
        <v>138</v>
      </c>
      <c r="O79" s="2">
        <v>104.4837</v>
      </c>
      <c r="P79" s="2">
        <v>116</v>
      </c>
      <c r="Q79" s="2">
        <v>100.22150000000001</v>
      </c>
      <c r="R79" s="2">
        <v>148</v>
      </c>
      <c r="S79" s="2">
        <v>95.783299999999997</v>
      </c>
      <c r="T79" s="2">
        <v>63</v>
      </c>
      <c r="U79" s="2">
        <v>0.73102699999999998</v>
      </c>
      <c r="V79" s="2">
        <v>78</v>
      </c>
      <c r="W79" s="2">
        <v>2010</v>
      </c>
    </row>
    <row r="80" spans="1:23" ht="12.3" x14ac:dyDescent="0.4">
      <c r="A80" s="2" t="s">
        <v>124</v>
      </c>
      <c r="B80" s="2"/>
      <c r="C80" s="2"/>
      <c r="D80" s="2"/>
      <c r="E80" s="2"/>
      <c r="F80" s="2"/>
      <c r="G80" s="2"/>
      <c r="H80" s="2"/>
      <c r="I80" s="2">
        <v>63.208199999999998</v>
      </c>
      <c r="J80" s="2">
        <v>314</v>
      </c>
      <c r="K80" s="2">
        <v>64.148600000000002</v>
      </c>
      <c r="L80" s="2">
        <v>291</v>
      </c>
      <c r="M80" s="2">
        <v>108.3959</v>
      </c>
      <c r="N80" s="2">
        <v>48</v>
      </c>
      <c r="O80" s="2">
        <v>112.1739</v>
      </c>
      <c r="P80" s="2">
        <v>23</v>
      </c>
      <c r="Q80" s="2">
        <v>102.777</v>
      </c>
      <c r="R80" s="2">
        <v>205</v>
      </c>
      <c r="S80" s="2">
        <v>103.1181</v>
      </c>
      <c r="T80" s="2">
        <v>208</v>
      </c>
      <c r="U80" s="2">
        <v>0.72472300000000001</v>
      </c>
      <c r="V80" s="2">
        <v>79</v>
      </c>
      <c r="W80" s="2">
        <v>2010</v>
      </c>
    </row>
    <row r="81" spans="1:23" ht="12.3" x14ac:dyDescent="0.4">
      <c r="A81" s="2" t="s">
        <v>87</v>
      </c>
      <c r="B81" s="2"/>
      <c r="C81" s="2"/>
      <c r="D81" s="2"/>
      <c r="E81" s="2"/>
      <c r="F81" s="2"/>
      <c r="G81" s="2"/>
      <c r="H81" s="2"/>
      <c r="I81" s="2">
        <v>63.574800000000003</v>
      </c>
      <c r="J81" s="2">
        <v>307</v>
      </c>
      <c r="K81" s="2">
        <v>62.8645</v>
      </c>
      <c r="L81" s="2">
        <v>318</v>
      </c>
      <c r="M81" s="2">
        <v>102.3404</v>
      </c>
      <c r="N81" s="2">
        <v>146</v>
      </c>
      <c r="O81" s="2">
        <v>105.023</v>
      </c>
      <c r="P81" s="2">
        <v>107</v>
      </c>
      <c r="Q81" s="2">
        <v>99.203199999999995</v>
      </c>
      <c r="R81" s="2">
        <v>128</v>
      </c>
      <c r="S81" s="2">
        <v>96.592200000000005</v>
      </c>
      <c r="T81" s="2">
        <v>70</v>
      </c>
      <c r="U81" s="2">
        <v>0.72358800000000001</v>
      </c>
      <c r="V81" s="2">
        <v>80</v>
      </c>
      <c r="W81" s="2">
        <v>2010</v>
      </c>
    </row>
    <row r="82" spans="1:23" ht="12.3" x14ac:dyDescent="0.4">
      <c r="A82" s="2" t="s">
        <v>53</v>
      </c>
      <c r="B82" s="2"/>
      <c r="C82" s="2"/>
      <c r="D82" s="2"/>
      <c r="E82" s="2"/>
      <c r="F82" s="2"/>
      <c r="G82" s="2"/>
      <c r="H82" s="2"/>
      <c r="I82" s="2">
        <v>67.264600000000002</v>
      </c>
      <c r="J82" s="2">
        <v>180</v>
      </c>
      <c r="K82" s="2">
        <v>68.286500000000004</v>
      </c>
      <c r="L82" s="2">
        <v>123</v>
      </c>
      <c r="M82" s="2">
        <v>104.2225</v>
      </c>
      <c r="N82" s="2">
        <v>109</v>
      </c>
      <c r="O82" s="2">
        <v>104.7728</v>
      </c>
      <c r="P82" s="2">
        <v>109</v>
      </c>
      <c r="Q82" s="2">
        <v>96.361400000000003</v>
      </c>
      <c r="R82" s="2">
        <v>66</v>
      </c>
      <c r="S82" s="2">
        <v>96.605900000000005</v>
      </c>
      <c r="T82" s="2">
        <v>71</v>
      </c>
      <c r="U82" s="2">
        <v>0.71773799999999999</v>
      </c>
      <c r="V82" s="2">
        <v>81</v>
      </c>
      <c r="W82" s="2">
        <v>2010</v>
      </c>
    </row>
    <row r="83" spans="1:23" ht="12.3" x14ac:dyDescent="0.4">
      <c r="A83" s="2" t="s">
        <v>164</v>
      </c>
      <c r="B83" s="2"/>
      <c r="C83" s="2"/>
      <c r="D83" s="2"/>
      <c r="E83" s="2"/>
      <c r="F83" s="2"/>
      <c r="G83" s="2"/>
      <c r="H83" s="2"/>
      <c r="I83" s="2">
        <v>65.180899999999994</v>
      </c>
      <c r="J83" s="2">
        <v>263</v>
      </c>
      <c r="K83" s="2">
        <v>66.133700000000005</v>
      </c>
      <c r="L83" s="2">
        <v>226</v>
      </c>
      <c r="M83" s="2">
        <v>106.807</v>
      </c>
      <c r="N83" s="2">
        <v>73</v>
      </c>
      <c r="O83" s="2">
        <v>105.9149</v>
      </c>
      <c r="P83" s="2">
        <v>88</v>
      </c>
      <c r="Q83" s="2">
        <v>98.334599999999995</v>
      </c>
      <c r="R83" s="2">
        <v>109</v>
      </c>
      <c r="S83" s="2">
        <v>97.906999999999996</v>
      </c>
      <c r="T83" s="2">
        <v>95</v>
      </c>
      <c r="U83" s="2">
        <v>0.71179300000000001</v>
      </c>
      <c r="V83" s="2">
        <v>82</v>
      </c>
      <c r="W83" s="2">
        <v>2010</v>
      </c>
    </row>
    <row r="84" spans="1:23" ht="12.3" x14ac:dyDescent="0.4">
      <c r="A84" s="2" t="s">
        <v>69</v>
      </c>
      <c r="B84" s="2"/>
      <c r="C84" s="2"/>
      <c r="D84" s="2"/>
      <c r="E84" s="2"/>
      <c r="F84" s="2"/>
      <c r="G84" s="2"/>
      <c r="H84" s="2"/>
      <c r="I84" s="2">
        <v>67.388599999999997</v>
      </c>
      <c r="J84" s="2">
        <v>175</v>
      </c>
      <c r="K84" s="2">
        <v>67.082899999999995</v>
      </c>
      <c r="L84" s="2">
        <v>183</v>
      </c>
      <c r="M84" s="2">
        <v>105.7213</v>
      </c>
      <c r="N84" s="2">
        <v>90</v>
      </c>
      <c r="O84" s="2">
        <v>105.2381</v>
      </c>
      <c r="P84" s="2">
        <v>102</v>
      </c>
      <c r="Q84" s="2">
        <v>97.318799999999996</v>
      </c>
      <c r="R84" s="2">
        <v>89</v>
      </c>
      <c r="S84" s="2">
        <v>97.289299999999997</v>
      </c>
      <c r="T84" s="2">
        <v>80</v>
      </c>
      <c r="U84" s="2">
        <v>0.71160100000000004</v>
      </c>
      <c r="V84" s="2">
        <v>83</v>
      </c>
      <c r="W84" s="2">
        <v>2010</v>
      </c>
    </row>
    <row r="85" spans="1:23" ht="12.3" x14ac:dyDescent="0.4">
      <c r="A85" s="2" t="s">
        <v>59</v>
      </c>
      <c r="B85" s="2"/>
      <c r="C85" s="2"/>
      <c r="D85" s="2"/>
      <c r="E85" s="2"/>
      <c r="F85" s="2"/>
      <c r="G85" s="2"/>
      <c r="H85" s="2"/>
      <c r="I85" s="2">
        <v>73.121499999999997</v>
      </c>
      <c r="J85" s="2">
        <v>14</v>
      </c>
      <c r="K85" s="2">
        <v>72.656099999999995</v>
      </c>
      <c r="L85" s="2">
        <v>15</v>
      </c>
      <c r="M85" s="2">
        <v>102.69329999999999</v>
      </c>
      <c r="N85" s="2">
        <v>142</v>
      </c>
      <c r="O85" s="2">
        <v>105.82170000000001</v>
      </c>
      <c r="P85" s="2">
        <v>95</v>
      </c>
      <c r="Q85" s="2">
        <v>102.7099</v>
      </c>
      <c r="R85" s="2">
        <v>202</v>
      </c>
      <c r="S85" s="2">
        <v>97.874399999999994</v>
      </c>
      <c r="T85" s="2">
        <v>93</v>
      </c>
      <c r="U85" s="2">
        <v>0.71050000000000002</v>
      </c>
      <c r="V85" s="2">
        <v>84</v>
      </c>
      <c r="W85" s="2">
        <v>2010</v>
      </c>
    </row>
    <row r="86" spans="1:23" ht="12.3" x14ac:dyDescent="0.4">
      <c r="A86" s="2" t="s">
        <v>120</v>
      </c>
      <c r="B86" s="2"/>
      <c r="C86" s="2"/>
      <c r="D86" s="2"/>
      <c r="E86" s="2"/>
      <c r="F86" s="2"/>
      <c r="G86" s="2"/>
      <c r="H86" s="2"/>
      <c r="I86" s="2">
        <v>74.244900000000001</v>
      </c>
      <c r="J86" s="2">
        <v>8</v>
      </c>
      <c r="K86" s="2">
        <v>74.820700000000002</v>
      </c>
      <c r="L86" s="2">
        <v>5</v>
      </c>
      <c r="M86" s="2">
        <v>110.3569</v>
      </c>
      <c r="N86" s="2">
        <v>29</v>
      </c>
      <c r="O86" s="2">
        <v>114.97069999999999</v>
      </c>
      <c r="P86" s="2">
        <v>13</v>
      </c>
      <c r="Q86" s="2">
        <v>110.4619</v>
      </c>
      <c r="R86" s="2">
        <v>337</v>
      </c>
      <c r="S86" s="2">
        <v>106.4256</v>
      </c>
      <c r="T86" s="2">
        <v>277</v>
      </c>
      <c r="U86" s="2">
        <v>0.70851200000000003</v>
      </c>
      <c r="V86" s="2">
        <v>85</v>
      </c>
      <c r="W86" s="2">
        <v>2010</v>
      </c>
    </row>
    <row r="87" spans="1:23" ht="12.3" x14ac:dyDescent="0.4">
      <c r="A87" s="2" t="s">
        <v>22</v>
      </c>
      <c r="B87" s="2"/>
      <c r="C87" s="2"/>
      <c r="D87" s="2"/>
      <c r="E87" s="2"/>
      <c r="F87" s="2"/>
      <c r="G87" s="2"/>
      <c r="H87" s="2"/>
      <c r="I87" s="2">
        <v>64.739400000000003</v>
      </c>
      <c r="J87" s="2">
        <v>282</v>
      </c>
      <c r="K87" s="2">
        <v>65.727400000000003</v>
      </c>
      <c r="L87" s="2">
        <v>243</v>
      </c>
      <c r="M87" s="2">
        <v>108.59229999999999</v>
      </c>
      <c r="N87" s="2">
        <v>46</v>
      </c>
      <c r="O87" s="2">
        <v>108.63809999999999</v>
      </c>
      <c r="P87" s="2">
        <v>51</v>
      </c>
      <c r="Q87" s="2">
        <v>100.7009</v>
      </c>
      <c r="R87" s="2">
        <v>155</v>
      </c>
      <c r="S87" s="2">
        <v>100.5737</v>
      </c>
      <c r="T87" s="2">
        <v>152</v>
      </c>
      <c r="U87" s="2">
        <v>0.70827300000000004</v>
      </c>
      <c r="V87" s="2">
        <v>86</v>
      </c>
      <c r="W87" s="2">
        <v>2010</v>
      </c>
    </row>
    <row r="88" spans="1:23" ht="12.3" x14ac:dyDescent="0.4">
      <c r="A88" s="2" t="s">
        <v>130</v>
      </c>
      <c r="B88" s="2">
        <v>13</v>
      </c>
      <c r="C88" s="2"/>
      <c r="D88" s="2"/>
      <c r="E88" s="2"/>
      <c r="F88" s="2"/>
      <c r="G88" s="2"/>
      <c r="H88" s="2"/>
      <c r="I88" s="2">
        <v>71.610799999999998</v>
      </c>
      <c r="J88" s="2">
        <v>27</v>
      </c>
      <c r="K88" s="2">
        <v>72.084199999999996</v>
      </c>
      <c r="L88" s="2">
        <v>20</v>
      </c>
      <c r="M88" s="2">
        <v>109.2381</v>
      </c>
      <c r="N88" s="2">
        <v>38</v>
      </c>
      <c r="O88" s="2">
        <v>110.7958</v>
      </c>
      <c r="P88" s="2">
        <v>35</v>
      </c>
      <c r="Q88" s="2">
        <v>104.0244</v>
      </c>
      <c r="R88" s="2">
        <v>244</v>
      </c>
      <c r="S88" s="2">
        <v>102.6934</v>
      </c>
      <c r="T88" s="2">
        <v>194</v>
      </c>
      <c r="U88" s="2">
        <v>0.70543599999999995</v>
      </c>
      <c r="V88" s="2">
        <v>87</v>
      </c>
      <c r="W88" s="2">
        <v>2010</v>
      </c>
    </row>
    <row r="89" spans="1:23" ht="12.3" x14ac:dyDescent="0.4">
      <c r="A89" s="2" t="s">
        <v>175</v>
      </c>
      <c r="B89" s="2"/>
      <c r="C89" s="2"/>
      <c r="D89" s="2"/>
      <c r="E89" s="2"/>
      <c r="F89" s="2"/>
      <c r="G89" s="2"/>
      <c r="H89" s="2"/>
      <c r="I89" s="2">
        <v>62.4983</v>
      </c>
      <c r="J89" s="2">
        <v>324</v>
      </c>
      <c r="K89" s="2">
        <v>62.048000000000002</v>
      </c>
      <c r="L89" s="2">
        <v>327</v>
      </c>
      <c r="M89" s="2">
        <v>100.60680000000001</v>
      </c>
      <c r="N89" s="2">
        <v>184</v>
      </c>
      <c r="O89" s="2">
        <v>102.0561</v>
      </c>
      <c r="P89" s="2">
        <v>159</v>
      </c>
      <c r="Q89" s="2">
        <v>95.926699999999997</v>
      </c>
      <c r="R89" s="2">
        <v>56</v>
      </c>
      <c r="S89" s="2">
        <v>94.608400000000003</v>
      </c>
      <c r="T89" s="2">
        <v>50</v>
      </c>
      <c r="U89" s="2">
        <v>0.70504299999999998</v>
      </c>
      <c r="V89" s="2">
        <v>88</v>
      </c>
      <c r="W89" s="2">
        <v>2010</v>
      </c>
    </row>
    <row r="90" spans="1:23" ht="12.3" x14ac:dyDescent="0.4">
      <c r="A90" s="2" t="s">
        <v>145</v>
      </c>
      <c r="B90" s="2"/>
      <c r="C90" s="2"/>
      <c r="D90" s="2"/>
      <c r="E90" s="2"/>
      <c r="F90" s="2"/>
      <c r="G90" s="2"/>
      <c r="H90" s="2"/>
      <c r="I90" s="2">
        <v>70.222499999999997</v>
      </c>
      <c r="J90" s="2">
        <v>59</v>
      </c>
      <c r="K90" s="2">
        <v>69.588800000000006</v>
      </c>
      <c r="L90" s="2">
        <v>64</v>
      </c>
      <c r="M90" s="2">
        <v>111.6764</v>
      </c>
      <c r="N90" s="2">
        <v>20</v>
      </c>
      <c r="O90" s="2">
        <v>110.7499</v>
      </c>
      <c r="P90" s="2">
        <v>37</v>
      </c>
      <c r="Q90" s="2">
        <v>106.03570000000001</v>
      </c>
      <c r="R90" s="2">
        <v>284</v>
      </c>
      <c r="S90" s="2">
        <v>102.691</v>
      </c>
      <c r="T90" s="2">
        <v>193</v>
      </c>
      <c r="U90" s="2">
        <v>0.70450000000000002</v>
      </c>
      <c r="V90" s="2">
        <v>89</v>
      </c>
      <c r="W90" s="2">
        <v>2010</v>
      </c>
    </row>
    <row r="91" spans="1:23" ht="12.3" x14ac:dyDescent="0.4">
      <c r="A91" s="2" t="s">
        <v>116</v>
      </c>
      <c r="B91" s="2"/>
      <c r="C91" s="2"/>
      <c r="D91" s="2"/>
      <c r="E91" s="2"/>
      <c r="F91" s="2"/>
      <c r="G91" s="2"/>
      <c r="H91" s="2"/>
      <c r="I91" s="2">
        <v>63.268500000000003</v>
      </c>
      <c r="J91" s="2">
        <v>313</v>
      </c>
      <c r="K91" s="2">
        <v>62.889299999999999</v>
      </c>
      <c r="L91" s="2">
        <v>317</v>
      </c>
      <c r="M91" s="2">
        <v>97.592500000000001</v>
      </c>
      <c r="N91" s="2">
        <v>238</v>
      </c>
      <c r="O91" s="2">
        <v>99.148799999999994</v>
      </c>
      <c r="P91" s="2">
        <v>199</v>
      </c>
      <c r="Q91" s="2">
        <v>92.680800000000005</v>
      </c>
      <c r="R91" s="2">
        <v>26</v>
      </c>
      <c r="S91" s="2">
        <v>92.057599999999994</v>
      </c>
      <c r="T91" s="2">
        <v>24</v>
      </c>
      <c r="U91" s="2">
        <v>0.70127499999999998</v>
      </c>
      <c r="V91" s="2">
        <v>90</v>
      </c>
      <c r="W91" s="2">
        <v>2010</v>
      </c>
    </row>
    <row r="92" spans="1:23" ht="12.3" x14ac:dyDescent="0.4">
      <c r="A92" s="2" t="s">
        <v>19</v>
      </c>
      <c r="B92" s="2"/>
      <c r="C92" s="2"/>
      <c r="D92" s="2"/>
      <c r="E92" s="2"/>
      <c r="F92" s="2"/>
      <c r="G92" s="2"/>
      <c r="H92" s="2"/>
      <c r="I92" s="2">
        <v>66.495199999999997</v>
      </c>
      <c r="J92" s="2">
        <v>221</v>
      </c>
      <c r="K92" s="2">
        <v>65.657799999999995</v>
      </c>
      <c r="L92" s="2">
        <v>244</v>
      </c>
      <c r="M92" s="2">
        <v>102.6797</v>
      </c>
      <c r="N92" s="2">
        <v>143</v>
      </c>
      <c r="O92" s="2">
        <v>107.8934</v>
      </c>
      <c r="P92" s="2">
        <v>57</v>
      </c>
      <c r="Q92" s="2">
        <v>103.8411</v>
      </c>
      <c r="R92" s="2">
        <v>239</v>
      </c>
      <c r="S92" s="2">
        <v>100.19580000000001</v>
      </c>
      <c r="T92" s="2">
        <v>145</v>
      </c>
      <c r="U92" s="2">
        <v>0.70081899999999997</v>
      </c>
      <c r="V92" s="2">
        <v>91</v>
      </c>
      <c r="W92" s="2">
        <v>2010</v>
      </c>
    </row>
    <row r="93" spans="1:23" ht="12.3" x14ac:dyDescent="0.4">
      <c r="A93" s="2" t="s">
        <v>63</v>
      </c>
      <c r="B93" s="2"/>
      <c r="C93" s="2"/>
      <c r="D93" s="2"/>
      <c r="E93" s="2"/>
      <c r="F93" s="2"/>
      <c r="G93" s="2"/>
      <c r="H93" s="2"/>
      <c r="I93" s="2">
        <v>69.522599999999997</v>
      </c>
      <c r="J93" s="2">
        <v>75</v>
      </c>
      <c r="K93" s="2">
        <v>68.454999999999998</v>
      </c>
      <c r="L93" s="2">
        <v>114</v>
      </c>
      <c r="M93" s="2">
        <v>104.7504</v>
      </c>
      <c r="N93" s="2">
        <v>97</v>
      </c>
      <c r="O93" s="2">
        <v>106.5646</v>
      </c>
      <c r="P93" s="2">
        <v>80</v>
      </c>
      <c r="Q93" s="2">
        <v>101.5471</v>
      </c>
      <c r="R93" s="2">
        <v>178</v>
      </c>
      <c r="S93" s="2">
        <v>99.041399999999996</v>
      </c>
      <c r="T93" s="2">
        <v>120</v>
      </c>
      <c r="U93" s="2">
        <v>0.69887600000000005</v>
      </c>
      <c r="V93" s="2">
        <v>92</v>
      </c>
      <c r="W93" s="2">
        <v>2010</v>
      </c>
    </row>
    <row r="94" spans="1:23" ht="12.3" x14ac:dyDescent="0.4">
      <c r="A94" s="2" t="s">
        <v>151</v>
      </c>
      <c r="B94" s="2">
        <v>14</v>
      </c>
      <c r="C94" s="3" t="s">
        <v>33</v>
      </c>
      <c r="D94" s="2"/>
      <c r="E94" s="2"/>
      <c r="F94" s="2"/>
      <c r="G94" s="2"/>
      <c r="H94" s="2"/>
      <c r="I94" s="2">
        <v>68.769300000000001</v>
      </c>
      <c r="J94" s="2">
        <v>102</v>
      </c>
      <c r="K94" s="2">
        <v>69.5351</v>
      </c>
      <c r="L94" s="2">
        <v>65</v>
      </c>
      <c r="M94" s="2">
        <v>104.4282</v>
      </c>
      <c r="N94" s="2">
        <v>104</v>
      </c>
      <c r="O94" s="2">
        <v>105.86450000000001</v>
      </c>
      <c r="P94" s="2">
        <v>90</v>
      </c>
      <c r="Q94" s="2">
        <v>97.691000000000003</v>
      </c>
      <c r="R94" s="2">
        <v>96</v>
      </c>
      <c r="S94" s="2">
        <v>98.398799999999994</v>
      </c>
      <c r="T94" s="2">
        <v>107</v>
      </c>
      <c r="U94" s="2">
        <v>0.69867900000000005</v>
      </c>
      <c r="V94" s="2">
        <v>93</v>
      </c>
      <c r="W94" s="2">
        <v>2010</v>
      </c>
    </row>
    <row r="95" spans="1:23" ht="12.3" x14ac:dyDescent="0.4">
      <c r="A95" s="2" t="s">
        <v>43</v>
      </c>
      <c r="B95" s="2"/>
      <c r="C95" s="2"/>
      <c r="D95" s="2"/>
      <c r="E95" s="2"/>
      <c r="F95" s="2"/>
      <c r="G95" s="2"/>
      <c r="H95" s="2"/>
      <c r="I95" s="2">
        <v>68.665400000000005</v>
      </c>
      <c r="J95" s="2">
        <v>112</v>
      </c>
      <c r="K95" s="2">
        <v>69.231899999999996</v>
      </c>
      <c r="L95" s="2">
        <v>77</v>
      </c>
      <c r="M95" s="2">
        <v>102.2398</v>
      </c>
      <c r="N95" s="2">
        <v>150</v>
      </c>
      <c r="O95" s="2">
        <v>106.5241</v>
      </c>
      <c r="P95" s="2">
        <v>81</v>
      </c>
      <c r="Q95" s="2">
        <v>102.71720000000001</v>
      </c>
      <c r="R95" s="2">
        <v>204</v>
      </c>
      <c r="S95" s="2">
        <v>99.287199999999999</v>
      </c>
      <c r="T95" s="2">
        <v>127</v>
      </c>
      <c r="U95" s="2">
        <v>0.691913</v>
      </c>
      <c r="V95" s="2">
        <v>94</v>
      </c>
      <c r="W95" s="2">
        <v>2010</v>
      </c>
    </row>
    <row r="96" spans="1:23" ht="12.3" x14ac:dyDescent="0.4">
      <c r="A96" s="2" t="s">
        <v>221</v>
      </c>
      <c r="B96" s="2"/>
      <c r="C96" s="2"/>
      <c r="D96" s="2"/>
      <c r="E96" s="2"/>
      <c r="F96" s="2"/>
      <c r="G96" s="2"/>
      <c r="H96" s="2"/>
      <c r="I96" s="2">
        <v>67.236999999999995</v>
      </c>
      <c r="J96" s="2">
        <v>182</v>
      </c>
      <c r="K96" s="2">
        <v>66.641599999999997</v>
      </c>
      <c r="L96" s="2">
        <v>201</v>
      </c>
      <c r="M96" s="2">
        <v>104.0223</v>
      </c>
      <c r="N96" s="2">
        <v>115</v>
      </c>
      <c r="O96" s="2">
        <v>105.74890000000001</v>
      </c>
      <c r="P96" s="2">
        <v>97</v>
      </c>
      <c r="Q96" s="2">
        <v>97.074700000000007</v>
      </c>
      <c r="R96" s="2">
        <v>82</v>
      </c>
      <c r="S96" s="2">
        <v>98.613900000000001</v>
      </c>
      <c r="T96" s="2">
        <v>112</v>
      </c>
      <c r="U96" s="2">
        <v>0.69068600000000002</v>
      </c>
      <c r="V96" s="2">
        <v>95</v>
      </c>
      <c r="W96" s="2">
        <v>2010</v>
      </c>
    </row>
    <row r="97" spans="1:23" ht="12.3" x14ac:dyDescent="0.4">
      <c r="A97" s="2" t="s">
        <v>136</v>
      </c>
      <c r="B97" s="2"/>
      <c r="C97" s="2"/>
      <c r="D97" s="2"/>
      <c r="E97" s="2"/>
      <c r="F97" s="2"/>
      <c r="G97" s="2"/>
      <c r="H97" s="2"/>
      <c r="I97" s="2">
        <v>64.918499999999995</v>
      </c>
      <c r="J97" s="2">
        <v>274</v>
      </c>
      <c r="K97" s="2">
        <v>64.112399999999994</v>
      </c>
      <c r="L97" s="2">
        <v>294</v>
      </c>
      <c r="M97" s="2">
        <v>101.7364</v>
      </c>
      <c r="N97" s="2">
        <v>161</v>
      </c>
      <c r="O97" s="2">
        <v>105.5763</v>
      </c>
      <c r="P97" s="2">
        <v>99</v>
      </c>
      <c r="Q97" s="2">
        <v>100.2175</v>
      </c>
      <c r="R97" s="2">
        <v>147</v>
      </c>
      <c r="S97" s="2">
        <v>98.527299999999997</v>
      </c>
      <c r="T97" s="2">
        <v>110</v>
      </c>
      <c r="U97" s="2">
        <v>0.68883000000000005</v>
      </c>
      <c r="V97" s="2">
        <v>96</v>
      </c>
      <c r="W97" s="2">
        <v>2010</v>
      </c>
    </row>
    <row r="98" spans="1:23" ht="12.3" x14ac:dyDescent="0.4">
      <c r="A98" s="2" t="s">
        <v>129</v>
      </c>
      <c r="B98" s="2"/>
      <c r="C98" s="2"/>
      <c r="D98" s="2"/>
      <c r="E98" s="2"/>
      <c r="F98" s="2"/>
      <c r="G98" s="2"/>
      <c r="H98" s="2"/>
      <c r="I98" s="2">
        <v>69.216899999999995</v>
      </c>
      <c r="J98" s="2">
        <v>82</v>
      </c>
      <c r="K98" s="2">
        <v>68.381399999999999</v>
      </c>
      <c r="L98" s="2">
        <v>120</v>
      </c>
      <c r="M98" s="2">
        <v>106.7243</v>
      </c>
      <c r="N98" s="2">
        <v>77</v>
      </c>
      <c r="O98" s="2">
        <v>111.0934</v>
      </c>
      <c r="P98" s="2">
        <v>33</v>
      </c>
      <c r="Q98" s="2">
        <v>107.59780000000001</v>
      </c>
      <c r="R98" s="2">
        <v>304</v>
      </c>
      <c r="S98" s="2">
        <v>103.736</v>
      </c>
      <c r="T98" s="2">
        <v>222</v>
      </c>
      <c r="U98" s="2">
        <v>0.68740199999999996</v>
      </c>
      <c r="V98" s="2">
        <v>97</v>
      </c>
      <c r="W98" s="2">
        <v>2010</v>
      </c>
    </row>
    <row r="99" spans="1:23" ht="12.3" x14ac:dyDescent="0.4">
      <c r="A99" s="2" t="s">
        <v>234</v>
      </c>
      <c r="B99" s="2">
        <v>14</v>
      </c>
      <c r="C99" s="2"/>
      <c r="D99" s="2"/>
      <c r="E99" s="2"/>
      <c r="F99" s="2"/>
      <c r="G99" s="2"/>
      <c r="H99" s="2"/>
      <c r="I99" s="2">
        <v>63.6599</v>
      </c>
      <c r="J99" s="2">
        <v>305</v>
      </c>
      <c r="K99" s="2">
        <v>63.714300000000001</v>
      </c>
      <c r="L99" s="2">
        <v>306</v>
      </c>
      <c r="M99" s="2">
        <v>108.8523</v>
      </c>
      <c r="N99" s="2">
        <v>45</v>
      </c>
      <c r="O99" s="2">
        <v>105.1683</v>
      </c>
      <c r="P99" s="2">
        <v>103</v>
      </c>
      <c r="Q99" s="2">
        <v>97.771900000000002</v>
      </c>
      <c r="R99" s="2">
        <v>99</v>
      </c>
      <c r="S99" s="2">
        <v>98.558300000000003</v>
      </c>
      <c r="T99" s="2">
        <v>111</v>
      </c>
      <c r="U99" s="2">
        <v>0.67841700000000005</v>
      </c>
      <c r="V99" s="2">
        <v>98</v>
      </c>
      <c r="W99" s="2">
        <v>2010</v>
      </c>
    </row>
    <row r="100" spans="1:23" ht="12.3" x14ac:dyDescent="0.4">
      <c r="A100" s="2" t="s">
        <v>17</v>
      </c>
      <c r="B100" s="2"/>
      <c r="C100" s="2"/>
      <c r="D100" s="2"/>
      <c r="E100" s="2"/>
      <c r="F100" s="2"/>
      <c r="G100" s="2"/>
      <c r="H100" s="2"/>
      <c r="I100" s="2">
        <v>71.008499999999998</v>
      </c>
      <c r="J100" s="2">
        <v>35</v>
      </c>
      <c r="K100" s="2">
        <v>69.875699999999995</v>
      </c>
      <c r="L100" s="2">
        <v>59</v>
      </c>
      <c r="M100" s="2">
        <v>101.06529999999999</v>
      </c>
      <c r="N100" s="2">
        <v>176</v>
      </c>
      <c r="O100" s="2">
        <v>103.7792</v>
      </c>
      <c r="P100" s="2">
        <v>134</v>
      </c>
      <c r="Q100" s="2">
        <v>99.986000000000004</v>
      </c>
      <c r="R100" s="2">
        <v>142</v>
      </c>
      <c r="S100" s="2">
        <v>97.434700000000007</v>
      </c>
      <c r="T100" s="2">
        <v>86</v>
      </c>
      <c r="U100" s="2">
        <v>0.67380899999999999</v>
      </c>
      <c r="V100" s="2">
        <v>99</v>
      </c>
      <c r="W100" s="2">
        <v>2010</v>
      </c>
    </row>
    <row r="101" spans="1:23" ht="12.3" x14ac:dyDescent="0.4">
      <c r="A101" s="2" t="s">
        <v>170</v>
      </c>
      <c r="B101" s="2"/>
      <c r="C101" s="2"/>
      <c r="D101" s="2"/>
      <c r="E101" s="2"/>
      <c r="F101" s="2"/>
      <c r="G101" s="2"/>
      <c r="H101" s="2"/>
      <c r="I101" s="2">
        <v>68.590800000000002</v>
      </c>
      <c r="J101" s="2">
        <v>114</v>
      </c>
      <c r="K101" s="2">
        <v>68.915599999999998</v>
      </c>
      <c r="L101" s="2">
        <v>90</v>
      </c>
      <c r="M101" s="2">
        <v>110.069</v>
      </c>
      <c r="N101" s="2">
        <v>30</v>
      </c>
      <c r="O101" s="2">
        <v>107.38120000000001</v>
      </c>
      <c r="P101" s="2">
        <v>66</v>
      </c>
      <c r="Q101" s="2">
        <v>102.7038</v>
      </c>
      <c r="R101" s="2">
        <v>201</v>
      </c>
      <c r="S101" s="2">
        <v>100.8242</v>
      </c>
      <c r="T101" s="2">
        <v>156</v>
      </c>
      <c r="U101" s="2">
        <v>0.67361499999999996</v>
      </c>
      <c r="V101" s="2">
        <v>100</v>
      </c>
      <c r="W101" s="2">
        <v>2010</v>
      </c>
    </row>
    <row r="102" spans="1:23" ht="12.3" x14ac:dyDescent="0.4">
      <c r="A102" s="2" t="s">
        <v>225</v>
      </c>
      <c r="B102" s="2">
        <v>14</v>
      </c>
      <c r="C102" s="2"/>
      <c r="D102" s="2"/>
      <c r="E102" s="2"/>
      <c r="F102" s="2"/>
      <c r="G102" s="2"/>
      <c r="H102" s="2"/>
      <c r="I102" s="2">
        <v>70.464699999999993</v>
      </c>
      <c r="J102" s="2">
        <v>49</v>
      </c>
      <c r="K102" s="2">
        <v>70.054400000000001</v>
      </c>
      <c r="L102" s="2">
        <v>56</v>
      </c>
      <c r="M102" s="2">
        <v>111.9319</v>
      </c>
      <c r="N102" s="2">
        <v>16</v>
      </c>
      <c r="O102" s="2">
        <v>109.6887</v>
      </c>
      <c r="P102" s="2">
        <v>44</v>
      </c>
      <c r="Q102" s="2">
        <v>101.43219999999999</v>
      </c>
      <c r="R102" s="2">
        <v>175</v>
      </c>
      <c r="S102" s="2">
        <v>103.0312</v>
      </c>
      <c r="T102" s="2">
        <v>207</v>
      </c>
      <c r="U102" s="2">
        <v>0.67262</v>
      </c>
      <c r="V102" s="2">
        <v>101</v>
      </c>
      <c r="W102" s="2">
        <v>2010</v>
      </c>
    </row>
    <row r="103" spans="1:23" ht="12.3" x14ac:dyDescent="0.4">
      <c r="A103" s="2" t="s">
        <v>201</v>
      </c>
      <c r="B103" s="2"/>
      <c r="C103" s="2"/>
      <c r="D103" s="2"/>
      <c r="E103" s="2"/>
      <c r="F103" s="2"/>
      <c r="G103" s="2"/>
      <c r="H103" s="2"/>
      <c r="I103" s="2">
        <v>66.055499999999995</v>
      </c>
      <c r="J103" s="2">
        <v>237</v>
      </c>
      <c r="K103" s="2">
        <v>65.389399999999995</v>
      </c>
      <c r="L103" s="2">
        <v>260</v>
      </c>
      <c r="M103" s="2">
        <v>106.1579</v>
      </c>
      <c r="N103" s="2">
        <v>87</v>
      </c>
      <c r="O103" s="2">
        <v>103.911</v>
      </c>
      <c r="P103" s="2">
        <v>131</v>
      </c>
      <c r="Q103" s="2">
        <v>95.911699999999996</v>
      </c>
      <c r="R103" s="2">
        <v>55</v>
      </c>
      <c r="S103" s="2">
        <v>97.614199999999997</v>
      </c>
      <c r="T103" s="2">
        <v>89</v>
      </c>
      <c r="U103" s="2">
        <v>0.67236200000000002</v>
      </c>
      <c r="V103" s="2">
        <v>102</v>
      </c>
      <c r="W103" s="2">
        <v>2010</v>
      </c>
    </row>
    <row r="104" spans="1:23" ht="12.3" x14ac:dyDescent="0.4">
      <c r="A104" s="2" t="s">
        <v>241</v>
      </c>
      <c r="B104" s="2"/>
      <c r="C104" s="2"/>
      <c r="D104" s="2"/>
      <c r="E104" s="2"/>
      <c r="F104" s="2"/>
      <c r="G104" s="2"/>
      <c r="H104" s="2"/>
      <c r="I104" s="2">
        <v>66.655000000000001</v>
      </c>
      <c r="J104" s="2">
        <v>211</v>
      </c>
      <c r="K104" s="2">
        <v>66.021799999999999</v>
      </c>
      <c r="L104" s="2">
        <v>230</v>
      </c>
      <c r="M104" s="2">
        <v>98.742599999999996</v>
      </c>
      <c r="N104" s="2">
        <v>215</v>
      </c>
      <c r="O104" s="2">
        <v>98.373500000000007</v>
      </c>
      <c r="P104" s="2">
        <v>218</v>
      </c>
      <c r="Q104" s="2">
        <v>92.426199999999994</v>
      </c>
      <c r="R104" s="2">
        <v>23</v>
      </c>
      <c r="S104" s="2">
        <v>92.474500000000006</v>
      </c>
      <c r="T104" s="2">
        <v>28</v>
      </c>
      <c r="U104" s="2">
        <v>0.67065300000000005</v>
      </c>
      <c r="V104" s="2">
        <v>103</v>
      </c>
      <c r="W104" s="2">
        <v>2010</v>
      </c>
    </row>
    <row r="105" spans="1:23" ht="12.3" x14ac:dyDescent="0.4">
      <c r="A105" s="2" t="s">
        <v>255</v>
      </c>
      <c r="B105" s="2"/>
      <c r="C105" s="2"/>
      <c r="D105" s="2"/>
      <c r="E105" s="2"/>
      <c r="F105" s="2"/>
      <c r="G105" s="2"/>
      <c r="H105" s="2"/>
      <c r="I105" s="2">
        <v>67.739500000000007</v>
      </c>
      <c r="J105" s="2">
        <v>151</v>
      </c>
      <c r="K105" s="2">
        <v>68.187899999999999</v>
      </c>
      <c r="L105" s="2">
        <v>127</v>
      </c>
      <c r="M105" s="2">
        <v>106.8843</v>
      </c>
      <c r="N105" s="2">
        <v>67</v>
      </c>
      <c r="O105" s="2">
        <v>105.8262</v>
      </c>
      <c r="P105" s="2">
        <v>94</v>
      </c>
      <c r="Q105" s="2">
        <v>95.466399999999993</v>
      </c>
      <c r="R105" s="2">
        <v>47</v>
      </c>
      <c r="S105" s="2">
        <v>99.495599999999996</v>
      </c>
      <c r="T105" s="2">
        <v>131</v>
      </c>
      <c r="U105" s="2">
        <v>0.67026300000000005</v>
      </c>
      <c r="V105" s="2">
        <v>104</v>
      </c>
      <c r="W105" s="2">
        <v>2010</v>
      </c>
    </row>
    <row r="106" spans="1:23" ht="12.3" x14ac:dyDescent="0.4">
      <c r="A106" s="2" t="s">
        <v>118</v>
      </c>
      <c r="B106" s="2">
        <v>12</v>
      </c>
      <c r="C106" s="2"/>
      <c r="D106" s="2"/>
      <c r="E106" s="2"/>
      <c r="F106" s="2"/>
      <c r="G106" s="2"/>
      <c r="H106" s="2"/>
      <c r="I106" s="2">
        <v>72.0852</v>
      </c>
      <c r="J106" s="2">
        <v>23</v>
      </c>
      <c r="K106" s="2">
        <v>71.847300000000004</v>
      </c>
      <c r="L106" s="2">
        <v>23</v>
      </c>
      <c r="M106" s="2">
        <v>109.0478</v>
      </c>
      <c r="N106" s="2">
        <v>40</v>
      </c>
      <c r="O106" s="2">
        <v>111.0211</v>
      </c>
      <c r="P106" s="2">
        <v>34</v>
      </c>
      <c r="Q106" s="2">
        <v>108.1713</v>
      </c>
      <c r="R106" s="2">
        <v>315</v>
      </c>
      <c r="S106" s="2">
        <v>104.5017</v>
      </c>
      <c r="T106" s="2">
        <v>234</v>
      </c>
      <c r="U106" s="2">
        <v>0.66728900000000002</v>
      </c>
      <c r="V106" s="2">
        <v>105</v>
      </c>
      <c r="W106" s="2">
        <v>2010</v>
      </c>
    </row>
    <row r="107" spans="1:23" ht="12.3" x14ac:dyDescent="0.4">
      <c r="A107" s="2" t="s">
        <v>230</v>
      </c>
      <c r="B107" s="2"/>
      <c r="C107" s="2"/>
      <c r="D107" s="2"/>
      <c r="E107" s="2"/>
      <c r="F107" s="2"/>
      <c r="G107" s="2"/>
      <c r="H107" s="2"/>
      <c r="I107" s="2">
        <v>62.469099999999997</v>
      </c>
      <c r="J107" s="2">
        <v>325</v>
      </c>
      <c r="K107" s="2">
        <v>63.5505</v>
      </c>
      <c r="L107" s="2">
        <v>310</v>
      </c>
      <c r="M107" s="2">
        <v>102.9216</v>
      </c>
      <c r="N107" s="2">
        <v>139</v>
      </c>
      <c r="O107" s="2">
        <v>106.3348</v>
      </c>
      <c r="P107" s="2">
        <v>83</v>
      </c>
      <c r="Q107" s="2">
        <v>103.21939999999999</v>
      </c>
      <c r="R107" s="2">
        <v>216</v>
      </c>
      <c r="S107" s="2">
        <v>100.33929999999999</v>
      </c>
      <c r="T107" s="2">
        <v>147</v>
      </c>
      <c r="U107" s="2">
        <v>0.66092399999999996</v>
      </c>
      <c r="V107" s="2">
        <v>106</v>
      </c>
      <c r="W107" s="2">
        <v>2010</v>
      </c>
    </row>
    <row r="108" spans="1:23" ht="12.3" x14ac:dyDescent="0.4">
      <c r="A108" s="2" t="s">
        <v>199</v>
      </c>
      <c r="B108" s="2"/>
      <c r="C108" s="2"/>
      <c r="D108" s="2"/>
      <c r="E108" s="2"/>
      <c r="F108" s="2"/>
      <c r="G108" s="2"/>
      <c r="H108" s="2"/>
      <c r="I108" s="2">
        <v>66.280799999999999</v>
      </c>
      <c r="J108" s="2">
        <v>227</v>
      </c>
      <c r="K108" s="2">
        <v>66.121899999999997</v>
      </c>
      <c r="L108" s="2">
        <v>227</v>
      </c>
      <c r="M108" s="2">
        <v>109.47629999999999</v>
      </c>
      <c r="N108" s="2">
        <v>36</v>
      </c>
      <c r="O108" s="2">
        <v>106.87050000000001</v>
      </c>
      <c r="P108" s="2">
        <v>77</v>
      </c>
      <c r="Q108" s="2">
        <v>100.7039</v>
      </c>
      <c r="R108" s="2">
        <v>156</v>
      </c>
      <c r="S108" s="2">
        <v>100.95959999999999</v>
      </c>
      <c r="T108" s="2">
        <v>161</v>
      </c>
      <c r="U108" s="2">
        <v>0.65798299999999998</v>
      </c>
      <c r="V108" s="2">
        <v>107</v>
      </c>
      <c r="W108" s="2">
        <v>2010</v>
      </c>
    </row>
    <row r="109" spans="1:23" ht="12.3" x14ac:dyDescent="0.4">
      <c r="A109" s="2" t="s">
        <v>126</v>
      </c>
      <c r="B109" s="2"/>
      <c r="C109" s="2"/>
      <c r="D109" s="2"/>
      <c r="E109" s="2"/>
      <c r="F109" s="2"/>
      <c r="G109" s="2"/>
      <c r="H109" s="2"/>
      <c r="I109" s="2">
        <v>61.459200000000003</v>
      </c>
      <c r="J109" s="2">
        <v>336</v>
      </c>
      <c r="K109" s="2">
        <v>61.206299999999999</v>
      </c>
      <c r="L109" s="2">
        <v>335</v>
      </c>
      <c r="M109" s="2">
        <v>105.5227</v>
      </c>
      <c r="N109" s="2">
        <v>92</v>
      </c>
      <c r="O109" s="2">
        <v>103.0787</v>
      </c>
      <c r="P109" s="2">
        <v>145</v>
      </c>
      <c r="Q109" s="2">
        <v>97.3215</v>
      </c>
      <c r="R109" s="2">
        <v>90</v>
      </c>
      <c r="S109" s="2">
        <v>97.400800000000004</v>
      </c>
      <c r="T109" s="2">
        <v>83</v>
      </c>
      <c r="U109" s="2">
        <v>0.65736300000000003</v>
      </c>
      <c r="V109" s="2">
        <v>108</v>
      </c>
      <c r="W109" s="2">
        <v>2010</v>
      </c>
    </row>
    <row r="110" spans="1:23" ht="12.3" x14ac:dyDescent="0.4">
      <c r="A110" s="2" t="s">
        <v>257</v>
      </c>
      <c r="B110" s="2"/>
      <c r="C110" s="2"/>
      <c r="D110" s="2"/>
      <c r="E110" s="2"/>
      <c r="F110" s="2"/>
      <c r="G110" s="2"/>
      <c r="H110" s="2"/>
      <c r="I110" s="2">
        <v>61.353200000000001</v>
      </c>
      <c r="J110" s="2">
        <v>337</v>
      </c>
      <c r="K110" s="2">
        <v>61.213299999999997</v>
      </c>
      <c r="L110" s="2">
        <v>334</v>
      </c>
      <c r="M110" s="2">
        <v>105.595</v>
      </c>
      <c r="N110" s="2">
        <v>91</v>
      </c>
      <c r="O110" s="2">
        <v>107.4341</v>
      </c>
      <c r="P110" s="2">
        <v>64</v>
      </c>
      <c r="Q110" s="2">
        <v>103.60290000000001</v>
      </c>
      <c r="R110" s="2">
        <v>234</v>
      </c>
      <c r="S110" s="2">
        <v>101.6474</v>
      </c>
      <c r="T110" s="2">
        <v>172</v>
      </c>
      <c r="U110" s="2">
        <v>0.65401299999999996</v>
      </c>
      <c r="V110" s="2">
        <v>109</v>
      </c>
      <c r="W110" s="2">
        <v>2010</v>
      </c>
    </row>
    <row r="111" spans="1:23" ht="12.3" x14ac:dyDescent="0.4">
      <c r="A111" s="2" t="s">
        <v>94</v>
      </c>
      <c r="B111" s="2"/>
      <c r="C111" s="2"/>
      <c r="D111" s="2"/>
      <c r="E111" s="2"/>
      <c r="F111" s="2"/>
      <c r="G111" s="2"/>
      <c r="H111" s="2"/>
      <c r="I111" s="2">
        <v>68.8429</v>
      </c>
      <c r="J111" s="2">
        <v>97</v>
      </c>
      <c r="K111" s="2">
        <v>68.708699999999993</v>
      </c>
      <c r="L111" s="2">
        <v>99</v>
      </c>
      <c r="M111" s="2">
        <v>106.88339999999999</v>
      </c>
      <c r="N111" s="2">
        <v>68</v>
      </c>
      <c r="O111" s="2">
        <v>104.3124</v>
      </c>
      <c r="P111" s="2">
        <v>120</v>
      </c>
      <c r="Q111" s="2">
        <v>101.12050000000001</v>
      </c>
      <c r="R111" s="2">
        <v>168</v>
      </c>
      <c r="S111" s="2">
        <v>98.888199999999998</v>
      </c>
      <c r="T111" s="2">
        <v>117</v>
      </c>
      <c r="U111" s="2">
        <v>0.64887499999999998</v>
      </c>
      <c r="V111" s="2">
        <v>110</v>
      </c>
      <c r="W111" s="2">
        <v>2010</v>
      </c>
    </row>
    <row r="112" spans="1:23" ht="12.3" x14ac:dyDescent="0.4">
      <c r="A112" s="2" t="s">
        <v>113</v>
      </c>
      <c r="B112" s="2"/>
      <c r="C112" s="2"/>
      <c r="D112" s="2"/>
      <c r="E112" s="2"/>
      <c r="F112" s="2"/>
      <c r="G112" s="2"/>
      <c r="H112" s="2"/>
      <c r="I112" s="2">
        <v>70.965299999999999</v>
      </c>
      <c r="J112" s="2">
        <v>37</v>
      </c>
      <c r="K112" s="2">
        <v>70.419399999999996</v>
      </c>
      <c r="L112" s="2">
        <v>43</v>
      </c>
      <c r="M112" s="2">
        <v>105.133</v>
      </c>
      <c r="N112" s="2">
        <v>95</v>
      </c>
      <c r="O112" s="2">
        <v>108.515</v>
      </c>
      <c r="P112" s="2">
        <v>52</v>
      </c>
      <c r="Q112" s="2">
        <v>103.8535</v>
      </c>
      <c r="R112" s="2">
        <v>240</v>
      </c>
      <c r="S112" s="2">
        <v>102.95699999999999</v>
      </c>
      <c r="T112" s="2">
        <v>204</v>
      </c>
      <c r="U112" s="2">
        <v>0.64671500000000004</v>
      </c>
      <c r="V112" s="2">
        <v>111</v>
      </c>
      <c r="W112" s="2">
        <v>2010</v>
      </c>
    </row>
    <row r="113" spans="1:23" ht="12.3" x14ac:dyDescent="0.4">
      <c r="A113" s="2" t="s">
        <v>256</v>
      </c>
      <c r="B113" s="2"/>
      <c r="C113" s="2"/>
      <c r="D113" s="2"/>
      <c r="E113" s="2"/>
      <c r="F113" s="2"/>
      <c r="G113" s="2"/>
      <c r="H113" s="2"/>
      <c r="I113" s="2">
        <v>66.433700000000002</v>
      </c>
      <c r="J113" s="2">
        <v>224</v>
      </c>
      <c r="K113" s="2">
        <v>66.416499999999999</v>
      </c>
      <c r="L113" s="2">
        <v>214</v>
      </c>
      <c r="M113" s="2">
        <v>104.3659</v>
      </c>
      <c r="N113" s="2">
        <v>107</v>
      </c>
      <c r="O113" s="2">
        <v>104.0184</v>
      </c>
      <c r="P113" s="2">
        <v>126</v>
      </c>
      <c r="Q113" s="2">
        <v>97.618099999999998</v>
      </c>
      <c r="R113" s="2">
        <v>95</v>
      </c>
      <c r="S113" s="2">
        <v>98.9572</v>
      </c>
      <c r="T113" s="2">
        <v>119</v>
      </c>
      <c r="U113" s="2">
        <v>0.63960099999999998</v>
      </c>
      <c r="V113" s="2">
        <v>112</v>
      </c>
      <c r="W113" s="2">
        <v>2010</v>
      </c>
    </row>
    <row r="114" spans="1:23" ht="12.3" x14ac:dyDescent="0.4">
      <c r="A114" s="2" t="s">
        <v>52</v>
      </c>
      <c r="B114" s="2"/>
      <c r="C114" s="2"/>
      <c r="D114" s="2"/>
      <c r="E114" s="2"/>
      <c r="F114" s="2"/>
      <c r="G114" s="2"/>
      <c r="H114" s="2"/>
      <c r="I114" s="2">
        <v>67.613</v>
      </c>
      <c r="J114" s="2">
        <v>159</v>
      </c>
      <c r="K114" s="2">
        <v>67.506799999999998</v>
      </c>
      <c r="L114" s="2">
        <v>159</v>
      </c>
      <c r="M114" s="2">
        <v>101.8702</v>
      </c>
      <c r="N114" s="2">
        <v>156</v>
      </c>
      <c r="O114" s="2">
        <v>104.3043</v>
      </c>
      <c r="P114" s="2">
        <v>121</v>
      </c>
      <c r="Q114" s="2">
        <v>102.7118</v>
      </c>
      <c r="R114" s="2">
        <v>203</v>
      </c>
      <c r="S114" s="2">
        <v>99.245500000000007</v>
      </c>
      <c r="T114" s="2">
        <v>125</v>
      </c>
      <c r="U114" s="2">
        <v>0.63916200000000001</v>
      </c>
      <c r="V114" s="2">
        <v>113</v>
      </c>
      <c r="W114" s="2">
        <v>2010</v>
      </c>
    </row>
    <row r="115" spans="1:23" ht="12.3" x14ac:dyDescent="0.4">
      <c r="A115" s="2" t="s">
        <v>176</v>
      </c>
      <c r="B115" s="2"/>
      <c r="C115" s="2"/>
      <c r="D115" s="2"/>
      <c r="E115" s="2"/>
      <c r="F115" s="2"/>
      <c r="G115" s="2"/>
      <c r="H115" s="2"/>
      <c r="I115" s="2">
        <v>59.538899999999998</v>
      </c>
      <c r="J115" s="2">
        <v>343</v>
      </c>
      <c r="K115" s="2">
        <v>59.72</v>
      </c>
      <c r="L115" s="2">
        <v>343</v>
      </c>
      <c r="M115" s="2">
        <v>98.874200000000002</v>
      </c>
      <c r="N115" s="2">
        <v>210</v>
      </c>
      <c r="O115" s="2">
        <v>95.540099999999995</v>
      </c>
      <c r="P115" s="2">
        <v>268</v>
      </c>
      <c r="Q115" s="2">
        <v>88.790400000000005</v>
      </c>
      <c r="R115" s="2">
        <v>2</v>
      </c>
      <c r="S115" s="2">
        <v>91.038300000000007</v>
      </c>
      <c r="T115" s="2">
        <v>13</v>
      </c>
      <c r="U115" s="2">
        <v>0.63530699999999996</v>
      </c>
      <c r="V115" s="2">
        <v>114</v>
      </c>
      <c r="W115" s="2">
        <v>2010</v>
      </c>
    </row>
    <row r="116" spans="1:23" ht="12.3" x14ac:dyDescent="0.4">
      <c r="A116" s="2" t="s">
        <v>38</v>
      </c>
      <c r="B116" s="2"/>
      <c r="C116" s="2"/>
      <c r="D116" s="2"/>
      <c r="E116" s="2"/>
      <c r="F116" s="2"/>
      <c r="G116" s="2"/>
      <c r="H116" s="2"/>
      <c r="I116" s="2">
        <v>67.838700000000003</v>
      </c>
      <c r="J116" s="2">
        <v>142</v>
      </c>
      <c r="K116" s="2">
        <v>66.467600000000004</v>
      </c>
      <c r="L116" s="2">
        <v>212</v>
      </c>
      <c r="M116" s="2">
        <v>105.4006</v>
      </c>
      <c r="N116" s="2">
        <v>93</v>
      </c>
      <c r="O116" s="2">
        <v>107.28189999999999</v>
      </c>
      <c r="P116" s="2">
        <v>70</v>
      </c>
      <c r="Q116" s="2">
        <v>107.9682</v>
      </c>
      <c r="R116" s="2">
        <v>310</v>
      </c>
      <c r="S116" s="2">
        <v>102.3022</v>
      </c>
      <c r="T116" s="2">
        <v>184</v>
      </c>
      <c r="U116" s="2">
        <v>0.63334100000000004</v>
      </c>
      <c r="V116" s="2">
        <v>115</v>
      </c>
      <c r="W116" s="2">
        <v>2010</v>
      </c>
    </row>
    <row r="117" spans="1:23" ht="12.3" x14ac:dyDescent="0.4">
      <c r="A117" s="2" t="s">
        <v>245</v>
      </c>
      <c r="B117" s="2"/>
      <c r="C117" s="2"/>
      <c r="D117" s="2"/>
      <c r="E117" s="2"/>
      <c r="F117" s="2"/>
      <c r="G117" s="2"/>
      <c r="H117" s="2"/>
      <c r="I117" s="2">
        <v>65.071899999999999</v>
      </c>
      <c r="J117" s="2">
        <v>267</v>
      </c>
      <c r="K117" s="2">
        <v>66.380700000000004</v>
      </c>
      <c r="L117" s="2">
        <v>216</v>
      </c>
      <c r="M117" s="2">
        <v>102.65519999999999</v>
      </c>
      <c r="N117" s="2">
        <v>144</v>
      </c>
      <c r="O117" s="2">
        <v>104.7072</v>
      </c>
      <c r="P117" s="2">
        <v>111</v>
      </c>
      <c r="Q117" s="2">
        <v>102.6716</v>
      </c>
      <c r="R117" s="2">
        <v>199</v>
      </c>
      <c r="S117" s="2">
        <v>100.0416</v>
      </c>
      <c r="T117" s="2">
        <v>142</v>
      </c>
      <c r="U117" s="2">
        <v>0.62812699999999999</v>
      </c>
      <c r="V117" s="2">
        <v>116</v>
      </c>
      <c r="W117" s="2">
        <v>2010</v>
      </c>
    </row>
    <row r="118" spans="1:23" ht="12.3" x14ac:dyDescent="0.4">
      <c r="A118" s="2" t="s">
        <v>194</v>
      </c>
      <c r="B118" s="2"/>
      <c r="C118" s="2"/>
      <c r="D118" s="2"/>
      <c r="E118" s="2"/>
      <c r="F118" s="2"/>
      <c r="G118" s="2"/>
      <c r="H118" s="2"/>
      <c r="I118" s="2">
        <v>69.179400000000001</v>
      </c>
      <c r="J118" s="2">
        <v>84</v>
      </c>
      <c r="K118" s="2">
        <v>69.429500000000004</v>
      </c>
      <c r="L118" s="2">
        <v>70</v>
      </c>
      <c r="M118" s="2">
        <v>103.0132</v>
      </c>
      <c r="N118" s="2">
        <v>136</v>
      </c>
      <c r="O118" s="2">
        <v>105.0341</v>
      </c>
      <c r="P118" s="2">
        <v>106</v>
      </c>
      <c r="Q118" s="2">
        <v>98.783600000000007</v>
      </c>
      <c r="R118" s="2">
        <v>124</v>
      </c>
      <c r="S118" s="2">
        <v>100.50839999999999</v>
      </c>
      <c r="T118" s="2">
        <v>149</v>
      </c>
      <c r="U118" s="2">
        <v>0.62398699999999996</v>
      </c>
      <c r="V118" s="2">
        <v>117</v>
      </c>
      <c r="W118" s="2">
        <v>2010</v>
      </c>
    </row>
    <row r="119" spans="1:23" ht="12.3" x14ac:dyDescent="0.4">
      <c r="A119" s="2" t="s">
        <v>253</v>
      </c>
      <c r="B119" s="2"/>
      <c r="C119" s="2"/>
      <c r="D119" s="2"/>
      <c r="E119" s="2"/>
      <c r="F119" s="2"/>
      <c r="G119" s="2"/>
      <c r="H119" s="2"/>
      <c r="I119" s="2">
        <v>66.600399999999993</v>
      </c>
      <c r="J119" s="2">
        <v>213</v>
      </c>
      <c r="K119" s="2">
        <v>66.515500000000003</v>
      </c>
      <c r="L119" s="2">
        <v>211</v>
      </c>
      <c r="M119" s="2">
        <v>108.9277</v>
      </c>
      <c r="N119" s="2">
        <v>42</v>
      </c>
      <c r="O119" s="2">
        <v>107.3229</v>
      </c>
      <c r="P119" s="2">
        <v>68</v>
      </c>
      <c r="Q119" s="2">
        <v>102.58320000000001</v>
      </c>
      <c r="R119" s="2">
        <v>195</v>
      </c>
      <c r="S119" s="2">
        <v>102.97499999999999</v>
      </c>
      <c r="T119" s="2">
        <v>205</v>
      </c>
      <c r="U119" s="2">
        <v>0.61670800000000003</v>
      </c>
      <c r="V119" s="2">
        <v>118</v>
      </c>
      <c r="W119" s="2">
        <v>2010</v>
      </c>
    </row>
    <row r="120" spans="1:23" ht="12.3" x14ac:dyDescent="0.4">
      <c r="A120" s="2" t="s">
        <v>232</v>
      </c>
      <c r="B120" s="2"/>
      <c r="C120" s="2"/>
      <c r="D120" s="2"/>
      <c r="E120" s="2"/>
      <c r="F120" s="2"/>
      <c r="G120" s="2"/>
      <c r="H120" s="2"/>
      <c r="I120" s="2">
        <v>69.256500000000003</v>
      </c>
      <c r="J120" s="2">
        <v>81</v>
      </c>
      <c r="K120" s="2">
        <v>68.423599999999993</v>
      </c>
      <c r="L120" s="2">
        <v>115</v>
      </c>
      <c r="M120" s="2">
        <v>100.39239999999999</v>
      </c>
      <c r="N120" s="2">
        <v>187</v>
      </c>
      <c r="O120" s="2">
        <v>101.7132</v>
      </c>
      <c r="P120" s="2">
        <v>167</v>
      </c>
      <c r="Q120" s="2">
        <v>97.315799999999996</v>
      </c>
      <c r="R120" s="2">
        <v>88</v>
      </c>
      <c r="S120" s="2">
        <v>97.628500000000003</v>
      </c>
      <c r="T120" s="2">
        <v>90</v>
      </c>
      <c r="U120" s="2">
        <v>0.61570599999999998</v>
      </c>
      <c r="V120" s="2">
        <v>119</v>
      </c>
      <c r="W120" s="2">
        <v>2010</v>
      </c>
    </row>
    <row r="121" spans="1:23" ht="12.3" x14ac:dyDescent="0.4">
      <c r="A121" s="2" t="s">
        <v>358</v>
      </c>
      <c r="B121" s="2"/>
      <c r="C121" s="2"/>
      <c r="D121" s="2"/>
      <c r="E121" s="2"/>
      <c r="F121" s="2"/>
      <c r="G121" s="2"/>
      <c r="H121" s="2"/>
      <c r="I121" s="2">
        <v>67.746499999999997</v>
      </c>
      <c r="J121" s="2">
        <v>150</v>
      </c>
      <c r="K121" s="2">
        <v>68.177000000000007</v>
      </c>
      <c r="L121" s="2">
        <v>128</v>
      </c>
      <c r="M121" s="2">
        <v>107.71639999999999</v>
      </c>
      <c r="N121" s="2">
        <v>56</v>
      </c>
      <c r="O121" s="2">
        <v>103.054</v>
      </c>
      <c r="P121" s="2">
        <v>146</v>
      </c>
      <c r="Q121" s="2">
        <v>97.988799999999998</v>
      </c>
      <c r="R121" s="2">
        <v>103</v>
      </c>
      <c r="S121" s="2">
        <v>98.954400000000007</v>
      </c>
      <c r="T121" s="2">
        <v>118</v>
      </c>
      <c r="U121" s="2">
        <v>0.61463400000000001</v>
      </c>
      <c r="V121" s="2">
        <v>120</v>
      </c>
      <c r="W121" s="2">
        <v>2010</v>
      </c>
    </row>
    <row r="122" spans="1:23" ht="12.3" x14ac:dyDescent="0.4">
      <c r="A122" s="2" t="s">
        <v>65</v>
      </c>
      <c r="B122" s="2"/>
      <c r="C122" s="2"/>
      <c r="D122" s="2"/>
      <c r="E122" s="2"/>
      <c r="F122" s="2"/>
      <c r="G122" s="2"/>
      <c r="H122" s="2"/>
      <c r="I122" s="2">
        <v>65.534199999999998</v>
      </c>
      <c r="J122" s="2">
        <v>253</v>
      </c>
      <c r="K122" s="2">
        <v>65.607399999999998</v>
      </c>
      <c r="L122" s="2">
        <v>248</v>
      </c>
      <c r="M122" s="2">
        <v>101.07170000000001</v>
      </c>
      <c r="N122" s="2">
        <v>175</v>
      </c>
      <c r="O122" s="2">
        <v>104.73699999999999</v>
      </c>
      <c r="P122" s="2">
        <v>110</v>
      </c>
      <c r="Q122" s="2">
        <v>103.5844</v>
      </c>
      <c r="R122" s="2">
        <v>232</v>
      </c>
      <c r="S122" s="2">
        <v>100.61879999999999</v>
      </c>
      <c r="T122" s="2">
        <v>154</v>
      </c>
      <c r="U122" s="2">
        <v>0.61332399999999998</v>
      </c>
      <c r="V122" s="2">
        <v>121</v>
      </c>
      <c r="W122" s="2">
        <v>2010</v>
      </c>
    </row>
    <row r="123" spans="1:23" ht="12.3" x14ac:dyDescent="0.4">
      <c r="A123" s="2" t="s">
        <v>68</v>
      </c>
      <c r="B123" s="2"/>
      <c r="C123" s="2"/>
      <c r="D123" s="2"/>
      <c r="E123" s="2"/>
      <c r="F123" s="2"/>
      <c r="G123" s="2"/>
      <c r="H123" s="2"/>
      <c r="I123" s="2">
        <v>65.930400000000006</v>
      </c>
      <c r="J123" s="2">
        <v>241</v>
      </c>
      <c r="K123" s="2">
        <v>66.006</v>
      </c>
      <c r="L123" s="2">
        <v>232</v>
      </c>
      <c r="M123" s="2">
        <v>106.2745</v>
      </c>
      <c r="N123" s="2">
        <v>82</v>
      </c>
      <c r="O123" s="2">
        <v>104.5675</v>
      </c>
      <c r="P123" s="2">
        <v>113</v>
      </c>
      <c r="Q123" s="2">
        <v>99.846800000000002</v>
      </c>
      <c r="R123" s="2">
        <v>138</v>
      </c>
      <c r="S123" s="2">
        <v>100.64149999999999</v>
      </c>
      <c r="T123" s="2">
        <v>155</v>
      </c>
      <c r="U123" s="2">
        <v>0.60828000000000004</v>
      </c>
      <c r="V123" s="2">
        <v>122</v>
      </c>
      <c r="W123" s="2">
        <v>2010</v>
      </c>
    </row>
    <row r="124" spans="1:23" ht="12.3" x14ac:dyDescent="0.4">
      <c r="A124" s="2" t="s">
        <v>243</v>
      </c>
      <c r="B124" s="2"/>
      <c r="C124" s="2"/>
      <c r="D124" s="2"/>
      <c r="E124" s="2"/>
      <c r="F124" s="2"/>
      <c r="G124" s="2"/>
      <c r="H124" s="2"/>
      <c r="I124" s="2">
        <v>69.3476</v>
      </c>
      <c r="J124" s="2">
        <v>80</v>
      </c>
      <c r="K124" s="2">
        <v>70.676299999999998</v>
      </c>
      <c r="L124" s="2">
        <v>39</v>
      </c>
      <c r="M124" s="2">
        <v>99.599500000000006</v>
      </c>
      <c r="N124" s="2">
        <v>199</v>
      </c>
      <c r="O124" s="2">
        <v>100.8352</v>
      </c>
      <c r="P124" s="2">
        <v>181</v>
      </c>
      <c r="Q124" s="2">
        <v>96.400099999999995</v>
      </c>
      <c r="R124" s="2">
        <v>68</v>
      </c>
      <c r="S124" s="2">
        <v>97.061899999999994</v>
      </c>
      <c r="T124" s="2">
        <v>76</v>
      </c>
      <c r="U124" s="2">
        <v>0.60792400000000002</v>
      </c>
      <c r="V124" s="2">
        <v>123</v>
      </c>
      <c r="W124" s="2">
        <v>2010</v>
      </c>
    </row>
    <row r="125" spans="1:23" ht="12.3" x14ac:dyDescent="0.4">
      <c r="A125" s="2" t="s">
        <v>132</v>
      </c>
      <c r="B125" s="2"/>
      <c r="C125" s="2"/>
      <c r="D125" s="2"/>
      <c r="E125" s="2"/>
      <c r="F125" s="2"/>
      <c r="G125" s="2"/>
      <c r="H125" s="2"/>
      <c r="I125" s="2">
        <v>68.340999999999994</v>
      </c>
      <c r="J125" s="2">
        <v>127</v>
      </c>
      <c r="K125" s="2">
        <v>68.933999999999997</v>
      </c>
      <c r="L125" s="2">
        <v>88</v>
      </c>
      <c r="M125" s="2">
        <v>100.21120000000001</v>
      </c>
      <c r="N125" s="2">
        <v>190</v>
      </c>
      <c r="O125" s="2">
        <v>98.382599999999996</v>
      </c>
      <c r="P125" s="2">
        <v>216</v>
      </c>
      <c r="Q125" s="2">
        <v>96.361999999999995</v>
      </c>
      <c r="R125" s="2">
        <v>67</v>
      </c>
      <c r="S125" s="2">
        <v>94.992800000000003</v>
      </c>
      <c r="T125" s="2">
        <v>53</v>
      </c>
      <c r="U125" s="2">
        <v>0.59945999999999999</v>
      </c>
      <c r="V125" s="2">
        <v>124</v>
      </c>
      <c r="W125" s="2">
        <v>2010</v>
      </c>
    </row>
    <row r="126" spans="1:23" ht="12.3" x14ac:dyDescent="0.4">
      <c r="A126" s="2" t="s">
        <v>82</v>
      </c>
      <c r="B126" s="2"/>
      <c r="C126" s="2"/>
      <c r="D126" s="2"/>
      <c r="E126" s="2"/>
      <c r="F126" s="2"/>
      <c r="G126" s="2"/>
      <c r="H126" s="2"/>
      <c r="I126" s="2">
        <v>66.192099999999996</v>
      </c>
      <c r="J126" s="2">
        <v>232</v>
      </c>
      <c r="K126" s="2">
        <v>67.258399999999995</v>
      </c>
      <c r="L126" s="2">
        <v>174</v>
      </c>
      <c r="M126" s="2">
        <v>104.0471</v>
      </c>
      <c r="N126" s="2">
        <v>113</v>
      </c>
      <c r="O126" s="2">
        <v>104.0103</v>
      </c>
      <c r="P126" s="2">
        <v>127</v>
      </c>
      <c r="Q126" s="2">
        <v>101.2406</v>
      </c>
      <c r="R126" s="2">
        <v>170</v>
      </c>
      <c r="S126" s="2">
        <v>100.47880000000001</v>
      </c>
      <c r="T126" s="2">
        <v>148</v>
      </c>
      <c r="U126" s="2">
        <v>0.59802699999999998</v>
      </c>
      <c r="V126" s="2">
        <v>125</v>
      </c>
      <c r="W126" s="2">
        <v>2010</v>
      </c>
    </row>
    <row r="127" spans="1:23" ht="12.3" x14ac:dyDescent="0.4">
      <c r="A127" s="2" t="s">
        <v>220</v>
      </c>
      <c r="B127" s="2">
        <v>16</v>
      </c>
      <c r="C127" s="2"/>
      <c r="D127" s="2"/>
      <c r="E127" s="2"/>
      <c r="F127" s="2"/>
      <c r="G127" s="2"/>
      <c r="H127" s="2"/>
      <c r="I127" s="2">
        <v>67.572500000000005</v>
      </c>
      <c r="J127" s="2">
        <v>162</v>
      </c>
      <c r="K127" s="2">
        <v>67.555400000000006</v>
      </c>
      <c r="L127" s="2">
        <v>157</v>
      </c>
      <c r="M127" s="2">
        <v>104.6583</v>
      </c>
      <c r="N127" s="2">
        <v>99</v>
      </c>
      <c r="O127" s="2">
        <v>103.4121</v>
      </c>
      <c r="P127" s="2">
        <v>139</v>
      </c>
      <c r="Q127" s="2">
        <v>94.596299999999999</v>
      </c>
      <c r="R127" s="2">
        <v>41</v>
      </c>
      <c r="S127" s="2">
        <v>99.943100000000001</v>
      </c>
      <c r="T127" s="2">
        <v>140</v>
      </c>
      <c r="U127" s="2">
        <v>0.59685900000000003</v>
      </c>
      <c r="V127" s="2">
        <v>126</v>
      </c>
      <c r="W127" s="2">
        <v>2010</v>
      </c>
    </row>
    <row r="128" spans="1:23" ht="12.3" x14ac:dyDescent="0.4">
      <c r="A128" s="2" t="s">
        <v>90</v>
      </c>
      <c r="B128" s="2"/>
      <c r="C128" s="2"/>
      <c r="D128" s="2"/>
      <c r="E128" s="2"/>
      <c r="F128" s="2"/>
      <c r="G128" s="2"/>
      <c r="H128" s="2"/>
      <c r="I128" s="2">
        <v>65.898600000000002</v>
      </c>
      <c r="J128" s="2">
        <v>244</v>
      </c>
      <c r="K128" s="2">
        <v>66.774799999999999</v>
      </c>
      <c r="L128" s="2">
        <v>195</v>
      </c>
      <c r="M128" s="2">
        <v>104.39149999999999</v>
      </c>
      <c r="N128" s="2">
        <v>106</v>
      </c>
      <c r="O128" s="2">
        <v>105.8935</v>
      </c>
      <c r="P128" s="2">
        <v>89</v>
      </c>
      <c r="Q128" s="2">
        <v>103.1647</v>
      </c>
      <c r="R128" s="2">
        <v>215</v>
      </c>
      <c r="S128" s="2">
        <v>102.37909999999999</v>
      </c>
      <c r="T128" s="2">
        <v>187</v>
      </c>
      <c r="U128" s="2">
        <v>0.595835</v>
      </c>
      <c r="V128" s="2">
        <v>127</v>
      </c>
      <c r="W128" s="2">
        <v>2010</v>
      </c>
    </row>
    <row r="129" spans="1:23" ht="12.3" x14ac:dyDescent="0.4">
      <c r="A129" s="2" t="s">
        <v>80</v>
      </c>
      <c r="B129" s="2"/>
      <c r="C129" s="2"/>
      <c r="D129" s="2"/>
      <c r="E129" s="2"/>
      <c r="F129" s="2"/>
      <c r="G129" s="2"/>
      <c r="H129" s="2"/>
      <c r="I129" s="2">
        <v>71.519400000000005</v>
      </c>
      <c r="J129" s="2">
        <v>28</v>
      </c>
      <c r="K129" s="2">
        <v>71.669799999999995</v>
      </c>
      <c r="L129" s="2">
        <v>24</v>
      </c>
      <c r="M129" s="2">
        <v>103.0253</v>
      </c>
      <c r="N129" s="2">
        <v>135</v>
      </c>
      <c r="O129" s="2">
        <v>103.0907</v>
      </c>
      <c r="P129" s="2">
        <v>144</v>
      </c>
      <c r="Q129" s="2">
        <v>102.2671</v>
      </c>
      <c r="R129" s="2">
        <v>188</v>
      </c>
      <c r="S129" s="2">
        <v>99.676100000000005</v>
      </c>
      <c r="T129" s="2">
        <v>136</v>
      </c>
      <c r="U129" s="2">
        <v>0.59564600000000001</v>
      </c>
      <c r="V129" s="2">
        <v>128</v>
      </c>
      <c r="W129" s="2">
        <v>2010</v>
      </c>
    </row>
    <row r="130" spans="1:23" ht="12.3" x14ac:dyDescent="0.4">
      <c r="A130" s="2" t="s">
        <v>165</v>
      </c>
      <c r="B130" s="2">
        <v>14</v>
      </c>
      <c r="C130" s="2"/>
      <c r="D130" s="2"/>
      <c r="E130" s="2"/>
      <c r="F130" s="2"/>
      <c r="G130" s="2"/>
      <c r="H130" s="2"/>
      <c r="I130" s="2">
        <v>70.273399999999995</v>
      </c>
      <c r="J130" s="2">
        <v>55</v>
      </c>
      <c r="K130" s="2">
        <v>70.301299999999998</v>
      </c>
      <c r="L130" s="2">
        <v>44</v>
      </c>
      <c r="M130" s="2">
        <v>106.8378</v>
      </c>
      <c r="N130" s="2">
        <v>71</v>
      </c>
      <c r="O130" s="2">
        <v>107.399</v>
      </c>
      <c r="P130" s="2">
        <v>65</v>
      </c>
      <c r="Q130" s="2">
        <v>102.1336</v>
      </c>
      <c r="R130" s="2">
        <v>185</v>
      </c>
      <c r="S130" s="2">
        <v>103.8548</v>
      </c>
      <c r="T130" s="2">
        <v>223</v>
      </c>
      <c r="U130" s="2">
        <v>0.59529699999999997</v>
      </c>
      <c r="V130" s="2">
        <v>129</v>
      </c>
      <c r="W130" s="2">
        <v>2010</v>
      </c>
    </row>
    <row r="131" spans="1:23" ht="12.3" x14ac:dyDescent="0.4">
      <c r="A131" s="2" t="s">
        <v>70</v>
      </c>
      <c r="B131" s="2"/>
      <c r="C131" s="2"/>
      <c r="D131" s="2"/>
      <c r="E131" s="2"/>
      <c r="F131" s="2"/>
      <c r="G131" s="2"/>
      <c r="H131" s="2"/>
      <c r="I131" s="2">
        <v>66.019499999999994</v>
      </c>
      <c r="J131" s="2">
        <v>239</v>
      </c>
      <c r="K131" s="2">
        <v>66.186499999999995</v>
      </c>
      <c r="L131" s="2">
        <v>221</v>
      </c>
      <c r="M131" s="2">
        <v>100.16370000000001</v>
      </c>
      <c r="N131" s="2">
        <v>191</v>
      </c>
      <c r="O131" s="2">
        <v>100.5813</v>
      </c>
      <c r="P131" s="2">
        <v>184</v>
      </c>
      <c r="Q131" s="2">
        <v>99.346999999999994</v>
      </c>
      <c r="R131" s="2">
        <v>131</v>
      </c>
      <c r="S131" s="2">
        <v>97.305400000000006</v>
      </c>
      <c r="T131" s="2">
        <v>81</v>
      </c>
      <c r="U131" s="2">
        <v>0.59406300000000001</v>
      </c>
      <c r="V131" s="2">
        <v>130</v>
      </c>
      <c r="W131" s="2">
        <v>2010</v>
      </c>
    </row>
    <row r="132" spans="1:23" ht="12.3" x14ac:dyDescent="0.4">
      <c r="A132" s="2" t="s">
        <v>244</v>
      </c>
      <c r="B132" s="2"/>
      <c r="C132" s="2"/>
      <c r="D132" s="2"/>
      <c r="E132" s="2"/>
      <c r="F132" s="2"/>
      <c r="G132" s="2"/>
      <c r="H132" s="2"/>
      <c r="I132" s="2">
        <v>70.302499999999995</v>
      </c>
      <c r="J132" s="2">
        <v>54</v>
      </c>
      <c r="K132" s="2">
        <v>70.226900000000001</v>
      </c>
      <c r="L132" s="2">
        <v>49</v>
      </c>
      <c r="M132" s="2">
        <v>103.27330000000001</v>
      </c>
      <c r="N132" s="2">
        <v>131</v>
      </c>
      <c r="O132" s="2">
        <v>102.3845</v>
      </c>
      <c r="P132" s="2">
        <v>154</v>
      </c>
      <c r="Q132" s="2">
        <v>96.327399999999997</v>
      </c>
      <c r="R132" s="2">
        <v>64</v>
      </c>
      <c r="S132" s="2">
        <v>99.078999999999994</v>
      </c>
      <c r="T132" s="2">
        <v>123</v>
      </c>
      <c r="U132" s="2">
        <v>0.59324600000000005</v>
      </c>
      <c r="V132" s="2">
        <v>131</v>
      </c>
      <c r="W132" s="2">
        <v>2010</v>
      </c>
    </row>
    <row r="133" spans="1:23" ht="12.3" x14ac:dyDescent="0.4">
      <c r="A133" s="2" t="s">
        <v>138</v>
      </c>
      <c r="B133" s="2"/>
      <c r="C133" s="2"/>
      <c r="D133" s="2"/>
      <c r="E133" s="2"/>
      <c r="F133" s="2"/>
      <c r="G133" s="2"/>
      <c r="H133" s="2"/>
      <c r="I133" s="2">
        <v>67.562200000000004</v>
      </c>
      <c r="J133" s="2">
        <v>163</v>
      </c>
      <c r="K133" s="2">
        <v>67.241299999999995</v>
      </c>
      <c r="L133" s="2">
        <v>176</v>
      </c>
      <c r="M133" s="2">
        <v>101.7775</v>
      </c>
      <c r="N133" s="2">
        <v>159</v>
      </c>
      <c r="O133" s="2">
        <v>101.1223</v>
      </c>
      <c r="P133" s="2">
        <v>172</v>
      </c>
      <c r="Q133" s="2">
        <v>97.437399999999997</v>
      </c>
      <c r="R133" s="2">
        <v>92</v>
      </c>
      <c r="S133" s="2">
        <v>98.0655</v>
      </c>
      <c r="T133" s="2">
        <v>100</v>
      </c>
      <c r="U133" s="2">
        <v>0.58734299999999995</v>
      </c>
      <c r="V133" s="2">
        <v>132</v>
      </c>
      <c r="W133" s="2">
        <v>2010</v>
      </c>
    </row>
    <row r="134" spans="1:23" ht="12.3" x14ac:dyDescent="0.4">
      <c r="A134" s="2" t="s">
        <v>106</v>
      </c>
      <c r="B134" s="2"/>
      <c r="C134" s="2"/>
      <c r="D134" s="2"/>
      <c r="E134" s="2"/>
      <c r="F134" s="2"/>
      <c r="G134" s="2"/>
      <c r="H134" s="2"/>
      <c r="I134" s="2">
        <v>68.723799999999997</v>
      </c>
      <c r="J134" s="2">
        <v>106</v>
      </c>
      <c r="K134" s="2">
        <v>67.828400000000002</v>
      </c>
      <c r="L134" s="2">
        <v>143</v>
      </c>
      <c r="M134" s="2">
        <v>101.61799999999999</v>
      </c>
      <c r="N134" s="2">
        <v>162</v>
      </c>
      <c r="O134" s="2">
        <v>104.90260000000001</v>
      </c>
      <c r="P134" s="2">
        <v>108</v>
      </c>
      <c r="Q134" s="2">
        <v>102.6183</v>
      </c>
      <c r="R134" s="2">
        <v>197</v>
      </c>
      <c r="S134" s="2">
        <v>101.9192</v>
      </c>
      <c r="T134" s="2">
        <v>173</v>
      </c>
      <c r="U134" s="2">
        <v>0.58219600000000005</v>
      </c>
      <c r="V134" s="2">
        <v>133</v>
      </c>
      <c r="W134" s="2">
        <v>2010</v>
      </c>
    </row>
    <row r="135" spans="1:23" ht="12.3" x14ac:dyDescent="0.4">
      <c r="A135" s="2" t="s">
        <v>157</v>
      </c>
      <c r="B135" s="2"/>
      <c r="C135" s="2"/>
      <c r="D135" s="2"/>
      <c r="E135" s="2"/>
      <c r="F135" s="2"/>
      <c r="G135" s="2"/>
      <c r="H135" s="2"/>
      <c r="I135" s="2">
        <v>66.757099999999994</v>
      </c>
      <c r="J135" s="2">
        <v>202</v>
      </c>
      <c r="K135" s="2">
        <v>67.494500000000002</v>
      </c>
      <c r="L135" s="2">
        <v>161</v>
      </c>
      <c r="M135" s="2">
        <v>98.105800000000002</v>
      </c>
      <c r="N135" s="2">
        <v>229</v>
      </c>
      <c r="O135" s="2">
        <v>100.2298</v>
      </c>
      <c r="P135" s="2">
        <v>189</v>
      </c>
      <c r="Q135" s="2">
        <v>99.649199999999993</v>
      </c>
      <c r="R135" s="2">
        <v>135</v>
      </c>
      <c r="S135" s="2">
        <v>97.402500000000003</v>
      </c>
      <c r="T135" s="2">
        <v>84</v>
      </c>
      <c r="U135" s="2">
        <v>0.58152999999999999</v>
      </c>
      <c r="V135" s="2">
        <v>134</v>
      </c>
      <c r="W135" s="2">
        <v>2010</v>
      </c>
    </row>
    <row r="136" spans="1:23" ht="12.3" x14ac:dyDescent="0.4">
      <c r="A136" s="2" t="s">
        <v>239</v>
      </c>
      <c r="B136" s="2"/>
      <c r="C136" s="2"/>
      <c r="D136" s="2"/>
      <c r="E136" s="2"/>
      <c r="F136" s="2"/>
      <c r="G136" s="2"/>
      <c r="H136" s="2"/>
      <c r="I136" s="2">
        <v>66.8613</v>
      </c>
      <c r="J136" s="2">
        <v>197</v>
      </c>
      <c r="K136" s="2">
        <v>67.563199999999995</v>
      </c>
      <c r="L136" s="2">
        <v>156</v>
      </c>
      <c r="M136" s="2">
        <v>104.9365</v>
      </c>
      <c r="N136" s="2">
        <v>96</v>
      </c>
      <c r="O136" s="2">
        <v>104.42829999999999</v>
      </c>
      <c r="P136" s="2">
        <v>118</v>
      </c>
      <c r="Q136" s="2">
        <v>103.7882</v>
      </c>
      <c r="R136" s="2">
        <v>238</v>
      </c>
      <c r="S136" s="2">
        <v>101.4832</v>
      </c>
      <c r="T136" s="2">
        <v>169</v>
      </c>
      <c r="U136" s="2">
        <v>0.58151200000000003</v>
      </c>
      <c r="V136" s="2">
        <v>135</v>
      </c>
      <c r="W136" s="2">
        <v>2010</v>
      </c>
    </row>
    <row r="137" spans="1:23" ht="12.3" x14ac:dyDescent="0.4">
      <c r="A137" s="2" t="s">
        <v>122</v>
      </c>
      <c r="B137" s="2"/>
      <c r="C137" s="2"/>
      <c r="D137" s="2"/>
      <c r="E137" s="2"/>
      <c r="F137" s="2"/>
      <c r="G137" s="2"/>
      <c r="H137" s="2"/>
      <c r="I137" s="2">
        <v>66.7727</v>
      </c>
      <c r="J137" s="2">
        <v>201</v>
      </c>
      <c r="K137" s="2">
        <v>67.496200000000002</v>
      </c>
      <c r="L137" s="2">
        <v>160</v>
      </c>
      <c r="M137" s="2">
        <v>102.9944</v>
      </c>
      <c r="N137" s="2">
        <v>137</v>
      </c>
      <c r="O137" s="2">
        <v>103.9509</v>
      </c>
      <c r="P137" s="2">
        <v>128</v>
      </c>
      <c r="Q137" s="2">
        <v>101.8912</v>
      </c>
      <c r="R137" s="2">
        <v>181</v>
      </c>
      <c r="S137" s="2">
        <v>101.0454</v>
      </c>
      <c r="T137" s="2">
        <v>164</v>
      </c>
      <c r="U137" s="2">
        <v>0.58078600000000002</v>
      </c>
      <c r="V137" s="2">
        <v>136</v>
      </c>
      <c r="W137" s="2">
        <v>2010</v>
      </c>
    </row>
    <row r="138" spans="1:23" ht="12.3" x14ac:dyDescent="0.4">
      <c r="A138" s="2" t="s">
        <v>203</v>
      </c>
      <c r="B138" s="2"/>
      <c r="C138" s="2"/>
      <c r="D138" s="2"/>
      <c r="E138" s="2"/>
      <c r="F138" s="2"/>
      <c r="G138" s="2"/>
      <c r="H138" s="2"/>
      <c r="I138" s="2">
        <v>69.756500000000003</v>
      </c>
      <c r="J138" s="2">
        <v>73</v>
      </c>
      <c r="K138" s="2">
        <v>70.206500000000005</v>
      </c>
      <c r="L138" s="2">
        <v>50</v>
      </c>
      <c r="M138" s="2">
        <v>101.3069</v>
      </c>
      <c r="N138" s="2">
        <v>167</v>
      </c>
      <c r="O138" s="2">
        <v>100.2433</v>
      </c>
      <c r="P138" s="2">
        <v>188</v>
      </c>
      <c r="Q138" s="2">
        <v>95.519199999999998</v>
      </c>
      <c r="R138" s="2">
        <v>48</v>
      </c>
      <c r="S138" s="2">
        <v>97.595699999999994</v>
      </c>
      <c r="T138" s="2">
        <v>88</v>
      </c>
      <c r="U138" s="2">
        <v>0.57635199999999998</v>
      </c>
      <c r="V138" s="2">
        <v>137</v>
      </c>
      <c r="W138" s="2">
        <v>2010</v>
      </c>
    </row>
    <row r="139" spans="1:23" ht="12.3" x14ac:dyDescent="0.4">
      <c r="A139" s="2" t="s">
        <v>167</v>
      </c>
      <c r="B139" s="2"/>
      <c r="C139" s="2"/>
      <c r="D139" s="2"/>
      <c r="E139" s="2"/>
      <c r="F139" s="2"/>
      <c r="G139" s="2"/>
      <c r="H139" s="2"/>
      <c r="I139" s="2">
        <v>61.192599999999999</v>
      </c>
      <c r="J139" s="2">
        <v>338</v>
      </c>
      <c r="K139" s="2">
        <v>60.792400000000001</v>
      </c>
      <c r="L139" s="2">
        <v>337</v>
      </c>
      <c r="M139" s="2">
        <v>100.72</v>
      </c>
      <c r="N139" s="2">
        <v>182</v>
      </c>
      <c r="O139" s="2">
        <v>102.0885</v>
      </c>
      <c r="P139" s="2">
        <v>158</v>
      </c>
      <c r="Q139" s="2">
        <v>102.3951</v>
      </c>
      <c r="R139" s="2">
        <v>190</v>
      </c>
      <c r="S139" s="2">
        <v>99.435699999999997</v>
      </c>
      <c r="T139" s="2">
        <v>130</v>
      </c>
      <c r="U139" s="2">
        <v>0.57512200000000002</v>
      </c>
      <c r="V139" s="2">
        <v>138</v>
      </c>
      <c r="W139" s="2">
        <v>2010</v>
      </c>
    </row>
    <row r="140" spans="1:23" ht="12.3" x14ac:dyDescent="0.4">
      <c r="A140" s="2" t="s">
        <v>250</v>
      </c>
      <c r="B140" s="2"/>
      <c r="C140" s="2"/>
      <c r="D140" s="2"/>
      <c r="E140" s="2"/>
      <c r="F140" s="2"/>
      <c r="G140" s="2"/>
      <c r="H140" s="2"/>
      <c r="I140" s="2">
        <v>70.102199999999996</v>
      </c>
      <c r="J140" s="2">
        <v>62</v>
      </c>
      <c r="K140" s="2">
        <v>71.474299999999999</v>
      </c>
      <c r="L140" s="2">
        <v>26</v>
      </c>
      <c r="M140" s="2">
        <v>97.637200000000007</v>
      </c>
      <c r="N140" s="2">
        <v>236</v>
      </c>
      <c r="O140" s="2">
        <v>101.834</v>
      </c>
      <c r="P140" s="2">
        <v>165</v>
      </c>
      <c r="Q140" s="2">
        <v>99.143000000000001</v>
      </c>
      <c r="R140" s="2">
        <v>127</v>
      </c>
      <c r="S140" s="2">
        <v>99.309399999999997</v>
      </c>
      <c r="T140" s="2">
        <v>128</v>
      </c>
      <c r="U140" s="2">
        <v>0.57167400000000002</v>
      </c>
      <c r="V140" s="2">
        <v>139</v>
      </c>
      <c r="W140" s="2">
        <v>2010</v>
      </c>
    </row>
    <row r="141" spans="1:23" ht="12.3" x14ac:dyDescent="0.4">
      <c r="A141" s="2" t="s">
        <v>162</v>
      </c>
      <c r="B141" s="2"/>
      <c r="C141" s="2"/>
      <c r="D141" s="2"/>
      <c r="E141" s="2"/>
      <c r="F141" s="2"/>
      <c r="G141" s="2"/>
      <c r="H141" s="2"/>
      <c r="I141" s="2">
        <v>66.367599999999996</v>
      </c>
      <c r="J141" s="2">
        <v>226</v>
      </c>
      <c r="K141" s="2">
        <v>67.037199999999999</v>
      </c>
      <c r="L141" s="2">
        <v>186</v>
      </c>
      <c r="M141" s="2">
        <v>103.9765</v>
      </c>
      <c r="N141" s="2">
        <v>117</v>
      </c>
      <c r="O141" s="2">
        <v>105.7936</v>
      </c>
      <c r="P141" s="2">
        <v>96</v>
      </c>
      <c r="Q141" s="2">
        <v>100.9662</v>
      </c>
      <c r="R141" s="2">
        <v>162</v>
      </c>
      <c r="S141" s="2">
        <v>103.1747</v>
      </c>
      <c r="T141" s="2">
        <v>210</v>
      </c>
      <c r="U141" s="2">
        <v>0.57156899999999999</v>
      </c>
      <c r="V141" s="2">
        <v>140</v>
      </c>
      <c r="W141" s="2">
        <v>2010</v>
      </c>
    </row>
    <row r="142" spans="1:23" ht="12.3" x14ac:dyDescent="0.4">
      <c r="A142" s="2" t="s">
        <v>41</v>
      </c>
      <c r="B142" s="2"/>
      <c r="C142" s="2"/>
      <c r="D142" s="2"/>
      <c r="E142" s="2"/>
      <c r="F142" s="2"/>
      <c r="G142" s="2"/>
      <c r="H142" s="2"/>
      <c r="I142" s="2">
        <v>67.217200000000005</v>
      </c>
      <c r="J142" s="2">
        <v>183</v>
      </c>
      <c r="K142" s="2">
        <v>67.214100000000002</v>
      </c>
      <c r="L142" s="2">
        <v>177</v>
      </c>
      <c r="M142" s="2">
        <v>102.3212</v>
      </c>
      <c r="N142" s="2">
        <v>148</v>
      </c>
      <c r="O142" s="2">
        <v>103.39019999999999</v>
      </c>
      <c r="P142" s="2">
        <v>140</v>
      </c>
      <c r="Q142" s="2">
        <v>102.9006</v>
      </c>
      <c r="R142" s="2">
        <v>209</v>
      </c>
      <c r="S142" s="2">
        <v>100.849</v>
      </c>
      <c r="T142" s="2">
        <v>158</v>
      </c>
      <c r="U142" s="2">
        <v>0.57106100000000004</v>
      </c>
      <c r="V142" s="2">
        <v>141</v>
      </c>
      <c r="W142" s="2">
        <v>2010</v>
      </c>
    </row>
    <row r="143" spans="1:23" ht="12.3" x14ac:dyDescent="0.4">
      <c r="A143" s="2" t="s">
        <v>108</v>
      </c>
      <c r="B143" s="2">
        <v>16</v>
      </c>
      <c r="C143" s="2"/>
      <c r="D143" s="2"/>
      <c r="E143" s="2"/>
      <c r="F143" s="2"/>
      <c r="G143" s="2"/>
      <c r="H143" s="2"/>
      <c r="I143" s="2">
        <v>68.687899999999999</v>
      </c>
      <c r="J143" s="2">
        <v>108</v>
      </c>
      <c r="K143" s="2">
        <v>67.997100000000003</v>
      </c>
      <c r="L143" s="2">
        <v>133</v>
      </c>
      <c r="M143" s="2">
        <v>100.09139999999999</v>
      </c>
      <c r="N143" s="2">
        <v>192</v>
      </c>
      <c r="O143" s="2">
        <v>98.995699999999999</v>
      </c>
      <c r="P143" s="2">
        <v>201</v>
      </c>
      <c r="Q143" s="2">
        <v>95.938000000000002</v>
      </c>
      <c r="R143" s="2">
        <v>57</v>
      </c>
      <c r="S143" s="2">
        <v>96.663600000000002</v>
      </c>
      <c r="T143" s="2">
        <v>73</v>
      </c>
      <c r="U143" s="2">
        <v>0.56811500000000004</v>
      </c>
      <c r="V143" s="2">
        <v>142</v>
      </c>
      <c r="W143" s="2">
        <v>2010</v>
      </c>
    </row>
    <row r="144" spans="1:23" ht="12.3" x14ac:dyDescent="0.4">
      <c r="A144" s="2" t="s">
        <v>267</v>
      </c>
      <c r="B144" s="2"/>
      <c r="C144" s="2"/>
      <c r="D144" s="2"/>
      <c r="E144" s="2"/>
      <c r="F144" s="2"/>
      <c r="G144" s="2"/>
      <c r="H144" s="2"/>
      <c r="I144" s="2">
        <v>63.847200000000001</v>
      </c>
      <c r="J144" s="2">
        <v>304</v>
      </c>
      <c r="K144" s="2">
        <v>65.538499999999999</v>
      </c>
      <c r="L144" s="2">
        <v>250</v>
      </c>
      <c r="M144" s="2">
        <v>100.89879999999999</v>
      </c>
      <c r="N144" s="2">
        <v>179</v>
      </c>
      <c r="O144" s="2">
        <v>102.8877</v>
      </c>
      <c r="P144" s="2">
        <v>148</v>
      </c>
      <c r="Q144" s="2">
        <v>102.62909999999999</v>
      </c>
      <c r="R144" s="2">
        <v>198</v>
      </c>
      <c r="S144" s="2">
        <v>100.59610000000001</v>
      </c>
      <c r="T144" s="2">
        <v>153</v>
      </c>
      <c r="U144" s="2">
        <v>0.56439799999999996</v>
      </c>
      <c r="V144" s="2">
        <v>143</v>
      </c>
      <c r="W144" s="2">
        <v>2010</v>
      </c>
    </row>
    <row r="145" spans="1:23" ht="12.3" x14ac:dyDescent="0.4">
      <c r="A145" s="2" t="s">
        <v>214</v>
      </c>
      <c r="B145" s="2"/>
      <c r="C145" s="2"/>
      <c r="D145" s="2"/>
      <c r="E145" s="2"/>
      <c r="F145" s="2"/>
      <c r="G145" s="2"/>
      <c r="H145" s="2"/>
      <c r="I145" s="2">
        <v>69.106899999999996</v>
      </c>
      <c r="J145" s="2">
        <v>88</v>
      </c>
      <c r="K145" s="2">
        <v>68.989000000000004</v>
      </c>
      <c r="L145" s="2">
        <v>86</v>
      </c>
      <c r="M145" s="2">
        <v>101.312</v>
      </c>
      <c r="N145" s="2">
        <v>166</v>
      </c>
      <c r="O145" s="2">
        <v>100.87130000000001</v>
      </c>
      <c r="P145" s="2">
        <v>180</v>
      </c>
      <c r="Q145" s="2">
        <v>97.551000000000002</v>
      </c>
      <c r="R145" s="2">
        <v>94</v>
      </c>
      <c r="S145" s="2">
        <v>98.749399999999994</v>
      </c>
      <c r="T145" s="2">
        <v>114</v>
      </c>
      <c r="U145" s="2">
        <v>0.56081899999999996</v>
      </c>
      <c r="V145" s="2">
        <v>144</v>
      </c>
      <c r="W145" s="2">
        <v>2010</v>
      </c>
    </row>
    <row r="146" spans="1:23" ht="12.3" x14ac:dyDescent="0.4">
      <c r="A146" s="2" t="s">
        <v>304</v>
      </c>
      <c r="B146" s="2"/>
      <c r="C146" s="2"/>
      <c r="D146" s="2"/>
      <c r="E146" s="2"/>
      <c r="F146" s="2"/>
      <c r="G146" s="2"/>
      <c r="H146" s="2"/>
      <c r="I146" s="2">
        <v>67.785899999999998</v>
      </c>
      <c r="J146" s="2">
        <v>147</v>
      </c>
      <c r="K146" s="2">
        <v>65.997600000000006</v>
      </c>
      <c r="L146" s="2">
        <v>233</v>
      </c>
      <c r="M146" s="2">
        <v>103.9933</v>
      </c>
      <c r="N146" s="2">
        <v>116</v>
      </c>
      <c r="O146" s="2">
        <v>104.1028</v>
      </c>
      <c r="P146" s="2">
        <v>125</v>
      </c>
      <c r="Q146" s="2">
        <v>104.3793</v>
      </c>
      <c r="R146" s="2">
        <v>253</v>
      </c>
      <c r="S146" s="2">
        <v>101.9828</v>
      </c>
      <c r="T146" s="2">
        <v>176</v>
      </c>
      <c r="U146" s="2">
        <v>0.55887600000000004</v>
      </c>
      <c r="V146" s="2">
        <v>145</v>
      </c>
      <c r="W146" s="2">
        <v>2010</v>
      </c>
    </row>
    <row r="147" spans="1:23" ht="12.3" x14ac:dyDescent="0.4">
      <c r="A147" s="2" t="s">
        <v>123</v>
      </c>
      <c r="B147" s="2"/>
      <c r="C147" s="2"/>
      <c r="D147" s="2"/>
      <c r="E147" s="2"/>
      <c r="F147" s="2"/>
      <c r="G147" s="2"/>
      <c r="H147" s="2"/>
      <c r="I147" s="2">
        <v>68.303200000000004</v>
      </c>
      <c r="J147" s="2">
        <v>128</v>
      </c>
      <c r="K147" s="2">
        <v>68.534400000000005</v>
      </c>
      <c r="L147" s="2">
        <v>108</v>
      </c>
      <c r="M147" s="2">
        <v>98.360799999999998</v>
      </c>
      <c r="N147" s="2">
        <v>220</v>
      </c>
      <c r="O147" s="2">
        <v>102.9473</v>
      </c>
      <c r="P147" s="2">
        <v>147</v>
      </c>
      <c r="Q147" s="2">
        <v>105.1181</v>
      </c>
      <c r="R147" s="2">
        <v>264</v>
      </c>
      <c r="S147" s="2">
        <v>100.9284</v>
      </c>
      <c r="T147" s="2">
        <v>160</v>
      </c>
      <c r="U147" s="2">
        <v>0.556697</v>
      </c>
      <c r="V147" s="2">
        <v>146</v>
      </c>
      <c r="W147" s="2">
        <v>2010</v>
      </c>
    </row>
    <row r="148" spans="1:23" ht="12.3" x14ac:dyDescent="0.4">
      <c r="A148" s="2" t="s">
        <v>104</v>
      </c>
      <c r="B148" s="2">
        <v>15</v>
      </c>
      <c r="C148" s="2"/>
      <c r="D148" s="2"/>
      <c r="E148" s="2"/>
      <c r="F148" s="2"/>
      <c r="G148" s="2"/>
      <c r="H148" s="2"/>
      <c r="I148" s="2">
        <v>67.402100000000004</v>
      </c>
      <c r="J148" s="2">
        <v>174</v>
      </c>
      <c r="K148" s="2">
        <v>67.565600000000003</v>
      </c>
      <c r="L148" s="2">
        <v>154</v>
      </c>
      <c r="M148" s="2">
        <v>99.888000000000005</v>
      </c>
      <c r="N148" s="2">
        <v>194</v>
      </c>
      <c r="O148" s="2">
        <v>98.7179</v>
      </c>
      <c r="P148" s="2">
        <v>209</v>
      </c>
      <c r="Q148" s="2">
        <v>97.496300000000005</v>
      </c>
      <c r="R148" s="2">
        <v>93</v>
      </c>
      <c r="S148" s="2">
        <v>96.862399999999994</v>
      </c>
      <c r="T148" s="2">
        <v>74</v>
      </c>
      <c r="U148" s="2">
        <v>0.554338</v>
      </c>
      <c r="V148" s="2">
        <v>147</v>
      </c>
      <c r="W148" s="2">
        <v>2010</v>
      </c>
    </row>
    <row r="149" spans="1:23" ht="12.3" x14ac:dyDescent="0.4">
      <c r="A149" s="2" t="s">
        <v>334</v>
      </c>
      <c r="B149" s="2"/>
      <c r="C149" s="2"/>
      <c r="D149" s="2"/>
      <c r="E149" s="2"/>
      <c r="F149" s="2"/>
      <c r="G149" s="2"/>
      <c r="H149" s="2"/>
      <c r="I149" s="2">
        <v>66.963700000000003</v>
      </c>
      <c r="J149" s="2">
        <v>189</v>
      </c>
      <c r="K149" s="2">
        <v>64.4542</v>
      </c>
      <c r="L149" s="2">
        <v>286</v>
      </c>
      <c r="M149" s="2">
        <v>107.2855</v>
      </c>
      <c r="N149" s="2">
        <v>59</v>
      </c>
      <c r="O149" s="2">
        <v>99.829099999999997</v>
      </c>
      <c r="P149" s="2">
        <v>192</v>
      </c>
      <c r="Q149" s="2">
        <v>91.796000000000006</v>
      </c>
      <c r="R149" s="2">
        <v>17</v>
      </c>
      <c r="S149" s="2">
        <v>98.023899999999998</v>
      </c>
      <c r="T149" s="2">
        <v>97</v>
      </c>
      <c r="U149" s="2">
        <v>0.55227300000000001</v>
      </c>
      <c r="V149" s="2">
        <v>148</v>
      </c>
      <c r="W149" s="2">
        <v>2010</v>
      </c>
    </row>
    <row r="150" spans="1:23" ht="12.3" x14ac:dyDescent="0.4">
      <c r="A150" s="2" t="s">
        <v>210</v>
      </c>
      <c r="B150" s="2"/>
      <c r="C150" s="2"/>
      <c r="D150" s="2"/>
      <c r="E150" s="2"/>
      <c r="F150" s="2"/>
      <c r="G150" s="2"/>
      <c r="H150" s="2"/>
      <c r="I150" s="2">
        <v>65.171700000000001</v>
      </c>
      <c r="J150" s="2">
        <v>264</v>
      </c>
      <c r="K150" s="2">
        <v>65.471199999999996</v>
      </c>
      <c r="L150" s="2">
        <v>254</v>
      </c>
      <c r="M150" s="2">
        <v>97.747699999999995</v>
      </c>
      <c r="N150" s="2">
        <v>233</v>
      </c>
      <c r="O150" s="2">
        <v>98.858199999999997</v>
      </c>
      <c r="P150" s="2">
        <v>205</v>
      </c>
      <c r="Q150" s="2">
        <v>97.6999</v>
      </c>
      <c r="R150" s="2">
        <v>97</v>
      </c>
      <c r="S150" s="2">
        <v>97.145799999999994</v>
      </c>
      <c r="T150" s="2">
        <v>78</v>
      </c>
      <c r="U150" s="2">
        <v>0.550068</v>
      </c>
      <c r="V150" s="2">
        <v>149</v>
      </c>
      <c r="W150" s="2">
        <v>2010</v>
      </c>
    </row>
    <row r="151" spans="1:23" ht="12.3" x14ac:dyDescent="0.4">
      <c r="A151" s="2" t="s">
        <v>140</v>
      </c>
      <c r="B151" s="2"/>
      <c r="C151" s="2"/>
      <c r="D151" s="2"/>
      <c r="E151" s="2"/>
      <c r="F151" s="2"/>
      <c r="G151" s="2"/>
      <c r="H151" s="2"/>
      <c r="I151" s="2">
        <v>62.962899999999998</v>
      </c>
      <c r="J151" s="2">
        <v>318</v>
      </c>
      <c r="K151" s="2">
        <v>61.993499999999997</v>
      </c>
      <c r="L151" s="2">
        <v>328</v>
      </c>
      <c r="M151" s="2">
        <v>104.0248</v>
      </c>
      <c r="N151" s="2">
        <v>114</v>
      </c>
      <c r="O151" s="2">
        <v>103.92</v>
      </c>
      <c r="P151" s="2">
        <v>130</v>
      </c>
      <c r="Q151" s="2">
        <v>102.9898</v>
      </c>
      <c r="R151" s="2">
        <v>210</v>
      </c>
      <c r="S151" s="2">
        <v>102.44410000000001</v>
      </c>
      <c r="T151" s="2">
        <v>190</v>
      </c>
      <c r="U151" s="2">
        <v>0.54103199999999996</v>
      </c>
      <c r="V151" s="2">
        <v>150</v>
      </c>
      <c r="W151" s="2">
        <v>2010</v>
      </c>
    </row>
    <row r="152" spans="1:23" ht="12.3" x14ac:dyDescent="0.4">
      <c r="A152" s="2" t="s">
        <v>213</v>
      </c>
      <c r="B152" s="2"/>
      <c r="C152" s="2"/>
      <c r="D152" s="2"/>
      <c r="E152" s="2"/>
      <c r="F152" s="2"/>
      <c r="G152" s="2"/>
      <c r="H152" s="2"/>
      <c r="I152" s="2">
        <v>68.7774</v>
      </c>
      <c r="J152" s="2">
        <v>101</v>
      </c>
      <c r="K152" s="2">
        <v>69.519599999999997</v>
      </c>
      <c r="L152" s="2">
        <v>66</v>
      </c>
      <c r="M152" s="2">
        <v>103.8103</v>
      </c>
      <c r="N152" s="2">
        <v>119</v>
      </c>
      <c r="O152" s="2">
        <v>105.6555</v>
      </c>
      <c r="P152" s="2">
        <v>98</v>
      </c>
      <c r="Q152" s="2">
        <v>102.6992</v>
      </c>
      <c r="R152" s="2">
        <v>200</v>
      </c>
      <c r="S152" s="2">
        <v>104.1944</v>
      </c>
      <c r="T152" s="2">
        <v>228</v>
      </c>
      <c r="U152" s="2">
        <v>0.53995099999999996</v>
      </c>
      <c r="V152" s="2">
        <v>151</v>
      </c>
      <c r="W152" s="2">
        <v>2010</v>
      </c>
    </row>
    <row r="153" spans="1:23" ht="12.3" x14ac:dyDescent="0.4">
      <c r="A153" s="2" t="s">
        <v>282</v>
      </c>
      <c r="B153" s="2"/>
      <c r="C153" s="2"/>
      <c r="D153" s="2"/>
      <c r="E153" s="2"/>
      <c r="F153" s="2"/>
      <c r="G153" s="2"/>
      <c r="H153" s="2"/>
      <c r="I153" s="2">
        <v>61.518599999999999</v>
      </c>
      <c r="J153" s="2">
        <v>335</v>
      </c>
      <c r="K153" s="2">
        <v>60.116</v>
      </c>
      <c r="L153" s="2">
        <v>341</v>
      </c>
      <c r="M153" s="2">
        <v>104.5842</v>
      </c>
      <c r="N153" s="2">
        <v>100</v>
      </c>
      <c r="O153" s="2">
        <v>100.9264</v>
      </c>
      <c r="P153" s="2">
        <v>178</v>
      </c>
      <c r="Q153" s="2">
        <v>96.402299999999997</v>
      </c>
      <c r="R153" s="2">
        <v>69</v>
      </c>
      <c r="S153" s="2">
        <v>99.545599999999993</v>
      </c>
      <c r="T153" s="2">
        <v>132</v>
      </c>
      <c r="U153" s="2">
        <v>0.53952299999999997</v>
      </c>
      <c r="V153" s="2">
        <v>152</v>
      </c>
      <c r="W153" s="2">
        <v>2010</v>
      </c>
    </row>
    <row r="154" spans="1:23" ht="12.3" x14ac:dyDescent="0.4">
      <c r="A154" s="2" t="s">
        <v>345</v>
      </c>
      <c r="B154" s="2">
        <v>15</v>
      </c>
      <c r="C154" s="2"/>
      <c r="D154" s="2"/>
      <c r="E154" s="2"/>
      <c r="F154" s="2"/>
      <c r="G154" s="2"/>
      <c r="H154" s="2"/>
      <c r="I154" s="2">
        <v>70.104399999999998</v>
      </c>
      <c r="J154" s="2">
        <v>61</v>
      </c>
      <c r="K154" s="2">
        <v>69.816299999999998</v>
      </c>
      <c r="L154" s="2">
        <v>60</v>
      </c>
      <c r="M154" s="2">
        <v>107.9646</v>
      </c>
      <c r="N154" s="2">
        <v>53</v>
      </c>
      <c r="O154" s="2">
        <v>103.8837</v>
      </c>
      <c r="P154" s="2">
        <v>133</v>
      </c>
      <c r="Q154" s="2">
        <v>98.597399999999993</v>
      </c>
      <c r="R154" s="2">
        <v>118</v>
      </c>
      <c r="S154" s="2">
        <v>102.4671</v>
      </c>
      <c r="T154" s="2">
        <v>191</v>
      </c>
      <c r="U154" s="2">
        <v>0.53939499999999996</v>
      </c>
      <c r="V154" s="2">
        <v>153</v>
      </c>
      <c r="W154" s="2">
        <v>2010</v>
      </c>
    </row>
    <row r="155" spans="1:23" ht="12.3" x14ac:dyDescent="0.4">
      <c r="A155" s="2" t="s">
        <v>376</v>
      </c>
      <c r="B155" s="2"/>
      <c r="C155" s="2"/>
      <c r="D155" s="2"/>
      <c r="E155" s="2"/>
      <c r="F155" s="2"/>
      <c r="G155" s="2"/>
      <c r="H155" s="2"/>
      <c r="I155" s="2">
        <v>79.620999999999995</v>
      </c>
      <c r="J155" s="2">
        <v>2</v>
      </c>
      <c r="K155" s="2">
        <v>79.492599999999996</v>
      </c>
      <c r="L155" s="2">
        <v>2</v>
      </c>
      <c r="M155" s="2">
        <v>101.0117</v>
      </c>
      <c r="N155" s="2">
        <v>177</v>
      </c>
      <c r="O155" s="2">
        <v>99.962400000000002</v>
      </c>
      <c r="P155" s="2">
        <v>191</v>
      </c>
      <c r="Q155" s="2">
        <v>99.987399999999994</v>
      </c>
      <c r="R155" s="2">
        <v>143</v>
      </c>
      <c r="S155" s="2">
        <v>98.813599999999994</v>
      </c>
      <c r="T155" s="2">
        <v>115</v>
      </c>
      <c r="U155" s="2">
        <v>0.53318200000000004</v>
      </c>
      <c r="V155" s="2">
        <v>154</v>
      </c>
      <c r="W155" s="2">
        <v>2010</v>
      </c>
    </row>
    <row r="156" spans="1:23" ht="12.3" x14ac:dyDescent="0.4">
      <c r="A156" s="2" t="s">
        <v>149</v>
      </c>
      <c r="B156" s="2"/>
      <c r="C156" s="2"/>
      <c r="D156" s="2"/>
      <c r="E156" s="2"/>
      <c r="F156" s="2"/>
      <c r="G156" s="2"/>
      <c r="H156" s="2"/>
      <c r="I156" s="2">
        <v>63.114100000000001</v>
      </c>
      <c r="J156" s="2">
        <v>316</v>
      </c>
      <c r="K156" s="2">
        <v>61.883600000000001</v>
      </c>
      <c r="L156" s="2">
        <v>330</v>
      </c>
      <c r="M156" s="2">
        <v>94.736000000000004</v>
      </c>
      <c r="N156" s="2">
        <v>282</v>
      </c>
      <c r="O156" s="2">
        <v>96.800399999999996</v>
      </c>
      <c r="P156" s="2">
        <v>246</v>
      </c>
      <c r="Q156" s="2">
        <v>96.712999999999994</v>
      </c>
      <c r="R156" s="2">
        <v>74</v>
      </c>
      <c r="S156" s="2">
        <v>95.737300000000005</v>
      </c>
      <c r="T156" s="2">
        <v>62</v>
      </c>
      <c r="U156" s="2">
        <v>0.53170700000000004</v>
      </c>
      <c r="V156" s="2">
        <v>155</v>
      </c>
      <c r="W156" s="2">
        <v>2010</v>
      </c>
    </row>
    <row r="157" spans="1:23" ht="12.3" x14ac:dyDescent="0.4">
      <c r="A157" s="2" t="s">
        <v>236</v>
      </c>
      <c r="B157" s="2"/>
      <c r="C157" s="2"/>
      <c r="D157" s="2"/>
      <c r="E157" s="2"/>
      <c r="F157" s="2"/>
      <c r="G157" s="2"/>
      <c r="H157" s="2"/>
      <c r="I157" s="2">
        <v>64.837599999999995</v>
      </c>
      <c r="J157" s="2">
        <v>278</v>
      </c>
      <c r="K157" s="2">
        <v>64.932500000000005</v>
      </c>
      <c r="L157" s="2">
        <v>274</v>
      </c>
      <c r="M157" s="2">
        <v>104.4132</v>
      </c>
      <c r="N157" s="2">
        <v>105</v>
      </c>
      <c r="O157" s="2">
        <v>104.2991</v>
      </c>
      <c r="P157" s="2">
        <v>122</v>
      </c>
      <c r="Q157" s="2">
        <v>103.41459999999999</v>
      </c>
      <c r="R157" s="2">
        <v>225</v>
      </c>
      <c r="S157" s="2">
        <v>103.2152</v>
      </c>
      <c r="T157" s="2">
        <v>211</v>
      </c>
      <c r="U157" s="2">
        <v>0.52999700000000005</v>
      </c>
      <c r="V157" s="2">
        <v>156</v>
      </c>
      <c r="W157" s="2">
        <v>2010</v>
      </c>
    </row>
    <row r="158" spans="1:23" ht="12.3" x14ac:dyDescent="0.4">
      <c r="A158" s="2" t="s">
        <v>188</v>
      </c>
      <c r="B158" s="2"/>
      <c r="C158" s="2"/>
      <c r="D158" s="2"/>
      <c r="E158" s="2"/>
      <c r="F158" s="2"/>
      <c r="G158" s="2"/>
      <c r="H158" s="2"/>
      <c r="I158" s="2">
        <v>69.919399999999996</v>
      </c>
      <c r="J158" s="2">
        <v>67</v>
      </c>
      <c r="K158" s="2">
        <v>70.7547</v>
      </c>
      <c r="L158" s="2">
        <v>35</v>
      </c>
      <c r="M158" s="2">
        <v>98.624799999999993</v>
      </c>
      <c r="N158" s="2">
        <v>217</v>
      </c>
      <c r="O158" s="2">
        <v>98.513599999999997</v>
      </c>
      <c r="P158" s="2">
        <v>213</v>
      </c>
      <c r="Q158" s="2">
        <v>101.0043</v>
      </c>
      <c r="R158" s="2">
        <v>165</v>
      </c>
      <c r="S158" s="2">
        <v>97.524900000000002</v>
      </c>
      <c r="T158" s="2">
        <v>87</v>
      </c>
      <c r="U158" s="2">
        <v>0.52896900000000002</v>
      </c>
      <c r="V158" s="2">
        <v>157</v>
      </c>
      <c r="W158" s="2">
        <v>2010</v>
      </c>
    </row>
    <row r="159" spans="1:23" ht="12.3" x14ac:dyDescent="0.4">
      <c r="A159" s="2" t="s">
        <v>147</v>
      </c>
      <c r="B159" s="2"/>
      <c r="C159" s="2"/>
      <c r="D159" s="2"/>
      <c r="E159" s="2"/>
      <c r="F159" s="2"/>
      <c r="G159" s="2"/>
      <c r="H159" s="2"/>
      <c r="I159" s="2">
        <v>66.147499999999994</v>
      </c>
      <c r="J159" s="2">
        <v>233</v>
      </c>
      <c r="K159" s="2">
        <v>65.625100000000003</v>
      </c>
      <c r="L159" s="2">
        <v>247</v>
      </c>
      <c r="M159" s="2">
        <v>99.292500000000004</v>
      </c>
      <c r="N159" s="2">
        <v>202</v>
      </c>
      <c r="O159" s="2">
        <v>101.07559999999999</v>
      </c>
      <c r="P159" s="2">
        <v>174</v>
      </c>
      <c r="Q159" s="2">
        <v>99.881500000000003</v>
      </c>
      <c r="R159" s="2">
        <v>139</v>
      </c>
      <c r="S159" s="2">
        <v>100.0745</v>
      </c>
      <c r="T159" s="2">
        <v>143</v>
      </c>
      <c r="U159" s="2">
        <v>0.52858799999999995</v>
      </c>
      <c r="V159" s="2">
        <v>158</v>
      </c>
      <c r="W159" s="2">
        <v>2010</v>
      </c>
    </row>
    <row r="160" spans="1:23" ht="12.3" x14ac:dyDescent="0.4">
      <c r="A160" s="2" t="s">
        <v>105</v>
      </c>
      <c r="B160" s="2"/>
      <c r="C160" s="2"/>
      <c r="D160" s="2"/>
      <c r="E160" s="2"/>
      <c r="F160" s="2"/>
      <c r="G160" s="2"/>
      <c r="H160" s="2"/>
      <c r="I160" s="2">
        <v>69.394300000000001</v>
      </c>
      <c r="J160" s="2">
        <v>78</v>
      </c>
      <c r="K160" s="2">
        <v>69.928799999999995</v>
      </c>
      <c r="L160" s="2">
        <v>57</v>
      </c>
      <c r="M160" s="2">
        <v>106.8623</v>
      </c>
      <c r="N160" s="2">
        <v>69</v>
      </c>
      <c r="O160" s="2">
        <v>107.128</v>
      </c>
      <c r="P160" s="2">
        <v>73</v>
      </c>
      <c r="Q160" s="2">
        <v>104.2479</v>
      </c>
      <c r="R160" s="2">
        <v>249</v>
      </c>
      <c r="S160" s="2">
        <v>106.2248</v>
      </c>
      <c r="T160" s="2">
        <v>274</v>
      </c>
      <c r="U160" s="2">
        <v>0.52432199999999995</v>
      </c>
      <c r="V160" s="2">
        <v>159</v>
      </c>
      <c r="W160" s="2">
        <v>2010</v>
      </c>
    </row>
    <row r="161" spans="1:23" ht="12.3" x14ac:dyDescent="0.4">
      <c r="A161" s="2" t="s">
        <v>212</v>
      </c>
      <c r="B161" s="2"/>
      <c r="C161" s="2"/>
      <c r="D161" s="2"/>
      <c r="E161" s="2"/>
      <c r="F161" s="2"/>
      <c r="G161" s="2"/>
      <c r="H161" s="2"/>
      <c r="I161" s="2">
        <v>71.212699999999998</v>
      </c>
      <c r="J161" s="2">
        <v>32</v>
      </c>
      <c r="K161" s="2">
        <v>71.075299999999999</v>
      </c>
      <c r="L161" s="2">
        <v>30</v>
      </c>
      <c r="M161" s="2">
        <v>103.06270000000001</v>
      </c>
      <c r="N161" s="2">
        <v>134</v>
      </c>
      <c r="O161" s="2">
        <v>100.6504</v>
      </c>
      <c r="P161" s="2">
        <v>183</v>
      </c>
      <c r="Q161" s="2">
        <v>102.1999</v>
      </c>
      <c r="R161" s="2">
        <v>186</v>
      </c>
      <c r="S161" s="2">
        <v>100.07550000000001</v>
      </c>
      <c r="T161" s="2">
        <v>144</v>
      </c>
      <c r="U161" s="2">
        <v>0.51646199999999998</v>
      </c>
      <c r="V161" s="2">
        <v>160</v>
      </c>
      <c r="W161" s="2">
        <v>2010</v>
      </c>
    </row>
    <row r="162" spans="1:23" ht="12.3" x14ac:dyDescent="0.4">
      <c r="A162" s="2" t="s">
        <v>319</v>
      </c>
      <c r="B162" s="2"/>
      <c r="C162" s="2"/>
      <c r="D162" s="2"/>
      <c r="E162" s="2"/>
      <c r="F162" s="2"/>
      <c r="G162" s="2"/>
      <c r="H162" s="2"/>
      <c r="I162" s="2">
        <v>66.561199999999999</v>
      </c>
      <c r="J162" s="2">
        <v>217</v>
      </c>
      <c r="K162" s="2">
        <v>65.211200000000005</v>
      </c>
      <c r="L162" s="2">
        <v>267</v>
      </c>
      <c r="M162" s="2">
        <v>101.78319999999999</v>
      </c>
      <c r="N162" s="2">
        <v>158</v>
      </c>
      <c r="O162" s="2">
        <v>98.706400000000002</v>
      </c>
      <c r="P162" s="2">
        <v>210</v>
      </c>
      <c r="Q162" s="2">
        <v>95.963499999999996</v>
      </c>
      <c r="R162" s="2">
        <v>58</v>
      </c>
      <c r="S162" s="2">
        <v>98.180499999999995</v>
      </c>
      <c r="T162" s="2">
        <v>103</v>
      </c>
      <c r="U162" s="2">
        <v>0.51535399999999998</v>
      </c>
      <c r="V162" s="2">
        <v>161</v>
      </c>
      <c r="W162" s="2">
        <v>2010</v>
      </c>
    </row>
    <row r="163" spans="1:23" ht="12.3" x14ac:dyDescent="0.4">
      <c r="A163" s="2" t="s">
        <v>335</v>
      </c>
      <c r="B163" s="2"/>
      <c r="C163" s="2"/>
      <c r="D163" s="2"/>
      <c r="E163" s="2"/>
      <c r="F163" s="2"/>
      <c r="G163" s="2"/>
      <c r="H163" s="2"/>
      <c r="I163" s="2">
        <v>65.981999999999999</v>
      </c>
      <c r="J163" s="2">
        <v>240</v>
      </c>
      <c r="K163" s="2">
        <v>65.954899999999995</v>
      </c>
      <c r="L163" s="2">
        <v>234</v>
      </c>
      <c r="M163" s="2">
        <v>92.316800000000001</v>
      </c>
      <c r="N163" s="2">
        <v>312</v>
      </c>
      <c r="O163" s="2">
        <v>91.564099999999996</v>
      </c>
      <c r="P163" s="2">
        <v>306</v>
      </c>
      <c r="Q163" s="2">
        <v>89.799300000000002</v>
      </c>
      <c r="R163" s="2">
        <v>5</v>
      </c>
      <c r="S163" s="2">
        <v>91.084400000000002</v>
      </c>
      <c r="T163" s="2">
        <v>14</v>
      </c>
      <c r="U163" s="2">
        <v>0.51509799999999994</v>
      </c>
      <c r="V163" s="2">
        <v>162</v>
      </c>
      <c r="W163" s="2">
        <v>2010</v>
      </c>
    </row>
    <row r="164" spans="1:23" ht="12.3" x14ac:dyDescent="0.4">
      <c r="A164" s="2" t="s">
        <v>228</v>
      </c>
      <c r="B164" s="2"/>
      <c r="C164" s="2"/>
      <c r="D164" s="2"/>
      <c r="E164" s="2"/>
      <c r="F164" s="2"/>
      <c r="G164" s="2"/>
      <c r="H164" s="2"/>
      <c r="I164" s="2">
        <v>66.143799999999999</v>
      </c>
      <c r="J164" s="2">
        <v>234</v>
      </c>
      <c r="K164" s="2">
        <v>66.1554</v>
      </c>
      <c r="L164" s="2">
        <v>224</v>
      </c>
      <c r="M164" s="2">
        <v>101.9282</v>
      </c>
      <c r="N164" s="2">
        <v>155</v>
      </c>
      <c r="O164" s="2">
        <v>98.761899999999997</v>
      </c>
      <c r="P164" s="2">
        <v>207</v>
      </c>
      <c r="Q164" s="2">
        <v>96.759900000000002</v>
      </c>
      <c r="R164" s="2">
        <v>75</v>
      </c>
      <c r="S164" s="2">
        <v>98.296700000000001</v>
      </c>
      <c r="T164" s="2">
        <v>104</v>
      </c>
      <c r="U164" s="2">
        <v>0.51357299999999995</v>
      </c>
      <c r="V164" s="2">
        <v>163</v>
      </c>
      <c r="W164" s="2">
        <v>2010</v>
      </c>
    </row>
    <row r="165" spans="1:23" ht="12.3" x14ac:dyDescent="0.4">
      <c r="A165" s="2" t="s">
        <v>91</v>
      </c>
      <c r="B165" s="2"/>
      <c r="C165" s="2"/>
      <c r="D165" s="2"/>
      <c r="E165" s="2"/>
      <c r="F165" s="2"/>
      <c r="G165" s="2"/>
      <c r="H165" s="2"/>
      <c r="I165" s="2">
        <v>70.658199999999994</v>
      </c>
      <c r="J165" s="2">
        <v>43</v>
      </c>
      <c r="K165" s="2">
        <v>70.287400000000005</v>
      </c>
      <c r="L165" s="2">
        <v>45</v>
      </c>
      <c r="M165" s="2">
        <v>96.899799999999999</v>
      </c>
      <c r="N165" s="2">
        <v>251</v>
      </c>
      <c r="O165" s="2">
        <v>100.9174</v>
      </c>
      <c r="P165" s="2">
        <v>179</v>
      </c>
      <c r="Q165" s="2">
        <v>105.3968</v>
      </c>
      <c r="R165" s="2">
        <v>269</v>
      </c>
      <c r="S165" s="2">
        <v>100.5132</v>
      </c>
      <c r="T165" s="2">
        <v>150</v>
      </c>
      <c r="U165" s="2">
        <v>0.51153599999999999</v>
      </c>
      <c r="V165" s="2">
        <v>164</v>
      </c>
      <c r="W165" s="2">
        <v>2010</v>
      </c>
    </row>
    <row r="166" spans="1:23" ht="12.3" x14ac:dyDescent="0.4">
      <c r="A166" s="2" t="s">
        <v>291</v>
      </c>
      <c r="B166" s="2"/>
      <c r="C166" s="2"/>
      <c r="D166" s="2"/>
      <c r="E166" s="2"/>
      <c r="F166" s="2"/>
      <c r="G166" s="2"/>
      <c r="H166" s="2"/>
      <c r="I166" s="2">
        <v>70.268699999999995</v>
      </c>
      <c r="J166" s="2">
        <v>56</v>
      </c>
      <c r="K166" s="2">
        <v>70.266900000000007</v>
      </c>
      <c r="L166" s="2">
        <v>47</v>
      </c>
      <c r="M166" s="2">
        <v>106.2389</v>
      </c>
      <c r="N166" s="2">
        <v>84</v>
      </c>
      <c r="O166" s="2">
        <v>106.4616</v>
      </c>
      <c r="P166" s="2">
        <v>82</v>
      </c>
      <c r="Q166" s="2">
        <v>106.96599999999999</v>
      </c>
      <c r="R166" s="2">
        <v>296</v>
      </c>
      <c r="S166" s="2">
        <v>106.04049999999999</v>
      </c>
      <c r="T166" s="2">
        <v>270</v>
      </c>
      <c r="U166" s="2">
        <v>0.51139299999999999</v>
      </c>
      <c r="V166" s="2">
        <v>165</v>
      </c>
      <c r="W166" s="2">
        <v>2010</v>
      </c>
    </row>
    <row r="167" spans="1:23" ht="12.3" x14ac:dyDescent="0.4">
      <c r="A167" s="2" t="s">
        <v>177</v>
      </c>
      <c r="B167" s="2"/>
      <c r="C167" s="2"/>
      <c r="D167" s="2"/>
      <c r="E167" s="2"/>
      <c r="F167" s="2"/>
      <c r="G167" s="2"/>
      <c r="H167" s="2"/>
      <c r="I167" s="2">
        <v>65.290800000000004</v>
      </c>
      <c r="J167" s="2">
        <v>261</v>
      </c>
      <c r="K167" s="2">
        <v>64.601299999999995</v>
      </c>
      <c r="L167" s="2">
        <v>283</v>
      </c>
      <c r="M167" s="2">
        <v>99.871700000000004</v>
      </c>
      <c r="N167" s="2">
        <v>196</v>
      </c>
      <c r="O167" s="2">
        <v>101.31780000000001</v>
      </c>
      <c r="P167" s="2">
        <v>171</v>
      </c>
      <c r="Q167" s="2">
        <v>103.05200000000001</v>
      </c>
      <c r="R167" s="2">
        <v>213</v>
      </c>
      <c r="S167" s="2">
        <v>100.9967</v>
      </c>
      <c r="T167" s="2">
        <v>162</v>
      </c>
      <c r="U167" s="2">
        <v>0.50912500000000005</v>
      </c>
      <c r="V167" s="2">
        <v>166</v>
      </c>
      <c r="W167" s="2">
        <v>2010</v>
      </c>
    </row>
    <row r="168" spans="1:23" ht="12.3" x14ac:dyDescent="0.4">
      <c r="A168" s="2" t="s">
        <v>222</v>
      </c>
      <c r="B168" s="2"/>
      <c r="C168" s="2"/>
      <c r="D168" s="2"/>
      <c r="E168" s="2"/>
      <c r="F168" s="2"/>
      <c r="G168" s="2"/>
      <c r="H168" s="2"/>
      <c r="I168" s="2">
        <v>65.335099999999997</v>
      </c>
      <c r="J168" s="2">
        <v>260</v>
      </c>
      <c r="K168" s="2">
        <v>65.647000000000006</v>
      </c>
      <c r="L168" s="2">
        <v>245</v>
      </c>
      <c r="M168" s="2">
        <v>102.7668</v>
      </c>
      <c r="N168" s="2">
        <v>141</v>
      </c>
      <c r="O168" s="2">
        <v>103.9263</v>
      </c>
      <c r="P168" s="2">
        <v>129</v>
      </c>
      <c r="Q168" s="2">
        <v>104.7216</v>
      </c>
      <c r="R168" s="2">
        <v>256</v>
      </c>
      <c r="S168" s="2">
        <v>103.6228</v>
      </c>
      <c r="T168" s="2">
        <v>217</v>
      </c>
      <c r="U168" s="2">
        <v>0.50840700000000005</v>
      </c>
      <c r="V168" s="2">
        <v>167</v>
      </c>
      <c r="W168" s="2">
        <v>2010</v>
      </c>
    </row>
    <row r="169" spans="1:23" ht="12.3" x14ac:dyDescent="0.4">
      <c r="A169" s="2" t="s">
        <v>246</v>
      </c>
      <c r="B169" s="2"/>
      <c r="C169" s="2"/>
      <c r="D169" s="2"/>
      <c r="E169" s="2"/>
      <c r="F169" s="2"/>
      <c r="G169" s="2"/>
      <c r="H169" s="2"/>
      <c r="I169" s="2">
        <v>69.862499999999997</v>
      </c>
      <c r="J169" s="2">
        <v>70</v>
      </c>
      <c r="K169" s="2">
        <v>69.501599999999996</v>
      </c>
      <c r="L169" s="2">
        <v>67</v>
      </c>
      <c r="M169" s="2">
        <v>104.2872</v>
      </c>
      <c r="N169" s="2">
        <v>108</v>
      </c>
      <c r="O169" s="2">
        <v>103.4986</v>
      </c>
      <c r="P169" s="2">
        <v>137</v>
      </c>
      <c r="Q169" s="2">
        <v>101.2664</v>
      </c>
      <c r="R169" s="2">
        <v>171</v>
      </c>
      <c r="S169" s="2">
        <v>103.2985</v>
      </c>
      <c r="T169" s="2">
        <v>213</v>
      </c>
      <c r="U169" s="2">
        <v>0.50556100000000004</v>
      </c>
      <c r="V169" s="2">
        <v>168</v>
      </c>
      <c r="W169" s="2">
        <v>2010</v>
      </c>
    </row>
    <row r="170" spans="1:23" ht="12.3" x14ac:dyDescent="0.4">
      <c r="A170" s="2" t="s">
        <v>155</v>
      </c>
      <c r="B170" s="2"/>
      <c r="C170" s="2"/>
      <c r="D170" s="2"/>
      <c r="E170" s="2"/>
      <c r="F170" s="2"/>
      <c r="G170" s="2"/>
      <c r="H170" s="2"/>
      <c r="I170" s="2">
        <v>70.231200000000001</v>
      </c>
      <c r="J170" s="2">
        <v>58</v>
      </c>
      <c r="K170" s="2">
        <v>69.900499999999994</v>
      </c>
      <c r="L170" s="2">
        <v>58</v>
      </c>
      <c r="M170" s="2">
        <v>98.728800000000007</v>
      </c>
      <c r="N170" s="2">
        <v>216</v>
      </c>
      <c r="O170" s="2">
        <v>100.9524</v>
      </c>
      <c r="P170" s="2">
        <v>177</v>
      </c>
      <c r="Q170" s="2">
        <v>106.0282</v>
      </c>
      <c r="R170" s="2">
        <v>283</v>
      </c>
      <c r="S170" s="2">
        <v>100.8275</v>
      </c>
      <c r="T170" s="2">
        <v>157</v>
      </c>
      <c r="U170" s="2">
        <v>0.50355799999999995</v>
      </c>
      <c r="V170" s="2">
        <v>169</v>
      </c>
      <c r="W170" s="2">
        <v>2010</v>
      </c>
    </row>
    <row r="171" spans="1:23" ht="12.3" x14ac:dyDescent="0.4">
      <c r="A171" s="2" t="s">
        <v>182</v>
      </c>
      <c r="B171" s="2"/>
      <c r="C171" s="2"/>
      <c r="D171" s="2"/>
      <c r="E171" s="2"/>
      <c r="F171" s="2"/>
      <c r="G171" s="2"/>
      <c r="H171" s="2"/>
      <c r="I171" s="2">
        <v>68.982399999999998</v>
      </c>
      <c r="J171" s="2">
        <v>92</v>
      </c>
      <c r="K171" s="2">
        <v>68.669799999999995</v>
      </c>
      <c r="L171" s="2">
        <v>101</v>
      </c>
      <c r="M171" s="2">
        <v>99.508200000000002</v>
      </c>
      <c r="N171" s="2">
        <v>201</v>
      </c>
      <c r="O171" s="2">
        <v>102.8075</v>
      </c>
      <c r="P171" s="2">
        <v>149</v>
      </c>
      <c r="Q171" s="2">
        <v>102.59650000000001</v>
      </c>
      <c r="R171" s="2">
        <v>196</v>
      </c>
      <c r="S171" s="2">
        <v>102.74120000000001</v>
      </c>
      <c r="T171" s="2">
        <v>196</v>
      </c>
      <c r="U171" s="2">
        <v>0.50185299999999999</v>
      </c>
      <c r="V171" s="2">
        <v>170</v>
      </c>
      <c r="W171" s="2">
        <v>2010</v>
      </c>
    </row>
    <row r="172" spans="1:23" ht="12.3" x14ac:dyDescent="0.4">
      <c r="A172" s="2" t="s">
        <v>356</v>
      </c>
      <c r="B172" s="2"/>
      <c r="C172" s="2"/>
      <c r="D172" s="2"/>
      <c r="E172" s="2"/>
      <c r="F172" s="2"/>
      <c r="G172" s="2"/>
      <c r="H172" s="2"/>
      <c r="I172" s="2">
        <v>67.439800000000005</v>
      </c>
      <c r="J172" s="2">
        <v>171</v>
      </c>
      <c r="K172" s="2">
        <v>66.8874</v>
      </c>
      <c r="L172" s="2">
        <v>188</v>
      </c>
      <c r="M172" s="2">
        <v>105.8079</v>
      </c>
      <c r="N172" s="2">
        <v>89</v>
      </c>
      <c r="O172" s="2">
        <v>103.2246</v>
      </c>
      <c r="P172" s="2">
        <v>142</v>
      </c>
      <c r="Q172" s="2">
        <v>105.6134</v>
      </c>
      <c r="R172" s="2">
        <v>272</v>
      </c>
      <c r="S172" s="2">
        <v>103.515</v>
      </c>
      <c r="T172" s="2">
        <v>215</v>
      </c>
      <c r="U172" s="2">
        <v>0.49192399999999997</v>
      </c>
      <c r="V172" s="2">
        <v>171</v>
      </c>
      <c r="W172" s="2">
        <v>2010</v>
      </c>
    </row>
    <row r="173" spans="1:23" ht="12.3" x14ac:dyDescent="0.4">
      <c r="A173" s="2" t="s">
        <v>112</v>
      </c>
      <c r="B173" s="2"/>
      <c r="C173" s="2"/>
      <c r="D173" s="2"/>
      <c r="E173" s="2"/>
      <c r="F173" s="2"/>
      <c r="G173" s="2"/>
      <c r="H173" s="2"/>
      <c r="I173" s="2">
        <v>66.980099999999993</v>
      </c>
      <c r="J173" s="2">
        <v>188</v>
      </c>
      <c r="K173" s="2">
        <v>66.644900000000007</v>
      </c>
      <c r="L173" s="2">
        <v>200</v>
      </c>
      <c r="M173" s="2">
        <v>98.8202</v>
      </c>
      <c r="N173" s="2">
        <v>211</v>
      </c>
      <c r="O173" s="2">
        <v>98.1982</v>
      </c>
      <c r="P173" s="2">
        <v>223</v>
      </c>
      <c r="Q173" s="2">
        <v>100.5885</v>
      </c>
      <c r="R173" s="2">
        <v>152</v>
      </c>
      <c r="S173" s="2">
        <v>98.483099999999993</v>
      </c>
      <c r="T173" s="2">
        <v>108</v>
      </c>
      <c r="U173" s="2">
        <v>0.491672</v>
      </c>
      <c r="V173" s="2">
        <v>172</v>
      </c>
      <c r="W173" s="2">
        <v>2010</v>
      </c>
    </row>
    <row r="174" spans="1:23" ht="12.3" x14ac:dyDescent="0.4">
      <c r="A174" s="2" t="s">
        <v>169</v>
      </c>
      <c r="B174" s="2"/>
      <c r="C174" s="2"/>
      <c r="D174" s="2"/>
      <c r="E174" s="2"/>
      <c r="F174" s="2"/>
      <c r="G174" s="2"/>
      <c r="H174" s="2"/>
      <c r="I174" s="2">
        <v>69.068299999999994</v>
      </c>
      <c r="J174" s="2">
        <v>89</v>
      </c>
      <c r="K174" s="2">
        <v>69.136899999999997</v>
      </c>
      <c r="L174" s="2">
        <v>81</v>
      </c>
      <c r="M174" s="2">
        <v>102.0094</v>
      </c>
      <c r="N174" s="2">
        <v>153</v>
      </c>
      <c r="O174" s="2">
        <v>103.65349999999999</v>
      </c>
      <c r="P174" s="2">
        <v>136</v>
      </c>
      <c r="Q174" s="2">
        <v>105.6353</v>
      </c>
      <c r="R174" s="2">
        <v>274</v>
      </c>
      <c r="S174" s="2">
        <v>103.99469999999999</v>
      </c>
      <c r="T174" s="2">
        <v>224</v>
      </c>
      <c r="U174" s="2">
        <v>0.49055199999999999</v>
      </c>
      <c r="V174" s="2">
        <v>173</v>
      </c>
      <c r="W174" s="2">
        <v>2010</v>
      </c>
    </row>
    <row r="175" spans="1:23" ht="12.3" x14ac:dyDescent="0.4">
      <c r="A175" s="2" t="s">
        <v>205</v>
      </c>
      <c r="B175" s="2"/>
      <c r="C175" s="2"/>
      <c r="D175" s="2"/>
      <c r="E175" s="2"/>
      <c r="F175" s="2"/>
      <c r="G175" s="2"/>
      <c r="H175" s="2"/>
      <c r="I175" s="2">
        <v>63.101999999999997</v>
      </c>
      <c r="J175" s="2">
        <v>317</v>
      </c>
      <c r="K175" s="2">
        <v>64.044700000000006</v>
      </c>
      <c r="L175" s="2">
        <v>300</v>
      </c>
      <c r="M175" s="2">
        <v>104.6759</v>
      </c>
      <c r="N175" s="2">
        <v>98</v>
      </c>
      <c r="O175" s="2">
        <v>105.82810000000001</v>
      </c>
      <c r="P175" s="2">
        <v>93</v>
      </c>
      <c r="Q175" s="2">
        <v>108.2161</v>
      </c>
      <c r="R175" s="2">
        <v>316</v>
      </c>
      <c r="S175" s="2">
        <v>106.2276</v>
      </c>
      <c r="T175" s="2">
        <v>275</v>
      </c>
      <c r="U175" s="2">
        <v>0.48916999999999999</v>
      </c>
      <c r="V175" s="2">
        <v>174</v>
      </c>
      <c r="W175" s="2">
        <v>2010</v>
      </c>
    </row>
    <row r="176" spans="1:23" ht="12.3" x14ac:dyDescent="0.4">
      <c r="A176" s="2" t="s">
        <v>184</v>
      </c>
      <c r="B176" s="2">
        <v>15</v>
      </c>
      <c r="C176" s="2"/>
      <c r="D176" s="2"/>
      <c r="E176" s="2"/>
      <c r="F176" s="2"/>
      <c r="G176" s="2"/>
      <c r="H176" s="2"/>
      <c r="I176" s="2">
        <v>68.546800000000005</v>
      </c>
      <c r="J176" s="2">
        <v>118</v>
      </c>
      <c r="K176" s="2">
        <v>68.728399999999993</v>
      </c>
      <c r="L176" s="2">
        <v>98</v>
      </c>
      <c r="M176" s="2">
        <v>105.2366</v>
      </c>
      <c r="N176" s="2">
        <v>94</v>
      </c>
      <c r="O176" s="2">
        <v>101.98350000000001</v>
      </c>
      <c r="P176" s="2">
        <v>160</v>
      </c>
      <c r="Q176" s="2">
        <v>100.31959999999999</v>
      </c>
      <c r="R176" s="2">
        <v>150</v>
      </c>
      <c r="S176" s="2">
        <v>102.4178</v>
      </c>
      <c r="T176" s="2">
        <v>188</v>
      </c>
      <c r="U176" s="2">
        <v>0.48778500000000002</v>
      </c>
      <c r="V176" s="2">
        <v>175</v>
      </c>
      <c r="W176" s="2">
        <v>2010</v>
      </c>
    </row>
    <row r="177" spans="1:23" ht="12.3" x14ac:dyDescent="0.4">
      <c r="A177" s="2" t="s">
        <v>337</v>
      </c>
      <c r="B177" s="2"/>
      <c r="C177" s="2"/>
      <c r="D177" s="2"/>
      <c r="E177" s="2"/>
      <c r="F177" s="2"/>
      <c r="G177" s="2"/>
      <c r="H177" s="2"/>
      <c r="I177" s="2">
        <v>71.027299999999997</v>
      </c>
      <c r="J177" s="2">
        <v>34</v>
      </c>
      <c r="K177" s="2">
        <v>70.458799999999997</v>
      </c>
      <c r="L177" s="2">
        <v>42</v>
      </c>
      <c r="M177" s="2">
        <v>109.2244</v>
      </c>
      <c r="N177" s="2">
        <v>39</v>
      </c>
      <c r="O177" s="2">
        <v>108.18729999999999</v>
      </c>
      <c r="P177" s="2">
        <v>54</v>
      </c>
      <c r="Q177" s="2">
        <v>105.3806</v>
      </c>
      <c r="R177" s="2">
        <v>267</v>
      </c>
      <c r="S177" s="2">
        <v>108.745</v>
      </c>
      <c r="T177" s="2">
        <v>301</v>
      </c>
      <c r="U177" s="2">
        <v>0.48522100000000001</v>
      </c>
      <c r="V177" s="2">
        <v>176</v>
      </c>
      <c r="W177" s="2">
        <v>2010</v>
      </c>
    </row>
    <row r="178" spans="1:23" ht="12.3" x14ac:dyDescent="0.4">
      <c r="A178" s="2" t="s">
        <v>331</v>
      </c>
      <c r="B178" s="2"/>
      <c r="C178" s="2"/>
      <c r="D178" s="2"/>
      <c r="E178" s="2"/>
      <c r="F178" s="2"/>
      <c r="G178" s="2"/>
      <c r="H178" s="2"/>
      <c r="I178" s="2">
        <v>65.914599999999993</v>
      </c>
      <c r="J178" s="2">
        <v>242</v>
      </c>
      <c r="K178" s="2">
        <v>66.566999999999993</v>
      </c>
      <c r="L178" s="2">
        <v>206</v>
      </c>
      <c r="M178" s="2">
        <v>99.274799999999999</v>
      </c>
      <c r="N178" s="2">
        <v>203</v>
      </c>
      <c r="O178" s="2">
        <v>98.970600000000005</v>
      </c>
      <c r="P178" s="2">
        <v>202</v>
      </c>
      <c r="Q178" s="2">
        <v>98.791399999999996</v>
      </c>
      <c r="R178" s="2">
        <v>125</v>
      </c>
      <c r="S178" s="2">
        <v>99.590599999999995</v>
      </c>
      <c r="T178" s="2">
        <v>133</v>
      </c>
      <c r="U178" s="2">
        <v>0.48205399999999998</v>
      </c>
      <c r="V178" s="2">
        <v>177</v>
      </c>
      <c r="W178" s="2">
        <v>2010</v>
      </c>
    </row>
    <row r="179" spans="1:23" ht="12.3" x14ac:dyDescent="0.4">
      <c r="A179" s="2" t="s">
        <v>84</v>
      </c>
      <c r="B179" s="2"/>
      <c r="C179" s="2"/>
      <c r="D179" s="2"/>
      <c r="E179" s="2"/>
      <c r="F179" s="2"/>
      <c r="G179" s="2"/>
      <c r="H179" s="2"/>
      <c r="I179" s="2">
        <v>61.862000000000002</v>
      </c>
      <c r="J179" s="2">
        <v>332</v>
      </c>
      <c r="K179" s="2">
        <v>62.603299999999997</v>
      </c>
      <c r="L179" s="2">
        <v>322</v>
      </c>
      <c r="M179" s="2">
        <v>97.289000000000001</v>
      </c>
      <c r="N179" s="2">
        <v>245</v>
      </c>
      <c r="O179" s="2">
        <v>101.38590000000001</v>
      </c>
      <c r="P179" s="2">
        <v>170</v>
      </c>
      <c r="Q179" s="2">
        <v>106.7347</v>
      </c>
      <c r="R179" s="2">
        <v>292</v>
      </c>
      <c r="S179" s="2">
        <v>102.0968</v>
      </c>
      <c r="T179" s="2">
        <v>180</v>
      </c>
      <c r="U179" s="2">
        <v>0.47992099999999999</v>
      </c>
      <c r="V179" s="2">
        <v>178</v>
      </c>
      <c r="W179" s="2">
        <v>2010</v>
      </c>
    </row>
    <row r="180" spans="1:23" ht="12.3" x14ac:dyDescent="0.4">
      <c r="A180" s="2" t="s">
        <v>278</v>
      </c>
      <c r="B180" s="2"/>
      <c r="C180" s="2"/>
      <c r="D180" s="2"/>
      <c r="E180" s="2"/>
      <c r="F180" s="2"/>
      <c r="G180" s="2"/>
      <c r="H180" s="2"/>
      <c r="I180" s="2">
        <v>67.467299999999994</v>
      </c>
      <c r="J180" s="2">
        <v>169</v>
      </c>
      <c r="K180" s="2">
        <v>66.855199999999996</v>
      </c>
      <c r="L180" s="2">
        <v>190</v>
      </c>
      <c r="M180" s="2">
        <v>108.3875</v>
      </c>
      <c r="N180" s="2">
        <v>50</v>
      </c>
      <c r="O180" s="2">
        <v>108.7424</v>
      </c>
      <c r="P180" s="2">
        <v>48</v>
      </c>
      <c r="Q180" s="2">
        <v>112.14619999999999</v>
      </c>
      <c r="R180" s="2">
        <v>343</v>
      </c>
      <c r="S180" s="2">
        <v>109.50579999999999</v>
      </c>
      <c r="T180" s="2">
        <v>311</v>
      </c>
      <c r="U180" s="2">
        <v>0.47989900000000002</v>
      </c>
      <c r="V180" s="2">
        <v>179</v>
      </c>
      <c r="W180" s="2">
        <v>2010</v>
      </c>
    </row>
    <row r="181" spans="1:23" ht="12.3" x14ac:dyDescent="0.4">
      <c r="A181" s="2" t="s">
        <v>349</v>
      </c>
      <c r="B181" s="2"/>
      <c r="C181" s="2"/>
      <c r="D181" s="2"/>
      <c r="E181" s="2"/>
      <c r="F181" s="2"/>
      <c r="G181" s="2"/>
      <c r="H181" s="2"/>
      <c r="I181" s="2">
        <v>67.366299999999995</v>
      </c>
      <c r="J181" s="2">
        <v>177</v>
      </c>
      <c r="K181" s="2">
        <v>67.296000000000006</v>
      </c>
      <c r="L181" s="2">
        <v>170</v>
      </c>
      <c r="M181" s="2">
        <v>97.708299999999994</v>
      </c>
      <c r="N181" s="2">
        <v>235</v>
      </c>
      <c r="O181" s="2">
        <v>95.228800000000007</v>
      </c>
      <c r="P181" s="2">
        <v>275</v>
      </c>
      <c r="Q181" s="2">
        <v>92.734200000000001</v>
      </c>
      <c r="R181" s="2">
        <v>27</v>
      </c>
      <c r="S181" s="2">
        <v>95.921899999999994</v>
      </c>
      <c r="T181" s="2">
        <v>65</v>
      </c>
      <c r="U181" s="2">
        <v>0.47916399999999998</v>
      </c>
      <c r="V181" s="2">
        <v>180</v>
      </c>
      <c r="W181" s="2">
        <v>2010</v>
      </c>
    </row>
    <row r="182" spans="1:23" ht="12.3" x14ac:dyDescent="0.4">
      <c r="A182" s="2" t="s">
        <v>307</v>
      </c>
      <c r="B182" s="2">
        <v>15</v>
      </c>
      <c r="C182" s="2"/>
      <c r="D182" s="2"/>
      <c r="E182" s="2"/>
      <c r="F182" s="2"/>
      <c r="G182" s="2"/>
      <c r="H182" s="2"/>
      <c r="I182" s="2">
        <v>67.664000000000001</v>
      </c>
      <c r="J182" s="2">
        <v>157</v>
      </c>
      <c r="K182" s="2">
        <v>67.064400000000006</v>
      </c>
      <c r="L182" s="2">
        <v>185</v>
      </c>
      <c r="M182" s="2">
        <v>101.3257</v>
      </c>
      <c r="N182" s="2">
        <v>165</v>
      </c>
      <c r="O182" s="2">
        <v>99.373599999999996</v>
      </c>
      <c r="P182" s="2">
        <v>198</v>
      </c>
      <c r="Q182" s="2">
        <v>96.817300000000003</v>
      </c>
      <c r="R182" s="2">
        <v>77</v>
      </c>
      <c r="S182" s="2">
        <v>100.2647</v>
      </c>
      <c r="T182" s="2">
        <v>146</v>
      </c>
      <c r="U182" s="2">
        <v>0.474358</v>
      </c>
      <c r="V182" s="2">
        <v>181</v>
      </c>
      <c r="W182" s="2">
        <v>2010</v>
      </c>
    </row>
    <row r="183" spans="1:23" ht="12.3" x14ac:dyDescent="0.4">
      <c r="A183" s="2" t="s">
        <v>276</v>
      </c>
      <c r="B183" s="2"/>
      <c r="C183" s="2"/>
      <c r="D183" s="2"/>
      <c r="E183" s="2"/>
      <c r="F183" s="2"/>
      <c r="G183" s="2"/>
      <c r="H183" s="2"/>
      <c r="I183" s="2">
        <v>67.518299999999996</v>
      </c>
      <c r="J183" s="2">
        <v>165</v>
      </c>
      <c r="K183" s="2">
        <v>66.338700000000003</v>
      </c>
      <c r="L183" s="2">
        <v>217</v>
      </c>
      <c r="M183" s="2">
        <v>98.943600000000004</v>
      </c>
      <c r="N183" s="2">
        <v>208</v>
      </c>
      <c r="O183" s="2">
        <v>97.119100000000003</v>
      </c>
      <c r="P183" s="2">
        <v>240</v>
      </c>
      <c r="Q183" s="2">
        <v>97.941699999999997</v>
      </c>
      <c r="R183" s="2">
        <v>102</v>
      </c>
      <c r="S183" s="2">
        <v>98.054699999999997</v>
      </c>
      <c r="T183" s="2">
        <v>99</v>
      </c>
      <c r="U183" s="2">
        <v>0.47246500000000002</v>
      </c>
      <c r="V183" s="2">
        <v>182</v>
      </c>
      <c r="W183" s="2">
        <v>2010</v>
      </c>
    </row>
    <row r="184" spans="1:23" ht="12.3" x14ac:dyDescent="0.4">
      <c r="A184" s="2" t="s">
        <v>326</v>
      </c>
      <c r="B184" s="2">
        <v>16</v>
      </c>
      <c r="C184" s="2"/>
      <c r="D184" s="2"/>
      <c r="E184" s="2"/>
      <c r="F184" s="2"/>
      <c r="G184" s="2"/>
      <c r="H184" s="2"/>
      <c r="I184" s="2">
        <v>69.827500000000001</v>
      </c>
      <c r="J184" s="2">
        <v>71</v>
      </c>
      <c r="K184" s="2">
        <v>70.063999999999993</v>
      </c>
      <c r="L184" s="2">
        <v>55</v>
      </c>
      <c r="M184" s="2">
        <v>107.2011</v>
      </c>
      <c r="N184" s="2">
        <v>62</v>
      </c>
      <c r="O184" s="2">
        <v>104.4722</v>
      </c>
      <c r="P184" s="2">
        <v>117</v>
      </c>
      <c r="Q184" s="2">
        <v>99.227500000000006</v>
      </c>
      <c r="R184" s="2">
        <v>130</v>
      </c>
      <c r="S184" s="2">
        <v>105.5154</v>
      </c>
      <c r="T184" s="2">
        <v>256</v>
      </c>
      <c r="U184" s="2">
        <v>0.47146700000000002</v>
      </c>
      <c r="V184" s="2">
        <v>183</v>
      </c>
      <c r="W184" s="2">
        <v>2010</v>
      </c>
    </row>
    <row r="185" spans="1:23" ht="12.3" x14ac:dyDescent="0.4">
      <c r="A185" s="2" t="s">
        <v>269</v>
      </c>
      <c r="B185" s="2"/>
      <c r="C185" s="2"/>
      <c r="D185" s="2"/>
      <c r="E185" s="2"/>
      <c r="F185" s="2"/>
      <c r="G185" s="2"/>
      <c r="H185" s="2"/>
      <c r="I185" s="2">
        <v>68.375500000000002</v>
      </c>
      <c r="J185" s="2">
        <v>125</v>
      </c>
      <c r="K185" s="2">
        <v>67.582999999999998</v>
      </c>
      <c r="L185" s="2">
        <v>152</v>
      </c>
      <c r="M185" s="2">
        <v>111.73909999999999</v>
      </c>
      <c r="N185" s="2">
        <v>18</v>
      </c>
      <c r="O185" s="2">
        <v>110.43</v>
      </c>
      <c r="P185" s="2">
        <v>40</v>
      </c>
      <c r="Q185" s="2">
        <v>115.6131</v>
      </c>
      <c r="R185" s="2">
        <v>346</v>
      </c>
      <c r="S185" s="2">
        <v>111.54389999999999</v>
      </c>
      <c r="T185" s="2">
        <v>337</v>
      </c>
      <c r="U185" s="2">
        <v>0.47117900000000001</v>
      </c>
      <c r="V185" s="2">
        <v>184</v>
      </c>
      <c r="W185" s="2">
        <v>2010</v>
      </c>
    </row>
    <row r="186" spans="1:23" ht="12.3" x14ac:dyDescent="0.4">
      <c r="A186" s="2" t="s">
        <v>207</v>
      </c>
      <c r="B186" s="2"/>
      <c r="C186" s="2"/>
      <c r="D186" s="2"/>
      <c r="E186" s="2"/>
      <c r="F186" s="2"/>
      <c r="G186" s="2"/>
      <c r="H186" s="2"/>
      <c r="I186" s="2">
        <v>63.486499999999999</v>
      </c>
      <c r="J186" s="2">
        <v>309</v>
      </c>
      <c r="K186" s="2">
        <v>63.720799999999997</v>
      </c>
      <c r="L186" s="2">
        <v>305</v>
      </c>
      <c r="M186" s="2">
        <v>94.529200000000003</v>
      </c>
      <c r="N186" s="2">
        <v>287</v>
      </c>
      <c r="O186" s="2">
        <v>98.119</v>
      </c>
      <c r="P186" s="2">
        <v>226</v>
      </c>
      <c r="Q186" s="2">
        <v>103.5647</v>
      </c>
      <c r="R186" s="2">
        <v>231</v>
      </c>
      <c r="S186" s="2">
        <v>99.283100000000005</v>
      </c>
      <c r="T186" s="2">
        <v>126</v>
      </c>
      <c r="U186" s="2">
        <v>0.46614100000000003</v>
      </c>
      <c r="V186" s="2">
        <v>185</v>
      </c>
      <c r="W186" s="2">
        <v>2010</v>
      </c>
    </row>
    <row r="187" spans="1:23" ht="12.3" x14ac:dyDescent="0.4">
      <c r="A187" s="2" t="s">
        <v>274</v>
      </c>
      <c r="B187" s="2"/>
      <c r="C187" s="2"/>
      <c r="D187" s="2"/>
      <c r="E187" s="2"/>
      <c r="F187" s="2"/>
      <c r="G187" s="2"/>
      <c r="H187" s="2"/>
      <c r="I187" s="2">
        <v>69.005899999999997</v>
      </c>
      <c r="J187" s="2">
        <v>91</v>
      </c>
      <c r="K187" s="2">
        <v>69.279600000000002</v>
      </c>
      <c r="L187" s="2">
        <v>75</v>
      </c>
      <c r="M187" s="2">
        <v>106.64230000000001</v>
      </c>
      <c r="N187" s="2">
        <v>78</v>
      </c>
      <c r="O187" s="2">
        <v>101.8955</v>
      </c>
      <c r="P187" s="2">
        <v>163</v>
      </c>
      <c r="Q187" s="2">
        <v>95.4375</v>
      </c>
      <c r="R187" s="2">
        <v>46</v>
      </c>
      <c r="S187" s="2">
        <v>103.1306</v>
      </c>
      <c r="T187" s="2">
        <v>209</v>
      </c>
      <c r="U187" s="2">
        <v>0.46541500000000002</v>
      </c>
      <c r="V187" s="2">
        <v>186</v>
      </c>
      <c r="W187" s="2">
        <v>2010</v>
      </c>
    </row>
    <row r="188" spans="1:23" ht="12.3" x14ac:dyDescent="0.4">
      <c r="A188" s="2" t="s">
        <v>142</v>
      </c>
      <c r="B188" s="2"/>
      <c r="C188" s="2"/>
      <c r="D188" s="2"/>
      <c r="E188" s="2"/>
      <c r="F188" s="2"/>
      <c r="G188" s="2"/>
      <c r="H188" s="2"/>
      <c r="I188" s="2">
        <v>65.111099999999993</v>
      </c>
      <c r="J188" s="2">
        <v>266</v>
      </c>
      <c r="K188" s="2">
        <v>64.695599999999999</v>
      </c>
      <c r="L188" s="2">
        <v>279</v>
      </c>
      <c r="M188" s="2">
        <v>101.1506</v>
      </c>
      <c r="N188" s="2">
        <v>174</v>
      </c>
      <c r="O188" s="2">
        <v>103.4898</v>
      </c>
      <c r="P188" s="2">
        <v>138</v>
      </c>
      <c r="Q188" s="2">
        <v>107.4327</v>
      </c>
      <c r="R188" s="2">
        <v>303</v>
      </c>
      <c r="S188" s="2">
        <v>104.8338</v>
      </c>
      <c r="T188" s="2">
        <v>246</v>
      </c>
      <c r="U188" s="2">
        <v>0.46297300000000002</v>
      </c>
      <c r="V188" s="2">
        <v>187</v>
      </c>
      <c r="W188" s="2">
        <v>2010</v>
      </c>
    </row>
    <row r="189" spans="1:23" ht="12.3" x14ac:dyDescent="0.4">
      <c r="A189" s="2" t="s">
        <v>74</v>
      </c>
      <c r="B189" s="2"/>
      <c r="C189" s="2"/>
      <c r="D189" s="2"/>
      <c r="E189" s="2"/>
      <c r="F189" s="2"/>
      <c r="G189" s="2"/>
      <c r="H189" s="2"/>
      <c r="I189" s="2">
        <v>67.828400000000002</v>
      </c>
      <c r="J189" s="2">
        <v>145</v>
      </c>
      <c r="K189" s="2">
        <v>68.825199999999995</v>
      </c>
      <c r="L189" s="2">
        <v>94</v>
      </c>
      <c r="M189" s="2">
        <v>106.44970000000001</v>
      </c>
      <c r="N189" s="2">
        <v>81</v>
      </c>
      <c r="O189" s="2">
        <v>108.7276</v>
      </c>
      <c r="P189" s="2">
        <v>49</v>
      </c>
      <c r="Q189" s="2">
        <v>111.3218</v>
      </c>
      <c r="R189" s="2">
        <v>340</v>
      </c>
      <c r="S189" s="2">
        <v>110.1992</v>
      </c>
      <c r="T189" s="2">
        <v>324</v>
      </c>
      <c r="U189" s="2">
        <v>0.46142499999999997</v>
      </c>
      <c r="V189" s="2">
        <v>188</v>
      </c>
      <c r="W189" s="2">
        <v>2010</v>
      </c>
    </row>
    <row r="190" spans="1:23" ht="12.3" x14ac:dyDescent="0.4">
      <c r="A190" s="2" t="s">
        <v>336</v>
      </c>
      <c r="B190" s="2"/>
      <c r="C190" s="2"/>
      <c r="D190" s="2"/>
      <c r="E190" s="2"/>
      <c r="F190" s="2"/>
      <c r="G190" s="2"/>
      <c r="H190" s="2"/>
      <c r="I190" s="2">
        <v>66.584999999999994</v>
      </c>
      <c r="J190" s="2">
        <v>216</v>
      </c>
      <c r="K190" s="2">
        <v>66.534199999999998</v>
      </c>
      <c r="L190" s="2">
        <v>209</v>
      </c>
      <c r="M190" s="2">
        <v>102.80249999999999</v>
      </c>
      <c r="N190" s="2">
        <v>140</v>
      </c>
      <c r="O190" s="2">
        <v>101.0645</v>
      </c>
      <c r="P190" s="2">
        <v>175</v>
      </c>
      <c r="Q190" s="2">
        <v>96.042699999999996</v>
      </c>
      <c r="R190" s="2">
        <v>61</v>
      </c>
      <c r="S190" s="2">
        <v>102.5973</v>
      </c>
      <c r="T190" s="2">
        <v>192</v>
      </c>
      <c r="U190" s="2">
        <v>0.45683200000000002</v>
      </c>
      <c r="V190" s="2">
        <v>189</v>
      </c>
      <c r="W190" s="2">
        <v>2010</v>
      </c>
    </row>
    <row r="191" spans="1:23" ht="12.3" x14ac:dyDescent="0.4">
      <c r="A191" s="2" t="s">
        <v>324</v>
      </c>
      <c r="B191" s="2"/>
      <c r="C191" s="2"/>
      <c r="D191" s="2"/>
      <c r="E191" s="2"/>
      <c r="F191" s="2"/>
      <c r="G191" s="2"/>
      <c r="H191" s="2"/>
      <c r="I191" s="2">
        <v>62.8596</v>
      </c>
      <c r="J191" s="2">
        <v>319</v>
      </c>
      <c r="K191" s="2">
        <v>62.6372</v>
      </c>
      <c r="L191" s="2">
        <v>321</v>
      </c>
      <c r="M191" s="2">
        <v>111.4434</v>
      </c>
      <c r="N191" s="2">
        <v>22</v>
      </c>
      <c r="O191" s="2">
        <v>107.8844</v>
      </c>
      <c r="P191" s="2">
        <v>58</v>
      </c>
      <c r="Q191" s="2">
        <v>105.842</v>
      </c>
      <c r="R191" s="2">
        <v>282</v>
      </c>
      <c r="S191" s="2">
        <v>109.6138</v>
      </c>
      <c r="T191" s="2">
        <v>315</v>
      </c>
      <c r="U191" s="2">
        <v>0.45440599999999998</v>
      </c>
      <c r="V191" s="2">
        <v>190</v>
      </c>
      <c r="W191" s="2">
        <v>2010</v>
      </c>
    </row>
    <row r="192" spans="1:23" ht="12.3" x14ac:dyDescent="0.4">
      <c r="A192" s="2" t="s">
        <v>286</v>
      </c>
      <c r="B192" s="2"/>
      <c r="C192" s="2"/>
      <c r="D192" s="2"/>
      <c r="E192" s="2"/>
      <c r="F192" s="2"/>
      <c r="G192" s="2"/>
      <c r="H192" s="2"/>
      <c r="I192" s="2">
        <v>60.285899999999998</v>
      </c>
      <c r="J192" s="2">
        <v>339</v>
      </c>
      <c r="K192" s="2">
        <v>59.705199999999998</v>
      </c>
      <c r="L192" s="2">
        <v>344</v>
      </c>
      <c r="M192" s="2">
        <v>107.82089999999999</v>
      </c>
      <c r="N192" s="2">
        <v>55</v>
      </c>
      <c r="O192" s="2">
        <v>103.7671</v>
      </c>
      <c r="P192" s="2">
        <v>135</v>
      </c>
      <c r="Q192" s="2">
        <v>104.25790000000001</v>
      </c>
      <c r="R192" s="2">
        <v>250</v>
      </c>
      <c r="S192" s="2">
        <v>105.61579999999999</v>
      </c>
      <c r="T192" s="2">
        <v>257</v>
      </c>
      <c r="U192" s="2">
        <v>0.449403</v>
      </c>
      <c r="V192" s="2">
        <v>191</v>
      </c>
      <c r="W192" s="2">
        <v>2010</v>
      </c>
    </row>
    <row r="193" spans="1:23" ht="12.3" x14ac:dyDescent="0.4">
      <c r="A193" s="2" t="s">
        <v>163</v>
      </c>
      <c r="B193" s="2"/>
      <c r="C193" s="2"/>
      <c r="D193" s="2"/>
      <c r="E193" s="2"/>
      <c r="F193" s="2"/>
      <c r="G193" s="2"/>
      <c r="H193" s="2"/>
      <c r="I193" s="2">
        <v>64.844399999999993</v>
      </c>
      <c r="J193" s="2">
        <v>277</v>
      </c>
      <c r="K193" s="2">
        <v>64.610699999999994</v>
      </c>
      <c r="L193" s="2">
        <v>282</v>
      </c>
      <c r="M193" s="2">
        <v>104.17619999999999</v>
      </c>
      <c r="N193" s="2">
        <v>111</v>
      </c>
      <c r="O193" s="2">
        <v>102.69929999999999</v>
      </c>
      <c r="P193" s="2">
        <v>152</v>
      </c>
      <c r="Q193" s="2">
        <v>105.6713</v>
      </c>
      <c r="R193" s="2">
        <v>277</v>
      </c>
      <c r="S193" s="2">
        <v>104.5605</v>
      </c>
      <c r="T193" s="2">
        <v>237</v>
      </c>
      <c r="U193" s="2">
        <v>0.44854899999999998</v>
      </c>
      <c r="V193" s="2">
        <v>192</v>
      </c>
      <c r="W193" s="2">
        <v>2010</v>
      </c>
    </row>
    <row r="194" spans="1:23" ht="12.3" x14ac:dyDescent="0.4">
      <c r="A194" s="2" t="s">
        <v>139</v>
      </c>
      <c r="B194" s="2"/>
      <c r="C194" s="2"/>
      <c r="D194" s="2"/>
      <c r="E194" s="2"/>
      <c r="F194" s="2"/>
      <c r="G194" s="2"/>
      <c r="H194" s="2"/>
      <c r="I194" s="2">
        <v>67.787099999999995</v>
      </c>
      <c r="J194" s="2">
        <v>146</v>
      </c>
      <c r="K194" s="2">
        <v>67.753500000000003</v>
      </c>
      <c r="L194" s="2">
        <v>147</v>
      </c>
      <c r="M194" s="2">
        <v>96.602999999999994</v>
      </c>
      <c r="N194" s="2">
        <v>255</v>
      </c>
      <c r="O194" s="2">
        <v>98.137699999999995</v>
      </c>
      <c r="P194" s="2">
        <v>224</v>
      </c>
      <c r="Q194" s="2">
        <v>98.570599999999999</v>
      </c>
      <c r="R194" s="2">
        <v>117</v>
      </c>
      <c r="S194" s="2">
        <v>99.938999999999993</v>
      </c>
      <c r="T194" s="2">
        <v>139</v>
      </c>
      <c r="U194" s="2">
        <v>0.44789800000000002</v>
      </c>
      <c r="V194" s="2">
        <v>193</v>
      </c>
      <c r="W194" s="2">
        <v>2010</v>
      </c>
    </row>
    <row r="195" spans="1:23" ht="12.3" x14ac:dyDescent="0.4">
      <c r="A195" s="2" t="s">
        <v>235</v>
      </c>
      <c r="B195" s="2"/>
      <c r="C195" s="2"/>
      <c r="D195" s="2"/>
      <c r="E195" s="2"/>
      <c r="F195" s="2"/>
      <c r="G195" s="2"/>
      <c r="H195" s="2"/>
      <c r="I195" s="2">
        <v>64.193100000000001</v>
      </c>
      <c r="J195" s="2">
        <v>294</v>
      </c>
      <c r="K195" s="2">
        <v>64.528800000000004</v>
      </c>
      <c r="L195" s="2">
        <v>284</v>
      </c>
      <c r="M195" s="2">
        <v>99.618700000000004</v>
      </c>
      <c r="N195" s="2">
        <v>198</v>
      </c>
      <c r="O195" s="2">
        <v>100.5067</v>
      </c>
      <c r="P195" s="2">
        <v>186</v>
      </c>
      <c r="Q195" s="2">
        <v>99.663499999999999</v>
      </c>
      <c r="R195" s="2">
        <v>137</v>
      </c>
      <c r="S195" s="2">
        <v>102.3775</v>
      </c>
      <c r="T195" s="2">
        <v>186</v>
      </c>
      <c r="U195" s="2">
        <v>0.44717400000000002</v>
      </c>
      <c r="V195" s="2">
        <v>194</v>
      </c>
      <c r="W195" s="2">
        <v>2010</v>
      </c>
    </row>
    <row r="196" spans="1:23" ht="12.3" x14ac:dyDescent="0.4">
      <c r="A196" s="2" t="s">
        <v>283</v>
      </c>
      <c r="B196" s="2"/>
      <c r="C196" s="2"/>
      <c r="D196" s="2"/>
      <c r="E196" s="2"/>
      <c r="F196" s="2"/>
      <c r="G196" s="2"/>
      <c r="H196" s="2"/>
      <c r="I196" s="2">
        <v>66.402699999999996</v>
      </c>
      <c r="J196" s="2">
        <v>225</v>
      </c>
      <c r="K196" s="2">
        <v>66.428100000000001</v>
      </c>
      <c r="L196" s="2">
        <v>213</v>
      </c>
      <c r="M196" s="2">
        <v>98.324299999999994</v>
      </c>
      <c r="N196" s="2">
        <v>222</v>
      </c>
      <c r="O196" s="2">
        <v>99.501499999999993</v>
      </c>
      <c r="P196" s="2">
        <v>196</v>
      </c>
      <c r="Q196" s="2">
        <v>99.652000000000001</v>
      </c>
      <c r="R196" s="2">
        <v>136</v>
      </c>
      <c r="S196" s="2">
        <v>101.58750000000001</v>
      </c>
      <c r="T196" s="2">
        <v>171</v>
      </c>
      <c r="U196" s="2">
        <v>0.440633</v>
      </c>
      <c r="V196" s="2">
        <v>195</v>
      </c>
      <c r="W196" s="2">
        <v>2010</v>
      </c>
    </row>
    <row r="197" spans="1:23" ht="12.3" x14ac:dyDescent="0.4">
      <c r="A197" s="2" t="s">
        <v>89</v>
      </c>
      <c r="B197" s="2"/>
      <c r="C197" s="2"/>
      <c r="D197" s="2"/>
      <c r="E197" s="2"/>
      <c r="F197" s="2"/>
      <c r="G197" s="2"/>
      <c r="H197" s="2"/>
      <c r="I197" s="2">
        <v>63.961199999999998</v>
      </c>
      <c r="J197" s="2">
        <v>299</v>
      </c>
      <c r="K197" s="2">
        <v>64.425399999999996</v>
      </c>
      <c r="L197" s="2">
        <v>288</v>
      </c>
      <c r="M197" s="2">
        <v>98.007499999999993</v>
      </c>
      <c r="N197" s="2">
        <v>230</v>
      </c>
      <c r="O197" s="2">
        <v>100.77290000000001</v>
      </c>
      <c r="P197" s="2">
        <v>182</v>
      </c>
      <c r="Q197" s="2">
        <v>103.6691</v>
      </c>
      <c r="R197" s="2">
        <v>236</v>
      </c>
      <c r="S197" s="2">
        <v>102.95529999999999</v>
      </c>
      <c r="T197" s="2">
        <v>203</v>
      </c>
      <c r="U197" s="2">
        <v>0.43871100000000002</v>
      </c>
      <c r="V197" s="2">
        <v>196</v>
      </c>
      <c r="W197" s="2">
        <v>2010</v>
      </c>
    </row>
    <row r="198" spans="1:23" ht="12.3" x14ac:dyDescent="0.4">
      <c r="A198" s="2" t="s">
        <v>40</v>
      </c>
      <c r="B198" s="2"/>
      <c r="C198" s="2"/>
      <c r="D198" s="2"/>
      <c r="E198" s="2"/>
      <c r="F198" s="2"/>
      <c r="G198" s="2"/>
      <c r="H198" s="2"/>
      <c r="I198" s="2">
        <v>67.984899999999996</v>
      </c>
      <c r="J198" s="2">
        <v>135</v>
      </c>
      <c r="K198" s="2">
        <v>68.763499999999993</v>
      </c>
      <c r="L198" s="2">
        <v>96</v>
      </c>
      <c r="M198" s="2">
        <v>96.402199999999993</v>
      </c>
      <c r="N198" s="2">
        <v>256</v>
      </c>
      <c r="O198" s="2">
        <v>99.701300000000003</v>
      </c>
      <c r="P198" s="2">
        <v>193</v>
      </c>
      <c r="Q198" s="2">
        <v>104.983</v>
      </c>
      <c r="R198" s="2">
        <v>260</v>
      </c>
      <c r="S198" s="2">
        <v>102.14660000000001</v>
      </c>
      <c r="T198" s="2">
        <v>181</v>
      </c>
      <c r="U198" s="2">
        <v>0.430786</v>
      </c>
      <c r="V198" s="2">
        <v>197</v>
      </c>
      <c r="W198" s="2">
        <v>2010</v>
      </c>
    </row>
    <row r="199" spans="1:23" ht="12.3" x14ac:dyDescent="0.4">
      <c r="A199" s="2" t="s">
        <v>240</v>
      </c>
      <c r="B199" s="2">
        <v>16</v>
      </c>
      <c r="C199" s="2"/>
      <c r="D199" s="2"/>
      <c r="E199" s="2"/>
      <c r="F199" s="2"/>
      <c r="G199" s="2"/>
      <c r="H199" s="2"/>
      <c r="I199" s="2">
        <v>66.888099999999994</v>
      </c>
      <c r="J199" s="2">
        <v>194</v>
      </c>
      <c r="K199" s="2">
        <v>65.785799999999995</v>
      </c>
      <c r="L199" s="2">
        <v>238</v>
      </c>
      <c r="M199" s="2">
        <v>92.6387</v>
      </c>
      <c r="N199" s="2">
        <v>307</v>
      </c>
      <c r="O199" s="2">
        <v>91.037800000000004</v>
      </c>
      <c r="P199" s="2">
        <v>313</v>
      </c>
      <c r="Q199" s="2">
        <v>91.733599999999996</v>
      </c>
      <c r="R199" s="2">
        <v>16</v>
      </c>
      <c r="S199" s="2">
        <v>93.448099999999997</v>
      </c>
      <c r="T199" s="2">
        <v>36</v>
      </c>
      <c r="U199" s="2">
        <v>0.42543199999999998</v>
      </c>
      <c r="V199" s="2">
        <v>198</v>
      </c>
      <c r="W199" s="2">
        <v>2010</v>
      </c>
    </row>
    <row r="200" spans="1:23" ht="12.3" x14ac:dyDescent="0.4">
      <c r="A200" s="2" t="s">
        <v>172</v>
      </c>
      <c r="B200" s="2"/>
      <c r="C200" s="2"/>
      <c r="D200" s="2"/>
      <c r="E200" s="2"/>
      <c r="F200" s="2"/>
      <c r="G200" s="2"/>
      <c r="H200" s="2"/>
      <c r="I200" s="2">
        <v>67.326999999999998</v>
      </c>
      <c r="J200" s="2">
        <v>178</v>
      </c>
      <c r="K200" s="2">
        <v>67.474000000000004</v>
      </c>
      <c r="L200" s="2">
        <v>162</v>
      </c>
      <c r="M200" s="2">
        <v>100.2261</v>
      </c>
      <c r="N200" s="2">
        <v>189</v>
      </c>
      <c r="O200" s="2">
        <v>98.122100000000003</v>
      </c>
      <c r="P200" s="2">
        <v>225</v>
      </c>
      <c r="Q200" s="2">
        <v>99.475700000000003</v>
      </c>
      <c r="R200" s="2">
        <v>133</v>
      </c>
      <c r="S200" s="2">
        <v>100.91249999999999</v>
      </c>
      <c r="T200" s="2">
        <v>159</v>
      </c>
      <c r="U200" s="2">
        <v>0.42007299999999997</v>
      </c>
      <c r="V200" s="2">
        <v>199</v>
      </c>
      <c r="W200" s="2">
        <v>2010</v>
      </c>
    </row>
    <row r="201" spans="1:23" ht="12.3" x14ac:dyDescent="0.4">
      <c r="A201" s="2" t="s">
        <v>179</v>
      </c>
      <c r="B201" s="2"/>
      <c r="C201" s="2"/>
      <c r="D201" s="2"/>
      <c r="E201" s="2"/>
      <c r="F201" s="2"/>
      <c r="G201" s="2"/>
      <c r="H201" s="2"/>
      <c r="I201" s="2">
        <v>59.959899999999998</v>
      </c>
      <c r="J201" s="2">
        <v>342</v>
      </c>
      <c r="K201" s="2">
        <v>60.707999999999998</v>
      </c>
      <c r="L201" s="2">
        <v>338</v>
      </c>
      <c r="M201" s="2">
        <v>100.7123</v>
      </c>
      <c r="N201" s="2">
        <v>183</v>
      </c>
      <c r="O201" s="2">
        <v>98.3874</v>
      </c>
      <c r="P201" s="2">
        <v>214</v>
      </c>
      <c r="Q201" s="2">
        <v>101.36020000000001</v>
      </c>
      <c r="R201" s="2">
        <v>174</v>
      </c>
      <c r="S201" s="2">
        <v>101.1867</v>
      </c>
      <c r="T201" s="2">
        <v>166</v>
      </c>
      <c r="U201" s="2">
        <v>0.42003600000000002</v>
      </c>
      <c r="V201" s="2">
        <v>200</v>
      </c>
      <c r="W201" s="2">
        <v>2010</v>
      </c>
    </row>
    <row r="202" spans="1:23" ht="12.3" x14ac:dyDescent="0.4">
      <c r="A202" s="2" t="s">
        <v>134</v>
      </c>
      <c r="B202" s="2"/>
      <c r="C202" s="2"/>
      <c r="D202" s="2"/>
      <c r="E202" s="2"/>
      <c r="F202" s="2"/>
      <c r="G202" s="2"/>
      <c r="H202" s="2"/>
      <c r="I202" s="2">
        <v>66.671899999999994</v>
      </c>
      <c r="J202" s="2">
        <v>210</v>
      </c>
      <c r="K202" s="2">
        <v>66.260099999999994</v>
      </c>
      <c r="L202" s="2">
        <v>219</v>
      </c>
      <c r="M202" s="2">
        <v>103.42919999999999</v>
      </c>
      <c r="N202" s="2">
        <v>125</v>
      </c>
      <c r="O202" s="2">
        <v>101.7169</v>
      </c>
      <c r="P202" s="2">
        <v>166</v>
      </c>
      <c r="Q202" s="2">
        <v>104.60169999999999</v>
      </c>
      <c r="R202" s="2">
        <v>254</v>
      </c>
      <c r="S202" s="2">
        <v>104.7739</v>
      </c>
      <c r="T202" s="2">
        <v>244</v>
      </c>
      <c r="U202" s="2">
        <v>0.41568100000000002</v>
      </c>
      <c r="V202" s="2">
        <v>201</v>
      </c>
      <c r="W202" s="2">
        <v>2010</v>
      </c>
    </row>
    <row r="203" spans="1:23" ht="12.3" x14ac:dyDescent="0.4">
      <c r="A203" s="2" t="s">
        <v>85</v>
      </c>
      <c r="B203" s="2"/>
      <c r="C203" s="2"/>
      <c r="D203" s="2"/>
      <c r="E203" s="2"/>
      <c r="F203" s="2"/>
      <c r="G203" s="2"/>
      <c r="H203" s="2"/>
      <c r="I203" s="2">
        <v>63.9026</v>
      </c>
      <c r="J203" s="2">
        <v>300</v>
      </c>
      <c r="K203" s="2">
        <v>62.854199999999999</v>
      </c>
      <c r="L203" s="2">
        <v>319</v>
      </c>
      <c r="M203" s="2">
        <v>95.710899999999995</v>
      </c>
      <c r="N203" s="2">
        <v>270</v>
      </c>
      <c r="O203" s="2">
        <v>96.509399999999999</v>
      </c>
      <c r="P203" s="2">
        <v>251</v>
      </c>
      <c r="Q203" s="2">
        <v>103.592</v>
      </c>
      <c r="R203" s="2">
        <v>233</v>
      </c>
      <c r="S203" s="2">
        <v>99.431700000000006</v>
      </c>
      <c r="T203" s="2">
        <v>129</v>
      </c>
      <c r="U203" s="2">
        <v>0.41506900000000002</v>
      </c>
      <c r="V203" s="2">
        <v>202</v>
      </c>
      <c r="W203" s="2">
        <v>2010</v>
      </c>
    </row>
    <row r="204" spans="1:23" ht="12.3" x14ac:dyDescent="0.4">
      <c r="A204" s="2" t="s">
        <v>173</v>
      </c>
      <c r="B204" s="2"/>
      <c r="C204" s="2"/>
      <c r="D204" s="2"/>
      <c r="E204" s="2"/>
      <c r="F204" s="2"/>
      <c r="G204" s="2"/>
      <c r="H204" s="2"/>
      <c r="I204" s="2">
        <v>67.387900000000002</v>
      </c>
      <c r="J204" s="2">
        <v>176</v>
      </c>
      <c r="K204" s="2">
        <v>67.575000000000003</v>
      </c>
      <c r="L204" s="2">
        <v>153</v>
      </c>
      <c r="M204" s="2">
        <v>98.359099999999998</v>
      </c>
      <c r="N204" s="2">
        <v>221</v>
      </c>
      <c r="O204" s="2">
        <v>99.042900000000003</v>
      </c>
      <c r="P204" s="2">
        <v>200</v>
      </c>
      <c r="Q204" s="2">
        <v>106.7555</v>
      </c>
      <c r="R204" s="2">
        <v>294</v>
      </c>
      <c r="S204" s="2">
        <v>102.0656</v>
      </c>
      <c r="T204" s="2">
        <v>179</v>
      </c>
      <c r="U204" s="2">
        <v>0.41442000000000001</v>
      </c>
      <c r="V204" s="2">
        <v>203</v>
      </c>
      <c r="W204" s="2">
        <v>2010</v>
      </c>
    </row>
    <row r="205" spans="1:23" ht="12.3" x14ac:dyDescent="0.4">
      <c r="A205" s="2" t="s">
        <v>200</v>
      </c>
      <c r="B205" s="2"/>
      <c r="C205" s="2"/>
      <c r="D205" s="2"/>
      <c r="E205" s="2"/>
      <c r="F205" s="2"/>
      <c r="G205" s="2"/>
      <c r="H205" s="2"/>
      <c r="I205" s="2">
        <v>67.6648</v>
      </c>
      <c r="J205" s="2">
        <v>156</v>
      </c>
      <c r="K205" s="2">
        <v>68.002499999999998</v>
      </c>
      <c r="L205" s="2">
        <v>132</v>
      </c>
      <c r="M205" s="2">
        <v>98.815299999999993</v>
      </c>
      <c r="N205" s="2">
        <v>212</v>
      </c>
      <c r="O205" s="2">
        <v>101.01009999999999</v>
      </c>
      <c r="P205" s="2">
        <v>176</v>
      </c>
      <c r="Q205" s="2">
        <v>103.55670000000001</v>
      </c>
      <c r="R205" s="2">
        <v>230</v>
      </c>
      <c r="S205" s="2">
        <v>104.5805</v>
      </c>
      <c r="T205" s="2">
        <v>239</v>
      </c>
      <c r="U205" s="2">
        <v>0.40144000000000002</v>
      </c>
      <c r="V205" s="2">
        <v>204</v>
      </c>
      <c r="W205" s="2">
        <v>2010</v>
      </c>
    </row>
    <row r="206" spans="1:23" ht="12.3" x14ac:dyDescent="0.4">
      <c r="A206" s="2" t="s">
        <v>328</v>
      </c>
      <c r="B206" s="2"/>
      <c r="C206" s="2"/>
      <c r="D206" s="2"/>
      <c r="E206" s="2"/>
      <c r="F206" s="2"/>
      <c r="G206" s="2"/>
      <c r="H206" s="2"/>
      <c r="I206" s="2">
        <v>68.133399999999995</v>
      </c>
      <c r="J206" s="2">
        <v>131</v>
      </c>
      <c r="K206" s="2">
        <v>67.431299999999993</v>
      </c>
      <c r="L206" s="2">
        <v>164</v>
      </c>
      <c r="M206" s="2">
        <v>103.28530000000001</v>
      </c>
      <c r="N206" s="2">
        <v>130</v>
      </c>
      <c r="O206" s="2">
        <v>99.464500000000001</v>
      </c>
      <c r="P206" s="2">
        <v>197</v>
      </c>
      <c r="Q206" s="2">
        <v>99.958399999999997</v>
      </c>
      <c r="R206" s="2">
        <v>141</v>
      </c>
      <c r="S206" s="2">
        <v>103.0004</v>
      </c>
      <c r="T206" s="2">
        <v>206</v>
      </c>
      <c r="U206" s="2">
        <v>0.40089799999999998</v>
      </c>
      <c r="V206" s="2">
        <v>205</v>
      </c>
      <c r="W206" s="2">
        <v>2010</v>
      </c>
    </row>
    <row r="207" spans="1:23" ht="12.3" x14ac:dyDescent="0.4">
      <c r="A207" s="2" t="s">
        <v>318</v>
      </c>
      <c r="B207" s="2"/>
      <c r="C207" s="2"/>
      <c r="D207" s="2"/>
      <c r="E207" s="2"/>
      <c r="F207" s="2"/>
      <c r="G207" s="2"/>
      <c r="H207" s="2"/>
      <c r="I207" s="2">
        <v>70.473399999999998</v>
      </c>
      <c r="J207" s="2">
        <v>48</v>
      </c>
      <c r="K207" s="2">
        <v>69.369</v>
      </c>
      <c r="L207" s="2">
        <v>74</v>
      </c>
      <c r="M207" s="2">
        <v>105.9866</v>
      </c>
      <c r="N207" s="2">
        <v>88</v>
      </c>
      <c r="O207" s="2">
        <v>106.2187</v>
      </c>
      <c r="P207" s="2">
        <v>85</v>
      </c>
      <c r="Q207" s="2">
        <v>107.7855</v>
      </c>
      <c r="R207" s="2">
        <v>308</v>
      </c>
      <c r="S207" s="2">
        <v>110.05929999999999</v>
      </c>
      <c r="T207" s="2">
        <v>323</v>
      </c>
      <c r="U207" s="2">
        <v>0.39927800000000002</v>
      </c>
      <c r="V207" s="2">
        <v>206</v>
      </c>
      <c r="W207" s="2">
        <v>2010</v>
      </c>
    </row>
    <row r="208" spans="1:23" ht="12.3" x14ac:dyDescent="0.4">
      <c r="A208" s="2" t="s">
        <v>264</v>
      </c>
      <c r="B208" s="2"/>
      <c r="C208" s="2"/>
      <c r="D208" s="2"/>
      <c r="E208" s="2"/>
      <c r="F208" s="2"/>
      <c r="G208" s="2"/>
      <c r="H208" s="2"/>
      <c r="I208" s="2">
        <v>64.2119</v>
      </c>
      <c r="J208" s="2">
        <v>293</v>
      </c>
      <c r="K208" s="2">
        <v>64.493700000000004</v>
      </c>
      <c r="L208" s="2">
        <v>285</v>
      </c>
      <c r="M208" s="2">
        <v>101.1593</v>
      </c>
      <c r="N208" s="2">
        <v>173</v>
      </c>
      <c r="O208" s="2">
        <v>98.748099999999994</v>
      </c>
      <c r="P208" s="2">
        <v>208</v>
      </c>
      <c r="Q208" s="2">
        <v>101.4842</v>
      </c>
      <c r="R208" s="2">
        <v>177</v>
      </c>
      <c r="S208" s="2">
        <v>102.4286</v>
      </c>
      <c r="T208" s="2">
        <v>189</v>
      </c>
      <c r="U208" s="2">
        <v>0.396318</v>
      </c>
      <c r="V208" s="2">
        <v>207</v>
      </c>
      <c r="W208" s="2">
        <v>2010</v>
      </c>
    </row>
    <row r="209" spans="1:23" ht="12.3" x14ac:dyDescent="0.4">
      <c r="A209" s="2" t="s">
        <v>309</v>
      </c>
      <c r="B209" s="2"/>
      <c r="C209" s="2"/>
      <c r="D209" s="2"/>
      <c r="E209" s="2"/>
      <c r="F209" s="2"/>
      <c r="G209" s="2"/>
      <c r="H209" s="2"/>
      <c r="I209" s="2">
        <v>65.385000000000005</v>
      </c>
      <c r="J209" s="2">
        <v>258</v>
      </c>
      <c r="K209" s="2">
        <v>66.037499999999994</v>
      </c>
      <c r="L209" s="2">
        <v>229</v>
      </c>
      <c r="M209" s="2">
        <v>94.6875</v>
      </c>
      <c r="N209" s="2">
        <v>286</v>
      </c>
      <c r="O209" s="2">
        <v>92.990399999999994</v>
      </c>
      <c r="P209" s="2">
        <v>299</v>
      </c>
      <c r="Q209" s="2">
        <v>94.803700000000006</v>
      </c>
      <c r="R209" s="2">
        <v>44</v>
      </c>
      <c r="S209" s="2">
        <v>96.482500000000002</v>
      </c>
      <c r="T209" s="2">
        <v>69</v>
      </c>
      <c r="U209" s="2">
        <v>0.39557100000000001</v>
      </c>
      <c r="V209" s="2">
        <v>208</v>
      </c>
      <c r="W209" s="2">
        <v>2010</v>
      </c>
    </row>
    <row r="210" spans="1:23" ht="12.3" x14ac:dyDescent="0.4">
      <c r="A210" s="2" t="s">
        <v>185</v>
      </c>
      <c r="B210" s="2"/>
      <c r="C210" s="2"/>
      <c r="D210" s="2"/>
      <c r="E210" s="2"/>
      <c r="F210" s="2"/>
      <c r="G210" s="2"/>
      <c r="H210" s="2"/>
      <c r="I210" s="2">
        <v>64.928200000000004</v>
      </c>
      <c r="J210" s="2">
        <v>273</v>
      </c>
      <c r="K210" s="2">
        <v>64.1464</v>
      </c>
      <c r="L210" s="2">
        <v>292</v>
      </c>
      <c r="M210" s="2">
        <v>104.1961</v>
      </c>
      <c r="N210" s="2">
        <v>110</v>
      </c>
      <c r="O210" s="2">
        <v>101.96769999999999</v>
      </c>
      <c r="P210" s="2">
        <v>161</v>
      </c>
      <c r="Q210" s="2">
        <v>102.3425</v>
      </c>
      <c r="R210" s="2">
        <v>189</v>
      </c>
      <c r="S210" s="2">
        <v>105.8963</v>
      </c>
      <c r="T210" s="2">
        <v>264</v>
      </c>
      <c r="U210" s="2">
        <v>0.39299400000000001</v>
      </c>
      <c r="V210" s="2">
        <v>209</v>
      </c>
      <c r="W210" s="2">
        <v>2010</v>
      </c>
    </row>
    <row r="211" spans="1:23" ht="12.3" x14ac:dyDescent="0.4">
      <c r="A211" s="2" t="s">
        <v>218</v>
      </c>
      <c r="B211" s="2"/>
      <c r="C211" s="2"/>
      <c r="D211" s="2"/>
      <c r="E211" s="2"/>
      <c r="F211" s="2"/>
      <c r="G211" s="2"/>
      <c r="H211" s="2"/>
      <c r="I211" s="2">
        <v>68.784099999999995</v>
      </c>
      <c r="J211" s="2">
        <v>100</v>
      </c>
      <c r="K211" s="2">
        <v>68.854799999999997</v>
      </c>
      <c r="L211" s="2">
        <v>93</v>
      </c>
      <c r="M211" s="2">
        <v>103.5723</v>
      </c>
      <c r="N211" s="2">
        <v>122</v>
      </c>
      <c r="O211" s="2">
        <v>101.8396</v>
      </c>
      <c r="P211" s="2">
        <v>164</v>
      </c>
      <c r="Q211" s="2">
        <v>105.0324</v>
      </c>
      <c r="R211" s="2">
        <v>262</v>
      </c>
      <c r="S211" s="2">
        <v>105.9203</v>
      </c>
      <c r="T211" s="2">
        <v>266</v>
      </c>
      <c r="U211" s="2">
        <v>0.38893</v>
      </c>
      <c r="V211" s="2">
        <v>210</v>
      </c>
      <c r="W211" s="2">
        <v>2010</v>
      </c>
    </row>
    <row r="212" spans="1:23" ht="12.3" x14ac:dyDescent="0.4">
      <c r="A212" s="2" t="s">
        <v>152</v>
      </c>
      <c r="B212" s="2"/>
      <c r="C212" s="2"/>
      <c r="D212" s="2"/>
      <c r="E212" s="2"/>
      <c r="F212" s="2"/>
      <c r="G212" s="2"/>
      <c r="H212" s="2"/>
      <c r="I212" s="2">
        <v>62.781500000000001</v>
      </c>
      <c r="J212" s="2">
        <v>321</v>
      </c>
      <c r="K212" s="2">
        <v>63.268999999999998</v>
      </c>
      <c r="L212" s="2">
        <v>314</v>
      </c>
      <c r="M212" s="2">
        <v>97.295100000000005</v>
      </c>
      <c r="N212" s="2">
        <v>244</v>
      </c>
      <c r="O212" s="2">
        <v>98.823400000000007</v>
      </c>
      <c r="P212" s="2">
        <v>206</v>
      </c>
      <c r="Q212" s="2">
        <v>100.97499999999999</v>
      </c>
      <c r="R212" s="2">
        <v>163</v>
      </c>
      <c r="S212" s="2">
        <v>102.84</v>
      </c>
      <c r="T212" s="2">
        <v>199</v>
      </c>
      <c r="U212" s="2">
        <v>0.38742199999999999</v>
      </c>
      <c r="V212" s="2">
        <v>211</v>
      </c>
      <c r="W212" s="2">
        <v>2010</v>
      </c>
    </row>
    <row r="213" spans="1:23" ht="12.3" x14ac:dyDescent="0.4">
      <c r="A213" s="2" t="s">
        <v>227</v>
      </c>
      <c r="B213" s="2"/>
      <c r="C213" s="2"/>
      <c r="D213" s="2"/>
      <c r="E213" s="2"/>
      <c r="F213" s="2"/>
      <c r="G213" s="2"/>
      <c r="H213" s="2"/>
      <c r="I213" s="2">
        <v>67.578500000000005</v>
      </c>
      <c r="J213" s="2">
        <v>161</v>
      </c>
      <c r="K213" s="2">
        <v>67.288300000000007</v>
      </c>
      <c r="L213" s="2">
        <v>173</v>
      </c>
      <c r="M213" s="2">
        <v>103.4858</v>
      </c>
      <c r="N213" s="2">
        <v>124</v>
      </c>
      <c r="O213" s="2">
        <v>102.1039</v>
      </c>
      <c r="P213" s="2">
        <v>157</v>
      </c>
      <c r="Q213" s="2">
        <v>106.617</v>
      </c>
      <c r="R213" s="2">
        <v>291</v>
      </c>
      <c r="S213" s="2">
        <v>106.5017</v>
      </c>
      <c r="T213" s="2">
        <v>278</v>
      </c>
      <c r="U213" s="2">
        <v>0.38108300000000001</v>
      </c>
      <c r="V213" s="2">
        <v>212</v>
      </c>
      <c r="W213" s="2">
        <v>2010</v>
      </c>
    </row>
    <row r="214" spans="1:23" ht="12.3" x14ac:dyDescent="0.4">
      <c r="A214" s="2" t="s">
        <v>340</v>
      </c>
      <c r="B214" s="2"/>
      <c r="C214" s="2"/>
      <c r="D214" s="2"/>
      <c r="E214" s="2"/>
      <c r="F214" s="2"/>
      <c r="G214" s="2"/>
      <c r="H214" s="2"/>
      <c r="I214" s="2">
        <v>66.637799999999999</v>
      </c>
      <c r="J214" s="2">
        <v>212</v>
      </c>
      <c r="K214" s="2">
        <v>66.883899999999997</v>
      </c>
      <c r="L214" s="2">
        <v>189</v>
      </c>
      <c r="M214" s="2">
        <v>97.106999999999999</v>
      </c>
      <c r="N214" s="2">
        <v>247</v>
      </c>
      <c r="O214" s="2">
        <v>98.386099999999999</v>
      </c>
      <c r="P214" s="2">
        <v>215</v>
      </c>
      <c r="Q214" s="2">
        <v>98.762900000000002</v>
      </c>
      <c r="R214" s="2">
        <v>123</v>
      </c>
      <c r="S214" s="2">
        <v>102.7777</v>
      </c>
      <c r="T214" s="2">
        <v>198</v>
      </c>
      <c r="U214" s="2">
        <v>0.377025</v>
      </c>
      <c r="V214" s="2">
        <v>213</v>
      </c>
      <c r="W214" s="2">
        <v>2010</v>
      </c>
    </row>
    <row r="215" spans="1:23" ht="12.3" x14ac:dyDescent="0.4">
      <c r="A215" s="2" t="s">
        <v>254</v>
      </c>
      <c r="B215" s="2"/>
      <c r="C215" s="2"/>
      <c r="D215" s="2"/>
      <c r="E215" s="2"/>
      <c r="F215" s="2"/>
      <c r="G215" s="2"/>
      <c r="H215" s="2"/>
      <c r="I215" s="2">
        <v>66.696899999999999</v>
      </c>
      <c r="J215" s="2">
        <v>207</v>
      </c>
      <c r="K215" s="2">
        <v>67.361999999999995</v>
      </c>
      <c r="L215" s="2">
        <v>166</v>
      </c>
      <c r="M215" s="2">
        <v>98.229200000000006</v>
      </c>
      <c r="N215" s="2">
        <v>225</v>
      </c>
      <c r="O215" s="2">
        <v>98.371099999999998</v>
      </c>
      <c r="P215" s="2">
        <v>219</v>
      </c>
      <c r="Q215" s="2">
        <v>105.8151</v>
      </c>
      <c r="R215" s="2">
        <v>281</v>
      </c>
      <c r="S215" s="2">
        <v>102.9149</v>
      </c>
      <c r="T215" s="2">
        <v>202</v>
      </c>
      <c r="U215" s="2">
        <v>0.37302000000000002</v>
      </c>
      <c r="V215" s="2">
        <v>214</v>
      </c>
      <c r="W215" s="2">
        <v>2010</v>
      </c>
    </row>
    <row r="216" spans="1:23" ht="12.3" x14ac:dyDescent="0.4">
      <c r="A216" s="2" t="s">
        <v>223</v>
      </c>
      <c r="B216" s="2"/>
      <c r="C216" s="2"/>
      <c r="D216" s="2"/>
      <c r="E216" s="2"/>
      <c r="F216" s="2"/>
      <c r="G216" s="2"/>
      <c r="H216" s="2"/>
      <c r="I216" s="2">
        <v>70.5548</v>
      </c>
      <c r="J216" s="2">
        <v>45</v>
      </c>
      <c r="K216" s="2">
        <v>68.693899999999999</v>
      </c>
      <c r="L216" s="2">
        <v>100</v>
      </c>
      <c r="M216" s="2">
        <v>97.355400000000003</v>
      </c>
      <c r="N216" s="2">
        <v>242</v>
      </c>
      <c r="O216" s="2">
        <v>93.993200000000002</v>
      </c>
      <c r="P216" s="2">
        <v>287</v>
      </c>
      <c r="Q216" s="2">
        <v>96.234499999999997</v>
      </c>
      <c r="R216" s="2">
        <v>63</v>
      </c>
      <c r="S216" s="2">
        <v>98.348399999999998</v>
      </c>
      <c r="T216" s="2">
        <v>106</v>
      </c>
      <c r="U216" s="2">
        <v>0.37264700000000001</v>
      </c>
      <c r="V216" s="2">
        <v>215</v>
      </c>
      <c r="W216" s="2">
        <v>2010</v>
      </c>
    </row>
    <row r="217" spans="1:23" ht="12.3" x14ac:dyDescent="0.4">
      <c r="A217" s="2" t="s">
        <v>117</v>
      </c>
      <c r="B217" s="2"/>
      <c r="C217" s="2"/>
      <c r="D217" s="2"/>
      <c r="E217" s="2"/>
      <c r="F217" s="2"/>
      <c r="G217" s="2"/>
      <c r="H217" s="2"/>
      <c r="I217" s="2">
        <v>66.539699999999996</v>
      </c>
      <c r="J217" s="2">
        <v>218</v>
      </c>
      <c r="K217" s="2">
        <v>66.800899999999999</v>
      </c>
      <c r="L217" s="2">
        <v>193</v>
      </c>
      <c r="M217" s="2">
        <v>101.215</v>
      </c>
      <c r="N217" s="2">
        <v>171</v>
      </c>
      <c r="O217" s="2">
        <v>98.208699999999993</v>
      </c>
      <c r="P217" s="2">
        <v>222</v>
      </c>
      <c r="Q217" s="2">
        <v>101.4576</v>
      </c>
      <c r="R217" s="2">
        <v>176</v>
      </c>
      <c r="S217" s="2">
        <v>102.8897</v>
      </c>
      <c r="T217" s="2">
        <v>200</v>
      </c>
      <c r="U217" s="2">
        <v>0.36924200000000001</v>
      </c>
      <c r="V217" s="2">
        <v>216</v>
      </c>
      <c r="W217" s="2">
        <v>2010</v>
      </c>
    </row>
    <row r="218" spans="1:23" ht="12.3" x14ac:dyDescent="0.4">
      <c r="A218" s="2" t="s">
        <v>133</v>
      </c>
      <c r="B218" s="2"/>
      <c r="C218" s="2"/>
      <c r="D218" s="2"/>
      <c r="E218" s="2"/>
      <c r="F218" s="2"/>
      <c r="G218" s="2"/>
      <c r="H218" s="2"/>
      <c r="I218" s="2">
        <v>63.482799999999997</v>
      </c>
      <c r="J218" s="2">
        <v>311</v>
      </c>
      <c r="K218" s="2">
        <v>63.344299999999997</v>
      </c>
      <c r="L218" s="2">
        <v>313</v>
      </c>
      <c r="M218" s="2">
        <v>96.391900000000007</v>
      </c>
      <c r="N218" s="2">
        <v>257</v>
      </c>
      <c r="O218" s="2">
        <v>96.396199999999993</v>
      </c>
      <c r="P218" s="2">
        <v>253</v>
      </c>
      <c r="Q218" s="2">
        <v>103.3964</v>
      </c>
      <c r="R218" s="2">
        <v>224</v>
      </c>
      <c r="S218" s="2">
        <v>101.02460000000001</v>
      </c>
      <c r="T218" s="2">
        <v>163</v>
      </c>
      <c r="U218" s="2">
        <v>0.36834800000000001</v>
      </c>
      <c r="V218" s="2">
        <v>217</v>
      </c>
      <c r="W218" s="2">
        <v>2010</v>
      </c>
    </row>
    <row r="219" spans="1:23" ht="12.3" x14ac:dyDescent="0.4">
      <c r="A219" s="2" t="s">
        <v>357</v>
      </c>
      <c r="B219" s="2"/>
      <c r="C219" s="2"/>
      <c r="D219" s="2"/>
      <c r="E219" s="2"/>
      <c r="F219" s="2"/>
      <c r="G219" s="2"/>
      <c r="H219" s="2"/>
      <c r="I219" s="2">
        <v>68.756600000000006</v>
      </c>
      <c r="J219" s="2">
        <v>104</v>
      </c>
      <c r="K219" s="2">
        <v>67.761700000000005</v>
      </c>
      <c r="L219" s="2">
        <v>146</v>
      </c>
      <c r="M219" s="2">
        <v>99.025999999999996</v>
      </c>
      <c r="N219" s="2">
        <v>206</v>
      </c>
      <c r="O219" s="2">
        <v>99.694100000000006</v>
      </c>
      <c r="P219" s="2">
        <v>194</v>
      </c>
      <c r="Q219" s="2">
        <v>103.7839</v>
      </c>
      <c r="R219" s="2">
        <v>237</v>
      </c>
      <c r="S219" s="2">
        <v>104.57429999999999</v>
      </c>
      <c r="T219" s="2">
        <v>238</v>
      </c>
      <c r="U219" s="2">
        <v>0.365956</v>
      </c>
      <c r="V219" s="2">
        <v>218</v>
      </c>
      <c r="W219" s="2">
        <v>2010</v>
      </c>
    </row>
    <row r="220" spans="1:23" ht="12.3" x14ac:dyDescent="0.4">
      <c r="A220" s="2" t="s">
        <v>83</v>
      </c>
      <c r="B220" s="2"/>
      <c r="C220" s="2"/>
      <c r="D220" s="2"/>
      <c r="E220" s="2"/>
      <c r="F220" s="2"/>
      <c r="G220" s="2"/>
      <c r="H220" s="2"/>
      <c r="I220" s="2">
        <v>69.203999999999994</v>
      </c>
      <c r="J220" s="2">
        <v>83</v>
      </c>
      <c r="K220" s="2">
        <v>69.398799999999994</v>
      </c>
      <c r="L220" s="2">
        <v>72</v>
      </c>
      <c r="M220" s="2">
        <v>95.346599999999995</v>
      </c>
      <c r="N220" s="2">
        <v>275</v>
      </c>
      <c r="O220" s="2">
        <v>97.190899999999999</v>
      </c>
      <c r="P220" s="2">
        <v>239</v>
      </c>
      <c r="Q220" s="2">
        <v>103.0817</v>
      </c>
      <c r="R220" s="2">
        <v>214</v>
      </c>
      <c r="S220" s="2">
        <v>101.97539999999999</v>
      </c>
      <c r="T220" s="2">
        <v>174</v>
      </c>
      <c r="U220" s="2">
        <v>0.365255</v>
      </c>
      <c r="V220" s="2">
        <v>219</v>
      </c>
      <c r="W220" s="2">
        <v>2010</v>
      </c>
    </row>
    <row r="221" spans="1:23" ht="12.3" x14ac:dyDescent="0.4">
      <c r="A221" s="2" t="s">
        <v>311</v>
      </c>
      <c r="B221" s="2"/>
      <c r="C221" s="2"/>
      <c r="D221" s="2"/>
      <c r="E221" s="2"/>
      <c r="F221" s="2"/>
      <c r="G221" s="2"/>
      <c r="H221" s="2"/>
      <c r="I221" s="2">
        <v>68.552000000000007</v>
      </c>
      <c r="J221" s="2">
        <v>117</v>
      </c>
      <c r="K221" s="2">
        <v>69.114400000000003</v>
      </c>
      <c r="L221" s="2">
        <v>83</v>
      </c>
      <c r="M221" s="2">
        <v>102.0518</v>
      </c>
      <c r="N221" s="2">
        <v>151</v>
      </c>
      <c r="O221" s="2">
        <v>101.0789</v>
      </c>
      <c r="P221" s="2">
        <v>173</v>
      </c>
      <c r="Q221" s="2">
        <v>104.21129999999999</v>
      </c>
      <c r="R221" s="2">
        <v>247</v>
      </c>
      <c r="S221" s="2">
        <v>106.22320000000001</v>
      </c>
      <c r="T221" s="2">
        <v>273</v>
      </c>
      <c r="U221" s="2">
        <v>0.36103600000000002</v>
      </c>
      <c r="V221" s="2">
        <v>220</v>
      </c>
      <c r="W221" s="2">
        <v>2010</v>
      </c>
    </row>
    <row r="222" spans="1:23" ht="12.3" x14ac:dyDescent="0.4">
      <c r="A222" s="2" t="s">
        <v>362</v>
      </c>
      <c r="B222" s="2"/>
      <c r="C222" s="2"/>
      <c r="D222" s="2"/>
      <c r="E222" s="2"/>
      <c r="F222" s="2"/>
      <c r="G222" s="2"/>
      <c r="H222" s="2"/>
      <c r="I222" s="2">
        <v>68.286199999999994</v>
      </c>
      <c r="J222" s="2">
        <v>130</v>
      </c>
      <c r="K222" s="2">
        <v>68.500399999999999</v>
      </c>
      <c r="L222" s="2">
        <v>110</v>
      </c>
      <c r="M222" s="2">
        <v>106.22790000000001</v>
      </c>
      <c r="N222" s="2">
        <v>85</v>
      </c>
      <c r="O222" s="2">
        <v>103.8888</v>
      </c>
      <c r="P222" s="2">
        <v>132</v>
      </c>
      <c r="Q222" s="2">
        <v>107.3955</v>
      </c>
      <c r="R222" s="2">
        <v>302</v>
      </c>
      <c r="S222" s="2">
        <v>109.2214</v>
      </c>
      <c r="T222" s="2">
        <v>310</v>
      </c>
      <c r="U222" s="2">
        <v>0.35993399999999998</v>
      </c>
      <c r="V222" s="2">
        <v>221</v>
      </c>
      <c r="W222" s="2">
        <v>2010</v>
      </c>
    </row>
    <row r="223" spans="1:23" ht="12.3" x14ac:dyDescent="0.4">
      <c r="A223" s="2" t="s">
        <v>101</v>
      </c>
      <c r="B223" s="2"/>
      <c r="C223" s="2"/>
      <c r="D223" s="2"/>
      <c r="E223" s="2"/>
      <c r="F223" s="2"/>
      <c r="G223" s="2"/>
      <c r="H223" s="2"/>
      <c r="I223" s="2">
        <v>62.857799999999997</v>
      </c>
      <c r="J223" s="2">
        <v>320</v>
      </c>
      <c r="K223" s="2">
        <v>63.5518</v>
      </c>
      <c r="L223" s="2">
        <v>309</v>
      </c>
      <c r="M223" s="2">
        <v>92.948999999999998</v>
      </c>
      <c r="N223" s="2">
        <v>305</v>
      </c>
      <c r="O223" s="2">
        <v>93.103499999999997</v>
      </c>
      <c r="P223" s="2">
        <v>296</v>
      </c>
      <c r="Q223" s="2">
        <v>96.878100000000003</v>
      </c>
      <c r="R223" s="2">
        <v>79</v>
      </c>
      <c r="S223" s="2">
        <v>98.324799999999996</v>
      </c>
      <c r="T223" s="2">
        <v>105</v>
      </c>
      <c r="U223" s="2">
        <v>0.348078</v>
      </c>
      <c r="V223" s="2">
        <v>222</v>
      </c>
      <c r="W223" s="2">
        <v>2010</v>
      </c>
    </row>
    <row r="224" spans="1:23" ht="12.3" x14ac:dyDescent="0.4">
      <c r="A224" s="2" t="s">
        <v>354</v>
      </c>
      <c r="B224" s="2"/>
      <c r="C224" s="2"/>
      <c r="D224" s="2"/>
      <c r="E224" s="2"/>
      <c r="F224" s="2"/>
      <c r="G224" s="2"/>
      <c r="H224" s="2"/>
      <c r="I224" s="2">
        <v>75.694199999999995</v>
      </c>
      <c r="J224" s="2">
        <v>3</v>
      </c>
      <c r="K224" s="2">
        <v>75.879400000000004</v>
      </c>
      <c r="L224" s="2">
        <v>3</v>
      </c>
      <c r="M224" s="2">
        <v>97.778999999999996</v>
      </c>
      <c r="N224" s="2">
        <v>232</v>
      </c>
      <c r="O224" s="2">
        <v>97.758899999999997</v>
      </c>
      <c r="P224" s="2">
        <v>229</v>
      </c>
      <c r="Q224" s="2">
        <v>103.3952</v>
      </c>
      <c r="R224" s="2">
        <v>223</v>
      </c>
      <c r="S224" s="2">
        <v>103.37739999999999</v>
      </c>
      <c r="T224" s="2">
        <v>214</v>
      </c>
      <c r="U224" s="2">
        <v>0.34464699999999998</v>
      </c>
      <c r="V224" s="2">
        <v>223</v>
      </c>
      <c r="W224" s="2">
        <v>2010</v>
      </c>
    </row>
    <row r="225" spans="1:23" ht="12.3" x14ac:dyDescent="0.4">
      <c r="A225" s="2" t="s">
        <v>135</v>
      </c>
      <c r="B225" s="2"/>
      <c r="C225" s="2"/>
      <c r="D225" s="2"/>
      <c r="E225" s="2"/>
      <c r="F225" s="2"/>
      <c r="G225" s="2"/>
      <c r="H225" s="2"/>
      <c r="I225" s="2">
        <v>67.691800000000001</v>
      </c>
      <c r="J225" s="2">
        <v>154</v>
      </c>
      <c r="K225" s="2">
        <v>67.551900000000003</v>
      </c>
      <c r="L225" s="2">
        <v>158</v>
      </c>
      <c r="M225" s="2">
        <v>97.418999999999997</v>
      </c>
      <c r="N225" s="2">
        <v>240</v>
      </c>
      <c r="O225" s="2">
        <v>93.428899999999999</v>
      </c>
      <c r="P225" s="2">
        <v>293</v>
      </c>
      <c r="Q225" s="2">
        <v>94.598100000000002</v>
      </c>
      <c r="R225" s="2">
        <v>42</v>
      </c>
      <c r="S225" s="2">
        <v>98.876800000000003</v>
      </c>
      <c r="T225" s="2">
        <v>116</v>
      </c>
      <c r="U225" s="2">
        <v>0.34259600000000001</v>
      </c>
      <c r="V225" s="2">
        <v>224</v>
      </c>
      <c r="W225" s="2">
        <v>2010</v>
      </c>
    </row>
    <row r="226" spans="1:23" ht="12.3" x14ac:dyDescent="0.4">
      <c r="A226" s="2" t="s">
        <v>198</v>
      </c>
      <c r="B226" s="2"/>
      <c r="C226" s="2"/>
      <c r="D226" s="2"/>
      <c r="E226" s="2"/>
      <c r="F226" s="2"/>
      <c r="G226" s="2"/>
      <c r="H226" s="2"/>
      <c r="I226" s="2">
        <v>72.549099999999996</v>
      </c>
      <c r="J226" s="2">
        <v>19</v>
      </c>
      <c r="K226" s="2">
        <v>71.914299999999997</v>
      </c>
      <c r="L226" s="2">
        <v>22</v>
      </c>
      <c r="M226" s="2">
        <v>96.960899999999995</v>
      </c>
      <c r="N226" s="2">
        <v>249</v>
      </c>
      <c r="O226" s="2">
        <v>96.109300000000005</v>
      </c>
      <c r="P226" s="2">
        <v>258</v>
      </c>
      <c r="Q226" s="2">
        <v>102.39870000000001</v>
      </c>
      <c r="R226" s="2">
        <v>191</v>
      </c>
      <c r="S226" s="2">
        <v>101.9765</v>
      </c>
      <c r="T226" s="2">
        <v>175</v>
      </c>
      <c r="U226" s="2">
        <v>0.33593899999999999</v>
      </c>
      <c r="V226" s="2">
        <v>225</v>
      </c>
      <c r="W226" s="2">
        <v>2010</v>
      </c>
    </row>
    <row r="227" spans="1:23" ht="12.3" x14ac:dyDescent="0.4">
      <c r="A227" s="2" t="s">
        <v>206</v>
      </c>
      <c r="B227" s="2"/>
      <c r="C227" s="2"/>
      <c r="D227" s="2"/>
      <c r="E227" s="2"/>
      <c r="F227" s="2"/>
      <c r="G227" s="2"/>
      <c r="H227" s="2"/>
      <c r="I227" s="2">
        <v>68.678100000000001</v>
      </c>
      <c r="J227" s="2">
        <v>111</v>
      </c>
      <c r="K227" s="2">
        <v>68.516999999999996</v>
      </c>
      <c r="L227" s="2">
        <v>109</v>
      </c>
      <c r="M227" s="2">
        <v>96.654899999999998</v>
      </c>
      <c r="N227" s="2">
        <v>253</v>
      </c>
      <c r="O227" s="2">
        <v>100.5111</v>
      </c>
      <c r="P227" s="2">
        <v>185</v>
      </c>
      <c r="Q227" s="2">
        <v>110.1579</v>
      </c>
      <c r="R227" s="2">
        <v>331</v>
      </c>
      <c r="S227" s="2">
        <v>106.7311</v>
      </c>
      <c r="T227" s="2">
        <v>279</v>
      </c>
      <c r="U227" s="2">
        <v>0.33391999999999999</v>
      </c>
      <c r="V227" s="2">
        <v>226</v>
      </c>
      <c r="W227" s="2">
        <v>2010</v>
      </c>
    </row>
    <row r="228" spans="1:23" ht="12.3" x14ac:dyDescent="0.4">
      <c r="A228" s="2" t="s">
        <v>150</v>
      </c>
      <c r="B228" s="2"/>
      <c r="C228" s="2"/>
      <c r="D228" s="2"/>
      <c r="E228" s="2"/>
      <c r="F228" s="2"/>
      <c r="G228" s="2"/>
      <c r="H228" s="2"/>
      <c r="I228" s="2">
        <v>64.273799999999994</v>
      </c>
      <c r="J228" s="2">
        <v>291</v>
      </c>
      <c r="K228" s="2">
        <v>64.326899999999995</v>
      </c>
      <c r="L228" s="2">
        <v>289</v>
      </c>
      <c r="M228" s="2">
        <v>99.547799999999995</v>
      </c>
      <c r="N228" s="2">
        <v>200</v>
      </c>
      <c r="O228" s="2">
        <v>99.681600000000003</v>
      </c>
      <c r="P228" s="2">
        <v>195</v>
      </c>
      <c r="Q228" s="2">
        <v>106.3501</v>
      </c>
      <c r="R228" s="2">
        <v>288</v>
      </c>
      <c r="S228" s="2">
        <v>105.97790000000001</v>
      </c>
      <c r="T228" s="2">
        <v>269</v>
      </c>
      <c r="U228" s="2">
        <v>0.33084599999999997</v>
      </c>
      <c r="V228" s="2">
        <v>227</v>
      </c>
      <c r="W228" s="2">
        <v>2010</v>
      </c>
    </row>
    <row r="229" spans="1:23" ht="12.3" x14ac:dyDescent="0.4">
      <c r="A229" s="2" t="s">
        <v>293</v>
      </c>
      <c r="B229" s="2"/>
      <c r="C229" s="2"/>
      <c r="D229" s="2"/>
      <c r="E229" s="2"/>
      <c r="F229" s="2"/>
      <c r="G229" s="2"/>
      <c r="H229" s="2"/>
      <c r="I229" s="2">
        <v>68.563400000000001</v>
      </c>
      <c r="J229" s="2">
        <v>115</v>
      </c>
      <c r="K229" s="2">
        <v>69.377099999999999</v>
      </c>
      <c r="L229" s="2">
        <v>73</v>
      </c>
      <c r="M229" s="2">
        <v>99.038899999999998</v>
      </c>
      <c r="N229" s="2">
        <v>205</v>
      </c>
      <c r="O229" s="2">
        <v>101.5838</v>
      </c>
      <c r="P229" s="2">
        <v>168</v>
      </c>
      <c r="Q229" s="2">
        <v>110.36</v>
      </c>
      <c r="R229" s="2">
        <v>335</v>
      </c>
      <c r="S229" s="2">
        <v>108.173</v>
      </c>
      <c r="T229" s="2">
        <v>296</v>
      </c>
      <c r="U229" s="2">
        <v>0.32679000000000002</v>
      </c>
      <c r="V229" s="2">
        <v>228</v>
      </c>
      <c r="W229" s="2">
        <v>2010</v>
      </c>
    </row>
    <row r="230" spans="1:23" ht="12.3" x14ac:dyDescent="0.4">
      <c r="A230" s="2" t="s">
        <v>292</v>
      </c>
      <c r="B230" s="2"/>
      <c r="C230" s="2"/>
      <c r="D230" s="2"/>
      <c r="E230" s="2"/>
      <c r="F230" s="2"/>
      <c r="G230" s="2"/>
      <c r="H230" s="2"/>
      <c r="I230" s="2">
        <v>65.725399999999993</v>
      </c>
      <c r="J230" s="2">
        <v>249</v>
      </c>
      <c r="K230" s="2">
        <v>66.608199999999997</v>
      </c>
      <c r="L230" s="2">
        <v>205</v>
      </c>
      <c r="M230" s="2">
        <v>95.938299999999998</v>
      </c>
      <c r="N230" s="2">
        <v>266</v>
      </c>
      <c r="O230" s="2">
        <v>95.777600000000007</v>
      </c>
      <c r="P230" s="2">
        <v>261</v>
      </c>
      <c r="Q230" s="2">
        <v>103.94889999999999</v>
      </c>
      <c r="R230" s="2">
        <v>242</v>
      </c>
      <c r="S230" s="2">
        <v>102.01739999999999</v>
      </c>
      <c r="T230" s="2">
        <v>177</v>
      </c>
      <c r="U230" s="2">
        <v>0.32611299999999999</v>
      </c>
      <c r="V230" s="2">
        <v>229</v>
      </c>
      <c r="W230" s="2">
        <v>2010</v>
      </c>
    </row>
    <row r="231" spans="1:23" ht="12.3" x14ac:dyDescent="0.4">
      <c r="A231" s="2" t="s">
        <v>322</v>
      </c>
      <c r="B231" s="2"/>
      <c r="C231" s="2"/>
      <c r="D231" s="2"/>
      <c r="E231" s="2"/>
      <c r="F231" s="2"/>
      <c r="G231" s="2"/>
      <c r="H231" s="2"/>
      <c r="I231" s="2">
        <v>67.4101</v>
      </c>
      <c r="J231" s="2">
        <v>173</v>
      </c>
      <c r="K231" s="2">
        <v>67.133300000000006</v>
      </c>
      <c r="L231" s="2">
        <v>181</v>
      </c>
      <c r="M231" s="2">
        <v>98.180800000000005</v>
      </c>
      <c r="N231" s="2">
        <v>226</v>
      </c>
      <c r="O231" s="2">
        <v>96.185500000000005</v>
      </c>
      <c r="P231" s="2">
        <v>257</v>
      </c>
      <c r="Q231" s="2">
        <v>101.08620000000001</v>
      </c>
      <c r="R231" s="2">
        <v>167</v>
      </c>
      <c r="S231" s="2">
        <v>102.7097</v>
      </c>
      <c r="T231" s="2">
        <v>195</v>
      </c>
      <c r="U231" s="2">
        <v>0.31979200000000002</v>
      </c>
      <c r="V231" s="2">
        <v>230</v>
      </c>
      <c r="W231" s="2">
        <v>2010</v>
      </c>
    </row>
    <row r="232" spans="1:23" ht="12.3" x14ac:dyDescent="0.4">
      <c r="A232" s="2" t="s">
        <v>161</v>
      </c>
      <c r="B232" s="2"/>
      <c r="C232" s="2"/>
      <c r="D232" s="2"/>
      <c r="E232" s="2"/>
      <c r="F232" s="2"/>
      <c r="G232" s="2"/>
      <c r="H232" s="2"/>
      <c r="I232" s="2">
        <v>66.119699999999995</v>
      </c>
      <c r="J232" s="2">
        <v>235</v>
      </c>
      <c r="K232" s="2">
        <v>67.028599999999997</v>
      </c>
      <c r="L232" s="2">
        <v>187</v>
      </c>
      <c r="M232" s="2">
        <v>93.402299999999997</v>
      </c>
      <c r="N232" s="2">
        <v>299</v>
      </c>
      <c r="O232" s="2">
        <v>92.860100000000003</v>
      </c>
      <c r="P232" s="2">
        <v>300</v>
      </c>
      <c r="Q232" s="2">
        <v>100.87739999999999</v>
      </c>
      <c r="R232" s="2">
        <v>159</v>
      </c>
      <c r="S232" s="2">
        <v>99.194800000000001</v>
      </c>
      <c r="T232" s="2">
        <v>124</v>
      </c>
      <c r="U232" s="2">
        <v>0.318884</v>
      </c>
      <c r="V232" s="2">
        <v>231</v>
      </c>
      <c r="W232" s="2">
        <v>2010</v>
      </c>
    </row>
    <row r="233" spans="1:23" ht="12.3" x14ac:dyDescent="0.4">
      <c r="A233" s="2" t="s">
        <v>284</v>
      </c>
      <c r="B233" s="2"/>
      <c r="C233" s="2"/>
      <c r="D233" s="2"/>
      <c r="E233" s="2"/>
      <c r="F233" s="2"/>
      <c r="G233" s="2"/>
      <c r="H233" s="2"/>
      <c r="I233" s="2">
        <v>62.353499999999997</v>
      </c>
      <c r="J233" s="2">
        <v>326</v>
      </c>
      <c r="K233" s="2">
        <v>62.187100000000001</v>
      </c>
      <c r="L233" s="2">
        <v>325</v>
      </c>
      <c r="M233" s="2">
        <v>97.1995</v>
      </c>
      <c r="N233" s="2">
        <v>246</v>
      </c>
      <c r="O233" s="2">
        <v>97.0505</v>
      </c>
      <c r="P233" s="2">
        <v>242</v>
      </c>
      <c r="Q233" s="2">
        <v>102.06789999999999</v>
      </c>
      <c r="R233" s="2">
        <v>184</v>
      </c>
      <c r="S233" s="2">
        <v>103.7081</v>
      </c>
      <c r="T233" s="2">
        <v>220</v>
      </c>
      <c r="U233" s="2">
        <v>0.317992</v>
      </c>
      <c r="V233" s="2">
        <v>232</v>
      </c>
      <c r="W233" s="2">
        <v>2010</v>
      </c>
    </row>
    <row r="234" spans="1:23" ht="12.3" x14ac:dyDescent="0.4">
      <c r="A234" s="2" t="s">
        <v>178</v>
      </c>
      <c r="B234" s="2"/>
      <c r="C234" s="2"/>
      <c r="D234" s="2"/>
      <c r="E234" s="2"/>
      <c r="F234" s="2"/>
      <c r="G234" s="2"/>
      <c r="H234" s="2"/>
      <c r="I234" s="2">
        <v>66.790599999999998</v>
      </c>
      <c r="J234" s="2">
        <v>200</v>
      </c>
      <c r="K234" s="2">
        <v>66.185699999999997</v>
      </c>
      <c r="L234" s="2">
        <v>222</v>
      </c>
      <c r="M234" s="2">
        <v>103.1019</v>
      </c>
      <c r="N234" s="2">
        <v>132</v>
      </c>
      <c r="O234" s="2">
        <v>101.5206</v>
      </c>
      <c r="P234" s="2">
        <v>169</v>
      </c>
      <c r="Q234" s="2">
        <v>106.256</v>
      </c>
      <c r="R234" s="2">
        <v>287</v>
      </c>
      <c r="S234" s="2">
        <v>108.6075</v>
      </c>
      <c r="T234" s="2">
        <v>298</v>
      </c>
      <c r="U234" s="2">
        <v>0.31518200000000002</v>
      </c>
      <c r="V234" s="2">
        <v>233</v>
      </c>
      <c r="W234" s="2">
        <v>2010</v>
      </c>
    </row>
    <row r="235" spans="1:23" ht="12.3" x14ac:dyDescent="0.4">
      <c r="A235" s="2" t="s">
        <v>189</v>
      </c>
      <c r="B235" s="2"/>
      <c r="C235" s="2"/>
      <c r="D235" s="2"/>
      <c r="E235" s="2"/>
      <c r="F235" s="2"/>
      <c r="G235" s="2"/>
      <c r="H235" s="2"/>
      <c r="I235" s="2">
        <v>67.7</v>
      </c>
      <c r="J235" s="2">
        <v>153</v>
      </c>
      <c r="K235" s="2">
        <v>67.564300000000003</v>
      </c>
      <c r="L235" s="2">
        <v>155</v>
      </c>
      <c r="M235" s="2">
        <v>102.4092</v>
      </c>
      <c r="N235" s="2">
        <v>145</v>
      </c>
      <c r="O235" s="2">
        <v>102.758</v>
      </c>
      <c r="P235" s="2">
        <v>150</v>
      </c>
      <c r="Q235" s="2">
        <v>110.3441</v>
      </c>
      <c r="R235" s="2">
        <v>334</v>
      </c>
      <c r="S235" s="2">
        <v>110.00879999999999</v>
      </c>
      <c r="T235" s="2">
        <v>322</v>
      </c>
      <c r="U235" s="2">
        <v>0.31343399999999999</v>
      </c>
      <c r="V235" s="2">
        <v>234</v>
      </c>
      <c r="W235" s="2">
        <v>2010</v>
      </c>
    </row>
    <row r="236" spans="1:23" ht="12.3" x14ac:dyDescent="0.4">
      <c r="A236" s="2" t="s">
        <v>217</v>
      </c>
      <c r="B236" s="2"/>
      <c r="C236" s="2"/>
      <c r="D236" s="2"/>
      <c r="E236" s="2"/>
      <c r="F236" s="2"/>
      <c r="G236" s="2"/>
      <c r="H236" s="2"/>
      <c r="I236" s="2">
        <v>67.001300000000001</v>
      </c>
      <c r="J236" s="2">
        <v>187</v>
      </c>
      <c r="K236" s="2">
        <v>67.082099999999997</v>
      </c>
      <c r="L236" s="2">
        <v>184</v>
      </c>
      <c r="M236" s="2">
        <v>94.080600000000004</v>
      </c>
      <c r="N236" s="2">
        <v>293</v>
      </c>
      <c r="O236" s="2">
        <v>94.707099999999997</v>
      </c>
      <c r="P236" s="2">
        <v>280</v>
      </c>
      <c r="Q236" s="2">
        <v>104.2462</v>
      </c>
      <c r="R236" s="2">
        <v>248</v>
      </c>
      <c r="S236" s="2">
        <v>101.47669999999999</v>
      </c>
      <c r="T236" s="2">
        <v>168</v>
      </c>
      <c r="U236" s="2">
        <v>0.31131900000000001</v>
      </c>
      <c r="V236" s="2">
        <v>235</v>
      </c>
      <c r="W236" s="2">
        <v>2010</v>
      </c>
    </row>
    <row r="237" spans="1:23" ht="12.3" x14ac:dyDescent="0.4">
      <c r="A237" s="2" t="s">
        <v>195</v>
      </c>
      <c r="B237" s="2"/>
      <c r="C237" s="2"/>
      <c r="D237" s="2"/>
      <c r="E237" s="2"/>
      <c r="F237" s="2"/>
      <c r="G237" s="2"/>
      <c r="H237" s="2"/>
      <c r="I237" s="2">
        <v>68.941900000000004</v>
      </c>
      <c r="J237" s="2">
        <v>93</v>
      </c>
      <c r="K237" s="2">
        <v>68.872699999999995</v>
      </c>
      <c r="L237" s="2">
        <v>92</v>
      </c>
      <c r="M237" s="2">
        <v>98.251000000000005</v>
      </c>
      <c r="N237" s="2">
        <v>223</v>
      </c>
      <c r="O237" s="2">
        <v>96.357900000000001</v>
      </c>
      <c r="P237" s="2">
        <v>254</v>
      </c>
      <c r="Q237" s="2">
        <v>100.8882</v>
      </c>
      <c r="R237" s="2">
        <v>160</v>
      </c>
      <c r="S237" s="2">
        <v>103.27160000000001</v>
      </c>
      <c r="T237" s="2">
        <v>212</v>
      </c>
      <c r="U237" s="2">
        <v>0.310695</v>
      </c>
      <c r="V237" s="2">
        <v>236</v>
      </c>
      <c r="W237" s="2">
        <v>2010</v>
      </c>
    </row>
    <row r="238" spans="1:23" ht="12.3" x14ac:dyDescent="0.4">
      <c r="A238" s="2" t="s">
        <v>351</v>
      </c>
      <c r="B238" s="2">
        <v>16</v>
      </c>
      <c r="C238" s="2"/>
      <c r="D238" s="2"/>
      <c r="E238" s="2"/>
      <c r="F238" s="2"/>
      <c r="G238" s="2"/>
      <c r="H238" s="2"/>
      <c r="I238" s="2">
        <v>67.863200000000006</v>
      </c>
      <c r="J238" s="2">
        <v>140</v>
      </c>
      <c r="K238" s="2">
        <v>66.626499999999993</v>
      </c>
      <c r="L238" s="2">
        <v>202</v>
      </c>
      <c r="M238" s="2">
        <v>93.218999999999994</v>
      </c>
      <c r="N238" s="2">
        <v>302</v>
      </c>
      <c r="O238" s="2">
        <v>90.1584</v>
      </c>
      <c r="P238" s="2">
        <v>319</v>
      </c>
      <c r="Q238" s="2">
        <v>94.045199999999994</v>
      </c>
      <c r="R238" s="2">
        <v>36</v>
      </c>
      <c r="S238" s="2">
        <v>96.648600000000002</v>
      </c>
      <c r="T238" s="2">
        <v>72</v>
      </c>
      <c r="U238" s="2">
        <v>0.31015199999999998</v>
      </c>
      <c r="V238" s="2">
        <v>237</v>
      </c>
      <c r="W238" s="2">
        <v>2010</v>
      </c>
    </row>
    <row r="239" spans="1:23" ht="12.3" x14ac:dyDescent="0.4">
      <c r="A239" s="2" t="s">
        <v>66</v>
      </c>
      <c r="B239" s="2"/>
      <c r="C239" s="2"/>
      <c r="D239" s="2"/>
      <c r="E239" s="2"/>
      <c r="F239" s="2"/>
      <c r="G239" s="2"/>
      <c r="H239" s="2"/>
      <c r="I239" s="2">
        <v>67.113799999999998</v>
      </c>
      <c r="J239" s="2">
        <v>184</v>
      </c>
      <c r="K239" s="2">
        <v>66.008700000000005</v>
      </c>
      <c r="L239" s="2">
        <v>231</v>
      </c>
      <c r="M239" s="2">
        <v>101.21639999999999</v>
      </c>
      <c r="N239" s="2">
        <v>170</v>
      </c>
      <c r="O239" s="2">
        <v>98.8613</v>
      </c>
      <c r="P239" s="2">
        <v>204</v>
      </c>
      <c r="Q239" s="2">
        <v>109.14400000000001</v>
      </c>
      <c r="R239" s="2">
        <v>323</v>
      </c>
      <c r="S239" s="2">
        <v>106.1026</v>
      </c>
      <c r="T239" s="2">
        <v>272</v>
      </c>
      <c r="U239" s="2">
        <v>0.30726900000000001</v>
      </c>
      <c r="V239" s="2">
        <v>238</v>
      </c>
      <c r="W239" s="2">
        <v>2010</v>
      </c>
    </row>
    <row r="240" spans="1:23" ht="12.3" x14ac:dyDescent="0.4">
      <c r="A240" s="2" t="s">
        <v>273</v>
      </c>
      <c r="B240" s="2"/>
      <c r="C240" s="2"/>
      <c r="D240" s="2"/>
      <c r="E240" s="2"/>
      <c r="F240" s="2"/>
      <c r="G240" s="2"/>
      <c r="H240" s="2"/>
      <c r="I240" s="2">
        <v>67.513900000000007</v>
      </c>
      <c r="J240" s="2">
        <v>166</v>
      </c>
      <c r="K240" s="2">
        <v>68.2196</v>
      </c>
      <c r="L240" s="2">
        <v>126</v>
      </c>
      <c r="M240" s="2">
        <v>106.83710000000001</v>
      </c>
      <c r="N240" s="2">
        <v>72</v>
      </c>
      <c r="O240" s="2">
        <v>102.3779</v>
      </c>
      <c r="P240" s="2">
        <v>155</v>
      </c>
      <c r="Q240" s="2">
        <v>105.6729</v>
      </c>
      <c r="R240" s="2">
        <v>278</v>
      </c>
      <c r="S240" s="2">
        <v>109.9374</v>
      </c>
      <c r="T240" s="2">
        <v>320</v>
      </c>
      <c r="U240" s="2">
        <v>0.305919</v>
      </c>
      <c r="V240" s="2">
        <v>239</v>
      </c>
      <c r="W240" s="2">
        <v>2010</v>
      </c>
    </row>
    <row r="241" spans="1:23" ht="12.3" x14ac:dyDescent="0.4">
      <c r="A241" s="2" t="s">
        <v>289</v>
      </c>
      <c r="B241" s="2"/>
      <c r="C241" s="2"/>
      <c r="D241" s="2"/>
      <c r="E241" s="2"/>
      <c r="F241" s="2"/>
      <c r="G241" s="2"/>
      <c r="H241" s="2"/>
      <c r="I241" s="2">
        <v>65.4589</v>
      </c>
      <c r="J241" s="2">
        <v>256</v>
      </c>
      <c r="K241" s="2">
        <v>65.453699999999998</v>
      </c>
      <c r="L241" s="2">
        <v>255</v>
      </c>
      <c r="M241" s="2">
        <v>100.59180000000001</v>
      </c>
      <c r="N241" s="2">
        <v>185</v>
      </c>
      <c r="O241" s="2">
        <v>96.802000000000007</v>
      </c>
      <c r="P241" s="2">
        <v>245</v>
      </c>
      <c r="Q241" s="2">
        <v>101.8964</v>
      </c>
      <c r="R241" s="2">
        <v>182</v>
      </c>
      <c r="S241" s="2">
        <v>104.0068</v>
      </c>
      <c r="T241" s="2">
        <v>225</v>
      </c>
      <c r="U241" s="2">
        <v>0.30458299999999999</v>
      </c>
      <c r="V241" s="2">
        <v>240</v>
      </c>
      <c r="W241" s="2">
        <v>2010</v>
      </c>
    </row>
    <row r="242" spans="1:23" ht="12.3" x14ac:dyDescent="0.4">
      <c r="A242" s="2" t="s">
        <v>317</v>
      </c>
      <c r="B242" s="2"/>
      <c r="C242" s="2"/>
      <c r="D242" s="2"/>
      <c r="E242" s="2"/>
      <c r="F242" s="2"/>
      <c r="G242" s="2"/>
      <c r="H242" s="2"/>
      <c r="I242" s="2">
        <v>67.482699999999994</v>
      </c>
      <c r="J242" s="2">
        <v>168</v>
      </c>
      <c r="K242" s="2">
        <v>68.388999999999996</v>
      </c>
      <c r="L242" s="2">
        <v>118</v>
      </c>
      <c r="M242" s="2">
        <v>96.856399999999994</v>
      </c>
      <c r="N242" s="2">
        <v>252</v>
      </c>
      <c r="O242" s="2">
        <v>97.295000000000002</v>
      </c>
      <c r="P242" s="2">
        <v>236</v>
      </c>
      <c r="Q242" s="2">
        <v>105.72499999999999</v>
      </c>
      <c r="R242" s="2">
        <v>279</v>
      </c>
      <c r="S242" s="2">
        <v>104.5479</v>
      </c>
      <c r="T242" s="2">
        <v>236</v>
      </c>
      <c r="U242" s="2">
        <v>0.30431599999999998</v>
      </c>
      <c r="V242" s="2">
        <v>241</v>
      </c>
      <c r="W242" s="2">
        <v>2010</v>
      </c>
    </row>
    <row r="243" spans="1:23" ht="12.3" x14ac:dyDescent="0.4">
      <c r="A243" s="2" t="s">
        <v>270</v>
      </c>
      <c r="B243" s="2"/>
      <c r="C243" s="2"/>
      <c r="D243" s="2"/>
      <c r="E243" s="2"/>
      <c r="F243" s="2"/>
      <c r="G243" s="2"/>
      <c r="H243" s="2"/>
      <c r="I243" s="2">
        <v>72.776499999999999</v>
      </c>
      <c r="J243" s="2">
        <v>16</v>
      </c>
      <c r="K243" s="2">
        <v>71.921899999999994</v>
      </c>
      <c r="L243" s="2">
        <v>21</v>
      </c>
      <c r="M243" s="2">
        <v>97.972300000000004</v>
      </c>
      <c r="N243" s="2">
        <v>231</v>
      </c>
      <c r="O243" s="2">
        <v>95.107399999999998</v>
      </c>
      <c r="P243" s="2">
        <v>276</v>
      </c>
      <c r="Q243" s="2">
        <v>100.07089999999999</v>
      </c>
      <c r="R243" s="2">
        <v>144</v>
      </c>
      <c r="S243" s="2">
        <v>102.21639999999999</v>
      </c>
      <c r="T243" s="2">
        <v>182</v>
      </c>
      <c r="U243" s="2">
        <v>0.30386099999999999</v>
      </c>
      <c r="V243" s="2">
        <v>242</v>
      </c>
      <c r="W243" s="2">
        <v>2010</v>
      </c>
    </row>
    <row r="244" spans="1:23" ht="12.3" x14ac:dyDescent="0.4">
      <c r="A244" s="2" t="s">
        <v>209</v>
      </c>
      <c r="B244" s="2"/>
      <c r="C244" s="2"/>
      <c r="D244" s="2"/>
      <c r="E244" s="2"/>
      <c r="F244" s="2"/>
      <c r="G244" s="2"/>
      <c r="H244" s="2"/>
      <c r="I244" s="2">
        <v>69.382499999999993</v>
      </c>
      <c r="J244" s="2">
        <v>79</v>
      </c>
      <c r="K244" s="2">
        <v>71.309899999999999</v>
      </c>
      <c r="L244" s="2">
        <v>28</v>
      </c>
      <c r="M244" s="2">
        <v>95.940399999999997</v>
      </c>
      <c r="N244" s="2">
        <v>265</v>
      </c>
      <c r="O244" s="2">
        <v>97.761200000000002</v>
      </c>
      <c r="P244" s="2">
        <v>228</v>
      </c>
      <c r="Q244" s="2">
        <v>102.56619999999999</v>
      </c>
      <c r="R244" s="2">
        <v>194</v>
      </c>
      <c r="S244" s="2">
        <v>105.1262</v>
      </c>
      <c r="T244" s="2">
        <v>251</v>
      </c>
      <c r="U244" s="2">
        <v>0.30252800000000002</v>
      </c>
      <c r="V244" s="2">
        <v>243</v>
      </c>
      <c r="W244" s="2">
        <v>2010</v>
      </c>
    </row>
    <row r="245" spans="1:23" ht="12.3" x14ac:dyDescent="0.4">
      <c r="A245" s="2" t="s">
        <v>360</v>
      </c>
      <c r="B245" s="2"/>
      <c r="C245" s="2"/>
      <c r="D245" s="2"/>
      <c r="E245" s="2"/>
      <c r="F245" s="2"/>
      <c r="G245" s="2"/>
      <c r="H245" s="2"/>
      <c r="I245" s="2">
        <v>68.641599999999997</v>
      </c>
      <c r="J245" s="2">
        <v>113</v>
      </c>
      <c r="K245" s="2">
        <v>68.412400000000005</v>
      </c>
      <c r="L245" s="2">
        <v>116</v>
      </c>
      <c r="M245" s="2">
        <v>97.316599999999994</v>
      </c>
      <c r="N245" s="2">
        <v>243</v>
      </c>
      <c r="O245" s="2">
        <v>94.898799999999994</v>
      </c>
      <c r="P245" s="2">
        <v>277</v>
      </c>
      <c r="Q245" s="2">
        <v>101.2701</v>
      </c>
      <c r="R245" s="2">
        <v>172</v>
      </c>
      <c r="S245" s="2">
        <v>102.2664</v>
      </c>
      <c r="T245" s="2">
        <v>183</v>
      </c>
      <c r="U245" s="2">
        <v>0.29736699999999999</v>
      </c>
      <c r="V245" s="2">
        <v>244</v>
      </c>
      <c r="W245" s="2">
        <v>2010</v>
      </c>
    </row>
    <row r="246" spans="1:23" ht="12.3" x14ac:dyDescent="0.4">
      <c r="A246" s="2" t="s">
        <v>114</v>
      </c>
      <c r="B246" s="2"/>
      <c r="C246" s="2"/>
      <c r="D246" s="2"/>
      <c r="E246" s="2"/>
      <c r="F246" s="2"/>
      <c r="G246" s="2"/>
      <c r="H246" s="2"/>
      <c r="I246" s="2">
        <v>68.292500000000004</v>
      </c>
      <c r="J246" s="2">
        <v>129</v>
      </c>
      <c r="K246" s="2">
        <v>67.953900000000004</v>
      </c>
      <c r="L246" s="2">
        <v>136</v>
      </c>
      <c r="M246" s="2">
        <v>103.38939999999999</v>
      </c>
      <c r="N246" s="2">
        <v>126</v>
      </c>
      <c r="O246" s="2">
        <v>103.2991</v>
      </c>
      <c r="P246" s="2">
        <v>141</v>
      </c>
      <c r="Q246" s="2">
        <v>112.9679</v>
      </c>
      <c r="R246" s="2">
        <v>344</v>
      </c>
      <c r="S246" s="2">
        <v>111.8288</v>
      </c>
      <c r="T246" s="2">
        <v>339</v>
      </c>
      <c r="U246" s="2">
        <v>0.28650500000000001</v>
      </c>
      <c r="V246" s="2">
        <v>245</v>
      </c>
      <c r="W246" s="2">
        <v>2010</v>
      </c>
    </row>
    <row r="247" spans="1:23" ht="12.3" x14ac:dyDescent="0.4">
      <c r="A247" s="2" t="s">
        <v>144</v>
      </c>
      <c r="B247" s="2"/>
      <c r="C247" s="2"/>
      <c r="D247" s="2"/>
      <c r="E247" s="2"/>
      <c r="F247" s="2"/>
      <c r="G247" s="2"/>
      <c r="H247" s="2"/>
      <c r="I247" s="2">
        <v>67.258600000000001</v>
      </c>
      <c r="J247" s="2">
        <v>181</v>
      </c>
      <c r="K247" s="2">
        <v>68.894000000000005</v>
      </c>
      <c r="L247" s="2">
        <v>91</v>
      </c>
      <c r="M247" s="2">
        <v>92.467799999999997</v>
      </c>
      <c r="N247" s="2">
        <v>311</v>
      </c>
      <c r="O247" s="2">
        <v>95.559200000000004</v>
      </c>
      <c r="P247" s="2">
        <v>267</v>
      </c>
      <c r="Q247" s="2">
        <v>105.56619999999999</v>
      </c>
      <c r="R247" s="2">
        <v>270</v>
      </c>
      <c r="S247" s="2">
        <v>103.5642</v>
      </c>
      <c r="T247" s="2">
        <v>216</v>
      </c>
      <c r="U247" s="2">
        <v>0.28391499999999997</v>
      </c>
      <c r="V247" s="2">
        <v>246</v>
      </c>
      <c r="W247" s="2">
        <v>2010</v>
      </c>
    </row>
    <row r="248" spans="1:23" ht="12.3" x14ac:dyDescent="0.4">
      <c r="A248" s="2" t="s">
        <v>377</v>
      </c>
      <c r="B248" s="2"/>
      <c r="C248" s="2"/>
      <c r="D248" s="2"/>
      <c r="E248" s="2"/>
      <c r="F248" s="2"/>
      <c r="G248" s="2"/>
      <c r="H248" s="2"/>
      <c r="I248" s="2">
        <v>74.701599999999999</v>
      </c>
      <c r="J248" s="2">
        <v>6</v>
      </c>
      <c r="K248" s="2">
        <v>74.207999999999998</v>
      </c>
      <c r="L248" s="2">
        <v>7</v>
      </c>
      <c r="M248" s="2">
        <v>101.1665</v>
      </c>
      <c r="N248" s="2">
        <v>172</v>
      </c>
      <c r="O248" s="2">
        <v>96.695300000000003</v>
      </c>
      <c r="P248" s="2">
        <v>249</v>
      </c>
      <c r="Q248" s="2">
        <v>98.6721</v>
      </c>
      <c r="R248" s="2">
        <v>120</v>
      </c>
      <c r="S248" s="2">
        <v>105.0523</v>
      </c>
      <c r="T248" s="2">
        <v>249</v>
      </c>
      <c r="U248" s="2">
        <v>0.27822599999999997</v>
      </c>
      <c r="V248" s="2">
        <v>247</v>
      </c>
      <c r="W248" s="2">
        <v>2010</v>
      </c>
    </row>
    <row r="249" spans="1:23" ht="12.3" x14ac:dyDescent="0.4">
      <c r="A249" s="2" t="s">
        <v>287</v>
      </c>
      <c r="B249" s="2"/>
      <c r="C249" s="2"/>
      <c r="D249" s="2"/>
      <c r="E249" s="2"/>
      <c r="F249" s="2"/>
      <c r="G249" s="2"/>
      <c r="H249" s="2"/>
      <c r="I249" s="2">
        <v>66.532399999999996</v>
      </c>
      <c r="J249" s="2">
        <v>219</v>
      </c>
      <c r="K249" s="2">
        <v>66.180599999999998</v>
      </c>
      <c r="L249" s="2">
        <v>223</v>
      </c>
      <c r="M249" s="2">
        <v>97.022300000000001</v>
      </c>
      <c r="N249" s="2">
        <v>248</v>
      </c>
      <c r="O249" s="2">
        <v>94.573300000000003</v>
      </c>
      <c r="P249" s="2">
        <v>282</v>
      </c>
      <c r="Q249" s="2">
        <v>102.4173</v>
      </c>
      <c r="R249" s="2">
        <v>193</v>
      </c>
      <c r="S249" s="2">
        <v>102.75449999999999</v>
      </c>
      <c r="T249" s="2">
        <v>197</v>
      </c>
      <c r="U249" s="2">
        <v>0.27805600000000003</v>
      </c>
      <c r="V249" s="2">
        <v>248</v>
      </c>
      <c r="W249" s="2">
        <v>2010</v>
      </c>
    </row>
    <row r="250" spans="1:23" ht="12.3" x14ac:dyDescent="0.4">
      <c r="A250" s="2" t="s">
        <v>110</v>
      </c>
      <c r="B250" s="2"/>
      <c r="C250" s="2"/>
      <c r="D250" s="2"/>
      <c r="E250" s="2"/>
      <c r="F250" s="2"/>
      <c r="G250" s="2"/>
      <c r="H250" s="2"/>
      <c r="I250" s="2">
        <v>65.371799999999993</v>
      </c>
      <c r="J250" s="2">
        <v>259</v>
      </c>
      <c r="K250" s="2">
        <v>64.806600000000003</v>
      </c>
      <c r="L250" s="2">
        <v>278</v>
      </c>
      <c r="M250" s="2">
        <v>101.3586</v>
      </c>
      <c r="N250" s="2">
        <v>164</v>
      </c>
      <c r="O250" s="2">
        <v>100.2062</v>
      </c>
      <c r="P250" s="2">
        <v>190</v>
      </c>
      <c r="Q250" s="2">
        <v>106.86620000000001</v>
      </c>
      <c r="R250" s="2">
        <v>295</v>
      </c>
      <c r="S250" s="2">
        <v>109.062</v>
      </c>
      <c r="T250" s="2">
        <v>307</v>
      </c>
      <c r="U250" s="2">
        <v>0.27410499999999999</v>
      </c>
      <c r="V250" s="2">
        <v>249</v>
      </c>
      <c r="W250" s="2">
        <v>2010</v>
      </c>
    </row>
    <row r="251" spans="1:23" ht="12.3" x14ac:dyDescent="0.4">
      <c r="A251" s="2" t="s">
        <v>127</v>
      </c>
      <c r="B251" s="2"/>
      <c r="C251" s="2"/>
      <c r="D251" s="2"/>
      <c r="E251" s="2"/>
      <c r="F251" s="2"/>
      <c r="G251" s="2"/>
      <c r="H251" s="2"/>
      <c r="I251" s="2">
        <v>67.837900000000005</v>
      </c>
      <c r="J251" s="2">
        <v>143</v>
      </c>
      <c r="K251" s="2">
        <v>67.710400000000007</v>
      </c>
      <c r="L251" s="2">
        <v>149</v>
      </c>
      <c r="M251" s="2">
        <v>93.724900000000005</v>
      </c>
      <c r="N251" s="2">
        <v>297</v>
      </c>
      <c r="O251" s="2">
        <v>95.241200000000006</v>
      </c>
      <c r="P251" s="2">
        <v>273</v>
      </c>
      <c r="Q251" s="2">
        <v>105.59059999999999</v>
      </c>
      <c r="R251" s="2">
        <v>271</v>
      </c>
      <c r="S251" s="2">
        <v>103.68510000000001</v>
      </c>
      <c r="T251" s="2">
        <v>218</v>
      </c>
      <c r="U251" s="2">
        <v>0.27351300000000001</v>
      </c>
      <c r="V251" s="2">
        <v>250</v>
      </c>
      <c r="W251" s="2">
        <v>2010</v>
      </c>
    </row>
    <row r="252" spans="1:23" ht="12.3" x14ac:dyDescent="0.4">
      <c r="A252" s="2" t="s">
        <v>204</v>
      </c>
      <c r="B252" s="2"/>
      <c r="C252" s="2"/>
      <c r="D252" s="2"/>
      <c r="E252" s="2"/>
      <c r="F252" s="2"/>
      <c r="G252" s="2"/>
      <c r="H252" s="2"/>
      <c r="I252" s="2">
        <v>59.180599999999998</v>
      </c>
      <c r="J252" s="2">
        <v>344</v>
      </c>
      <c r="K252" s="2">
        <v>58.117100000000001</v>
      </c>
      <c r="L252" s="2">
        <v>346</v>
      </c>
      <c r="M252" s="2">
        <v>93.884</v>
      </c>
      <c r="N252" s="2">
        <v>295</v>
      </c>
      <c r="O252" s="2">
        <v>95.564499999999995</v>
      </c>
      <c r="P252" s="2">
        <v>266</v>
      </c>
      <c r="Q252" s="2">
        <v>106.40940000000001</v>
      </c>
      <c r="R252" s="2">
        <v>289</v>
      </c>
      <c r="S252" s="2">
        <v>104.1382</v>
      </c>
      <c r="T252" s="2">
        <v>226</v>
      </c>
      <c r="U252" s="2">
        <v>0.27129599999999998</v>
      </c>
      <c r="V252" s="2">
        <v>251</v>
      </c>
      <c r="W252" s="2">
        <v>2010</v>
      </c>
    </row>
    <row r="253" spans="1:23" ht="12.3" x14ac:dyDescent="0.4">
      <c r="A253" s="2" t="s">
        <v>93</v>
      </c>
      <c r="B253" s="2"/>
      <c r="C253" s="2"/>
      <c r="D253" s="2"/>
      <c r="E253" s="2"/>
      <c r="F253" s="2"/>
      <c r="G253" s="2"/>
      <c r="H253" s="2"/>
      <c r="I253" s="2">
        <v>70.678299999999993</v>
      </c>
      <c r="J253" s="2">
        <v>42</v>
      </c>
      <c r="K253" s="2">
        <v>70.866600000000005</v>
      </c>
      <c r="L253" s="2">
        <v>32</v>
      </c>
      <c r="M253" s="2">
        <v>94.3964</v>
      </c>
      <c r="N253" s="2">
        <v>289</v>
      </c>
      <c r="O253" s="2">
        <v>95.680499999999995</v>
      </c>
      <c r="P253" s="2">
        <v>263</v>
      </c>
      <c r="Q253" s="2">
        <v>105.65519999999999</v>
      </c>
      <c r="R253" s="2">
        <v>276</v>
      </c>
      <c r="S253" s="2">
        <v>104.4208</v>
      </c>
      <c r="T253" s="2">
        <v>232</v>
      </c>
      <c r="U253" s="2">
        <v>0.26790799999999998</v>
      </c>
      <c r="V253" s="2">
        <v>252</v>
      </c>
      <c r="W253" s="2">
        <v>2010</v>
      </c>
    </row>
    <row r="254" spans="1:23" ht="12.3" x14ac:dyDescent="0.4">
      <c r="A254" s="2" t="s">
        <v>288</v>
      </c>
      <c r="B254" s="2"/>
      <c r="C254" s="2"/>
      <c r="D254" s="2"/>
      <c r="E254" s="2"/>
      <c r="F254" s="2"/>
      <c r="G254" s="2"/>
      <c r="H254" s="2"/>
      <c r="I254" s="2">
        <v>68.710499999999996</v>
      </c>
      <c r="J254" s="2">
        <v>107</v>
      </c>
      <c r="K254" s="2">
        <v>68.649799999999999</v>
      </c>
      <c r="L254" s="2">
        <v>102</v>
      </c>
      <c r="M254" s="2">
        <v>99.904499999999999</v>
      </c>
      <c r="N254" s="2">
        <v>193</v>
      </c>
      <c r="O254" s="2">
        <v>95.695800000000006</v>
      </c>
      <c r="P254" s="2">
        <v>262</v>
      </c>
      <c r="Q254" s="2">
        <v>100.49509999999999</v>
      </c>
      <c r="R254" s="2">
        <v>151</v>
      </c>
      <c r="S254" s="2">
        <v>104.4756</v>
      </c>
      <c r="T254" s="2">
        <v>233</v>
      </c>
      <c r="U254" s="2">
        <v>0.26708599999999999</v>
      </c>
      <c r="V254" s="2">
        <v>253</v>
      </c>
      <c r="W254" s="2">
        <v>2010</v>
      </c>
    </row>
    <row r="255" spans="1:23" ht="12.3" x14ac:dyDescent="0.4">
      <c r="A255" s="2" t="s">
        <v>166</v>
      </c>
      <c r="B255" s="2"/>
      <c r="C255" s="2"/>
      <c r="D255" s="2"/>
      <c r="E255" s="2"/>
      <c r="F255" s="2"/>
      <c r="G255" s="2"/>
      <c r="H255" s="2"/>
      <c r="I255" s="2">
        <v>70.437899999999999</v>
      </c>
      <c r="J255" s="2">
        <v>51</v>
      </c>
      <c r="K255" s="2">
        <v>70.466800000000006</v>
      </c>
      <c r="L255" s="2">
        <v>41</v>
      </c>
      <c r="M255" s="2">
        <v>96.920100000000005</v>
      </c>
      <c r="N255" s="2">
        <v>250</v>
      </c>
      <c r="O255" s="2">
        <v>95.408100000000005</v>
      </c>
      <c r="P255" s="2">
        <v>270</v>
      </c>
      <c r="Q255" s="2">
        <v>103.50020000000001</v>
      </c>
      <c r="R255" s="2">
        <v>229</v>
      </c>
      <c r="S255" s="2">
        <v>104.2731</v>
      </c>
      <c r="T255" s="2">
        <v>229</v>
      </c>
      <c r="U255" s="2">
        <v>0.264683</v>
      </c>
      <c r="V255" s="2">
        <v>254</v>
      </c>
      <c r="W255" s="2">
        <v>2010</v>
      </c>
    </row>
    <row r="256" spans="1:23" ht="12.3" x14ac:dyDescent="0.4">
      <c r="A256" s="2" t="s">
        <v>306</v>
      </c>
      <c r="B256" s="2"/>
      <c r="C256" s="2"/>
      <c r="D256" s="2"/>
      <c r="E256" s="2"/>
      <c r="F256" s="2"/>
      <c r="G256" s="2"/>
      <c r="H256" s="2"/>
      <c r="I256" s="2">
        <v>68.750900000000001</v>
      </c>
      <c r="J256" s="2">
        <v>105</v>
      </c>
      <c r="K256" s="2">
        <v>68.2791</v>
      </c>
      <c r="L256" s="2">
        <v>124</v>
      </c>
      <c r="M256" s="2">
        <v>94.345500000000001</v>
      </c>
      <c r="N256" s="2">
        <v>291</v>
      </c>
      <c r="O256" s="2">
        <v>95.660300000000007</v>
      </c>
      <c r="P256" s="2">
        <v>264</v>
      </c>
      <c r="Q256" s="2">
        <v>105.3925</v>
      </c>
      <c r="R256" s="2">
        <v>268</v>
      </c>
      <c r="S256" s="2">
        <v>104.7255</v>
      </c>
      <c r="T256" s="2">
        <v>242</v>
      </c>
      <c r="U256" s="2">
        <v>0.26091700000000001</v>
      </c>
      <c r="V256" s="2">
        <v>255</v>
      </c>
      <c r="W256" s="2">
        <v>2010</v>
      </c>
    </row>
    <row r="257" spans="1:23" ht="12.3" x14ac:dyDescent="0.4">
      <c r="A257" s="2" t="s">
        <v>268</v>
      </c>
      <c r="B257" s="2"/>
      <c r="C257" s="2"/>
      <c r="D257" s="2"/>
      <c r="E257" s="2"/>
      <c r="F257" s="2"/>
      <c r="G257" s="2"/>
      <c r="H257" s="2"/>
      <c r="I257" s="2">
        <v>68.761300000000006</v>
      </c>
      <c r="J257" s="2">
        <v>103</v>
      </c>
      <c r="K257" s="2">
        <v>68.743099999999998</v>
      </c>
      <c r="L257" s="2">
        <v>97</v>
      </c>
      <c r="M257" s="2">
        <v>96.199600000000004</v>
      </c>
      <c r="N257" s="2">
        <v>260</v>
      </c>
      <c r="O257" s="2">
        <v>96.760999999999996</v>
      </c>
      <c r="P257" s="2">
        <v>248</v>
      </c>
      <c r="Q257" s="2">
        <v>106.114</v>
      </c>
      <c r="R257" s="2">
        <v>286</v>
      </c>
      <c r="S257" s="2">
        <v>105.9589</v>
      </c>
      <c r="T257" s="2">
        <v>268</v>
      </c>
      <c r="U257" s="2">
        <v>0.26032499999999997</v>
      </c>
      <c r="V257" s="2">
        <v>256</v>
      </c>
      <c r="W257" s="2">
        <v>2010</v>
      </c>
    </row>
    <row r="258" spans="1:23" ht="12.3" x14ac:dyDescent="0.4">
      <c r="A258" s="2" t="s">
        <v>265</v>
      </c>
      <c r="B258" s="2"/>
      <c r="C258" s="2"/>
      <c r="D258" s="2"/>
      <c r="E258" s="2"/>
      <c r="F258" s="2"/>
      <c r="G258" s="2"/>
      <c r="H258" s="2"/>
      <c r="I258" s="2">
        <v>58.7652</v>
      </c>
      <c r="J258" s="2">
        <v>346</v>
      </c>
      <c r="K258" s="2">
        <v>59.349499999999999</v>
      </c>
      <c r="L258" s="2">
        <v>345</v>
      </c>
      <c r="M258" s="2">
        <v>98.170500000000004</v>
      </c>
      <c r="N258" s="2">
        <v>227</v>
      </c>
      <c r="O258" s="2">
        <v>95.658000000000001</v>
      </c>
      <c r="P258" s="2">
        <v>265</v>
      </c>
      <c r="Q258" s="2">
        <v>100.62820000000001</v>
      </c>
      <c r="R258" s="2">
        <v>154</v>
      </c>
      <c r="S258" s="2">
        <v>104.7538</v>
      </c>
      <c r="T258" s="2">
        <v>243</v>
      </c>
      <c r="U258" s="2">
        <v>0.260268</v>
      </c>
      <c r="V258" s="2">
        <v>257</v>
      </c>
      <c r="W258" s="2">
        <v>2010</v>
      </c>
    </row>
    <row r="259" spans="1:23" ht="12.3" x14ac:dyDescent="0.4">
      <c r="A259" s="2" t="s">
        <v>208</v>
      </c>
      <c r="B259" s="2"/>
      <c r="C259" s="2"/>
      <c r="D259" s="2"/>
      <c r="E259" s="2"/>
      <c r="F259" s="2"/>
      <c r="G259" s="2"/>
      <c r="H259" s="2"/>
      <c r="I259" s="2">
        <v>57.490600000000001</v>
      </c>
      <c r="J259" s="2">
        <v>347</v>
      </c>
      <c r="K259" s="2">
        <v>57.753100000000003</v>
      </c>
      <c r="L259" s="2">
        <v>347</v>
      </c>
      <c r="M259" s="2">
        <v>99.826700000000002</v>
      </c>
      <c r="N259" s="2">
        <v>197</v>
      </c>
      <c r="O259" s="2">
        <v>98.912400000000005</v>
      </c>
      <c r="P259" s="2">
        <v>203</v>
      </c>
      <c r="Q259" s="2">
        <v>108.09569999999999</v>
      </c>
      <c r="R259" s="2">
        <v>313</v>
      </c>
      <c r="S259" s="2">
        <v>108.42310000000001</v>
      </c>
      <c r="T259" s="2">
        <v>297</v>
      </c>
      <c r="U259" s="2">
        <v>0.25811899999999999</v>
      </c>
      <c r="V259" s="2">
        <v>258</v>
      </c>
      <c r="W259" s="2">
        <v>2010</v>
      </c>
    </row>
    <row r="260" spans="1:23" ht="12.3" x14ac:dyDescent="0.4">
      <c r="A260" s="2" t="s">
        <v>285</v>
      </c>
      <c r="B260" s="2"/>
      <c r="C260" s="2"/>
      <c r="D260" s="2"/>
      <c r="E260" s="2"/>
      <c r="F260" s="2"/>
      <c r="G260" s="2"/>
      <c r="H260" s="2"/>
      <c r="I260" s="2">
        <v>62.1905</v>
      </c>
      <c r="J260" s="2">
        <v>328</v>
      </c>
      <c r="K260" s="2">
        <v>62.076500000000003</v>
      </c>
      <c r="L260" s="2">
        <v>326</v>
      </c>
      <c r="M260" s="2">
        <v>91.535200000000003</v>
      </c>
      <c r="N260" s="2">
        <v>317</v>
      </c>
      <c r="O260" s="2">
        <v>90.955699999999993</v>
      </c>
      <c r="P260" s="2">
        <v>314</v>
      </c>
      <c r="Q260" s="2">
        <v>98.457400000000007</v>
      </c>
      <c r="R260" s="2">
        <v>115</v>
      </c>
      <c r="S260" s="2">
        <v>99.840100000000007</v>
      </c>
      <c r="T260" s="2">
        <v>137</v>
      </c>
      <c r="U260" s="2">
        <v>0.25506699999999999</v>
      </c>
      <c r="V260" s="2">
        <v>259</v>
      </c>
      <c r="W260" s="2">
        <v>2010</v>
      </c>
    </row>
    <row r="261" spans="1:23" ht="12.3" x14ac:dyDescent="0.4">
      <c r="A261" s="2" t="s">
        <v>174</v>
      </c>
      <c r="B261" s="2"/>
      <c r="C261" s="2"/>
      <c r="D261" s="2"/>
      <c r="E261" s="2"/>
      <c r="F261" s="2"/>
      <c r="G261" s="2"/>
      <c r="H261" s="2"/>
      <c r="I261" s="2">
        <v>64.972200000000001</v>
      </c>
      <c r="J261" s="2">
        <v>268</v>
      </c>
      <c r="K261" s="2">
        <v>65.427000000000007</v>
      </c>
      <c r="L261" s="2">
        <v>256</v>
      </c>
      <c r="M261" s="2">
        <v>95.338499999999996</v>
      </c>
      <c r="N261" s="2">
        <v>276</v>
      </c>
      <c r="O261" s="2">
        <v>97.735900000000001</v>
      </c>
      <c r="P261" s="2">
        <v>230</v>
      </c>
      <c r="Q261" s="2">
        <v>109.19</v>
      </c>
      <c r="R261" s="2">
        <v>325</v>
      </c>
      <c r="S261" s="2">
        <v>107.37649999999999</v>
      </c>
      <c r="T261" s="2">
        <v>286</v>
      </c>
      <c r="U261" s="2">
        <v>0.25315900000000002</v>
      </c>
      <c r="V261" s="2">
        <v>260</v>
      </c>
      <c r="W261" s="2">
        <v>2010</v>
      </c>
    </row>
    <row r="262" spans="1:23" ht="12.3" x14ac:dyDescent="0.4">
      <c r="A262" s="2" t="s">
        <v>187</v>
      </c>
      <c r="B262" s="2"/>
      <c r="C262" s="2"/>
      <c r="D262" s="2"/>
      <c r="E262" s="2"/>
      <c r="F262" s="2"/>
      <c r="G262" s="2"/>
      <c r="H262" s="2"/>
      <c r="I262" s="2">
        <v>70.129499999999993</v>
      </c>
      <c r="J262" s="2">
        <v>60</v>
      </c>
      <c r="K262" s="2">
        <v>69.189300000000003</v>
      </c>
      <c r="L262" s="2">
        <v>79</v>
      </c>
      <c r="M262" s="2">
        <v>94.817800000000005</v>
      </c>
      <c r="N262" s="2">
        <v>279</v>
      </c>
      <c r="O262" s="2">
        <v>95.800700000000006</v>
      </c>
      <c r="P262" s="2">
        <v>260</v>
      </c>
      <c r="Q262" s="2">
        <v>108.2411</v>
      </c>
      <c r="R262" s="2">
        <v>317</v>
      </c>
      <c r="S262" s="2">
        <v>105.3082</v>
      </c>
      <c r="T262" s="2">
        <v>253</v>
      </c>
      <c r="U262" s="2">
        <v>0.25196800000000003</v>
      </c>
      <c r="V262" s="2">
        <v>261</v>
      </c>
      <c r="W262" s="2">
        <v>2010</v>
      </c>
    </row>
    <row r="263" spans="1:23" ht="12.3" x14ac:dyDescent="0.4">
      <c r="A263" s="2" t="s">
        <v>231</v>
      </c>
      <c r="B263" s="2"/>
      <c r="C263" s="2"/>
      <c r="D263" s="2"/>
      <c r="E263" s="2"/>
      <c r="F263" s="2"/>
      <c r="G263" s="2"/>
      <c r="H263" s="2"/>
      <c r="I263" s="2">
        <v>67.427599999999998</v>
      </c>
      <c r="J263" s="2">
        <v>172</v>
      </c>
      <c r="K263" s="2">
        <v>67.443200000000004</v>
      </c>
      <c r="L263" s="2">
        <v>163</v>
      </c>
      <c r="M263" s="2">
        <v>94.358699999999999</v>
      </c>
      <c r="N263" s="2">
        <v>290</v>
      </c>
      <c r="O263" s="2">
        <v>94.290300000000002</v>
      </c>
      <c r="P263" s="2">
        <v>285</v>
      </c>
      <c r="Q263" s="2">
        <v>103.3766</v>
      </c>
      <c r="R263" s="2">
        <v>221</v>
      </c>
      <c r="S263" s="2">
        <v>103.6904</v>
      </c>
      <c r="T263" s="2">
        <v>219</v>
      </c>
      <c r="U263" s="2">
        <v>0.25108000000000003</v>
      </c>
      <c r="V263" s="2">
        <v>262</v>
      </c>
      <c r="W263" s="2">
        <v>2010</v>
      </c>
    </row>
    <row r="264" spans="1:23" ht="12.3" x14ac:dyDescent="0.4">
      <c r="A264" s="2" t="s">
        <v>160</v>
      </c>
      <c r="B264" s="2"/>
      <c r="C264" s="2"/>
      <c r="D264" s="2"/>
      <c r="E264" s="2"/>
      <c r="F264" s="2"/>
      <c r="G264" s="2"/>
      <c r="H264" s="2"/>
      <c r="I264" s="2">
        <v>67.286900000000003</v>
      </c>
      <c r="J264" s="2">
        <v>179</v>
      </c>
      <c r="K264" s="2">
        <v>67.848399999999998</v>
      </c>
      <c r="L264" s="2">
        <v>142</v>
      </c>
      <c r="M264" s="2">
        <v>97.431899999999999</v>
      </c>
      <c r="N264" s="2">
        <v>239</v>
      </c>
      <c r="O264" s="2">
        <v>94.8322</v>
      </c>
      <c r="P264" s="2">
        <v>278</v>
      </c>
      <c r="Q264" s="2">
        <v>102.80159999999999</v>
      </c>
      <c r="R264" s="2">
        <v>206</v>
      </c>
      <c r="S264" s="2">
        <v>104.5372</v>
      </c>
      <c r="T264" s="2">
        <v>235</v>
      </c>
      <c r="U264" s="2">
        <v>0.245921</v>
      </c>
      <c r="V264" s="2">
        <v>263</v>
      </c>
      <c r="W264" s="2">
        <v>2010</v>
      </c>
    </row>
    <row r="265" spans="1:23" ht="12.3" x14ac:dyDescent="0.4">
      <c r="A265" s="2" t="s">
        <v>320</v>
      </c>
      <c r="B265" s="2"/>
      <c r="C265" s="2"/>
      <c r="D265" s="2"/>
      <c r="E265" s="2"/>
      <c r="F265" s="2"/>
      <c r="G265" s="2"/>
      <c r="H265" s="2"/>
      <c r="I265" s="2">
        <v>72.595100000000002</v>
      </c>
      <c r="J265" s="2">
        <v>17</v>
      </c>
      <c r="K265" s="2">
        <v>72.420699999999997</v>
      </c>
      <c r="L265" s="2">
        <v>17</v>
      </c>
      <c r="M265" s="2">
        <v>95.942300000000003</v>
      </c>
      <c r="N265" s="2">
        <v>264</v>
      </c>
      <c r="O265" s="2">
        <v>95.268500000000003</v>
      </c>
      <c r="P265" s="2">
        <v>272</v>
      </c>
      <c r="Q265" s="2">
        <v>101.6871</v>
      </c>
      <c r="R265" s="2">
        <v>180</v>
      </c>
      <c r="S265" s="2">
        <v>105.0544</v>
      </c>
      <c r="T265" s="2">
        <v>250</v>
      </c>
      <c r="U265" s="2">
        <v>0.24518499999999999</v>
      </c>
      <c r="V265" s="2">
        <v>264</v>
      </c>
      <c r="W265" s="2">
        <v>2010</v>
      </c>
    </row>
    <row r="266" spans="1:23" ht="12.3" x14ac:dyDescent="0.4">
      <c r="A266" s="2" t="s">
        <v>315</v>
      </c>
      <c r="B266" s="2"/>
      <c r="C266" s="2"/>
      <c r="D266" s="2"/>
      <c r="E266" s="2"/>
      <c r="F266" s="2"/>
      <c r="G266" s="2"/>
      <c r="H266" s="2"/>
      <c r="I266" s="2">
        <v>63.507300000000001</v>
      </c>
      <c r="J266" s="2">
        <v>308</v>
      </c>
      <c r="K266" s="2">
        <v>64.088399999999993</v>
      </c>
      <c r="L266" s="2">
        <v>297</v>
      </c>
      <c r="M266" s="2">
        <v>96.373099999999994</v>
      </c>
      <c r="N266" s="2">
        <v>258</v>
      </c>
      <c r="O266" s="2">
        <v>97.415899999999993</v>
      </c>
      <c r="P266" s="2">
        <v>235</v>
      </c>
      <c r="Q266" s="2">
        <v>106.73690000000001</v>
      </c>
      <c r="R266" s="2">
        <v>293</v>
      </c>
      <c r="S266" s="2">
        <v>107.4666</v>
      </c>
      <c r="T266" s="2">
        <v>287</v>
      </c>
      <c r="U266" s="2">
        <v>0.244311</v>
      </c>
      <c r="V266" s="2">
        <v>265</v>
      </c>
      <c r="W266" s="2">
        <v>2010</v>
      </c>
    </row>
    <row r="267" spans="1:23" ht="12.3" x14ac:dyDescent="0.4">
      <c r="A267" s="2" t="s">
        <v>281</v>
      </c>
      <c r="B267" s="2"/>
      <c r="C267" s="2"/>
      <c r="D267" s="2"/>
      <c r="E267" s="2"/>
      <c r="F267" s="2"/>
      <c r="G267" s="2"/>
      <c r="H267" s="2"/>
      <c r="I267" s="2">
        <v>73.669799999999995</v>
      </c>
      <c r="J267" s="2">
        <v>11</v>
      </c>
      <c r="K267" s="2">
        <v>72.784899999999993</v>
      </c>
      <c r="L267" s="2">
        <v>13</v>
      </c>
      <c r="M267" s="2">
        <v>96.077600000000004</v>
      </c>
      <c r="N267" s="2">
        <v>261</v>
      </c>
      <c r="O267" s="2">
        <v>96.782200000000003</v>
      </c>
      <c r="P267" s="2">
        <v>247</v>
      </c>
      <c r="Q267" s="2">
        <v>104.91459999999999</v>
      </c>
      <c r="R267" s="2">
        <v>259</v>
      </c>
      <c r="S267" s="2">
        <v>106.87439999999999</v>
      </c>
      <c r="T267" s="2">
        <v>281</v>
      </c>
      <c r="U267" s="2">
        <v>0.24219199999999999</v>
      </c>
      <c r="V267" s="2">
        <v>266</v>
      </c>
      <c r="W267" s="2">
        <v>2010</v>
      </c>
    </row>
    <row r="268" spans="1:23" ht="12.3" x14ac:dyDescent="0.4">
      <c r="A268" s="2" t="s">
        <v>347</v>
      </c>
      <c r="B268" s="2"/>
      <c r="C268" s="2"/>
      <c r="D268" s="2"/>
      <c r="E268" s="2"/>
      <c r="F268" s="2"/>
      <c r="G268" s="2"/>
      <c r="H268" s="2"/>
      <c r="I268" s="2">
        <v>63.900799999999997</v>
      </c>
      <c r="J268" s="2">
        <v>301</v>
      </c>
      <c r="K268" s="2">
        <v>62.8919</v>
      </c>
      <c r="L268" s="2">
        <v>316</v>
      </c>
      <c r="M268" s="2">
        <v>98.229600000000005</v>
      </c>
      <c r="N268" s="2">
        <v>224</v>
      </c>
      <c r="O268" s="2">
        <v>98.297499999999999</v>
      </c>
      <c r="P268" s="2">
        <v>221</v>
      </c>
      <c r="Q268" s="2">
        <v>109.69880000000001</v>
      </c>
      <c r="R268" s="2">
        <v>328</v>
      </c>
      <c r="S268" s="2">
        <v>108.6887</v>
      </c>
      <c r="T268" s="2">
        <v>300</v>
      </c>
      <c r="U268" s="2">
        <v>0.23946200000000001</v>
      </c>
      <c r="V268" s="2">
        <v>267</v>
      </c>
      <c r="W268" s="2">
        <v>2010</v>
      </c>
    </row>
    <row r="269" spans="1:23" ht="12.3" x14ac:dyDescent="0.4">
      <c r="A269" s="2" t="s">
        <v>343</v>
      </c>
      <c r="B269" s="2"/>
      <c r="C269" s="2"/>
      <c r="D269" s="2"/>
      <c r="E269" s="2"/>
      <c r="F269" s="2"/>
      <c r="G269" s="2"/>
      <c r="H269" s="2"/>
      <c r="I269" s="2">
        <v>68.109099999999998</v>
      </c>
      <c r="J269" s="2">
        <v>132</v>
      </c>
      <c r="K269" s="2">
        <v>68.586500000000001</v>
      </c>
      <c r="L269" s="2">
        <v>107</v>
      </c>
      <c r="M269" s="2">
        <v>100.7363</v>
      </c>
      <c r="N269" s="2">
        <v>181</v>
      </c>
      <c r="O269" s="2">
        <v>98.540599999999998</v>
      </c>
      <c r="P269" s="2">
        <v>212</v>
      </c>
      <c r="Q269" s="2">
        <v>103.274</v>
      </c>
      <c r="R269" s="2">
        <v>219</v>
      </c>
      <c r="S269" s="2">
        <v>109.0429</v>
      </c>
      <c r="T269" s="2">
        <v>306</v>
      </c>
      <c r="U269" s="2">
        <v>0.23782500000000001</v>
      </c>
      <c r="V269" s="2">
        <v>268</v>
      </c>
      <c r="W269" s="2">
        <v>2010</v>
      </c>
    </row>
    <row r="270" spans="1:23" ht="12.3" x14ac:dyDescent="0.4">
      <c r="A270" s="2" t="s">
        <v>361</v>
      </c>
      <c r="B270" s="2"/>
      <c r="C270" s="2"/>
      <c r="D270" s="2"/>
      <c r="E270" s="2"/>
      <c r="F270" s="2"/>
      <c r="G270" s="2"/>
      <c r="H270" s="2"/>
      <c r="I270" s="2">
        <v>66.235299999999995</v>
      </c>
      <c r="J270" s="2">
        <v>231</v>
      </c>
      <c r="K270" s="2">
        <v>65.187899999999999</v>
      </c>
      <c r="L270" s="2">
        <v>268</v>
      </c>
      <c r="M270" s="2">
        <v>97.411199999999994</v>
      </c>
      <c r="N270" s="2">
        <v>241</v>
      </c>
      <c r="O270" s="2">
        <v>97.234999999999999</v>
      </c>
      <c r="P270" s="2">
        <v>238</v>
      </c>
      <c r="Q270" s="2">
        <v>105.16849999999999</v>
      </c>
      <c r="R270" s="2">
        <v>265</v>
      </c>
      <c r="S270" s="2">
        <v>107.7932</v>
      </c>
      <c r="T270" s="2">
        <v>291</v>
      </c>
      <c r="U270" s="2">
        <v>0.234072</v>
      </c>
      <c r="V270" s="2">
        <v>269</v>
      </c>
      <c r="W270" s="2">
        <v>2010</v>
      </c>
    </row>
    <row r="271" spans="1:23" ht="12.3" x14ac:dyDescent="0.4">
      <c r="A271" s="2" t="s">
        <v>312</v>
      </c>
      <c r="B271" s="2"/>
      <c r="C271" s="2"/>
      <c r="D271" s="2"/>
      <c r="E271" s="2"/>
      <c r="F271" s="2"/>
      <c r="G271" s="2"/>
      <c r="H271" s="2"/>
      <c r="I271" s="2">
        <v>66.507099999999994</v>
      </c>
      <c r="J271" s="2">
        <v>220</v>
      </c>
      <c r="K271" s="2">
        <v>65.338399999999993</v>
      </c>
      <c r="L271" s="2">
        <v>262</v>
      </c>
      <c r="M271" s="2">
        <v>93.251400000000004</v>
      </c>
      <c r="N271" s="2">
        <v>300</v>
      </c>
      <c r="O271" s="2">
        <v>92.800299999999993</v>
      </c>
      <c r="P271" s="2">
        <v>301</v>
      </c>
      <c r="Q271" s="2">
        <v>96.334299999999999</v>
      </c>
      <c r="R271" s="2">
        <v>65</v>
      </c>
      <c r="S271" s="2">
        <v>102.9042</v>
      </c>
      <c r="T271" s="2">
        <v>201</v>
      </c>
      <c r="U271" s="2">
        <v>0.23352500000000001</v>
      </c>
      <c r="V271" s="2">
        <v>270</v>
      </c>
      <c r="W271" s="2">
        <v>2010</v>
      </c>
    </row>
    <row r="272" spans="1:23" ht="12.3" x14ac:dyDescent="0.4">
      <c r="A272" s="2" t="s">
        <v>346</v>
      </c>
      <c r="B272" s="2"/>
      <c r="C272" s="2"/>
      <c r="D272" s="2"/>
      <c r="E272" s="2"/>
      <c r="F272" s="2"/>
      <c r="G272" s="2"/>
      <c r="H272" s="2"/>
      <c r="I272" s="2">
        <v>68.388400000000004</v>
      </c>
      <c r="J272" s="2">
        <v>123</v>
      </c>
      <c r="K272" s="2">
        <v>67.294399999999996</v>
      </c>
      <c r="L272" s="2">
        <v>171</v>
      </c>
      <c r="M272" s="2">
        <v>95.739099999999993</v>
      </c>
      <c r="N272" s="2">
        <v>269</v>
      </c>
      <c r="O272" s="2">
        <v>96.335899999999995</v>
      </c>
      <c r="P272" s="2">
        <v>255</v>
      </c>
      <c r="Q272" s="2">
        <v>103.0218</v>
      </c>
      <c r="R272" s="2">
        <v>212</v>
      </c>
      <c r="S272" s="2">
        <v>106.8289</v>
      </c>
      <c r="T272" s="2">
        <v>280</v>
      </c>
      <c r="U272" s="2">
        <v>0.23344599999999999</v>
      </c>
      <c r="V272" s="2">
        <v>271</v>
      </c>
      <c r="W272" s="2">
        <v>2010</v>
      </c>
    </row>
    <row r="273" spans="1:23" ht="12.3" x14ac:dyDescent="0.4">
      <c r="A273" s="2" t="s">
        <v>314</v>
      </c>
      <c r="B273" s="2"/>
      <c r="C273" s="2"/>
      <c r="D273" s="2"/>
      <c r="E273" s="2"/>
      <c r="F273" s="2"/>
      <c r="G273" s="2"/>
      <c r="H273" s="2"/>
      <c r="I273" s="2">
        <v>64.799300000000002</v>
      </c>
      <c r="J273" s="2">
        <v>280</v>
      </c>
      <c r="K273" s="2">
        <v>64.257199999999997</v>
      </c>
      <c r="L273" s="2">
        <v>290</v>
      </c>
      <c r="M273" s="2">
        <v>92.912300000000002</v>
      </c>
      <c r="N273" s="2">
        <v>306</v>
      </c>
      <c r="O273" s="2">
        <v>87.671199999999999</v>
      </c>
      <c r="P273" s="2">
        <v>335</v>
      </c>
      <c r="Q273" s="2">
        <v>93.778700000000001</v>
      </c>
      <c r="R273" s="2">
        <v>34</v>
      </c>
      <c r="S273" s="2">
        <v>97.289100000000005</v>
      </c>
      <c r="T273" s="2">
        <v>79</v>
      </c>
      <c r="U273" s="2">
        <v>0.23199700000000001</v>
      </c>
      <c r="V273" s="2">
        <v>272</v>
      </c>
      <c r="W273" s="2">
        <v>2010</v>
      </c>
    </row>
    <row r="274" spans="1:23" ht="12.3" x14ac:dyDescent="0.4">
      <c r="A274" s="2" t="s">
        <v>275</v>
      </c>
      <c r="B274" s="2"/>
      <c r="C274" s="2"/>
      <c r="D274" s="2"/>
      <c r="E274" s="2"/>
      <c r="F274" s="2"/>
      <c r="G274" s="2"/>
      <c r="H274" s="2"/>
      <c r="I274" s="2">
        <v>67.736199999999997</v>
      </c>
      <c r="J274" s="2">
        <v>152</v>
      </c>
      <c r="K274" s="2">
        <v>67.893299999999996</v>
      </c>
      <c r="L274" s="2">
        <v>139</v>
      </c>
      <c r="M274" s="2">
        <v>100.4003</v>
      </c>
      <c r="N274" s="2">
        <v>186</v>
      </c>
      <c r="O274" s="2">
        <v>95.302999999999997</v>
      </c>
      <c r="P274" s="2">
        <v>271</v>
      </c>
      <c r="Q274" s="2">
        <v>106.5796</v>
      </c>
      <c r="R274" s="2">
        <v>290</v>
      </c>
      <c r="S274" s="2">
        <v>105.9058</v>
      </c>
      <c r="T274" s="2">
        <v>265</v>
      </c>
      <c r="U274" s="2">
        <v>0.22914799999999999</v>
      </c>
      <c r="V274" s="2">
        <v>273</v>
      </c>
      <c r="W274" s="2">
        <v>2010</v>
      </c>
    </row>
    <row r="275" spans="1:23" ht="12.3" x14ac:dyDescent="0.4">
      <c r="A275" s="2" t="s">
        <v>330</v>
      </c>
      <c r="B275" s="2"/>
      <c r="C275" s="2"/>
      <c r="D275" s="2"/>
      <c r="E275" s="2"/>
      <c r="F275" s="2"/>
      <c r="G275" s="2"/>
      <c r="H275" s="2"/>
      <c r="I275" s="2">
        <v>70.751599999999996</v>
      </c>
      <c r="J275" s="2">
        <v>40</v>
      </c>
      <c r="K275" s="2">
        <v>68.278300000000002</v>
      </c>
      <c r="L275" s="2">
        <v>125</v>
      </c>
      <c r="M275" s="2">
        <v>99.064700000000002</v>
      </c>
      <c r="N275" s="2">
        <v>204</v>
      </c>
      <c r="O275" s="2">
        <v>97.241600000000005</v>
      </c>
      <c r="P275" s="2">
        <v>237</v>
      </c>
      <c r="Q275" s="2">
        <v>103.2363</v>
      </c>
      <c r="R275" s="2">
        <v>218</v>
      </c>
      <c r="S275" s="2">
        <v>108.1204</v>
      </c>
      <c r="T275" s="2">
        <v>295</v>
      </c>
      <c r="U275" s="2">
        <v>0.228019</v>
      </c>
      <c r="V275" s="2">
        <v>274</v>
      </c>
      <c r="W275" s="2">
        <v>2010</v>
      </c>
    </row>
    <row r="276" spans="1:23" ht="12.3" x14ac:dyDescent="0.4">
      <c r="A276" s="2" t="s">
        <v>310</v>
      </c>
      <c r="B276" s="2"/>
      <c r="C276" s="2"/>
      <c r="D276" s="2"/>
      <c r="E276" s="2"/>
      <c r="F276" s="2"/>
      <c r="G276" s="2"/>
      <c r="H276" s="2"/>
      <c r="I276" s="2">
        <v>64.706000000000003</v>
      </c>
      <c r="J276" s="2">
        <v>284</v>
      </c>
      <c r="K276" s="2">
        <v>65.3018</v>
      </c>
      <c r="L276" s="2">
        <v>264</v>
      </c>
      <c r="M276" s="2">
        <v>91.538799999999995</v>
      </c>
      <c r="N276" s="2">
        <v>316</v>
      </c>
      <c r="O276" s="2">
        <v>90.878600000000006</v>
      </c>
      <c r="P276" s="2">
        <v>315</v>
      </c>
      <c r="Q276" s="2">
        <v>96.473399999999998</v>
      </c>
      <c r="R276" s="2">
        <v>72</v>
      </c>
      <c r="S276" s="2">
        <v>101.0925</v>
      </c>
      <c r="T276" s="2">
        <v>165</v>
      </c>
      <c r="U276" s="2">
        <v>0.227078</v>
      </c>
      <c r="V276" s="2">
        <v>275</v>
      </c>
      <c r="W276" s="2">
        <v>2010</v>
      </c>
    </row>
    <row r="277" spans="1:23" ht="12.3" x14ac:dyDescent="0.4">
      <c r="A277" s="2" t="s">
        <v>325</v>
      </c>
      <c r="B277" s="2"/>
      <c r="C277" s="2"/>
      <c r="D277" s="2"/>
      <c r="E277" s="2"/>
      <c r="F277" s="2"/>
      <c r="G277" s="2"/>
      <c r="H277" s="2"/>
      <c r="I277" s="2">
        <v>69.132999999999996</v>
      </c>
      <c r="J277" s="2">
        <v>87</v>
      </c>
      <c r="K277" s="2">
        <v>67.990300000000005</v>
      </c>
      <c r="L277" s="2">
        <v>134</v>
      </c>
      <c r="M277" s="2">
        <v>95.366500000000002</v>
      </c>
      <c r="N277" s="2">
        <v>274</v>
      </c>
      <c r="O277" s="2">
        <v>91.149799999999999</v>
      </c>
      <c r="P277" s="2">
        <v>311</v>
      </c>
      <c r="Q277" s="2">
        <v>95.894800000000004</v>
      </c>
      <c r="R277" s="2">
        <v>54</v>
      </c>
      <c r="S277" s="2">
        <v>101.56229999999999</v>
      </c>
      <c r="T277" s="2">
        <v>170</v>
      </c>
      <c r="U277" s="2">
        <v>0.22375100000000001</v>
      </c>
      <c r="V277" s="2">
        <v>276</v>
      </c>
      <c r="W277" s="2">
        <v>2010</v>
      </c>
    </row>
    <row r="278" spans="1:23" ht="12.3" x14ac:dyDescent="0.4">
      <c r="A278" s="2" t="s">
        <v>363</v>
      </c>
      <c r="B278" s="2"/>
      <c r="C278" s="2"/>
      <c r="D278" s="2"/>
      <c r="E278" s="2"/>
      <c r="F278" s="2"/>
      <c r="G278" s="2"/>
      <c r="H278" s="2"/>
      <c r="I278" s="2">
        <v>64.410300000000007</v>
      </c>
      <c r="J278" s="2">
        <v>289</v>
      </c>
      <c r="K278" s="2">
        <v>64.622600000000006</v>
      </c>
      <c r="L278" s="2">
        <v>281</v>
      </c>
      <c r="M278" s="2">
        <v>90.998699999999999</v>
      </c>
      <c r="N278" s="2">
        <v>318</v>
      </c>
      <c r="O278" s="2">
        <v>90.007199999999997</v>
      </c>
      <c r="P278" s="2">
        <v>320</v>
      </c>
      <c r="Q278" s="2">
        <v>100.932</v>
      </c>
      <c r="R278" s="2">
        <v>161</v>
      </c>
      <c r="S278" s="2">
        <v>100.5164</v>
      </c>
      <c r="T278" s="2">
        <v>151</v>
      </c>
      <c r="U278" s="2">
        <v>0.21926399999999999</v>
      </c>
      <c r="V278" s="2">
        <v>277</v>
      </c>
      <c r="W278" s="2">
        <v>2010</v>
      </c>
    </row>
    <row r="279" spans="1:23" ht="12.3" x14ac:dyDescent="0.4">
      <c r="A279" s="2" t="s">
        <v>193</v>
      </c>
      <c r="B279" s="2"/>
      <c r="C279" s="2"/>
      <c r="D279" s="2"/>
      <c r="E279" s="2"/>
      <c r="F279" s="2"/>
      <c r="G279" s="2"/>
      <c r="H279" s="2"/>
      <c r="I279" s="2">
        <v>67.605599999999995</v>
      </c>
      <c r="J279" s="2">
        <v>160</v>
      </c>
      <c r="K279" s="2">
        <v>67.409499999999994</v>
      </c>
      <c r="L279" s="2">
        <v>165</v>
      </c>
      <c r="M279" s="2">
        <v>98.795100000000005</v>
      </c>
      <c r="N279" s="2">
        <v>214</v>
      </c>
      <c r="O279" s="2">
        <v>97.706400000000002</v>
      </c>
      <c r="P279" s="2">
        <v>231</v>
      </c>
      <c r="Q279" s="2">
        <v>107.04219999999999</v>
      </c>
      <c r="R279" s="2">
        <v>297</v>
      </c>
      <c r="S279" s="2">
        <v>109.1606</v>
      </c>
      <c r="T279" s="2">
        <v>308</v>
      </c>
      <c r="U279" s="2">
        <v>0.21843399999999999</v>
      </c>
      <c r="V279" s="2">
        <v>278</v>
      </c>
      <c r="W279" s="2">
        <v>2010</v>
      </c>
    </row>
    <row r="280" spans="1:23" ht="12.3" x14ac:dyDescent="0.4">
      <c r="A280" s="2" t="s">
        <v>367</v>
      </c>
      <c r="B280" s="2"/>
      <c r="C280" s="2"/>
      <c r="D280" s="2"/>
      <c r="E280" s="2"/>
      <c r="F280" s="2"/>
      <c r="G280" s="2"/>
      <c r="H280" s="2"/>
      <c r="I280" s="2">
        <v>66.701899999999995</v>
      </c>
      <c r="J280" s="2">
        <v>206</v>
      </c>
      <c r="K280" s="2">
        <v>66.547600000000003</v>
      </c>
      <c r="L280" s="2">
        <v>208</v>
      </c>
      <c r="M280" s="2">
        <v>90.4542</v>
      </c>
      <c r="N280" s="2">
        <v>320</v>
      </c>
      <c r="O280" s="2">
        <v>90.490300000000005</v>
      </c>
      <c r="P280" s="2">
        <v>317</v>
      </c>
      <c r="Q280" s="2">
        <v>100.9979</v>
      </c>
      <c r="R280" s="2">
        <v>164</v>
      </c>
      <c r="S280" s="2">
        <v>101.2389</v>
      </c>
      <c r="T280" s="2">
        <v>167</v>
      </c>
      <c r="U280" s="2">
        <v>0.215724</v>
      </c>
      <c r="V280" s="2">
        <v>279</v>
      </c>
      <c r="W280" s="2">
        <v>2010</v>
      </c>
    </row>
    <row r="281" spans="1:23" ht="12.3" x14ac:dyDescent="0.4">
      <c r="A281" s="2" t="s">
        <v>316</v>
      </c>
      <c r="B281" s="2"/>
      <c r="C281" s="2"/>
      <c r="D281" s="2"/>
      <c r="E281" s="2"/>
      <c r="F281" s="2"/>
      <c r="G281" s="2"/>
      <c r="H281" s="2"/>
      <c r="I281" s="2">
        <v>70.382400000000004</v>
      </c>
      <c r="J281" s="2">
        <v>52</v>
      </c>
      <c r="K281" s="2">
        <v>70.262600000000006</v>
      </c>
      <c r="L281" s="2">
        <v>48</v>
      </c>
      <c r="M281" s="2">
        <v>101.7636</v>
      </c>
      <c r="N281" s="2">
        <v>160</v>
      </c>
      <c r="O281" s="2">
        <v>97.091399999999993</v>
      </c>
      <c r="P281" s="2">
        <v>241</v>
      </c>
      <c r="Q281" s="2">
        <v>103.2243</v>
      </c>
      <c r="R281" s="2">
        <v>217</v>
      </c>
      <c r="S281" s="2">
        <v>108.81570000000001</v>
      </c>
      <c r="T281" s="2">
        <v>303</v>
      </c>
      <c r="U281" s="2">
        <v>0.212315</v>
      </c>
      <c r="V281" s="2">
        <v>280</v>
      </c>
      <c r="W281" s="2">
        <v>2010</v>
      </c>
    </row>
    <row r="282" spans="1:23" ht="12.3" x14ac:dyDescent="0.4">
      <c r="A282" s="2" t="s">
        <v>370</v>
      </c>
      <c r="B282" s="2"/>
      <c r="C282" s="2"/>
      <c r="D282" s="2"/>
      <c r="E282" s="2"/>
      <c r="F282" s="2"/>
      <c r="G282" s="2"/>
      <c r="H282" s="2"/>
      <c r="I282" s="2">
        <v>68.686700000000002</v>
      </c>
      <c r="J282" s="2">
        <v>109</v>
      </c>
      <c r="K282" s="2">
        <v>68.644300000000001</v>
      </c>
      <c r="L282" s="2">
        <v>103</v>
      </c>
      <c r="M282" s="2">
        <v>94.982900000000001</v>
      </c>
      <c r="N282" s="2">
        <v>278</v>
      </c>
      <c r="O282" s="2">
        <v>94.783299999999997</v>
      </c>
      <c r="P282" s="2">
        <v>279</v>
      </c>
      <c r="Q282" s="2">
        <v>107.62820000000001</v>
      </c>
      <c r="R282" s="2">
        <v>305</v>
      </c>
      <c r="S282" s="2">
        <v>106.25790000000001</v>
      </c>
      <c r="T282" s="2">
        <v>276</v>
      </c>
      <c r="U282" s="2">
        <v>0.21178900000000001</v>
      </c>
      <c r="V282" s="2">
        <v>281</v>
      </c>
      <c r="W282" s="2">
        <v>2010</v>
      </c>
    </row>
    <row r="283" spans="1:23" ht="12.3" x14ac:dyDescent="0.4">
      <c r="A283" s="2" t="s">
        <v>302</v>
      </c>
      <c r="B283" s="2"/>
      <c r="C283" s="2"/>
      <c r="D283" s="2"/>
      <c r="E283" s="2"/>
      <c r="F283" s="2"/>
      <c r="G283" s="2"/>
      <c r="H283" s="2"/>
      <c r="I283" s="2">
        <v>68.4071</v>
      </c>
      <c r="J283" s="2">
        <v>122</v>
      </c>
      <c r="K283" s="2">
        <v>68.036100000000005</v>
      </c>
      <c r="L283" s="2">
        <v>130</v>
      </c>
      <c r="M283" s="2">
        <v>92.571299999999994</v>
      </c>
      <c r="N283" s="2">
        <v>309</v>
      </c>
      <c r="O283" s="2">
        <v>93.055899999999994</v>
      </c>
      <c r="P283" s="2">
        <v>297</v>
      </c>
      <c r="Q283" s="2">
        <v>105.62990000000001</v>
      </c>
      <c r="R283" s="2">
        <v>273</v>
      </c>
      <c r="S283" s="2">
        <v>104.3389</v>
      </c>
      <c r="T283" s="2">
        <v>230</v>
      </c>
      <c r="U283" s="2">
        <v>0.21146699999999999</v>
      </c>
      <c r="V283" s="2">
        <v>282</v>
      </c>
      <c r="W283" s="2">
        <v>2010</v>
      </c>
    </row>
    <row r="284" spans="1:23" ht="12.3" x14ac:dyDescent="0.4">
      <c r="A284" s="2" t="s">
        <v>294</v>
      </c>
      <c r="B284" s="2"/>
      <c r="C284" s="2"/>
      <c r="D284" s="2"/>
      <c r="E284" s="2"/>
      <c r="F284" s="2"/>
      <c r="G284" s="2"/>
      <c r="H284" s="2"/>
      <c r="I284" s="2">
        <v>63.864400000000003</v>
      </c>
      <c r="J284" s="2">
        <v>302</v>
      </c>
      <c r="K284" s="2">
        <v>64.063900000000004</v>
      </c>
      <c r="L284" s="2">
        <v>298</v>
      </c>
      <c r="M284" s="2">
        <v>101.25790000000001</v>
      </c>
      <c r="N284" s="2">
        <v>168</v>
      </c>
      <c r="O284" s="2">
        <v>102.23009999999999</v>
      </c>
      <c r="P284" s="2">
        <v>156</v>
      </c>
      <c r="Q284" s="2">
        <v>117.06</v>
      </c>
      <c r="R284" s="2">
        <v>347</v>
      </c>
      <c r="S284" s="2">
        <v>114.6935</v>
      </c>
      <c r="T284" s="2">
        <v>345</v>
      </c>
      <c r="U284" s="2">
        <v>0.21033299999999999</v>
      </c>
      <c r="V284" s="2">
        <v>283</v>
      </c>
      <c r="W284" s="2">
        <v>2010</v>
      </c>
    </row>
    <row r="285" spans="1:23" ht="12.3" x14ac:dyDescent="0.4">
      <c r="A285" s="2" t="s">
        <v>107</v>
      </c>
      <c r="B285" s="2"/>
      <c r="C285" s="2"/>
      <c r="D285" s="2"/>
      <c r="E285" s="2"/>
      <c r="F285" s="2"/>
      <c r="G285" s="2"/>
      <c r="H285" s="2"/>
      <c r="I285" s="2">
        <v>66.939800000000005</v>
      </c>
      <c r="J285" s="2">
        <v>191</v>
      </c>
      <c r="K285" s="2">
        <v>66.747500000000002</v>
      </c>
      <c r="L285" s="2">
        <v>196</v>
      </c>
      <c r="M285" s="2">
        <v>98.806899999999999</v>
      </c>
      <c r="N285" s="2">
        <v>213</v>
      </c>
      <c r="O285" s="2">
        <v>98.373599999999996</v>
      </c>
      <c r="P285" s="2">
        <v>217</v>
      </c>
      <c r="Q285" s="2">
        <v>108.1275</v>
      </c>
      <c r="R285" s="2">
        <v>314</v>
      </c>
      <c r="S285" s="2">
        <v>110.4847</v>
      </c>
      <c r="T285" s="2">
        <v>327</v>
      </c>
      <c r="U285" s="2">
        <v>0.20830000000000001</v>
      </c>
      <c r="V285" s="2">
        <v>284</v>
      </c>
      <c r="W285" s="2">
        <v>2010</v>
      </c>
    </row>
    <row r="286" spans="1:23" ht="12.3" x14ac:dyDescent="0.4">
      <c r="A286" s="2" t="s">
        <v>233</v>
      </c>
      <c r="B286" s="2"/>
      <c r="C286" s="2"/>
      <c r="D286" s="2"/>
      <c r="E286" s="2"/>
      <c r="F286" s="2"/>
      <c r="G286" s="2"/>
      <c r="H286" s="2"/>
      <c r="I286" s="2">
        <v>66.732900000000001</v>
      </c>
      <c r="J286" s="2">
        <v>204</v>
      </c>
      <c r="K286" s="2">
        <v>67.748900000000006</v>
      </c>
      <c r="L286" s="2">
        <v>148</v>
      </c>
      <c r="M286" s="2">
        <v>98.879300000000001</v>
      </c>
      <c r="N286" s="2">
        <v>209</v>
      </c>
      <c r="O286" s="2">
        <v>98.3583</v>
      </c>
      <c r="P286" s="2">
        <v>220</v>
      </c>
      <c r="Q286" s="2">
        <v>108.36060000000001</v>
      </c>
      <c r="R286" s="2">
        <v>318</v>
      </c>
      <c r="S286" s="2">
        <v>110.5569</v>
      </c>
      <c r="T286" s="2">
        <v>328</v>
      </c>
      <c r="U286" s="2">
        <v>0.20677000000000001</v>
      </c>
      <c r="V286" s="2">
        <v>285</v>
      </c>
      <c r="W286" s="2">
        <v>2010</v>
      </c>
    </row>
    <row r="287" spans="1:23" ht="12.3" x14ac:dyDescent="0.4">
      <c r="A287" s="2" t="s">
        <v>226</v>
      </c>
      <c r="B287" s="2"/>
      <c r="C287" s="2"/>
      <c r="D287" s="2"/>
      <c r="E287" s="2"/>
      <c r="F287" s="2"/>
      <c r="G287" s="2"/>
      <c r="H287" s="2"/>
      <c r="I287" s="2">
        <v>64.146299999999997</v>
      </c>
      <c r="J287" s="2">
        <v>295</v>
      </c>
      <c r="K287" s="2">
        <v>63.799199999999999</v>
      </c>
      <c r="L287" s="2">
        <v>302</v>
      </c>
      <c r="M287" s="2">
        <v>95.787300000000002</v>
      </c>
      <c r="N287" s="2">
        <v>268</v>
      </c>
      <c r="O287" s="2">
        <v>93.594399999999993</v>
      </c>
      <c r="P287" s="2">
        <v>290</v>
      </c>
      <c r="Q287" s="2">
        <v>102.9997</v>
      </c>
      <c r="R287" s="2">
        <v>211</v>
      </c>
      <c r="S287" s="2">
        <v>105.2539</v>
      </c>
      <c r="T287" s="2">
        <v>252</v>
      </c>
      <c r="U287" s="2">
        <v>0.205845</v>
      </c>
      <c r="V287" s="2">
        <v>286</v>
      </c>
      <c r="W287" s="2">
        <v>2010</v>
      </c>
    </row>
    <row r="288" spans="1:23" ht="12.3" x14ac:dyDescent="0.4">
      <c r="A288" s="2" t="s">
        <v>297</v>
      </c>
      <c r="B288" s="2"/>
      <c r="C288" s="2"/>
      <c r="D288" s="2"/>
      <c r="E288" s="2"/>
      <c r="F288" s="2"/>
      <c r="G288" s="2"/>
      <c r="H288" s="2"/>
      <c r="I288" s="2">
        <v>67.971599999999995</v>
      </c>
      <c r="J288" s="2">
        <v>136</v>
      </c>
      <c r="K288" s="2">
        <v>66.039000000000001</v>
      </c>
      <c r="L288" s="2">
        <v>228</v>
      </c>
      <c r="M288" s="2">
        <v>93.819699999999997</v>
      </c>
      <c r="N288" s="2">
        <v>296</v>
      </c>
      <c r="O288" s="2">
        <v>92.739000000000004</v>
      </c>
      <c r="P288" s="2">
        <v>302</v>
      </c>
      <c r="Q288" s="2">
        <v>97.025899999999993</v>
      </c>
      <c r="R288" s="2">
        <v>80</v>
      </c>
      <c r="S288" s="2">
        <v>104.35469999999999</v>
      </c>
      <c r="T288" s="2">
        <v>231</v>
      </c>
      <c r="U288" s="2">
        <v>0.20471500000000001</v>
      </c>
      <c r="V288" s="2">
        <v>287</v>
      </c>
      <c r="W288" s="2">
        <v>2010</v>
      </c>
    </row>
    <row r="289" spans="1:23" ht="12.3" x14ac:dyDescent="0.4">
      <c r="A289" s="2" t="s">
        <v>359</v>
      </c>
      <c r="B289" s="2"/>
      <c r="C289" s="2"/>
      <c r="D289" s="2"/>
      <c r="E289" s="2"/>
      <c r="F289" s="2"/>
      <c r="G289" s="2"/>
      <c r="H289" s="2"/>
      <c r="I289" s="2">
        <v>73.744</v>
      </c>
      <c r="J289" s="2">
        <v>10</v>
      </c>
      <c r="K289" s="2">
        <v>74.459800000000001</v>
      </c>
      <c r="L289" s="2">
        <v>6</v>
      </c>
      <c r="M289" s="2">
        <v>95.494399999999999</v>
      </c>
      <c r="N289" s="2">
        <v>272</v>
      </c>
      <c r="O289" s="2">
        <v>97.629300000000001</v>
      </c>
      <c r="P289" s="2">
        <v>233</v>
      </c>
      <c r="Q289" s="2">
        <v>107.35760000000001</v>
      </c>
      <c r="R289" s="2">
        <v>300</v>
      </c>
      <c r="S289" s="2">
        <v>109.8947</v>
      </c>
      <c r="T289" s="2">
        <v>317</v>
      </c>
      <c r="U289" s="2">
        <v>0.20408299999999999</v>
      </c>
      <c r="V289" s="2">
        <v>288</v>
      </c>
      <c r="W289" s="2">
        <v>2010</v>
      </c>
    </row>
    <row r="290" spans="1:23" ht="12.3" x14ac:dyDescent="0.4">
      <c r="A290" s="2" t="s">
        <v>125</v>
      </c>
      <c r="B290" s="2"/>
      <c r="C290" s="2"/>
      <c r="D290" s="2"/>
      <c r="E290" s="2"/>
      <c r="F290" s="2"/>
      <c r="G290" s="2"/>
      <c r="H290" s="2"/>
      <c r="I290" s="2">
        <v>66.456100000000006</v>
      </c>
      <c r="J290" s="2">
        <v>223</v>
      </c>
      <c r="K290" s="2">
        <v>67.176199999999994</v>
      </c>
      <c r="L290" s="2">
        <v>178</v>
      </c>
      <c r="M290" s="2">
        <v>98.602999999999994</v>
      </c>
      <c r="N290" s="2">
        <v>218</v>
      </c>
      <c r="O290" s="2">
        <v>98.6233</v>
      </c>
      <c r="P290" s="2">
        <v>211</v>
      </c>
      <c r="Q290" s="2">
        <v>110.0641</v>
      </c>
      <c r="R290" s="2">
        <v>330</v>
      </c>
      <c r="S290" s="2">
        <v>111.02760000000001</v>
      </c>
      <c r="T290" s="2">
        <v>331</v>
      </c>
      <c r="U290" s="2">
        <v>0.203848</v>
      </c>
      <c r="V290" s="2">
        <v>289</v>
      </c>
      <c r="W290" s="2">
        <v>2010</v>
      </c>
    </row>
    <row r="291" spans="1:23" ht="12.3" x14ac:dyDescent="0.4">
      <c r="A291" s="2" t="s">
        <v>300</v>
      </c>
      <c r="B291" s="2"/>
      <c r="C291" s="2"/>
      <c r="D291" s="2"/>
      <c r="E291" s="2"/>
      <c r="F291" s="2"/>
      <c r="G291" s="2"/>
      <c r="H291" s="2"/>
      <c r="I291" s="2">
        <v>72.201300000000003</v>
      </c>
      <c r="J291" s="2">
        <v>22</v>
      </c>
      <c r="K291" s="2">
        <v>72.483500000000006</v>
      </c>
      <c r="L291" s="2">
        <v>16</v>
      </c>
      <c r="M291" s="2">
        <v>97.741600000000005</v>
      </c>
      <c r="N291" s="2">
        <v>234</v>
      </c>
      <c r="O291" s="2">
        <v>95.233400000000003</v>
      </c>
      <c r="P291" s="2">
        <v>274</v>
      </c>
      <c r="Q291" s="2">
        <v>103.4936</v>
      </c>
      <c r="R291" s="2">
        <v>227</v>
      </c>
      <c r="S291" s="2">
        <v>107.3486</v>
      </c>
      <c r="T291" s="2">
        <v>284</v>
      </c>
      <c r="U291" s="2">
        <v>0.20147000000000001</v>
      </c>
      <c r="V291" s="2">
        <v>290</v>
      </c>
      <c r="W291" s="2">
        <v>2010</v>
      </c>
    </row>
    <row r="292" spans="1:23" ht="12.3" x14ac:dyDescent="0.4">
      <c r="A292" s="2" t="s">
        <v>247</v>
      </c>
      <c r="B292" s="2"/>
      <c r="C292" s="2"/>
      <c r="D292" s="2"/>
      <c r="E292" s="2"/>
      <c r="F292" s="2"/>
      <c r="G292" s="2"/>
      <c r="H292" s="2"/>
      <c r="I292" s="2">
        <v>66.882800000000003</v>
      </c>
      <c r="J292" s="2">
        <v>195</v>
      </c>
      <c r="K292" s="2">
        <v>66.850700000000003</v>
      </c>
      <c r="L292" s="2">
        <v>192</v>
      </c>
      <c r="M292" s="2">
        <v>99.017099999999999</v>
      </c>
      <c r="N292" s="2">
        <v>207</v>
      </c>
      <c r="O292" s="2">
        <v>96.847300000000004</v>
      </c>
      <c r="P292" s="2">
        <v>244</v>
      </c>
      <c r="Q292" s="2">
        <v>105.0449</v>
      </c>
      <c r="R292" s="2">
        <v>263</v>
      </c>
      <c r="S292" s="2">
        <v>109.2114</v>
      </c>
      <c r="T292" s="2">
        <v>309</v>
      </c>
      <c r="U292" s="2">
        <v>0.20073099999999999</v>
      </c>
      <c r="V292" s="2">
        <v>291</v>
      </c>
      <c r="W292" s="2">
        <v>2010</v>
      </c>
    </row>
    <row r="293" spans="1:23" ht="12.3" x14ac:dyDescent="0.4">
      <c r="A293" s="2" t="s">
        <v>266</v>
      </c>
      <c r="B293" s="2"/>
      <c r="C293" s="2"/>
      <c r="D293" s="2"/>
      <c r="E293" s="2"/>
      <c r="F293" s="2"/>
      <c r="G293" s="2"/>
      <c r="H293" s="2"/>
      <c r="I293" s="2">
        <v>69.944599999999994</v>
      </c>
      <c r="J293" s="2">
        <v>66</v>
      </c>
      <c r="K293" s="2">
        <v>68.919700000000006</v>
      </c>
      <c r="L293" s="2">
        <v>89</v>
      </c>
      <c r="M293" s="2">
        <v>96.204499999999996</v>
      </c>
      <c r="N293" s="2">
        <v>259</v>
      </c>
      <c r="O293" s="2">
        <v>95.516400000000004</v>
      </c>
      <c r="P293" s="2">
        <v>269</v>
      </c>
      <c r="Q293" s="2">
        <v>105.00149999999999</v>
      </c>
      <c r="R293" s="2">
        <v>261</v>
      </c>
      <c r="S293" s="2">
        <v>107.752</v>
      </c>
      <c r="T293" s="2">
        <v>290</v>
      </c>
      <c r="U293" s="2">
        <v>0.20002500000000001</v>
      </c>
      <c r="V293" s="2">
        <v>292</v>
      </c>
      <c r="W293" s="2">
        <v>2010</v>
      </c>
    </row>
    <row r="294" spans="1:23" ht="12.3" x14ac:dyDescent="0.4">
      <c r="A294" s="2" t="s">
        <v>79</v>
      </c>
      <c r="B294" s="2"/>
      <c r="C294" s="2"/>
      <c r="D294" s="2"/>
      <c r="E294" s="2"/>
      <c r="F294" s="2"/>
      <c r="G294" s="2"/>
      <c r="H294" s="2"/>
      <c r="I294" s="2">
        <v>66.872200000000007</v>
      </c>
      <c r="J294" s="2">
        <v>196</v>
      </c>
      <c r="K294" s="2">
        <v>66.697800000000001</v>
      </c>
      <c r="L294" s="2">
        <v>197</v>
      </c>
      <c r="M294" s="2">
        <v>96.603999999999999</v>
      </c>
      <c r="N294" s="2">
        <v>254</v>
      </c>
      <c r="O294" s="2">
        <v>96.590599999999995</v>
      </c>
      <c r="P294" s="2">
        <v>250</v>
      </c>
      <c r="Q294" s="2">
        <v>111.23139999999999</v>
      </c>
      <c r="R294" s="2">
        <v>339</v>
      </c>
      <c r="S294" s="2">
        <v>108.98439999999999</v>
      </c>
      <c r="T294" s="2">
        <v>304</v>
      </c>
      <c r="U294" s="2">
        <v>0.19967699999999999</v>
      </c>
      <c r="V294" s="2">
        <v>293</v>
      </c>
      <c r="W294" s="2">
        <v>2010</v>
      </c>
    </row>
    <row r="295" spans="1:23" ht="12.3" x14ac:dyDescent="0.4">
      <c r="A295" s="2" t="s">
        <v>305</v>
      </c>
      <c r="B295" s="2"/>
      <c r="C295" s="2"/>
      <c r="D295" s="2"/>
      <c r="E295" s="2"/>
      <c r="F295" s="2"/>
      <c r="G295" s="2"/>
      <c r="H295" s="2"/>
      <c r="I295" s="2">
        <v>65.385199999999998</v>
      </c>
      <c r="J295" s="2">
        <v>257</v>
      </c>
      <c r="K295" s="2">
        <v>64.130499999999998</v>
      </c>
      <c r="L295" s="2">
        <v>293</v>
      </c>
      <c r="M295" s="2">
        <v>94.691100000000006</v>
      </c>
      <c r="N295" s="2">
        <v>284</v>
      </c>
      <c r="O295" s="2">
        <v>93.435500000000005</v>
      </c>
      <c r="P295" s="2">
        <v>292</v>
      </c>
      <c r="Q295" s="2">
        <v>101.2855</v>
      </c>
      <c r="R295" s="2">
        <v>173</v>
      </c>
      <c r="S295" s="2">
        <v>105.876</v>
      </c>
      <c r="T295" s="2">
        <v>263</v>
      </c>
      <c r="U295" s="2">
        <v>0.191937</v>
      </c>
      <c r="V295" s="2">
        <v>294</v>
      </c>
      <c r="W295" s="2">
        <v>2010</v>
      </c>
    </row>
    <row r="296" spans="1:23" ht="12.3" x14ac:dyDescent="0.4">
      <c r="A296" s="2" t="s">
        <v>191</v>
      </c>
      <c r="B296" s="2"/>
      <c r="C296" s="2"/>
      <c r="D296" s="2"/>
      <c r="E296" s="2"/>
      <c r="F296" s="2"/>
      <c r="G296" s="2"/>
      <c r="H296" s="2"/>
      <c r="I296" s="2">
        <v>66.916499999999999</v>
      </c>
      <c r="J296" s="2">
        <v>192</v>
      </c>
      <c r="K296" s="2">
        <v>66.7761</v>
      </c>
      <c r="L296" s="2">
        <v>194</v>
      </c>
      <c r="M296" s="2">
        <v>98.481099999999998</v>
      </c>
      <c r="N296" s="2">
        <v>219</v>
      </c>
      <c r="O296" s="2">
        <v>96.875900000000001</v>
      </c>
      <c r="P296" s="2">
        <v>243</v>
      </c>
      <c r="Q296" s="2">
        <v>107.7209</v>
      </c>
      <c r="R296" s="2">
        <v>307</v>
      </c>
      <c r="S296" s="2">
        <v>109.8167</v>
      </c>
      <c r="T296" s="2">
        <v>316</v>
      </c>
      <c r="U296" s="2">
        <v>0.19125200000000001</v>
      </c>
      <c r="V296" s="2">
        <v>295</v>
      </c>
      <c r="W296" s="2">
        <v>2010</v>
      </c>
    </row>
    <row r="297" spans="1:23" ht="12.3" x14ac:dyDescent="0.4">
      <c r="A297" s="2" t="s">
        <v>313</v>
      </c>
      <c r="B297" s="2"/>
      <c r="C297" s="2"/>
      <c r="D297" s="2"/>
      <c r="E297" s="2"/>
      <c r="F297" s="2"/>
      <c r="G297" s="2"/>
      <c r="H297" s="2"/>
      <c r="I297" s="2">
        <v>60.265300000000003</v>
      </c>
      <c r="J297" s="2">
        <v>340</v>
      </c>
      <c r="K297" s="2">
        <v>60.3596</v>
      </c>
      <c r="L297" s="2">
        <v>339</v>
      </c>
      <c r="M297" s="2">
        <v>95.403599999999997</v>
      </c>
      <c r="N297" s="2">
        <v>273</v>
      </c>
      <c r="O297" s="2">
        <v>93.040599999999998</v>
      </c>
      <c r="P297" s="2">
        <v>298</v>
      </c>
      <c r="Q297" s="2">
        <v>99.900099999999995</v>
      </c>
      <c r="R297" s="2">
        <v>140</v>
      </c>
      <c r="S297" s="2">
        <v>105.5082</v>
      </c>
      <c r="T297" s="2">
        <v>255</v>
      </c>
      <c r="U297" s="2">
        <v>0.19059499999999999</v>
      </c>
      <c r="V297" s="2">
        <v>296</v>
      </c>
      <c r="W297" s="2">
        <v>2010</v>
      </c>
    </row>
    <row r="298" spans="1:23" ht="12.3" x14ac:dyDescent="0.4">
      <c r="A298" s="2" t="s">
        <v>260</v>
      </c>
      <c r="B298" s="2"/>
      <c r="C298" s="2"/>
      <c r="D298" s="2"/>
      <c r="E298" s="2"/>
      <c r="F298" s="2"/>
      <c r="G298" s="2"/>
      <c r="H298" s="2"/>
      <c r="I298" s="2">
        <v>68.8613</v>
      </c>
      <c r="J298" s="2">
        <v>96</v>
      </c>
      <c r="K298" s="2">
        <v>69.245999999999995</v>
      </c>
      <c r="L298" s="2">
        <v>76</v>
      </c>
      <c r="M298" s="2">
        <v>97.598299999999995</v>
      </c>
      <c r="N298" s="2">
        <v>237</v>
      </c>
      <c r="O298" s="2">
        <v>97.889099999999999</v>
      </c>
      <c r="P298" s="2">
        <v>227</v>
      </c>
      <c r="Q298" s="2">
        <v>111.1738</v>
      </c>
      <c r="R298" s="2">
        <v>338</v>
      </c>
      <c r="S298" s="2">
        <v>111.31319999999999</v>
      </c>
      <c r="T298" s="2">
        <v>334</v>
      </c>
      <c r="U298" s="2">
        <v>0.18574399999999999</v>
      </c>
      <c r="V298" s="2">
        <v>297</v>
      </c>
      <c r="W298" s="2">
        <v>2010</v>
      </c>
    </row>
    <row r="299" spans="1:23" ht="12.3" x14ac:dyDescent="0.4">
      <c r="A299" s="2" t="s">
        <v>153</v>
      </c>
      <c r="B299" s="2"/>
      <c r="C299" s="2"/>
      <c r="D299" s="2"/>
      <c r="E299" s="2"/>
      <c r="F299" s="2"/>
      <c r="G299" s="2"/>
      <c r="H299" s="2"/>
      <c r="I299" s="2">
        <v>71.3001</v>
      </c>
      <c r="J299" s="2">
        <v>31</v>
      </c>
      <c r="K299" s="2">
        <v>72.184399999999997</v>
      </c>
      <c r="L299" s="2">
        <v>19</v>
      </c>
      <c r="M299" s="2">
        <v>96.066500000000005</v>
      </c>
      <c r="N299" s="2">
        <v>262</v>
      </c>
      <c r="O299" s="2">
        <v>97.515699999999995</v>
      </c>
      <c r="P299" s="2">
        <v>234</v>
      </c>
      <c r="Q299" s="2">
        <v>111.7282</v>
      </c>
      <c r="R299" s="2">
        <v>341</v>
      </c>
      <c r="S299" s="2">
        <v>111.0731</v>
      </c>
      <c r="T299" s="2">
        <v>332</v>
      </c>
      <c r="U299" s="2">
        <v>0.18287100000000001</v>
      </c>
      <c r="V299" s="2">
        <v>298</v>
      </c>
      <c r="W299" s="2">
        <v>2010</v>
      </c>
    </row>
    <row r="300" spans="1:23" ht="12.3" x14ac:dyDescent="0.4">
      <c r="A300" s="2" t="s">
        <v>77</v>
      </c>
      <c r="B300" s="2"/>
      <c r="C300" s="2"/>
      <c r="D300" s="2"/>
      <c r="E300" s="2"/>
      <c r="F300" s="2"/>
      <c r="G300" s="2"/>
      <c r="H300" s="2"/>
      <c r="I300" s="2">
        <v>64.882300000000001</v>
      </c>
      <c r="J300" s="2">
        <v>275</v>
      </c>
      <c r="K300" s="2">
        <v>65.378399999999999</v>
      </c>
      <c r="L300" s="2">
        <v>261</v>
      </c>
      <c r="M300" s="2">
        <v>95.656999999999996</v>
      </c>
      <c r="N300" s="2">
        <v>271</v>
      </c>
      <c r="O300" s="2">
        <v>97.700299999999999</v>
      </c>
      <c r="P300" s="2">
        <v>232</v>
      </c>
      <c r="Q300" s="2">
        <v>110.2778</v>
      </c>
      <c r="R300" s="2">
        <v>333</v>
      </c>
      <c r="S300" s="2">
        <v>111.3112</v>
      </c>
      <c r="T300" s="2">
        <v>333</v>
      </c>
      <c r="U300" s="2">
        <v>0.18244099999999999</v>
      </c>
      <c r="V300" s="2">
        <v>299</v>
      </c>
      <c r="W300" s="2">
        <v>2010</v>
      </c>
    </row>
    <row r="301" spans="1:23" ht="12.3" x14ac:dyDescent="0.4">
      <c r="A301" s="2" t="s">
        <v>259</v>
      </c>
      <c r="B301" s="2"/>
      <c r="C301" s="2"/>
      <c r="D301" s="2"/>
      <c r="E301" s="2"/>
      <c r="F301" s="2"/>
      <c r="G301" s="2"/>
      <c r="H301" s="2"/>
      <c r="I301" s="2">
        <v>75.025700000000001</v>
      </c>
      <c r="J301" s="2">
        <v>5</v>
      </c>
      <c r="K301" s="2">
        <v>75.193600000000004</v>
      </c>
      <c r="L301" s="2">
        <v>4</v>
      </c>
      <c r="M301" s="2">
        <v>98.162199999999999</v>
      </c>
      <c r="N301" s="2">
        <v>228</v>
      </c>
      <c r="O301" s="2">
        <v>96.278000000000006</v>
      </c>
      <c r="P301" s="2">
        <v>256</v>
      </c>
      <c r="Q301" s="2">
        <v>107.87690000000001</v>
      </c>
      <c r="R301" s="2">
        <v>309</v>
      </c>
      <c r="S301" s="2">
        <v>109.9718</v>
      </c>
      <c r="T301" s="2">
        <v>321</v>
      </c>
      <c r="U301" s="2">
        <v>0.178095</v>
      </c>
      <c r="V301" s="2">
        <v>300</v>
      </c>
      <c r="W301" s="2">
        <v>2010</v>
      </c>
    </row>
    <row r="302" spans="1:23" ht="12.3" x14ac:dyDescent="0.4">
      <c r="A302" s="2" t="s">
        <v>339</v>
      </c>
      <c r="B302" s="2"/>
      <c r="C302" s="2"/>
      <c r="D302" s="2"/>
      <c r="E302" s="2"/>
      <c r="F302" s="2"/>
      <c r="G302" s="2"/>
      <c r="H302" s="2"/>
      <c r="I302" s="2">
        <v>65.727699999999999</v>
      </c>
      <c r="J302" s="2">
        <v>248</v>
      </c>
      <c r="K302" s="2">
        <v>65.409599999999998</v>
      </c>
      <c r="L302" s="2">
        <v>257</v>
      </c>
      <c r="M302" s="2">
        <v>95.142200000000003</v>
      </c>
      <c r="N302" s="2">
        <v>277</v>
      </c>
      <c r="O302" s="2">
        <v>95.930800000000005</v>
      </c>
      <c r="P302" s="2">
        <v>259</v>
      </c>
      <c r="Q302" s="2">
        <v>104.7766</v>
      </c>
      <c r="R302" s="2">
        <v>257</v>
      </c>
      <c r="S302" s="2">
        <v>109.61150000000001</v>
      </c>
      <c r="T302" s="2">
        <v>314</v>
      </c>
      <c r="U302" s="2">
        <v>0.177537</v>
      </c>
      <c r="V302" s="2">
        <v>301</v>
      </c>
      <c r="W302" s="2">
        <v>2010</v>
      </c>
    </row>
    <row r="303" spans="1:23" ht="12.3" x14ac:dyDescent="0.4">
      <c r="A303" s="2" t="s">
        <v>369</v>
      </c>
      <c r="B303" s="2"/>
      <c r="C303" s="2"/>
      <c r="D303" s="2"/>
      <c r="E303" s="2"/>
      <c r="F303" s="2"/>
      <c r="G303" s="2"/>
      <c r="H303" s="2"/>
      <c r="I303" s="2">
        <v>68.686499999999995</v>
      </c>
      <c r="J303" s="2">
        <v>110</v>
      </c>
      <c r="K303" s="2">
        <v>67.924300000000002</v>
      </c>
      <c r="L303" s="2">
        <v>138</v>
      </c>
      <c r="M303" s="2">
        <v>93.9499</v>
      </c>
      <c r="N303" s="2">
        <v>294</v>
      </c>
      <c r="O303" s="2">
        <v>93.795100000000005</v>
      </c>
      <c r="P303" s="2">
        <v>289</v>
      </c>
      <c r="Q303" s="2">
        <v>104.0256</v>
      </c>
      <c r="R303" s="2">
        <v>245</v>
      </c>
      <c r="S303" s="2">
        <v>107.35209999999999</v>
      </c>
      <c r="T303" s="2">
        <v>285</v>
      </c>
      <c r="U303" s="2">
        <v>0.17472199999999999</v>
      </c>
      <c r="V303" s="2">
        <v>302</v>
      </c>
      <c r="W303" s="2">
        <v>2010</v>
      </c>
    </row>
    <row r="304" spans="1:23" ht="12.3" x14ac:dyDescent="0.4">
      <c r="A304" s="2" t="s">
        <v>352</v>
      </c>
      <c r="B304" s="2"/>
      <c r="C304" s="2"/>
      <c r="D304" s="2"/>
      <c r="E304" s="2"/>
      <c r="F304" s="2"/>
      <c r="G304" s="2"/>
      <c r="H304" s="2"/>
      <c r="I304" s="2">
        <v>62.616100000000003</v>
      </c>
      <c r="J304" s="2">
        <v>323</v>
      </c>
      <c r="K304" s="2">
        <v>63.4908</v>
      </c>
      <c r="L304" s="2">
        <v>311</v>
      </c>
      <c r="M304" s="2">
        <v>88.396299999999997</v>
      </c>
      <c r="N304" s="2">
        <v>331</v>
      </c>
      <c r="O304" s="2">
        <v>89.334299999999999</v>
      </c>
      <c r="P304" s="2">
        <v>325</v>
      </c>
      <c r="Q304" s="2">
        <v>98.4529</v>
      </c>
      <c r="R304" s="2">
        <v>114</v>
      </c>
      <c r="S304" s="2">
        <v>102.33920000000001</v>
      </c>
      <c r="T304" s="2">
        <v>185</v>
      </c>
      <c r="U304" s="2">
        <v>0.17322699999999999</v>
      </c>
      <c r="V304" s="2">
        <v>303</v>
      </c>
      <c r="W304" s="2">
        <v>2010</v>
      </c>
    </row>
    <row r="305" spans="1:23" ht="12.3" x14ac:dyDescent="0.4">
      <c r="A305" s="2" t="s">
        <v>364</v>
      </c>
      <c r="B305" s="2"/>
      <c r="C305" s="2"/>
      <c r="D305" s="2"/>
      <c r="E305" s="2"/>
      <c r="F305" s="2"/>
      <c r="G305" s="2"/>
      <c r="H305" s="2"/>
      <c r="I305" s="2">
        <v>65.470399999999998</v>
      </c>
      <c r="J305" s="2">
        <v>255</v>
      </c>
      <c r="K305" s="2">
        <v>65.109399999999994</v>
      </c>
      <c r="L305" s="2">
        <v>271</v>
      </c>
      <c r="M305" s="2">
        <v>93.723299999999995</v>
      </c>
      <c r="N305" s="2">
        <v>298</v>
      </c>
      <c r="O305" s="2">
        <v>91.275800000000004</v>
      </c>
      <c r="P305" s="2">
        <v>310</v>
      </c>
      <c r="Q305" s="2">
        <v>104.3267</v>
      </c>
      <c r="R305" s="2">
        <v>251</v>
      </c>
      <c r="S305" s="2">
        <v>104.818</v>
      </c>
      <c r="T305" s="2">
        <v>245</v>
      </c>
      <c r="U305" s="2">
        <v>0.16925799999999999</v>
      </c>
      <c r="V305" s="2">
        <v>304</v>
      </c>
      <c r="W305" s="2">
        <v>2010</v>
      </c>
    </row>
    <row r="306" spans="1:23" ht="12.3" x14ac:dyDescent="0.4">
      <c r="A306" s="2" t="s">
        <v>251</v>
      </c>
      <c r="B306" s="2"/>
      <c r="C306" s="2"/>
      <c r="D306" s="2"/>
      <c r="E306" s="2"/>
      <c r="F306" s="2"/>
      <c r="G306" s="2"/>
      <c r="H306" s="2"/>
      <c r="I306" s="2">
        <v>66.899199999999993</v>
      </c>
      <c r="J306" s="2">
        <v>193</v>
      </c>
      <c r="K306" s="2">
        <v>66.669600000000003</v>
      </c>
      <c r="L306" s="2">
        <v>199</v>
      </c>
      <c r="M306" s="2">
        <v>94.776399999999995</v>
      </c>
      <c r="N306" s="2">
        <v>280</v>
      </c>
      <c r="O306" s="2">
        <v>91.065899999999999</v>
      </c>
      <c r="P306" s="2">
        <v>312</v>
      </c>
      <c r="Q306" s="2">
        <v>99.209100000000007</v>
      </c>
      <c r="R306" s="2">
        <v>129</v>
      </c>
      <c r="S306" s="2">
        <v>104.65819999999999</v>
      </c>
      <c r="T306" s="2">
        <v>241</v>
      </c>
      <c r="U306" s="2">
        <v>0.16800399999999999</v>
      </c>
      <c r="V306" s="2">
        <v>305</v>
      </c>
      <c r="W306" s="2">
        <v>2010</v>
      </c>
    </row>
    <row r="307" spans="1:23" ht="12.3" x14ac:dyDescent="0.4">
      <c r="A307" s="2" t="s">
        <v>296</v>
      </c>
      <c r="B307" s="2"/>
      <c r="C307" s="2"/>
      <c r="D307" s="2"/>
      <c r="E307" s="2"/>
      <c r="F307" s="2"/>
      <c r="G307" s="2"/>
      <c r="H307" s="2"/>
      <c r="I307" s="2">
        <v>69.775000000000006</v>
      </c>
      <c r="J307" s="2">
        <v>72</v>
      </c>
      <c r="K307" s="2">
        <v>68.954499999999996</v>
      </c>
      <c r="L307" s="2">
        <v>87</v>
      </c>
      <c r="M307" s="2">
        <v>94.430400000000006</v>
      </c>
      <c r="N307" s="2">
        <v>288</v>
      </c>
      <c r="O307" s="2">
        <v>93.152000000000001</v>
      </c>
      <c r="P307" s="2">
        <v>295</v>
      </c>
      <c r="Q307" s="2">
        <v>102.82510000000001</v>
      </c>
      <c r="R307" s="2">
        <v>207</v>
      </c>
      <c r="S307" s="2">
        <v>107.16670000000001</v>
      </c>
      <c r="T307" s="2">
        <v>282</v>
      </c>
      <c r="U307" s="2">
        <v>0.16634399999999999</v>
      </c>
      <c r="V307" s="2">
        <v>306</v>
      </c>
      <c r="W307" s="2">
        <v>2010</v>
      </c>
    </row>
    <row r="308" spans="1:23" ht="12.3" x14ac:dyDescent="0.4">
      <c r="A308" s="2" t="s">
        <v>249</v>
      </c>
      <c r="B308" s="2"/>
      <c r="C308" s="2"/>
      <c r="D308" s="2"/>
      <c r="E308" s="2"/>
      <c r="F308" s="2"/>
      <c r="G308" s="2"/>
      <c r="H308" s="2"/>
      <c r="I308" s="2">
        <v>72.586200000000005</v>
      </c>
      <c r="J308" s="2">
        <v>18</v>
      </c>
      <c r="K308" s="2">
        <v>72.280299999999997</v>
      </c>
      <c r="L308" s="2">
        <v>18</v>
      </c>
      <c r="M308" s="2">
        <v>87.851799999999997</v>
      </c>
      <c r="N308" s="2">
        <v>335</v>
      </c>
      <c r="O308" s="2">
        <v>92.214399999999998</v>
      </c>
      <c r="P308" s="2">
        <v>303</v>
      </c>
      <c r="Q308" s="2">
        <v>109.14149999999999</v>
      </c>
      <c r="R308" s="2">
        <v>322</v>
      </c>
      <c r="S308" s="2">
        <v>106.10120000000001</v>
      </c>
      <c r="T308" s="2">
        <v>271</v>
      </c>
      <c r="U308" s="2">
        <v>0.16614599999999999</v>
      </c>
      <c r="V308" s="2">
        <v>307</v>
      </c>
      <c r="W308" s="2">
        <v>2010</v>
      </c>
    </row>
    <row r="309" spans="1:23" ht="12.3" x14ac:dyDescent="0.4">
      <c r="A309" s="2" t="s">
        <v>271</v>
      </c>
      <c r="B309" s="2"/>
      <c r="C309" s="2"/>
      <c r="D309" s="2"/>
      <c r="E309" s="2"/>
      <c r="F309" s="2"/>
      <c r="G309" s="2"/>
      <c r="H309" s="2"/>
      <c r="I309" s="2">
        <v>64.674999999999997</v>
      </c>
      <c r="J309" s="2">
        <v>285</v>
      </c>
      <c r="K309" s="2">
        <v>65.263000000000005</v>
      </c>
      <c r="L309" s="2">
        <v>266</v>
      </c>
      <c r="M309" s="2">
        <v>93.129099999999994</v>
      </c>
      <c r="N309" s="2">
        <v>303</v>
      </c>
      <c r="O309" s="2">
        <v>90.446200000000005</v>
      </c>
      <c r="P309" s="2">
        <v>318</v>
      </c>
      <c r="Q309" s="2">
        <v>100.74209999999999</v>
      </c>
      <c r="R309" s="2">
        <v>157</v>
      </c>
      <c r="S309" s="2">
        <v>104.1914</v>
      </c>
      <c r="T309" s="2">
        <v>227</v>
      </c>
      <c r="U309" s="2">
        <v>0.16424800000000001</v>
      </c>
      <c r="V309" s="2">
        <v>308</v>
      </c>
      <c r="W309" s="2">
        <v>2010</v>
      </c>
    </row>
    <row r="310" spans="1:23" ht="12.3" x14ac:dyDescent="0.4">
      <c r="A310" s="2" t="s">
        <v>156</v>
      </c>
      <c r="B310" s="2"/>
      <c r="C310" s="2"/>
      <c r="D310" s="2"/>
      <c r="E310" s="2"/>
      <c r="F310" s="2"/>
      <c r="G310" s="2"/>
      <c r="H310" s="2"/>
      <c r="I310" s="2">
        <v>63.595500000000001</v>
      </c>
      <c r="J310" s="2">
        <v>306</v>
      </c>
      <c r="K310" s="2">
        <v>64.806799999999996</v>
      </c>
      <c r="L310" s="2">
        <v>277</v>
      </c>
      <c r="M310" s="2">
        <v>94.717200000000005</v>
      </c>
      <c r="N310" s="2">
        <v>283</v>
      </c>
      <c r="O310" s="2">
        <v>91.651300000000006</v>
      </c>
      <c r="P310" s="2">
        <v>304</v>
      </c>
      <c r="Q310" s="2">
        <v>100.1328</v>
      </c>
      <c r="R310" s="2">
        <v>145</v>
      </c>
      <c r="S310" s="2">
        <v>105.81270000000001</v>
      </c>
      <c r="T310" s="2">
        <v>259</v>
      </c>
      <c r="U310" s="2">
        <v>0.16079599999999999</v>
      </c>
      <c r="V310" s="2">
        <v>309</v>
      </c>
      <c r="W310" s="2">
        <v>2010</v>
      </c>
    </row>
    <row r="311" spans="1:23" ht="12.3" x14ac:dyDescent="0.4">
      <c r="A311" s="2" t="s">
        <v>303</v>
      </c>
      <c r="B311" s="2"/>
      <c r="C311" s="2"/>
      <c r="D311" s="2"/>
      <c r="E311" s="2"/>
      <c r="F311" s="2"/>
      <c r="G311" s="2"/>
      <c r="H311" s="2"/>
      <c r="I311" s="2">
        <v>68.094499999999996</v>
      </c>
      <c r="J311" s="2">
        <v>133</v>
      </c>
      <c r="K311" s="2">
        <v>68.496700000000004</v>
      </c>
      <c r="L311" s="2">
        <v>111</v>
      </c>
      <c r="M311" s="2">
        <v>90.234099999999998</v>
      </c>
      <c r="N311" s="2">
        <v>322</v>
      </c>
      <c r="O311" s="2">
        <v>89.654200000000003</v>
      </c>
      <c r="P311" s="2">
        <v>323</v>
      </c>
      <c r="Q311" s="2">
        <v>105.2955</v>
      </c>
      <c r="R311" s="2">
        <v>266</v>
      </c>
      <c r="S311" s="2">
        <v>104.60599999999999</v>
      </c>
      <c r="T311" s="2">
        <v>240</v>
      </c>
      <c r="U311" s="2">
        <v>0.14507400000000001</v>
      </c>
      <c r="V311" s="2">
        <v>310</v>
      </c>
      <c r="W311" s="2">
        <v>2010</v>
      </c>
    </row>
    <row r="312" spans="1:23" ht="12.3" x14ac:dyDescent="0.4">
      <c r="A312" s="2" t="s">
        <v>332</v>
      </c>
      <c r="B312" s="2"/>
      <c r="C312" s="2"/>
      <c r="D312" s="2"/>
      <c r="E312" s="2"/>
      <c r="F312" s="2"/>
      <c r="G312" s="2"/>
      <c r="H312" s="2"/>
      <c r="I312" s="2">
        <v>64.930000000000007</v>
      </c>
      <c r="J312" s="2">
        <v>272</v>
      </c>
      <c r="K312" s="2">
        <v>65.335700000000003</v>
      </c>
      <c r="L312" s="2">
        <v>263</v>
      </c>
      <c r="M312" s="2">
        <v>95.821600000000004</v>
      </c>
      <c r="N312" s="2">
        <v>267</v>
      </c>
      <c r="O312" s="2">
        <v>94.582800000000006</v>
      </c>
      <c r="P312" s="2">
        <v>281</v>
      </c>
      <c r="Q312" s="2">
        <v>107.0873</v>
      </c>
      <c r="R312" s="2">
        <v>298</v>
      </c>
      <c r="S312" s="2">
        <v>110.37</v>
      </c>
      <c r="T312" s="2">
        <v>326</v>
      </c>
      <c r="U312" s="2">
        <v>0.1449</v>
      </c>
      <c r="V312" s="2">
        <v>311</v>
      </c>
      <c r="W312" s="2">
        <v>2010</v>
      </c>
    </row>
    <row r="313" spans="1:23" ht="12.3" x14ac:dyDescent="0.4">
      <c r="A313" s="2" t="s">
        <v>277</v>
      </c>
      <c r="B313" s="2"/>
      <c r="C313" s="2"/>
      <c r="D313" s="2"/>
      <c r="E313" s="2"/>
      <c r="F313" s="2"/>
      <c r="G313" s="2"/>
      <c r="H313" s="2"/>
      <c r="I313" s="2">
        <v>64.868899999999996</v>
      </c>
      <c r="J313" s="2">
        <v>276</v>
      </c>
      <c r="K313" s="2">
        <v>65.0642</v>
      </c>
      <c r="L313" s="2">
        <v>273</v>
      </c>
      <c r="M313" s="2">
        <v>91.9255</v>
      </c>
      <c r="N313" s="2">
        <v>315</v>
      </c>
      <c r="O313" s="2">
        <v>88.753799999999998</v>
      </c>
      <c r="P313" s="2">
        <v>330</v>
      </c>
      <c r="Q313" s="2">
        <v>98.387699999999995</v>
      </c>
      <c r="R313" s="2">
        <v>111</v>
      </c>
      <c r="S313" s="2">
        <v>103.72799999999999</v>
      </c>
      <c r="T313" s="2">
        <v>221</v>
      </c>
      <c r="U313" s="2">
        <v>0.14271500000000001</v>
      </c>
      <c r="V313" s="2">
        <v>312</v>
      </c>
      <c r="W313" s="2">
        <v>2010</v>
      </c>
    </row>
    <row r="314" spans="1:23" ht="12.3" x14ac:dyDescent="0.4">
      <c r="A314" s="2" t="s">
        <v>342</v>
      </c>
      <c r="B314" s="2"/>
      <c r="C314" s="2"/>
      <c r="D314" s="2"/>
      <c r="E314" s="2"/>
      <c r="F314" s="2"/>
      <c r="G314" s="2"/>
      <c r="H314" s="2"/>
      <c r="I314" s="2">
        <v>68.483500000000006</v>
      </c>
      <c r="J314" s="2">
        <v>120</v>
      </c>
      <c r="K314" s="2">
        <v>67.302899999999994</v>
      </c>
      <c r="L314" s="2">
        <v>169</v>
      </c>
      <c r="M314" s="2">
        <v>87.796499999999995</v>
      </c>
      <c r="N314" s="2">
        <v>336</v>
      </c>
      <c r="O314" s="2">
        <v>84.958799999999997</v>
      </c>
      <c r="P314" s="2">
        <v>343</v>
      </c>
      <c r="Q314" s="2">
        <v>92.4101</v>
      </c>
      <c r="R314" s="2">
        <v>22</v>
      </c>
      <c r="S314" s="2">
        <v>99.6524</v>
      </c>
      <c r="T314" s="2">
        <v>135</v>
      </c>
      <c r="U314" s="2">
        <v>0.13770399999999999</v>
      </c>
      <c r="V314" s="2">
        <v>313</v>
      </c>
      <c r="W314" s="2">
        <v>2010</v>
      </c>
    </row>
    <row r="315" spans="1:23" ht="12.3" x14ac:dyDescent="0.4">
      <c r="A315" s="2" t="s">
        <v>295</v>
      </c>
      <c r="B315" s="2"/>
      <c r="C315" s="2"/>
      <c r="D315" s="2"/>
      <c r="E315" s="2"/>
      <c r="F315" s="2"/>
      <c r="G315" s="2"/>
      <c r="H315" s="2"/>
      <c r="I315" s="2">
        <v>64.721000000000004</v>
      </c>
      <c r="J315" s="2">
        <v>283</v>
      </c>
      <c r="K315" s="2">
        <v>64.875</v>
      </c>
      <c r="L315" s="2">
        <v>275</v>
      </c>
      <c r="M315" s="2">
        <v>95.976500000000001</v>
      </c>
      <c r="N315" s="2">
        <v>263</v>
      </c>
      <c r="O315" s="2">
        <v>93.38</v>
      </c>
      <c r="P315" s="2">
        <v>294</v>
      </c>
      <c r="Q315" s="2">
        <v>107.28230000000001</v>
      </c>
      <c r="R315" s="2">
        <v>299</v>
      </c>
      <c r="S315" s="2">
        <v>109.5466</v>
      </c>
      <c r="T315" s="2">
        <v>313</v>
      </c>
      <c r="U315" s="2">
        <v>0.13749600000000001</v>
      </c>
      <c r="V315" s="2">
        <v>314</v>
      </c>
      <c r="W315" s="2">
        <v>2010</v>
      </c>
    </row>
    <row r="316" spans="1:23" ht="12.3" x14ac:dyDescent="0.4">
      <c r="A316" s="2" t="s">
        <v>344</v>
      </c>
      <c r="B316" s="2"/>
      <c r="C316" s="2"/>
      <c r="D316" s="2"/>
      <c r="E316" s="2"/>
      <c r="F316" s="2"/>
      <c r="G316" s="2"/>
      <c r="H316" s="2"/>
      <c r="I316" s="2">
        <v>68.452799999999996</v>
      </c>
      <c r="J316" s="2">
        <v>121</v>
      </c>
      <c r="K316" s="2">
        <v>68.378399999999999</v>
      </c>
      <c r="L316" s="2">
        <v>121</v>
      </c>
      <c r="M316" s="2">
        <v>92.180800000000005</v>
      </c>
      <c r="N316" s="2">
        <v>314</v>
      </c>
      <c r="O316" s="2">
        <v>91.6267</v>
      </c>
      <c r="P316" s="2">
        <v>305</v>
      </c>
      <c r="Q316" s="2">
        <v>103.48779999999999</v>
      </c>
      <c r="R316" s="2">
        <v>226</v>
      </c>
      <c r="S316" s="2">
        <v>107.5712</v>
      </c>
      <c r="T316" s="2">
        <v>289</v>
      </c>
      <c r="U316" s="2">
        <v>0.136466</v>
      </c>
      <c r="V316" s="2">
        <v>315</v>
      </c>
      <c r="W316" s="2">
        <v>2010</v>
      </c>
    </row>
    <row r="317" spans="1:23" ht="12.3" x14ac:dyDescent="0.4">
      <c r="A317" s="2" t="s">
        <v>252</v>
      </c>
      <c r="B317" s="2"/>
      <c r="C317" s="2"/>
      <c r="D317" s="2"/>
      <c r="E317" s="2"/>
      <c r="F317" s="2"/>
      <c r="G317" s="2"/>
      <c r="H317" s="2"/>
      <c r="I317" s="2">
        <v>66.721100000000007</v>
      </c>
      <c r="J317" s="2">
        <v>205</v>
      </c>
      <c r="K317" s="2">
        <v>67.817400000000006</v>
      </c>
      <c r="L317" s="2">
        <v>144</v>
      </c>
      <c r="M317" s="2">
        <v>94.091300000000004</v>
      </c>
      <c r="N317" s="2">
        <v>292</v>
      </c>
      <c r="O317" s="2">
        <v>96.398600000000002</v>
      </c>
      <c r="P317" s="2">
        <v>252</v>
      </c>
      <c r="Q317" s="2">
        <v>109.6495</v>
      </c>
      <c r="R317" s="2">
        <v>327</v>
      </c>
      <c r="S317" s="2">
        <v>113.3999</v>
      </c>
      <c r="T317" s="2">
        <v>343</v>
      </c>
      <c r="U317" s="2">
        <v>0.13378200000000001</v>
      </c>
      <c r="V317" s="2">
        <v>316</v>
      </c>
      <c r="W317" s="2">
        <v>2010</v>
      </c>
    </row>
    <row r="318" spans="1:23" ht="12.3" x14ac:dyDescent="0.4">
      <c r="A318" s="2" t="s">
        <v>263</v>
      </c>
      <c r="B318" s="2"/>
      <c r="C318" s="2"/>
      <c r="D318" s="2"/>
      <c r="E318" s="2"/>
      <c r="F318" s="2"/>
      <c r="G318" s="2"/>
      <c r="H318" s="2"/>
      <c r="I318" s="2">
        <v>85.183899999999994</v>
      </c>
      <c r="J318" s="2">
        <v>1</v>
      </c>
      <c r="K318" s="2">
        <v>84.194900000000004</v>
      </c>
      <c r="L318" s="2">
        <v>1</v>
      </c>
      <c r="M318" s="2">
        <v>99.884600000000006</v>
      </c>
      <c r="N318" s="2">
        <v>195</v>
      </c>
      <c r="O318" s="2">
        <v>100.3164</v>
      </c>
      <c r="P318" s="2">
        <v>187</v>
      </c>
      <c r="Q318" s="2">
        <v>114.44159999999999</v>
      </c>
      <c r="R318" s="2">
        <v>345</v>
      </c>
      <c r="S318" s="2">
        <v>118.03740000000001</v>
      </c>
      <c r="T318" s="2">
        <v>346</v>
      </c>
      <c r="U318" s="2">
        <v>0.13345599999999999</v>
      </c>
      <c r="V318" s="2">
        <v>317</v>
      </c>
      <c r="W318" s="2">
        <v>2010</v>
      </c>
    </row>
    <row r="319" spans="1:23" ht="12.3" x14ac:dyDescent="0.4">
      <c r="A319" s="2" t="s">
        <v>224</v>
      </c>
      <c r="B319" s="2"/>
      <c r="C319" s="2"/>
      <c r="D319" s="2"/>
      <c r="E319" s="2"/>
      <c r="F319" s="2"/>
      <c r="G319" s="2"/>
      <c r="H319" s="2"/>
      <c r="I319" s="2">
        <v>71.180700000000002</v>
      </c>
      <c r="J319" s="2">
        <v>33</v>
      </c>
      <c r="K319" s="2">
        <v>70.752700000000004</v>
      </c>
      <c r="L319" s="2">
        <v>36</v>
      </c>
      <c r="M319" s="2">
        <v>94.6905</v>
      </c>
      <c r="N319" s="2">
        <v>285</v>
      </c>
      <c r="O319" s="2">
        <v>94.566599999999994</v>
      </c>
      <c r="P319" s="2">
        <v>283</v>
      </c>
      <c r="Q319" s="2">
        <v>111.9708</v>
      </c>
      <c r="R319" s="2">
        <v>342</v>
      </c>
      <c r="S319" s="2">
        <v>111.9046</v>
      </c>
      <c r="T319" s="2">
        <v>340</v>
      </c>
      <c r="U319" s="2">
        <v>0.12609600000000001</v>
      </c>
      <c r="V319" s="2">
        <v>318</v>
      </c>
      <c r="W319" s="2">
        <v>2010</v>
      </c>
    </row>
    <row r="320" spans="1:23" ht="12.3" x14ac:dyDescent="0.4">
      <c r="A320" s="2" t="s">
        <v>183</v>
      </c>
      <c r="B320" s="2"/>
      <c r="C320" s="2"/>
      <c r="D320" s="2"/>
      <c r="E320" s="2"/>
      <c r="F320" s="2"/>
      <c r="G320" s="2"/>
      <c r="H320" s="2"/>
      <c r="I320" s="2">
        <v>64.958399999999997</v>
      </c>
      <c r="J320" s="2">
        <v>270</v>
      </c>
      <c r="K320" s="2">
        <v>65.280100000000004</v>
      </c>
      <c r="L320" s="2">
        <v>265</v>
      </c>
      <c r="M320" s="2">
        <v>89.805700000000002</v>
      </c>
      <c r="N320" s="2">
        <v>326</v>
      </c>
      <c r="O320" s="2">
        <v>88.643600000000006</v>
      </c>
      <c r="P320" s="2">
        <v>331</v>
      </c>
      <c r="Q320" s="2">
        <v>102.4147</v>
      </c>
      <c r="R320" s="2">
        <v>192</v>
      </c>
      <c r="S320" s="2">
        <v>104.9641</v>
      </c>
      <c r="T320" s="2">
        <v>248</v>
      </c>
      <c r="U320" s="2">
        <v>0.12527099999999999</v>
      </c>
      <c r="V320" s="2">
        <v>319</v>
      </c>
      <c r="W320" s="2">
        <v>2010</v>
      </c>
    </row>
    <row r="321" spans="1:23" ht="12.3" x14ac:dyDescent="0.4">
      <c r="A321" s="2" t="s">
        <v>374</v>
      </c>
      <c r="B321" s="2"/>
      <c r="C321" s="2"/>
      <c r="D321" s="2"/>
      <c r="E321" s="2"/>
      <c r="F321" s="2"/>
      <c r="G321" s="2"/>
      <c r="H321" s="2"/>
      <c r="I321" s="2">
        <v>74.549800000000005</v>
      </c>
      <c r="J321" s="2">
        <v>7</v>
      </c>
      <c r="K321" s="2">
        <v>74.000799999999998</v>
      </c>
      <c r="L321" s="2">
        <v>9</v>
      </c>
      <c r="M321" s="2">
        <v>94.760099999999994</v>
      </c>
      <c r="N321" s="2">
        <v>281</v>
      </c>
      <c r="O321" s="2">
        <v>93.947500000000005</v>
      </c>
      <c r="P321" s="2">
        <v>288</v>
      </c>
      <c r="Q321" s="2">
        <v>104.6785</v>
      </c>
      <c r="R321" s="2">
        <v>255</v>
      </c>
      <c r="S321" s="2">
        <v>111.5598</v>
      </c>
      <c r="T321" s="2">
        <v>338</v>
      </c>
      <c r="U321" s="2">
        <v>0.12174699999999999</v>
      </c>
      <c r="V321" s="2">
        <v>320</v>
      </c>
      <c r="W321" s="2">
        <v>2010</v>
      </c>
    </row>
    <row r="322" spans="1:23" ht="12.3" x14ac:dyDescent="0.4">
      <c r="A322" s="2" t="s">
        <v>321</v>
      </c>
      <c r="B322" s="2"/>
      <c r="C322" s="2"/>
      <c r="D322" s="2"/>
      <c r="E322" s="2"/>
      <c r="F322" s="2"/>
      <c r="G322" s="2"/>
      <c r="H322" s="2"/>
      <c r="I322" s="2">
        <v>65.701700000000002</v>
      </c>
      <c r="J322" s="2">
        <v>251</v>
      </c>
      <c r="K322" s="2">
        <v>66.302599999999998</v>
      </c>
      <c r="L322" s="2">
        <v>218</v>
      </c>
      <c r="M322" s="2">
        <v>92.245900000000006</v>
      </c>
      <c r="N322" s="2">
        <v>313</v>
      </c>
      <c r="O322" s="2">
        <v>91.400700000000001</v>
      </c>
      <c r="P322" s="2">
        <v>308</v>
      </c>
      <c r="Q322" s="2">
        <v>104.86620000000001</v>
      </c>
      <c r="R322" s="2">
        <v>258</v>
      </c>
      <c r="S322" s="2">
        <v>108.6544</v>
      </c>
      <c r="T322" s="2">
        <v>299</v>
      </c>
      <c r="U322" s="2">
        <v>0.120409</v>
      </c>
      <c r="V322" s="2">
        <v>321</v>
      </c>
      <c r="W322" s="2">
        <v>2010</v>
      </c>
    </row>
    <row r="323" spans="1:23" ht="12.3" x14ac:dyDescent="0.4">
      <c r="A323" s="2" t="s">
        <v>202</v>
      </c>
      <c r="B323" s="2"/>
      <c r="C323" s="2"/>
      <c r="D323" s="2"/>
      <c r="E323" s="2"/>
      <c r="F323" s="2"/>
      <c r="G323" s="2"/>
      <c r="H323" s="2"/>
      <c r="I323" s="2">
        <v>67.848600000000005</v>
      </c>
      <c r="J323" s="2">
        <v>141</v>
      </c>
      <c r="K323" s="2">
        <v>67.877200000000002</v>
      </c>
      <c r="L323" s="2">
        <v>141</v>
      </c>
      <c r="M323" s="2">
        <v>89.064400000000006</v>
      </c>
      <c r="N323" s="2">
        <v>330</v>
      </c>
      <c r="O323" s="2">
        <v>88.148799999999994</v>
      </c>
      <c r="P323" s="2">
        <v>333</v>
      </c>
      <c r="Q323" s="2">
        <v>103.63249999999999</v>
      </c>
      <c r="R323" s="2">
        <v>235</v>
      </c>
      <c r="S323" s="2">
        <v>105.6947</v>
      </c>
      <c r="T323" s="2">
        <v>258</v>
      </c>
      <c r="U323" s="2">
        <v>0.11031000000000001</v>
      </c>
      <c r="V323" s="2">
        <v>322</v>
      </c>
      <c r="W323" s="2">
        <v>2010</v>
      </c>
    </row>
    <row r="324" spans="1:23" ht="12.3" x14ac:dyDescent="0.4">
      <c r="A324" s="2" t="s">
        <v>211</v>
      </c>
      <c r="B324" s="2" t="e">
        <v>#N/A</v>
      </c>
      <c r="C324" s="2"/>
      <c r="D324" s="2"/>
      <c r="E324" s="2"/>
      <c r="F324" s="2"/>
      <c r="G324" s="2"/>
      <c r="H324" s="2"/>
      <c r="I324" s="2">
        <v>73.058099999999996</v>
      </c>
      <c r="J324" s="2">
        <v>15</v>
      </c>
      <c r="K324" s="2">
        <v>71.460300000000004</v>
      </c>
      <c r="L324" s="2">
        <v>27</v>
      </c>
      <c r="M324" s="2">
        <v>90.518900000000002</v>
      </c>
      <c r="N324" s="2">
        <v>319</v>
      </c>
      <c r="O324" s="2">
        <v>91.305899999999994</v>
      </c>
      <c r="P324" s="2">
        <v>309</v>
      </c>
      <c r="Q324" s="2">
        <v>108.43859999999999</v>
      </c>
      <c r="R324" s="2">
        <v>319</v>
      </c>
      <c r="S324" s="2">
        <v>109.5368</v>
      </c>
      <c r="T324" s="2">
        <v>312</v>
      </c>
      <c r="U324" s="2">
        <v>0.10972700000000001</v>
      </c>
      <c r="V324" s="2">
        <v>323</v>
      </c>
      <c r="W324" s="2">
        <v>2010</v>
      </c>
    </row>
    <row r="325" spans="1:23" ht="12.3" x14ac:dyDescent="0.4">
      <c r="A325" s="2" t="s">
        <v>237</v>
      </c>
      <c r="B325" s="2"/>
      <c r="C325" s="2"/>
      <c r="D325" s="2"/>
      <c r="E325" s="2"/>
      <c r="F325" s="2"/>
      <c r="G325" s="2"/>
      <c r="H325" s="2"/>
      <c r="I325" s="2">
        <v>67.965699999999998</v>
      </c>
      <c r="J325" s="2">
        <v>137</v>
      </c>
      <c r="K325" s="2">
        <v>68.161600000000007</v>
      </c>
      <c r="L325" s="2">
        <v>129</v>
      </c>
      <c r="M325" s="2">
        <v>89.866799999999998</v>
      </c>
      <c r="N325" s="2">
        <v>325</v>
      </c>
      <c r="O325" s="2">
        <v>89.3108</v>
      </c>
      <c r="P325" s="2">
        <v>326</v>
      </c>
      <c r="Q325" s="2">
        <v>108.0715</v>
      </c>
      <c r="R325" s="2">
        <v>312</v>
      </c>
      <c r="S325" s="2">
        <v>107.47190000000001</v>
      </c>
      <c r="T325" s="2">
        <v>288</v>
      </c>
      <c r="U325" s="2">
        <v>0.106336</v>
      </c>
      <c r="V325" s="2">
        <v>324</v>
      </c>
      <c r="W325" s="2">
        <v>2010</v>
      </c>
    </row>
    <row r="326" spans="1:23" ht="12.3" x14ac:dyDescent="0.4">
      <c r="A326" s="2" t="s">
        <v>299</v>
      </c>
      <c r="B326" s="2"/>
      <c r="C326" s="2"/>
      <c r="D326" s="2"/>
      <c r="E326" s="2"/>
      <c r="F326" s="2"/>
      <c r="G326" s="2"/>
      <c r="H326" s="2"/>
      <c r="I326" s="2">
        <v>69.574299999999994</v>
      </c>
      <c r="J326" s="2">
        <v>74</v>
      </c>
      <c r="K326" s="2">
        <v>68.483900000000006</v>
      </c>
      <c r="L326" s="2">
        <v>112</v>
      </c>
      <c r="M326" s="2">
        <v>90.004199999999997</v>
      </c>
      <c r="N326" s="2">
        <v>324</v>
      </c>
      <c r="O326" s="2">
        <v>91.559600000000003</v>
      </c>
      <c r="P326" s="2">
        <v>307</v>
      </c>
      <c r="Q326" s="2">
        <v>104.35339999999999</v>
      </c>
      <c r="R326" s="2">
        <v>252</v>
      </c>
      <c r="S326" s="2">
        <v>110.2003</v>
      </c>
      <c r="T326" s="2">
        <v>325</v>
      </c>
      <c r="U326" s="2">
        <v>0.106114</v>
      </c>
      <c r="V326" s="2">
        <v>325</v>
      </c>
      <c r="W326" s="2">
        <v>2010</v>
      </c>
    </row>
    <row r="327" spans="1:23" ht="12.3" x14ac:dyDescent="0.4">
      <c r="A327" s="2" t="s">
        <v>272</v>
      </c>
      <c r="B327" s="2"/>
      <c r="C327" s="2"/>
      <c r="D327" s="2"/>
      <c r="E327" s="2"/>
      <c r="F327" s="2"/>
      <c r="G327" s="2"/>
      <c r="H327" s="2"/>
      <c r="I327" s="2">
        <v>72.243499999999997</v>
      </c>
      <c r="J327" s="2">
        <v>21</v>
      </c>
      <c r="K327" s="2">
        <v>70.827799999999996</v>
      </c>
      <c r="L327" s="2">
        <v>33</v>
      </c>
      <c r="M327" s="2">
        <v>88.025300000000001</v>
      </c>
      <c r="N327" s="2">
        <v>333</v>
      </c>
      <c r="O327" s="2">
        <v>87.830100000000002</v>
      </c>
      <c r="P327" s="2">
        <v>334</v>
      </c>
      <c r="Q327" s="2">
        <v>96.770200000000003</v>
      </c>
      <c r="R327" s="2">
        <v>76</v>
      </c>
      <c r="S327" s="2">
        <v>105.93510000000001</v>
      </c>
      <c r="T327" s="2">
        <v>267</v>
      </c>
      <c r="U327" s="2">
        <v>0.10383100000000001</v>
      </c>
      <c r="V327" s="2">
        <v>326</v>
      </c>
      <c r="W327" s="2">
        <v>2010</v>
      </c>
    </row>
    <row r="328" spans="1:23" ht="12.3" x14ac:dyDescent="0.4">
      <c r="A328" s="2" t="s">
        <v>368</v>
      </c>
      <c r="B328" s="2" t="e">
        <v>#N/A</v>
      </c>
      <c r="C328" s="2"/>
      <c r="D328" s="2"/>
      <c r="E328" s="2"/>
      <c r="F328" s="2"/>
      <c r="G328" s="2"/>
      <c r="H328" s="2"/>
      <c r="I328" s="2">
        <v>65.802099999999996</v>
      </c>
      <c r="J328" s="2">
        <v>246</v>
      </c>
      <c r="K328" s="2">
        <v>63.843699999999998</v>
      </c>
      <c r="L328" s="2">
        <v>301</v>
      </c>
      <c r="M328" s="2">
        <v>89.483999999999995</v>
      </c>
      <c r="N328" s="2">
        <v>328</v>
      </c>
      <c r="O328" s="2">
        <v>89.988600000000005</v>
      </c>
      <c r="P328" s="2">
        <v>321</v>
      </c>
      <c r="Q328" s="2">
        <v>110.40470000000001</v>
      </c>
      <c r="R328" s="2">
        <v>336</v>
      </c>
      <c r="S328" s="2">
        <v>108.9987</v>
      </c>
      <c r="T328" s="2">
        <v>305</v>
      </c>
      <c r="U328" s="2">
        <v>9.9391999999999994E-2</v>
      </c>
      <c r="V328" s="2">
        <v>327</v>
      </c>
      <c r="W328" s="2">
        <v>2010</v>
      </c>
    </row>
    <row r="329" spans="1:23" ht="12.3" x14ac:dyDescent="0.4">
      <c r="A329" s="2" t="s">
        <v>341</v>
      </c>
      <c r="B329" s="2" t="e">
        <v>#N/A</v>
      </c>
      <c r="C329" s="2"/>
      <c r="D329" s="2"/>
      <c r="E329" s="2"/>
      <c r="F329" s="2"/>
      <c r="G329" s="2"/>
      <c r="H329" s="2"/>
      <c r="I329" s="2">
        <v>65.719700000000003</v>
      </c>
      <c r="J329" s="2">
        <v>250</v>
      </c>
      <c r="K329" s="2">
        <v>65.859300000000005</v>
      </c>
      <c r="L329" s="2">
        <v>235</v>
      </c>
      <c r="M329" s="2">
        <v>90.329599999999999</v>
      </c>
      <c r="N329" s="2">
        <v>321</v>
      </c>
      <c r="O329" s="2">
        <v>88.621600000000001</v>
      </c>
      <c r="P329" s="2">
        <v>332</v>
      </c>
      <c r="Q329" s="2">
        <v>103.3897</v>
      </c>
      <c r="R329" s="2">
        <v>222</v>
      </c>
      <c r="S329" s="2">
        <v>107.3459</v>
      </c>
      <c r="T329" s="2">
        <v>283</v>
      </c>
      <c r="U329" s="2">
        <v>9.9363000000000007E-2</v>
      </c>
      <c r="V329" s="2">
        <v>328</v>
      </c>
      <c r="W329" s="2">
        <v>2010</v>
      </c>
    </row>
    <row r="330" spans="1:23" ht="12.3" x14ac:dyDescent="0.4">
      <c r="A330" s="2" t="s">
        <v>298</v>
      </c>
      <c r="B330" s="2"/>
      <c r="C330" s="2"/>
      <c r="D330" s="2"/>
      <c r="E330" s="2"/>
      <c r="F330" s="2"/>
      <c r="G330" s="2"/>
      <c r="H330" s="2"/>
      <c r="I330" s="2">
        <v>66.682900000000004</v>
      </c>
      <c r="J330" s="2">
        <v>208</v>
      </c>
      <c r="K330" s="2">
        <v>67.156499999999994</v>
      </c>
      <c r="L330" s="2">
        <v>179</v>
      </c>
      <c r="M330" s="2">
        <v>88.153199999999998</v>
      </c>
      <c r="N330" s="2">
        <v>332</v>
      </c>
      <c r="O330" s="2">
        <v>90.713899999999995</v>
      </c>
      <c r="P330" s="2">
        <v>316</v>
      </c>
      <c r="Q330" s="2">
        <v>109.1151</v>
      </c>
      <c r="R330" s="2">
        <v>320</v>
      </c>
      <c r="S330" s="2">
        <v>109.91200000000001</v>
      </c>
      <c r="T330" s="2">
        <v>318</v>
      </c>
      <c r="U330" s="2">
        <v>9.9065E-2</v>
      </c>
      <c r="V330" s="2">
        <v>329</v>
      </c>
      <c r="W330" s="2">
        <v>2010</v>
      </c>
    </row>
    <row r="331" spans="1:23" ht="12.3" x14ac:dyDescent="0.4">
      <c r="A331" s="2" t="s">
        <v>365</v>
      </c>
      <c r="B331" s="2" t="e">
        <v>#N/A</v>
      </c>
      <c r="C331" s="2"/>
      <c r="D331" s="2"/>
      <c r="E331" s="2"/>
      <c r="F331" s="2"/>
      <c r="G331" s="2"/>
      <c r="H331" s="2"/>
      <c r="I331" s="2">
        <v>68.357500000000002</v>
      </c>
      <c r="J331" s="2">
        <v>126</v>
      </c>
      <c r="K331" s="2">
        <v>67.701700000000002</v>
      </c>
      <c r="L331" s="2">
        <v>150</v>
      </c>
      <c r="M331" s="2">
        <v>86.144300000000001</v>
      </c>
      <c r="N331" s="2">
        <v>342</v>
      </c>
      <c r="O331" s="2">
        <v>87.256500000000003</v>
      </c>
      <c r="P331" s="2">
        <v>338</v>
      </c>
      <c r="Q331" s="2">
        <v>103.8916</v>
      </c>
      <c r="R331" s="2">
        <v>241</v>
      </c>
      <c r="S331" s="2">
        <v>105.8545</v>
      </c>
      <c r="T331" s="2">
        <v>262</v>
      </c>
      <c r="U331" s="2">
        <v>9.7796999999999995E-2</v>
      </c>
      <c r="V331" s="2">
        <v>330</v>
      </c>
      <c r="W331" s="2">
        <v>2010</v>
      </c>
    </row>
    <row r="332" spans="1:23" ht="12.3" x14ac:dyDescent="0.4">
      <c r="A332" s="2" t="s">
        <v>372</v>
      </c>
      <c r="B332" s="2" t="e">
        <v>#N/A</v>
      </c>
      <c r="C332" s="2"/>
      <c r="D332" s="2"/>
      <c r="E332" s="2"/>
      <c r="F332" s="2"/>
      <c r="G332" s="2"/>
      <c r="H332" s="2"/>
      <c r="I332" s="2">
        <v>64.960400000000007</v>
      </c>
      <c r="J332" s="2">
        <v>269</v>
      </c>
      <c r="K332" s="2">
        <v>62.538899999999998</v>
      </c>
      <c r="L332" s="2">
        <v>323</v>
      </c>
      <c r="M332" s="2">
        <v>93.232399999999998</v>
      </c>
      <c r="N332" s="2">
        <v>301</v>
      </c>
      <c r="O332" s="2">
        <v>88.786500000000004</v>
      </c>
      <c r="P332" s="2">
        <v>329</v>
      </c>
      <c r="Q332" s="2">
        <v>102.0578</v>
      </c>
      <c r="R332" s="2">
        <v>183</v>
      </c>
      <c r="S332" s="2">
        <v>107.8295</v>
      </c>
      <c r="T332" s="2">
        <v>292</v>
      </c>
      <c r="U332" s="2">
        <v>9.6682000000000004E-2</v>
      </c>
      <c r="V332" s="2">
        <v>331</v>
      </c>
      <c r="W332" s="2">
        <v>2010</v>
      </c>
    </row>
    <row r="333" spans="1:23" ht="12.3" x14ac:dyDescent="0.4">
      <c r="A333" s="2" t="s">
        <v>186</v>
      </c>
      <c r="B333" s="2"/>
      <c r="C333" s="2"/>
      <c r="D333" s="2"/>
      <c r="E333" s="2"/>
      <c r="F333" s="2"/>
      <c r="G333" s="2"/>
      <c r="H333" s="2"/>
      <c r="I333" s="2">
        <v>61.642699999999998</v>
      </c>
      <c r="J333" s="2">
        <v>334</v>
      </c>
      <c r="K333" s="2">
        <v>61.259</v>
      </c>
      <c r="L333" s="2">
        <v>333</v>
      </c>
      <c r="M333" s="2">
        <v>87.06</v>
      </c>
      <c r="N333" s="2">
        <v>339</v>
      </c>
      <c r="O333" s="2">
        <v>87.121399999999994</v>
      </c>
      <c r="P333" s="2">
        <v>339</v>
      </c>
      <c r="Q333" s="2">
        <v>109.16889999999999</v>
      </c>
      <c r="R333" s="2">
        <v>324</v>
      </c>
      <c r="S333" s="2">
        <v>105.8467</v>
      </c>
      <c r="T333" s="2">
        <v>260</v>
      </c>
      <c r="U333" s="2">
        <v>9.6309000000000006E-2</v>
      </c>
      <c r="V333" s="2">
        <v>332</v>
      </c>
      <c r="W333" s="2">
        <v>2010</v>
      </c>
    </row>
    <row r="334" spans="1:23" ht="12.3" x14ac:dyDescent="0.4">
      <c r="A334" s="2" t="s">
        <v>301</v>
      </c>
      <c r="B334" s="2" t="e">
        <v>#N/A</v>
      </c>
      <c r="C334" s="2"/>
      <c r="D334" s="2"/>
      <c r="E334" s="2"/>
      <c r="F334" s="2"/>
      <c r="G334" s="2"/>
      <c r="H334" s="2"/>
      <c r="I334" s="2">
        <v>67.945700000000002</v>
      </c>
      <c r="J334" s="2">
        <v>138</v>
      </c>
      <c r="K334" s="2">
        <v>68.403800000000004</v>
      </c>
      <c r="L334" s="2">
        <v>117</v>
      </c>
      <c r="M334" s="2">
        <v>92.481899999999996</v>
      </c>
      <c r="N334" s="2">
        <v>310</v>
      </c>
      <c r="O334" s="2">
        <v>93.44</v>
      </c>
      <c r="P334" s="2">
        <v>291</v>
      </c>
      <c r="Q334" s="2">
        <v>107.68340000000001</v>
      </c>
      <c r="R334" s="2">
        <v>306</v>
      </c>
      <c r="S334" s="2">
        <v>113.5744</v>
      </c>
      <c r="T334" s="2">
        <v>344</v>
      </c>
      <c r="U334" s="2">
        <v>9.5860000000000001E-2</v>
      </c>
      <c r="V334" s="2">
        <v>333</v>
      </c>
      <c r="W334" s="2">
        <v>2010</v>
      </c>
    </row>
    <row r="335" spans="1:23" ht="12.3" x14ac:dyDescent="0.4">
      <c r="A335" s="2" t="s">
        <v>242</v>
      </c>
      <c r="B335" s="2" t="e">
        <v>#N/A</v>
      </c>
      <c r="C335" s="2"/>
      <c r="D335" s="2"/>
      <c r="E335" s="2"/>
      <c r="F335" s="2"/>
      <c r="G335" s="2"/>
      <c r="H335" s="2"/>
      <c r="I335" s="2">
        <v>65.786799999999999</v>
      </c>
      <c r="J335" s="2">
        <v>247</v>
      </c>
      <c r="K335" s="2">
        <v>65.775899999999993</v>
      </c>
      <c r="L335" s="2">
        <v>241</v>
      </c>
      <c r="M335" s="2">
        <v>87.895799999999994</v>
      </c>
      <c r="N335" s="2">
        <v>334</v>
      </c>
      <c r="O335" s="2">
        <v>87.616</v>
      </c>
      <c r="P335" s="2">
        <v>336</v>
      </c>
      <c r="Q335" s="2">
        <v>106.0685</v>
      </c>
      <c r="R335" s="2">
        <v>285</v>
      </c>
      <c r="S335" s="2">
        <v>107.8807</v>
      </c>
      <c r="T335" s="2">
        <v>293</v>
      </c>
      <c r="U335" s="2">
        <v>8.3729999999999999E-2</v>
      </c>
      <c r="V335" s="2">
        <v>334</v>
      </c>
      <c r="W335" s="2">
        <v>2010</v>
      </c>
    </row>
    <row r="336" spans="1:23" ht="12.3" x14ac:dyDescent="0.4">
      <c r="A336" s="2" t="s">
        <v>366</v>
      </c>
      <c r="B336" s="2" t="e">
        <v>#N/A</v>
      </c>
      <c r="C336" s="2"/>
      <c r="D336" s="2"/>
      <c r="E336" s="2"/>
      <c r="F336" s="2"/>
      <c r="G336" s="2"/>
      <c r="H336" s="2"/>
      <c r="I336" s="2">
        <v>68.800399999999996</v>
      </c>
      <c r="J336" s="2">
        <v>99</v>
      </c>
      <c r="K336" s="2">
        <v>67.793899999999994</v>
      </c>
      <c r="L336" s="2">
        <v>145</v>
      </c>
      <c r="M336" s="2">
        <v>86.442700000000002</v>
      </c>
      <c r="N336" s="2">
        <v>340</v>
      </c>
      <c r="O336" s="2">
        <v>85.068100000000001</v>
      </c>
      <c r="P336" s="2">
        <v>342</v>
      </c>
      <c r="Q336" s="2">
        <v>101.14279999999999</v>
      </c>
      <c r="R336" s="2">
        <v>169</v>
      </c>
      <c r="S336" s="2">
        <v>104.9272</v>
      </c>
      <c r="T336" s="2">
        <v>247</v>
      </c>
      <c r="U336" s="2">
        <v>8.2197000000000006E-2</v>
      </c>
      <c r="V336" s="2">
        <v>335</v>
      </c>
      <c r="W336" s="2">
        <v>2010</v>
      </c>
    </row>
    <row r="337" spans="1:23" ht="12.3" x14ac:dyDescent="0.4">
      <c r="A337" s="2" t="s">
        <v>280</v>
      </c>
      <c r="B337" s="2" t="e">
        <v>#N/A</v>
      </c>
      <c r="C337" s="2"/>
      <c r="D337" s="2"/>
      <c r="E337" s="2"/>
      <c r="F337" s="2"/>
      <c r="G337" s="2"/>
      <c r="H337" s="2"/>
      <c r="I337" s="2">
        <v>71.002799999999993</v>
      </c>
      <c r="J337" s="2">
        <v>36</v>
      </c>
      <c r="K337" s="2">
        <v>70.822999999999993</v>
      </c>
      <c r="L337" s="2">
        <v>34</v>
      </c>
      <c r="M337" s="2">
        <v>89.488299999999995</v>
      </c>
      <c r="N337" s="2">
        <v>327</v>
      </c>
      <c r="O337" s="2">
        <v>89.413799999999995</v>
      </c>
      <c r="P337" s="2">
        <v>324</v>
      </c>
      <c r="Q337" s="2">
        <v>109.1307</v>
      </c>
      <c r="R337" s="2">
        <v>321</v>
      </c>
      <c r="S337" s="2">
        <v>110.6872</v>
      </c>
      <c r="T337" s="2">
        <v>329</v>
      </c>
      <c r="U337" s="2">
        <v>7.9111000000000001E-2</v>
      </c>
      <c r="V337" s="2">
        <v>336</v>
      </c>
      <c r="W337" s="2">
        <v>2010</v>
      </c>
    </row>
    <row r="338" spans="1:23" ht="12.3" x14ac:dyDescent="0.4">
      <c r="A338" s="2" t="s">
        <v>143</v>
      </c>
      <c r="B338" s="2" t="e">
        <v>#N/A</v>
      </c>
      <c r="C338" s="2"/>
      <c r="D338" s="2"/>
      <c r="E338" s="2"/>
      <c r="F338" s="2"/>
      <c r="G338" s="2"/>
      <c r="H338" s="2"/>
      <c r="I338" s="2">
        <v>64.052800000000005</v>
      </c>
      <c r="J338" s="2">
        <v>297</v>
      </c>
      <c r="K338" s="2">
        <v>64.096000000000004</v>
      </c>
      <c r="L338" s="2">
        <v>296</v>
      </c>
      <c r="M338" s="2">
        <v>87.629000000000005</v>
      </c>
      <c r="N338" s="2">
        <v>337</v>
      </c>
      <c r="O338" s="2">
        <v>89.875900000000001</v>
      </c>
      <c r="P338" s="2">
        <v>322</v>
      </c>
      <c r="Q338" s="2">
        <v>110.1696</v>
      </c>
      <c r="R338" s="2">
        <v>332</v>
      </c>
      <c r="S338" s="2">
        <v>111.3961</v>
      </c>
      <c r="T338" s="2">
        <v>336</v>
      </c>
      <c r="U338" s="2">
        <v>7.8088000000000005E-2</v>
      </c>
      <c r="V338" s="2">
        <v>337</v>
      </c>
      <c r="W338" s="2">
        <v>2010</v>
      </c>
    </row>
    <row r="339" spans="1:23" ht="12.3" x14ac:dyDescent="0.4">
      <c r="A339" s="2" t="s">
        <v>371</v>
      </c>
      <c r="B339" s="2" t="e">
        <v>#N/A</v>
      </c>
      <c r="C339" s="2"/>
      <c r="D339" s="2"/>
      <c r="E339" s="2"/>
      <c r="F339" s="2"/>
      <c r="G339" s="2"/>
      <c r="H339" s="2"/>
      <c r="I339" s="2">
        <v>67.665700000000001</v>
      </c>
      <c r="J339" s="2">
        <v>155</v>
      </c>
      <c r="K339" s="2">
        <v>67.885499999999993</v>
      </c>
      <c r="L339" s="2">
        <v>140</v>
      </c>
      <c r="M339" s="2">
        <v>83.453000000000003</v>
      </c>
      <c r="N339" s="2">
        <v>344</v>
      </c>
      <c r="O339" s="2">
        <v>85.312899999999999</v>
      </c>
      <c r="P339" s="2">
        <v>340</v>
      </c>
      <c r="Q339" s="2">
        <v>105.6468</v>
      </c>
      <c r="R339" s="2">
        <v>275</v>
      </c>
      <c r="S339" s="2">
        <v>105.8532</v>
      </c>
      <c r="T339" s="2">
        <v>261</v>
      </c>
      <c r="U339" s="2">
        <v>7.7211000000000002E-2</v>
      </c>
      <c r="V339" s="2">
        <v>338</v>
      </c>
      <c r="W339" s="2">
        <v>2010</v>
      </c>
    </row>
    <row r="340" spans="1:23" ht="12.3" x14ac:dyDescent="0.4">
      <c r="A340" s="2" t="s">
        <v>215</v>
      </c>
      <c r="B340" s="2" t="e">
        <v>#N/A</v>
      </c>
      <c r="C340" s="2"/>
      <c r="D340" s="2"/>
      <c r="E340" s="2"/>
      <c r="F340" s="2"/>
      <c r="G340" s="2"/>
      <c r="H340" s="2"/>
      <c r="I340" s="2">
        <v>67.070800000000006</v>
      </c>
      <c r="J340" s="2">
        <v>185</v>
      </c>
      <c r="K340" s="2">
        <v>66.518699999999995</v>
      </c>
      <c r="L340" s="2">
        <v>210</v>
      </c>
      <c r="M340" s="2">
        <v>90.019599999999997</v>
      </c>
      <c r="N340" s="2">
        <v>323</v>
      </c>
      <c r="O340" s="2">
        <v>89.008499999999998</v>
      </c>
      <c r="P340" s="2">
        <v>328</v>
      </c>
      <c r="Q340" s="2">
        <v>103.4975</v>
      </c>
      <c r="R340" s="2">
        <v>228</v>
      </c>
      <c r="S340" s="2">
        <v>110.8899</v>
      </c>
      <c r="T340" s="2">
        <v>330</v>
      </c>
      <c r="U340" s="2">
        <v>7.3934E-2</v>
      </c>
      <c r="V340" s="2">
        <v>339</v>
      </c>
      <c r="W340" s="2">
        <v>2010</v>
      </c>
    </row>
    <row r="341" spans="1:23" ht="12.3" x14ac:dyDescent="0.4">
      <c r="A341" s="2" t="s">
        <v>373</v>
      </c>
      <c r="B341" s="2" t="e">
        <v>#N/A</v>
      </c>
      <c r="C341" s="2"/>
      <c r="D341" s="2"/>
      <c r="E341" s="2"/>
      <c r="F341" s="2"/>
      <c r="G341" s="2"/>
      <c r="H341" s="2"/>
      <c r="I341" s="2">
        <v>69.142799999999994</v>
      </c>
      <c r="J341" s="2">
        <v>86</v>
      </c>
      <c r="K341" s="2">
        <v>68.638599999999997</v>
      </c>
      <c r="L341" s="2">
        <v>105</v>
      </c>
      <c r="M341" s="2">
        <v>87.602800000000002</v>
      </c>
      <c r="N341" s="2">
        <v>338</v>
      </c>
      <c r="O341" s="2">
        <v>87.396900000000002</v>
      </c>
      <c r="P341" s="2">
        <v>337</v>
      </c>
      <c r="Q341" s="2">
        <v>109.9778</v>
      </c>
      <c r="R341" s="2">
        <v>329</v>
      </c>
      <c r="S341" s="2">
        <v>109.91889999999999</v>
      </c>
      <c r="T341" s="2">
        <v>319</v>
      </c>
      <c r="U341" s="2">
        <v>6.6810999999999995E-2</v>
      </c>
      <c r="V341" s="2">
        <v>340</v>
      </c>
      <c r="W341" s="2">
        <v>2010</v>
      </c>
    </row>
    <row r="342" spans="1:23" ht="12.3" x14ac:dyDescent="0.4">
      <c r="A342" s="2" t="s">
        <v>348</v>
      </c>
      <c r="B342" s="2" t="e">
        <v>#N/A</v>
      </c>
      <c r="C342" s="2"/>
      <c r="D342" s="2"/>
      <c r="E342" s="2"/>
      <c r="F342" s="2"/>
      <c r="G342" s="2"/>
      <c r="H342" s="2"/>
      <c r="I342" s="2">
        <v>68.502700000000004</v>
      </c>
      <c r="J342" s="2">
        <v>119</v>
      </c>
      <c r="K342" s="2">
        <v>68.370599999999996</v>
      </c>
      <c r="L342" s="2">
        <v>122</v>
      </c>
      <c r="M342" s="2">
        <v>86.331800000000001</v>
      </c>
      <c r="N342" s="2">
        <v>341</v>
      </c>
      <c r="O342" s="2">
        <v>85.259200000000007</v>
      </c>
      <c r="P342" s="2">
        <v>341</v>
      </c>
      <c r="Q342" s="2">
        <v>103.9675</v>
      </c>
      <c r="R342" s="2">
        <v>243</v>
      </c>
      <c r="S342" s="2">
        <v>108.0093</v>
      </c>
      <c r="T342" s="2">
        <v>294</v>
      </c>
      <c r="U342" s="2">
        <v>6.1803999999999998E-2</v>
      </c>
      <c r="V342" s="2">
        <v>341</v>
      </c>
      <c r="W342" s="2">
        <v>2010</v>
      </c>
    </row>
    <row r="343" spans="1:23" ht="12.3" x14ac:dyDescent="0.4">
      <c r="A343" s="2" t="s">
        <v>329</v>
      </c>
      <c r="B343" s="2" t="e">
        <v>#N/A</v>
      </c>
      <c r="C343" s="2"/>
      <c r="D343" s="2"/>
      <c r="E343" s="2"/>
      <c r="F343" s="2"/>
      <c r="G343" s="2"/>
      <c r="H343" s="2"/>
      <c r="I343" s="2">
        <v>69.884399999999999</v>
      </c>
      <c r="J343" s="2">
        <v>69</v>
      </c>
      <c r="K343" s="2">
        <v>69.135999999999996</v>
      </c>
      <c r="L343" s="2">
        <v>82</v>
      </c>
      <c r="M343" s="2">
        <v>89.388499999999993</v>
      </c>
      <c r="N343" s="2">
        <v>329</v>
      </c>
      <c r="O343" s="2">
        <v>89.094099999999997</v>
      </c>
      <c r="P343" s="2">
        <v>327</v>
      </c>
      <c r="Q343" s="2">
        <v>104.0676</v>
      </c>
      <c r="R343" s="2">
        <v>246</v>
      </c>
      <c r="S343" s="2">
        <v>113.01139999999999</v>
      </c>
      <c r="T343" s="2">
        <v>342</v>
      </c>
      <c r="U343" s="2">
        <v>6.096E-2</v>
      </c>
      <c r="V343" s="2">
        <v>342</v>
      </c>
      <c r="W343" s="2">
        <v>2010</v>
      </c>
    </row>
    <row r="344" spans="1:23" ht="12.3" x14ac:dyDescent="0.4">
      <c r="A344" s="2" t="s">
        <v>378</v>
      </c>
      <c r="B344" s="2" t="e">
        <v>#N/A</v>
      </c>
      <c r="C344" s="2"/>
      <c r="D344" s="2"/>
      <c r="E344" s="2"/>
      <c r="F344" s="2"/>
      <c r="G344" s="2"/>
      <c r="H344" s="2"/>
      <c r="I344" s="2">
        <v>66.238299999999995</v>
      </c>
      <c r="J344" s="2">
        <v>229</v>
      </c>
      <c r="K344" s="2">
        <v>65.511200000000002</v>
      </c>
      <c r="L344" s="2">
        <v>251</v>
      </c>
      <c r="M344" s="2">
        <v>92.586200000000005</v>
      </c>
      <c r="N344" s="2">
        <v>308</v>
      </c>
      <c r="O344" s="2">
        <v>94.336100000000002</v>
      </c>
      <c r="P344" s="2">
        <v>284</v>
      </c>
      <c r="Q344" s="2">
        <v>109.21259999999999</v>
      </c>
      <c r="R344" s="2">
        <v>326</v>
      </c>
      <c r="S344" s="2">
        <v>120.4359</v>
      </c>
      <c r="T344" s="2">
        <v>347</v>
      </c>
      <c r="U344" s="2">
        <v>5.6843999999999999E-2</v>
      </c>
      <c r="V344" s="2">
        <v>343</v>
      </c>
      <c r="W344" s="2">
        <v>2010</v>
      </c>
    </row>
    <row r="345" spans="1:23" ht="12.3" x14ac:dyDescent="0.4">
      <c r="A345" s="2" t="s">
        <v>327</v>
      </c>
      <c r="B345" s="2" t="e">
        <v>#N/A</v>
      </c>
      <c r="C345" s="2"/>
      <c r="D345" s="2"/>
      <c r="E345" s="2"/>
      <c r="F345" s="2"/>
      <c r="G345" s="2"/>
      <c r="H345" s="2"/>
      <c r="I345" s="2">
        <v>63.85</v>
      </c>
      <c r="J345" s="2">
        <v>303</v>
      </c>
      <c r="K345" s="2">
        <v>64.835499999999996</v>
      </c>
      <c r="L345" s="2">
        <v>276</v>
      </c>
      <c r="M345" s="2">
        <v>83.088800000000006</v>
      </c>
      <c r="N345" s="2">
        <v>345</v>
      </c>
      <c r="O345" s="2">
        <v>82.202799999999996</v>
      </c>
      <c r="P345" s="2">
        <v>345</v>
      </c>
      <c r="Q345" s="2">
        <v>103.2856</v>
      </c>
      <c r="R345" s="2">
        <v>220</v>
      </c>
      <c r="S345" s="2">
        <v>105.3484</v>
      </c>
      <c r="T345" s="2">
        <v>254</v>
      </c>
      <c r="U345" s="2">
        <v>5.4529000000000001E-2</v>
      </c>
      <c r="V345" s="2">
        <v>344</v>
      </c>
      <c r="W345" s="2">
        <v>2010</v>
      </c>
    </row>
    <row r="346" spans="1:23" ht="12.3" x14ac:dyDescent="0.4">
      <c r="A346" s="2" t="s">
        <v>338</v>
      </c>
      <c r="B346" s="2" t="e">
        <v>#N/A</v>
      </c>
      <c r="C346" s="2"/>
      <c r="D346" s="2"/>
      <c r="E346" s="2"/>
      <c r="F346" s="2"/>
      <c r="G346" s="2"/>
      <c r="H346" s="2"/>
      <c r="I346" s="2">
        <v>70.453000000000003</v>
      </c>
      <c r="J346" s="2">
        <v>50</v>
      </c>
      <c r="K346" s="2">
        <v>70.074200000000005</v>
      </c>
      <c r="L346" s="2">
        <v>54</v>
      </c>
      <c r="M346" s="2">
        <v>84.235299999999995</v>
      </c>
      <c r="N346" s="2">
        <v>343</v>
      </c>
      <c r="O346" s="2">
        <v>83.096999999999994</v>
      </c>
      <c r="P346" s="2">
        <v>344</v>
      </c>
      <c r="Q346" s="2">
        <v>102.2119</v>
      </c>
      <c r="R346" s="2">
        <v>187</v>
      </c>
      <c r="S346" s="2">
        <v>108.7474</v>
      </c>
      <c r="T346" s="2">
        <v>302</v>
      </c>
      <c r="U346" s="2">
        <v>4.3367000000000003E-2</v>
      </c>
      <c r="V346" s="2">
        <v>345</v>
      </c>
      <c r="W346" s="2">
        <v>2010</v>
      </c>
    </row>
    <row r="347" spans="1:23" ht="12.3" x14ac:dyDescent="0.4">
      <c r="A347" s="2" t="s">
        <v>261</v>
      </c>
      <c r="B347" s="2" t="e">
        <v>#N/A</v>
      </c>
      <c r="C347" s="2"/>
      <c r="D347" s="2"/>
      <c r="E347" s="2"/>
      <c r="F347" s="2"/>
      <c r="G347" s="2"/>
      <c r="H347" s="2"/>
      <c r="I347" s="2">
        <v>75.383399999999995</v>
      </c>
      <c r="J347" s="2">
        <v>4</v>
      </c>
      <c r="K347" s="2">
        <v>74.116100000000003</v>
      </c>
      <c r="L347" s="2">
        <v>8</v>
      </c>
      <c r="M347" s="2">
        <v>80.468100000000007</v>
      </c>
      <c r="N347" s="2">
        <v>347</v>
      </c>
      <c r="O347" s="2">
        <v>80.932299999999998</v>
      </c>
      <c r="P347" s="2">
        <v>346</v>
      </c>
      <c r="Q347" s="2">
        <v>108.0646</v>
      </c>
      <c r="R347" s="2">
        <v>311</v>
      </c>
      <c r="S347" s="2">
        <v>112.3533</v>
      </c>
      <c r="T347" s="2">
        <v>341</v>
      </c>
      <c r="U347" s="2">
        <v>2.248E-2</v>
      </c>
      <c r="V347" s="2">
        <v>346</v>
      </c>
      <c r="W347" s="2">
        <v>2010</v>
      </c>
    </row>
    <row r="348" spans="1:23" ht="12.3" x14ac:dyDescent="0.4">
      <c r="A348" s="2" t="s">
        <v>375</v>
      </c>
      <c r="B348" s="2" t="e">
        <v>#N/A</v>
      </c>
      <c r="C348" s="2"/>
      <c r="D348" s="2"/>
      <c r="E348" s="2"/>
      <c r="F348" s="2"/>
      <c r="G348" s="2"/>
      <c r="H348" s="2"/>
      <c r="I348" s="2">
        <v>64.236900000000006</v>
      </c>
      <c r="J348" s="2">
        <v>292</v>
      </c>
      <c r="K348" s="2">
        <v>63.689799999999998</v>
      </c>
      <c r="L348" s="2">
        <v>307</v>
      </c>
      <c r="M348" s="2">
        <v>80.675299999999993</v>
      </c>
      <c r="N348" s="2">
        <v>346</v>
      </c>
      <c r="O348" s="2">
        <v>79.937100000000001</v>
      </c>
      <c r="P348" s="2">
        <v>347</v>
      </c>
      <c r="Q348" s="2">
        <v>107.3609</v>
      </c>
      <c r="R348" s="2">
        <v>301</v>
      </c>
      <c r="S348" s="2">
        <v>111.32080000000001</v>
      </c>
      <c r="T348" s="2">
        <v>335</v>
      </c>
      <c r="U348" s="2">
        <v>2.1700000000000001E-2</v>
      </c>
      <c r="V348" s="2">
        <v>347</v>
      </c>
      <c r="W348" s="2">
        <v>2010</v>
      </c>
    </row>
  </sheetData>
  <autoFilter ref="A1:V348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W346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21</v>
      </c>
      <c r="B2" s="2">
        <v>1</v>
      </c>
      <c r="C2" s="3" t="s">
        <v>33</v>
      </c>
      <c r="D2" s="3" t="s">
        <v>33</v>
      </c>
      <c r="E2" s="2"/>
      <c r="F2" s="2"/>
      <c r="G2" s="2"/>
      <c r="H2" s="2"/>
      <c r="I2" s="2">
        <v>64.483000000000004</v>
      </c>
      <c r="J2" s="2">
        <v>269</v>
      </c>
      <c r="K2" s="2">
        <v>65.619699999999995</v>
      </c>
      <c r="L2" s="2">
        <v>229</v>
      </c>
      <c r="M2" s="2">
        <v>119.2011</v>
      </c>
      <c r="N2" s="2">
        <v>1</v>
      </c>
      <c r="O2" s="2">
        <v>122.7577</v>
      </c>
      <c r="P2" s="2">
        <v>1</v>
      </c>
      <c r="Q2" s="2">
        <v>93.425799999999995</v>
      </c>
      <c r="R2" s="2">
        <v>19</v>
      </c>
      <c r="S2" s="2">
        <v>93.061499999999995</v>
      </c>
      <c r="T2" s="2">
        <v>22</v>
      </c>
      <c r="U2" s="2">
        <v>0.96026400000000001</v>
      </c>
      <c r="V2" s="2">
        <v>1</v>
      </c>
      <c r="W2" s="2">
        <v>2011</v>
      </c>
    </row>
    <row r="3" spans="1:23" ht="15.75" customHeight="1" x14ac:dyDescent="0.4">
      <c r="A3" s="2" t="s">
        <v>32</v>
      </c>
      <c r="B3" s="2">
        <v>1</v>
      </c>
      <c r="C3" s="3" t="s">
        <v>33</v>
      </c>
      <c r="D3" s="3" t="s">
        <v>33</v>
      </c>
      <c r="E3" s="2"/>
      <c r="F3" s="2"/>
      <c r="G3" s="2"/>
      <c r="H3" s="2"/>
      <c r="I3" s="2">
        <v>70.7577</v>
      </c>
      <c r="J3" s="2">
        <v>32</v>
      </c>
      <c r="K3" s="2">
        <v>69.644099999999995</v>
      </c>
      <c r="L3" s="2">
        <v>44</v>
      </c>
      <c r="M3" s="2">
        <v>114.4312</v>
      </c>
      <c r="N3" s="2">
        <v>10</v>
      </c>
      <c r="O3" s="2">
        <v>117.0254</v>
      </c>
      <c r="P3" s="2">
        <v>5</v>
      </c>
      <c r="Q3" s="2">
        <v>90.833100000000002</v>
      </c>
      <c r="R3" s="2">
        <v>8</v>
      </c>
      <c r="S3" s="2">
        <v>90.596999999999994</v>
      </c>
      <c r="T3" s="2">
        <v>8</v>
      </c>
      <c r="U3" s="2">
        <v>0.94996199999999997</v>
      </c>
      <c r="V3" s="2">
        <v>2</v>
      </c>
      <c r="W3" s="2">
        <v>2011</v>
      </c>
    </row>
    <row r="4" spans="1:23" ht="15.75" customHeight="1" x14ac:dyDescent="0.4">
      <c r="A4" s="2" t="s">
        <v>35</v>
      </c>
      <c r="B4" s="2">
        <v>1</v>
      </c>
      <c r="C4" s="3" t="s">
        <v>33</v>
      </c>
      <c r="D4" s="3" t="s">
        <v>33</v>
      </c>
      <c r="E4" s="3" t="s">
        <v>33</v>
      </c>
      <c r="F4" s="2"/>
      <c r="G4" s="2"/>
      <c r="H4" s="2"/>
      <c r="I4" s="2">
        <v>70.376099999999994</v>
      </c>
      <c r="J4" s="2">
        <v>38</v>
      </c>
      <c r="K4" s="2">
        <v>69.552499999999995</v>
      </c>
      <c r="L4" s="2">
        <v>48</v>
      </c>
      <c r="M4" s="2">
        <v>116.7659</v>
      </c>
      <c r="N4" s="2">
        <v>6</v>
      </c>
      <c r="O4" s="2">
        <v>118.10550000000001</v>
      </c>
      <c r="P4" s="2">
        <v>4</v>
      </c>
      <c r="Q4" s="2">
        <v>92.559600000000003</v>
      </c>
      <c r="R4" s="2">
        <v>15</v>
      </c>
      <c r="S4" s="2">
        <v>92.614400000000003</v>
      </c>
      <c r="T4" s="2">
        <v>21</v>
      </c>
      <c r="U4" s="2">
        <v>0.94246099999999999</v>
      </c>
      <c r="V4" s="2">
        <v>3</v>
      </c>
      <c r="W4" s="2">
        <v>2011</v>
      </c>
    </row>
    <row r="5" spans="1:23" ht="15.75" customHeight="1" x14ac:dyDescent="0.4">
      <c r="A5" s="2" t="s">
        <v>67</v>
      </c>
      <c r="B5" s="2">
        <v>4</v>
      </c>
      <c r="C5" s="3" t="s">
        <v>33</v>
      </c>
      <c r="D5" s="2"/>
      <c r="E5" s="2"/>
      <c r="F5" s="2"/>
      <c r="G5" s="2"/>
      <c r="H5" s="2"/>
      <c r="I5" s="2">
        <v>68.139700000000005</v>
      </c>
      <c r="J5" s="2">
        <v>103</v>
      </c>
      <c r="K5" s="2">
        <v>66.940600000000003</v>
      </c>
      <c r="L5" s="2">
        <v>157</v>
      </c>
      <c r="M5" s="2">
        <v>109.4233</v>
      </c>
      <c r="N5" s="2">
        <v>42</v>
      </c>
      <c r="O5" s="2">
        <v>114.2741</v>
      </c>
      <c r="P5" s="2">
        <v>13</v>
      </c>
      <c r="Q5" s="2">
        <v>89.971999999999994</v>
      </c>
      <c r="R5" s="2">
        <v>5</v>
      </c>
      <c r="S5" s="2">
        <v>89.946600000000004</v>
      </c>
      <c r="T5" s="2">
        <v>5</v>
      </c>
      <c r="U5" s="2">
        <v>0.94007799999999997</v>
      </c>
      <c r="V5" s="2">
        <v>4</v>
      </c>
      <c r="W5" s="2">
        <v>2011</v>
      </c>
    </row>
    <row r="6" spans="1:23" ht="15.75" customHeight="1" x14ac:dyDescent="0.4">
      <c r="A6" s="2" t="s">
        <v>46</v>
      </c>
      <c r="B6" s="2">
        <v>1</v>
      </c>
      <c r="C6" s="3" t="s">
        <v>33</v>
      </c>
      <c r="D6" s="2"/>
      <c r="E6" s="2"/>
      <c r="F6" s="2"/>
      <c r="G6" s="2"/>
      <c r="H6" s="2"/>
      <c r="I6" s="2">
        <v>63.701799999999999</v>
      </c>
      <c r="J6" s="2">
        <v>300</v>
      </c>
      <c r="K6" s="2">
        <v>63.281799999999997</v>
      </c>
      <c r="L6" s="2">
        <v>314</v>
      </c>
      <c r="M6" s="2">
        <v>115.89700000000001</v>
      </c>
      <c r="N6" s="2">
        <v>8</v>
      </c>
      <c r="O6" s="2">
        <v>116.95820000000001</v>
      </c>
      <c r="P6" s="2">
        <v>6</v>
      </c>
      <c r="Q6" s="2">
        <v>95.435000000000002</v>
      </c>
      <c r="R6" s="2">
        <v>43</v>
      </c>
      <c r="S6" s="2">
        <v>92.302700000000002</v>
      </c>
      <c r="T6" s="2">
        <v>17</v>
      </c>
      <c r="U6" s="2">
        <v>0.93834399999999996</v>
      </c>
      <c r="V6" s="2">
        <v>5</v>
      </c>
      <c r="W6" s="2">
        <v>2011</v>
      </c>
    </row>
    <row r="7" spans="1:23" ht="15.75" customHeight="1" x14ac:dyDescent="0.4">
      <c r="A7" s="2" t="s">
        <v>97</v>
      </c>
      <c r="B7" s="2">
        <v>2</v>
      </c>
      <c r="C7" s="3" t="s">
        <v>33</v>
      </c>
      <c r="D7" s="3" t="s">
        <v>33</v>
      </c>
      <c r="E7" s="2"/>
      <c r="F7" s="2"/>
      <c r="G7" s="2"/>
      <c r="H7" s="2"/>
      <c r="I7" s="2">
        <v>64.149199999999993</v>
      </c>
      <c r="J7" s="2">
        <v>284</v>
      </c>
      <c r="K7" s="2">
        <v>64.169600000000003</v>
      </c>
      <c r="L7" s="2">
        <v>287</v>
      </c>
      <c r="M7" s="2">
        <v>110.62009999999999</v>
      </c>
      <c r="N7" s="2">
        <v>28</v>
      </c>
      <c r="O7" s="2">
        <v>111.798</v>
      </c>
      <c r="P7" s="2">
        <v>27</v>
      </c>
      <c r="Q7" s="2">
        <v>91.863600000000005</v>
      </c>
      <c r="R7" s="2">
        <v>10</v>
      </c>
      <c r="S7" s="2">
        <v>88.544200000000004</v>
      </c>
      <c r="T7" s="2">
        <v>1</v>
      </c>
      <c r="U7" s="2">
        <v>0.93593800000000005</v>
      </c>
      <c r="V7" s="2">
        <v>6</v>
      </c>
      <c r="W7" s="2">
        <v>2011</v>
      </c>
    </row>
    <row r="8" spans="1:23" ht="15.75" customHeight="1" x14ac:dyDescent="0.4">
      <c r="A8" s="2" t="s">
        <v>45</v>
      </c>
      <c r="B8" s="2">
        <v>4</v>
      </c>
      <c r="C8" s="3" t="s">
        <v>33</v>
      </c>
      <c r="D8" s="3" t="s">
        <v>33</v>
      </c>
      <c r="E8" s="3" t="s">
        <v>33</v>
      </c>
      <c r="F8" s="3" t="s">
        <v>33</v>
      </c>
      <c r="G8" s="2"/>
      <c r="H8" s="2"/>
      <c r="I8" s="2">
        <v>67.182699999999997</v>
      </c>
      <c r="J8" s="2">
        <v>160</v>
      </c>
      <c r="K8" s="2">
        <v>66.775800000000004</v>
      </c>
      <c r="L8" s="2">
        <v>164</v>
      </c>
      <c r="M8" s="2">
        <v>113.6506</v>
      </c>
      <c r="N8" s="2">
        <v>12</v>
      </c>
      <c r="O8" s="2">
        <v>116.2402</v>
      </c>
      <c r="P8" s="2">
        <v>8</v>
      </c>
      <c r="Q8" s="2">
        <v>94.906400000000005</v>
      </c>
      <c r="R8" s="2">
        <v>35</v>
      </c>
      <c r="S8" s="2">
        <v>93.258799999999994</v>
      </c>
      <c r="T8" s="2">
        <v>27</v>
      </c>
      <c r="U8" s="2">
        <v>0.92643799999999998</v>
      </c>
      <c r="V8" s="2">
        <v>7</v>
      </c>
      <c r="W8" s="2">
        <v>2011</v>
      </c>
    </row>
    <row r="9" spans="1:23" ht="15.75" customHeight="1" x14ac:dyDescent="0.4">
      <c r="A9" s="2" t="s">
        <v>56</v>
      </c>
      <c r="B9" s="2">
        <v>2</v>
      </c>
      <c r="C9" s="3" t="s">
        <v>33</v>
      </c>
      <c r="D9" s="2"/>
      <c r="E9" s="2"/>
      <c r="F9" s="2"/>
      <c r="G9" s="2"/>
      <c r="H9" s="2"/>
      <c r="I9" s="2">
        <v>64.575000000000003</v>
      </c>
      <c r="J9" s="2">
        <v>267</v>
      </c>
      <c r="K9" s="2">
        <v>64.4465</v>
      </c>
      <c r="L9" s="2">
        <v>273</v>
      </c>
      <c r="M9" s="2">
        <v>115.9097</v>
      </c>
      <c r="N9" s="2">
        <v>7</v>
      </c>
      <c r="O9" s="2">
        <v>121.10250000000001</v>
      </c>
      <c r="P9" s="2">
        <v>2</v>
      </c>
      <c r="Q9" s="2">
        <v>100.4776</v>
      </c>
      <c r="R9" s="2">
        <v>140</v>
      </c>
      <c r="S9" s="2">
        <v>97.474100000000007</v>
      </c>
      <c r="T9" s="2">
        <v>76</v>
      </c>
      <c r="U9" s="2">
        <v>0.92386699999999999</v>
      </c>
      <c r="V9" s="2">
        <v>8</v>
      </c>
      <c r="W9" s="2">
        <v>2011</v>
      </c>
    </row>
    <row r="10" spans="1:23" ht="15.75" customHeight="1" x14ac:dyDescent="0.4">
      <c r="A10" s="2" t="s">
        <v>121</v>
      </c>
      <c r="B10" s="2">
        <v>3</v>
      </c>
      <c r="C10" s="3" t="s">
        <v>33</v>
      </c>
      <c r="D10" s="2"/>
      <c r="E10" s="2"/>
      <c r="F10" s="2"/>
      <c r="G10" s="2"/>
      <c r="H10" s="2"/>
      <c r="I10" s="2">
        <v>66.106300000000005</v>
      </c>
      <c r="J10" s="2">
        <v>203</v>
      </c>
      <c r="K10" s="2">
        <v>67.156400000000005</v>
      </c>
      <c r="L10" s="2">
        <v>145</v>
      </c>
      <c r="M10" s="2">
        <v>109.59050000000001</v>
      </c>
      <c r="N10" s="2">
        <v>39</v>
      </c>
      <c r="O10" s="2">
        <v>113.3805</v>
      </c>
      <c r="P10" s="2">
        <v>19</v>
      </c>
      <c r="Q10" s="2">
        <v>93.340199999999996</v>
      </c>
      <c r="R10" s="2">
        <v>18</v>
      </c>
      <c r="S10" s="2">
        <v>91.319400000000002</v>
      </c>
      <c r="T10" s="2">
        <v>14</v>
      </c>
      <c r="U10" s="2">
        <v>0.92332800000000004</v>
      </c>
      <c r="V10" s="2">
        <v>9</v>
      </c>
      <c r="W10" s="2">
        <v>2011</v>
      </c>
    </row>
    <row r="11" spans="1:23" ht="15.75" customHeight="1" x14ac:dyDescent="0.4">
      <c r="A11" s="2" t="s">
        <v>76</v>
      </c>
      <c r="B11" s="2">
        <v>4</v>
      </c>
      <c r="C11" s="3" t="s">
        <v>33</v>
      </c>
      <c r="D11" s="3" t="s">
        <v>33</v>
      </c>
      <c r="E11" s="2"/>
      <c r="F11" s="2"/>
      <c r="G11" s="2"/>
      <c r="H11" s="2"/>
      <c r="I11" s="2">
        <v>57.072200000000002</v>
      </c>
      <c r="J11" s="2">
        <v>345</v>
      </c>
      <c r="K11" s="2">
        <v>57.615400000000001</v>
      </c>
      <c r="L11" s="2">
        <v>345</v>
      </c>
      <c r="M11" s="2">
        <v>118.351</v>
      </c>
      <c r="N11" s="2">
        <v>2</v>
      </c>
      <c r="O11" s="2">
        <v>119.7906</v>
      </c>
      <c r="P11" s="2">
        <v>3</v>
      </c>
      <c r="Q11" s="2">
        <v>101.3777</v>
      </c>
      <c r="R11" s="2">
        <v>171</v>
      </c>
      <c r="S11" s="2">
        <v>96.650300000000001</v>
      </c>
      <c r="T11" s="2">
        <v>61</v>
      </c>
      <c r="U11" s="2">
        <v>0.92189900000000002</v>
      </c>
      <c r="V11" s="2">
        <v>10</v>
      </c>
      <c r="W11" s="2">
        <v>2011</v>
      </c>
    </row>
    <row r="12" spans="1:23" ht="15.75" customHeight="1" x14ac:dyDescent="0.4">
      <c r="A12" s="2" t="s">
        <v>86</v>
      </c>
      <c r="B12" s="2">
        <v>4</v>
      </c>
      <c r="C12" s="2"/>
      <c r="D12" s="2"/>
      <c r="E12" s="2"/>
      <c r="F12" s="2"/>
      <c r="G12" s="2"/>
      <c r="H12" s="2"/>
      <c r="I12" s="2">
        <v>68.303600000000003</v>
      </c>
      <c r="J12" s="2">
        <v>94</v>
      </c>
      <c r="K12" s="2">
        <v>67.706000000000003</v>
      </c>
      <c r="L12" s="2">
        <v>112</v>
      </c>
      <c r="M12" s="2">
        <v>107.791</v>
      </c>
      <c r="N12" s="2">
        <v>53</v>
      </c>
      <c r="O12" s="2">
        <v>109.27079999999999</v>
      </c>
      <c r="P12" s="2">
        <v>49</v>
      </c>
      <c r="Q12" s="2">
        <v>92.951300000000003</v>
      </c>
      <c r="R12" s="2">
        <v>16</v>
      </c>
      <c r="S12" s="2">
        <v>89.155500000000004</v>
      </c>
      <c r="T12" s="2">
        <v>3</v>
      </c>
      <c r="U12" s="2">
        <v>0.91210800000000003</v>
      </c>
      <c r="V12" s="2">
        <v>11</v>
      </c>
      <c r="W12" s="2">
        <v>2011</v>
      </c>
    </row>
    <row r="13" spans="1:23" ht="15.75" customHeight="1" x14ac:dyDescent="0.4">
      <c r="A13" s="2" t="s">
        <v>96</v>
      </c>
      <c r="B13" s="2">
        <v>3</v>
      </c>
      <c r="C13" s="3" t="s">
        <v>33</v>
      </c>
      <c r="D13" s="3" t="s">
        <v>33</v>
      </c>
      <c r="E13" s="2"/>
      <c r="F13" s="2"/>
      <c r="G13" s="2"/>
      <c r="H13" s="2"/>
      <c r="I13" s="2">
        <v>71.221599999999995</v>
      </c>
      <c r="J13" s="2">
        <v>25</v>
      </c>
      <c r="K13" s="2">
        <v>71.155199999999994</v>
      </c>
      <c r="L13" s="2">
        <v>23</v>
      </c>
      <c r="M13" s="2">
        <v>113.2313</v>
      </c>
      <c r="N13" s="2">
        <v>13</v>
      </c>
      <c r="O13" s="2">
        <v>116.8365</v>
      </c>
      <c r="P13" s="2">
        <v>7</v>
      </c>
      <c r="Q13" s="2">
        <v>95.103099999999998</v>
      </c>
      <c r="R13" s="2">
        <v>37</v>
      </c>
      <c r="S13" s="2">
        <v>95.592100000000002</v>
      </c>
      <c r="T13" s="2">
        <v>51</v>
      </c>
      <c r="U13" s="2">
        <v>0.909528</v>
      </c>
      <c r="V13" s="2">
        <v>12</v>
      </c>
      <c r="W13" s="2">
        <v>2011</v>
      </c>
    </row>
    <row r="14" spans="1:23" ht="15.75" customHeight="1" x14ac:dyDescent="0.4">
      <c r="A14" s="2" t="s">
        <v>54</v>
      </c>
      <c r="B14" s="2">
        <v>3</v>
      </c>
      <c r="C14" s="3" t="s">
        <v>33</v>
      </c>
      <c r="D14" s="3" t="s">
        <v>33</v>
      </c>
      <c r="E14" s="3" t="s">
        <v>33</v>
      </c>
      <c r="F14" s="3" t="s">
        <v>33</v>
      </c>
      <c r="G14" s="3" t="s">
        <v>33</v>
      </c>
      <c r="H14" s="3" t="s">
        <v>33</v>
      </c>
      <c r="I14" s="2">
        <v>66.219499999999996</v>
      </c>
      <c r="J14" s="2">
        <v>197</v>
      </c>
      <c r="K14" s="2">
        <v>66.264799999999994</v>
      </c>
      <c r="L14" s="2">
        <v>193</v>
      </c>
      <c r="M14" s="2">
        <v>108.5852</v>
      </c>
      <c r="N14" s="2">
        <v>48</v>
      </c>
      <c r="O14" s="2">
        <v>113.8185</v>
      </c>
      <c r="P14" s="2">
        <v>17</v>
      </c>
      <c r="Q14" s="2">
        <v>98.411000000000001</v>
      </c>
      <c r="R14" s="2">
        <v>93</v>
      </c>
      <c r="S14" s="2">
        <v>93.8292</v>
      </c>
      <c r="T14" s="2">
        <v>30</v>
      </c>
      <c r="U14" s="2">
        <v>0.90211799999999998</v>
      </c>
      <c r="V14" s="2">
        <v>13</v>
      </c>
      <c r="W14" s="2">
        <v>2011</v>
      </c>
    </row>
    <row r="15" spans="1:23" ht="15.75" customHeight="1" x14ac:dyDescent="0.4">
      <c r="A15" s="2" t="s">
        <v>168</v>
      </c>
      <c r="B15" s="2">
        <v>2</v>
      </c>
      <c r="C15" s="3" t="s">
        <v>33</v>
      </c>
      <c r="D15" s="3" t="s">
        <v>33</v>
      </c>
      <c r="E15" s="3" t="s">
        <v>33</v>
      </c>
      <c r="F15" s="2"/>
      <c r="G15" s="2"/>
      <c r="H15" s="2"/>
      <c r="I15" s="2">
        <v>72.261300000000006</v>
      </c>
      <c r="J15" s="2">
        <v>17</v>
      </c>
      <c r="K15" s="2">
        <v>71.319100000000006</v>
      </c>
      <c r="L15" s="2">
        <v>21</v>
      </c>
      <c r="M15" s="2">
        <v>105.4297</v>
      </c>
      <c r="N15" s="2">
        <v>83</v>
      </c>
      <c r="O15" s="2">
        <v>109.1614</v>
      </c>
      <c r="P15" s="2">
        <v>51</v>
      </c>
      <c r="Q15" s="2">
        <v>93.4452</v>
      </c>
      <c r="R15" s="2">
        <v>20</v>
      </c>
      <c r="S15" s="2">
        <v>90.342699999999994</v>
      </c>
      <c r="T15" s="2">
        <v>7</v>
      </c>
      <c r="U15" s="2">
        <v>0.89807400000000004</v>
      </c>
      <c r="V15" s="2">
        <v>14</v>
      </c>
      <c r="W15" s="2">
        <v>2011</v>
      </c>
    </row>
    <row r="16" spans="1:23" ht="15.75" customHeight="1" x14ac:dyDescent="0.4">
      <c r="A16" s="2" t="s">
        <v>98</v>
      </c>
      <c r="B16" s="2">
        <v>12</v>
      </c>
      <c r="C16" s="2"/>
      <c r="D16" s="2"/>
      <c r="E16" s="2"/>
      <c r="F16" s="2"/>
      <c r="G16" s="2"/>
      <c r="H16" s="2"/>
      <c r="I16" s="2">
        <v>64.009799999999998</v>
      </c>
      <c r="J16" s="2">
        <v>290</v>
      </c>
      <c r="K16" s="2">
        <v>63.741599999999998</v>
      </c>
      <c r="L16" s="2">
        <v>302</v>
      </c>
      <c r="M16" s="2">
        <v>110.5461</v>
      </c>
      <c r="N16" s="2">
        <v>30</v>
      </c>
      <c r="O16" s="2">
        <v>108.39660000000001</v>
      </c>
      <c r="P16" s="2">
        <v>61</v>
      </c>
      <c r="Q16" s="2">
        <v>89.897400000000005</v>
      </c>
      <c r="R16" s="2">
        <v>4</v>
      </c>
      <c r="S16" s="2">
        <v>89.738299999999995</v>
      </c>
      <c r="T16" s="2">
        <v>4</v>
      </c>
      <c r="U16" s="2">
        <v>0.89773700000000001</v>
      </c>
      <c r="V16" s="2">
        <v>15</v>
      </c>
      <c r="W16" s="2">
        <v>2011</v>
      </c>
    </row>
    <row r="17" spans="1:23" ht="15.75" customHeight="1" x14ac:dyDescent="0.4">
      <c r="A17" s="2" t="s">
        <v>23</v>
      </c>
      <c r="B17" s="2">
        <v>3</v>
      </c>
      <c r="C17" s="3" t="s">
        <v>33</v>
      </c>
      <c r="D17" s="2"/>
      <c r="E17" s="2"/>
      <c r="F17" s="2"/>
      <c r="G17" s="2"/>
      <c r="H17" s="2"/>
      <c r="I17" s="2">
        <v>66.376800000000003</v>
      </c>
      <c r="J17" s="2">
        <v>191</v>
      </c>
      <c r="K17" s="2">
        <v>66.644199999999998</v>
      </c>
      <c r="L17" s="2">
        <v>173</v>
      </c>
      <c r="M17" s="2">
        <v>109.9216</v>
      </c>
      <c r="N17" s="2">
        <v>34</v>
      </c>
      <c r="O17" s="2">
        <v>111.56270000000001</v>
      </c>
      <c r="P17" s="2">
        <v>29</v>
      </c>
      <c r="Q17" s="2">
        <v>94.682500000000005</v>
      </c>
      <c r="R17" s="2">
        <v>32</v>
      </c>
      <c r="S17" s="2">
        <v>92.5685</v>
      </c>
      <c r="T17" s="2">
        <v>20</v>
      </c>
      <c r="U17" s="2">
        <v>0.89532599999999996</v>
      </c>
      <c r="V17" s="2">
        <v>16</v>
      </c>
      <c r="W17" s="2">
        <v>2011</v>
      </c>
    </row>
    <row r="18" spans="1:23" ht="15.75" customHeight="1" x14ac:dyDescent="0.4">
      <c r="A18" s="2" t="s">
        <v>37</v>
      </c>
      <c r="B18" s="2">
        <v>2</v>
      </c>
      <c r="C18" s="3" t="s">
        <v>33</v>
      </c>
      <c r="D18" s="3" t="s">
        <v>33</v>
      </c>
      <c r="E18" s="3" t="s">
        <v>33</v>
      </c>
      <c r="F18" s="2"/>
      <c r="G18" s="2"/>
      <c r="H18" s="2"/>
      <c r="I18" s="2">
        <v>63.863799999999998</v>
      </c>
      <c r="J18" s="2">
        <v>295</v>
      </c>
      <c r="K18" s="2">
        <v>63.918700000000001</v>
      </c>
      <c r="L18" s="2">
        <v>297</v>
      </c>
      <c r="M18" s="2">
        <v>109.40479999999999</v>
      </c>
      <c r="N18" s="2">
        <v>43</v>
      </c>
      <c r="O18" s="2">
        <v>113.4598</v>
      </c>
      <c r="P18" s="2">
        <v>18</v>
      </c>
      <c r="Q18" s="2">
        <v>96.625799999999998</v>
      </c>
      <c r="R18" s="2">
        <v>60</v>
      </c>
      <c r="S18" s="2">
        <v>95.228899999999996</v>
      </c>
      <c r="T18" s="2">
        <v>45</v>
      </c>
      <c r="U18" s="2">
        <v>0.88229999999999997</v>
      </c>
      <c r="V18" s="2">
        <v>17</v>
      </c>
      <c r="W18" s="2">
        <v>2011</v>
      </c>
    </row>
    <row r="19" spans="1:23" ht="15.75" customHeight="1" x14ac:dyDescent="0.4">
      <c r="A19" s="2" t="s">
        <v>34</v>
      </c>
      <c r="B19" s="2">
        <v>6</v>
      </c>
      <c r="C19" s="3" t="s">
        <v>33</v>
      </c>
      <c r="D19" s="2"/>
      <c r="E19" s="2"/>
      <c r="F19" s="2"/>
      <c r="G19" s="2"/>
      <c r="H19" s="2"/>
      <c r="I19" s="2">
        <v>63.942</v>
      </c>
      <c r="J19" s="2">
        <v>291</v>
      </c>
      <c r="K19" s="2">
        <v>64.1785</v>
      </c>
      <c r="L19" s="2">
        <v>286</v>
      </c>
      <c r="M19" s="2">
        <v>107.0048</v>
      </c>
      <c r="N19" s="2">
        <v>62</v>
      </c>
      <c r="O19" s="2">
        <v>108.1173</v>
      </c>
      <c r="P19" s="2">
        <v>64</v>
      </c>
      <c r="Q19" s="2">
        <v>92.523200000000003</v>
      </c>
      <c r="R19" s="2">
        <v>14</v>
      </c>
      <c r="S19" s="2">
        <v>90.919799999999995</v>
      </c>
      <c r="T19" s="2">
        <v>10</v>
      </c>
      <c r="U19" s="2">
        <v>0.87998100000000001</v>
      </c>
      <c r="V19" s="2">
        <v>18</v>
      </c>
      <c r="W19" s="2">
        <v>2011</v>
      </c>
    </row>
    <row r="20" spans="1:23" ht="15.75" customHeight="1" x14ac:dyDescent="0.4">
      <c r="A20" s="2" t="s">
        <v>229</v>
      </c>
      <c r="B20" s="2">
        <v>5</v>
      </c>
      <c r="C20" s="3" t="s">
        <v>33</v>
      </c>
      <c r="D20" s="2"/>
      <c r="E20" s="2"/>
      <c r="F20" s="2"/>
      <c r="G20" s="2"/>
      <c r="H20" s="2"/>
      <c r="I20" s="2">
        <v>64.383899999999997</v>
      </c>
      <c r="J20" s="2">
        <v>275</v>
      </c>
      <c r="K20" s="2">
        <v>63.578800000000001</v>
      </c>
      <c r="L20" s="2">
        <v>308</v>
      </c>
      <c r="M20" s="2">
        <v>107.7522</v>
      </c>
      <c r="N20" s="2">
        <v>54</v>
      </c>
      <c r="O20" s="2">
        <v>111.202</v>
      </c>
      <c r="P20" s="2">
        <v>32</v>
      </c>
      <c r="Q20" s="2">
        <v>99.9148</v>
      </c>
      <c r="R20" s="2">
        <v>122</v>
      </c>
      <c r="S20" s="2">
        <v>93.554500000000004</v>
      </c>
      <c r="T20" s="2">
        <v>28</v>
      </c>
      <c r="U20" s="2">
        <v>0.87945200000000001</v>
      </c>
      <c r="V20" s="2">
        <v>19</v>
      </c>
      <c r="W20" s="2">
        <v>2011</v>
      </c>
    </row>
    <row r="21" spans="1:23" ht="15.75" customHeight="1" x14ac:dyDescent="0.4">
      <c r="A21" s="2" t="s">
        <v>131</v>
      </c>
      <c r="B21" s="2">
        <v>7</v>
      </c>
      <c r="C21" s="3" t="s">
        <v>33</v>
      </c>
      <c r="D21" s="2"/>
      <c r="E21" s="2"/>
      <c r="F21" s="2"/>
      <c r="G21" s="2"/>
      <c r="H21" s="2"/>
      <c r="I21" s="2">
        <v>72.541399999999996</v>
      </c>
      <c r="J21" s="2">
        <v>13</v>
      </c>
      <c r="K21" s="2">
        <v>71.681100000000001</v>
      </c>
      <c r="L21" s="2">
        <v>16</v>
      </c>
      <c r="M21" s="2">
        <v>113.95610000000001</v>
      </c>
      <c r="N21" s="2">
        <v>11</v>
      </c>
      <c r="O21" s="2">
        <v>113.1615</v>
      </c>
      <c r="P21" s="2">
        <v>21</v>
      </c>
      <c r="Q21" s="2">
        <v>96.537899999999993</v>
      </c>
      <c r="R21" s="2">
        <v>58</v>
      </c>
      <c r="S21" s="2">
        <v>95.297200000000004</v>
      </c>
      <c r="T21" s="2">
        <v>46</v>
      </c>
      <c r="U21" s="2">
        <v>0.87824000000000002</v>
      </c>
      <c r="V21" s="2">
        <v>20</v>
      </c>
      <c r="W21" s="2">
        <v>2011</v>
      </c>
    </row>
    <row r="22" spans="1:23" ht="15.75" customHeight="1" x14ac:dyDescent="0.4">
      <c r="A22" s="2" t="s">
        <v>244</v>
      </c>
      <c r="B22" s="2">
        <v>13</v>
      </c>
      <c r="C22" s="2"/>
      <c r="D22" s="2"/>
      <c r="E22" s="2"/>
      <c r="F22" s="2"/>
      <c r="G22" s="2"/>
      <c r="H22" s="2"/>
      <c r="I22" s="2">
        <v>69.637600000000006</v>
      </c>
      <c r="J22" s="2">
        <v>45</v>
      </c>
      <c r="K22" s="2">
        <v>69.110900000000001</v>
      </c>
      <c r="L22" s="2">
        <v>56</v>
      </c>
      <c r="M22" s="2">
        <v>114.8511</v>
      </c>
      <c r="N22" s="2">
        <v>9</v>
      </c>
      <c r="O22" s="2">
        <v>109.9871</v>
      </c>
      <c r="P22" s="2">
        <v>39</v>
      </c>
      <c r="Q22" s="2">
        <v>88.135800000000003</v>
      </c>
      <c r="R22" s="2">
        <v>2</v>
      </c>
      <c r="S22" s="2">
        <v>93.127700000000004</v>
      </c>
      <c r="T22" s="2">
        <v>26</v>
      </c>
      <c r="U22" s="2">
        <v>0.87141100000000005</v>
      </c>
      <c r="V22" s="2">
        <v>21</v>
      </c>
      <c r="W22" s="2">
        <v>2011</v>
      </c>
    </row>
    <row r="23" spans="1:23" ht="15.75" customHeight="1" x14ac:dyDescent="0.4">
      <c r="A23" s="2" t="s">
        <v>44</v>
      </c>
      <c r="B23" s="2">
        <v>9</v>
      </c>
      <c r="C23" s="3" t="s">
        <v>33</v>
      </c>
      <c r="D23" s="2"/>
      <c r="E23" s="2"/>
      <c r="F23" s="2"/>
      <c r="G23" s="2"/>
      <c r="H23" s="2"/>
      <c r="I23" s="2">
        <v>66.438000000000002</v>
      </c>
      <c r="J23" s="2">
        <v>185</v>
      </c>
      <c r="K23" s="2">
        <v>66.700199999999995</v>
      </c>
      <c r="L23" s="2">
        <v>168</v>
      </c>
      <c r="M23" s="2">
        <v>106.7756</v>
      </c>
      <c r="N23" s="2">
        <v>65</v>
      </c>
      <c r="O23" s="2">
        <v>109.6508</v>
      </c>
      <c r="P23" s="2">
        <v>46</v>
      </c>
      <c r="Q23" s="2">
        <v>98.081699999999998</v>
      </c>
      <c r="R23" s="2">
        <v>85</v>
      </c>
      <c r="S23" s="2">
        <v>93.108000000000004</v>
      </c>
      <c r="T23" s="2">
        <v>25</v>
      </c>
      <c r="U23" s="2">
        <v>0.86769300000000005</v>
      </c>
      <c r="V23" s="2">
        <v>22</v>
      </c>
      <c r="W23" s="2">
        <v>2011</v>
      </c>
    </row>
    <row r="24" spans="1:23" ht="15.75" customHeight="1" x14ac:dyDescent="0.4">
      <c r="A24" s="2" t="s">
        <v>24</v>
      </c>
      <c r="B24" s="2">
        <v>12</v>
      </c>
      <c r="C24" s="2"/>
      <c r="D24" s="2"/>
      <c r="E24" s="2"/>
      <c r="F24" s="2"/>
      <c r="G24" s="2"/>
      <c r="H24" s="2"/>
      <c r="I24" s="2">
        <v>65.401499999999999</v>
      </c>
      <c r="J24" s="2">
        <v>243</v>
      </c>
      <c r="K24" s="2">
        <v>65.012200000000007</v>
      </c>
      <c r="L24" s="2">
        <v>252</v>
      </c>
      <c r="M24" s="2">
        <v>103.777</v>
      </c>
      <c r="N24" s="2">
        <v>119</v>
      </c>
      <c r="O24" s="2">
        <v>106.7393</v>
      </c>
      <c r="P24" s="2">
        <v>80</v>
      </c>
      <c r="Q24" s="2">
        <v>92.321899999999999</v>
      </c>
      <c r="R24" s="2">
        <v>12</v>
      </c>
      <c r="S24" s="2">
        <v>90.658500000000004</v>
      </c>
      <c r="T24" s="2">
        <v>9</v>
      </c>
      <c r="U24" s="2">
        <v>0.86736199999999997</v>
      </c>
      <c r="V24" s="2">
        <v>23</v>
      </c>
      <c r="W24" s="2">
        <v>2011</v>
      </c>
    </row>
    <row r="25" spans="1:23" ht="15.75" customHeight="1" x14ac:dyDescent="0.4">
      <c r="A25" s="2" t="s">
        <v>109</v>
      </c>
      <c r="B25" s="2">
        <v>8</v>
      </c>
      <c r="C25" s="2"/>
      <c r="D25" s="2"/>
      <c r="E25" s="2"/>
      <c r="F25" s="2"/>
      <c r="G25" s="2"/>
      <c r="H25" s="2"/>
      <c r="I25" s="2">
        <v>67.441500000000005</v>
      </c>
      <c r="J25" s="2">
        <v>142</v>
      </c>
      <c r="K25" s="2">
        <v>67.983099999999993</v>
      </c>
      <c r="L25" s="2">
        <v>101</v>
      </c>
      <c r="M25" s="2">
        <v>106.342</v>
      </c>
      <c r="N25" s="2">
        <v>73</v>
      </c>
      <c r="O25" s="2">
        <v>108.5438</v>
      </c>
      <c r="P25" s="2">
        <v>57</v>
      </c>
      <c r="Q25" s="2">
        <v>92.514300000000006</v>
      </c>
      <c r="R25" s="2">
        <v>13</v>
      </c>
      <c r="S25" s="2">
        <v>92.341899999999995</v>
      </c>
      <c r="T25" s="2">
        <v>18</v>
      </c>
      <c r="U25" s="2">
        <v>0.86518499999999998</v>
      </c>
      <c r="V25" s="2">
        <v>24</v>
      </c>
      <c r="W25" s="2">
        <v>2011</v>
      </c>
    </row>
    <row r="26" spans="1:23" ht="15.75" customHeight="1" x14ac:dyDescent="0.4">
      <c r="A26" s="2" t="s">
        <v>147</v>
      </c>
      <c r="B26" s="2">
        <v>8</v>
      </c>
      <c r="C26" s="3" t="s">
        <v>33</v>
      </c>
      <c r="D26" s="2"/>
      <c r="E26" s="2"/>
      <c r="F26" s="2"/>
      <c r="G26" s="2"/>
      <c r="H26" s="2"/>
      <c r="I26" s="2">
        <v>64.391400000000004</v>
      </c>
      <c r="J26" s="2">
        <v>274</v>
      </c>
      <c r="K26" s="2">
        <v>65.8399</v>
      </c>
      <c r="L26" s="2">
        <v>220</v>
      </c>
      <c r="M26" s="2">
        <v>112.85169999999999</v>
      </c>
      <c r="N26" s="2">
        <v>14</v>
      </c>
      <c r="O26" s="2">
        <v>112.50539999999999</v>
      </c>
      <c r="P26" s="2">
        <v>23</v>
      </c>
      <c r="Q26" s="2">
        <v>94.522800000000004</v>
      </c>
      <c r="R26" s="2">
        <v>30</v>
      </c>
      <c r="S26" s="2">
        <v>95.719200000000001</v>
      </c>
      <c r="T26" s="2">
        <v>53</v>
      </c>
      <c r="U26" s="2">
        <v>0.86508700000000005</v>
      </c>
      <c r="V26" s="2">
        <v>25</v>
      </c>
      <c r="W26" s="2">
        <v>2011</v>
      </c>
    </row>
    <row r="27" spans="1:23" ht="15.75" customHeight="1" x14ac:dyDescent="0.4">
      <c r="A27" s="2" t="s">
        <v>148</v>
      </c>
      <c r="B27" s="2">
        <v>5</v>
      </c>
      <c r="C27" s="3" t="s">
        <v>33</v>
      </c>
      <c r="D27" s="2"/>
      <c r="E27" s="2"/>
      <c r="F27" s="2"/>
      <c r="G27" s="2"/>
      <c r="H27" s="2"/>
      <c r="I27" s="2">
        <v>69.251999999999995</v>
      </c>
      <c r="J27" s="2">
        <v>59</v>
      </c>
      <c r="K27" s="2">
        <v>68.035300000000007</v>
      </c>
      <c r="L27" s="2">
        <v>97</v>
      </c>
      <c r="M27" s="2">
        <v>104.78919999999999</v>
      </c>
      <c r="N27" s="2">
        <v>98</v>
      </c>
      <c r="O27" s="2">
        <v>107.584</v>
      </c>
      <c r="P27" s="2">
        <v>70</v>
      </c>
      <c r="Q27" s="2">
        <v>95.742699999999999</v>
      </c>
      <c r="R27" s="2">
        <v>45</v>
      </c>
      <c r="S27" s="2">
        <v>92.074299999999994</v>
      </c>
      <c r="T27" s="2">
        <v>16</v>
      </c>
      <c r="U27" s="2">
        <v>0.85696099999999997</v>
      </c>
      <c r="V27" s="2">
        <v>26</v>
      </c>
      <c r="W27" s="2">
        <v>2011</v>
      </c>
    </row>
    <row r="28" spans="1:23" ht="15.75" customHeight="1" x14ac:dyDescent="0.4">
      <c r="A28" s="2" t="s">
        <v>62</v>
      </c>
      <c r="B28" s="2">
        <v>6</v>
      </c>
      <c r="C28" s="2"/>
      <c r="D28" s="2"/>
      <c r="E28" s="2"/>
      <c r="F28" s="2"/>
      <c r="G28" s="2"/>
      <c r="H28" s="2"/>
      <c r="I28" s="2">
        <v>65.104100000000003</v>
      </c>
      <c r="J28" s="2">
        <v>249</v>
      </c>
      <c r="K28" s="2">
        <v>64.876599999999996</v>
      </c>
      <c r="L28" s="2">
        <v>255</v>
      </c>
      <c r="M28" s="2">
        <v>107.95269999999999</v>
      </c>
      <c r="N28" s="2">
        <v>52</v>
      </c>
      <c r="O28" s="2">
        <v>111.50409999999999</v>
      </c>
      <c r="P28" s="2">
        <v>31</v>
      </c>
      <c r="Q28" s="2">
        <v>101.0925</v>
      </c>
      <c r="R28" s="2">
        <v>160</v>
      </c>
      <c r="S28" s="2">
        <v>95.549899999999994</v>
      </c>
      <c r="T28" s="2">
        <v>49</v>
      </c>
      <c r="U28" s="2">
        <v>0.85516999999999999</v>
      </c>
      <c r="V28" s="2">
        <v>27</v>
      </c>
      <c r="W28" s="2">
        <v>2011</v>
      </c>
    </row>
    <row r="29" spans="1:23" ht="12.3" x14ac:dyDescent="0.4">
      <c r="A29" s="2" t="s">
        <v>88</v>
      </c>
      <c r="B29" s="2">
        <v>7</v>
      </c>
      <c r="C29" s="3" t="s">
        <v>33</v>
      </c>
      <c r="D29" s="2"/>
      <c r="E29" s="2"/>
      <c r="F29" s="2"/>
      <c r="G29" s="2"/>
      <c r="H29" s="2"/>
      <c r="I29" s="2">
        <v>66.045699999999997</v>
      </c>
      <c r="J29" s="2">
        <v>205</v>
      </c>
      <c r="K29" s="2">
        <v>65.311800000000005</v>
      </c>
      <c r="L29" s="2">
        <v>243</v>
      </c>
      <c r="M29" s="2">
        <v>107.21040000000001</v>
      </c>
      <c r="N29" s="2">
        <v>58</v>
      </c>
      <c r="O29" s="2">
        <v>108.4174</v>
      </c>
      <c r="P29" s="2">
        <v>60</v>
      </c>
      <c r="Q29" s="2">
        <v>93.617999999999995</v>
      </c>
      <c r="R29" s="2">
        <v>24</v>
      </c>
      <c r="S29" s="2">
        <v>93.088999999999999</v>
      </c>
      <c r="T29" s="2">
        <v>23</v>
      </c>
      <c r="U29" s="2">
        <v>0.85232799999999997</v>
      </c>
      <c r="V29" s="2">
        <v>28</v>
      </c>
      <c r="W29" s="2">
        <v>2011</v>
      </c>
    </row>
    <row r="30" spans="1:23" ht="12.3" x14ac:dyDescent="0.4">
      <c r="A30" s="2" t="s">
        <v>39</v>
      </c>
      <c r="B30" s="2">
        <v>11</v>
      </c>
      <c r="C30" s="3" t="s">
        <v>33</v>
      </c>
      <c r="D30" s="3" t="s">
        <v>33</v>
      </c>
      <c r="E30" s="2"/>
      <c r="F30" s="2"/>
      <c r="G30" s="2"/>
      <c r="H30" s="2"/>
      <c r="I30" s="2">
        <v>68.589799999999997</v>
      </c>
      <c r="J30" s="2">
        <v>83</v>
      </c>
      <c r="K30" s="2">
        <v>67.697999999999993</v>
      </c>
      <c r="L30" s="2">
        <v>114</v>
      </c>
      <c r="M30" s="2">
        <v>110.6293</v>
      </c>
      <c r="N30" s="2">
        <v>27</v>
      </c>
      <c r="O30" s="2">
        <v>113.99460000000001</v>
      </c>
      <c r="P30" s="2">
        <v>16</v>
      </c>
      <c r="Q30" s="2">
        <v>101.23779999999999</v>
      </c>
      <c r="R30" s="2">
        <v>166</v>
      </c>
      <c r="S30" s="2">
        <v>97.985799999999998</v>
      </c>
      <c r="T30" s="2">
        <v>86</v>
      </c>
      <c r="U30" s="2">
        <v>0.85072099999999995</v>
      </c>
      <c r="V30" s="2">
        <v>29</v>
      </c>
      <c r="W30" s="2">
        <v>2011</v>
      </c>
    </row>
    <row r="31" spans="1:23" ht="12.3" x14ac:dyDescent="0.4">
      <c r="A31" s="2" t="s">
        <v>43</v>
      </c>
      <c r="B31" s="2">
        <v>5</v>
      </c>
      <c r="C31" s="3" t="s">
        <v>33</v>
      </c>
      <c r="D31" s="3" t="s">
        <v>33</v>
      </c>
      <c r="E31" s="3" t="s">
        <v>33</v>
      </c>
      <c r="F31" s="2"/>
      <c r="G31" s="2"/>
      <c r="H31" s="2"/>
      <c r="I31" s="2">
        <v>67.051299999999998</v>
      </c>
      <c r="J31" s="2">
        <v>169</v>
      </c>
      <c r="K31" s="2">
        <v>66.236900000000006</v>
      </c>
      <c r="L31" s="2">
        <v>194</v>
      </c>
      <c r="M31" s="2">
        <v>112.6932</v>
      </c>
      <c r="N31" s="2">
        <v>16</v>
      </c>
      <c r="O31" s="2">
        <v>114.0809</v>
      </c>
      <c r="P31" s="2">
        <v>15</v>
      </c>
      <c r="Q31" s="2">
        <v>98.897099999999995</v>
      </c>
      <c r="R31" s="2">
        <v>102</v>
      </c>
      <c r="S31" s="2">
        <v>98.095399999999998</v>
      </c>
      <c r="T31" s="2">
        <v>89</v>
      </c>
      <c r="U31" s="2">
        <v>0.85019500000000003</v>
      </c>
      <c r="V31" s="2">
        <v>30</v>
      </c>
      <c r="W31" s="2">
        <v>2011</v>
      </c>
    </row>
    <row r="32" spans="1:23" ht="12.3" x14ac:dyDescent="0.4">
      <c r="A32" s="2" t="s">
        <v>102</v>
      </c>
      <c r="B32" s="2">
        <v>6</v>
      </c>
      <c r="C32" s="2"/>
      <c r="D32" s="2"/>
      <c r="E32" s="2"/>
      <c r="F32" s="2"/>
      <c r="G32" s="2"/>
      <c r="H32" s="2"/>
      <c r="I32" s="2">
        <v>66.396699999999996</v>
      </c>
      <c r="J32" s="2">
        <v>190</v>
      </c>
      <c r="K32" s="2">
        <v>67.192700000000002</v>
      </c>
      <c r="L32" s="2">
        <v>143</v>
      </c>
      <c r="M32" s="2">
        <v>105.087</v>
      </c>
      <c r="N32" s="2">
        <v>92</v>
      </c>
      <c r="O32" s="2">
        <v>109.46299999999999</v>
      </c>
      <c r="P32" s="2">
        <v>48</v>
      </c>
      <c r="Q32" s="2">
        <v>99.456900000000005</v>
      </c>
      <c r="R32" s="2">
        <v>110</v>
      </c>
      <c r="S32" s="2">
        <v>94.1892</v>
      </c>
      <c r="T32" s="2">
        <v>35</v>
      </c>
      <c r="U32" s="2">
        <v>0.84918499999999997</v>
      </c>
      <c r="V32" s="2">
        <v>31</v>
      </c>
      <c r="W32" s="2">
        <v>2011</v>
      </c>
    </row>
    <row r="33" spans="1:23" ht="12.3" x14ac:dyDescent="0.4">
      <c r="A33" s="2" t="s">
        <v>50</v>
      </c>
      <c r="B33" s="2">
        <v>6</v>
      </c>
      <c r="C33" s="2"/>
      <c r="D33" s="2"/>
      <c r="E33" s="2"/>
      <c r="F33" s="2"/>
      <c r="G33" s="2"/>
      <c r="H33" s="2"/>
      <c r="I33" s="2">
        <v>65.404899999999998</v>
      </c>
      <c r="J33" s="2">
        <v>242</v>
      </c>
      <c r="K33" s="2">
        <v>66.111800000000002</v>
      </c>
      <c r="L33" s="2">
        <v>204</v>
      </c>
      <c r="M33" s="2">
        <v>109.2818</v>
      </c>
      <c r="N33" s="2">
        <v>44</v>
      </c>
      <c r="O33" s="2">
        <v>111.5789</v>
      </c>
      <c r="P33" s="2">
        <v>28</v>
      </c>
      <c r="Q33" s="2">
        <v>97.208500000000001</v>
      </c>
      <c r="R33" s="2">
        <v>72</v>
      </c>
      <c r="S33" s="2">
        <v>96.127099999999999</v>
      </c>
      <c r="T33" s="2">
        <v>56</v>
      </c>
      <c r="U33" s="2">
        <v>0.84738000000000002</v>
      </c>
      <c r="V33" s="2">
        <v>32</v>
      </c>
      <c r="W33" s="2">
        <v>2011</v>
      </c>
    </row>
    <row r="34" spans="1:23" ht="12.3" x14ac:dyDescent="0.4">
      <c r="A34" s="2" t="s">
        <v>78</v>
      </c>
      <c r="B34" s="2">
        <v>9</v>
      </c>
      <c r="C34" s="2"/>
      <c r="D34" s="2"/>
      <c r="E34" s="2"/>
      <c r="F34" s="2"/>
      <c r="G34" s="2"/>
      <c r="H34" s="2"/>
      <c r="I34" s="2">
        <v>66.211200000000005</v>
      </c>
      <c r="J34" s="2">
        <v>199</v>
      </c>
      <c r="K34" s="2">
        <v>66.236199999999997</v>
      </c>
      <c r="L34" s="2">
        <v>195</v>
      </c>
      <c r="M34" s="2">
        <v>109.5659</v>
      </c>
      <c r="N34" s="2">
        <v>40</v>
      </c>
      <c r="O34" s="2">
        <v>113.3295</v>
      </c>
      <c r="P34" s="2">
        <v>20</v>
      </c>
      <c r="Q34" s="2">
        <v>98.962199999999996</v>
      </c>
      <c r="R34" s="2">
        <v>106</v>
      </c>
      <c r="S34" s="2">
        <v>97.819299999999998</v>
      </c>
      <c r="T34" s="2">
        <v>81</v>
      </c>
      <c r="U34" s="2">
        <v>0.84455800000000003</v>
      </c>
      <c r="V34" s="2">
        <v>33</v>
      </c>
      <c r="W34" s="2">
        <v>2011</v>
      </c>
    </row>
    <row r="35" spans="1:23" ht="12.3" x14ac:dyDescent="0.4">
      <c r="A35" s="2" t="s">
        <v>47</v>
      </c>
      <c r="B35" s="2">
        <v>11</v>
      </c>
      <c r="C35" s="3" t="s">
        <v>33</v>
      </c>
      <c r="D35" s="2"/>
      <c r="E35" s="2"/>
      <c r="F35" s="2"/>
      <c r="G35" s="2"/>
      <c r="H35" s="2"/>
      <c r="I35" s="2">
        <v>68.028599999999997</v>
      </c>
      <c r="J35" s="2">
        <v>111</v>
      </c>
      <c r="K35" s="2">
        <v>67.670100000000005</v>
      </c>
      <c r="L35" s="2">
        <v>116</v>
      </c>
      <c r="M35" s="2">
        <v>110.5722</v>
      </c>
      <c r="N35" s="2">
        <v>29</v>
      </c>
      <c r="O35" s="2">
        <v>109.1328</v>
      </c>
      <c r="P35" s="2">
        <v>52</v>
      </c>
      <c r="Q35" s="2">
        <v>95.232200000000006</v>
      </c>
      <c r="R35" s="2">
        <v>39</v>
      </c>
      <c r="S35" s="2">
        <v>94.938999999999993</v>
      </c>
      <c r="T35" s="2">
        <v>41</v>
      </c>
      <c r="U35" s="2">
        <v>0.83233900000000005</v>
      </c>
      <c r="V35" s="2">
        <v>34</v>
      </c>
      <c r="W35" s="2">
        <v>2011</v>
      </c>
    </row>
    <row r="36" spans="1:23" ht="12.3" x14ac:dyDescent="0.4">
      <c r="A36" s="2" t="s">
        <v>100</v>
      </c>
      <c r="B36" s="2">
        <v>12</v>
      </c>
      <c r="C36" s="3" t="s">
        <v>33</v>
      </c>
      <c r="D36" s="3" t="s">
        <v>33</v>
      </c>
      <c r="E36" s="2"/>
      <c r="F36" s="2"/>
      <c r="G36" s="2"/>
      <c r="H36" s="2"/>
      <c r="I36" s="2">
        <v>63.9236</v>
      </c>
      <c r="J36" s="2">
        <v>292</v>
      </c>
      <c r="K36" s="2">
        <v>63.799900000000001</v>
      </c>
      <c r="L36" s="2">
        <v>300</v>
      </c>
      <c r="M36" s="2">
        <v>109.1121</v>
      </c>
      <c r="N36" s="2">
        <v>46</v>
      </c>
      <c r="O36" s="2">
        <v>109.8189</v>
      </c>
      <c r="P36" s="2">
        <v>44</v>
      </c>
      <c r="Q36" s="2">
        <v>94.848200000000006</v>
      </c>
      <c r="R36" s="2">
        <v>34</v>
      </c>
      <c r="S36" s="2">
        <v>95.578800000000001</v>
      </c>
      <c r="T36" s="2">
        <v>50</v>
      </c>
      <c r="U36" s="2">
        <v>0.83161799999999997</v>
      </c>
      <c r="V36" s="2">
        <v>35</v>
      </c>
      <c r="W36" s="2">
        <v>2011</v>
      </c>
    </row>
    <row r="37" spans="1:23" ht="12.3" x14ac:dyDescent="0.4">
      <c r="A37" s="2" t="s">
        <v>73</v>
      </c>
      <c r="B37" s="2">
        <v>11</v>
      </c>
      <c r="C37" s="2"/>
      <c r="D37" s="2"/>
      <c r="E37" s="2"/>
      <c r="F37" s="2"/>
      <c r="G37" s="2"/>
      <c r="H37" s="2"/>
      <c r="I37" s="2">
        <v>72.605800000000002</v>
      </c>
      <c r="J37" s="2">
        <v>12</v>
      </c>
      <c r="K37" s="2">
        <v>72.144599999999997</v>
      </c>
      <c r="L37" s="2">
        <v>13</v>
      </c>
      <c r="M37" s="2">
        <v>109.8463</v>
      </c>
      <c r="N37" s="2">
        <v>35</v>
      </c>
      <c r="O37" s="2">
        <v>111.55840000000001</v>
      </c>
      <c r="P37" s="2">
        <v>30</v>
      </c>
      <c r="Q37" s="2">
        <v>98.125699999999995</v>
      </c>
      <c r="R37" s="2">
        <v>86</v>
      </c>
      <c r="S37" s="2">
        <v>97.093699999999998</v>
      </c>
      <c r="T37" s="2">
        <v>67</v>
      </c>
      <c r="U37" s="2">
        <v>0.83160299999999998</v>
      </c>
      <c r="V37" s="2">
        <v>36</v>
      </c>
      <c r="W37" s="2">
        <v>2011</v>
      </c>
    </row>
    <row r="38" spans="1:23" ht="12.3" x14ac:dyDescent="0.4">
      <c r="A38" s="2" t="s">
        <v>111</v>
      </c>
      <c r="B38" s="2">
        <v>5</v>
      </c>
      <c r="C38" s="2"/>
      <c r="D38" s="2"/>
      <c r="E38" s="2"/>
      <c r="F38" s="2"/>
      <c r="G38" s="2"/>
      <c r="H38" s="2"/>
      <c r="I38" s="2">
        <v>68.009799999999998</v>
      </c>
      <c r="J38" s="2">
        <v>112</v>
      </c>
      <c r="K38" s="2">
        <v>67.729299999999995</v>
      </c>
      <c r="L38" s="2">
        <v>110</v>
      </c>
      <c r="M38" s="2">
        <v>111.0209</v>
      </c>
      <c r="N38" s="2">
        <v>24</v>
      </c>
      <c r="O38" s="2">
        <v>114.09350000000001</v>
      </c>
      <c r="P38" s="2">
        <v>14</v>
      </c>
      <c r="Q38" s="2">
        <v>98.703599999999994</v>
      </c>
      <c r="R38" s="2">
        <v>99</v>
      </c>
      <c r="S38" s="2">
        <v>99.4773</v>
      </c>
      <c r="T38" s="2">
        <v>114</v>
      </c>
      <c r="U38" s="2">
        <v>0.828712</v>
      </c>
      <c r="V38" s="2">
        <v>37</v>
      </c>
      <c r="W38" s="2">
        <v>2011</v>
      </c>
    </row>
    <row r="39" spans="1:23" ht="12.3" x14ac:dyDescent="0.4">
      <c r="A39" s="2" t="s">
        <v>115</v>
      </c>
      <c r="B39" s="2"/>
      <c r="C39" s="2"/>
      <c r="D39" s="2"/>
      <c r="E39" s="2"/>
      <c r="F39" s="2"/>
      <c r="G39" s="2"/>
      <c r="H39" s="2"/>
      <c r="I39" s="2">
        <v>66.546300000000002</v>
      </c>
      <c r="J39" s="2">
        <v>182</v>
      </c>
      <c r="K39" s="2">
        <v>65.885999999999996</v>
      </c>
      <c r="L39" s="2">
        <v>216</v>
      </c>
      <c r="M39" s="2">
        <v>108.7184</v>
      </c>
      <c r="N39" s="2">
        <v>47</v>
      </c>
      <c r="O39" s="2">
        <v>110.66679999999999</v>
      </c>
      <c r="P39" s="2">
        <v>35</v>
      </c>
      <c r="Q39" s="2">
        <v>98.163399999999996</v>
      </c>
      <c r="R39" s="2">
        <v>88</v>
      </c>
      <c r="S39" s="2">
        <v>96.494399999999999</v>
      </c>
      <c r="T39" s="2">
        <v>59</v>
      </c>
      <c r="U39" s="2">
        <v>0.82862999999999998</v>
      </c>
      <c r="V39" s="2">
        <v>38</v>
      </c>
      <c r="W39" s="2">
        <v>2011</v>
      </c>
    </row>
    <row r="40" spans="1:23" ht="12.3" x14ac:dyDescent="0.4">
      <c r="A40" s="2" t="s">
        <v>190</v>
      </c>
      <c r="B40" s="2">
        <v>9</v>
      </c>
      <c r="C40" s="2"/>
      <c r="D40" s="2"/>
      <c r="E40" s="2"/>
      <c r="F40" s="2"/>
      <c r="G40" s="2"/>
      <c r="H40" s="2"/>
      <c r="I40" s="2">
        <v>60.9557</v>
      </c>
      <c r="J40" s="2">
        <v>340</v>
      </c>
      <c r="K40" s="2">
        <v>61.403500000000001</v>
      </c>
      <c r="L40" s="2">
        <v>332</v>
      </c>
      <c r="M40" s="2">
        <v>108.0705</v>
      </c>
      <c r="N40" s="2">
        <v>50</v>
      </c>
      <c r="O40" s="2">
        <v>108.35720000000001</v>
      </c>
      <c r="P40" s="2">
        <v>62</v>
      </c>
      <c r="Q40" s="2">
        <v>95.345200000000006</v>
      </c>
      <c r="R40" s="2">
        <v>40</v>
      </c>
      <c r="S40" s="2">
        <v>94.734800000000007</v>
      </c>
      <c r="T40" s="2">
        <v>39</v>
      </c>
      <c r="U40" s="2">
        <v>0.82419799999999999</v>
      </c>
      <c r="V40" s="2">
        <v>39</v>
      </c>
      <c r="W40" s="2">
        <v>2011</v>
      </c>
    </row>
    <row r="41" spans="1:23" ht="12.3" x14ac:dyDescent="0.4">
      <c r="A41" s="2" t="s">
        <v>248</v>
      </c>
      <c r="B41" s="2">
        <v>7</v>
      </c>
      <c r="C41" s="2"/>
      <c r="D41" s="2"/>
      <c r="E41" s="2"/>
      <c r="F41" s="2"/>
      <c r="G41" s="2"/>
      <c r="H41" s="2"/>
      <c r="I41" s="2">
        <v>63.3643</v>
      </c>
      <c r="J41" s="2">
        <v>306</v>
      </c>
      <c r="K41" s="2">
        <v>62.4497</v>
      </c>
      <c r="L41" s="2">
        <v>325</v>
      </c>
      <c r="M41" s="2">
        <v>106.31570000000001</v>
      </c>
      <c r="N41" s="2">
        <v>74</v>
      </c>
      <c r="O41" s="2">
        <v>107.6803</v>
      </c>
      <c r="P41" s="2">
        <v>66</v>
      </c>
      <c r="Q41" s="2">
        <v>96.104900000000001</v>
      </c>
      <c r="R41" s="2">
        <v>50</v>
      </c>
      <c r="S41" s="2">
        <v>94.159300000000002</v>
      </c>
      <c r="T41" s="2">
        <v>34</v>
      </c>
      <c r="U41" s="2">
        <v>0.823909</v>
      </c>
      <c r="V41" s="2">
        <v>40</v>
      </c>
      <c r="W41" s="2">
        <v>2011</v>
      </c>
    </row>
    <row r="42" spans="1:23" ht="12.3" x14ac:dyDescent="0.4">
      <c r="A42" s="2" t="s">
        <v>159</v>
      </c>
      <c r="B42" s="2"/>
      <c r="C42" s="2"/>
      <c r="D42" s="2"/>
      <c r="E42" s="2"/>
      <c r="F42" s="2"/>
      <c r="G42" s="2"/>
      <c r="H42" s="2"/>
      <c r="I42" s="2">
        <v>66.004199999999997</v>
      </c>
      <c r="J42" s="2">
        <v>210</v>
      </c>
      <c r="K42" s="2">
        <v>65.085599999999999</v>
      </c>
      <c r="L42" s="2">
        <v>249</v>
      </c>
      <c r="M42" s="2">
        <v>104.7784</v>
      </c>
      <c r="N42" s="2">
        <v>100</v>
      </c>
      <c r="O42" s="2">
        <v>106.3344</v>
      </c>
      <c r="P42" s="2">
        <v>86</v>
      </c>
      <c r="Q42" s="2">
        <v>94.264499999999998</v>
      </c>
      <c r="R42" s="2">
        <v>27</v>
      </c>
      <c r="S42" s="2">
        <v>93.103399999999993</v>
      </c>
      <c r="T42" s="2">
        <v>24</v>
      </c>
      <c r="U42" s="2">
        <v>0.82172800000000001</v>
      </c>
      <c r="V42" s="2">
        <v>41</v>
      </c>
      <c r="W42" s="2">
        <v>2011</v>
      </c>
    </row>
    <row r="43" spans="1:23" ht="12.3" x14ac:dyDescent="0.4">
      <c r="A43" s="2" t="s">
        <v>20</v>
      </c>
      <c r="B43" s="2">
        <v>10</v>
      </c>
      <c r="C43" s="3" t="s">
        <v>33</v>
      </c>
      <c r="D43" s="3" t="s">
        <v>33</v>
      </c>
      <c r="E43" s="2"/>
      <c r="F43" s="2"/>
      <c r="G43" s="2"/>
      <c r="H43" s="2"/>
      <c r="I43" s="2">
        <v>69.8065</v>
      </c>
      <c r="J43" s="2">
        <v>43</v>
      </c>
      <c r="K43" s="2">
        <v>69.047399999999996</v>
      </c>
      <c r="L43" s="2">
        <v>57</v>
      </c>
      <c r="M43" s="2">
        <v>98.826800000000006</v>
      </c>
      <c r="N43" s="2">
        <v>229</v>
      </c>
      <c r="O43" s="2">
        <v>100.986</v>
      </c>
      <c r="P43" s="2">
        <v>183</v>
      </c>
      <c r="Q43" s="2">
        <v>89.5274</v>
      </c>
      <c r="R43" s="2">
        <v>3</v>
      </c>
      <c r="S43" s="2">
        <v>88.593199999999996</v>
      </c>
      <c r="T43" s="2">
        <v>2</v>
      </c>
      <c r="U43" s="2">
        <v>0.81841600000000003</v>
      </c>
      <c r="V43" s="2">
        <v>42</v>
      </c>
      <c r="W43" s="2">
        <v>2011</v>
      </c>
    </row>
    <row r="44" spans="1:23" ht="12.3" x14ac:dyDescent="0.4">
      <c r="A44" s="2" t="s">
        <v>154</v>
      </c>
      <c r="B44" s="2">
        <v>8</v>
      </c>
      <c r="C44" s="3" t="s">
        <v>33</v>
      </c>
      <c r="D44" s="2"/>
      <c r="E44" s="2"/>
      <c r="F44" s="2"/>
      <c r="G44" s="2"/>
      <c r="H44" s="2"/>
      <c r="I44" s="2">
        <v>61.804299999999998</v>
      </c>
      <c r="J44" s="2">
        <v>332</v>
      </c>
      <c r="K44" s="2">
        <v>62.807299999999998</v>
      </c>
      <c r="L44" s="2">
        <v>323</v>
      </c>
      <c r="M44" s="2">
        <v>105.3073</v>
      </c>
      <c r="N44" s="2">
        <v>88</v>
      </c>
      <c r="O44" s="2">
        <v>109.05589999999999</v>
      </c>
      <c r="P44" s="2">
        <v>55</v>
      </c>
      <c r="Q44" s="2">
        <v>100.8622</v>
      </c>
      <c r="R44" s="2">
        <v>153</v>
      </c>
      <c r="S44" s="2">
        <v>95.739900000000006</v>
      </c>
      <c r="T44" s="2">
        <v>54</v>
      </c>
      <c r="U44" s="2">
        <v>0.81721600000000005</v>
      </c>
      <c r="V44" s="2">
        <v>43</v>
      </c>
      <c r="W44" s="2">
        <v>2011</v>
      </c>
    </row>
    <row r="45" spans="1:23" ht="12.3" x14ac:dyDescent="0.4">
      <c r="A45" s="2" t="s">
        <v>230</v>
      </c>
      <c r="B45" s="2">
        <v>10</v>
      </c>
      <c r="C45" s="2"/>
      <c r="D45" s="2"/>
      <c r="E45" s="2"/>
      <c r="F45" s="2"/>
      <c r="G45" s="2"/>
      <c r="H45" s="2"/>
      <c r="I45" s="2">
        <v>59.965200000000003</v>
      </c>
      <c r="J45" s="2">
        <v>342</v>
      </c>
      <c r="K45" s="2">
        <v>60.504199999999997</v>
      </c>
      <c r="L45" s="2">
        <v>341</v>
      </c>
      <c r="M45" s="2">
        <v>105.4044</v>
      </c>
      <c r="N45" s="2">
        <v>84</v>
      </c>
      <c r="O45" s="2">
        <v>109.8158</v>
      </c>
      <c r="P45" s="2">
        <v>45</v>
      </c>
      <c r="Q45" s="2">
        <v>104.1575</v>
      </c>
      <c r="R45" s="2">
        <v>241</v>
      </c>
      <c r="S45" s="2">
        <v>96.790599999999998</v>
      </c>
      <c r="T45" s="2">
        <v>64</v>
      </c>
      <c r="U45" s="2">
        <v>0.81029600000000002</v>
      </c>
      <c r="V45" s="2">
        <v>44</v>
      </c>
      <c r="W45" s="2">
        <v>2011</v>
      </c>
    </row>
    <row r="46" spans="1:23" ht="12.3" x14ac:dyDescent="0.4">
      <c r="A46" s="2" t="s">
        <v>18</v>
      </c>
      <c r="B46" s="2">
        <v>8</v>
      </c>
      <c r="C46" s="3" t="s">
        <v>33</v>
      </c>
      <c r="D46" s="3" t="s">
        <v>33</v>
      </c>
      <c r="E46" s="3" t="s">
        <v>33</v>
      </c>
      <c r="F46" s="3" t="s">
        <v>33</v>
      </c>
      <c r="G46" s="3" t="s">
        <v>33</v>
      </c>
      <c r="H46" s="2"/>
      <c r="I46" s="2">
        <v>65.457700000000003</v>
      </c>
      <c r="J46" s="2">
        <v>236</v>
      </c>
      <c r="K46" s="2">
        <v>64.418700000000001</v>
      </c>
      <c r="L46" s="2">
        <v>276</v>
      </c>
      <c r="M46" s="2">
        <v>109.5098</v>
      </c>
      <c r="N46" s="2">
        <v>41</v>
      </c>
      <c r="O46" s="2">
        <v>110.4816</v>
      </c>
      <c r="P46" s="2">
        <v>37</v>
      </c>
      <c r="Q46" s="2">
        <v>98.036799999999999</v>
      </c>
      <c r="R46" s="2">
        <v>84</v>
      </c>
      <c r="S46" s="2">
        <v>97.494900000000001</v>
      </c>
      <c r="T46" s="2">
        <v>77</v>
      </c>
      <c r="U46" s="2">
        <v>0.80815400000000004</v>
      </c>
      <c r="V46" s="2">
        <v>45</v>
      </c>
      <c r="W46" s="2">
        <v>2011</v>
      </c>
    </row>
    <row r="47" spans="1:23" ht="12.3" x14ac:dyDescent="0.4">
      <c r="A47" s="2" t="s">
        <v>58</v>
      </c>
      <c r="B47" s="2">
        <v>10</v>
      </c>
      <c r="C47" s="2"/>
      <c r="D47" s="2"/>
      <c r="E47" s="2"/>
      <c r="F47" s="2"/>
      <c r="G47" s="2"/>
      <c r="H47" s="2"/>
      <c r="I47" s="2">
        <v>65.704800000000006</v>
      </c>
      <c r="J47" s="2">
        <v>226</v>
      </c>
      <c r="K47" s="2">
        <v>65.833399999999997</v>
      </c>
      <c r="L47" s="2">
        <v>221</v>
      </c>
      <c r="M47" s="2">
        <v>102.3626</v>
      </c>
      <c r="N47" s="2">
        <v>154</v>
      </c>
      <c r="O47" s="2">
        <v>106.45869999999999</v>
      </c>
      <c r="P47" s="2">
        <v>84</v>
      </c>
      <c r="Q47" s="2">
        <v>100.0946</v>
      </c>
      <c r="R47" s="2">
        <v>131</v>
      </c>
      <c r="S47" s="2">
        <v>94.0441</v>
      </c>
      <c r="T47" s="2">
        <v>32</v>
      </c>
      <c r="U47" s="2">
        <v>0.80626600000000004</v>
      </c>
      <c r="V47" s="2">
        <v>46</v>
      </c>
      <c r="W47" s="2">
        <v>2011</v>
      </c>
    </row>
    <row r="48" spans="1:23" ht="12.3" x14ac:dyDescent="0.4">
      <c r="A48" s="2" t="s">
        <v>129</v>
      </c>
      <c r="B48" s="2"/>
      <c r="C48" s="2"/>
      <c r="D48" s="2"/>
      <c r="E48" s="2"/>
      <c r="F48" s="2"/>
      <c r="G48" s="2"/>
      <c r="H48" s="2"/>
      <c r="I48" s="2">
        <v>69.481800000000007</v>
      </c>
      <c r="J48" s="2">
        <v>51</v>
      </c>
      <c r="K48" s="2">
        <v>68.2881</v>
      </c>
      <c r="L48" s="2">
        <v>83</v>
      </c>
      <c r="M48" s="2">
        <v>112.7513</v>
      </c>
      <c r="N48" s="2">
        <v>15</v>
      </c>
      <c r="O48" s="2">
        <v>115.2333</v>
      </c>
      <c r="P48" s="2">
        <v>11</v>
      </c>
      <c r="Q48" s="2">
        <v>105.0448</v>
      </c>
      <c r="R48" s="2">
        <v>259</v>
      </c>
      <c r="S48" s="2">
        <v>101.8797</v>
      </c>
      <c r="T48" s="2">
        <v>171</v>
      </c>
      <c r="U48" s="2">
        <v>0.80477399999999999</v>
      </c>
      <c r="V48" s="2">
        <v>47</v>
      </c>
      <c r="W48" s="2">
        <v>2011</v>
      </c>
    </row>
    <row r="49" spans="1:23" ht="12.3" x14ac:dyDescent="0.4">
      <c r="A49" s="2" t="s">
        <v>42</v>
      </c>
      <c r="B49" s="2">
        <v>11</v>
      </c>
      <c r="C49" s="2"/>
      <c r="D49" s="2"/>
      <c r="E49" s="2"/>
      <c r="F49" s="2"/>
      <c r="G49" s="2"/>
      <c r="H49" s="2"/>
      <c r="I49" s="2">
        <v>64.581400000000002</v>
      </c>
      <c r="J49" s="2">
        <v>266</v>
      </c>
      <c r="K49" s="2">
        <v>63.322200000000002</v>
      </c>
      <c r="L49" s="2">
        <v>313</v>
      </c>
      <c r="M49" s="2">
        <v>103.0684</v>
      </c>
      <c r="N49" s="2">
        <v>133</v>
      </c>
      <c r="O49" s="2">
        <v>106.3344</v>
      </c>
      <c r="P49" s="2">
        <v>87</v>
      </c>
      <c r="Q49" s="2">
        <v>97.023200000000003</v>
      </c>
      <c r="R49" s="2">
        <v>67</v>
      </c>
      <c r="S49" s="2">
        <v>94.121099999999998</v>
      </c>
      <c r="T49" s="2">
        <v>33</v>
      </c>
      <c r="U49" s="2">
        <v>0.80267200000000005</v>
      </c>
      <c r="V49" s="2">
        <v>48</v>
      </c>
      <c r="W49" s="2">
        <v>2011</v>
      </c>
    </row>
    <row r="50" spans="1:23" ht="12.3" x14ac:dyDescent="0.4">
      <c r="A50" s="2" t="s">
        <v>262</v>
      </c>
      <c r="B50" s="2"/>
      <c r="C50" s="2"/>
      <c r="D50" s="2"/>
      <c r="E50" s="2"/>
      <c r="F50" s="2"/>
      <c r="G50" s="2"/>
      <c r="H50" s="2"/>
      <c r="I50" s="2">
        <v>66.703000000000003</v>
      </c>
      <c r="J50" s="2">
        <v>176</v>
      </c>
      <c r="K50" s="2">
        <v>66.169399999999996</v>
      </c>
      <c r="L50" s="2">
        <v>200</v>
      </c>
      <c r="M50" s="2">
        <v>116.8747</v>
      </c>
      <c r="N50" s="2">
        <v>5</v>
      </c>
      <c r="O50" s="2">
        <v>115.321</v>
      </c>
      <c r="P50" s="2">
        <v>10</v>
      </c>
      <c r="Q50" s="2">
        <v>100.02209999999999</v>
      </c>
      <c r="R50" s="2">
        <v>126</v>
      </c>
      <c r="S50" s="2">
        <v>102.3013</v>
      </c>
      <c r="T50" s="2">
        <v>185</v>
      </c>
      <c r="U50" s="2">
        <v>0.79861599999999999</v>
      </c>
      <c r="V50" s="2">
        <v>49</v>
      </c>
      <c r="W50" s="2">
        <v>2011</v>
      </c>
    </row>
    <row r="51" spans="1:23" ht="12.3" x14ac:dyDescent="0.4">
      <c r="A51" s="2" t="s">
        <v>119</v>
      </c>
      <c r="B51" s="2"/>
      <c r="C51" s="2"/>
      <c r="D51" s="2"/>
      <c r="E51" s="2"/>
      <c r="F51" s="2"/>
      <c r="G51" s="2"/>
      <c r="H51" s="2"/>
      <c r="I51" s="2">
        <v>68.725200000000001</v>
      </c>
      <c r="J51" s="2">
        <v>78</v>
      </c>
      <c r="K51" s="2">
        <v>69.043000000000006</v>
      </c>
      <c r="L51" s="2">
        <v>58</v>
      </c>
      <c r="M51" s="2">
        <v>96.940700000000007</v>
      </c>
      <c r="N51" s="2">
        <v>264</v>
      </c>
      <c r="O51" s="2">
        <v>102.36579999999999</v>
      </c>
      <c r="P51" s="2">
        <v>150</v>
      </c>
      <c r="Q51" s="2">
        <v>95.120699999999999</v>
      </c>
      <c r="R51" s="2">
        <v>38</v>
      </c>
      <c r="S51" s="2">
        <v>90.959800000000001</v>
      </c>
      <c r="T51" s="2">
        <v>11</v>
      </c>
      <c r="U51" s="2">
        <v>0.79552299999999998</v>
      </c>
      <c r="V51" s="2">
        <v>50</v>
      </c>
      <c r="W51" s="2">
        <v>2011</v>
      </c>
    </row>
    <row r="52" spans="1:23" ht="12.3" x14ac:dyDescent="0.4">
      <c r="A52" s="2" t="s">
        <v>49</v>
      </c>
      <c r="B52" s="2"/>
      <c r="C52" s="2"/>
      <c r="D52" s="2"/>
      <c r="E52" s="2"/>
      <c r="F52" s="2"/>
      <c r="G52" s="2"/>
      <c r="H52" s="2"/>
      <c r="I52" s="2">
        <v>65.486000000000004</v>
      </c>
      <c r="J52" s="2">
        <v>234</v>
      </c>
      <c r="K52" s="2">
        <v>64.677800000000005</v>
      </c>
      <c r="L52" s="2">
        <v>264</v>
      </c>
      <c r="M52" s="2">
        <v>100.96</v>
      </c>
      <c r="N52" s="2">
        <v>189</v>
      </c>
      <c r="O52" s="2">
        <v>102.4183</v>
      </c>
      <c r="P52" s="2">
        <v>149</v>
      </c>
      <c r="Q52" s="2">
        <v>90.256900000000002</v>
      </c>
      <c r="R52" s="2">
        <v>6</v>
      </c>
      <c r="S52" s="2">
        <v>91.223600000000005</v>
      </c>
      <c r="T52" s="2">
        <v>12</v>
      </c>
      <c r="U52" s="2">
        <v>0.79103000000000001</v>
      </c>
      <c r="V52" s="2">
        <v>51</v>
      </c>
      <c r="W52" s="2">
        <v>2011</v>
      </c>
    </row>
    <row r="53" spans="1:23" ht="12.3" x14ac:dyDescent="0.4">
      <c r="A53" s="2" t="s">
        <v>136</v>
      </c>
      <c r="B53" s="2"/>
      <c r="C53" s="2"/>
      <c r="D53" s="2"/>
      <c r="E53" s="2"/>
      <c r="F53" s="2"/>
      <c r="G53" s="2"/>
      <c r="H53" s="2"/>
      <c r="I53" s="2">
        <v>65.082800000000006</v>
      </c>
      <c r="J53" s="2">
        <v>250</v>
      </c>
      <c r="K53" s="2">
        <v>63.661700000000003</v>
      </c>
      <c r="L53" s="2">
        <v>304</v>
      </c>
      <c r="M53" s="2">
        <v>102.64019999999999</v>
      </c>
      <c r="N53" s="2">
        <v>148</v>
      </c>
      <c r="O53" s="2">
        <v>103.7345</v>
      </c>
      <c r="P53" s="2">
        <v>119</v>
      </c>
      <c r="Q53" s="2">
        <v>91.932100000000005</v>
      </c>
      <c r="R53" s="2">
        <v>11</v>
      </c>
      <c r="S53" s="2">
        <v>92.422799999999995</v>
      </c>
      <c r="T53" s="2">
        <v>19</v>
      </c>
      <c r="U53" s="2">
        <v>0.79047599999999996</v>
      </c>
      <c r="V53" s="2">
        <v>52</v>
      </c>
      <c r="W53" s="2">
        <v>2011</v>
      </c>
    </row>
    <row r="54" spans="1:23" ht="12.3" x14ac:dyDescent="0.4">
      <c r="A54" s="2" t="s">
        <v>65</v>
      </c>
      <c r="B54" s="2">
        <v>7</v>
      </c>
      <c r="C54" s="3" t="s">
        <v>33</v>
      </c>
      <c r="D54" s="2"/>
      <c r="E54" s="2"/>
      <c r="F54" s="2"/>
      <c r="G54" s="2"/>
      <c r="H54" s="2"/>
      <c r="I54" s="2">
        <v>67.2393</v>
      </c>
      <c r="J54" s="2">
        <v>155</v>
      </c>
      <c r="K54" s="2">
        <v>66.218800000000002</v>
      </c>
      <c r="L54" s="2">
        <v>196</v>
      </c>
      <c r="M54" s="2">
        <v>103.5282</v>
      </c>
      <c r="N54" s="2">
        <v>124</v>
      </c>
      <c r="O54" s="2">
        <v>105.187</v>
      </c>
      <c r="P54" s="2">
        <v>97</v>
      </c>
      <c r="Q54" s="2">
        <v>96.861500000000007</v>
      </c>
      <c r="R54" s="2">
        <v>64</v>
      </c>
      <c r="S54" s="2">
        <v>93.778700000000001</v>
      </c>
      <c r="T54" s="2">
        <v>29</v>
      </c>
      <c r="U54" s="2">
        <v>0.78922000000000003</v>
      </c>
      <c r="V54" s="2">
        <v>53</v>
      </c>
      <c r="W54" s="2">
        <v>2011</v>
      </c>
    </row>
    <row r="55" spans="1:23" ht="12.3" x14ac:dyDescent="0.4">
      <c r="A55" s="2" t="s">
        <v>128</v>
      </c>
      <c r="B55" s="2">
        <v>12</v>
      </c>
      <c r="C55" s="2"/>
      <c r="D55" s="2"/>
      <c r="E55" s="2"/>
      <c r="F55" s="2"/>
      <c r="G55" s="2"/>
      <c r="H55" s="2"/>
      <c r="I55" s="2">
        <v>63.0989</v>
      </c>
      <c r="J55" s="2">
        <v>312</v>
      </c>
      <c r="K55" s="2">
        <v>62.937199999999997</v>
      </c>
      <c r="L55" s="2">
        <v>318</v>
      </c>
      <c r="M55" s="2">
        <v>106.8412</v>
      </c>
      <c r="N55" s="2">
        <v>63</v>
      </c>
      <c r="O55" s="2">
        <v>107.0116</v>
      </c>
      <c r="P55" s="2">
        <v>76</v>
      </c>
      <c r="Q55" s="2">
        <v>96.061599999999999</v>
      </c>
      <c r="R55" s="2">
        <v>49</v>
      </c>
      <c r="S55" s="2">
        <v>95.424999999999997</v>
      </c>
      <c r="T55" s="2">
        <v>47</v>
      </c>
      <c r="U55" s="2">
        <v>0.78882600000000003</v>
      </c>
      <c r="V55" s="2">
        <v>54</v>
      </c>
      <c r="W55" s="2">
        <v>2011</v>
      </c>
    </row>
    <row r="56" spans="1:23" ht="12.3" x14ac:dyDescent="0.4">
      <c r="A56" s="2" t="s">
        <v>36</v>
      </c>
      <c r="B56" s="2"/>
      <c r="C56" s="2"/>
      <c r="D56" s="2"/>
      <c r="E56" s="2"/>
      <c r="F56" s="2"/>
      <c r="G56" s="2"/>
      <c r="H56" s="2"/>
      <c r="I56" s="2">
        <v>71.938999999999993</v>
      </c>
      <c r="J56" s="2">
        <v>20</v>
      </c>
      <c r="K56" s="2">
        <v>71.537599999999998</v>
      </c>
      <c r="L56" s="2">
        <v>17</v>
      </c>
      <c r="M56" s="2">
        <v>106.7872</v>
      </c>
      <c r="N56" s="2">
        <v>64</v>
      </c>
      <c r="O56" s="2">
        <v>106.874</v>
      </c>
      <c r="P56" s="2">
        <v>77</v>
      </c>
      <c r="Q56" s="2">
        <v>94.352999999999994</v>
      </c>
      <c r="R56" s="2">
        <v>29</v>
      </c>
      <c r="S56" s="2">
        <v>95.432599999999994</v>
      </c>
      <c r="T56" s="2">
        <v>48</v>
      </c>
      <c r="U56" s="2">
        <v>0.78619799999999995</v>
      </c>
      <c r="V56" s="2">
        <v>55</v>
      </c>
      <c r="W56" s="2">
        <v>2011</v>
      </c>
    </row>
    <row r="57" spans="1:23" ht="12.3" x14ac:dyDescent="0.4">
      <c r="A57" s="2" t="s">
        <v>192</v>
      </c>
      <c r="B57" s="2"/>
      <c r="C57" s="2"/>
      <c r="D57" s="2"/>
      <c r="E57" s="2"/>
      <c r="F57" s="2"/>
      <c r="G57" s="2"/>
      <c r="H57" s="2"/>
      <c r="I57" s="2">
        <v>64.322699999999998</v>
      </c>
      <c r="J57" s="2">
        <v>277</v>
      </c>
      <c r="K57" s="2">
        <v>65.564300000000003</v>
      </c>
      <c r="L57" s="2">
        <v>232</v>
      </c>
      <c r="M57" s="2">
        <v>111.02500000000001</v>
      </c>
      <c r="N57" s="2">
        <v>23</v>
      </c>
      <c r="O57" s="2">
        <v>109.0325</v>
      </c>
      <c r="P57" s="2">
        <v>56</v>
      </c>
      <c r="Q57" s="2">
        <v>95.346199999999996</v>
      </c>
      <c r="R57" s="2">
        <v>41</v>
      </c>
      <c r="S57" s="2">
        <v>97.470100000000002</v>
      </c>
      <c r="T57" s="2">
        <v>75</v>
      </c>
      <c r="U57" s="2">
        <v>0.78400300000000001</v>
      </c>
      <c r="V57" s="2">
        <v>56</v>
      </c>
      <c r="W57" s="2">
        <v>2011</v>
      </c>
    </row>
    <row r="58" spans="1:23" ht="12.3" x14ac:dyDescent="0.4">
      <c r="A58" s="2" t="s">
        <v>81</v>
      </c>
      <c r="B58" s="2">
        <v>9</v>
      </c>
      <c r="C58" s="2"/>
      <c r="D58" s="2"/>
      <c r="E58" s="2"/>
      <c r="F58" s="2"/>
      <c r="G58" s="2"/>
      <c r="H58" s="2"/>
      <c r="I58" s="2">
        <v>67.618200000000002</v>
      </c>
      <c r="J58" s="2">
        <v>133</v>
      </c>
      <c r="K58" s="2">
        <v>67.145300000000006</v>
      </c>
      <c r="L58" s="2">
        <v>146</v>
      </c>
      <c r="M58" s="2">
        <v>103.5544</v>
      </c>
      <c r="N58" s="2">
        <v>123</v>
      </c>
      <c r="O58" s="2">
        <v>105.9635</v>
      </c>
      <c r="P58" s="2">
        <v>89</v>
      </c>
      <c r="Q58" s="2">
        <v>98.867699999999999</v>
      </c>
      <c r="R58" s="2">
        <v>101</v>
      </c>
      <c r="S58" s="2">
        <v>94.754800000000003</v>
      </c>
      <c r="T58" s="2">
        <v>40</v>
      </c>
      <c r="U58" s="2">
        <v>0.78342100000000003</v>
      </c>
      <c r="V58" s="2">
        <v>57</v>
      </c>
      <c r="W58" s="2">
        <v>2011</v>
      </c>
    </row>
    <row r="59" spans="1:23" ht="12.3" x14ac:dyDescent="0.4">
      <c r="A59" s="2" t="s">
        <v>241</v>
      </c>
      <c r="B59" s="2"/>
      <c r="C59" s="2"/>
      <c r="D59" s="2"/>
      <c r="E59" s="2"/>
      <c r="F59" s="2"/>
      <c r="G59" s="2"/>
      <c r="H59" s="2"/>
      <c r="I59" s="2">
        <v>69.500100000000003</v>
      </c>
      <c r="J59" s="2">
        <v>49</v>
      </c>
      <c r="K59" s="2">
        <v>68.922200000000004</v>
      </c>
      <c r="L59" s="2">
        <v>61</v>
      </c>
      <c r="M59" s="2">
        <v>112.26519999999999</v>
      </c>
      <c r="N59" s="2">
        <v>19</v>
      </c>
      <c r="O59" s="2">
        <v>112.3747</v>
      </c>
      <c r="P59" s="2">
        <v>24</v>
      </c>
      <c r="Q59" s="2">
        <v>97.909400000000005</v>
      </c>
      <c r="R59" s="2">
        <v>81</v>
      </c>
      <c r="S59" s="2">
        <v>100.62739999999999</v>
      </c>
      <c r="T59" s="2">
        <v>134</v>
      </c>
      <c r="U59" s="2">
        <v>0.78070200000000001</v>
      </c>
      <c r="V59" s="2">
        <v>58</v>
      </c>
      <c r="W59" s="2">
        <v>2011</v>
      </c>
    </row>
    <row r="60" spans="1:23" ht="12.3" x14ac:dyDescent="0.4">
      <c r="A60" s="2" t="s">
        <v>239</v>
      </c>
      <c r="B60" s="2"/>
      <c r="C60" s="2"/>
      <c r="D60" s="2"/>
      <c r="E60" s="2"/>
      <c r="F60" s="2"/>
      <c r="G60" s="2"/>
      <c r="H60" s="2"/>
      <c r="I60" s="2">
        <v>69.038300000000007</v>
      </c>
      <c r="J60" s="2">
        <v>68</v>
      </c>
      <c r="K60" s="2">
        <v>68.7346</v>
      </c>
      <c r="L60" s="2">
        <v>66</v>
      </c>
      <c r="M60" s="2">
        <v>105.3583</v>
      </c>
      <c r="N60" s="2">
        <v>85</v>
      </c>
      <c r="O60" s="2">
        <v>106.83369999999999</v>
      </c>
      <c r="P60" s="2">
        <v>79</v>
      </c>
      <c r="Q60" s="2">
        <v>96.334699999999998</v>
      </c>
      <c r="R60" s="2">
        <v>53</v>
      </c>
      <c r="S60" s="2">
        <v>95.689400000000006</v>
      </c>
      <c r="T60" s="2">
        <v>52</v>
      </c>
      <c r="U60" s="2">
        <v>0.78021300000000005</v>
      </c>
      <c r="V60" s="2">
        <v>59</v>
      </c>
      <c r="W60" s="2">
        <v>2011</v>
      </c>
    </row>
    <row r="61" spans="1:23" ht="12.3" x14ac:dyDescent="0.4">
      <c r="A61" s="2" t="s">
        <v>165</v>
      </c>
      <c r="B61" s="2">
        <v>13</v>
      </c>
      <c r="C61" s="2"/>
      <c r="D61" s="2"/>
      <c r="E61" s="2"/>
      <c r="F61" s="2"/>
      <c r="G61" s="2"/>
      <c r="H61" s="2"/>
      <c r="I61" s="2">
        <v>72.440100000000001</v>
      </c>
      <c r="J61" s="2">
        <v>14</v>
      </c>
      <c r="K61" s="2">
        <v>72.876999999999995</v>
      </c>
      <c r="L61" s="2">
        <v>7</v>
      </c>
      <c r="M61" s="2">
        <v>117.0802</v>
      </c>
      <c r="N61" s="2">
        <v>4</v>
      </c>
      <c r="O61" s="2">
        <v>115.9563</v>
      </c>
      <c r="P61" s="2">
        <v>9</v>
      </c>
      <c r="Q61" s="2">
        <v>105.2766</v>
      </c>
      <c r="R61" s="2">
        <v>265</v>
      </c>
      <c r="S61" s="2">
        <v>103.94499999999999</v>
      </c>
      <c r="T61" s="2">
        <v>222</v>
      </c>
      <c r="U61" s="2">
        <v>0.77860399999999996</v>
      </c>
      <c r="V61" s="2">
        <v>60</v>
      </c>
      <c r="W61" s="2">
        <v>2011</v>
      </c>
    </row>
    <row r="62" spans="1:23" ht="12.3" x14ac:dyDescent="0.4">
      <c r="A62" s="2" t="s">
        <v>19</v>
      </c>
      <c r="B62" s="2">
        <v>10</v>
      </c>
      <c r="C62" s="2"/>
      <c r="D62" s="2"/>
      <c r="E62" s="2"/>
      <c r="F62" s="2"/>
      <c r="G62" s="2"/>
      <c r="H62" s="2"/>
      <c r="I62" s="2">
        <v>64.839299999999994</v>
      </c>
      <c r="J62" s="2">
        <v>258</v>
      </c>
      <c r="K62" s="2">
        <v>64.736199999999997</v>
      </c>
      <c r="L62" s="2">
        <v>261</v>
      </c>
      <c r="M62" s="2">
        <v>103.8391</v>
      </c>
      <c r="N62" s="2">
        <v>117</v>
      </c>
      <c r="O62" s="2">
        <v>105.91549999999999</v>
      </c>
      <c r="P62" s="2">
        <v>91</v>
      </c>
      <c r="Q62" s="2">
        <v>96.692999999999998</v>
      </c>
      <c r="R62" s="2">
        <v>61</v>
      </c>
      <c r="S62" s="2">
        <v>95.204800000000006</v>
      </c>
      <c r="T62" s="2">
        <v>44</v>
      </c>
      <c r="U62" s="2">
        <v>0.77312400000000003</v>
      </c>
      <c r="V62" s="2">
        <v>61</v>
      </c>
      <c r="W62" s="2">
        <v>2011</v>
      </c>
    </row>
    <row r="63" spans="1:23" ht="12.3" x14ac:dyDescent="0.4">
      <c r="A63" s="2" t="s">
        <v>255</v>
      </c>
      <c r="B63" s="2"/>
      <c r="C63" s="2"/>
      <c r="D63" s="2"/>
      <c r="E63" s="2"/>
      <c r="F63" s="2"/>
      <c r="G63" s="2"/>
      <c r="H63" s="2"/>
      <c r="I63" s="2">
        <v>64.018299999999996</v>
      </c>
      <c r="J63" s="2">
        <v>289</v>
      </c>
      <c r="K63" s="2">
        <v>64.208500000000001</v>
      </c>
      <c r="L63" s="2">
        <v>285</v>
      </c>
      <c r="M63" s="2">
        <v>111.4175</v>
      </c>
      <c r="N63" s="2">
        <v>21</v>
      </c>
      <c r="O63" s="2">
        <v>112.24979999999999</v>
      </c>
      <c r="P63" s="2">
        <v>25</v>
      </c>
      <c r="Q63" s="2">
        <v>100.244</v>
      </c>
      <c r="R63" s="2">
        <v>137</v>
      </c>
      <c r="S63" s="2">
        <v>101.123</v>
      </c>
      <c r="T63" s="2">
        <v>149</v>
      </c>
      <c r="U63" s="2">
        <v>0.76861100000000004</v>
      </c>
      <c r="V63" s="2">
        <v>62</v>
      </c>
      <c r="W63" s="2">
        <v>2011</v>
      </c>
    </row>
    <row r="64" spans="1:23" ht="12.3" x14ac:dyDescent="0.4">
      <c r="A64" s="2" t="s">
        <v>60</v>
      </c>
      <c r="B64" s="2"/>
      <c r="C64" s="2"/>
      <c r="D64" s="2"/>
      <c r="E64" s="2"/>
      <c r="F64" s="2"/>
      <c r="G64" s="2"/>
      <c r="H64" s="2"/>
      <c r="I64" s="2">
        <v>65.849900000000005</v>
      </c>
      <c r="J64" s="2">
        <v>222</v>
      </c>
      <c r="K64" s="2">
        <v>65.123900000000006</v>
      </c>
      <c r="L64" s="2">
        <v>248</v>
      </c>
      <c r="M64" s="2">
        <v>107.36709999999999</v>
      </c>
      <c r="N64" s="2">
        <v>56</v>
      </c>
      <c r="O64" s="2">
        <v>109.58159999999999</v>
      </c>
      <c r="P64" s="2">
        <v>47</v>
      </c>
      <c r="Q64" s="2">
        <v>101.7621</v>
      </c>
      <c r="R64" s="2">
        <v>181</v>
      </c>
      <c r="S64" s="2">
        <v>98.757199999999997</v>
      </c>
      <c r="T64" s="2">
        <v>103</v>
      </c>
      <c r="U64" s="2">
        <v>0.76782300000000003</v>
      </c>
      <c r="V64" s="2">
        <v>63</v>
      </c>
      <c r="W64" s="2">
        <v>2011</v>
      </c>
    </row>
    <row r="65" spans="1:23" ht="12.3" x14ac:dyDescent="0.4">
      <c r="A65" s="2" t="s">
        <v>250</v>
      </c>
      <c r="B65" s="2"/>
      <c r="C65" s="2"/>
      <c r="D65" s="2"/>
      <c r="E65" s="2"/>
      <c r="F65" s="2"/>
      <c r="G65" s="2"/>
      <c r="H65" s="2"/>
      <c r="I65" s="2">
        <v>71.161299999999997</v>
      </c>
      <c r="J65" s="2">
        <v>27</v>
      </c>
      <c r="K65" s="2">
        <v>71.762500000000003</v>
      </c>
      <c r="L65" s="2">
        <v>15</v>
      </c>
      <c r="M65" s="2">
        <v>106.30159999999999</v>
      </c>
      <c r="N65" s="2">
        <v>75</v>
      </c>
      <c r="O65" s="2">
        <v>104.5035</v>
      </c>
      <c r="P65" s="2">
        <v>106</v>
      </c>
      <c r="Q65" s="2">
        <v>93.925700000000006</v>
      </c>
      <c r="R65" s="2">
        <v>26</v>
      </c>
      <c r="S65" s="2">
        <v>94.195300000000003</v>
      </c>
      <c r="T65" s="2">
        <v>36</v>
      </c>
      <c r="U65" s="2">
        <v>0.76750499999999999</v>
      </c>
      <c r="V65" s="2">
        <v>64</v>
      </c>
      <c r="W65" s="2">
        <v>2011</v>
      </c>
    </row>
    <row r="66" spans="1:23" ht="12.3" x14ac:dyDescent="0.4">
      <c r="A66" s="2" t="s">
        <v>124</v>
      </c>
      <c r="B66" s="2"/>
      <c r="C66" s="2"/>
      <c r="D66" s="2"/>
      <c r="E66" s="2"/>
      <c r="F66" s="2"/>
      <c r="G66" s="2"/>
      <c r="H66" s="2"/>
      <c r="I66" s="2">
        <v>63.914099999999998</v>
      </c>
      <c r="J66" s="2">
        <v>293</v>
      </c>
      <c r="K66" s="2">
        <v>64.427700000000002</v>
      </c>
      <c r="L66" s="2">
        <v>275</v>
      </c>
      <c r="M66" s="2">
        <v>110.88509999999999</v>
      </c>
      <c r="N66" s="2">
        <v>26</v>
      </c>
      <c r="O66" s="2">
        <v>113.05970000000001</v>
      </c>
      <c r="P66" s="2">
        <v>22</v>
      </c>
      <c r="Q66" s="2">
        <v>106.1469</v>
      </c>
      <c r="R66" s="2">
        <v>279</v>
      </c>
      <c r="S66" s="2">
        <v>102.2499</v>
      </c>
      <c r="T66" s="2">
        <v>183</v>
      </c>
      <c r="U66" s="2">
        <v>0.76055200000000001</v>
      </c>
      <c r="V66" s="2">
        <v>65</v>
      </c>
      <c r="W66" s="2">
        <v>2011</v>
      </c>
    </row>
    <row r="67" spans="1:23" ht="12.3" x14ac:dyDescent="0.4">
      <c r="A67" s="2" t="s">
        <v>222</v>
      </c>
      <c r="B67" s="2"/>
      <c r="C67" s="2"/>
      <c r="D67" s="2"/>
      <c r="E67" s="2"/>
      <c r="F67" s="2"/>
      <c r="G67" s="2"/>
      <c r="H67" s="2"/>
      <c r="I67" s="2">
        <v>66.066800000000001</v>
      </c>
      <c r="J67" s="2">
        <v>204</v>
      </c>
      <c r="K67" s="2">
        <v>66.846599999999995</v>
      </c>
      <c r="L67" s="2">
        <v>162</v>
      </c>
      <c r="M67" s="2">
        <v>107.0581</v>
      </c>
      <c r="N67" s="2">
        <v>59</v>
      </c>
      <c r="O67" s="2">
        <v>108.4453</v>
      </c>
      <c r="P67" s="2">
        <v>59</v>
      </c>
      <c r="Q67" s="2">
        <v>97.360200000000006</v>
      </c>
      <c r="R67" s="2">
        <v>75</v>
      </c>
      <c r="S67" s="2">
        <v>98.124300000000005</v>
      </c>
      <c r="T67" s="2">
        <v>91</v>
      </c>
      <c r="U67" s="2">
        <v>0.75953300000000001</v>
      </c>
      <c r="V67" s="2">
        <v>66</v>
      </c>
      <c r="W67" s="2">
        <v>2011</v>
      </c>
    </row>
    <row r="68" spans="1:23" ht="12.3" x14ac:dyDescent="0.4">
      <c r="A68" s="2" t="s">
        <v>95</v>
      </c>
      <c r="B68" s="2"/>
      <c r="C68" s="2"/>
      <c r="D68" s="2"/>
      <c r="E68" s="2"/>
      <c r="F68" s="2"/>
      <c r="G68" s="2"/>
      <c r="H68" s="2"/>
      <c r="I68" s="2">
        <v>64.186300000000003</v>
      </c>
      <c r="J68" s="2">
        <v>281</v>
      </c>
      <c r="K68" s="2">
        <v>63.837200000000003</v>
      </c>
      <c r="L68" s="2">
        <v>299</v>
      </c>
      <c r="M68" s="2">
        <v>111.52630000000001</v>
      </c>
      <c r="N68" s="2">
        <v>20</v>
      </c>
      <c r="O68" s="2">
        <v>114.5217</v>
      </c>
      <c r="P68" s="2">
        <v>12</v>
      </c>
      <c r="Q68" s="2">
        <v>107.3856</v>
      </c>
      <c r="R68" s="2">
        <v>299</v>
      </c>
      <c r="S68" s="2">
        <v>103.7634</v>
      </c>
      <c r="T68" s="2">
        <v>216</v>
      </c>
      <c r="U68" s="2">
        <v>0.75666599999999995</v>
      </c>
      <c r="V68" s="2">
        <v>67</v>
      </c>
      <c r="W68" s="2">
        <v>2011</v>
      </c>
    </row>
    <row r="69" spans="1:23" ht="12.3" x14ac:dyDescent="0.4">
      <c r="A69" s="2" t="s">
        <v>75</v>
      </c>
      <c r="B69" s="2"/>
      <c r="C69" s="2"/>
      <c r="D69" s="2"/>
      <c r="E69" s="2"/>
      <c r="F69" s="2"/>
      <c r="G69" s="2"/>
      <c r="H69" s="2"/>
      <c r="I69" s="2">
        <v>65.408500000000004</v>
      </c>
      <c r="J69" s="2">
        <v>241</v>
      </c>
      <c r="K69" s="2">
        <v>66.199799999999996</v>
      </c>
      <c r="L69" s="2">
        <v>199</v>
      </c>
      <c r="M69" s="2">
        <v>105.3302</v>
      </c>
      <c r="N69" s="2">
        <v>86</v>
      </c>
      <c r="O69" s="2">
        <v>107.46339999999999</v>
      </c>
      <c r="P69" s="2">
        <v>72</v>
      </c>
      <c r="Q69" s="2">
        <v>102.8588</v>
      </c>
      <c r="R69" s="2">
        <v>200</v>
      </c>
      <c r="S69" s="2">
        <v>97.373999999999995</v>
      </c>
      <c r="T69" s="2">
        <v>71</v>
      </c>
      <c r="U69" s="2">
        <v>0.75653899999999996</v>
      </c>
      <c r="V69" s="2">
        <v>68</v>
      </c>
      <c r="W69" s="2">
        <v>2011</v>
      </c>
    </row>
    <row r="70" spans="1:23" ht="12.3" x14ac:dyDescent="0.4">
      <c r="A70" s="2" t="s">
        <v>219</v>
      </c>
      <c r="B70" s="2"/>
      <c r="C70" s="2"/>
      <c r="D70" s="2"/>
      <c r="E70" s="2"/>
      <c r="F70" s="2"/>
      <c r="G70" s="2"/>
      <c r="H70" s="2"/>
      <c r="I70" s="2">
        <v>67.427899999999994</v>
      </c>
      <c r="J70" s="2">
        <v>146</v>
      </c>
      <c r="K70" s="2">
        <v>67.674400000000006</v>
      </c>
      <c r="L70" s="2">
        <v>115</v>
      </c>
      <c r="M70" s="2">
        <v>103.5034</v>
      </c>
      <c r="N70" s="2">
        <v>125</v>
      </c>
      <c r="O70" s="2">
        <v>103.628</v>
      </c>
      <c r="P70" s="2">
        <v>122</v>
      </c>
      <c r="Q70" s="2">
        <v>93.0535</v>
      </c>
      <c r="R70" s="2">
        <v>17</v>
      </c>
      <c r="S70" s="2">
        <v>93.916200000000003</v>
      </c>
      <c r="T70" s="2">
        <v>31</v>
      </c>
      <c r="U70" s="2">
        <v>0.75614300000000001</v>
      </c>
      <c r="V70" s="2">
        <v>69</v>
      </c>
      <c r="W70" s="2">
        <v>2011</v>
      </c>
    </row>
    <row r="71" spans="1:23" ht="12.3" x14ac:dyDescent="0.4">
      <c r="A71" s="2" t="s">
        <v>57</v>
      </c>
      <c r="B71" s="2"/>
      <c r="C71" s="2"/>
      <c r="D71" s="2"/>
      <c r="E71" s="2"/>
      <c r="F71" s="2"/>
      <c r="G71" s="2"/>
      <c r="H71" s="2"/>
      <c r="I71" s="2">
        <v>68.5989</v>
      </c>
      <c r="J71" s="2">
        <v>81</v>
      </c>
      <c r="K71" s="2">
        <v>68.656999999999996</v>
      </c>
      <c r="L71" s="2">
        <v>67</v>
      </c>
      <c r="M71" s="2">
        <v>103.3267</v>
      </c>
      <c r="N71" s="2">
        <v>127</v>
      </c>
      <c r="O71" s="2">
        <v>109.08499999999999</v>
      </c>
      <c r="P71" s="2">
        <v>54</v>
      </c>
      <c r="Q71" s="2">
        <v>102.1439</v>
      </c>
      <c r="R71" s="2">
        <v>190</v>
      </c>
      <c r="S71" s="2">
        <v>99.445499999999996</v>
      </c>
      <c r="T71" s="2">
        <v>113</v>
      </c>
      <c r="U71" s="2">
        <v>0.74344500000000002</v>
      </c>
      <c r="V71" s="2">
        <v>70</v>
      </c>
      <c r="W71" s="2">
        <v>2011</v>
      </c>
    </row>
    <row r="72" spans="1:23" ht="12.3" x14ac:dyDescent="0.4">
      <c r="A72" s="2" t="s">
        <v>157</v>
      </c>
      <c r="B72" s="2"/>
      <c r="C72" s="2"/>
      <c r="D72" s="2"/>
      <c r="E72" s="2"/>
      <c r="F72" s="2"/>
      <c r="G72" s="2"/>
      <c r="H72" s="2"/>
      <c r="I72" s="2">
        <v>67.083399999999997</v>
      </c>
      <c r="J72" s="2">
        <v>166</v>
      </c>
      <c r="K72" s="2">
        <v>67.006299999999996</v>
      </c>
      <c r="L72" s="2">
        <v>152</v>
      </c>
      <c r="M72" s="2">
        <v>105.163</v>
      </c>
      <c r="N72" s="2">
        <v>90</v>
      </c>
      <c r="O72" s="2">
        <v>107.15989999999999</v>
      </c>
      <c r="P72" s="2">
        <v>75</v>
      </c>
      <c r="Q72" s="2">
        <v>101.627</v>
      </c>
      <c r="R72" s="2">
        <v>177</v>
      </c>
      <c r="S72" s="2">
        <v>97.941800000000001</v>
      </c>
      <c r="T72" s="2">
        <v>83</v>
      </c>
      <c r="U72" s="2">
        <v>0.73777199999999998</v>
      </c>
      <c r="V72" s="2">
        <v>71</v>
      </c>
      <c r="W72" s="2">
        <v>2011</v>
      </c>
    </row>
    <row r="73" spans="1:23" ht="12.3" x14ac:dyDescent="0.4">
      <c r="A73" s="2" t="s">
        <v>175</v>
      </c>
      <c r="B73" s="2"/>
      <c r="C73" s="2"/>
      <c r="D73" s="2"/>
      <c r="E73" s="2"/>
      <c r="F73" s="2"/>
      <c r="G73" s="2"/>
      <c r="H73" s="2"/>
      <c r="I73" s="2">
        <v>66.188900000000004</v>
      </c>
      <c r="J73" s="2">
        <v>200</v>
      </c>
      <c r="K73" s="2">
        <v>65.519499999999994</v>
      </c>
      <c r="L73" s="2">
        <v>236</v>
      </c>
      <c r="M73" s="2">
        <v>109.6922</v>
      </c>
      <c r="N73" s="2">
        <v>37</v>
      </c>
      <c r="O73" s="2">
        <v>110.6885</v>
      </c>
      <c r="P73" s="2">
        <v>34</v>
      </c>
      <c r="Q73" s="2">
        <v>100.13420000000001</v>
      </c>
      <c r="R73" s="2">
        <v>133</v>
      </c>
      <c r="S73" s="2">
        <v>101.1891</v>
      </c>
      <c r="T73" s="2">
        <v>151</v>
      </c>
      <c r="U73" s="2">
        <v>0.73728199999999999</v>
      </c>
      <c r="V73" s="2">
        <v>72</v>
      </c>
      <c r="W73" s="2">
        <v>2011</v>
      </c>
    </row>
    <row r="74" spans="1:23" ht="12.3" x14ac:dyDescent="0.4">
      <c r="A74" s="2" t="s">
        <v>72</v>
      </c>
      <c r="B74" s="2"/>
      <c r="C74" s="2"/>
      <c r="D74" s="2"/>
      <c r="E74" s="2"/>
      <c r="F74" s="2"/>
      <c r="G74" s="2"/>
      <c r="H74" s="2"/>
      <c r="I74" s="2">
        <v>66.2971</v>
      </c>
      <c r="J74" s="2">
        <v>195</v>
      </c>
      <c r="K74" s="2">
        <v>66.025000000000006</v>
      </c>
      <c r="L74" s="2">
        <v>209</v>
      </c>
      <c r="M74" s="2">
        <v>101.066</v>
      </c>
      <c r="N74" s="2">
        <v>188</v>
      </c>
      <c r="O74" s="2">
        <v>103.7047</v>
      </c>
      <c r="P74" s="2">
        <v>120</v>
      </c>
      <c r="Q74" s="2">
        <v>98.9114</v>
      </c>
      <c r="R74" s="2">
        <v>104</v>
      </c>
      <c r="S74" s="2">
        <v>95.026399999999995</v>
      </c>
      <c r="T74" s="2">
        <v>43</v>
      </c>
      <c r="U74" s="2">
        <v>0.732043</v>
      </c>
      <c r="V74" s="2">
        <v>73</v>
      </c>
      <c r="W74" s="2">
        <v>2011</v>
      </c>
    </row>
    <row r="75" spans="1:23" ht="12.3" x14ac:dyDescent="0.4">
      <c r="A75" s="2" t="s">
        <v>176</v>
      </c>
      <c r="B75" s="2">
        <v>13</v>
      </c>
      <c r="C75" s="2"/>
      <c r="D75" s="2"/>
      <c r="E75" s="2"/>
      <c r="F75" s="2"/>
      <c r="G75" s="2"/>
      <c r="H75" s="2"/>
      <c r="I75" s="2">
        <v>64.034000000000006</v>
      </c>
      <c r="J75" s="2">
        <v>288</v>
      </c>
      <c r="K75" s="2">
        <v>64.259500000000003</v>
      </c>
      <c r="L75" s="2">
        <v>283</v>
      </c>
      <c r="M75" s="2">
        <v>106.59869999999999</v>
      </c>
      <c r="N75" s="2">
        <v>66</v>
      </c>
      <c r="O75" s="2">
        <v>105.0343</v>
      </c>
      <c r="P75" s="2">
        <v>102</v>
      </c>
      <c r="Q75" s="2">
        <v>97.742900000000006</v>
      </c>
      <c r="R75" s="2">
        <v>79</v>
      </c>
      <c r="S75" s="2">
        <v>96.383300000000006</v>
      </c>
      <c r="T75" s="2">
        <v>58</v>
      </c>
      <c r="U75" s="2">
        <v>0.72878699999999996</v>
      </c>
      <c r="V75" s="2">
        <v>74</v>
      </c>
      <c r="W75" s="2">
        <v>2011</v>
      </c>
    </row>
    <row r="76" spans="1:23" ht="12.3" x14ac:dyDescent="0.4">
      <c r="A76" s="2" t="s">
        <v>123</v>
      </c>
      <c r="B76" s="2"/>
      <c r="C76" s="2"/>
      <c r="D76" s="2"/>
      <c r="E76" s="2"/>
      <c r="F76" s="2"/>
      <c r="G76" s="2"/>
      <c r="H76" s="2"/>
      <c r="I76" s="2">
        <v>64.412199999999999</v>
      </c>
      <c r="J76" s="2">
        <v>272</v>
      </c>
      <c r="K76" s="2">
        <v>64.118399999999994</v>
      </c>
      <c r="L76" s="2">
        <v>290</v>
      </c>
      <c r="M76" s="2">
        <v>101.7578</v>
      </c>
      <c r="N76" s="2">
        <v>169</v>
      </c>
      <c r="O76" s="2">
        <v>106.5416</v>
      </c>
      <c r="P76" s="2">
        <v>82</v>
      </c>
      <c r="Q76" s="2">
        <v>100.8004</v>
      </c>
      <c r="R76" s="2">
        <v>152</v>
      </c>
      <c r="S76" s="2">
        <v>97.956500000000005</v>
      </c>
      <c r="T76" s="2">
        <v>85</v>
      </c>
      <c r="U76" s="2">
        <v>0.72434900000000002</v>
      </c>
      <c r="V76" s="2">
        <v>75</v>
      </c>
      <c r="W76" s="2">
        <v>2011</v>
      </c>
    </row>
    <row r="77" spans="1:23" ht="12.3" x14ac:dyDescent="0.4">
      <c r="A77" s="2" t="s">
        <v>212</v>
      </c>
      <c r="B77" s="2"/>
      <c r="C77" s="2"/>
      <c r="D77" s="2"/>
      <c r="E77" s="2"/>
      <c r="F77" s="2"/>
      <c r="G77" s="2"/>
      <c r="H77" s="2"/>
      <c r="I77" s="2">
        <v>67.928299999999993</v>
      </c>
      <c r="J77" s="2">
        <v>115</v>
      </c>
      <c r="K77" s="2">
        <v>68.018799999999999</v>
      </c>
      <c r="L77" s="2">
        <v>98</v>
      </c>
      <c r="M77" s="2">
        <v>106.2979</v>
      </c>
      <c r="N77" s="2">
        <v>76</v>
      </c>
      <c r="O77" s="2">
        <v>106.42749999999999</v>
      </c>
      <c r="P77" s="2">
        <v>85</v>
      </c>
      <c r="Q77" s="2">
        <v>97.193600000000004</v>
      </c>
      <c r="R77" s="2">
        <v>71</v>
      </c>
      <c r="S77" s="2">
        <v>98.071899999999999</v>
      </c>
      <c r="T77" s="2">
        <v>88</v>
      </c>
      <c r="U77" s="2">
        <v>0.71915399999999996</v>
      </c>
      <c r="V77" s="2">
        <v>76</v>
      </c>
      <c r="W77" s="2">
        <v>2011</v>
      </c>
    </row>
    <row r="78" spans="1:23" ht="12.3" x14ac:dyDescent="0.4">
      <c r="A78" s="2" t="s">
        <v>22</v>
      </c>
      <c r="B78" s="2"/>
      <c r="C78" s="2"/>
      <c r="D78" s="2"/>
      <c r="E78" s="2"/>
      <c r="F78" s="2"/>
      <c r="G78" s="2"/>
      <c r="H78" s="2"/>
      <c r="I78" s="2">
        <v>62.2864</v>
      </c>
      <c r="J78" s="2">
        <v>324</v>
      </c>
      <c r="K78" s="2">
        <v>63.2639</v>
      </c>
      <c r="L78" s="2">
        <v>315</v>
      </c>
      <c r="M78" s="2">
        <v>110.9846</v>
      </c>
      <c r="N78" s="2">
        <v>25</v>
      </c>
      <c r="O78" s="2">
        <v>109.8479</v>
      </c>
      <c r="P78" s="2">
        <v>43</v>
      </c>
      <c r="Q78" s="2">
        <v>99.837400000000002</v>
      </c>
      <c r="R78" s="2">
        <v>120</v>
      </c>
      <c r="S78" s="2">
        <v>101.5907</v>
      </c>
      <c r="T78" s="2">
        <v>163</v>
      </c>
      <c r="U78" s="2">
        <v>0.710673</v>
      </c>
      <c r="V78" s="2">
        <v>77</v>
      </c>
      <c r="W78" s="2">
        <v>2011</v>
      </c>
    </row>
    <row r="79" spans="1:23" ht="12.3" x14ac:dyDescent="0.4">
      <c r="A79" s="2" t="s">
        <v>137</v>
      </c>
      <c r="B79" s="2">
        <v>11</v>
      </c>
      <c r="C79" s="3" t="s">
        <v>33</v>
      </c>
      <c r="D79" s="3" t="s">
        <v>33</v>
      </c>
      <c r="E79" s="3" t="s">
        <v>33</v>
      </c>
      <c r="F79" s="3" t="s">
        <v>33</v>
      </c>
      <c r="G79" s="2"/>
      <c r="H79" s="2"/>
      <c r="I79" s="2">
        <v>65.618899999999996</v>
      </c>
      <c r="J79" s="2">
        <v>228</v>
      </c>
      <c r="K79" s="2">
        <v>66.498699999999999</v>
      </c>
      <c r="L79" s="2">
        <v>177</v>
      </c>
      <c r="M79" s="2">
        <v>107.977</v>
      </c>
      <c r="N79" s="2">
        <v>51</v>
      </c>
      <c r="O79" s="2">
        <v>109.1301</v>
      </c>
      <c r="P79" s="2">
        <v>53</v>
      </c>
      <c r="Q79" s="2">
        <v>101.8681</v>
      </c>
      <c r="R79" s="2">
        <v>184</v>
      </c>
      <c r="S79" s="2">
        <v>101.0565</v>
      </c>
      <c r="T79" s="2">
        <v>145</v>
      </c>
      <c r="U79" s="2">
        <v>0.70762899999999995</v>
      </c>
      <c r="V79" s="2">
        <v>78</v>
      </c>
      <c r="W79" s="2">
        <v>2011</v>
      </c>
    </row>
    <row r="80" spans="1:23" ht="12.3" x14ac:dyDescent="0.4">
      <c r="A80" s="2" t="s">
        <v>105</v>
      </c>
      <c r="B80" s="2"/>
      <c r="C80" s="2"/>
      <c r="D80" s="2"/>
      <c r="E80" s="2"/>
      <c r="F80" s="2"/>
      <c r="G80" s="2"/>
      <c r="H80" s="2"/>
      <c r="I80" s="2">
        <v>67.631200000000007</v>
      </c>
      <c r="J80" s="2">
        <v>132</v>
      </c>
      <c r="K80" s="2">
        <v>67.381500000000003</v>
      </c>
      <c r="L80" s="2">
        <v>132</v>
      </c>
      <c r="M80" s="2">
        <v>112.65009999999999</v>
      </c>
      <c r="N80" s="2">
        <v>17</v>
      </c>
      <c r="O80" s="2">
        <v>110.5637</v>
      </c>
      <c r="P80" s="2">
        <v>36</v>
      </c>
      <c r="Q80" s="2">
        <v>101.36709999999999</v>
      </c>
      <c r="R80" s="2">
        <v>170</v>
      </c>
      <c r="S80" s="2">
        <v>102.3897</v>
      </c>
      <c r="T80" s="2">
        <v>190</v>
      </c>
      <c r="U80" s="2">
        <v>0.70749899999999999</v>
      </c>
      <c r="V80" s="2">
        <v>79</v>
      </c>
      <c r="W80" s="2">
        <v>2011</v>
      </c>
    </row>
    <row r="81" spans="1:23" ht="12.3" x14ac:dyDescent="0.4">
      <c r="A81" s="2" t="s">
        <v>51</v>
      </c>
      <c r="B81" s="2"/>
      <c r="C81" s="2"/>
      <c r="D81" s="2"/>
      <c r="E81" s="2"/>
      <c r="F81" s="2"/>
      <c r="G81" s="2"/>
      <c r="H81" s="2"/>
      <c r="I81" s="2">
        <v>67.5839</v>
      </c>
      <c r="J81" s="2">
        <v>134</v>
      </c>
      <c r="K81" s="2">
        <v>67.525199999999998</v>
      </c>
      <c r="L81" s="2">
        <v>124</v>
      </c>
      <c r="M81" s="2">
        <v>109.2045</v>
      </c>
      <c r="N81" s="2">
        <v>45</v>
      </c>
      <c r="O81" s="2">
        <v>110.01309999999999</v>
      </c>
      <c r="P81" s="2">
        <v>38</v>
      </c>
      <c r="Q81" s="2">
        <v>101.7859</v>
      </c>
      <c r="R81" s="2">
        <v>182</v>
      </c>
      <c r="S81" s="2">
        <v>101.9434</v>
      </c>
      <c r="T81" s="2">
        <v>173</v>
      </c>
      <c r="U81" s="2">
        <v>0.70601000000000003</v>
      </c>
      <c r="V81" s="2">
        <v>80</v>
      </c>
      <c r="W81" s="2">
        <v>2011</v>
      </c>
    </row>
    <row r="82" spans="1:23" ht="12.3" x14ac:dyDescent="0.4">
      <c r="A82" s="2" t="s">
        <v>197</v>
      </c>
      <c r="B82" s="2"/>
      <c r="C82" s="2"/>
      <c r="D82" s="2"/>
      <c r="E82" s="2"/>
      <c r="F82" s="2"/>
      <c r="G82" s="2"/>
      <c r="H82" s="2"/>
      <c r="I82" s="2">
        <v>67.811300000000003</v>
      </c>
      <c r="J82" s="2">
        <v>125</v>
      </c>
      <c r="K82" s="2">
        <v>67.897400000000005</v>
      </c>
      <c r="L82" s="2">
        <v>106</v>
      </c>
      <c r="M82" s="2">
        <v>106.4726</v>
      </c>
      <c r="N82" s="2">
        <v>69</v>
      </c>
      <c r="O82" s="2">
        <v>108.11239999999999</v>
      </c>
      <c r="P82" s="2">
        <v>65</v>
      </c>
      <c r="Q82" s="2">
        <v>100.1246</v>
      </c>
      <c r="R82" s="2">
        <v>132</v>
      </c>
      <c r="S82" s="2">
        <v>100.3995</v>
      </c>
      <c r="T82" s="2">
        <v>131</v>
      </c>
      <c r="U82" s="2">
        <v>0.70081199999999999</v>
      </c>
      <c r="V82" s="2">
        <v>81</v>
      </c>
      <c r="W82" s="2">
        <v>2011</v>
      </c>
    </row>
    <row r="83" spans="1:23" ht="12.3" x14ac:dyDescent="0.4">
      <c r="A83" s="2" t="s">
        <v>289</v>
      </c>
      <c r="B83" s="2">
        <v>14</v>
      </c>
      <c r="C83" s="2"/>
      <c r="D83" s="2"/>
      <c r="E83" s="2"/>
      <c r="F83" s="2"/>
      <c r="G83" s="2"/>
      <c r="H83" s="2"/>
      <c r="I83" s="2">
        <v>66.2316</v>
      </c>
      <c r="J83" s="2">
        <v>196</v>
      </c>
      <c r="K83" s="2">
        <v>66.272199999999998</v>
      </c>
      <c r="L83" s="2">
        <v>192</v>
      </c>
      <c r="M83" s="2">
        <v>106.5111</v>
      </c>
      <c r="N83" s="2">
        <v>68</v>
      </c>
      <c r="O83" s="2">
        <v>104.3282</v>
      </c>
      <c r="P83" s="2">
        <v>112</v>
      </c>
      <c r="Q83" s="2">
        <v>95.543400000000005</v>
      </c>
      <c r="R83" s="2">
        <v>44</v>
      </c>
      <c r="S83" s="2">
        <v>97.1023</v>
      </c>
      <c r="T83" s="2">
        <v>68</v>
      </c>
      <c r="U83" s="2">
        <v>0.69538999999999995</v>
      </c>
      <c r="V83" s="2">
        <v>82</v>
      </c>
      <c r="W83" s="2">
        <v>2011</v>
      </c>
    </row>
    <row r="84" spans="1:23" ht="12.3" x14ac:dyDescent="0.4">
      <c r="A84" s="2" t="s">
        <v>201</v>
      </c>
      <c r="B84" s="2">
        <v>13</v>
      </c>
      <c r="C84" s="3" t="s">
        <v>33</v>
      </c>
      <c r="D84" s="2"/>
      <c r="E84" s="2"/>
      <c r="F84" s="2"/>
      <c r="G84" s="2"/>
      <c r="H84" s="2"/>
      <c r="I84" s="2">
        <v>64.049700000000001</v>
      </c>
      <c r="J84" s="2">
        <v>287</v>
      </c>
      <c r="K84" s="2">
        <v>64.780500000000004</v>
      </c>
      <c r="L84" s="2">
        <v>258</v>
      </c>
      <c r="M84" s="2">
        <v>106.2067</v>
      </c>
      <c r="N84" s="2">
        <v>77</v>
      </c>
      <c r="O84" s="2">
        <v>104.3969</v>
      </c>
      <c r="P84" s="2">
        <v>109</v>
      </c>
      <c r="Q84" s="2">
        <v>96.197199999999995</v>
      </c>
      <c r="R84" s="2">
        <v>52</v>
      </c>
      <c r="S84" s="2">
        <v>97.601799999999997</v>
      </c>
      <c r="T84" s="2">
        <v>79</v>
      </c>
      <c r="U84" s="2">
        <v>0.68438500000000002</v>
      </c>
      <c r="V84" s="2">
        <v>83</v>
      </c>
      <c r="W84" s="2">
        <v>2011</v>
      </c>
    </row>
    <row r="85" spans="1:23" ht="12.3" x14ac:dyDescent="0.4">
      <c r="A85" s="2" t="s">
        <v>279</v>
      </c>
      <c r="B85" s="2">
        <v>14</v>
      </c>
      <c r="C85" s="2"/>
      <c r="D85" s="2"/>
      <c r="E85" s="2"/>
      <c r="F85" s="2"/>
      <c r="G85" s="2"/>
      <c r="H85" s="2"/>
      <c r="I85" s="2">
        <v>64.415099999999995</v>
      </c>
      <c r="J85" s="2">
        <v>271</v>
      </c>
      <c r="K85" s="2">
        <v>64.572599999999994</v>
      </c>
      <c r="L85" s="2">
        <v>270</v>
      </c>
      <c r="M85" s="2">
        <v>112.4804</v>
      </c>
      <c r="N85" s="2">
        <v>18</v>
      </c>
      <c r="O85" s="2">
        <v>110.9243</v>
      </c>
      <c r="P85" s="2">
        <v>33</v>
      </c>
      <c r="Q85" s="2">
        <v>103.3314</v>
      </c>
      <c r="R85" s="2">
        <v>208</v>
      </c>
      <c r="S85" s="2">
        <v>103.7717</v>
      </c>
      <c r="T85" s="2">
        <v>217</v>
      </c>
      <c r="U85" s="2">
        <v>0.68276899999999996</v>
      </c>
      <c r="V85" s="2">
        <v>84</v>
      </c>
      <c r="W85" s="2">
        <v>2011</v>
      </c>
    </row>
    <row r="86" spans="1:23" ht="12.3" x14ac:dyDescent="0.4">
      <c r="A86" s="2" t="s">
        <v>188</v>
      </c>
      <c r="B86" s="2"/>
      <c r="C86" s="2"/>
      <c r="D86" s="2"/>
      <c r="E86" s="2"/>
      <c r="F86" s="2"/>
      <c r="G86" s="2"/>
      <c r="H86" s="2"/>
      <c r="I86" s="2">
        <v>69.452200000000005</v>
      </c>
      <c r="J86" s="2">
        <v>53</v>
      </c>
      <c r="K86" s="2">
        <v>69.521600000000007</v>
      </c>
      <c r="L86" s="2">
        <v>49</v>
      </c>
      <c r="M86" s="2">
        <v>103.6778</v>
      </c>
      <c r="N86" s="2">
        <v>121</v>
      </c>
      <c r="O86" s="2">
        <v>104.8567</v>
      </c>
      <c r="P86" s="2">
        <v>105</v>
      </c>
      <c r="Q86" s="2">
        <v>99.913700000000006</v>
      </c>
      <c r="R86" s="2">
        <v>121</v>
      </c>
      <c r="S86" s="2">
        <v>98.112300000000005</v>
      </c>
      <c r="T86" s="2">
        <v>90</v>
      </c>
      <c r="U86" s="2">
        <v>0.682338</v>
      </c>
      <c r="V86" s="2">
        <v>85</v>
      </c>
      <c r="W86" s="2">
        <v>2011</v>
      </c>
    </row>
    <row r="87" spans="1:23" ht="12.3" x14ac:dyDescent="0.4">
      <c r="A87" s="2" t="s">
        <v>146</v>
      </c>
      <c r="B87" s="2"/>
      <c r="C87" s="2"/>
      <c r="D87" s="2"/>
      <c r="E87" s="2"/>
      <c r="F87" s="2"/>
      <c r="G87" s="2"/>
      <c r="H87" s="2"/>
      <c r="I87" s="2">
        <v>70.815200000000004</v>
      </c>
      <c r="J87" s="2">
        <v>30</v>
      </c>
      <c r="K87" s="2">
        <v>70.353800000000007</v>
      </c>
      <c r="L87" s="2">
        <v>35</v>
      </c>
      <c r="M87" s="2">
        <v>104.7851</v>
      </c>
      <c r="N87" s="2">
        <v>99</v>
      </c>
      <c r="O87" s="2">
        <v>106.83929999999999</v>
      </c>
      <c r="P87" s="2">
        <v>78</v>
      </c>
      <c r="Q87" s="2">
        <v>98.323899999999995</v>
      </c>
      <c r="R87" s="2">
        <v>92</v>
      </c>
      <c r="S87" s="2">
        <v>100.01220000000001</v>
      </c>
      <c r="T87" s="2">
        <v>124</v>
      </c>
      <c r="U87" s="2">
        <v>0.68122099999999997</v>
      </c>
      <c r="V87" s="2">
        <v>86</v>
      </c>
      <c r="W87" s="2">
        <v>2011</v>
      </c>
    </row>
    <row r="88" spans="1:23" ht="12.3" x14ac:dyDescent="0.4">
      <c r="A88" s="2" t="s">
        <v>158</v>
      </c>
      <c r="B88" s="2"/>
      <c r="C88" s="2"/>
      <c r="D88" s="2"/>
      <c r="E88" s="2"/>
      <c r="F88" s="2"/>
      <c r="G88" s="2"/>
      <c r="H88" s="2"/>
      <c r="I88" s="2">
        <v>66.956299999999999</v>
      </c>
      <c r="J88" s="2">
        <v>171</v>
      </c>
      <c r="K88" s="2">
        <v>66.280900000000003</v>
      </c>
      <c r="L88" s="2">
        <v>191</v>
      </c>
      <c r="M88" s="2">
        <v>103.91679999999999</v>
      </c>
      <c r="N88" s="2">
        <v>115</v>
      </c>
      <c r="O88" s="2">
        <v>105.2474</v>
      </c>
      <c r="P88" s="2">
        <v>96</v>
      </c>
      <c r="Q88" s="2">
        <v>96.492099999999994</v>
      </c>
      <c r="R88" s="2">
        <v>56</v>
      </c>
      <c r="S88" s="2">
        <v>98.577600000000004</v>
      </c>
      <c r="T88" s="2">
        <v>99</v>
      </c>
      <c r="U88" s="2">
        <v>0.67981100000000005</v>
      </c>
      <c r="V88" s="2">
        <v>87</v>
      </c>
      <c r="W88" s="2">
        <v>2011</v>
      </c>
    </row>
    <row r="89" spans="1:23" ht="12.3" x14ac:dyDescent="0.4">
      <c r="A89" s="2" t="s">
        <v>221</v>
      </c>
      <c r="B89" s="2"/>
      <c r="C89" s="2"/>
      <c r="D89" s="2"/>
      <c r="E89" s="2"/>
      <c r="F89" s="2"/>
      <c r="G89" s="2"/>
      <c r="H89" s="2"/>
      <c r="I89" s="2">
        <v>66.012799999999999</v>
      </c>
      <c r="J89" s="2">
        <v>209</v>
      </c>
      <c r="K89" s="2">
        <v>66.407300000000006</v>
      </c>
      <c r="L89" s="2">
        <v>184</v>
      </c>
      <c r="M89" s="2">
        <v>98.233900000000006</v>
      </c>
      <c r="N89" s="2">
        <v>240</v>
      </c>
      <c r="O89" s="2">
        <v>97.196399999999997</v>
      </c>
      <c r="P89" s="2">
        <v>255</v>
      </c>
      <c r="Q89" s="2">
        <v>87.042699999999996</v>
      </c>
      <c r="R89" s="2">
        <v>1</v>
      </c>
      <c r="S89" s="2">
        <v>91.304199999999994</v>
      </c>
      <c r="T89" s="2">
        <v>13</v>
      </c>
      <c r="U89" s="2">
        <v>0.67242500000000005</v>
      </c>
      <c r="V89" s="2">
        <v>88</v>
      </c>
      <c r="W89" s="2">
        <v>2011</v>
      </c>
    </row>
    <row r="90" spans="1:23" ht="12.3" x14ac:dyDescent="0.4">
      <c r="A90" s="2" t="s">
        <v>69</v>
      </c>
      <c r="B90" s="2"/>
      <c r="C90" s="2"/>
      <c r="D90" s="2"/>
      <c r="E90" s="2"/>
      <c r="F90" s="2"/>
      <c r="G90" s="2"/>
      <c r="H90" s="2"/>
      <c r="I90" s="2">
        <v>66.401799999999994</v>
      </c>
      <c r="J90" s="2">
        <v>189</v>
      </c>
      <c r="K90" s="2">
        <v>67.1751</v>
      </c>
      <c r="L90" s="2">
        <v>144</v>
      </c>
      <c r="M90" s="2">
        <v>104.41379999999999</v>
      </c>
      <c r="N90" s="2">
        <v>103</v>
      </c>
      <c r="O90" s="2">
        <v>105.0278</v>
      </c>
      <c r="P90" s="2">
        <v>103</v>
      </c>
      <c r="Q90" s="2">
        <v>100.6207</v>
      </c>
      <c r="R90" s="2">
        <v>147</v>
      </c>
      <c r="S90" s="2">
        <v>98.684299999999993</v>
      </c>
      <c r="T90" s="2">
        <v>101</v>
      </c>
      <c r="U90" s="2">
        <v>0.671821</v>
      </c>
      <c r="V90" s="2">
        <v>89</v>
      </c>
      <c r="W90" s="2">
        <v>2011</v>
      </c>
    </row>
    <row r="91" spans="1:23" ht="12.3" x14ac:dyDescent="0.4">
      <c r="A91" s="2" t="s">
        <v>71</v>
      </c>
      <c r="B91" s="2">
        <v>12</v>
      </c>
      <c r="C91" s="2"/>
      <c r="D91" s="2"/>
      <c r="E91" s="2"/>
      <c r="F91" s="2"/>
      <c r="G91" s="2"/>
      <c r="H91" s="2"/>
      <c r="I91" s="2">
        <v>69.316699999999997</v>
      </c>
      <c r="J91" s="2">
        <v>56</v>
      </c>
      <c r="K91" s="2">
        <v>68.550200000000004</v>
      </c>
      <c r="L91" s="2">
        <v>70</v>
      </c>
      <c r="M91" s="2">
        <v>102.785</v>
      </c>
      <c r="N91" s="2">
        <v>142</v>
      </c>
      <c r="O91" s="2">
        <v>102.0442</v>
      </c>
      <c r="P91" s="2">
        <v>157</v>
      </c>
      <c r="Q91" s="2">
        <v>97.365700000000004</v>
      </c>
      <c r="R91" s="2">
        <v>76</v>
      </c>
      <c r="S91" s="2">
        <v>95.933700000000002</v>
      </c>
      <c r="T91" s="2">
        <v>55</v>
      </c>
      <c r="U91" s="2">
        <v>0.67042500000000005</v>
      </c>
      <c r="V91" s="2">
        <v>90</v>
      </c>
      <c r="W91" s="2">
        <v>2011</v>
      </c>
    </row>
    <row r="92" spans="1:23" ht="12.3" x14ac:dyDescent="0.4">
      <c r="A92" s="2" t="s">
        <v>41</v>
      </c>
      <c r="B92" s="2"/>
      <c r="C92" s="2"/>
      <c r="D92" s="2"/>
      <c r="E92" s="2"/>
      <c r="F92" s="2"/>
      <c r="G92" s="2"/>
      <c r="H92" s="2"/>
      <c r="I92" s="2">
        <v>67.872399999999999</v>
      </c>
      <c r="J92" s="2">
        <v>120</v>
      </c>
      <c r="K92" s="2">
        <v>67.462100000000007</v>
      </c>
      <c r="L92" s="2">
        <v>128</v>
      </c>
      <c r="M92" s="2">
        <v>100.6418</v>
      </c>
      <c r="N92" s="2">
        <v>195</v>
      </c>
      <c r="O92" s="2">
        <v>104.3674</v>
      </c>
      <c r="P92" s="2">
        <v>110</v>
      </c>
      <c r="Q92" s="2">
        <v>101.41759999999999</v>
      </c>
      <c r="R92" s="2">
        <v>173</v>
      </c>
      <c r="S92" s="2">
        <v>98.491399999999999</v>
      </c>
      <c r="T92" s="2">
        <v>98</v>
      </c>
      <c r="U92" s="2">
        <v>0.66069800000000001</v>
      </c>
      <c r="V92" s="2">
        <v>91</v>
      </c>
      <c r="W92" s="2">
        <v>2011</v>
      </c>
    </row>
    <row r="93" spans="1:23" ht="12.3" x14ac:dyDescent="0.4">
      <c r="A93" s="2" t="s">
        <v>120</v>
      </c>
      <c r="B93" s="2"/>
      <c r="C93" s="2"/>
      <c r="D93" s="2"/>
      <c r="E93" s="2"/>
      <c r="F93" s="2"/>
      <c r="G93" s="2"/>
      <c r="H93" s="2"/>
      <c r="I93" s="2">
        <v>72.221100000000007</v>
      </c>
      <c r="J93" s="2">
        <v>18</v>
      </c>
      <c r="K93" s="2">
        <v>72.665899999999993</v>
      </c>
      <c r="L93" s="2">
        <v>9</v>
      </c>
      <c r="M93" s="2">
        <v>104.83410000000001</v>
      </c>
      <c r="N93" s="2">
        <v>95</v>
      </c>
      <c r="O93" s="2">
        <v>108.22629999999999</v>
      </c>
      <c r="P93" s="2">
        <v>63</v>
      </c>
      <c r="Q93" s="2">
        <v>104.0628</v>
      </c>
      <c r="R93" s="2">
        <v>237</v>
      </c>
      <c r="S93" s="2">
        <v>102.2521</v>
      </c>
      <c r="T93" s="2">
        <v>184</v>
      </c>
      <c r="U93" s="2">
        <v>0.65768800000000005</v>
      </c>
      <c r="V93" s="2">
        <v>92</v>
      </c>
      <c r="W93" s="2">
        <v>2011</v>
      </c>
    </row>
    <row r="94" spans="1:23" ht="12.3" x14ac:dyDescent="0.4">
      <c r="A94" s="2" t="s">
        <v>40</v>
      </c>
      <c r="B94" s="2"/>
      <c r="C94" s="2"/>
      <c r="D94" s="2"/>
      <c r="E94" s="2"/>
      <c r="F94" s="2"/>
      <c r="G94" s="2"/>
      <c r="H94" s="2"/>
      <c r="I94" s="2">
        <v>65.421700000000001</v>
      </c>
      <c r="J94" s="2">
        <v>239</v>
      </c>
      <c r="K94" s="2">
        <v>66.109899999999996</v>
      </c>
      <c r="L94" s="2">
        <v>205</v>
      </c>
      <c r="M94" s="2">
        <v>105.7325</v>
      </c>
      <c r="N94" s="2">
        <v>79</v>
      </c>
      <c r="O94" s="2">
        <v>107.6388</v>
      </c>
      <c r="P94" s="2">
        <v>67</v>
      </c>
      <c r="Q94" s="2">
        <v>104.7522</v>
      </c>
      <c r="R94" s="2">
        <v>256</v>
      </c>
      <c r="S94" s="2">
        <v>101.7132</v>
      </c>
      <c r="T94" s="2">
        <v>167</v>
      </c>
      <c r="U94" s="2">
        <v>0.65727599999999997</v>
      </c>
      <c r="V94" s="2">
        <v>93</v>
      </c>
      <c r="W94" s="2">
        <v>2011</v>
      </c>
    </row>
    <row r="95" spans="1:23" ht="12.3" x14ac:dyDescent="0.4">
      <c r="A95" s="2" t="s">
        <v>64</v>
      </c>
      <c r="B95" s="2"/>
      <c r="C95" s="2"/>
      <c r="D95" s="2"/>
      <c r="E95" s="2"/>
      <c r="F95" s="2"/>
      <c r="G95" s="2"/>
      <c r="H95" s="2"/>
      <c r="I95" s="2">
        <v>65.941100000000006</v>
      </c>
      <c r="J95" s="2">
        <v>215</v>
      </c>
      <c r="K95" s="2">
        <v>66.285300000000007</v>
      </c>
      <c r="L95" s="2">
        <v>190</v>
      </c>
      <c r="M95" s="2">
        <v>99.913799999999995</v>
      </c>
      <c r="N95" s="2">
        <v>206</v>
      </c>
      <c r="O95" s="2">
        <v>101.66719999999999</v>
      </c>
      <c r="P95" s="2">
        <v>168</v>
      </c>
      <c r="Q95" s="2">
        <v>96.976200000000006</v>
      </c>
      <c r="R95" s="2">
        <v>66</v>
      </c>
      <c r="S95" s="2">
        <v>96.267200000000003</v>
      </c>
      <c r="T95" s="2">
        <v>57</v>
      </c>
      <c r="U95" s="2">
        <v>0.65195400000000003</v>
      </c>
      <c r="V95" s="2">
        <v>94</v>
      </c>
      <c r="W95" s="2">
        <v>2011</v>
      </c>
    </row>
    <row r="96" spans="1:23" ht="12.3" x14ac:dyDescent="0.4">
      <c r="A96" s="2" t="s">
        <v>52</v>
      </c>
      <c r="B96" s="2"/>
      <c r="C96" s="2"/>
      <c r="D96" s="2"/>
      <c r="E96" s="2"/>
      <c r="F96" s="2"/>
      <c r="G96" s="2"/>
      <c r="H96" s="2"/>
      <c r="I96" s="2">
        <v>65.760800000000003</v>
      </c>
      <c r="J96" s="2">
        <v>223</v>
      </c>
      <c r="K96" s="2">
        <v>65.549800000000005</v>
      </c>
      <c r="L96" s="2">
        <v>234</v>
      </c>
      <c r="M96" s="2">
        <v>100.3185</v>
      </c>
      <c r="N96" s="2">
        <v>200</v>
      </c>
      <c r="O96" s="2">
        <v>103.53279999999999</v>
      </c>
      <c r="P96" s="2">
        <v>125</v>
      </c>
      <c r="Q96" s="2">
        <v>98.639700000000005</v>
      </c>
      <c r="R96" s="2">
        <v>97</v>
      </c>
      <c r="S96" s="2">
        <v>98.223799999999997</v>
      </c>
      <c r="T96" s="2">
        <v>94</v>
      </c>
      <c r="U96" s="2">
        <v>0.64688199999999996</v>
      </c>
      <c r="V96" s="2">
        <v>95</v>
      </c>
      <c r="W96" s="2">
        <v>2011</v>
      </c>
    </row>
    <row r="97" spans="1:23" ht="12.3" x14ac:dyDescent="0.4">
      <c r="A97" s="2" t="s">
        <v>74</v>
      </c>
      <c r="B97" s="2"/>
      <c r="C97" s="2"/>
      <c r="D97" s="2"/>
      <c r="E97" s="2"/>
      <c r="F97" s="2"/>
      <c r="G97" s="2"/>
      <c r="H97" s="2"/>
      <c r="I97" s="2">
        <v>67.281199999999998</v>
      </c>
      <c r="J97" s="2">
        <v>152</v>
      </c>
      <c r="K97" s="2">
        <v>67.130200000000002</v>
      </c>
      <c r="L97" s="2">
        <v>147</v>
      </c>
      <c r="M97" s="2">
        <v>103.61579999999999</v>
      </c>
      <c r="N97" s="2">
        <v>122</v>
      </c>
      <c r="O97" s="2">
        <v>104.1046</v>
      </c>
      <c r="P97" s="2">
        <v>115</v>
      </c>
      <c r="Q97" s="2">
        <v>99.347499999999997</v>
      </c>
      <c r="R97" s="2">
        <v>109</v>
      </c>
      <c r="S97" s="2">
        <v>98.777299999999997</v>
      </c>
      <c r="T97" s="2">
        <v>104</v>
      </c>
      <c r="U97" s="2">
        <v>0.64658899999999997</v>
      </c>
      <c r="V97" s="2">
        <v>96</v>
      </c>
      <c r="W97" s="2">
        <v>2011</v>
      </c>
    </row>
    <row r="98" spans="1:23" ht="12.3" x14ac:dyDescent="0.4">
      <c r="A98" s="2" t="s">
        <v>290</v>
      </c>
      <c r="B98" s="2"/>
      <c r="C98" s="2"/>
      <c r="D98" s="2"/>
      <c r="E98" s="2"/>
      <c r="F98" s="2"/>
      <c r="G98" s="2"/>
      <c r="H98" s="2"/>
      <c r="I98" s="2">
        <v>64.549199999999999</v>
      </c>
      <c r="J98" s="2">
        <v>268</v>
      </c>
      <c r="K98" s="2">
        <v>64.2851</v>
      </c>
      <c r="L98" s="2">
        <v>282</v>
      </c>
      <c r="M98" s="2">
        <v>109.651</v>
      </c>
      <c r="N98" s="2">
        <v>38</v>
      </c>
      <c r="O98" s="2">
        <v>109.8527</v>
      </c>
      <c r="P98" s="2">
        <v>42</v>
      </c>
      <c r="Q98" s="2">
        <v>105.2555</v>
      </c>
      <c r="R98" s="2">
        <v>263</v>
      </c>
      <c r="S98" s="2">
        <v>104.307</v>
      </c>
      <c r="T98" s="2">
        <v>235</v>
      </c>
      <c r="U98" s="2">
        <v>0.644679</v>
      </c>
      <c r="V98" s="2">
        <v>97</v>
      </c>
      <c r="W98" s="2">
        <v>2011</v>
      </c>
    </row>
    <row r="99" spans="1:23" ht="12.3" x14ac:dyDescent="0.4">
      <c r="A99" s="2" t="s">
        <v>200</v>
      </c>
      <c r="B99" s="2"/>
      <c r="C99" s="2"/>
      <c r="D99" s="2"/>
      <c r="E99" s="2"/>
      <c r="F99" s="2"/>
      <c r="G99" s="2"/>
      <c r="H99" s="2"/>
      <c r="I99" s="2">
        <v>66.601200000000006</v>
      </c>
      <c r="J99" s="2">
        <v>181</v>
      </c>
      <c r="K99" s="2">
        <v>67.710700000000003</v>
      </c>
      <c r="L99" s="2">
        <v>111</v>
      </c>
      <c r="M99" s="2">
        <v>107.21850000000001</v>
      </c>
      <c r="N99" s="2">
        <v>57</v>
      </c>
      <c r="O99" s="2">
        <v>106.61920000000001</v>
      </c>
      <c r="P99" s="2">
        <v>81</v>
      </c>
      <c r="Q99" s="2">
        <v>101.64660000000001</v>
      </c>
      <c r="R99" s="2">
        <v>178</v>
      </c>
      <c r="S99" s="2">
        <v>101.2957</v>
      </c>
      <c r="T99" s="2">
        <v>154</v>
      </c>
      <c r="U99" s="2">
        <v>0.64314199999999999</v>
      </c>
      <c r="V99" s="2">
        <v>98</v>
      </c>
      <c r="W99" s="2">
        <v>2011</v>
      </c>
    </row>
    <row r="100" spans="1:23" ht="12.3" x14ac:dyDescent="0.4">
      <c r="A100" s="2" t="s">
        <v>343</v>
      </c>
      <c r="B100" s="2">
        <v>15</v>
      </c>
      <c r="C100" s="2"/>
      <c r="D100" s="2"/>
      <c r="E100" s="2"/>
      <c r="F100" s="2"/>
      <c r="G100" s="2"/>
      <c r="H100" s="2"/>
      <c r="I100" s="2">
        <v>74.459199999999996</v>
      </c>
      <c r="J100" s="2">
        <v>6</v>
      </c>
      <c r="K100" s="2">
        <v>73.9482</v>
      </c>
      <c r="L100" s="2">
        <v>4</v>
      </c>
      <c r="M100" s="2">
        <v>110.15560000000001</v>
      </c>
      <c r="N100" s="2">
        <v>32</v>
      </c>
      <c r="O100" s="2">
        <v>108.45699999999999</v>
      </c>
      <c r="P100" s="2">
        <v>58</v>
      </c>
      <c r="Q100" s="2">
        <v>98.627399999999994</v>
      </c>
      <c r="R100" s="2">
        <v>96</v>
      </c>
      <c r="S100" s="2">
        <v>103.0628</v>
      </c>
      <c r="T100" s="2">
        <v>205</v>
      </c>
      <c r="U100" s="2">
        <v>0.64260099999999998</v>
      </c>
      <c r="V100" s="2">
        <v>99</v>
      </c>
      <c r="W100" s="2">
        <v>2011</v>
      </c>
    </row>
    <row r="101" spans="1:23" ht="12.3" x14ac:dyDescent="0.4">
      <c r="A101" s="2" t="s">
        <v>87</v>
      </c>
      <c r="B101" s="2"/>
      <c r="C101" s="2"/>
      <c r="D101" s="2"/>
      <c r="E101" s="2"/>
      <c r="F101" s="2"/>
      <c r="G101" s="2"/>
      <c r="H101" s="2"/>
      <c r="I101" s="2">
        <v>61.631300000000003</v>
      </c>
      <c r="J101" s="2">
        <v>334</v>
      </c>
      <c r="K101" s="2">
        <v>60.791400000000003</v>
      </c>
      <c r="L101" s="2">
        <v>338</v>
      </c>
      <c r="M101" s="2">
        <v>99.817999999999998</v>
      </c>
      <c r="N101" s="2">
        <v>210</v>
      </c>
      <c r="O101" s="2">
        <v>101.6327</v>
      </c>
      <c r="P101" s="2">
        <v>169</v>
      </c>
      <c r="Q101" s="2">
        <v>100.0633</v>
      </c>
      <c r="R101" s="2">
        <v>128</v>
      </c>
      <c r="S101" s="2">
        <v>96.686599999999999</v>
      </c>
      <c r="T101" s="2">
        <v>62</v>
      </c>
      <c r="U101" s="2">
        <v>0.639625</v>
      </c>
      <c r="V101" s="2">
        <v>100</v>
      </c>
      <c r="W101" s="2">
        <v>2011</v>
      </c>
    </row>
    <row r="102" spans="1:23" ht="12.3" x14ac:dyDescent="0.4">
      <c r="A102" s="2" t="s">
        <v>55</v>
      </c>
      <c r="B102" s="2"/>
      <c r="C102" s="2"/>
      <c r="D102" s="2"/>
      <c r="E102" s="2"/>
      <c r="F102" s="2"/>
      <c r="G102" s="2"/>
      <c r="H102" s="2"/>
      <c r="I102" s="2">
        <v>67.832300000000004</v>
      </c>
      <c r="J102" s="2">
        <v>124</v>
      </c>
      <c r="K102" s="2">
        <v>67.214299999999994</v>
      </c>
      <c r="L102" s="2">
        <v>141</v>
      </c>
      <c r="M102" s="2">
        <v>104.2646</v>
      </c>
      <c r="N102" s="2">
        <v>110</v>
      </c>
      <c r="O102" s="2">
        <v>107.6056</v>
      </c>
      <c r="P102" s="2">
        <v>68</v>
      </c>
      <c r="Q102" s="2">
        <v>103.98050000000001</v>
      </c>
      <c r="R102" s="2">
        <v>232</v>
      </c>
      <c r="S102" s="2">
        <v>102.37479999999999</v>
      </c>
      <c r="T102" s="2">
        <v>188</v>
      </c>
      <c r="U102" s="2">
        <v>0.63946899999999995</v>
      </c>
      <c r="V102" s="2">
        <v>101</v>
      </c>
      <c r="W102" s="2">
        <v>2011</v>
      </c>
    </row>
    <row r="103" spans="1:23" ht="12.3" x14ac:dyDescent="0.4">
      <c r="A103" s="2" t="s">
        <v>92</v>
      </c>
      <c r="B103" s="2"/>
      <c r="C103" s="2"/>
      <c r="D103" s="2"/>
      <c r="E103" s="2"/>
      <c r="F103" s="2"/>
      <c r="G103" s="2"/>
      <c r="H103" s="2"/>
      <c r="I103" s="2">
        <v>69.055400000000006</v>
      </c>
      <c r="J103" s="2">
        <v>67</v>
      </c>
      <c r="K103" s="2">
        <v>69.200599999999994</v>
      </c>
      <c r="L103" s="2">
        <v>54</v>
      </c>
      <c r="M103" s="2">
        <v>97.291700000000006</v>
      </c>
      <c r="N103" s="2">
        <v>259</v>
      </c>
      <c r="O103" s="2">
        <v>99.729900000000001</v>
      </c>
      <c r="P103" s="2">
        <v>208</v>
      </c>
      <c r="Q103" s="2">
        <v>96.613</v>
      </c>
      <c r="R103" s="2">
        <v>59</v>
      </c>
      <c r="S103" s="2">
        <v>94.991500000000002</v>
      </c>
      <c r="T103" s="2">
        <v>42</v>
      </c>
      <c r="U103" s="2">
        <v>0.63640699999999994</v>
      </c>
      <c r="V103" s="2">
        <v>102</v>
      </c>
      <c r="W103" s="2">
        <v>2011</v>
      </c>
    </row>
    <row r="104" spans="1:23" ht="12.3" x14ac:dyDescent="0.4">
      <c r="A104" s="2" t="s">
        <v>234</v>
      </c>
      <c r="B104" s="2"/>
      <c r="C104" s="2"/>
      <c r="D104" s="2"/>
      <c r="E104" s="2"/>
      <c r="F104" s="2"/>
      <c r="G104" s="2"/>
      <c r="H104" s="2"/>
      <c r="I104" s="2">
        <v>63.642699999999998</v>
      </c>
      <c r="J104" s="2">
        <v>303</v>
      </c>
      <c r="K104" s="2">
        <v>63.432499999999997</v>
      </c>
      <c r="L104" s="2">
        <v>310</v>
      </c>
      <c r="M104" s="2">
        <v>102.7518</v>
      </c>
      <c r="N104" s="2">
        <v>145</v>
      </c>
      <c r="O104" s="2">
        <v>99.323400000000007</v>
      </c>
      <c r="P104" s="2">
        <v>219</v>
      </c>
      <c r="Q104" s="2">
        <v>94.552400000000006</v>
      </c>
      <c r="R104" s="2">
        <v>31</v>
      </c>
      <c r="S104" s="2">
        <v>94.611400000000003</v>
      </c>
      <c r="T104" s="2">
        <v>38</v>
      </c>
      <c r="U104" s="2">
        <v>0.63620699999999997</v>
      </c>
      <c r="V104" s="2">
        <v>103</v>
      </c>
      <c r="W104" s="2">
        <v>2011</v>
      </c>
    </row>
    <row r="105" spans="1:23" ht="12.3" x14ac:dyDescent="0.4">
      <c r="A105" s="2" t="s">
        <v>182</v>
      </c>
      <c r="B105" s="2"/>
      <c r="C105" s="2"/>
      <c r="D105" s="2"/>
      <c r="E105" s="2"/>
      <c r="F105" s="2"/>
      <c r="G105" s="2"/>
      <c r="H105" s="2"/>
      <c r="I105" s="2">
        <v>68.792100000000005</v>
      </c>
      <c r="J105" s="2">
        <v>77</v>
      </c>
      <c r="K105" s="2">
        <v>69.571700000000007</v>
      </c>
      <c r="L105" s="2">
        <v>45</v>
      </c>
      <c r="M105" s="2">
        <v>106.4689</v>
      </c>
      <c r="N105" s="2">
        <v>70</v>
      </c>
      <c r="O105" s="2">
        <v>106.5348</v>
      </c>
      <c r="P105" s="2">
        <v>83</v>
      </c>
      <c r="Q105" s="2">
        <v>98.671700000000001</v>
      </c>
      <c r="R105" s="2">
        <v>98</v>
      </c>
      <c r="S105" s="2">
        <v>101.52</v>
      </c>
      <c r="T105" s="2">
        <v>160</v>
      </c>
      <c r="U105" s="2">
        <v>0.63517500000000005</v>
      </c>
      <c r="V105" s="2">
        <v>104</v>
      </c>
      <c r="W105" s="2">
        <v>2011</v>
      </c>
    </row>
    <row r="106" spans="1:23" ht="12.3" x14ac:dyDescent="0.4">
      <c r="A106" s="2" t="s">
        <v>84</v>
      </c>
      <c r="B106" s="2"/>
      <c r="C106" s="2"/>
      <c r="D106" s="2"/>
      <c r="E106" s="2"/>
      <c r="F106" s="2"/>
      <c r="G106" s="2"/>
      <c r="H106" s="2"/>
      <c r="I106" s="2">
        <v>67.235299999999995</v>
      </c>
      <c r="J106" s="2">
        <v>156</v>
      </c>
      <c r="K106" s="2">
        <v>67.930599999999998</v>
      </c>
      <c r="L106" s="2">
        <v>104</v>
      </c>
      <c r="M106" s="2">
        <v>98.923500000000004</v>
      </c>
      <c r="N106" s="2">
        <v>226</v>
      </c>
      <c r="O106" s="2">
        <v>101.7055</v>
      </c>
      <c r="P106" s="2">
        <v>163</v>
      </c>
      <c r="Q106" s="2">
        <v>100.6361</v>
      </c>
      <c r="R106" s="2">
        <v>149</v>
      </c>
      <c r="S106" s="2">
        <v>96.983500000000006</v>
      </c>
      <c r="T106" s="2">
        <v>66</v>
      </c>
      <c r="U106" s="2">
        <v>0.63337500000000002</v>
      </c>
      <c r="V106" s="2">
        <v>105</v>
      </c>
      <c r="W106" s="2">
        <v>2011</v>
      </c>
    </row>
    <row r="107" spans="1:23" ht="12.3" x14ac:dyDescent="0.4">
      <c r="A107" s="2" t="s">
        <v>210</v>
      </c>
      <c r="B107" s="2"/>
      <c r="C107" s="2"/>
      <c r="D107" s="2"/>
      <c r="E107" s="2"/>
      <c r="F107" s="2"/>
      <c r="G107" s="2"/>
      <c r="H107" s="2"/>
      <c r="I107" s="2">
        <v>63.324599999999997</v>
      </c>
      <c r="J107" s="2">
        <v>308</v>
      </c>
      <c r="K107" s="2">
        <v>64.169600000000003</v>
      </c>
      <c r="L107" s="2">
        <v>288</v>
      </c>
      <c r="M107" s="2">
        <v>100.5033</v>
      </c>
      <c r="N107" s="2">
        <v>197</v>
      </c>
      <c r="O107" s="2">
        <v>96.233000000000004</v>
      </c>
      <c r="P107" s="2">
        <v>271</v>
      </c>
      <c r="Q107" s="2">
        <v>93.552499999999995</v>
      </c>
      <c r="R107" s="2">
        <v>21</v>
      </c>
      <c r="S107" s="2">
        <v>91.799199999999999</v>
      </c>
      <c r="T107" s="2">
        <v>15</v>
      </c>
      <c r="U107" s="2">
        <v>0.63237900000000002</v>
      </c>
      <c r="V107" s="2">
        <v>106</v>
      </c>
      <c r="W107" s="2">
        <v>2011</v>
      </c>
    </row>
    <row r="108" spans="1:23" ht="12.3" x14ac:dyDescent="0.4">
      <c r="A108" s="2" t="s">
        <v>335</v>
      </c>
      <c r="B108" s="2">
        <v>14</v>
      </c>
      <c r="C108" s="2"/>
      <c r="D108" s="2"/>
      <c r="E108" s="2"/>
      <c r="F108" s="2"/>
      <c r="G108" s="2"/>
      <c r="H108" s="2"/>
      <c r="I108" s="2">
        <v>65.647999999999996</v>
      </c>
      <c r="J108" s="2">
        <v>227</v>
      </c>
      <c r="K108" s="2">
        <v>65.847200000000001</v>
      </c>
      <c r="L108" s="2">
        <v>219</v>
      </c>
      <c r="M108" s="2">
        <v>92.886899999999997</v>
      </c>
      <c r="N108" s="2">
        <v>309</v>
      </c>
      <c r="O108" s="2">
        <v>94.541300000000007</v>
      </c>
      <c r="P108" s="2">
        <v>290</v>
      </c>
      <c r="Q108" s="2">
        <v>91.023099999999999</v>
      </c>
      <c r="R108" s="2">
        <v>9</v>
      </c>
      <c r="S108" s="2">
        <v>90.256100000000004</v>
      </c>
      <c r="T108" s="2">
        <v>6</v>
      </c>
      <c r="U108" s="2">
        <v>0.63028300000000004</v>
      </c>
      <c r="V108" s="2">
        <v>107</v>
      </c>
      <c r="W108" s="2">
        <v>2011</v>
      </c>
    </row>
    <row r="109" spans="1:23" ht="12.3" x14ac:dyDescent="0.4">
      <c r="A109" s="2" t="s">
        <v>53</v>
      </c>
      <c r="B109" s="2"/>
      <c r="C109" s="2"/>
      <c r="D109" s="2"/>
      <c r="E109" s="2"/>
      <c r="F109" s="2"/>
      <c r="G109" s="2"/>
      <c r="H109" s="2"/>
      <c r="I109" s="2">
        <v>67.368899999999996</v>
      </c>
      <c r="J109" s="2">
        <v>148</v>
      </c>
      <c r="K109" s="2">
        <v>68.046099999999996</v>
      </c>
      <c r="L109" s="2">
        <v>96</v>
      </c>
      <c r="M109" s="2">
        <v>102.6404</v>
      </c>
      <c r="N109" s="2">
        <v>147</v>
      </c>
      <c r="O109" s="2">
        <v>102.48739999999999</v>
      </c>
      <c r="P109" s="2">
        <v>148</v>
      </c>
      <c r="Q109" s="2">
        <v>96.759799999999998</v>
      </c>
      <c r="R109" s="2">
        <v>63</v>
      </c>
      <c r="S109" s="2">
        <v>97.947199999999995</v>
      </c>
      <c r="T109" s="2">
        <v>84</v>
      </c>
      <c r="U109" s="2">
        <v>0.62740099999999999</v>
      </c>
      <c r="V109" s="2">
        <v>108</v>
      </c>
      <c r="W109" s="2">
        <v>2011</v>
      </c>
    </row>
    <row r="110" spans="1:23" ht="12.3" x14ac:dyDescent="0.4">
      <c r="A110" s="2" t="s">
        <v>334</v>
      </c>
      <c r="B110" s="2"/>
      <c r="C110" s="2"/>
      <c r="D110" s="2"/>
      <c r="E110" s="2"/>
      <c r="F110" s="2"/>
      <c r="G110" s="2"/>
      <c r="H110" s="2"/>
      <c r="I110" s="2">
        <v>67.475499999999997</v>
      </c>
      <c r="J110" s="2">
        <v>140</v>
      </c>
      <c r="K110" s="2">
        <v>67.002600000000001</v>
      </c>
      <c r="L110" s="2">
        <v>153</v>
      </c>
      <c r="M110" s="2">
        <v>107.6657</v>
      </c>
      <c r="N110" s="2">
        <v>55</v>
      </c>
      <c r="O110" s="2">
        <v>103.69970000000001</v>
      </c>
      <c r="P110" s="2">
        <v>121</v>
      </c>
      <c r="Q110" s="2">
        <v>95.393600000000006</v>
      </c>
      <c r="R110" s="2">
        <v>42</v>
      </c>
      <c r="S110" s="2">
        <v>99.147300000000001</v>
      </c>
      <c r="T110" s="2">
        <v>107</v>
      </c>
      <c r="U110" s="2">
        <v>0.62627299999999997</v>
      </c>
      <c r="V110" s="2">
        <v>109</v>
      </c>
      <c r="W110" s="2">
        <v>2011</v>
      </c>
    </row>
    <row r="111" spans="1:23" ht="12.3" x14ac:dyDescent="0.4">
      <c r="A111" s="2" t="s">
        <v>80</v>
      </c>
      <c r="B111" s="2"/>
      <c r="C111" s="2"/>
      <c r="D111" s="2"/>
      <c r="E111" s="2"/>
      <c r="F111" s="2"/>
      <c r="G111" s="2"/>
      <c r="H111" s="2"/>
      <c r="I111" s="2">
        <v>68.119799999999998</v>
      </c>
      <c r="J111" s="2">
        <v>105</v>
      </c>
      <c r="K111" s="2">
        <v>67.311000000000007</v>
      </c>
      <c r="L111" s="2">
        <v>137</v>
      </c>
      <c r="M111" s="2">
        <v>101.9713</v>
      </c>
      <c r="N111" s="2">
        <v>162</v>
      </c>
      <c r="O111" s="2">
        <v>105.5514</v>
      </c>
      <c r="P111" s="2">
        <v>94</v>
      </c>
      <c r="Q111" s="2">
        <v>97.263099999999994</v>
      </c>
      <c r="R111" s="2">
        <v>73</v>
      </c>
      <c r="S111" s="2">
        <v>101.09269999999999</v>
      </c>
      <c r="T111" s="2">
        <v>148</v>
      </c>
      <c r="U111" s="2">
        <v>0.62160099999999996</v>
      </c>
      <c r="V111" s="2">
        <v>110</v>
      </c>
      <c r="W111" s="2">
        <v>2011</v>
      </c>
    </row>
    <row r="112" spans="1:23" ht="12.3" x14ac:dyDescent="0.4">
      <c r="A112" s="2" t="s">
        <v>108</v>
      </c>
      <c r="B112" s="2"/>
      <c r="C112" s="2"/>
      <c r="D112" s="2"/>
      <c r="E112" s="2"/>
      <c r="F112" s="2"/>
      <c r="G112" s="2"/>
      <c r="H112" s="2"/>
      <c r="I112" s="2">
        <v>65.506200000000007</v>
      </c>
      <c r="J112" s="2">
        <v>233</v>
      </c>
      <c r="K112" s="2">
        <v>65.152199999999993</v>
      </c>
      <c r="L112" s="2">
        <v>246</v>
      </c>
      <c r="M112" s="2">
        <v>102.76949999999999</v>
      </c>
      <c r="N112" s="2">
        <v>144</v>
      </c>
      <c r="O112" s="2">
        <v>101.6739</v>
      </c>
      <c r="P112" s="2">
        <v>167</v>
      </c>
      <c r="Q112" s="2">
        <v>96.748800000000003</v>
      </c>
      <c r="R112" s="2">
        <v>62</v>
      </c>
      <c r="S112" s="2">
        <v>97.402299999999997</v>
      </c>
      <c r="T112" s="2">
        <v>72</v>
      </c>
      <c r="U112" s="2">
        <v>0.62095199999999995</v>
      </c>
      <c r="V112" s="2">
        <v>111</v>
      </c>
      <c r="W112" s="2">
        <v>2011</v>
      </c>
    </row>
    <row r="113" spans="1:23" ht="12.3" x14ac:dyDescent="0.4">
      <c r="A113" s="2" t="s">
        <v>59</v>
      </c>
      <c r="B113" s="2"/>
      <c r="C113" s="2"/>
      <c r="D113" s="2"/>
      <c r="E113" s="2"/>
      <c r="F113" s="2"/>
      <c r="G113" s="2"/>
      <c r="H113" s="2"/>
      <c r="I113" s="2">
        <v>70.746899999999997</v>
      </c>
      <c r="J113" s="2">
        <v>33</v>
      </c>
      <c r="K113" s="2">
        <v>70.580500000000001</v>
      </c>
      <c r="L113" s="2">
        <v>31</v>
      </c>
      <c r="M113" s="2">
        <v>102.69459999999999</v>
      </c>
      <c r="N113" s="2">
        <v>146</v>
      </c>
      <c r="O113" s="2">
        <v>105.85769999999999</v>
      </c>
      <c r="P113" s="2">
        <v>93</v>
      </c>
      <c r="Q113" s="2">
        <v>105.5796</v>
      </c>
      <c r="R113" s="2">
        <v>270</v>
      </c>
      <c r="S113" s="2">
        <v>101.4319</v>
      </c>
      <c r="T113" s="2">
        <v>159</v>
      </c>
      <c r="U113" s="2">
        <v>0.62037500000000001</v>
      </c>
      <c r="V113" s="2">
        <v>112</v>
      </c>
      <c r="W113" s="2">
        <v>2011</v>
      </c>
    </row>
    <row r="114" spans="1:23" ht="12.3" x14ac:dyDescent="0.4">
      <c r="A114" s="2" t="s">
        <v>171</v>
      </c>
      <c r="B114" s="2"/>
      <c r="C114" s="2"/>
      <c r="D114" s="2"/>
      <c r="E114" s="2"/>
      <c r="F114" s="2"/>
      <c r="G114" s="2"/>
      <c r="H114" s="2"/>
      <c r="I114" s="2">
        <v>62.441899999999997</v>
      </c>
      <c r="J114" s="2">
        <v>321</v>
      </c>
      <c r="K114" s="2">
        <v>62.4754</v>
      </c>
      <c r="L114" s="2">
        <v>324</v>
      </c>
      <c r="M114" s="2">
        <v>102.77589999999999</v>
      </c>
      <c r="N114" s="2">
        <v>143</v>
      </c>
      <c r="O114" s="2">
        <v>103.1893</v>
      </c>
      <c r="P114" s="2">
        <v>135</v>
      </c>
      <c r="Q114" s="2">
        <v>99.619299999999996</v>
      </c>
      <c r="R114" s="2">
        <v>112</v>
      </c>
      <c r="S114" s="2">
        <v>99.252399999999994</v>
      </c>
      <c r="T114" s="2">
        <v>111</v>
      </c>
      <c r="U114" s="2">
        <v>0.61000799999999999</v>
      </c>
      <c r="V114" s="2">
        <v>113</v>
      </c>
      <c r="W114" s="2">
        <v>2011</v>
      </c>
    </row>
    <row r="115" spans="1:23" ht="12.3" x14ac:dyDescent="0.4">
      <c r="A115" s="2" t="s">
        <v>177</v>
      </c>
      <c r="B115" s="2"/>
      <c r="C115" s="2"/>
      <c r="D115" s="2"/>
      <c r="E115" s="2"/>
      <c r="F115" s="2"/>
      <c r="G115" s="2"/>
      <c r="H115" s="2"/>
      <c r="I115" s="2">
        <v>64.725399999999993</v>
      </c>
      <c r="J115" s="2">
        <v>263</v>
      </c>
      <c r="K115" s="2">
        <v>65.057900000000004</v>
      </c>
      <c r="L115" s="2">
        <v>251</v>
      </c>
      <c r="M115" s="2">
        <v>104.396</v>
      </c>
      <c r="N115" s="2">
        <v>105</v>
      </c>
      <c r="O115" s="2">
        <v>103.75620000000001</v>
      </c>
      <c r="P115" s="2">
        <v>118</v>
      </c>
      <c r="Q115" s="2">
        <v>97.924999999999997</v>
      </c>
      <c r="R115" s="2">
        <v>82</v>
      </c>
      <c r="S115" s="2">
        <v>99.886700000000005</v>
      </c>
      <c r="T115" s="2">
        <v>122</v>
      </c>
      <c r="U115" s="2">
        <v>0.60756399999999999</v>
      </c>
      <c r="V115" s="2">
        <v>114</v>
      </c>
      <c r="W115" s="2">
        <v>2011</v>
      </c>
    </row>
    <row r="116" spans="1:23" ht="12.3" x14ac:dyDescent="0.4">
      <c r="A116" s="2" t="s">
        <v>90</v>
      </c>
      <c r="B116" s="2"/>
      <c r="C116" s="2"/>
      <c r="D116" s="2"/>
      <c r="E116" s="2"/>
      <c r="F116" s="2"/>
      <c r="G116" s="2"/>
      <c r="H116" s="2"/>
      <c r="I116" s="2">
        <v>62.761400000000002</v>
      </c>
      <c r="J116" s="2">
        <v>317</v>
      </c>
      <c r="K116" s="2">
        <v>64.398300000000006</v>
      </c>
      <c r="L116" s="2">
        <v>277</v>
      </c>
      <c r="M116" s="2">
        <v>106.0163</v>
      </c>
      <c r="N116" s="2">
        <v>78</v>
      </c>
      <c r="O116" s="2">
        <v>104.887</v>
      </c>
      <c r="P116" s="2">
        <v>104</v>
      </c>
      <c r="Q116" s="2">
        <v>100.8781</v>
      </c>
      <c r="R116" s="2">
        <v>155</v>
      </c>
      <c r="S116" s="2">
        <v>101.03279999999999</v>
      </c>
      <c r="T116" s="2">
        <v>143</v>
      </c>
      <c r="U116" s="2">
        <v>0.60600399999999999</v>
      </c>
      <c r="V116" s="2">
        <v>115</v>
      </c>
      <c r="W116" s="2">
        <v>2011</v>
      </c>
    </row>
    <row r="117" spans="1:23" ht="12.3" x14ac:dyDescent="0.4">
      <c r="A117" s="2" t="s">
        <v>358</v>
      </c>
      <c r="B117" s="2">
        <v>15</v>
      </c>
      <c r="C117" s="2"/>
      <c r="D117" s="2"/>
      <c r="E117" s="2"/>
      <c r="F117" s="2"/>
      <c r="G117" s="2"/>
      <c r="H117" s="2"/>
      <c r="I117" s="2">
        <v>66.6267</v>
      </c>
      <c r="J117" s="2">
        <v>180</v>
      </c>
      <c r="K117" s="2">
        <v>67.984200000000001</v>
      </c>
      <c r="L117" s="2">
        <v>100</v>
      </c>
      <c r="M117" s="2">
        <v>106.5384</v>
      </c>
      <c r="N117" s="2">
        <v>67</v>
      </c>
      <c r="O117" s="2">
        <v>105.1764</v>
      </c>
      <c r="P117" s="2">
        <v>98</v>
      </c>
      <c r="Q117" s="2">
        <v>99.647300000000001</v>
      </c>
      <c r="R117" s="2">
        <v>113</v>
      </c>
      <c r="S117" s="2">
        <v>101.3395</v>
      </c>
      <c r="T117" s="2">
        <v>155</v>
      </c>
      <c r="U117" s="2">
        <v>0.60524500000000003</v>
      </c>
      <c r="V117" s="2">
        <v>116</v>
      </c>
      <c r="W117" s="2">
        <v>2011</v>
      </c>
    </row>
    <row r="118" spans="1:23" ht="12.3" x14ac:dyDescent="0.4">
      <c r="A118" s="2" t="s">
        <v>138</v>
      </c>
      <c r="B118" s="2"/>
      <c r="C118" s="2"/>
      <c r="D118" s="2"/>
      <c r="E118" s="2"/>
      <c r="F118" s="2"/>
      <c r="G118" s="2"/>
      <c r="H118" s="2"/>
      <c r="I118" s="2">
        <v>67.403499999999994</v>
      </c>
      <c r="J118" s="2">
        <v>147</v>
      </c>
      <c r="K118" s="2">
        <v>67.444699999999997</v>
      </c>
      <c r="L118" s="2">
        <v>129</v>
      </c>
      <c r="M118" s="2">
        <v>111.17489999999999</v>
      </c>
      <c r="N118" s="2">
        <v>22</v>
      </c>
      <c r="O118" s="2">
        <v>109.2077</v>
      </c>
      <c r="P118" s="2">
        <v>50</v>
      </c>
      <c r="Q118" s="2">
        <v>107.67400000000001</v>
      </c>
      <c r="R118" s="2">
        <v>303</v>
      </c>
      <c r="S118" s="2">
        <v>105.23909999999999</v>
      </c>
      <c r="T118" s="2">
        <v>247</v>
      </c>
      <c r="U118" s="2">
        <v>0.60484599999999999</v>
      </c>
      <c r="V118" s="2">
        <v>117</v>
      </c>
      <c r="W118" s="2">
        <v>2011</v>
      </c>
    </row>
    <row r="119" spans="1:23" ht="12.3" x14ac:dyDescent="0.4">
      <c r="A119" s="2" t="s">
        <v>204</v>
      </c>
      <c r="B119" s="2"/>
      <c r="C119" s="2"/>
      <c r="D119" s="2"/>
      <c r="E119" s="2"/>
      <c r="F119" s="2"/>
      <c r="G119" s="2"/>
      <c r="H119" s="2"/>
      <c r="I119" s="2">
        <v>62.275799999999997</v>
      </c>
      <c r="J119" s="2">
        <v>325</v>
      </c>
      <c r="K119" s="2">
        <v>61.801099999999998</v>
      </c>
      <c r="L119" s="2">
        <v>328</v>
      </c>
      <c r="M119" s="2">
        <v>102.4205</v>
      </c>
      <c r="N119" s="2">
        <v>152</v>
      </c>
      <c r="O119" s="2">
        <v>104.3557</v>
      </c>
      <c r="P119" s="2">
        <v>111</v>
      </c>
      <c r="Q119" s="2">
        <v>103.4637</v>
      </c>
      <c r="R119" s="2">
        <v>212</v>
      </c>
      <c r="S119" s="2">
        <v>100.5942</v>
      </c>
      <c r="T119" s="2">
        <v>133</v>
      </c>
      <c r="U119" s="2">
        <v>0.60400399999999999</v>
      </c>
      <c r="V119" s="2">
        <v>118</v>
      </c>
      <c r="W119" s="2">
        <v>2011</v>
      </c>
    </row>
    <row r="120" spans="1:23" ht="12.3" x14ac:dyDescent="0.4">
      <c r="A120" s="2" t="s">
        <v>267</v>
      </c>
      <c r="B120" s="2">
        <v>14</v>
      </c>
      <c r="C120" s="2"/>
      <c r="D120" s="2"/>
      <c r="E120" s="2"/>
      <c r="F120" s="2"/>
      <c r="G120" s="2"/>
      <c r="H120" s="2"/>
      <c r="I120" s="2">
        <v>64.856999999999999</v>
      </c>
      <c r="J120" s="2">
        <v>257</v>
      </c>
      <c r="K120" s="2">
        <v>66.399500000000003</v>
      </c>
      <c r="L120" s="2">
        <v>185</v>
      </c>
      <c r="M120" s="2">
        <v>100.3648</v>
      </c>
      <c r="N120" s="2">
        <v>199</v>
      </c>
      <c r="O120" s="2">
        <v>100.2028</v>
      </c>
      <c r="P120" s="2">
        <v>199</v>
      </c>
      <c r="Q120" s="2">
        <v>98.276399999999995</v>
      </c>
      <c r="R120" s="2">
        <v>91</v>
      </c>
      <c r="S120" s="2">
        <v>96.599199999999996</v>
      </c>
      <c r="T120" s="2">
        <v>60</v>
      </c>
      <c r="U120" s="2">
        <v>0.60377000000000003</v>
      </c>
      <c r="V120" s="2">
        <v>119</v>
      </c>
      <c r="W120" s="2">
        <v>2011</v>
      </c>
    </row>
    <row r="121" spans="1:23" ht="12.3" x14ac:dyDescent="0.4">
      <c r="A121" s="2" t="s">
        <v>256</v>
      </c>
      <c r="B121" s="2">
        <v>15</v>
      </c>
      <c r="C121" s="2"/>
      <c r="D121" s="2"/>
      <c r="E121" s="2"/>
      <c r="F121" s="2"/>
      <c r="G121" s="2"/>
      <c r="H121" s="2"/>
      <c r="I121" s="2">
        <v>66.743600000000001</v>
      </c>
      <c r="J121" s="2">
        <v>173</v>
      </c>
      <c r="K121" s="2">
        <v>66.747900000000001</v>
      </c>
      <c r="L121" s="2">
        <v>167</v>
      </c>
      <c r="M121" s="2">
        <v>102.99299999999999</v>
      </c>
      <c r="N121" s="2">
        <v>138</v>
      </c>
      <c r="O121" s="2">
        <v>102.2825</v>
      </c>
      <c r="P121" s="2">
        <v>152</v>
      </c>
      <c r="Q121" s="2">
        <v>97.5702</v>
      </c>
      <c r="R121" s="2">
        <v>78</v>
      </c>
      <c r="S121" s="2">
        <v>98.640299999999996</v>
      </c>
      <c r="T121" s="2">
        <v>100</v>
      </c>
      <c r="U121" s="2">
        <v>0.60276099999999999</v>
      </c>
      <c r="V121" s="2">
        <v>120</v>
      </c>
      <c r="W121" s="2">
        <v>2011</v>
      </c>
    </row>
    <row r="122" spans="1:23" ht="12.3" x14ac:dyDescent="0.4">
      <c r="A122" s="2" t="s">
        <v>104</v>
      </c>
      <c r="B122" s="2">
        <v>15</v>
      </c>
      <c r="C122" s="2"/>
      <c r="D122" s="2"/>
      <c r="E122" s="2"/>
      <c r="F122" s="2"/>
      <c r="G122" s="2"/>
      <c r="H122" s="2"/>
      <c r="I122" s="2">
        <v>65.269599999999997</v>
      </c>
      <c r="J122" s="2">
        <v>247</v>
      </c>
      <c r="K122" s="2">
        <v>65.406400000000005</v>
      </c>
      <c r="L122" s="2">
        <v>239</v>
      </c>
      <c r="M122" s="2">
        <v>103.07259999999999</v>
      </c>
      <c r="N122" s="2">
        <v>132</v>
      </c>
      <c r="O122" s="2">
        <v>102.0934</v>
      </c>
      <c r="P122" s="2">
        <v>156</v>
      </c>
      <c r="Q122" s="2">
        <v>100.01139999999999</v>
      </c>
      <c r="R122" s="2">
        <v>125</v>
      </c>
      <c r="S122" s="2">
        <v>98.737499999999997</v>
      </c>
      <c r="T122" s="2">
        <v>102</v>
      </c>
      <c r="U122" s="2">
        <v>0.59492500000000004</v>
      </c>
      <c r="V122" s="2">
        <v>121</v>
      </c>
      <c r="W122" s="2">
        <v>2011</v>
      </c>
    </row>
    <row r="123" spans="1:23" ht="12.3" x14ac:dyDescent="0.4">
      <c r="A123" s="2" t="s">
        <v>48</v>
      </c>
      <c r="B123" s="2"/>
      <c r="C123" s="2"/>
      <c r="D123" s="2"/>
      <c r="E123" s="2"/>
      <c r="F123" s="2"/>
      <c r="G123" s="2"/>
      <c r="H123" s="2"/>
      <c r="I123" s="2">
        <v>67.656800000000004</v>
      </c>
      <c r="J123" s="2">
        <v>131</v>
      </c>
      <c r="K123" s="2">
        <v>67.894000000000005</v>
      </c>
      <c r="L123" s="2">
        <v>107</v>
      </c>
      <c r="M123" s="2">
        <v>103.0582</v>
      </c>
      <c r="N123" s="2">
        <v>135</v>
      </c>
      <c r="O123" s="2">
        <v>106.0317</v>
      </c>
      <c r="P123" s="2">
        <v>88</v>
      </c>
      <c r="Q123" s="2">
        <v>103.627</v>
      </c>
      <c r="R123" s="2">
        <v>221</v>
      </c>
      <c r="S123" s="2">
        <v>102.6152</v>
      </c>
      <c r="T123" s="2">
        <v>194</v>
      </c>
      <c r="U123" s="2">
        <v>0.59306400000000004</v>
      </c>
      <c r="V123" s="2">
        <v>122</v>
      </c>
      <c r="W123" s="2">
        <v>2011</v>
      </c>
    </row>
    <row r="124" spans="1:23" ht="12.3" x14ac:dyDescent="0.4">
      <c r="A124" s="2" t="s">
        <v>243</v>
      </c>
      <c r="B124" s="2"/>
      <c r="C124" s="2"/>
      <c r="D124" s="2"/>
      <c r="E124" s="2"/>
      <c r="F124" s="2"/>
      <c r="G124" s="2"/>
      <c r="H124" s="2"/>
      <c r="I124" s="2">
        <v>64.765600000000006</v>
      </c>
      <c r="J124" s="2">
        <v>261</v>
      </c>
      <c r="K124" s="2">
        <v>66.485399999999998</v>
      </c>
      <c r="L124" s="2">
        <v>179</v>
      </c>
      <c r="M124" s="2">
        <v>106.4294</v>
      </c>
      <c r="N124" s="2">
        <v>71</v>
      </c>
      <c r="O124" s="2">
        <v>107.5784</v>
      </c>
      <c r="P124" s="2">
        <v>71</v>
      </c>
      <c r="Q124" s="2">
        <v>106.0964</v>
      </c>
      <c r="R124" s="2">
        <v>278</v>
      </c>
      <c r="S124" s="2">
        <v>104.1634</v>
      </c>
      <c r="T124" s="2">
        <v>229</v>
      </c>
      <c r="U124" s="2">
        <v>0.59169499999999997</v>
      </c>
      <c r="V124" s="2">
        <v>123</v>
      </c>
      <c r="W124" s="2">
        <v>2011</v>
      </c>
    </row>
    <row r="125" spans="1:23" ht="12.3" x14ac:dyDescent="0.4">
      <c r="A125" s="2" t="s">
        <v>181</v>
      </c>
      <c r="B125" s="2"/>
      <c r="C125" s="2"/>
      <c r="D125" s="2"/>
      <c r="E125" s="2"/>
      <c r="F125" s="2"/>
      <c r="G125" s="2"/>
      <c r="H125" s="2"/>
      <c r="I125" s="2">
        <v>63.690899999999999</v>
      </c>
      <c r="J125" s="2">
        <v>301</v>
      </c>
      <c r="K125" s="2">
        <v>63.640700000000002</v>
      </c>
      <c r="L125" s="2">
        <v>306</v>
      </c>
      <c r="M125" s="2">
        <v>104.7921</v>
      </c>
      <c r="N125" s="2">
        <v>97</v>
      </c>
      <c r="O125" s="2">
        <v>102.62</v>
      </c>
      <c r="P125" s="2">
        <v>147</v>
      </c>
      <c r="Q125" s="2">
        <v>96.1096</v>
      </c>
      <c r="R125" s="2">
        <v>51</v>
      </c>
      <c r="S125" s="2">
        <v>99.478099999999998</v>
      </c>
      <c r="T125" s="2">
        <v>115</v>
      </c>
      <c r="U125" s="2">
        <v>0.58845800000000004</v>
      </c>
      <c r="V125" s="2">
        <v>124</v>
      </c>
      <c r="W125" s="2">
        <v>2011</v>
      </c>
    </row>
    <row r="126" spans="1:23" ht="12.3" x14ac:dyDescent="0.4">
      <c r="A126" s="2" t="s">
        <v>213</v>
      </c>
      <c r="B126" s="2"/>
      <c r="C126" s="2"/>
      <c r="D126" s="2"/>
      <c r="E126" s="2"/>
      <c r="F126" s="2"/>
      <c r="G126" s="2"/>
      <c r="H126" s="2"/>
      <c r="I126" s="2">
        <v>67.185699999999997</v>
      </c>
      <c r="J126" s="2">
        <v>159</v>
      </c>
      <c r="K126" s="2">
        <v>66.496499999999997</v>
      </c>
      <c r="L126" s="2">
        <v>178</v>
      </c>
      <c r="M126" s="2">
        <v>105.15689999999999</v>
      </c>
      <c r="N126" s="2">
        <v>91</v>
      </c>
      <c r="O126" s="2">
        <v>103.1803</v>
      </c>
      <c r="P126" s="2">
        <v>136</v>
      </c>
      <c r="Q126" s="2">
        <v>96.414500000000004</v>
      </c>
      <c r="R126" s="2">
        <v>55</v>
      </c>
      <c r="S126" s="2">
        <v>100.02930000000001</v>
      </c>
      <c r="T126" s="2">
        <v>125</v>
      </c>
      <c r="U126" s="2">
        <v>0.58823300000000001</v>
      </c>
      <c r="V126" s="2">
        <v>125</v>
      </c>
      <c r="W126" s="2">
        <v>2011</v>
      </c>
    </row>
    <row r="127" spans="1:23" ht="12.3" x14ac:dyDescent="0.4">
      <c r="A127" s="2" t="s">
        <v>362</v>
      </c>
      <c r="B127" s="2"/>
      <c r="C127" s="2"/>
      <c r="D127" s="2"/>
      <c r="E127" s="2"/>
      <c r="F127" s="2"/>
      <c r="G127" s="2"/>
      <c r="H127" s="2"/>
      <c r="I127" s="2">
        <v>69.035799999999995</v>
      </c>
      <c r="J127" s="2">
        <v>69</v>
      </c>
      <c r="K127" s="2">
        <v>68.780199999999994</v>
      </c>
      <c r="L127" s="2">
        <v>65</v>
      </c>
      <c r="M127" s="2">
        <v>117.75830000000001</v>
      </c>
      <c r="N127" s="2">
        <v>3</v>
      </c>
      <c r="O127" s="2">
        <v>112.0515</v>
      </c>
      <c r="P127" s="2">
        <v>26</v>
      </c>
      <c r="Q127" s="2">
        <v>106.91970000000001</v>
      </c>
      <c r="R127" s="2">
        <v>290</v>
      </c>
      <c r="S127" s="2">
        <v>108.7264</v>
      </c>
      <c r="T127" s="2">
        <v>305</v>
      </c>
      <c r="U127" s="2">
        <v>0.58574999999999999</v>
      </c>
      <c r="V127" s="2">
        <v>126</v>
      </c>
      <c r="W127" s="2">
        <v>2011</v>
      </c>
    </row>
    <row r="128" spans="1:23" ht="12.3" x14ac:dyDescent="0.4">
      <c r="A128" s="2" t="s">
        <v>254</v>
      </c>
      <c r="B128" s="2"/>
      <c r="C128" s="2"/>
      <c r="D128" s="2"/>
      <c r="E128" s="2"/>
      <c r="F128" s="2"/>
      <c r="G128" s="2"/>
      <c r="H128" s="2"/>
      <c r="I128" s="2">
        <v>65.466300000000004</v>
      </c>
      <c r="J128" s="2">
        <v>235</v>
      </c>
      <c r="K128" s="2">
        <v>66.479900000000001</v>
      </c>
      <c r="L128" s="2">
        <v>180</v>
      </c>
      <c r="M128" s="2">
        <v>107.0167</v>
      </c>
      <c r="N128" s="2">
        <v>61</v>
      </c>
      <c r="O128" s="2">
        <v>104.479</v>
      </c>
      <c r="P128" s="2">
        <v>107</v>
      </c>
      <c r="Q128" s="2">
        <v>99.791300000000007</v>
      </c>
      <c r="R128" s="2">
        <v>117</v>
      </c>
      <c r="S128" s="2">
        <v>101.3943</v>
      </c>
      <c r="T128" s="2">
        <v>158</v>
      </c>
      <c r="U128" s="2">
        <v>0.58531599999999995</v>
      </c>
      <c r="V128" s="2">
        <v>127</v>
      </c>
      <c r="W128" s="2">
        <v>2011</v>
      </c>
    </row>
    <row r="129" spans="1:23" ht="12.3" x14ac:dyDescent="0.4">
      <c r="A129" s="2" t="s">
        <v>216</v>
      </c>
      <c r="B129" s="2"/>
      <c r="C129" s="2"/>
      <c r="D129" s="2"/>
      <c r="E129" s="2"/>
      <c r="F129" s="2"/>
      <c r="G129" s="2"/>
      <c r="H129" s="2"/>
      <c r="I129" s="2">
        <v>59.578600000000002</v>
      </c>
      <c r="J129" s="2">
        <v>343</v>
      </c>
      <c r="K129" s="2">
        <v>60.558999999999997</v>
      </c>
      <c r="L129" s="2">
        <v>340</v>
      </c>
      <c r="M129" s="2">
        <v>105.4965</v>
      </c>
      <c r="N129" s="2">
        <v>81</v>
      </c>
      <c r="O129" s="2">
        <v>107.379</v>
      </c>
      <c r="P129" s="2">
        <v>73</v>
      </c>
      <c r="Q129" s="2">
        <v>102.59050000000001</v>
      </c>
      <c r="R129" s="2">
        <v>197</v>
      </c>
      <c r="S129" s="2">
        <v>104.26130000000001</v>
      </c>
      <c r="T129" s="2">
        <v>234</v>
      </c>
      <c r="U129" s="2">
        <v>0.58390900000000001</v>
      </c>
      <c r="V129" s="2">
        <v>128</v>
      </c>
      <c r="W129" s="2">
        <v>2011</v>
      </c>
    </row>
    <row r="130" spans="1:23" ht="12.3" x14ac:dyDescent="0.4">
      <c r="A130" s="2" t="s">
        <v>304</v>
      </c>
      <c r="B130" s="2"/>
      <c r="C130" s="2"/>
      <c r="D130" s="2"/>
      <c r="E130" s="2"/>
      <c r="F130" s="2"/>
      <c r="G130" s="2"/>
      <c r="H130" s="2"/>
      <c r="I130" s="2">
        <v>65.113</v>
      </c>
      <c r="J130" s="2">
        <v>248</v>
      </c>
      <c r="K130" s="2">
        <v>64.485399999999998</v>
      </c>
      <c r="L130" s="2">
        <v>272</v>
      </c>
      <c r="M130" s="2">
        <v>101.934</v>
      </c>
      <c r="N130" s="2">
        <v>164</v>
      </c>
      <c r="O130" s="2">
        <v>104.0714</v>
      </c>
      <c r="P130" s="2">
        <v>116</v>
      </c>
      <c r="Q130" s="2">
        <v>99.8185</v>
      </c>
      <c r="R130" s="2">
        <v>118</v>
      </c>
      <c r="S130" s="2">
        <v>101.1446</v>
      </c>
      <c r="T130" s="2">
        <v>150</v>
      </c>
      <c r="U130" s="2">
        <v>0.581287</v>
      </c>
      <c r="V130" s="2">
        <v>129</v>
      </c>
      <c r="W130" s="2">
        <v>2011</v>
      </c>
    </row>
    <row r="131" spans="1:23" ht="12.3" x14ac:dyDescent="0.4">
      <c r="A131" s="2" t="s">
        <v>116</v>
      </c>
      <c r="B131" s="2"/>
      <c r="C131" s="2"/>
      <c r="D131" s="2"/>
      <c r="E131" s="2"/>
      <c r="F131" s="2"/>
      <c r="G131" s="2"/>
      <c r="H131" s="2"/>
      <c r="I131" s="2">
        <v>64.803299999999993</v>
      </c>
      <c r="J131" s="2">
        <v>259</v>
      </c>
      <c r="K131" s="2">
        <v>65.069900000000004</v>
      </c>
      <c r="L131" s="2">
        <v>250</v>
      </c>
      <c r="M131" s="2">
        <v>96.612799999999993</v>
      </c>
      <c r="N131" s="2">
        <v>271</v>
      </c>
      <c r="O131" s="2">
        <v>97.135099999999994</v>
      </c>
      <c r="P131" s="2">
        <v>257</v>
      </c>
      <c r="Q131" s="2">
        <v>97.173599999999993</v>
      </c>
      <c r="R131" s="2">
        <v>70</v>
      </c>
      <c r="S131" s="2">
        <v>94.493499999999997</v>
      </c>
      <c r="T131" s="2">
        <v>37</v>
      </c>
      <c r="U131" s="2">
        <v>0.57861099999999999</v>
      </c>
      <c r="V131" s="2">
        <v>130</v>
      </c>
      <c r="W131" s="2">
        <v>2011</v>
      </c>
    </row>
    <row r="132" spans="1:23" ht="12.3" x14ac:dyDescent="0.4">
      <c r="A132" s="2" t="s">
        <v>258</v>
      </c>
      <c r="B132" s="2"/>
      <c r="C132" s="2"/>
      <c r="D132" s="2"/>
      <c r="E132" s="2"/>
      <c r="F132" s="2"/>
      <c r="G132" s="2"/>
      <c r="H132" s="2"/>
      <c r="I132" s="2">
        <v>67.208299999999994</v>
      </c>
      <c r="J132" s="2">
        <v>157</v>
      </c>
      <c r="K132" s="2">
        <v>67.302000000000007</v>
      </c>
      <c r="L132" s="2">
        <v>138</v>
      </c>
      <c r="M132" s="2">
        <v>101.0973</v>
      </c>
      <c r="N132" s="2">
        <v>186</v>
      </c>
      <c r="O132" s="2">
        <v>101.0309</v>
      </c>
      <c r="P132" s="2">
        <v>182</v>
      </c>
      <c r="Q132" s="2">
        <v>99.335800000000006</v>
      </c>
      <c r="R132" s="2">
        <v>108</v>
      </c>
      <c r="S132" s="2">
        <v>98.337400000000002</v>
      </c>
      <c r="T132" s="2">
        <v>95</v>
      </c>
      <c r="U132" s="2">
        <v>0.57706900000000005</v>
      </c>
      <c r="V132" s="2">
        <v>131</v>
      </c>
      <c r="W132" s="2">
        <v>2011</v>
      </c>
    </row>
    <row r="133" spans="1:23" ht="12.3" x14ac:dyDescent="0.4">
      <c r="A133" s="2" t="s">
        <v>122</v>
      </c>
      <c r="B133" s="2"/>
      <c r="C133" s="2"/>
      <c r="D133" s="2"/>
      <c r="E133" s="2"/>
      <c r="F133" s="2"/>
      <c r="G133" s="2"/>
      <c r="H133" s="2"/>
      <c r="I133" s="2">
        <v>66.6387</v>
      </c>
      <c r="J133" s="2">
        <v>179</v>
      </c>
      <c r="K133" s="2">
        <v>66.795100000000005</v>
      </c>
      <c r="L133" s="2">
        <v>163</v>
      </c>
      <c r="M133" s="2">
        <v>101.7077</v>
      </c>
      <c r="N133" s="2">
        <v>171</v>
      </c>
      <c r="O133" s="2">
        <v>103.3567</v>
      </c>
      <c r="P133" s="2">
        <v>128</v>
      </c>
      <c r="Q133" s="2">
        <v>103.44289999999999</v>
      </c>
      <c r="R133" s="2">
        <v>211</v>
      </c>
      <c r="S133" s="2">
        <v>100.8473</v>
      </c>
      <c r="T133" s="2">
        <v>137</v>
      </c>
      <c r="U133" s="2">
        <v>0.57019500000000001</v>
      </c>
      <c r="V133" s="2">
        <v>132</v>
      </c>
      <c r="W133" s="2">
        <v>2011</v>
      </c>
    </row>
    <row r="134" spans="1:23" ht="12.3" x14ac:dyDescent="0.4">
      <c r="A134" s="2" t="s">
        <v>132</v>
      </c>
      <c r="B134" s="2"/>
      <c r="C134" s="2"/>
      <c r="D134" s="2"/>
      <c r="E134" s="2"/>
      <c r="F134" s="2"/>
      <c r="G134" s="2"/>
      <c r="H134" s="2"/>
      <c r="I134" s="2">
        <v>70.538700000000006</v>
      </c>
      <c r="J134" s="2">
        <v>35</v>
      </c>
      <c r="K134" s="2">
        <v>71.050700000000006</v>
      </c>
      <c r="L134" s="2">
        <v>24</v>
      </c>
      <c r="M134" s="2">
        <v>103.3185</v>
      </c>
      <c r="N134" s="2">
        <v>128</v>
      </c>
      <c r="O134" s="2">
        <v>105.8753</v>
      </c>
      <c r="P134" s="2">
        <v>92</v>
      </c>
      <c r="Q134" s="2">
        <v>102.36660000000001</v>
      </c>
      <c r="R134" s="2">
        <v>193</v>
      </c>
      <c r="S134" s="2">
        <v>103.31059999999999</v>
      </c>
      <c r="T134" s="2">
        <v>211</v>
      </c>
      <c r="U134" s="2">
        <v>0.57003800000000004</v>
      </c>
      <c r="V134" s="2">
        <v>133</v>
      </c>
      <c r="W134" s="2">
        <v>2011</v>
      </c>
    </row>
    <row r="135" spans="1:23" ht="12.3" x14ac:dyDescent="0.4">
      <c r="A135" s="2" t="s">
        <v>199</v>
      </c>
      <c r="B135" s="2"/>
      <c r="C135" s="2"/>
      <c r="D135" s="2"/>
      <c r="E135" s="2"/>
      <c r="F135" s="2"/>
      <c r="G135" s="2"/>
      <c r="H135" s="2"/>
      <c r="I135" s="2">
        <v>63.116500000000002</v>
      </c>
      <c r="J135" s="2">
        <v>311</v>
      </c>
      <c r="K135" s="2">
        <v>62.936100000000003</v>
      </c>
      <c r="L135" s="2">
        <v>319</v>
      </c>
      <c r="M135" s="2">
        <v>110.3678</v>
      </c>
      <c r="N135" s="2">
        <v>31</v>
      </c>
      <c r="O135" s="2">
        <v>109.9097</v>
      </c>
      <c r="P135" s="2">
        <v>40</v>
      </c>
      <c r="Q135" s="2">
        <v>108.4709</v>
      </c>
      <c r="R135" s="2">
        <v>314</v>
      </c>
      <c r="S135" s="2">
        <v>107.328</v>
      </c>
      <c r="T135" s="2">
        <v>280</v>
      </c>
      <c r="U135" s="2">
        <v>0.56791400000000003</v>
      </c>
      <c r="V135" s="2">
        <v>134</v>
      </c>
      <c r="W135" s="2">
        <v>2011</v>
      </c>
    </row>
    <row r="136" spans="1:23" ht="12.3" x14ac:dyDescent="0.4">
      <c r="A136" s="2" t="s">
        <v>281</v>
      </c>
      <c r="B136" s="2">
        <v>16</v>
      </c>
      <c r="C136" s="2"/>
      <c r="D136" s="2"/>
      <c r="E136" s="2"/>
      <c r="F136" s="2"/>
      <c r="G136" s="2"/>
      <c r="H136" s="2"/>
      <c r="I136" s="2">
        <v>69.4649</v>
      </c>
      <c r="J136" s="2">
        <v>52</v>
      </c>
      <c r="K136" s="2">
        <v>68.893100000000004</v>
      </c>
      <c r="L136" s="2">
        <v>62</v>
      </c>
      <c r="M136" s="2">
        <v>101.2503</v>
      </c>
      <c r="N136" s="2">
        <v>182</v>
      </c>
      <c r="O136" s="2">
        <v>99.722399999999993</v>
      </c>
      <c r="P136" s="2">
        <v>209</v>
      </c>
      <c r="Q136" s="2">
        <v>96.378699999999995</v>
      </c>
      <c r="R136" s="2">
        <v>54</v>
      </c>
      <c r="S136" s="2">
        <v>97.419499999999999</v>
      </c>
      <c r="T136" s="2">
        <v>73</v>
      </c>
      <c r="U136" s="2">
        <v>0.56677</v>
      </c>
      <c r="V136" s="2">
        <v>135</v>
      </c>
      <c r="W136" s="2">
        <v>2011</v>
      </c>
    </row>
    <row r="137" spans="1:23" ht="12.3" x14ac:dyDescent="0.4">
      <c r="A137" s="2" t="s">
        <v>220</v>
      </c>
      <c r="B137" s="2"/>
      <c r="C137" s="2"/>
      <c r="D137" s="2"/>
      <c r="E137" s="2"/>
      <c r="F137" s="2"/>
      <c r="G137" s="2"/>
      <c r="H137" s="2"/>
      <c r="I137" s="2">
        <v>64.872699999999995</v>
      </c>
      <c r="J137" s="2">
        <v>256</v>
      </c>
      <c r="K137" s="2">
        <v>65.424999999999997</v>
      </c>
      <c r="L137" s="2">
        <v>238</v>
      </c>
      <c r="M137" s="2">
        <v>103.05549999999999</v>
      </c>
      <c r="N137" s="2">
        <v>136</v>
      </c>
      <c r="O137" s="2">
        <v>100.2732</v>
      </c>
      <c r="P137" s="2">
        <v>194</v>
      </c>
      <c r="Q137" s="2">
        <v>93.860399999999998</v>
      </c>
      <c r="R137" s="2">
        <v>25</v>
      </c>
      <c r="S137" s="2">
        <v>98.014700000000005</v>
      </c>
      <c r="T137" s="2">
        <v>87</v>
      </c>
      <c r="U137" s="2">
        <v>0.56512399999999996</v>
      </c>
      <c r="V137" s="2">
        <v>136</v>
      </c>
      <c r="W137" s="2">
        <v>2011</v>
      </c>
    </row>
    <row r="138" spans="1:23" ht="12.3" x14ac:dyDescent="0.4">
      <c r="A138" s="2" t="s">
        <v>118</v>
      </c>
      <c r="B138" s="2"/>
      <c r="C138" s="2"/>
      <c r="D138" s="2"/>
      <c r="E138" s="2"/>
      <c r="F138" s="2"/>
      <c r="G138" s="2"/>
      <c r="H138" s="2"/>
      <c r="I138" s="2">
        <v>68.500100000000003</v>
      </c>
      <c r="J138" s="2">
        <v>84</v>
      </c>
      <c r="K138" s="2">
        <v>68.153199999999998</v>
      </c>
      <c r="L138" s="2">
        <v>91</v>
      </c>
      <c r="M138" s="2">
        <v>101.2216</v>
      </c>
      <c r="N138" s="2">
        <v>183</v>
      </c>
      <c r="O138" s="2">
        <v>103.264</v>
      </c>
      <c r="P138" s="2">
        <v>132</v>
      </c>
      <c r="Q138" s="2">
        <v>102.45869999999999</v>
      </c>
      <c r="R138" s="2">
        <v>195</v>
      </c>
      <c r="S138" s="2">
        <v>101.0106</v>
      </c>
      <c r="T138" s="2">
        <v>140</v>
      </c>
      <c r="U138" s="2">
        <v>0.56309600000000004</v>
      </c>
      <c r="V138" s="2">
        <v>137</v>
      </c>
      <c r="W138" s="2">
        <v>2011</v>
      </c>
    </row>
    <row r="139" spans="1:23" ht="12.3" x14ac:dyDescent="0.4">
      <c r="A139" s="2" t="s">
        <v>38</v>
      </c>
      <c r="B139" s="2"/>
      <c r="C139" s="2"/>
      <c r="D139" s="2"/>
      <c r="E139" s="2"/>
      <c r="F139" s="2"/>
      <c r="G139" s="2"/>
      <c r="H139" s="2"/>
      <c r="I139" s="2">
        <v>65.590699999999998</v>
      </c>
      <c r="J139" s="2">
        <v>229</v>
      </c>
      <c r="K139" s="2">
        <v>65.259900000000002</v>
      </c>
      <c r="L139" s="2">
        <v>244</v>
      </c>
      <c r="M139" s="2">
        <v>99.710999999999999</v>
      </c>
      <c r="N139" s="2">
        <v>211</v>
      </c>
      <c r="O139" s="2">
        <v>103.1562</v>
      </c>
      <c r="P139" s="2">
        <v>138</v>
      </c>
      <c r="Q139" s="2">
        <v>104.1164</v>
      </c>
      <c r="R139" s="2">
        <v>240</v>
      </c>
      <c r="S139" s="2">
        <v>100.9627</v>
      </c>
      <c r="T139" s="2">
        <v>139</v>
      </c>
      <c r="U139" s="2">
        <v>0.56148200000000004</v>
      </c>
      <c r="V139" s="2">
        <v>138</v>
      </c>
      <c r="W139" s="2">
        <v>2011</v>
      </c>
    </row>
    <row r="140" spans="1:23" ht="12.3" x14ac:dyDescent="0.4">
      <c r="A140" s="2" t="s">
        <v>99</v>
      </c>
      <c r="B140" s="2"/>
      <c r="C140" s="2"/>
      <c r="D140" s="2"/>
      <c r="E140" s="2"/>
      <c r="F140" s="2"/>
      <c r="G140" s="2"/>
      <c r="H140" s="2"/>
      <c r="I140" s="2">
        <v>64.466499999999996</v>
      </c>
      <c r="J140" s="2">
        <v>270</v>
      </c>
      <c r="K140" s="2">
        <v>63.837899999999998</v>
      </c>
      <c r="L140" s="2">
        <v>298</v>
      </c>
      <c r="M140" s="2">
        <v>98.501199999999997</v>
      </c>
      <c r="N140" s="2">
        <v>233</v>
      </c>
      <c r="O140" s="2">
        <v>102.16670000000001</v>
      </c>
      <c r="P140" s="2">
        <v>155</v>
      </c>
      <c r="Q140" s="2">
        <v>103.5557</v>
      </c>
      <c r="R140" s="2">
        <v>219</v>
      </c>
      <c r="S140" s="2">
        <v>100.0851</v>
      </c>
      <c r="T140" s="2">
        <v>126</v>
      </c>
      <c r="U140" s="2">
        <v>0.55890600000000001</v>
      </c>
      <c r="V140" s="2">
        <v>139</v>
      </c>
      <c r="W140" s="2">
        <v>2011</v>
      </c>
    </row>
    <row r="141" spans="1:23" ht="12.3" x14ac:dyDescent="0.4">
      <c r="A141" s="2" t="s">
        <v>206</v>
      </c>
      <c r="B141" s="2"/>
      <c r="C141" s="2"/>
      <c r="D141" s="2"/>
      <c r="E141" s="2"/>
      <c r="F141" s="2"/>
      <c r="G141" s="2"/>
      <c r="H141" s="2"/>
      <c r="I141" s="2">
        <v>65.382400000000004</v>
      </c>
      <c r="J141" s="2">
        <v>244</v>
      </c>
      <c r="K141" s="2">
        <v>66.203500000000005</v>
      </c>
      <c r="L141" s="2">
        <v>198</v>
      </c>
      <c r="M141" s="2">
        <v>102.2944</v>
      </c>
      <c r="N141" s="2">
        <v>156</v>
      </c>
      <c r="O141" s="2">
        <v>104.2182</v>
      </c>
      <c r="P141" s="2">
        <v>113</v>
      </c>
      <c r="Q141" s="2">
        <v>104.1974</v>
      </c>
      <c r="R141" s="2">
        <v>244</v>
      </c>
      <c r="S141" s="2">
        <v>102.1559</v>
      </c>
      <c r="T141" s="2">
        <v>178</v>
      </c>
      <c r="U141" s="2">
        <v>0.55721200000000004</v>
      </c>
      <c r="V141" s="2">
        <v>140</v>
      </c>
      <c r="W141" s="2">
        <v>2011</v>
      </c>
    </row>
    <row r="142" spans="1:23" ht="12.3" x14ac:dyDescent="0.4">
      <c r="A142" s="2" t="s">
        <v>70</v>
      </c>
      <c r="B142" s="2"/>
      <c r="C142" s="2"/>
      <c r="D142" s="2"/>
      <c r="E142" s="2"/>
      <c r="F142" s="2"/>
      <c r="G142" s="2"/>
      <c r="H142" s="2"/>
      <c r="I142" s="2">
        <v>68.337900000000005</v>
      </c>
      <c r="J142" s="2">
        <v>91</v>
      </c>
      <c r="K142" s="2">
        <v>68.334000000000003</v>
      </c>
      <c r="L142" s="2">
        <v>79</v>
      </c>
      <c r="M142" s="2">
        <v>98.001800000000003</v>
      </c>
      <c r="N142" s="2">
        <v>245</v>
      </c>
      <c r="O142" s="2">
        <v>101.41419999999999</v>
      </c>
      <c r="P142" s="2">
        <v>177</v>
      </c>
      <c r="Q142" s="2">
        <v>104.06659999999999</v>
      </c>
      <c r="R142" s="2">
        <v>238</v>
      </c>
      <c r="S142" s="2">
        <v>99.44</v>
      </c>
      <c r="T142" s="2">
        <v>112</v>
      </c>
      <c r="U142" s="2">
        <v>0.55627899999999997</v>
      </c>
      <c r="V142" s="2">
        <v>141</v>
      </c>
      <c r="W142" s="2">
        <v>2011</v>
      </c>
    </row>
    <row r="143" spans="1:23" ht="12.3" x14ac:dyDescent="0.4">
      <c r="A143" s="2" t="s">
        <v>103</v>
      </c>
      <c r="B143" s="2"/>
      <c r="C143" s="2"/>
      <c r="D143" s="2"/>
      <c r="E143" s="2"/>
      <c r="F143" s="2"/>
      <c r="G143" s="2"/>
      <c r="H143" s="2"/>
      <c r="I143" s="2">
        <v>62.961500000000001</v>
      </c>
      <c r="J143" s="2">
        <v>314</v>
      </c>
      <c r="K143" s="2">
        <v>63.001600000000003</v>
      </c>
      <c r="L143" s="2">
        <v>317</v>
      </c>
      <c r="M143" s="2">
        <v>96.854399999999998</v>
      </c>
      <c r="N143" s="2">
        <v>265</v>
      </c>
      <c r="O143" s="2">
        <v>101.5585</v>
      </c>
      <c r="P143" s="2">
        <v>174</v>
      </c>
      <c r="Q143" s="2">
        <v>104.3113</v>
      </c>
      <c r="R143" s="2">
        <v>246</v>
      </c>
      <c r="S143" s="2">
        <v>99.590299999999999</v>
      </c>
      <c r="T143" s="2">
        <v>116</v>
      </c>
      <c r="U143" s="2">
        <v>0.55602700000000005</v>
      </c>
      <c r="V143" s="2">
        <v>142</v>
      </c>
      <c r="W143" s="2">
        <v>2011</v>
      </c>
    </row>
    <row r="144" spans="1:23" ht="12.3" x14ac:dyDescent="0.4">
      <c r="A144" s="2" t="s">
        <v>150</v>
      </c>
      <c r="B144" s="2"/>
      <c r="C144" s="2"/>
      <c r="D144" s="2"/>
      <c r="E144" s="2"/>
      <c r="F144" s="2"/>
      <c r="G144" s="2"/>
      <c r="H144" s="2"/>
      <c r="I144" s="2">
        <v>66.171400000000006</v>
      </c>
      <c r="J144" s="2">
        <v>202</v>
      </c>
      <c r="K144" s="2">
        <v>65.920299999999997</v>
      </c>
      <c r="L144" s="2">
        <v>214</v>
      </c>
      <c r="M144" s="2">
        <v>104.58969999999999</v>
      </c>
      <c r="N144" s="2">
        <v>102</v>
      </c>
      <c r="O144" s="2">
        <v>103.32980000000001</v>
      </c>
      <c r="P144" s="2">
        <v>129</v>
      </c>
      <c r="Q144" s="2">
        <v>100.1366</v>
      </c>
      <c r="R144" s="2">
        <v>134</v>
      </c>
      <c r="S144" s="2">
        <v>101.3835</v>
      </c>
      <c r="T144" s="2">
        <v>157</v>
      </c>
      <c r="U144" s="2">
        <v>0.55445100000000003</v>
      </c>
      <c r="V144" s="2">
        <v>143</v>
      </c>
      <c r="W144" s="2">
        <v>2011</v>
      </c>
    </row>
    <row r="145" spans="1:23" ht="12.3" x14ac:dyDescent="0.4">
      <c r="A145" s="2" t="s">
        <v>156</v>
      </c>
      <c r="B145" s="2"/>
      <c r="C145" s="2"/>
      <c r="D145" s="2"/>
      <c r="E145" s="2"/>
      <c r="F145" s="2"/>
      <c r="G145" s="2"/>
      <c r="H145" s="2"/>
      <c r="I145" s="2">
        <v>67.862700000000004</v>
      </c>
      <c r="J145" s="2">
        <v>121</v>
      </c>
      <c r="K145" s="2">
        <v>67.432199999999995</v>
      </c>
      <c r="L145" s="2">
        <v>130</v>
      </c>
      <c r="M145" s="2">
        <v>101.77670000000001</v>
      </c>
      <c r="N145" s="2">
        <v>168</v>
      </c>
      <c r="O145" s="2">
        <v>99.416799999999995</v>
      </c>
      <c r="P145" s="2">
        <v>218</v>
      </c>
      <c r="Q145" s="2">
        <v>95.780600000000007</v>
      </c>
      <c r="R145" s="2">
        <v>46</v>
      </c>
      <c r="S145" s="2">
        <v>97.632199999999997</v>
      </c>
      <c r="T145" s="2">
        <v>80</v>
      </c>
      <c r="U145" s="2">
        <v>0.55189100000000002</v>
      </c>
      <c r="V145" s="2">
        <v>144</v>
      </c>
      <c r="W145" s="2">
        <v>2011</v>
      </c>
    </row>
    <row r="146" spans="1:23" ht="12.3" x14ac:dyDescent="0.4">
      <c r="A146" s="2" t="s">
        <v>227</v>
      </c>
      <c r="B146" s="2"/>
      <c r="C146" s="2"/>
      <c r="D146" s="2"/>
      <c r="E146" s="2"/>
      <c r="F146" s="2"/>
      <c r="G146" s="2"/>
      <c r="H146" s="2"/>
      <c r="I146" s="2">
        <v>67.980800000000002</v>
      </c>
      <c r="J146" s="2">
        <v>113</v>
      </c>
      <c r="K146" s="2">
        <v>68.278099999999995</v>
      </c>
      <c r="L146" s="2">
        <v>84</v>
      </c>
      <c r="M146" s="2">
        <v>102.8858</v>
      </c>
      <c r="N146" s="2">
        <v>140</v>
      </c>
      <c r="O146" s="2">
        <v>100.6694</v>
      </c>
      <c r="P146" s="2">
        <v>188</v>
      </c>
      <c r="Q146" s="2">
        <v>97.376900000000006</v>
      </c>
      <c r="R146" s="2">
        <v>77</v>
      </c>
      <c r="S146" s="2">
        <v>98.877399999999994</v>
      </c>
      <c r="T146" s="2">
        <v>105</v>
      </c>
      <c r="U146" s="2">
        <v>0.551454</v>
      </c>
      <c r="V146" s="2">
        <v>145</v>
      </c>
      <c r="W146" s="2">
        <v>2011</v>
      </c>
    </row>
    <row r="147" spans="1:23" ht="12.3" x14ac:dyDescent="0.4">
      <c r="A147" s="2" t="s">
        <v>173</v>
      </c>
      <c r="B147" s="2"/>
      <c r="C147" s="2"/>
      <c r="D147" s="2"/>
      <c r="E147" s="2"/>
      <c r="F147" s="2"/>
      <c r="G147" s="2"/>
      <c r="H147" s="2"/>
      <c r="I147" s="2">
        <v>67.117099999999994</v>
      </c>
      <c r="J147" s="2">
        <v>164</v>
      </c>
      <c r="K147" s="2">
        <v>67.284499999999994</v>
      </c>
      <c r="L147" s="2">
        <v>139</v>
      </c>
      <c r="M147" s="2">
        <v>99.399600000000007</v>
      </c>
      <c r="N147" s="2">
        <v>215</v>
      </c>
      <c r="O147" s="2">
        <v>100.6979</v>
      </c>
      <c r="P147" s="2">
        <v>187</v>
      </c>
      <c r="Q147" s="2">
        <v>102.25149999999999</v>
      </c>
      <c r="R147" s="2">
        <v>192</v>
      </c>
      <c r="S147" s="2">
        <v>99.121799999999993</v>
      </c>
      <c r="T147" s="2">
        <v>106</v>
      </c>
      <c r="U147" s="2">
        <v>0.54523100000000002</v>
      </c>
      <c r="V147" s="2">
        <v>146</v>
      </c>
      <c r="W147" s="2">
        <v>2011</v>
      </c>
    </row>
    <row r="148" spans="1:23" ht="12.3" x14ac:dyDescent="0.4">
      <c r="A148" s="2" t="s">
        <v>217</v>
      </c>
      <c r="B148" s="2"/>
      <c r="C148" s="2"/>
      <c r="D148" s="2"/>
      <c r="E148" s="2"/>
      <c r="F148" s="2"/>
      <c r="G148" s="2"/>
      <c r="H148" s="2"/>
      <c r="I148" s="2">
        <v>68.097700000000003</v>
      </c>
      <c r="J148" s="2">
        <v>106</v>
      </c>
      <c r="K148" s="2">
        <v>67.848399999999998</v>
      </c>
      <c r="L148" s="2">
        <v>108</v>
      </c>
      <c r="M148" s="2">
        <v>104.73439999999999</v>
      </c>
      <c r="N148" s="2">
        <v>101</v>
      </c>
      <c r="O148" s="2">
        <v>103.1546</v>
      </c>
      <c r="P148" s="2">
        <v>139</v>
      </c>
      <c r="Q148" s="2">
        <v>103.99299999999999</v>
      </c>
      <c r="R148" s="2">
        <v>234</v>
      </c>
      <c r="S148" s="2">
        <v>101.6225</v>
      </c>
      <c r="T148" s="2">
        <v>164</v>
      </c>
      <c r="U148" s="2">
        <v>0.54291400000000001</v>
      </c>
      <c r="V148" s="2">
        <v>147</v>
      </c>
      <c r="W148" s="2">
        <v>2011</v>
      </c>
    </row>
    <row r="149" spans="1:23" ht="12.3" x14ac:dyDescent="0.4">
      <c r="A149" s="2" t="s">
        <v>106</v>
      </c>
      <c r="B149" s="2"/>
      <c r="C149" s="2"/>
      <c r="D149" s="2"/>
      <c r="E149" s="2"/>
      <c r="F149" s="2"/>
      <c r="G149" s="2"/>
      <c r="H149" s="2"/>
      <c r="I149" s="2">
        <v>64.875500000000002</v>
      </c>
      <c r="J149" s="2">
        <v>254</v>
      </c>
      <c r="K149" s="2">
        <v>64.074399999999997</v>
      </c>
      <c r="L149" s="2">
        <v>291</v>
      </c>
      <c r="M149" s="2">
        <v>103.91889999999999</v>
      </c>
      <c r="N149" s="2">
        <v>114</v>
      </c>
      <c r="O149" s="2">
        <v>105.45950000000001</v>
      </c>
      <c r="P149" s="2">
        <v>95</v>
      </c>
      <c r="Q149" s="2">
        <v>103.7672</v>
      </c>
      <c r="R149" s="2">
        <v>227</v>
      </c>
      <c r="S149" s="2">
        <v>104.10599999999999</v>
      </c>
      <c r="T149" s="2">
        <v>227</v>
      </c>
      <c r="U149" s="2">
        <v>0.53706900000000002</v>
      </c>
      <c r="V149" s="2">
        <v>148</v>
      </c>
      <c r="W149" s="2">
        <v>2011</v>
      </c>
    </row>
    <row r="150" spans="1:23" ht="12.3" x14ac:dyDescent="0.4">
      <c r="A150" s="2" t="s">
        <v>195</v>
      </c>
      <c r="B150" s="2"/>
      <c r="C150" s="2"/>
      <c r="D150" s="2"/>
      <c r="E150" s="2"/>
      <c r="F150" s="2"/>
      <c r="G150" s="2"/>
      <c r="H150" s="2"/>
      <c r="I150" s="2">
        <v>63.740699999999997</v>
      </c>
      <c r="J150" s="2">
        <v>299</v>
      </c>
      <c r="K150" s="2">
        <v>63.654899999999998</v>
      </c>
      <c r="L150" s="2">
        <v>305</v>
      </c>
      <c r="M150" s="2">
        <v>106.4243</v>
      </c>
      <c r="N150" s="2">
        <v>72</v>
      </c>
      <c r="O150" s="2">
        <v>102.32859999999999</v>
      </c>
      <c r="P150" s="2">
        <v>151</v>
      </c>
      <c r="Q150" s="2">
        <v>100.7454</v>
      </c>
      <c r="R150" s="2">
        <v>150</v>
      </c>
      <c r="S150" s="2">
        <v>101.0288</v>
      </c>
      <c r="T150" s="2">
        <v>142</v>
      </c>
      <c r="U150" s="2">
        <v>0.53668700000000003</v>
      </c>
      <c r="V150" s="2">
        <v>149</v>
      </c>
      <c r="W150" s="2">
        <v>2011</v>
      </c>
    </row>
    <row r="151" spans="1:23" ht="12.3" x14ac:dyDescent="0.4">
      <c r="A151" s="2" t="s">
        <v>17</v>
      </c>
      <c r="B151" s="2"/>
      <c r="C151" s="2"/>
      <c r="D151" s="2"/>
      <c r="E151" s="2"/>
      <c r="F151" s="2"/>
      <c r="G151" s="2"/>
      <c r="H151" s="2"/>
      <c r="I151" s="2">
        <v>68.057599999999994</v>
      </c>
      <c r="J151" s="2">
        <v>108</v>
      </c>
      <c r="K151" s="2">
        <v>68.294399999999996</v>
      </c>
      <c r="L151" s="2">
        <v>82</v>
      </c>
      <c r="M151" s="2">
        <v>97.349699999999999</v>
      </c>
      <c r="N151" s="2">
        <v>258</v>
      </c>
      <c r="O151" s="2">
        <v>98.450199999999995</v>
      </c>
      <c r="P151" s="2">
        <v>232</v>
      </c>
      <c r="Q151" s="2">
        <v>99.725800000000007</v>
      </c>
      <c r="R151" s="2">
        <v>115</v>
      </c>
      <c r="S151" s="2">
        <v>97.295400000000001</v>
      </c>
      <c r="T151" s="2">
        <v>70</v>
      </c>
      <c r="U151" s="2">
        <v>0.53387200000000001</v>
      </c>
      <c r="V151" s="2">
        <v>150</v>
      </c>
      <c r="W151" s="2">
        <v>2011</v>
      </c>
    </row>
    <row r="152" spans="1:23" ht="12.3" x14ac:dyDescent="0.4">
      <c r="A152" s="2" t="s">
        <v>151</v>
      </c>
      <c r="B152" s="2"/>
      <c r="C152" s="2"/>
      <c r="D152" s="2"/>
      <c r="E152" s="2"/>
      <c r="F152" s="2"/>
      <c r="G152" s="2"/>
      <c r="H152" s="2"/>
      <c r="I152" s="2">
        <v>68.154600000000002</v>
      </c>
      <c r="J152" s="2">
        <v>101</v>
      </c>
      <c r="K152" s="2">
        <v>68.419399999999996</v>
      </c>
      <c r="L152" s="2">
        <v>75</v>
      </c>
      <c r="M152" s="2">
        <v>105.5204</v>
      </c>
      <c r="N152" s="2">
        <v>80</v>
      </c>
      <c r="O152" s="2">
        <v>105.943</v>
      </c>
      <c r="P152" s="2">
        <v>90</v>
      </c>
      <c r="Q152" s="2">
        <v>102.5518</v>
      </c>
      <c r="R152" s="2">
        <v>196</v>
      </c>
      <c r="S152" s="2">
        <v>104.7568</v>
      </c>
      <c r="T152" s="2">
        <v>240</v>
      </c>
      <c r="U152" s="2">
        <v>0.53232699999999999</v>
      </c>
      <c r="V152" s="2">
        <v>151</v>
      </c>
      <c r="W152" s="2">
        <v>2011</v>
      </c>
    </row>
    <row r="153" spans="1:23" ht="12.3" x14ac:dyDescent="0.4">
      <c r="A153" s="2" t="s">
        <v>307</v>
      </c>
      <c r="B153" s="2"/>
      <c r="C153" s="2"/>
      <c r="D153" s="2"/>
      <c r="E153" s="2"/>
      <c r="F153" s="2"/>
      <c r="G153" s="2"/>
      <c r="H153" s="2"/>
      <c r="I153" s="2">
        <v>65.717600000000004</v>
      </c>
      <c r="J153" s="2">
        <v>225</v>
      </c>
      <c r="K153" s="2">
        <v>64.754400000000004</v>
      </c>
      <c r="L153" s="2">
        <v>260</v>
      </c>
      <c r="M153" s="2">
        <v>101.4025</v>
      </c>
      <c r="N153" s="2">
        <v>175</v>
      </c>
      <c r="O153" s="2">
        <v>101.3411</v>
      </c>
      <c r="P153" s="2">
        <v>179</v>
      </c>
      <c r="Q153" s="2">
        <v>98.227699999999999</v>
      </c>
      <c r="R153" s="2">
        <v>89</v>
      </c>
      <c r="S153" s="2">
        <v>100.37779999999999</v>
      </c>
      <c r="T153" s="2">
        <v>129</v>
      </c>
      <c r="U153" s="2">
        <v>0.52743399999999996</v>
      </c>
      <c r="V153" s="2">
        <v>152</v>
      </c>
      <c r="W153" s="2">
        <v>2011</v>
      </c>
    </row>
    <row r="154" spans="1:23" ht="12.3" x14ac:dyDescent="0.4">
      <c r="A154" s="2" t="s">
        <v>66</v>
      </c>
      <c r="B154" s="2"/>
      <c r="C154" s="2"/>
      <c r="D154" s="2"/>
      <c r="E154" s="2"/>
      <c r="F154" s="2"/>
      <c r="G154" s="2"/>
      <c r="H154" s="2"/>
      <c r="I154" s="2">
        <v>68.034499999999994</v>
      </c>
      <c r="J154" s="2">
        <v>110</v>
      </c>
      <c r="K154" s="2">
        <v>67.597899999999996</v>
      </c>
      <c r="L154" s="2">
        <v>118</v>
      </c>
      <c r="M154" s="2">
        <v>99.911799999999999</v>
      </c>
      <c r="N154" s="2">
        <v>207</v>
      </c>
      <c r="O154" s="2">
        <v>99.968299999999999</v>
      </c>
      <c r="P154" s="2">
        <v>201</v>
      </c>
      <c r="Q154" s="2">
        <v>98.415300000000002</v>
      </c>
      <c r="R154" s="2">
        <v>94</v>
      </c>
      <c r="S154" s="2">
        <v>99.15</v>
      </c>
      <c r="T154" s="2">
        <v>108</v>
      </c>
      <c r="U154" s="2">
        <v>0.52361100000000005</v>
      </c>
      <c r="V154" s="2">
        <v>153</v>
      </c>
      <c r="W154" s="2">
        <v>2011</v>
      </c>
    </row>
    <row r="155" spans="1:23" ht="12.3" x14ac:dyDescent="0.4">
      <c r="A155" s="2" t="s">
        <v>145</v>
      </c>
      <c r="B155" s="2"/>
      <c r="C155" s="2"/>
      <c r="D155" s="2"/>
      <c r="E155" s="2"/>
      <c r="F155" s="2"/>
      <c r="G155" s="2"/>
      <c r="H155" s="2"/>
      <c r="I155" s="2">
        <v>68.375100000000003</v>
      </c>
      <c r="J155" s="2">
        <v>90</v>
      </c>
      <c r="K155" s="2">
        <v>68.312899999999999</v>
      </c>
      <c r="L155" s="2">
        <v>81</v>
      </c>
      <c r="M155" s="2">
        <v>101.1435</v>
      </c>
      <c r="N155" s="2">
        <v>184</v>
      </c>
      <c r="O155" s="2">
        <v>102.8014</v>
      </c>
      <c r="P155" s="2">
        <v>144</v>
      </c>
      <c r="Q155" s="2">
        <v>103.82640000000001</v>
      </c>
      <c r="R155" s="2">
        <v>229</v>
      </c>
      <c r="S155" s="2">
        <v>102.03360000000001</v>
      </c>
      <c r="T155" s="2">
        <v>176</v>
      </c>
      <c r="U155" s="2">
        <v>0.52153899999999997</v>
      </c>
      <c r="V155" s="2">
        <v>154</v>
      </c>
      <c r="W155" s="2">
        <v>2011</v>
      </c>
    </row>
    <row r="156" spans="1:23" ht="12.3" x14ac:dyDescent="0.4">
      <c r="A156" s="2" t="s">
        <v>337</v>
      </c>
      <c r="B156" s="2"/>
      <c r="C156" s="2"/>
      <c r="D156" s="2"/>
      <c r="E156" s="2"/>
      <c r="F156" s="2"/>
      <c r="G156" s="2"/>
      <c r="H156" s="2"/>
      <c r="I156" s="2">
        <v>71.349999999999994</v>
      </c>
      <c r="J156" s="2">
        <v>24</v>
      </c>
      <c r="K156" s="2">
        <v>70.449100000000001</v>
      </c>
      <c r="L156" s="2">
        <v>33</v>
      </c>
      <c r="M156" s="2">
        <v>104.4127</v>
      </c>
      <c r="N156" s="2">
        <v>104</v>
      </c>
      <c r="O156" s="2">
        <v>105.13720000000001</v>
      </c>
      <c r="P156" s="2">
        <v>100</v>
      </c>
      <c r="Q156" s="2">
        <v>101.7413</v>
      </c>
      <c r="R156" s="2">
        <v>179</v>
      </c>
      <c r="S156" s="2">
        <v>104.41079999999999</v>
      </c>
      <c r="T156" s="2">
        <v>236</v>
      </c>
      <c r="U156" s="2">
        <v>0.519922</v>
      </c>
      <c r="V156" s="2">
        <v>155</v>
      </c>
      <c r="W156" s="2">
        <v>2011</v>
      </c>
    </row>
    <row r="157" spans="1:23" ht="12.3" x14ac:dyDescent="0.4">
      <c r="A157" s="2" t="s">
        <v>140</v>
      </c>
      <c r="B157" s="2"/>
      <c r="C157" s="2"/>
      <c r="D157" s="2"/>
      <c r="E157" s="2"/>
      <c r="F157" s="2"/>
      <c r="G157" s="2"/>
      <c r="H157" s="2"/>
      <c r="I157" s="2">
        <v>61.402999999999999</v>
      </c>
      <c r="J157" s="2">
        <v>338</v>
      </c>
      <c r="K157" s="2">
        <v>61.165500000000002</v>
      </c>
      <c r="L157" s="2">
        <v>337</v>
      </c>
      <c r="M157" s="2">
        <v>103.9691</v>
      </c>
      <c r="N157" s="2">
        <v>113</v>
      </c>
      <c r="O157" s="2">
        <v>101.9799</v>
      </c>
      <c r="P157" s="2">
        <v>158</v>
      </c>
      <c r="Q157" s="2">
        <v>101.17740000000001</v>
      </c>
      <c r="R157" s="2">
        <v>164</v>
      </c>
      <c r="S157" s="2">
        <v>101.294</v>
      </c>
      <c r="T157" s="2">
        <v>153</v>
      </c>
      <c r="U157" s="2">
        <v>0.51939199999999996</v>
      </c>
      <c r="V157" s="2">
        <v>156</v>
      </c>
      <c r="W157" s="2">
        <v>2011</v>
      </c>
    </row>
    <row r="158" spans="1:23" ht="12.3" x14ac:dyDescent="0.4">
      <c r="A158" s="2" t="s">
        <v>274</v>
      </c>
      <c r="B158" s="2"/>
      <c r="C158" s="2"/>
      <c r="D158" s="2"/>
      <c r="E158" s="2"/>
      <c r="F158" s="2"/>
      <c r="G158" s="2"/>
      <c r="H158" s="2"/>
      <c r="I158" s="2">
        <v>68.406499999999994</v>
      </c>
      <c r="J158" s="2">
        <v>87</v>
      </c>
      <c r="K158" s="2">
        <v>67.542000000000002</v>
      </c>
      <c r="L158" s="2">
        <v>122</v>
      </c>
      <c r="M158" s="2">
        <v>105.3272</v>
      </c>
      <c r="N158" s="2">
        <v>87</v>
      </c>
      <c r="O158" s="2">
        <v>103.0197</v>
      </c>
      <c r="P158" s="2">
        <v>141</v>
      </c>
      <c r="Q158" s="2">
        <v>98.127099999999999</v>
      </c>
      <c r="R158" s="2">
        <v>87</v>
      </c>
      <c r="S158" s="2">
        <v>102.3758</v>
      </c>
      <c r="T158" s="2">
        <v>189</v>
      </c>
      <c r="U158" s="2">
        <v>0.51801799999999998</v>
      </c>
      <c r="V158" s="2">
        <v>157</v>
      </c>
      <c r="W158" s="2">
        <v>2011</v>
      </c>
    </row>
    <row r="159" spans="1:23" ht="12.3" x14ac:dyDescent="0.4">
      <c r="A159" s="2" t="s">
        <v>126</v>
      </c>
      <c r="B159" s="2"/>
      <c r="C159" s="2"/>
      <c r="D159" s="2"/>
      <c r="E159" s="2"/>
      <c r="F159" s="2"/>
      <c r="G159" s="2"/>
      <c r="H159" s="2"/>
      <c r="I159" s="2">
        <v>61.340600000000002</v>
      </c>
      <c r="J159" s="2">
        <v>339</v>
      </c>
      <c r="K159" s="2">
        <v>61.244199999999999</v>
      </c>
      <c r="L159" s="2">
        <v>335</v>
      </c>
      <c r="M159" s="2">
        <v>104.3901</v>
      </c>
      <c r="N159" s="2">
        <v>106</v>
      </c>
      <c r="O159" s="2">
        <v>103.2196</v>
      </c>
      <c r="P159" s="2">
        <v>134</v>
      </c>
      <c r="Q159" s="2">
        <v>101.9355</v>
      </c>
      <c r="R159" s="2">
        <v>186</v>
      </c>
      <c r="S159" s="2">
        <v>102.6347</v>
      </c>
      <c r="T159" s="2">
        <v>195</v>
      </c>
      <c r="U159" s="2">
        <v>0.51633200000000001</v>
      </c>
      <c r="V159" s="2">
        <v>158</v>
      </c>
      <c r="W159" s="2">
        <v>2011</v>
      </c>
    </row>
    <row r="160" spans="1:23" ht="12.3" x14ac:dyDescent="0.4">
      <c r="A160" s="2" t="s">
        <v>231</v>
      </c>
      <c r="B160" s="2"/>
      <c r="C160" s="2"/>
      <c r="D160" s="2"/>
      <c r="E160" s="2"/>
      <c r="F160" s="2"/>
      <c r="G160" s="2"/>
      <c r="H160" s="2"/>
      <c r="I160" s="2">
        <v>64.247900000000001</v>
      </c>
      <c r="J160" s="2">
        <v>278</v>
      </c>
      <c r="K160" s="2">
        <v>64.860100000000003</v>
      </c>
      <c r="L160" s="2">
        <v>256</v>
      </c>
      <c r="M160" s="2">
        <v>103.04949999999999</v>
      </c>
      <c r="N160" s="2">
        <v>137</v>
      </c>
      <c r="O160" s="2">
        <v>103.25790000000001</v>
      </c>
      <c r="P160" s="2">
        <v>133</v>
      </c>
      <c r="Q160" s="2">
        <v>104.66419999999999</v>
      </c>
      <c r="R160" s="2">
        <v>254</v>
      </c>
      <c r="S160" s="2">
        <v>102.809</v>
      </c>
      <c r="T160" s="2">
        <v>196</v>
      </c>
      <c r="U160" s="2">
        <v>0.51252500000000001</v>
      </c>
      <c r="V160" s="2">
        <v>159</v>
      </c>
      <c r="W160" s="2">
        <v>2011</v>
      </c>
    </row>
    <row r="161" spans="1:23" ht="12.3" x14ac:dyDescent="0.4">
      <c r="A161" s="2" t="s">
        <v>134</v>
      </c>
      <c r="B161" s="2"/>
      <c r="C161" s="2"/>
      <c r="D161" s="2"/>
      <c r="E161" s="2"/>
      <c r="F161" s="2"/>
      <c r="G161" s="2"/>
      <c r="H161" s="2"/>
      <c r="I161" s="2">
        <v>67.764200000000002</v>
      </c>
      <c r="J161" s="2">
        <v>129</v>
      </c>
      <c r="K161" s="2">
        <v>67.938199999999995</v>
      </c>
      <c r="L161" s="2">
        <v>103</v>
      </c>
      <c r="M161" s="2">
        <v>103.8991</v>
      </c>
      <c r="N161" s="2">
        <v>116</v>
      </c>
      <c r="O161" s="2">
        <v>102.2577</v>
      </c>
      <c r="P161" s="2">
        <v>153</v>
      </c>
      <c r="Q161" s="2">
        <v>101.1401</v>
      </c>
      <c r="R161" s="2">
        <v>162</v>
      </c>
      <c r="S161" s="2">
        <v>102.23909999999999</v>
      </c>
      <c r="T161" s="2">
        <v>182</v>
      </c>
      <c r="U161" s="2">
        <v>0.50052200000000002</v>
      </c>
      <c r="V161" s="2">
        <v>160</v>
      </c>
      <c r="W161" s="2">
        <v>2011</v>
      </c>
    </row>
    <row r="162" spans="1:23" ht="12.3" x14ac:dyDescent="0.4">
      <c r="A162" s="2" t="s">
        <v>236</v>
      </c>
      <c r="B162" s="2"/>
      <c r="C162" s="2"/>
      <c r="D162" s="2"/>
      <c r="E162" s="2"/>
      <c r="F162" s="2"/>
      <c r="G162" s="2"/>
      <c r="H162" s="2"/>
      <c r="I162" s="2">
        <v>65.928399999999996</v>
      </c>
      <c r="J162" s="2">
        <v>218</v>
      </c>
      <c r="K162" s="2">
        <v>66.139899999999997</v>
      </c>
      <c r="L162" s="2">
        <v>202</v>
      </c>
      <c r="M162" s="2">
        <v>100.87479999999999</v>
      </c>
      <c r="N162" s="2">
        <v>190</v>
      </c>
      <c r="O162" s="2">
        <v>101.7276</v>
      </c>
      <c r="P162" s="2">
        <v>162</v>
      </c>
      <c r="Q162" s="2">
        <v>104.6951</v>
      </c>
      <c r="R162" s="2">
        <v>255</v>
      </c>
      <c r="S162" s="2">
        <v>101.7795</v>
      </c>
      <c r="T162" s="2">
        <v>169</v>
      </c>
      <c r="U162" s="2">
        <v>0.49853199999999998</v>
      </c>
      <c r="V162" s="2">
        <v>161</v>
      </c>
      <c r="W162" s="2">
        <v>2011</v>
      </c>
    </row>
    <row r="163" spans="1:23" ht="12.3" x14ac:dyDescent="0.4">
      <c r="A163" s="2" t="s">
        <v>226</v>
      </c>
      <c r="B163" s="2"/>
      <c r="C163" s="2"/>
      <c r="D163" s="2"/>
      <c r="E163" s="2"/>
      <c r="F163" s="2"/>
      <c r="G163" s="2"/>
      <c r="H163" s="2"/>
      <c r="I163" s="2">
        <v>62.033099999999997</v>
      </c>
      <c r="J163" s="2">
        <v>327</v>
      </c>
      <c r="K163" s="2">
        <v>61.538200000000003</v>
      </c>
      <c r="L163" s="2">
        <v>330</v>
      </c>
      <c r="M163" s="2">
        <v>104.80110000000001</v>
      </c>
      <c r="N163" s="2">
        <v>96</v>
      </c>
      <c r="O163" s="2">
        <v>102.9928</v>
      </c>
      <c r="P163" s="2">
        <v>142</v>
      </c>
      <c r="Q163" s="2">
        <v>100.9949</v>
      </c>
      <c r="R163" s="2">
        <v>157</v>
      </c>
      <c r="S163" s="2">
        <v>103.17749999999999</v>
      </c>
      <c r="T163" s="2">
        <v>209</v>
      </c>
      <c r="U163" s="2">
        <v>0.49484899999999998</v>
      </c>
      <c r="V163" s="2">
        <v>162</v>
      </c>
      <c r="W163" s="2">
        <v>2011</v>
      </c>
    </row>
    <row r="164" spans="1:23" ht="12.3" x14ac:dyDescent="0.4">
      <c r="A164" s="2" t="s">
        <v>149</v>
      </c>
      <c r="B164" s="2"/>
      <c r="C164" s="2"/>
      <c r="D164" s="2"/>
      <c r="E164" s="2"/>
      <c r="F164" s="2"/>
      <c r="G164" s="2"/>
      <c r="H164" s="2"/>
      <c r="I164" s="2">
        <v>70.441100000000006</v>
      </c>
      <c r="J164" s="2">
        <v>36</v>
      </c>
      <c r="K164" s="2">
        <v>70.226200000000006</v>
      </c>
      <c r="L164" s="2">
        <v>38</v>
      </c>
      <c r="M164" s="2">
        <v>98.427599999999998</v>
      </c>
      <c r="N164" s="2">
        <v>234</v>
      </c>
      <c r="O164" s="2">
        <v>100.79389999999999</v>
      </c>
      <c r="P164" s="2">
        <v>185</v>
      </c>
      <c r="Q164" s="2">
        <v>103.4871</v>
      </c>
      <c r="R164" s="2">
        <v>214</v>
      </c>
      <c r="S164" s="2">
        <v>101.01560000000001</v>
      </c>
      <c r="T164" s="2">
        <v>141</v>
      </c>
      <c r="U164" s="2">
        <v>0.49368200000000001</v>
      </c>
      <c r="V164" s="2">
        <v>163</v>
      </c>
      <c r="W164" s="2">
        <v>2011</v>
      </c>
    </row>
    <row r="165" spans="1:23" ht="12.3" x14ac:dyDescent="0.4">
      <c r="A165" s="2" t="s">
        <v>203</v>
      </c>
      <c r="B165" s="2">
        <v>16</v>
      </c>
      <c r="C165" s="2"/>
      <c r="D165" s="2"/>
      <c r="E165" s="2"/>
      <c r="F165" s="2"/>
      <c r="G165" s="2"/>
      <c r="H165" s="2"/>
      <c r="I165" s="2">
        <v>63.014800000000001</v>
      </c>
      <c r="J165" s="2">
        <v>313</v>
      </c>
      <c r="K165" s="2">
        <v>63.9724</v>
      </c>
      <c r="L165" s="2">
        <v>295</v>
      </c>
      <c r="M165" s="2">
        <v>103.40479999999999</v>
      </c>
      <c r="N165" s="2">
        <v>126</v>
      </c>
      <c r="O165" s="2">
        <v>101.58880000000001</v>
      </c>
      <c r="P165" s="2">
        <v>173</v>
      </c>
      <c r="Q165" s="2">
        <v>99.673100000000005</v>
      </c>
      <c r="R165" s="2">
        <v>114</v>
      </c>
      <c r="S165" s="2">
        <v>101.851</v>
      </c>
      <c r="T165" s="2">
        <v>170</v>
      </c>
      <c r="U165" s="2">
        <v>0.492589</v>
      </c>
      <c r="V165" s="2">
        <v>164</v>
      </c>
      <c r="W165" s="2">
        <v>2011</v>
      </c>
    </row>
    <row r="166" spans="1:23" ht="12.3" x14ac:dyDescent="0.4">
      <c r="A166" s="2" t="s">
        <v>232</v>
      </c>
      <c r="B166" s="2"/>
      <c r="C166" s="2"/>
      <c r="D166" s="2"/>
      <c r="E166" s="2"/>
      <c r="F166" s="2"/>
      <c r="G166" s="2"/>
      <c r="H166" s="2"/>
      <c r="I166" s="2">
        <v>65.020899999999997</v>
      </c>
      <c r="J166" s="2">
        <v>253</v>
      </c>
      <c r="K166" s="2">
        <v>64.617099999999994</v>
      </c>
      <c r="L166" s="2">
        <v>269</v>
      </c>
      <c r="M166" s="2">
        <v>99.244900000000001</v>
      </c>
      <c r="N166" s="2">
        <v>219</v>
      </c>
      <c r="O166" s="2">
        <v>99.553100000000001</v>
      </c>
      <c r="P166" s="2">
        <v>213</v>
      </c>
      <c r="Q166" s="2">
        <v>100.5518</v>
      </c>
      <c r="R166" s="2">
        <v>142</v>
      </c>
      <c r="S166" s="2">
        <v>99.811999999999998</v>
      </c>
      <c r="T166" s="2">
        <v>120</v>
      </c>
      <c r="U166" s="2">
        <v>0.492531</v>
      </c>
      <c r="V166" s="2">
        <v>165</v>
      </c>
      <c r="W166" s="2">
        <v>2011</v>
      </c>
    </row>
    <row r="167" spans="1:23" ht="12.3" x14ac:dyDescent="0.4">
      <c r="A167" s="2" t="s">
        <v>162</v>
      </c>
      <c r="B167" s="2"/>
      <c r="C167" s="2"/>
      <c r="D167" s="2"/>
      <c r="E167" s="2"/>
      <c r="F167" s="2"/>
      <c r="G167" s="2"/>
      <c r="H167" s="2"/>
      <c r="I167" s="2">
        <v>67.873000000000005</v>
      </c>
      <c r="J167" s="2">
        <v>119</v>
      </c>
      <c r="K167" s="2">
        <v>68.517799999999994</v>
      </c>
      <c r="L167" s="2">
        <v>71</v>
      </c>
      <c r="M167" s="2">
        <v>103.8014</v>
      </c>
      <c r="N167" s="2">
        <v>118</v>
      </c>
      <c r="O167" s="2">
        <v>103.5467</v>
      </c>
      <c r="P167" s="2">
        <v>124</v>
      </c>
      <c r="Q167" s="2">
        <v>101.292</v>
      </c>
      <c r="R167" s="2">
        <v>168</v>
      </c>
      <c r="S167" s="2">
        <v>103.9821</v>
      </c>
      <c r="T167" s="2">
        <v>224</v>
      </c>
      <c r="U167" s="2">
        <v>0.48793900000000001</v>
      </c>
      <c r="V167" s="2">
        <v>166</v>
      </c>
      <c r="W167" s="2">
        <v>2011</v>
      </c>
    </row>
    <row r="168" spans="1:23" ht="12.3" x14ac:dyDescent="0.4">
      <c r="A168" s="2" t="s">
        <v>214</v>
      </c>
      <c r="B168" s="2"/>
      <c r="C168" s="2"/>
      <c r="D168" s="2"/>
      <c r="E168" s="2"/>
      <c r="F168" s="2"/>
      <c r="G168" s="2"/>
      <c r="H168" s="2"/>
      <c r="I168" s="2">
        <v>68.082800000000006</v>
      </c>
      <c r="J168" s="2">
        <v>107</v>
      </c>
      <c r="K168" s="2">
        <v>68.591999999999999</v>
      </c>
      <c r="L168" s="2">
        <v>68</v>
      </c>
      <c r="M168" s="2">
        <v>97.629499999999993</v>
      </c>
      <c r="N168" s="2">
        <v>253</v>
      </c>
      <c r="O168" s="2">
        <v>96.984200000000001</v>
      </c>
      <c r="P168" s="2">
        <v>258</v>
      </c>
      <c r="Q168" s="2">
        <v>94.271100000000004</v>
      </c>
      <c r="R168" s="2">
        <v>28</v>
      </c>
      <c r="S168" s="2">
        <v>97.428799999999995</v>
      </c>
      <c r="T168" s="2">
        <v>74</v>
      </c>
      <c r="U168" s="2">
        <v>0.48685600000000001</v>
      </c>
      <c r="V168" s="2">
        <v>167</v>
      </c>
      <c r="W168" s="2">
        <v>2011</v>
      </c>
    </row>
    <row r="169" spans="1:23" ht="12.3" x14ac:dyDescent="0.4">
      <c r="A169" s="2" t="s">
        <v>189</v>
      </c>
      <c r="B169" s="2"/>
      <c r="C169" s="2"/>
      <c r="D169" s="2"/>
      <c r="E169" s="2"/>
      <c r="F169" s="2"/>
      <c r="G169" s="2"/>
      <c r="H169" s="2"/>
      <c r="I169" s="2">
        <v>61.455599999999997</v>
      </c>
      <c r="J169" s="2">
        <v>337</v>
      </c>
      <c r="K169" s="2">
        <v>60.443300000000001</v>
      </c>
      <c r="L169" s="2">
        <v>342</v>
      </c>
      <c r="M169" s="2">
        <v>96.942899999999995</v>
      </c>
      <c r="N169" s="2">
        <v>263</v>
      </c>
      <c r="O169" s="2">
        <v>96.336500000000001</v>
      </c>
      <c r="P169" s="2">
        <v>270</v>
      </c>
      <c r="Q169" s="2">
        <v>96.061000000000007</v>
      </c>
      <c r="R169" s="2">
        <v>48</v>
      </c>
      <c r="S169" s="2">
        <v>96.822500000000005</v>
      </c>
      <c r="T169" s="2">
        <v>65</v>
      </c>
      <c r="U169" s="2">
        <v>0.48553499999999999</v>
      </c>
      <c r="V169" s="2">
        <v>168</v>
      </c>
      <c r="W169" s="2">
        <v>2011</v>
      </c>
    </row>
    <row r="170" spans="1:23" ht="12.3" x14ac:dyDescent="0.4">
      <c r="A170" s="2" t="s">
        <v>169</v>
      </c>
      <c r="B170" s="2"/>
      <c r="C170" s="2"/>
      <c r="D170" s="2"/>
      <c r="E170" s="2"/>
      <c r="F170" s="2"/>
      <c r="G170" s="2"/>
      <c r="H170" s="2"/>
      <c r="I170" s="2">
        <v>72.188599999999994</v>
      </c>
      <c r="J170" s="2">
        <v>19</v>
      </c>
      <c r="K170" s="2">
        <v>72.83</v>
      </c>
      <c r="L170" s="2">
        <v>8</v>
      </c>
      <c r="M170" s="2">
        <v>103.74420000000001</v>
      </c>
      <c r="N170" s="2">
        <v>120</v>
      </c>
      <c r="O170" s="2">
        <v>104.4419</v>
      </c>
      <c r="P170" s="2">
        <v>108</v>
      </c>
      <c r="Q170" s="2">
        <v>106.29219999999999</v>
      </c>
      <c r="R170" s="2">
        <v>282</v>
      </c>
      <c r="S170" s="2">
        <v>105.0651</v>
      </c>
      <c r="T170" s="2">
        <v>244</v>
      </c>
      <c r="U170" s="2">
        <v>0.48290100000000002</v>
      </c>
      <c r="V170" s="2">
        <v>169</v>
      </c>
      <c r="W170" s="2">
        <v>2011</v>
      </c>
    </row>
    <row r="171" spans="1:23" ht="12.3" x14ac:dyDescent="0.4">
      <c r="A171" s="2" t="s">
        <v>225</v>
      </c>
      <c r="B171" s="2"/>
      <c r="C171" s="2"/>
      <c r="D171" s="2"/>
      <c r="E171" s="2"/>
      <c r="F171" s="2"/>
      <c r="G171" s="2"/>
      <c r="H171" s="2"/>
      <c r="I171" s="2">
        <v>67.145300000000006</v>
      </c>
      <c r="J171" s="2">
        <v>162</v>
      </c>
      <c r="K171" s="2">
        <v>65.982500000000002</v>
      </c>
      <c r="L171" s="2">
        <v>211</v>
      </c>
      <c r="M171" s="2">
        <v>103.2195</v>
      </c>
      <c r="N171" s="2">
        <v>130</v>
      </c>
      <c r="O171" s="2">
        <v>101.7016</v>
      </c>
      <c r="P171" s="2">
        <v>164</v>
      </c>
      <c r="Q171" s="2">
        <v>100.86879999999999</v>
      </c>
      <c r="R171" s="2">
        <v>154</v>
      </c>
      <c r="S171" s="2">
        <v>102.3402</v>
      </c>
      <c r="T171" s="2">
        <v>186</v>
      </c>
      <c r="U171" s="2">
        <v>0.48201300000000002</v>
      </c>
      <c r="V171" s="2">
        <v>170</v>
      </c>
      <c r="W171" s="2">
        <v>2011</v>
      </c>
    </row>
    <row r="172" spans="1:23" ht="12.3" x14ac:dyDescent="0.4">
      <c r="A172" s="2" t="s">
        <v>278</v>
      </c>
      <c r="B172" s="2"/>
      <c r="C172" s="2"/>
      <c r="D172" s="2"/>
      <c r="E172" s="2"/>
      <c r="F172" s="2"/>
      <c r="G172" s="2"/>
      <c r="H172" s="2"/>
      <c r="I172" s="2">
        <v>68.288600000000002</v>
      </c>
      <c r="J172" s="2">
        <v>97</v>
      </c>
      <c r="K172" s="2">
        <v>67.564700000000002</v>
      </c>
      <c r="L172" s="2">
        <v>119</v>
      </c>
      <c r="M172" s="2">
        <v>101.857</v>
      </c>
      <c r="N172" s="2">
        <v>166</v>
      </c>
      <c r="O172" s="2">
        <v>103.1472</v>
      </c>
      <c r="P172" s="2">
        <v>140</v>
      </c>
      <c r="Q172" s="2">
        <v>103.5205</v>
      </c>
      <c r="R172" s="2">
        <v>216</v>
      </c>
      <c r="S172" s="2">
        <v>103.89149999999999</v>
      </c>
      <c r="T172" s="2">
        <v>219</v>
      </c>
      <c r="U172" s="2">
        <v>0.47934100000000002</v>
      </c>
      <c r="V172" s="2">
        <v>171</v>
      </c>
      <c r="W172" s="2">
        <v>2011</v>
      </c>
    </row>
    <row r="173" spans="1:23" ht="12.3" x14ac:dyDescent="0.4">
      <c r="A173" s="2" t="s">
        <v>360</v>
      </c>
      <c r="B173" s="2"/>
      <c r="C173" s="2"/>
      <c r="D173" s="2"/>
      <c r="E173" s="2"/>
      <c r="F173" s="2"/>
      <c r="G173" s="2"/>
      <c r="H173" s="2"/>
      <c r="I173" s="2">
        <v>68.423599999999993</v>
      </c>
      <c r="J173" s="2">
        <v>86</v>
      </c>
      <c r="K173" s="2">
        <v>68.173400000000001</v>
      </c>
      <c r="L173" s="2">
        <v>90</v>
      </c>
      <c r="M173" s="2">
        <v>107.02460000000001</v>
      </c>
      <c r="N173" s="2">
        <v>60</v>
      </c>
      <c r="O173" s="2">
        <v>102.226</v>
      </c>
      <c r="P173" s="2">
        <v>154</v>
      </c>
      <c r="Q173" s="2">
        <v>103.6992</v>
      </c>
      <c r="R173" s="2">
        <v>223</v>
      </c>
      <c r="S173" s="2">
        <v>102.98950000000001</v>
      </c>
      <c r="T173" s="2">
        <v>201</v>
      </c>
      <c r="U173" s="2">
        <v>0.47861999999999999</v>
      </c>
      <c r="V173" s="2">
        <v>172</v>
      </c>
      <c r="W173" s="2">
        <v>2011</v>
      </c>
    </row>
    <row r="174" spans="1:23" ht="12.3" x14ac:dyDescent="0.4">
      <c r="A174" s="2" t="s">
        <v>112</v>
      </c>
      <c r="B174" s="2"/>
      <c r="C174" s="2"/>
      <c r="D174" s="2"/>
      <c r="E174" s="2"/>
      <c r="F174" s="2"/>
      <c r="G174" s="2"/>
      <c r="H174" s="2"/>
      <c r="I174" s="2">
        <v>67.431100000000001</v>
      </c>
      <c r="J174" s="2">
        <v>145</v>
      </c>
      <c r="K174" s="2">
        <v>66.775099999999995</v>
      </c>
      <c r="L174" s="2">
        <v>165</v>
      </c>
      <c r="M174" s="2">
        <v>99.143299999999996</v>
      </c>
      <c r="N174" s="2">
        <v>222</v>
      </c>
      <c r="O174" s="2">
        <v>100.83410000000001</v>
      </c>
      <c r="P174" s="2">
        <v>184</v>
      </c>
      <c r="Q174" s="2">
        <v>101.0163</v>
      </c>
      <c r="R174" s="2">
        <v>159</v>
      </c>
      <c r="S174" s="2">
        <v>101.63339999999999</v>
      </c>
      <c r="T174" s="2">
        <v>165</v>
      </c>
      <c r="U174" s="2">
        <v>0.47731400000000002</v>
      </c>
      <c r="V174" s="2">
        <v>173</v>
      </c>
      <c r="W174" s="2">
        <v>2011</v>
      </c>
    </row>
    <row r="175" spans="1:23" ht="12.3" x14ac:dyDescent="0.4">
      <c r="A175" s="2" t="s">
        <v>101</v>
      </c>
      <c r="B175" s="2"/>
      <c r="C175" s="2"/>
      <c r="D175" s="2"/>
      <c r="E175" s="2"/>
      <c r="F175" s="2"/>
      <c r="G175" s="2"/>
      <c r="H175" s="2"/>
      <c r="I175" s="2">
        <v>64.724400000000003</v>
      </c>
      <c r="J175" s="2">
        <v>264</v>
      </c>
      <c r="K175" s="2">
        <v>64.515500000000003</v>
      </c>
      <c r="L175" s="2">
        <v>271</v>
      </c>
      <c r="M175" s="2">
        <v>102.9209</v>
      </c>
      <c r="N175" s="2">
        <v>139</v>
      </c>
      <c r="O175" s="2">
        <v>101.74120000000001</v>
      </c>
      <c r="P175" s="2">
        <v>161</v>
      </c>
      <c r="Q175" s="2">
        <v>98.935000000000002</v>
      </c>
      <c r="R175" s="2">
        <v>105</v>
      </c>
      <c r="S175" s="2">
        <v>102.5705</v>
      </c>
      <c r="T175" s="2">
        <v>193</v>
      </c>
      <c r="U175" s="2">
        <v>0.47667799999999999</v>
      </c>
      <c r="V175" s="2">
        <v>174</v>
      </c>
      <c r="W175" s="2">
        <v>2011</v>
      </c>
    </row>
    <row r="176" spans="1:23" ht="12.3" x14ac:dyDescent="0.4">
      <c r="A176" s="2" t="s">
        <v>170</v>
      </c>
      <c r="B176" s="2"/>
      <c r="C176" s="2"/>
      <c r="D176" s="2"/>
      <c r="E176" s="2"/>
      <c r="F176" s="2"/>
      <c r="G176" s="2"/>
      <c r="H176" s="2"/>
      <c r="I176" s="2">
        <v>65.272999999999996</v>
      </c>
      <c r="J176" s="2">
        <v>246</v>
      </c>
      <c r="K176" s="2">
        <v>65.538300000000007</v>
      </c>
      <c r="L176" s="2">
        <v>235</v>
      </c>
      <c r="M176" s="2">
        <v>104.0723</v>
      </c>
      <c r="N176" s="2">
        <v>112</v>
      </c>
      <c r="O176" s="2">
        <v>101.6884</v>
      </c>
      <c r="P176" s="2">
        <v>165</v>
      </c>
      <c r="Q176" s="2">
        <v>103.0902</v>
      </c>
      <c r="R176" s="2">
        <v>204</v>
      </c>
      <c r="S176" s="2">
        <v>102.82470000000001</v>
      </c>
      <c r="T176" s="2">
        <v>197</v>
      </c>
      <c r="U176" s="2">
        <v>0.46809499999999998</v>
      </c>
      <c r="V176" s="2">
        <v>175</v>
      </c>
      <c r="W176" s="2">
        <v>2011</v>
      </c>
    </row>
    <row r="177" spans="1:23" ht="12.3" x14ac:dyDescent="0.4">
      <c r="A177" s="2" t="s">
        <v>142</v>
      </c>
      <c r="B177" s="2"/>
      <c r="C177" s="2"/>
      <c r="D177" s="2"/>
      <c r="E177" s="2"/>
      <c r="F177" s="2"/>
      <c r="G177" s="2"/>
      <c r="H177" s="2"/>
      <c r="I177" s="2">
        <v>67.884100000000004</v>
      </c>
      <c r="J177" s="2">
        <v>117</v>
      </c>
      <c r="K177" s="2">
        <v>67.027600000000007</v>
      </c>
      <c r="L177" s="2">
        <v>150</v>
      </c>
      <c r="M177" s="2">
        <v>98.419899999999998</v>
      </c>
      <c r="N177" s="2">
        <v>235</v>
      </c>
      <c r="O177" s="2">
        <v>99.894300000000001</v>
      </c>
      <c r="P177" s="2">
        <v>204</v>
      </c>
      <c r="Q177" s="2">
        <v>103.4742</v>
      </c>
      <c r="R177" s="2">
        <v>213</v>
      </c>
      <c r="S177" s="2">
        <v>101.0782</v>
      </c>
      <c r="T177" s="2">
        <v>146</v>
      </c>
      <c r="U177" s="2">
        <v>0.46617799999999998</v>
      </c>
      <c r="V177" s="2">
        <v>176</v>
      </c>
      <c r="W177" s="2">
        <v>2011</v>
      </c>
    </row>
    <row r="178" spans="1:23" ht="12.3" x14ac:dyDescent="0.4">
      <c r="A178" s="2" t="s">
        <v>184</v>
      </c>
      <c r="B178" s="2"/>
      <c r="C178" s="2"/>
      <c r="D178" s="2"/>
      <c r="E178" s="2"/>
      <c r="F178" s="2"/>
      <c r="G178" s="2"/>
      <c r="H178" s="2"/>
      <c r="I178" s="2">
        <v>68.288700000000006</v>
      </c>
      <c r="J178" s="2">
        <v>96</v>
      </c>
      <c r="K178" s="2">
        <v>67.997</v>
      </c>
      <c r="L178" s="2">
        <v>99</v>
      </c>
      <c r="M178" s="2">
        <v>110.1336</v>
      </c>
      <c r="N178" s="2">
        <v>33</v>
      </c>
      <c r="O178" s="2">
        <v>107.288</v>
      </c>
      <c r="P178" s="2">
        <v>74</v>
      </c>
      <c r="Q178" s="2">
        <v>104.62009999999999</v>
      </c>
      <c r="R178" s="2">
        <v>253</v>
      </c>
      <c r="S178" s="2">
        <v>108.6425</v>
      </c>
      <c r="T178" s="2">
        <v>303</v>
      </c>
      <c r="U178" s="2">
        <v>0.46399400000000002</v>
      </c>
      <c r="V178" s="2">
        <v>177</v>
      </c>
      <c r="W178" s="2">
        <v>2011</v>
      </c>
    </row>
    <row r="179" spans="1:23" ht="12.3" x14ac:dyDescent="0.4">
      <c r="A179" s="2" t="s">
        <v>283</v>
      </c>
      <c r="B179" s="2"/>
      <c r="C179" s="2"/>
      <c r="D179" s="2"/>
      <c r="E179" s="2"/>
      <c r="F179" s="2"/>
      <c r="G179" s="2"/>
      <c r="H179" s="2"/>
      <c r="I179" s="2">
        <v>67.433300000000003</v>
      </c>
      <c r="J179" s="2">
        <v>144</v>
      </c>
      <c r="K179" s="2">
        <v>65.7714</v>
      </c>
      <c r="L179" s="2">
        <v>223</v>
      </c>
      <c r="M179" s="2">
        <v>101.64960000000001</v>
      </c>
      <c r="N179" s="2">
        <v>173</v>
      </c>
      <c r="O179" s="2">
        <v>101.6267</v>
      </c>
      <c r="P179" s="2">
        <v>170</v>
      </c>
      <c r="Q179" s="2">
        <v>100.05710000000001</v>
      </c>
      <c r="R179" s="2">
        <v>127</v>
      </c>
      <c r="S179" s="2">
        <v>103.0261</v>
      </c>
      <c r="T179" s="2">
        <v>202</v>
      </c>
      <c r="U179" s="2">
        <v>0.46076299999999998</v>
      </c>
      <c r="V179" s="2">
        <v>178</v>
      </c>
      <c r="W179" s="2">
        <v>2011</v>
      </c>
    </row>
    <row r="180" spans="1:23" ht="12.3" x14ac:dyDescent="0.4">
      <c r="A180" s="2" t="s">
        <v>326</v>
      </c>
      <c r="B180" s="2"/>
      <c r="C180" s="2"/>
      <c r="D180" s="2"/>
      <c r="E180" s="2"/>
      <c r="F180" s="2"/>
      <c r="G180" s="2"/>
      <c r="H180" s="2"/>
      <c r="I180" s="2">
        <v>71.179100000000005</v>
      </c>
      <c r="J180" s="2">
        <v>26</v>
      </c>
      <c r="K180" s="2">
        <v>71.348200000000006</v>
      </c>
      <c r="L180" s="2">
        <v>19</v>
      </c>
      <c r="M180" s="2">
        <v>102.0065</v>
      </c>
      <c r="N180" s="2">
        <v>160</v>
      </c>
      <c r="O180" s="2">
        <v>101.447</v>
      </c>
      <c r="P180" s="2">
        <v>176</v>
      </c>
      <c r="Q180" s="2">
        <v>100.086</v>
      </c>
      <c r="R180" s="2">
        <v>130</v>
      </c>
      <c r="S180" s="2">
        <v>102.92619999999999</v>
      </c>
      <c r="T180" s="2">
        <v>199</v>
      </c>
      <c r="U180" s="2">
        <v>0.45847900000000003</v>
      </c>
      <c r="V180" s="2">
        <v>179</v>
      </c>
      <c r="W180" s="2">
        <v>2011</v>
      </c>
    </row>
    <row r="181" spans="1:23" ht="12.3" x14ac:dyDescent="0.4">
      <c r="A181" s="2" t="s">
        <v>340</v>
      </c>
      <c r="B181" s="2"/>
      <c r="C181" s="2"/>
      <c r="D181" s="2"/>
      <c r="E181" s="2"/>
      <c r="F181" s="2"/>
      <c r="G181" s="2"/>
      <c r="H181" s="2"/>
      <c r="I181" s="2">
        <v>66.4054</v>
      </c>
      <c r="J181" s="2">
        <v>187</v>
      </c>
      <c r="K181" s="2">
        <v>66.286000000000001</v>
      </c>
      <c r="L181" s="2">
        <v>189</v>
      </c>
      <c r="M181" s="2">
        <v>101.31570000000001</v>
      </c>
      <c r="N181" s="2">
        <v>178</v>
      </c>
      <c r="O181" s="2">
        <v>101.6833</v>
      </c>
      <c r="P181" s="2">
        <v>166</v>
      </c>
      <c r="Q181" s="2">
        <v>100.1497</v>
      </c>
      <c r="R181" s="2">
        <v>135</v>
      </c>
      <c r="S181" s="2">
        <v>103.1752</v>
      </c>
      <c r="T181" s="2">
        <v>208</v>
      </c>
      <c r="U181" s="2">
        <v>0.45822400000000002</v>
      </c>
      <c r="V181" s="2">
        <v>180</v>
      </c>
      <c r="W181" s="2">
        <v>2011</v>
      </c>
    </row>
    <row r="182" spans="1:23" ht="12.3" x14ac:dyDescent="0.4">
      <c r="A182" s="2" t="s">
        <v>77</v>
      </c>
      <c r="B182" s="2"/>
      <c r="C182" s="2"/>
      <c r="D182" s="2"/>
      <c r="E182" s="2"/>
      <c r="F182" s="2"/>
      <c r="G182" s="2"/>
      <c r="H182" s="2"/>
      <c r="I182" s="2">
        <v>64.154399999999995</v>
      </c>
      <c r="J182" s="2">
        <v>283</v>
      </c>
      <c r="K182" s="2">
        <v>64.369200000000006</v>
      </c>
      <c r="L182" s="2">
        <v>280</v>
      </c>
      <c r="M182" s="2">
        <v>101.26519999999999</v>
      </c>
      <c r="N182" s="2">
        <v>181</v>
      </c>
      <c r="O182" s="2">
        <v>100.2454</v>
      </c>
      <c r="P182" s="2">
        <v>195</v>
      </c>
      <c r="Q182" s="2">
        <v>103.5187</v>
      </c>
      <c r="R182" s="2">
        <v>215</v>
      </c>
      <c r="S182" s="2">
        <v>101.7607</v>
      </c>
      <c r="T182" s="2">
        <v>168</v>
      </c>
      <c r="U182" s="2">
        <v>0.45697399999999999</v>
      </c>
      <c r="V182" s="2">
        <v>181</v>
      </c>
      <c r="W182" s="2">
        <v>2011</v>
      </c>
    </row>
    <row r="183" spans="1:23" ht="12.3" x14ac:dyDescent="0.4">
      <c r="A183" s="2" t="s">
        <v>322</v>
      </c>
      <c r="B183" s="2"/>
      <c r="C183" s="2"/>
      <c r="D183" s="2"/>
      <c r="E183" s="2"/>
      <c r="F183" s="2"/>
      <c r="G183" s="2"/>
      <c r="H183" s="2"/>
      <c r="I183" s="2">
        <v>67.168800000000005</v>
      </c>
      <c r="J183" s="2">
        <v>161</v>
      </c>
      <c r="K183" s="2">
        <v>66.453699999999998</v>
      </c>
      <c r="L183" s="2">
        <v>182</v>
      </c>
      <c r="M183" s="2">
        <v>108.2871</v>
      </c>
      <c r="N183" s="2">
        <v>49</v>
      </c>
      <c r="O183" s="2">
        <v>103.8082</v>
      </c>
      <c r="P183" s="2">
        <v>117</v>
      </c>
      <c r="Q183" s="2">
        <v>104.07340000000001</v>
      </c>
      <c r="R183" s="2">
        <v>239</v>
      </c>
      <c r="S183" s="2">
        <v>105.39960000000001</v>
      </c>
      <c r="T183" s="2">
        <v>253</v>
      </c>
      <c r="U183" s="2">
        <v>0.456372</v>
      </c>
      <c r="V183" s="2">
        <v>182</v>
      </c>
      <c r="W183" s="2">
        <v>2011</v>
      </c>
    </row>
    <row r="184" spans="1:23" ht="12.3" x14ac:dyDescent="0.4">
      <c r="A184" s="2" t="s">
        <v>160</v>
      </c>
      <c r="B184" s="2"/>
      <c r="C184" s="2"/>
      <c r="D184" s="2"/>
      <c r="E184" s="2"/>
      <c r="F184" s="2"/>
      <c r="G184" s="2"/>
      <c r="H184" s="2"/>
      <c r="I184" s="2">
        <v>66.656099999999995</v>
      </c>
      <c r="J184" s="2">
        <v>177</v>
      </c>
      <c r="K184" s="2">
        <v>66.658000000000001</v>
      </c>
      <c r="L184" s="2">
        <v>171</v>
      </c>
      <c r="M184" s="2">
        <v>99.382999999999996</v>
      </c>
      <c r="N184" s="2">
        <v>217</v>
      </c>
      <c r="O184" s="2">
        <v>98.350499999999997</v>
      </c>
      <c r="P184" s="2">
        <v>237</v>
      </c>
      <c r="Q184" s="2">
        <v>99.919600000000003</v>
      </c>
      <c r="R184" s="2">
        <v>123</v>
      </c>
      <c r="S184" s="2">
        <v>99.944500000000005</v>
      </c>
      <c r="T184" s="2">
        <v>123</v>
      </c>
      <c r="U184" s="2">
        <v>0.45390999999999998</v>
      </c>
      <c r="V184" s="2">
        <v>183</v>
      </c>
      <c r="W184" s="2">
        <v>2011</v>
      </c>
    </row>
    <row r="185" spans="1:23" ht="12.3" x14ac:dyDescent="0.4">
      <c r="A185" s="2" t="s">
        <v>218</v>
      </c>
      <c r="B185" s="2"/>
      <c r="C185" s="2"/>
      <c r="D185" s="2"/>
      <c r="E185" s="2"/>
      <c r="F185" s="2"/>
      <c r="G185" s="2"/>
      <c r="H185" s="2"/>
      <c r="I185" s="2">
        <v>64.392499999999998</v>
      </c>
      <c r="J185" s="2">
        <v>273</v>
      </c>
      <c r="K185" s="2">
        <v>64.220299999999995</v>
      </c>
      <c r="L185" s="2">
        <v>284</v>
      </c>
      <c r="M185" s="2">
        <v>103.068</v>
      </c>
      <c r="N185" s="2">
        <v>134</v>
      </c>
      <c r="O185" s="2">
        <v>100.21259999999999</v>
      </c>
      <c r="P185" s="2">
        <v>198</v>
      </c>
      <c r="Q185" s="2">
        <v>101.8304</v>
      </c>
      <c r="R185" s="2">
        <v>183</v>
      </c>
      <c r="S185" s="2">
        <v>101.9478</v>
      </c>
      <c r="T185" s="2">
        <v>174</v>
      </c>
      <c r="U185" s="2">
        <v>0.45080300000000001</v>
      </c>
      <c r="V185" s="2">
        <v>184</v>
      </c>
      <c r="W185" s="2">
        <v>2011</v>
      </c>
    </row>
    <row r="186" spans="1:23" ht="12.3" x14ac:dyDescent="0.4">
      <c r="A186" s="2" t="s">
        <v>333</v>
      </c>
      <c r="B186" s="2"/>
      <c r="C186" s="2"/>
      <c r="D186" s="2"/>
      <c r="E186" s="2"/>
      <c r="F186" s="2"/>
      <c r="G186" s="2"/>
      <c r="H186" s="2"/>
      <c r="I186" s="2">
        <v>66.338999999999999</v>
      </c>
      <c r="J186" s="2">
        <v>193</v>
      </c>
      <c r="K186" s="2">
        <v>67.039400000000001</v>
      </c>
      <c r="L186" s="2">
        <v>149</v>
      </c>
      <c r="M186" s="2">
        <v>102.29730000000001</v>
      </c>
      <c r="N186" s="2">
        <v>155</v>
      </c>
      <c r="O186" s="2">
        <v>103.4057</v>
      </c>
      <c r="P186" s="2">
        <v>127</v>
      </c>
      <c r="Q186" s="2">
        <v>105.32470000000001</v>
      </c>
      <c r="R186" s="2">
        <v>266</v>
      </c>
      <c r="S186" s="2">
        <v>105.318</v>
      </c>
      <c r="T186" s="2">
        <v>249</v>
      </c>
      <c r="U186" s="2">
        <v>0.44751200000000002</v>
      </c>
      <c r="V186" s="2">
        <v>185</v>
      </c>
      <c r="W186" s="2">
        <v>2011</v>
      </c>
    </row>
    <row r="187" spans="1:23" ht="12.3" x14ac:dyDescent="0.4">
      <c r="A187" s="2" t="s">
        <v>228</v>
      </c>
      <c r="B187" s="2"/>
      <c r="C187" s="2"/>
      <c r="D187" s="2"/>
      <c r="E187" s="2"/>
      <c r="F187" s="2"/>
      <c r="G187" s="2"/>
      <c r="H187" s="2"/>
      <c r="I187" s="2">
        <v>67.300299999999993</v>
      </c>
      <c r="J187" s="2">
        <v>151</v>
      </c>
      <c r="K187" s="2">
        <v>66.962999999999994</v>
      </c>
      <c r="L187" s="2">
        <v>155</v>
      </c>
      <c r="M187" s="2">
        <v>99.837400000000002</v>
      </c>
      <c r="N187" s="2">
        <v>208</v>
      </c>
      <c r="O187" s="2">
        <v>95.770499999999998</v>
      </c>
      <c r="P187" s="2">
        <v>275</v>
      </c>
      <c r="Q187" s="2">
        <v>97.15</v>
      </c>
      <c r="R187" s="2">
        <v>69</v>
      </c>
      <c r="S187" s="2">
        <v>97.588499999999996</v>
      </c>
      <c r="T187" s="2">
        <v>78</v>
      </c>
      <c r="U187" s="2">
        <v>0.44614399999999999</v>
      </c>
      <c r="V187" s="2">
        <v>186</v>
      </c>
      <c r="W187" s="2">
        <v>2011</v>
      </c>
    </row>
    <row r="188" spans="1:23" ht="12.3" x14ac:dyDescent="0.4">
      <c r="A188" s="2" t="s">
        <v>167</v>
      </c>
      <c r="B188" s="2"/>
      <c r="C188" s="2"/>
      <c r="D188" s="2"/>
      <c r="E188" s="2"/>
      <c r="F188" s="2"/>
      <c r="G188" s="2"/>
      <c r="H188" s="2"/>
      <c r="I188" s="2">
        <v>64.121899999999997</v>
      </c>
      <c r="J188" s="2">
        <v>286</v>
      </c>
      <c r="K188" s="2">
        <v>64.317800000000005</v>
      </c>
      <c r="L188" s="2">
        <v>281</v>
      </c>
      <c r="M188" s="2">
        <v>100.2453</v>
      </c>
      <c r="N188" s="2">
        <v>201</v>
      </c>
      <c r="O188" s="2">
        <v>103.62179999999999</v>
      </c>
      <c r="P188" s="2">
        <v>123</v>
      </c>
      <c r="Q188" s="2">
        <v>107.1343</v>
      </c>
      <c r="R188" s="2">
        <v>296</v>
      </c>
      <c r="S188" s="2">
        <v>105.6065</v>
      </c>
      <c r="T188" s="2">
        <v>256</v>
      </c>
      <c r="U188" s="2">
        <v>0.44567099999999998</v>
      </c>
      <c r="V188" s="2">
        <v>187</v>
      </c>
      <c r="W188" s="2">
        <v>2011</v>
      </c>
    </row>
    <row r="189" spans="1:23" ht="12.3" x14ac:dyDescent="0.4">
      <c r="A189" s="2" t="s">
        <v>246</v>
      </c>
      <c r="B189" s="2"/>
      <c r="C189" s="2"/>
      <c r="D189" s="2"/>
      <c r="E189" s="2"/>
      <c r="F189" s="2"/>
      <c r="G189" s="2"/>
      <c r="H189" s="2"/>
      <c r="I189" s="2">
        <v>69.317300000000003</v>
      </c>
      <c r="J189" s="2">
        <v>55</v>
      </c>
      <c r="K189" s="2">
        <v>69.873800000000003</v>
      </c>
      <c r="L189" s="2">
        <v>42</v>
      </c>
      <c r="M189" s="2">
        <v>99.198999999999998</v>
      </c>
      <c r="N189" s="2">
        <v>221</v>
      </c>
      <c r="O189" s="2">
        <v>96.448599999999999</v>
      </c>
      <c r="P189" s="2">
        <v>269</v>
      </c>
      <c r="Q189" s="2">
        <v>99.828000000000003</v>
      </c>
      <c r="R189" s="2">
        <v>119</v>
      </c>
      <c r="S189" s="2">
        <v>98.443100000000001</v>
      </c>
      <c r="T189" s="2">
        <v>96</v>
      </c>
      <c r="U189" s="2">
        <v>0.44142300000000001</v>
      </c>
      <c r="V189" s="2">
        <v>188</v>
      </c>
      <c r="W189" s="2">
        <v>2011</v>
      </c>
    </row>
    <row r="190" spans="1:23" ht="12.3" x14ac:dyDescent="0.4">
      <c r="A190" s="2" t="s">
        <v>155</v>
      </c>
      <c r="B190" s="2"/>
      <c r="C190" s="2"/>
      <c r="D190" s="2"/>
      <c r="E190" s="2"/>
      <c r="F190" s="2"/>
      <c r="G190" s="2"/>
      <c r="H190" s="2"/>
      <c r="I190" s="2">
        <v>68.314700000000002</v>
      </c>
      <c r="J190" s="2">
        <v>93</v>
      </c>
      <c r="K190" s="2">
        <v>68.076599999999999</v>
      </c>
      <c r="L190" s="2">
        <v>94</v>
      </c>
      <c r="M190" s="2">
        <v>96.119100000000003</v>
      </c>
      <c r="N190" s="2">
        <v>275</v>
      </c>
      <c r="O190" s="2">
        <v>96.099400000000003</v>
      </c>
      <c r="P190" s="2">
        <v>273</v>
      </c>
      <c r="Q190" s="2">
        <v>99.475099999999998</v>
      </c>
      <c r="R190" s="2">
        <v>111</v>
      </c>
      <c r="S190" s="2">
        <v>98.1554</v>
      </c>
      <c r="T190" s="2">
        <v>92</v>
      </c>
      <c r="U190" s="2">
        <v>0.439438</v>
      </c>
      <c r="V190" s="2">
        <v>189</v>
      </c>
      <c r="W190" s="2">
        <v>2011</v>
      </c>
    </row>
    <row r="191" spans="1:23" ht="12.3" x14ac:dyDescent="0.4">
      <c r="A191" s="2" t="s">
        <v>91</v>
      </c>
      <c r="B191" s="2"/>
      <c r="C191" s="2"/>
      <c r="D191" s="2"/>
      <c r="E191" s="2"/>
      <c r="F191" s="2"/>
      <c r="G191" s="2"/>
      <c r="H191" s="2"/>
      <c r="I191" s="2">
        <v>64.141599999999997</v>
      </c>
      <c r="J191" s="2">
        <v>285</v>
      </c>
      <c r="K191" s="2">
        <v>63.684399999999997</v>
      </c>
      <c r="L191" s="2">
        <v>303</v>
      </c>
      <c r="M191" s="2">
        <v>100.1254</v>
      </c>
      <c r="N191" s="2">
        <v>203</v>
      </c>
      <c r="O191" s="2">
        <v>105.0967</v>
      </c>
      <c r="P191" s="2">
        <v>101</v>
      </c>
      <c r="Q191" s="2">
        <v>108.029</v>
      </c>
      <c r="R191" s="2">
        <v>311</v>
      </c>
      <c r="S191" s="2">
        <v>107.3747</v>
      </c>
      <c r="T191" s="2">
        <v>281</v>
      </c>
      <c r="U191" s="2">
        <v>0.43866100000000002</v>
      </c>
      <c r="V191" s="2">
        <v>190</v>
      </c>
      <c r="W191" s="2">
        <v>2011</v>
      </c>
    </row>
    <row r="192" spans="1:23" ht="12.3" x14ac:dyDescent="0.4">
      <c r="A192" s="2" t="s">
        <v>292</v>
      </c>
      <c r="B192" s="2"/>
      <c r="C192" s="2"/>
      <c r="D192" s="2"/>
      <c r="E192" s="2"/>
      <c r="F192" s="2"/>
      <c r="G192" s="2"/>
      <c r="H192" s="2"/>
      <c r="I192" s="2">
        <v>65.974500000000006</v>
      </c>
      <c r="J192" s="2">
        <v>212</v>
      </c>
      <c r="K192" s="2">
        <v>67.47</v>
      </c>
      <c r="L192" s="2">
        <v>127</v>
      </c>
      <c r="M192" s="2">
        <v>98.557299999999998</v>
      </c>
      <c r="N192" s="2">
        <v>232</v>
      </c>
      <c r="O192" s="2">
        <v>99.154300000000006</v>
      </c>
      <c r="P192" s="2">
        <v>226</v>
      </c>
      <c r="Q192" s="2">
        <v>102.1412</v>
      </c>
      <c r="R192" s="2">
        <v>189</v>
      </c>
      <c r="S192" s="2">
        <v>101.57210000000001</v>
      </c>
      <c r="T192" s="2">
        <v>162</v>
      </c>
      <c r="U192" s="2">
        <v>0.43117800000000001</v>
      </c>
      <c r="V192" s="2">
        <v>191</v>
      </c>
      <c r="W192" s="2">
        <v>2011</v>
      </c>
    </row>
    <row r="193" spans="1:23" ht="12.3" x14ac:dyDescent="0.4">
      <c r="A193" s="2" t="s">
        <v>172</v>
      </c>
      <c r="B193" s="2"/>
      <c r="C193" s="2"/>
      <c r="D193" s="2"/>
      <c r="E193" s="2"/>
      <c r="F193" s="2"/>
      <c r="G193" s="2"/>
      <c r="H193" s="2"/>
      <c r="I193" s="2">
        <v>65.065799999999996</v>
      </c>
      <c r="J193" s="2">
        <v>251</v>
      </c>
      <c r="K193" s="2">
        <v>65.603899999999996</v>
      </c>
      <c r="L193" s="2">
        <v>230</v>
      </c>
      <c r="M193" s="2">
        <v>101.116</v>
      </c>
      <c r="N193" s="2">
        <v>185</v>
      </c>
      <c r="O193" s="2">
        <v>99.247600000000006</v>
      </c>
      <c r="P193" s="2">
        <v>223</v>
      </c>
      <c r="Q193" s="2">
        <v>101.2445</v>
      </c>
      <c r="R193" s="2">
        <v>167</v>
      </c>
      <c r="S193" s="2">
        <v>101.67829999999999</v>
      </c>
      <c r="T193" s="2">
        <v>166</v>
      </c>
      <c r="U193" s="2">
        <v>0.43088100000000001</v>
      </c>
      <c r="V193" s="2">
        <v>192</v>
      </c>
      <c r="W193" s="2">
        <v>2011</v>
      </c>
    </row>
    <row r="194" spans="1:23" ht="12.3" x14ac:dyDescent="0.4">
      <c r="A194" s="2" t="s">
        <v>107</v>
      </c>
      <c r="B194" s="2"/>
      <c r="C194" s="2"/>
      <c r="D194" s="2"/>
      <c r="E194" s="2"/>
      <c r="F194" s="2"/>
      <c r="G194" s="2"/>
      <c r="H194" s="2"/>
      <c r="I194" s="2">
        <v>67.435900000000004</v>
      </c>
      <c r="J194" s="2">
        <v>143</v>
      </c>
      <c r="K194" s="2">
        <v>66.454300000000003</v>
      </c>
      <c r="L194" s="2">
        <v>181</v>
      </c>
      <c r="M194" s="2">
        <v>105.4665</v>
      </c>
      <c r="N194" s="2">
        <v>82</v>
      </c>
      <c r="O194" s="2">
        <v>105.1609</v>
      </c>
      <c r="P194" s="2">
        <v>99</v>
      </c>
      <c r="Q194" s="2">
        <v>104.3349</v>
      </c>
      <c r="R194" s="2">
        <v>248</v>
      </c>
      <c r="S194" s="2">
        <v>107.8822</v>
      </c>
      <c r="T194" s="2">
        <v>295</v>
      </c>
      <c r="U194" s="2">
        <v>0.42707000000000001</v>
      </c>
      <c r="V194" s="2">
        <v>193</v>
      </c>
      <c r="W194" s="2">
        <v>2011</v>
      </c>
    </row>
    <row r="195" spans="1:23" ht="12.3" x14ac:dyDescent="0.4">
      <c r="A195" s="2" t="s">
        <v>135</v>
      </c>
      <c r="B195" s="2">
        <v>16</v>
      </c>
      <c r="C195" s="2"/>
      <c r="D195" s="2"/>
      <c r="E195" s="2"/>
      <c r="F195" s="2"/>
      <c r="G195" s="2"/>
      <c r="H195" s="2"/>
      <c r="I195" s="2">
        <v>67.535799999999995</v>
      </c>
      <c r="J195" s="2">
        <v>137</v>
      </c>
      <c r="K195" s="2">
        <v>68.068200000000004</v>
      </c>
      <c r="L195" s="2">
        <v>95</v>
      </c>
      <c r="M195" s="2">
        <v>97.466499999999996</v>
      </c>
      <c r="N195" s="2">
        <v>255</v>
      </c>
      <c r="O195" s="2">
        <v>94.201700000000002</v>
      </c>
      <c r="P195" s="2">
        <v>293</v>
      </c>
      <c r="Q195" s="2">
        <v>90.420699999999997</v>
      </c>
      <c r="R195" s="2">
        <v>7</v>
      </c>
      <c r="S195" s="2">
        <v>96.723100000000002</v>
      </c>
      <c r="T195" s="2">
        <v>63</v>
      </c>
      <c r="U195" s="2">
        <v>0.42464000000000002</v>
      </c>
      <c r="V195" s="2">
        <v>194</v>
      </c>
      <c r="W195" s="2">
        <v>2011</v>
      </c>
    </row>
    <row r="196" spans="1:23" ht="12.3" x14ac:dyDescent="0.4">
      <c r="A196" s="2" t="s">
        <v>308</v>
      </c>
      <c r="B196" s="2"/>
      <c r="C196" s="2"/>
      <c r="D196" s="2"/>
      <c r="E196" s="2"/>
      <c r="F196" s="2"/>
      <c r="G196" s="2"/>
      <c r="H196" s="2"/>
      <c r="I196" s="2">
        <v>62.8688</v>
      </c>
      <c r="J196" s="2">
        <v>315</v>
      </c>
      <c r="K196" s="2">
        <v>64.070899999999995</v>
      </c>
      <c r="L196" s="2">
        <v>292</v>
      </c>
      <c r="M196" s="2">
        <v>104.87609999999999</v>
      </c>
      <c r="N196" s="2">
        <v>94</v>
      </c>
      <c r="O196" s="2">
        <v>107.59829999999999</v>
      </c>
      <c r="P196" s="2">
        <v>69</v>
      </c>
      <c r="Q196" s="2">
        <v>111.2406</v>
      </c>
      <c r="R196" s="2">
        <v>337</v>
      </c>
      <c r="S196" s="2">
        <v>110.7565</v>
      </c>
      <c r="T196" s="2">
        <v>329</v>
      </c>
      <c r="U196" s="2">
        <v>0.41758699999999999</v>
      </c>
      <c r="V196" s="2">
        <v>195</v>
      </c>
      <c r="W196" s="2">
        <v>2011</v>
      </c>
    </row>
    <row r="197" spans="1:23" ht="12.3" x14ac:dyDescent="0.4">
      <c r="A197" s="2" t="s">
        <v>277</v>
      </c>
      <c r="B197" s="2"/>
      <c r="C197" s="2"/>
      <c r="D197" s="2"/>
      <c r="E197" s="2"/>
      <c r="F197" s="2"/>
      <c r="G197" s="2"/>
      <c r="H197" s="2"/>
      <c r="I197" s="2">
        <v>67.552499999999995</v>
      </c>
      <c r="J197" s="2">
        <v>135</v>
      </c>
      <c r="K197" s="2">
        <v>67.558300000000003</v>
      </c>
      <c r="L197" s="2">
        <v>121</v>
      </c>
      <c r="M197" s="2">
        <v>98.828299999999999</v>
      </c>
      <c r="N197" s="2">
        <v>228</v>
      </c>
      <c r="O197" s="2">
        <v>97.843599999999995</v>
      </c>
      <c r="P197" s="2">
        <v>247</v>
      </c>
      <c r="Q197" s="2">
        <v>97.973100000000002</v>
      </c>
      <c r="R197" s="2">
        <v>83</v>
      </c>
      <c r="S197" s="2">
        <v>100.723</v>
      </c>
      <c r="T197" s="2">
        <v>135</v>
      </c>
      <c r="U197" s="2">
        <v>0.41737800000000003</v>
      </c>
      <c r="V197" s="2">
        <v>196</v>
      </c>
      <c r="W197" s="2">
        <v>2011</v>
      </c>
    </row>
    <row r="198" spans="1:23" ht="12.3" x14ac:dyDescent="0.4">
      <c r="A198" s="2" t="s">
        <v>263</v>
      </c>
      <c r="B198" s="2"/>
      <c r="C198" s="2"/>
      <c r="D198" s="2"/>
      <c r="E198" s="2"/>
      <c r="F198" s="2"/>
      <c r="G198" s="2"/>
      <c r="H198" s="2"/>
      <c r="I198" s="2">
        <v>75.955500000000001</v>
      </c>
      <c r="J198" s="2">
        <v>2</v>
      </c>
      <c r="K198" s="2">
        <v>75.642399999999995</v>
      </c>
      <c r="L198" s="2">
        <v>2</v>
      </c>
      <c r="M198" s="2">
        <v>109.8344</v>
      </c>
      <c r="N198" s="2">
        <v>36</v>
      </c>
      <c r="O198" s="2">
        <v>109.907</v>
      </c>
      <c r="P198" s="2">
        <v>41</v>
      </c>
      <c r="Q198" s="2">
        <v>107.9828</v>
      </c>
      <c r="R198" s="2">
        <v>308</v>
      </c>
      <c r="S198" s="2">
        <v>113.2758</v>
      </c>
      <c r="T198" s="2">
        <v>340</v>
      </c>
      <c r="U198" s="2">
        <v>0.41406100000000001</v>
      </c>
      <c r="V198" s="2">
        <v>197</v>
      </c>
      <c r="W198" s="2">
        <v>2011</v>
      </c>
    </row>
    <row r="199" spans="1:23" ht="12.3" x14ac:dyDescent="0.4">
      <c r="A199" s="2" t="s">
        <v>207</v>
      </c>
      <c r="B199" s="2"/>
      <c r="C199" s="2"/>
      <c r="D199" s="2"/>
      <c r="E199" s="2"/>
      <c r="F199" s="2"/>
      <c r="G199" s="2"/>
      <c r="H199" s="2"/>
      <c r="I199" s="2">
        <v>69.256</v>
      </c>
      <c r="J199" s="2">
        <v>58</v>
      </c>
      <c r="K199" s="2">
        <v>69.559899999999999</v>
      </c>
      <c r="L199" s="2">
        <v>47</v>
      </c>
      <c r="M199" s="2">
        <v>96.628200000000007</v>
      </c>
      <c r="N199" s="2">
        <v>270</v>
      </c>
      <c r="O199" s="2">
        <v>101.8593</v>
      </c>
      <c r="P199" s="2">
        <v>159</v>
      </c>
      <c r="Q199" s="2">
        <v>109.89319999999999</v>
      </c>
      <c r="R199" s="2">
        <v>327</v>
      </c>
      <c r="S199" s="2">
        <v>105.1285</v>
      </c>
      <c r="T199" s="2">
        <v>246</v>
      </c>
      <c r="U199" s="2">
        <v>0.410163</v>
      </c>
      <c r="V199" s="2">
        <v>198</v>
      </c>
      <c r="W199" s="2">
        <v>2011</v>
      </c>
    </row>
    <row r="200" spans="1:23" ht="12.3" x14ac:dyDescent="0.4">
      <c r="A200" s="2" t="s">
        <v>245</v>
      </c>
      <c r="B200" s="2"/>
      <c r="C200" s="2"/>
      <c r="D200" s="2"/>
      <c r="E200" s="2"/>
      <c r="F200" s="2"/>
      <c r="G200" s="2"/>
      <c r="H200" s="2"/>
      <c r="I200" s="2">
        <v>65.937799999999996</v>
      </c>
      <c r="J200" s="2">
        <v>217</v>
      </c>
      <c r="K200" s="2">
        <v>66.692099999999996</v>
      </c>
      <c r="L200" s="2">
        <v>169</v>
      </c>
      <c r="M200" s="2">
        <v>98.162599999999998</v>
      </c>
      <c r="N200" s="2">
        <v>241</v>
      </c>
      <c r="O200" s="2">
        <v>99.600899999999996</v>
      </c>
      <c r="P200" s="2">
        <v>211</v>
      </c>
      <c r="Q200" s="2">
        <v>103.32850000000001</v>
      </c>
      <c r="R200" s="2">
        <v>207</v>
      </c>
      <c r="S200" s="2">
        <v>102.9391</v>
      </c>
      <c r="T200" s="2">
        <v>200</v>
      </c>
      <c r="U200" s="2">
        <v>0.40634100000000001</v>
      </c>
      <c r="V200" s="2">
        <v>199</v>
      </c>
      <c r="W200" s="2">
        <v>2011</v>
      </c>
    </row>
    <row r="201" spans="1:23" ht="12.3" x14ac:dyDescent="0.4">
      <c r="A201" s="2" t="s">
        <v>161</v>
      </c>
      <c r="B201" s="2"/>
      <c r="C201" s="2"/>
      <c r="D201" s="2"/>
      <c r="E201" s="2"/>
      <c r="F201" s="2"/>
      <c r="G201" s="2"/>
      <c r="H201" s="2"/>
      <c r="I201" s="2">
        <v>65.872200000000007</v>
      </c>
      <c r="J201" s="2">
        <v>221</v>
      </c>
      <c r="K201" s="2">
        <v>65.764399999999995</v>
      </c>
      <c r="L201" s="2">
        <v>224</v>
      </c>
      <c r="M201" s="2">
        <v>101.3182</v>
      </c>
      <c r="N201" s="2">
        <v>177</v>
      </c>
      <c r="O201" s="2">
        <v>100.2368</v>
      </c>
      <c r="P201" s="2">
        <v>196</v>
      </c>
      <c r="Q201" s="2">
        <v>101.5402</v>
      </c>
      <c r="R201" s="2">
        <v>176</v>
      </c>
      <c r="S201" s="2">
        <v>103.7162</v>
      </c>
      <c r="T201" s="2">
        <v>213</v>
      </c>
      <c r="U201" s="2">
        <v>0.40313700000000002</v>
      </c>
      <c r="V201" s="2">
        <v>200</v>
      </c>
      <c r="W201" s="2">
        <v>2011</v>
      </c>
    </row>
    <row r="202" spans="1:23" ht="12.3" x14ac:dyDescent="0.4">
      <c r="A202" s="2" t="s">
        <v>318</v>
      </c>
      <c r="B202" s="2"/>
      <c r="C202" s="2"/>
      <c r="D202" s="2"/>
      <c r="E202" s="2"/>
      <c r="F202" s="2"/>
      <c r="G202" s="2"/>
      <c r="H202" s="2"/>
      <c r="I202" s="2">
        <v>67.544700000000006</v>
      </c>
      <c r="J202" s="2">
        <v>136</v>
      </c>
      <c r="K202" s="2">
        <v>66.546400000000006</v>
      </c>
      <c r="L202" s="2">
        <v>176</v>
      </c>
      <c r="M202" s="2">
        <v>98.725800000000007</v>
      </c>
      <c r="N202" s="2">
        <v>230</v>
      </c>
      <c r="O202" s="2">
        <v>99.431299999999993</v>
      </c>
      <c r="P202" s="2">
        <v>217</v>
      </c>
      <c r="Q202" s="2">
        <v>100.98739999999999</v>
      </c>
      <c r="R202" s="2">
        <v>156</v>
      </c>
      <c r="S202" s="2">
        <v>102.9246</v>
      </c>
      <c r="T202" s="2">
        <v>198</v>
      </c>
      <c r="U202" s="2">
        <v>0.40200999999999998</v>
      </c>
      <c r="V202" s="2">
        <v>201</v>
      </c>
      <c r="W202" s="2">
        <v>2011</v>
      </c>
    </row>
    <row r="203" spans="1:23" ht="12.3" x14ac:dyDescent="0.4">
      <c r="A203" s="2" t="s">
        <v>114</v>
      </c>
      <c r="B203" s="2"/>
      <c r="C203" s="2"/>
      <c r="D203" s="2"/>
      <c r="E203" s="2"/>
      <c r="F203" s="2"/>
      <c r="G203" s="2"/>
      <c r="H203" s="2"/>
      <c r="I203" s="2">
        <v>70.355099999999993</v>
      </c>
      <c r="J203" s="2">
        <v>39</v>
      </c>
      <c r="K203" s="2">
        <v>70.799499999999995</v>
      </c>
      <c r="L203" s="2">
        <v>27</v>
      </c>
      <c r="M203" s="2">
        <v>101.7302</v>
      </c>
      <c r="N203" s="2">
        <v>170</v>
      </c>
      <c r="O203" s="2">
        <v>100.297</v>
      </c>
      <c r="P203" s="2">
        <v>193</v>
      </c>
      <c r="Q203" s="2">
        <v>101.00279999999999</v>
      </c>
      <c r="R203" s="2">
        <v>158</v>
      </c>
      <c r="S203" s="2">
        <v>103.86409999999999</v>
      </c>
      <c r="T203" s="2">
        <v>218</v>
      </c>
      <c r="U203" s="2">
        <v>0.40085700000000002</v>
      </c>
      <c r="V203" s="2">
        <v>202</v>
      </c>
      <c r="W203" s="2">
        <v>2011</v>
      </c>
    </row>
    <row r="204" spans="1:23" ht="12.3" x14ac:dyDescent="0.4">
      <c r="A204" s="2" t="s">
        <v>174</v>
      </c>
      <c r="B204" s="2"/>
      <c r="C204" s="2"/>
      <c r="D204" s="2"/>
      <c r="E204" s="2"/>
      <c r="F204" s="2"/>
      <c r="G204" s="2"/>
      <c r="H204" s="2"/>
      <c r="I204" s="2">
        <v>63.275500000000001</v>
      </c>
      <c r="J204" s="2">
        <v>309</v>
      </c>
      <c r="K204" s="2">
        <v>64.719899999999996</v>
      </c>
      <c r="L204" s="2">
        <v>262</v>
      </c>
      <c r="M204" s="2">
        <v>98.917400000000001</v>
      </c>
      <c r="N204" s="2">
        <v>227</v>
      </c>
      <c r="O204" s="2">
        <v>98.326800000000006</v>
      </c>
      <c r="P204" s="2">
        <v>239</v>
      </c>
      <c r="Q204" s="2">
        <v>103.9845</v>
      </c>
      <c r="R204" s="2">
        <v>233</v>
      </c>
      <c r="S204" s="2">
        <v>101.9753</v>
      </c>
      <c r="T204" s="2">
        <v>175</v>
      </c>
      <c r="U204" s="2">
        <v>0.39675899999999997</v>
      </c>
      <c r="V204" s="2">
        <v>203</v>
      </c>
      <c r="W204" s="2">
        <v>2011</v>
      </c>
    </row>
    <row r="205" spans="1:23" ht="12.3" x14ac:dyDescent="0.4">
      <c r="A205" s="2" t="s">
        <v>273</v>
      </c>
      <c r="B205" s="2"/>
      <c r="C205" s="2"/>
      <c r="D205" s="2"/>
      <c r="E205" s="2"/>
      <c r="F205" s="2"/>
      <c r="G205" s="2"/>
      <c r="H205" s="2"/>
      <c r="I205" s="2">
        <v>66.490899999999996</v>
      </c>
      <c r="J205" s="2">
        <v>183</v>
      </c>
      <c r="K205" s="2">
        <v>65.847399999999993</v>
      </c>
      <c r="L205" s="2">
        <v>218</v>
      </c>
      <c r="M205" s="2">
        <v>101.303</v>
      </c>
      <c r="N205" s="2">
        <v>179</v>
      </c>
      <c r="O205" s="2">
        <v>101.8252</v>
      </c>
      <c r="P205" s="2">
        <v>160</v>
      </c>
      <c r="Q205" s="2">
        <v>105.6544</v>
      </c>
      <c r="R205" s="2">
        <v>271</v>
      </c>
      <c r="S205" s="2">
        <v>105.6195</v>
      </c>
      <c r="T205" s="2">
        <v>257</v>
      </c>
      <c r="U205" s="2">
        <v>0.39634200000000003</v>
      </c>
      <c r="V205" s="2">
        <v>204</v>
      </c>
      <c r="W205" s="2">
        <v>2011</v>
      </c>
    </row>
    <row r="206" spans="1:23" ht="12.3" x14ac:dyDescent="0.4">
      <c r="A206" s="2" t="s">
        <v>196</v>
      </c>
      <c r="B206" s="2"/>
      <c r="C206" s="2"/>
      <c r="D206" s="2"/>
      <c r="E206" s="2"/>
      <c r="F206" s="2"/>
      <c r="G206" s="2"/>
      <c r="H206" s="2"/>
      <c r="I206" s="2">
        <v>68.650599999999997</v>
      </c>
      <c r="J206" s="2">
        <v>80</v>
      </c>
      <c r="K206" s="2">
        <v>69.268799999999999</v>
      </c>
      <c r="L206" s="2">
        <v>52</v>
      </c>
      <c r="M206" s="2">
        <v>97.753100000000003</v>
      </c>
      <c r="N206" s="2">
        <v>250</v>
      </c>
      <c r="O206" s="2">
        <v>97.418599999999998</v>
      </c>
      <c r="P206" s="2">
        <v>251</v>
      </c>
      <c r="Q206" s="2">
        <v>100.628</v>
      </c>
      <c r="R206" s="2">
        <v>148</v>
      </c>
      <c r="S206" s="2">
        <v>101.08029999999999</v>
      </c>
      <c r="T206" s="2">
        <v>147</v>
      </c>
      <c r="U206" s="2">
        <v>0.395482</v>
      </c>
      <c r="V206" s="2">
        <v>205</v>
      </c>
      <c r="W206" s="2">
        <v>2011</v>
      </c>
    </row>
    <row r="207" spans="1:23" ht="12.3" x14ac:dyDescent="0.4">
      <c r="A207" s="2" t="s">
        <v>291</v>
      </c>
      <c r="B207" s="2"/>
      <c r="C207" s="2"/>
      <c r="D207" s="2"/>
      <c r="E207" s="2"/>
      <c r="F207" s="2"/>
      <c r="G207" s="2"/>
      <c r="H207" s="2"/>
      <c r="I207" s="2">
        <v>68.290499999999994</v>
      </c>
      <c r="J207" s="2">
        <v>95</v>
      </c>
      <c r="K207" s="2">
        <v>67.914699999999996</v>
      </c>
      <c r="L207" s="2">
        <v>105</v>
      </c>
      <c r="M207" s="2">
        <v>100.1772</v>
      </c>
      <c r="N207" s="2">
        <v>202</v>
      </c>
      <c r="O207" s="2">
        <v>100.0671</v>
      </c>
      <c r="P207" s="2">
        <v>200</v>
      </c>
      <c r="Q207" s="2">
        <v>104.38160000000001</v>
      </c>
      <c r="R207" s="2">
        <v>249</v>
      </c>
      <c r="S207" s="2">
        <v>104.0463</v>
      </c>
      <c r="T207" s="2">
        <v>225</v>
      </c>
      <c r="U207" s="2">
        <v>0.38973099999999999</v>
      </c>
      <c r="V207" s="2">
        <v>206</v>
      </c>
      <c r="W207" s="2">
        <v>2011</v>
      </c>
    </row>
    <row r="208" spans="1:23" ht="12.3" x14ac:dyDescent="0.4">
      <c r="A208" s="2" t="s">
        <v>309</v>
      </c>
      <c r="B208" s="2"/>
      <c r="C208" s="2"/>
      <c r="D208" s="2"/>
      <c r="E208" s="2"/>
      <c r="F208" s="2"/>
      <c r="G208" s="2"/>
      <c r="H208" s="2"/>
      <c r="I208" s="2">
        <v>64.765299999999996</v>
      </c>
      <c r="J208" s="2">
        <v>262</v>
      </c>
      <c r="K208" s="2">
        <v>66.319699999999997</v>
      </c>
      <c r="L208" s="2">
        <v>187</v>
      </c>
      <c r="M208" s="2">
        <v>105.2504</v>
      </c>
      <c r="N208" s="2">
        <v>89</v>
      </c>
      <c r="O208" s="2">
        <v>103.4675</v>
      </c>
      <c r="P208" s="2">
        <v>126</v>
      </c>
      <c r="Q208" s="2">
        <v>103.2128</v>
      </c>
      <c r="R208" s="2">
        <v>206</v>
      </c>
      <c r="S208" s="2">
        <v>107.584</v>
      </c>
      <c r="T208" s="2">
        <v>286</v>
      </c>
      <c r="U208" s="2">
        <v>0.389679</v>
      </c>
      <c r="V208" s="2">
        <v>207</v>
      </c>
      <c r="W208" s="2">
        <v>2011</v>
      </c>
    </row>
    <row r="209" spans="1:23" ht="12.3" x14ac:dyDescent="0.4">
      <c r="A209" s="2" t="s">
        <v>253</v>
      </c>
      <c r="B209" s="2"/>
      <c r="C209" s="2"/>
      <c r="D209" s="2"/>
      <c r="E209" s="2"/>
      <c r="F209" s="2"/>
      <c r="G209" s="2"/>
      <c r="H209" s="2"/>
      <c r="I209" s="2">
        <v>67.858900000000006</v>
      </c>
      <c r="J209" s="2">
        <v>122</v>
      </c>
      <c r="K209" s="2">
        <v>66.980500000000006</v>
      </c>
      <c r="L209" s="2">
        <v>154</v>
      </c>
      <c r="M209" s="2">
        <v>104.9512</v>
      </c>
      <c r="N209" s="2">
        <v>93</v>
      </c>
      <c r="O209" s="2">
        <v>103.2822</v>
      </c>
      <c r="P209" s="2">
        <v>131</v>
      </c>
      <c r="Q209" s="2">
        <v>107.959</v>
      </c>
      <c r="R209" s="2">
        <v>307</v>
      </c>
      <c r="S209" s="2">
        <v>107.4349</v>
      </c>
      <c r="T209" s="2">
        <v>282</v>
      </c>
      <c r="U209" s="2">
        <v>0.388569</v>
      </c>
      <c r="V209" s="2">
        <v>208</v>
      </c>
      <c r="W209" s="2">
        <v>2011</v>
      </c>
    </row>
    <row r="210" spans="1:23" ht="12.3" x14ac:dyDescent="0.4">
      <c r="A210" s="2" t="s">
        <v>271</v>
      </c>
      <c r="B210" s="2"/>
      <c r="C210" s="2"/>
      <c r="D210" s="2"/>
      <c r="E210" s="2"/>
      <c r="F210" s="2"/>
      <c r="G210" s="2"/>
      <c r="H210" s="2"/>
      <c r="I210" s="2">
        <v>68.394800000000004</v>
      </c>
      <c r="J210" s="2">
        <v>88</v>
      </c>
      <c r="K210" s="2">
        <v>68.2547</v>
      </c>
      <c r="L210" s="2">
        <v>85</v>
      </c>
      <c r="M210" s="2">
        <v>102.5363</v>
      </c>
      <c r="N210" s="2">
        <v>149</v>
      </c>
      <c r="O210" s="2">
        <v>99.157200000000003</v>
      </c>
      <c r="P210" s="2">
        <v>225</v>
      </c>
      <c r="Q210" s="2">
        <v>103.5416</v>
      </c>
      <c r="R210" s="2">
        <v>217</v>
      </c>
      <c r="S210" s="2">
        <v>103.1849</v>
      </c>
      <c r="T210" s="2">
        <v>210</v>
      </c>
      <c r="U210" s="2">
        <v>0.38748899999999997</v>
      </c>
      <c r="V210" s="2">
        <v>209</v>
      </c>
      <c r="W210" s="2">
        <v>2011</v>
      </c>
    </row>
    <row r="211" spans="1:23" ht="12.3" x14ac:dyDescent="0.4">
      <c r="A211" s="2" t="s">
        <v>185</v>
      </c>
      <c r="B211" s="2">
        <v>16</v>
      </c>
      <c r="C211" s="2"/>
      <c r="D211" s="2"/>
      <c r="E211" s="2"/>
      <c r="F211" s="2"/>
      <c r="G211" s="2"/>
      <c r="H211" s="2"/>
      <c r="I211" s="2">
        <v>68.808599999999998</v>
      </c>
      <c r="J211" s="2">
        <v>76</v>
      </c>
      <c r="K211" s="2">
        <v>67.793400000000005</v>
      </c>
      <c r="L211" s="2">
        <v>109</v>
      </c>
      <c r="M211" s="2">
        <v>102.48569999999999</v>
      </c>
      <c r="N211" s="2">
        <v>151</v>
      </c>
      <c r="O211" s="2">
        <v>101.61409999999999</v>
      </c>
      <c r="P211" s="2">
        <v>172</v>
      </c>
      <c r="Q211" s="2">
        <v>102.8142</v>
      </c>
      <c r="R211" s="2">
        <v>199</v>
      </c>
      <c r="S211" s="2">
        <v>105.8219</v>
      </c>
      <c r="T211" s="2">
        <v>259</v>
      </c>
      <c r="U211" s="2">
        <v>0.38541900000000001</v>
      </c>
      <c r="V211" s="2">
        <v>210</v>
      </c>
      <c r="W211" s="2">
        <v>2011</v>
      </c>
    </row>
    <row r="212" spans="1:23" ht="12.3" x14ac:dyDescent="0.4">
      <c r="A212" s="2" t="s">
        <v>336</v>
      </c>
      <c r="B212" s="2"/>
      <c r="C212" s="2"/>
      <c r="D212" s="2"/>
      <c r="E212" s="2"/>
      <c r="F212" s="2"/>
      <c r="G212" s="2"/>
      <c r="H212" s="2"/>
      <c r="I212" s="2">
        <v>62.5503</v>
      </c>
      <c r="J212" s="2">
        <v>320</v>
      </c>
      <c r="K212" s="2">
        <v>63.616300000000003</v>
      </c>
      <c r="L212" s="2">
        <v>307</v>
      </c>
      <c r="M212" s="2">
        <v>94.517099999999999</v>
      </c>
      <c r="N212" s="2">
        <v>294</v>
      </c>
      <c r="O212" s="2">
        <v>93.242400000000004</v>
      </c>
      <c r="P212" s="2">
        <v>302</v>
      </c>
      <c r="Q212" s="2">
        <v>95.068700000000007</v>
      </c>
      <c r="R212" s="2">
        <v>36</v>
      </c>
      <c r="S212" s="2">
        <v>97.153800000000004</v>
      </c>
      <c r="T212" s="2">
        <v>69</v>
      </c>
      <c r="U212" s="2">
        <v>0.38400899999999999</v>
      </c>
      <c r="V212" s="2">
        <v>211</v>
      </c>
      <c r="W212" s="2">
        <v>2011</v>
      </c>
    </row>
    <row r="213" spans="1:23" ht="12.3" x14ac:dyDescent="0.4">
      <c r="A213" s="2" t="s">
        <v>125</v>
      </c>
      <c r="B213" s="2">
        <v>16</v>
      </c>
      <c r="C213" s="2"/>
      <c r="D213" s="2"/>
      <c r="E213" s="2"/>
      <c r="F213" s="2"/>
      <c r="G213" s="2"/>
      <c r="H213" s="2"/>
      <c r="I213" s="2">
        <v>64.660899999999998</v>
      </c>
      <c r="J213" s="2">
        <v>265</v>
      </c>
      <c r="K213" s="2">
        <v>65.331400000000002</v>
      </c>
      <c r="L213" s="2">
        <v>242</v>
      </c>
      <c r="M213" s="2">
        <v>101.967</v>
      </c>
      <c r="N213" s="2">
        <v>163</v>
      </c>
      <c r="O213" s="2">
        <v>99.558599999999998</v>
      </c>
      <c r="P213" s="2">
        <v>212</v>
      </c>
      <c r="Q213" s="2">
        <v>103.5429</v>
      </c>
      <c r="R213" s="2">
        <v>218</v>
      </c>
      <c r="S213" s="2">
        <v>103.74930000000001</v>
      </c>
      <c r="T213" s="2">
        <v>215</v>
      </c>
      <c r="U213" s="2">
        <v>0.383635</v>
      </c>
      <c r="V213" s="2">
        <v>212</v>
      </c>
      <c r="W213" s="2">
        <v>2011</v>
      </c>
    </row>
    <row r="214" spans="1:23" ht="12.3" x14ac:dyDescent="0.4">
      <c r="A214" s="2" t="s">
        <v>286</v>
      </c>
      <c r="B214" s="2"/>
      <c r="C214" s="2"/>
      <c r="D214" s="2"/>
      <c r="E214" s="2"/>
      <c r="F214" s="2"/>
      <c r="G214" s="2"/>
      <c r="H214" s="2"/>
      <c r="I214" s="2">
        <v>58.786999999999999</v>
      </c>
      <c r="J214" s="2">
        <v>344</v>
      </c>
      <c r="K214" s="2">
        <v>57.914000000000001</v>
      </c>
      <c r="L214" s="2">
        <v>344</v>
      </c>
      <c r="M214" s="2">
        <v>100.6999</v>
      </c>
      <c r="N214" s="2">
        <v>194</v>
      </c>
      <c r="O214" s="2">
        <v>97.411199999999994</v>
      </c>
      <c r="P214" s="2">
        <v>252</v>
      </c>
      <c r="Q214" s="2">
        <v>101.4379</v>
      </c>
      <c r="R214" s="2">
        <v>174</v>
      </c>
      <c r="S214" s="2">
        <v>101.5561</v>
      </c>
      <c r="T214" s="2">
        <v>161</v>
      </c>
      <c r="U214" s="2">
        <v>0.38244</v>
      </c>
      <c r="V214" s="2">
        <v>213</v>
      </c>
      <c r="W214" s="2">
        <v>2011</v>
      </c>
    </row>
    <row r="215" spans="1:23" ht="12.3" x14ac:dyDescent="0.4">
      <c r="A215" s="2" t="s">
        <v>178</v>
      </c>
      <c r="B215" s="2"/>
      <c r="C215" s="2"/>
      <c r="D215" s="2"/>
      <c r="E215" s="2"/>
      <c r="F215" s="2"/>
      <c r="G215" s="2"/>
      <c r="H215" s="2"/>
      <c r="I215" s="2">
        <v>65.965900000000005</v>
      </c>
      <c r="J215" s="2">
        <v>213</v>
      </c>
      <c r="K215" s="2">
        <v>66.1173</v>
      </c>
      <c r="L215" s="2">
        <v>203</v>
      </c>
      <c r="M215" s="2">
        <v>100.7911</v>
      </c>
      <c r="N215" s="2">
        <v>192</v>
      </c>
      <c r="O215" s="2">
        <v>100.62009999999999</v>
      </c>
      <c r="P215" s="2">
        <v>190</v>
      </c>
      <c r="Q215" s="2">
        <v>103.7334</v>
      </c>
      <c r="R215" s="2">
        <v>225</v>
      </c>
      <c r="S215" s="2">
        <v>105.01349999999999</v>
      </c>
      <c r="T215" s="2">
        <v>243</v>
      </c>
      <c r="U215" s="2">
        <v>0.37954700000000002</v>
      </c>
      <c r="V215" s="2">
        <v>214</v>
      </c>
      <c r="W215" s="2">
        <v>2011</v>
      </c>
    </row>
    <row r="216" spans="1:23" ht="12.3" x14ac:dyDescent="0.4">
      <c r="A216" s="2" t="s">
        <v>363</v>
      </c>
      <c r="B216" s="2"/>
      <c r="C216" s="2"/>
      <c r="D216" s="2"/>
      <c r="E216" s="2"/>
      <c r="F216" s="2"/>
      <c r="G216" s="2"/>
      <c r="H216" s="2"/>
      <c r="I216" s="2">
        <v>67.7727</v>
      </c>
      <c r="J216" s="2">
        <v>128</v>
      </c>
      <c r="K216" s="2">
        <v>66.877600000000001</v>
      </c>
      <c r="L216" s="2">
        <v>160</v>
      </c>
      <c r="M216" s="2">
        <v>94.93</v>
      </c>
      <c r="N216" s="2">
        <v>290</v>
      </c>
      <c r="O216" s="2">
        <v>98.030500000000004</v>
      </c>
      <c r="P216" s="2">
        <v>243</v>
      </c>
      <c r="Q216" s="2">
        <v>104.05070000000001</v>
      </c>
      <c r="R216" s="2">
        <v>236</v>
      </c>
      <c r="S216" s="2">
        <v>102.5091</v>
      </c>
      <c r="T216" s="2">
        <v>192</v>
      </c>
      <c r="U216" s="2">
        <v>0.37431700000000001</v>
      </c>
      <c r="V216" s="2">
        <v>215</v>
      </c>
      <c r="W216" s="2">
        <v>2011</v>
      </c>
    </row>
    <row r="217" spans="1:23" ht="12.3" x14ac:dyDescent="0.4">
      <c r="A217" s="2" t="s">
        <v>205</v>
      </c>
      <c r="B217" s="2"/>
      <c r="C217" s="2"/>
      <c r="D217" s="2"/>
      <c r="E217" s="2"/>
      <c r="F217" s="2"/>
      <c r="G217" s="2"/>
      <c r="H217" s="2"/>
      <c r="I217" s="2">
        <v>65.42</v>
      </c>
      <c r="J217" s="2">
        <v>240</v>
      </c>
      <c r="K217" s="2">
        <v>66.101200000000006</v>
      </c>
      <c r="L217" s="2">
        <v>206</v>
      </c>
      <c r="M217" s="2">
        <v>98.127099999999999</v>
      </c>
      <c r="N217" s="2">
        <v>242</v>
      </c>
      <c r="O217" s="2">
        <v>99.481200000000001</v>
      </c>
      <c r="P217" s="2">
        <v>214</v>
      </c>
      <c r="Q217" s="2">
        <v>103.1915</v>
      </c>
      <c r="R217" s="2">
        <v>205</v>
      </c>
      <c r="S217" s="2">
        <v>104.05670000000001</v>
      </c>
      <c r="T217" s="2">
        <v>226</v>
      </c>
      <c r="U217" s="2">
        <v>0.373527</v>
      </c>
      <c r="V217" s="2">
        <v>216</v>
      </c>
      <c r="W217" s="2">
        <v>2011</v>
      </c>
    </row>
    <row r="218" spans="1:23" ht="12.3" x14ac:dyDescent="0.4">
      <c r="A218" s="2" t="s">
        <v>282</v>
      </c>
      <c r="B218" s="2"/>
      <c r="C218" s="2"/>
      <c r="D218" s="2"/>
      <c r="E218" s="2"/>
      <c r="F218" s="2"/>
      <c r="G218" s="2"/>
      <c r="H218" s="2"/>
      <c r="I218" s="2">
        <v>61.8504</v>
      </c>
      <c r="J218" s="2">
        <v>331</v>
      </c>
      <c r="K218" s="2">
        <v>60.351900000000001</v>
      </c>
      <c r="L218" s="2">
        <v>343</v>
      </c>
      <c r="M218" s="2">
        <v>100.0189</v>
      </c>
      <c r="N218" s="2">
        <v>204</v>
      </c>
      <c r="O218" s="2">
        <v>95.162099999999995</v>
      </c>
      <c r="P218" s="2">
        <v>284</v>
      </c>
      <c r="Q218" s="2">
        <v>93.573099999999997</v>
      </c>
      <c r="R218" s="2">
        <v>23</v>
      </c>
      <c r="S218" s="2">
        <v>99.616699999999994</v>
      </c>
      <c r="T218" s="2">
        <v>117</v>
      </c>
      <c r="U218" s="2">
        <v>0.37142500000000001</v>
      </c>
      <c r="V218" s="2">
        <v>217</v>
      </c>
      <c r="W218" s="2">
        <v>2011</v>
      </c>
    </row>
    <row r="219" spans="1:23" ht="12.3" x14ac:dyDescent="0.4">
      <c r="A219" s="2" t="s">
        <v>305</v>
      </c>
      <c r="B219" s="2"/>
      <c r="C219" s="2"/>
      <c r="D219" s="2"/>
      <c r="E219" s="2"/>
      <c r="F219" s="2"/>
      <c r="G219" s="2"/>
      <c r="H219" s="2"/>
      <c r="I219" s="2">
        <v>67.205600000000004</v>
      </c>
      <c r="J219" s="2">
        <v>158</v>
      </c>
      <c r="K219" s="2">
        <v>67.199799999999996</v>
      </c>
      <c r="L219" s="2">
        <v>142</v>
      </c>
      <c r="M219" s="2">
        <v>102.39530000000001</v>
      </c>
      <c r="N219" s="2">
        <v>153</v>
      </c>
      <c r="O219" s="2">
        <v>101.37609999999999</v>
      </c>
      <c r="P219" s="2">
        <v>178</v>
      </c>
      <c r="Q219" s="2">
        <v>102.8978</v>
      </c>
      <c r="R219" s="2">
        <v>202</v>
      </c>
      <c r="S219" s="2">
        <v>106.2364</v>
      </c>
      <c r="T219" s="2">
        <v>265</v>
      </c>
      <c r="U219" s="2">
        <v>0.36852800000000002</v>
      </c>
      <c r="V219" s="2">
        <v>218</v>
      </c>
      <c r="W219" s="2">
        <v>2011</v>
      </c>
    </row>
    <row r="220" spans="1:23" ht="12.3" x14ac:dyDescent="0.4">
      <c r="A220" s="2" t="s">
        <v>110</v>
      </c>
      <c r="B220" s="2"/>
      <c r="C220" s="2"/>
      <c r="D220" s="2"/>
      <c r="E220" s="2"/>
      <c r="F220" s="2"/>
      <c r="G220" s="2"/>
      <c r="H220" s="2"/>
      <c r="I220" s="2">
        <v>71.581299999999999</v>
      </c>
      <c r="J220" s="2">
        <v>22</v>
      </c>
      <c r="K220" s="2">
        <v>71.042599999999993</v>
      </c>
      <c r="L220" s="2">
        <v>25</v>
      </c>
      <c r="M220" s="2">
        <v>101.3407</v>
      </c>
      <c r="N220" s="2">
        <v>176</v>
      </c>
      <c r="O220" s="2">
        <v>101.1751</v>
      </c>
      <c r="P220" s="2">
        <v>181</v>
      </c>
      <c r="Q220" s="2">
        <v>103.8481</v>
      </c>
      <c r="R220" s="2">
        <v>230</v>
      </c>
      <c r="S220" s="2">
        <v>106.12609999999999</v>
      </c>
      <c r="T220" s="2">
        <v>262</v>
      </c>
      <c r="U220" s="2">
        <v>0.36599900000000002</v>
      </c>
      <c r="V220" s="2">
        <v>219</v>
      </c>
      <c r="W220" s="2">
        <v>2011</v>
      </c>
    </row>
    <row r="221" spans="1:23" ht="12.3" x14ac:dyDescent="0.4">
      <c r="A221" s="2" t="s">
        <v>240</v>
      </c>
      <c r="B221" s="2"/>
      <c r="C221" s="2"/>
      <c r="D221" s="2"/>
      <c r="E221" s="2"/>
      <c r="F221" s="2"/>
      <c r="G221" s="2"/>
      <c r="H221" s="2"/>
      <c r="I221" s="2">
        <v>67.252799999999993</v>
      </c>
      <c r="J221" s="2">
        <v>153</v>
      </c>
      <c r="K221" s="2">
        <v>66.012200000000007</v>
      </c>
      <c r="L221" s="2">
        <v>210</v>
      </c>
      <c r="M221" s="2">
        <v>95.367500000000007</v>
      </c>
      <c r="N221" s="2">
        <v>285</v>
      </c>
      <c r="O221" s="2">
        <v>94.965900000000005</v>
      </c>
      <c r="P221" s="2">
        <v>287</v>
      </c>
      <c r="Q221" s="2">
        <v>98.557100000000005</v>
      </c>
      <c r="R221" s="2">
        <v>95</v>
      </c>
      <c r="S221" s="2">
        <v>99.63</v>
      </c>
      <c r="T221" s="2">
        <v>118</v>
      </c>
      <c r="U221" s="2">
        <v>0.36554700000000001</v>
      </c>
      <c r="V221" s="2">
        <v>220</v>
      </c>
      <c r="W221" s="2">
        <v>2011</v>
      </c>
    </row>
    <row r="222" spans="1:23" ht="12.3" x14ac:dyDescent="0.4">
      <c r="A222" s="2" t="s">
        <v>68</v>
      </c>
      <c r="B222" s="2"/>
      <c r="C222" s="2"/>
      <c r="D222" s="2"/>
      <c r="E222" s="2"/>
      <c r="F222" s="2"/>
      <c r="G222" s="2"/>
      <c r="H222" s="2"/>
      <c r="I222" s="2">
        <v>69.155000000000001</v>
      </c>
      <c r="J222" s="2">
        <v>64</v>
      </c>
      <c r="K222" s="2">
        <v>68.211699999999993</v>
      </c>
      <c r="L222" s="2">
        <v>88</v>
      </c>
      <c r="M222" s="2">
        <v>100.4768</v>
      </c>
      <c r="N222" s="2">
        <v>198</v>
      </c>
      <c r="O222" s="2">
        <v>98.822199999999995</v>
      </c>
      <c r="P222" s="2">
        <v>229</v>
      </c>
      <c r="Q222" s="2">
        <v>101.39449999999999</v>
      </c>
      <c r="R222" s="2">
        <v>172</v>
      </c>
      <c r="S222" s="2">
        <v>103.71939999999999</v>
      </c>
      <c r="T222" s="2">
        <v>214</v>
      </c>
      <c r="U222" s="2">
        <v>0.36442099999999999</v>
      </c>
      <c r="V222" s="2">
        <v>221</v>
      </c>
      <c r="W222" s="2">
        <v>2011</v>
      </c>
    </row>
    <row r="223" spans="1:23" ht="12.3" x14ac:dyDescent="0.4">
      <c r="A223" s="2" t="s">
        <v>198</v>
      </c>
      <c r="B223" s="2"/>
      <c r="C223" s="2"/>
      <c r="D223" s="2"/>
      <c r="E223" s="2"/>
      <c r="F223" s="2"/>
      <c r="G223" s="2"/>
      <c r="H223" s="2"/>
      <c r="I223" s="2">
        <v>69.278300000000002</v>
      </c>
      <c r="J223" s="2">
        <v>57</v>
      </c>
      <c r="K223" s="2">
        <v>69.010900000000007</v>
      </c>
      <c r="L223" s="2">
        <v>60</v>
      </c>
      <c r="M223" s="2">
        <v>99.051900000000003</v>
      </c>
      <c r="N223" s="2">
        <v>224</v>
      </c>
      <c r="O223" s="2">
        <v>99.026300000000006</v>
      </c>
      <c r="P223" s="2">
        <v>227</v>
      </c>
      <c r="Q223" s="2">
        <v>104.21429999999999</v>
      </c>
      <c r="R223" s="2">
        <v>245</v>
      </c>
      <c r="S223" s="2">
        <v>103.9404</v>
      </c>
      <c r="T223" s="2">
        <v>221</v>
      </c>
      <c r="U223" s="2">
        <v>0.36424800000000002</v>
      </c>
      <c r="V223" s="2">
        <v>222</v>
      </c>
      <c r="W223" s="2">
        <v>2011</v>
      </c>
    </row>
    <row r="224" spans="1:23" ht="12.3" x14ac:dyDescent="0.4">
      <c r="A224" s="2" t="s">
        <v>83</v>
      </c>
      <c r="B224" s="2"/>
      <c r="C224" s="2"/>
      <c r="D224" s="2"/>
      <c r="E224" s="2"/>
      <c r="F224" s="2"/>
      <c r="G224" s="2"/>
      <c r="H224" s="2"/>
      <c r="I224" s="2">
        <v>61.977800000000002</v>
      </c>
      <c r="J224" s="2">
        <v>329</v>
      </c>
      <c r="K224" s="2">
        <v>63.424700000000001</v>
      </c>
      <c r="L224" s="2">
        <v>311</v>
      </c>
      <c r="M224" s="2">
        <v>100.767</v>
      </c>
      <c r="N224" s="2">
        <v>193</v>
      </c>
      <c r="O224" s="2">
        <v>99.615300000000005</v>
      </c>
      <c r="P224" s="2">
        <v>210</v>
      </c>
      <c r="Q224" s="2">
        <v>105.1275</v>
      </c>
      <c r="R224" s="2">
        <v>261</v>
      </c>
      <c r="S224" s="2">
        <v>104.5792</v>
      </c>
      <c r="T224" s="2">
        <v>238</v>
      </c>
      <c r="U224" s="2">
        <v>0.36372500000000002</v>
      </c>
      <c r="V224" s="2">
        <v>223</v>
      </c>
      <c r="W224" s="2">
        <v>2011</v>
      </c>
    </row>
    <row r="225" spans="1:23" ht="12.3" x14ac:dyDescent="0.4">
      <c r="A225" s="2" t="s">
        <v>215</v>
      </c>
      <c r="B225" s="2"/>
      <c r="C225" s="2"/>
      <c r="D225" s="2"/>
      <c r="E225" s="2"/>
      <c r="F225" s="2"/>
      <c r="G225" s="2"/>
      <c r="H225" s="2"/>
      <c r="I225" s="2">
        <v>67.890799999999999</v>
      </c>
      <c r="J225" s="2">
        <v>116</v>
      </c>
      <c r="K225" s="2">
        <v>68.207400000000007</v>
      </c>
      <c r="L225" s="2">
        <v>89</v>
      </c>
      <c r="M225" s="2">
        <v>97.912599999999998</v>
      </c>
      <c r="N225" s="2">
        <v>248</v>
      </c>
      <c r="O225" s="2">
        <v>99.2821</v>
      </c>
      <c r="P225" s="2">
        <v>222</v>
      </c>
      <c r="Q225" s="2">
        <v>102.2214</v>
      </c>
      <c r="R225" s="2">
        <v>191</v>
      </c>
      <c r="S225" s="2">
        <v>104.25920000000001</v>
      </c>
      <c r="T225" s="2">
        <v>233</v>
      </c>
      <c r="U225" s="2">
        <v>0.36296400000000001</v>
      </c>
      <c r="V225" s="2">
        <v>224</v>
      </c>
      <c r="W225" s="2">
        <v>2011</v>
      </c>
    </row>
    <row r="226" spans="1:23" ht="12.3" x14ac:dyDescent="0.4">
      <c r="A226" s="2" t="s">
        <v>257</v>
      </c>
      <c r="B226" s="2"/>
      <c r="C226" s="2"/>
      <c r="D226" s="2"/>
      <c r="E226" s="2"/>
      <c r="F226" s="2"/>
      <c r="G226" s="2"/>
      <c r="H226" s="2"/>
      <c r="I226" s="2">
        <v>63.3324</v>
      </c>
      <c r="J226" s="2">
        <v>307</v>
      </c>
      <c r="K226" s="2">
        <v>64.626199999999997</v>
      </c>
      <c r="L226" s="2">
        <v>267</v>
      </c>
      <c r="M226" s="2">
        <v>99.922600000000003</v>
      </c>
      <c r="N226" s="2">
        <v>205</v>
      </c>
      <c r="O226" s="2">
        <v>101.6241</v>
      </c>
      <c r="P226" s="2">
        <v>171</v>
      </c>
      <c r="Q226" s="2">
        <v>108.14409999999999</v>
      </c>
      <c r="R226" s="2">
        <v>313</v>
      </c>
      <c r="S226" s="2">
        <v>106.78789999999999</v>
      </c>
      <c r="T226" s="2">
        <v>272</v>
      </c>
      <c r="U226" s="2">
        <v>0.36124000000000001</v>
      </c>
      <c r="V226" s="2">
        <v>225</v>
      </c>
      <c r="W226" s="2">
        <v>2011</v>
      </c>
    </row>
    <row r="227" spans="1:23" ht="12.3" x14ac:dyDescent="0.4">
      <c r="A227" s="2" t="s">
        <v>63</v>
      </c>
      <c r="B227" s="2"/>
      <c r="C227" s="2"/>
      <c r="D227" s="2"/>
      <c r="E227" s="2"/>
      <c r="F227" s="2"/>
      <c r="G227" s="2"/>
      <c r="H227" s="2"/>
      <c r="I227" s="2">
        <v>65.584199999999996</v>
      </c>
      <c r="J227" s="2">
        <v>231</v>
      </c>
      <c r="K227" s="2">
        <v>65.392799999999994</v>
      </c>
      <c r="L227" s="2">
        <v>240</v>
      </c>
      <c r="M227" s="2">
        <v>97.393000000000001</v>
      </c>
      <c r="N227" s="2">
        <v>257</v>
      </c>
      <c r="O227" s="2">
        <v>98.832999999999998</v>
      </c>
      <c r="P227" s="2">
        <v>228</v>
      </c>
      <c r="Q227" s="2">
        <v>104.0287</v>
      </c>
      <c r="R227" s="2">
        <v>235</v>
      </c>
      <c r="S227" s="2">
        <v>103.94670000000001</v>
      </c>
      <c r="T227" s="2">
        <v>223</v>
      </c>
      <c r="U227" s="2">
        <v>0.3589</v>
      </c>
      <c r="V227" s="2">
        <v>226</v>
      </c>
      <c r="W227" s="2">
        <v>2011</v>
      </c>
    </row>
    <row r="228" spans="1:23" ht="12.3" x14ac:dyDescent="0.4">
      <c r="A228" s="2" t="s">
        <v>117</v>
      </c>
      <c r="B228" s="2"/>
      <c r="C228" s="2"/>
      <c r="D228" s="2"/>
      <c r="E228" s="2"/>
      <c r="F228" s="2"/>
      <c r="G228" s="2"/>
      <c r="H228" s="2"/>
      <c r="I228" s="2">
        <v>69.025099999999995</v>
      </c>
      <c r="J228" s="2">
        <v>71</v>
      </c>
      <c r="K228" s="2">
        <v>69.037199999999999</v>
      </c>
      <c r="L228" s="2">
        <v>59</v>
      </c>
      <c r="M228" s="2">
        <v>99.831800000000001</v>
      </c>
      <c r="N228" s="2">
        <v>209</v>
      </c>
      <c r="O228" s="2">
        <v>97.896199999999993</v>
      </c>
      <c r="P228" s="2">
        <v>245</v>
      </c>
      <c r="Q228" s="2">
        <v>101.7525</v>
      </c>
      <c r="R228" s="2">
        <v>180</v>
      </c>
      <c r="S228" s="2">
        <v>103.09520000000001</v>
      </c>
      <c r="T228" s="2">
        <v>207</v>
      </c>
      <c r="U228" s="2">
        <v>0.35547400000000001</v>
      </c>
      <c r="V228" s="2">
        <v>227</v>
      </c>
      <c r="W228" s="2">
        <v>2011</v>
      </c>
    </row>
    <row r="229" spans="1:23" ht="12.3" x14ac:dyDescent="0.4">
      <c r="A229" s="2" t="s">
        <v>130</v>
      </c>
      <c r="B229" s="2"/>
      <c r="C229" s="2"/>
      <c r="D229" s="2"/>
      <c r="E229" s="2"/>
      <c r="F229" s="2"/>
      <c r="G229" s="2"/>
      <c r="H229" s="2"/>
      <c r="I229" s="2">
        <v>66.649799999999999</v>
      </c>
      <c r="J229" s="2">
        <v>178</v>
      </c>
      <c r="K229" s="2">
        <v>66.940100000000001</v>
      </c>
      <c r="L229" s="2">
        <v>158</v>
      </c>
      <c r="M229" s="2">
        <v>99.214500000000001</v>
      </c>
      <c r="N229" s="2">
        <v>220</v>
      </c>
      <c r="O229" s="2">
        <v>99.778899999999993</v>
      </c>
      <c r="P229" s="2">
        <v>206</v>
      </c>
      <c r="Q229" s="2">
        <v>104.4571</v>
      </c>
      <c r="R229" s="2">
        <v>251</v>
      </c>
      <c r="S229" s="2">
        <v>105.1254</v>
      </c>
      <c r="T229" s="2">
        <v>245</v>
      </c>
      <c r="U229" s="2">
        <v>0.35428100000000001</v>
      </c>
      <c r="V229" s="2">
        <v>228</v>
      </c>
      <c r="W229" s="2">
        <v>2011</v>
      </c>
    </row>
    <row r="230" spans="1:23" ht="12.3" x14ac:dyDescent="0.4">
      <c r="A230" s="2" t="s">
        <v>93</v>
      </c>
      <c r="B230" s="2"/>
      <c r="C230" s="2"/>
      <c r="D230" s="2"/>
      <c r="E230" s="2"/>
      <c r="F230" s="2"/>
      <c r="G230" s="2"/>
      <c r="H230" s="2"/>
      <c r="I230" s="2">
        <v>67.7547</v>
      </c>
      <c r="J230" s="2">
        <v>130</v>
      </c>
      <c r="K230" s="2">
        <v>68.137900000000002</v>
      </c>
      <c r="L230" s="2">
        <v>92</v>
      </c>
      <c r="M230" s="2">
        <v>95.433899999999994</v>
      </c>
      <c r="N230" s="2">
        <v>283</v>
      </c>
      <c r="O230" s="2">
        <v>96.729299999999995</v>
      </c>
      <c r="P230" s="2">
        <v>262</v>
      </c>
      <c r="Q230" s="2">
        <v>105.1737</v>
      </c>
      <c r="R230" s="2">
        <v>262</v>
      </c>
      <c r="S230" s="2">
        <v>101.92789999999999</v>
      </c>
      <c r="T230" s="2">
        <v>172</v>
      </c>
      <c r="U230" s="2">
        <v>0.353883</v>
      </c>
      <c r="V230" s="2">
        <v>229</v>
      </c>
      <c r="W230" s="2">
        <v>2011</v>
      </c>
    </row>
    <row r="231" spans="1:23" ht="12.3" x14ac:dyDescent="0.4">
      <c r="A231" s="2" t="s">
        <v>79</v>
      </c>
      <c r="B231" s="2"/>
      <c r="C231" s="2"/>
      <c r="D231" s="2"/>
      <c r="E231" s="2"/>
      <c r="F231" s="2"/>
      <c r="G231" s="2"/>
      <c r="H231" s="2"/>
      <c r="I231" s="2">
        <v>67.328999999999994</v>
      </c>
      <c r="J231" s="2">
        <v>149</v>
      </c>
      <c r="K231" s="2">
        <v>67.365399999999994</v>
      </c>
      <c r="L231" s="2">
        <v>133</v>
      </c>
      <c r="M231" s="2">
        <v>101.4389</v>
      </c>
      <c r="N231" s="2">
        <v>174</v>
      </c>
      <c r="O231" s="2">
        <v>102.7058</v>
      </c>
      <c r="P231" s="2">
        <v>146</v>
      </c>
      <c r="Q231" s="2">
        <v>109.3646</v>
      </c>
      <c r="R231" s="2">
        <v>321</v>
      </c>
      <c r="S231" s="2">
        <v>108.2838</v>
      </c>
      <c r="T231" s="2">
        <v>300</v>
      </c>
      <c r="U231" s="2">
        <v>0.35247099999999998</v>
      </c>
      <c r="V231" s="2">
        <v>230</v>
      </c>
      <c r="W231" s="2">
        <v>2011</v>
      </c>
    </row>
    <row r="232" spans="1:23" ht="12.3" x14ac:dyDescent="0.4">
      <c r="A232" s="2" t="s">
        <v>346</v>
      </c>
      <c r="B232" s="2"/>
      <c r="C232" s="2"/>
      <c r="D232" s="2"/>
      <c r="E232" s="2"/>
      <c r="F232" s="2"/>
      <c r="G232" s="2"/>
      <c r="H232" s="2"/>
      <c r="I232" s="2">
        <v>66.406400000000005</v>
      </c>
      <c r="J232" s="2">
        <v>186</v>
      </c>
      <c r="K232" s="2">
        <v>65.742099999999994</v>
      </c>
      <c r="L232" s="2">
        <v>225</v>
      </c>
      <c r="M232" s="2">
        <v>97.785399999999996</v>
      </c>
      <c r="N232" s="2">
        <v>249</v>
      </c>
      <c r="O232" s="2">
        <v>96.670299999999997</v>
      </c>
      <c r="P232" s="2">
        <v>263</v>
      </c>
      <c r="Q232" s="2">
        <v>99.325900000000004</v>
      </c>
      <c r="R232" s="2">
        <v>107</v>
      </c>
      <c r="S232" s="2">
        <v>102.0641</v>
      </c>
      <c r="T232" s="2">
        <v>177</v>
      </c>
      <c r="U232" s="2">
        <v>0.34878199999999998</v>
      </c>
      <c r="V232" s="2">
        <v>231</v>
      </c>
      <c r="W232" s="2">
        <v>2011</v>
      </c>
    </row>
    <row r="233" spans="1:23" ht="12.3" x14ac:dyDescent="0.4">
      <c r="A233" s="2" t="s">
        <v>113</v>
      </c>
      <c r="B233" s="2"/>
      <c r="C233" s="2"/>
      <c r="D233" s="2"/>
      <c r="E233" s="2"/>
      <c r="F233" s="2"/>
      <c r="G233" s="2"/>
      <c r="H233" s="2"/>
      <c r="I233" s="2">
        <v>65.434299999999993</v>
      </c>
      <c r="J233" s="2">
        <v>238</v>
      </c>
      <c r="K233" s="2">
        <v>65.851299999999995</v>
      </c>
      <c r="L233" s="2">
        <v>217</v>
      </c>
      <c r="M233" s="2">
        <v>93.2149</v>
      </c>
      <c r="N233" s="2">
        <v>304</v>
      </c>
      <c r="O233" s="2">
        <v>94.777799999999999</v>
      </c>
      <c r="P233" s="2">
        <v>288</v>
      </c>
      <c r="Q233" s="2">
        <v>100.74809999999999</v>
      </c>
      <c r="R233" s="2">
        <v>151</v>
      </c>
      <c r="S233" s="2">
        <v>100.20610000000001</v>
      </c>
      <c r="T233" s="2">
        <v>127</v>
      </c>
      <c r="U233" s="2">
        <v>0.345138</v>
      </c>
      <c r="V233" s="2">
        <v>232</v>
      </c>
      <c r="W233" s="2">
        <v>2011</v>
      </c>
    </row>
    <row r="234" spans="1:23" ht="12.3" x14ac:dyDescent="0.4">
      <c r="A234" s="2" t="s">
        <v>152</v>
      </c>
      <c r="B234" s="2"/>
      <c r="C234" s="2"/>
      <c r="D234" s="2"/>
      <c r="E234" s="2"/>
      <c r="F234" s="2"/>
      <c r="G234" s="2"/>
      <c r="H234" s="2"/>
      <c r="I234" s="2">
        <v>63.824599999999997</v>
      </c>
      <c r="J234" s="2">
        <v>298</v>
      </c>
      <c r="K234" s="2">
        <v>64.376499999999993</v>
      </c>
      <c r="L234" s="2">
        <v>279</v>
      </c>
      <c r="M234" s="2">
        <v>94.936499999999995</v>
      </c>
      <c r="N234" s="2">
        <v>289</v>
      </c>
      <c r="O234" s="2">
        <v>92.8767</v>
      </c>
      <c r="P234" s="2">
        <v>306</v>
      </c>
      <c r="Q234" s="2">
        <v>98.709400000000002</v>
      </c>
      <c r="R234" s="2">
        <v>100</v>
      </c>
      <c r="S234" s="2">
        <v>98.2179</v>
      </c>
      <c r="T234" s="2">
        <v>93</v>
      </c>
      <c r="U234" s="2">
        <v>0.34455999999999998</v>
      </c>
      <c r="V234" s="2">
        <v>233</v>
      </c>
      <c r="W234" s="2">
        <v>2011</v>
      </c>
    </row>
    <row r="235" spans="1:23" ht="12.3" x14ac:dyDescent="0.4">
      <c r="A235" s="2" t="s">
        <v>233</v>
      </c>
      <c r="B235" s="2"/>
      <c r="C235" s="2"/>
      <c r="D235" s="2"/>
      <c r="E235" s="2"/>
      <c r="F235" s="2"/>
      <c r="G235" s="2"/>
      <c r="H235" s="2"/>
      <c r="I235" s="2">
        <v>69.006</v>
      </c>
      <c r="J235" s="2">
        <v>72</v>
      </c>
      <c r="K235" s="2">
        <v>70.002300000000005</v>
      </c>
      <c r="L235" s="2">
        <v>40</v>
      </c>
      <c r="M235" s="2">
        <v>102.0607</v>
      </c>
      <c r="N235" s="2">
        <v>157</v>
      </c>
      <c r="O235" s="2">
        <v>101.2966</v>
      </c>
      <c r="P235" s="2">
        <v>180</v>
      </c>
      <c r="Q235" s="2">
        <v>106.5819</v>
      </c>
      <c r="R235" s="2">
        <v>286</v>
      </c>
      <c r="S235" s="2">
        <v>107.2799</v>
      </c>
      <c r="T235" s="2">
        <v>278</v>
      </c>
      <c r="U235" s="2">
        <v>0.340748</v>
      </c>
      <c r="V235" s="2">
        <v>234</v>
      </c>
      <c r="W235" s="2">
        <v>2011</v>
      </c>
    </row>
    <row r="236" spans="1:23" ht="12.3" x14ac:dyDescent="0.4">
      <c r="A236" s="2" t="s">
        <v>347</v>
      </c>
      <c r="B236" s="2"/>
      <c r="C236" s="2"/>
      <c r="D236" s="2"/>
      <c r="E236" s="2"/>
      <c r="F236" s="2"/>
      <c r="G236" s="2"/>
      <c r="H236" s="2"/>
      <c r="I236" s="2">
        <v>62.3416</v>
      </c>
      <c r="J236" s="2">
        <v>322</v>
      </c>
      <c r="K236" s="2">
        <v>61.241</v>
      </c>
      <c r="L236" s="2">
        <v>336</v>
      </c>
      <c r="M236" s="2">
        <v>98.621700000000004</v>
      </c>
      <c r="N236" s="2">
        <v>231</v>
      </c>
      <c r="O236" s="2">
        <v>95.645399999999995</v>
      </c>
      <c r="P236" s="2">
        <v>277</v>
      </c>
      <c r="Q236" s="2">
        <v>100.42010000000001</v>
      </c>
      <c r="R236" s="2">
        <v>139</v>
      </c>
      <c r="S236" s="2">
        <v>101.3653</v>
      </c>
      <c r="T236" s="2">
        <v>156</v>
      </c>
      <c r="U236" s="2">
        <v>0.338953</v>
      </c>
      <c r="V236" s="2">
        <v>235</v>
      </c>
      <c r="W236" s="2">
        <v>2011</v>
      </c>
    </row>
    <row r="237" spans="1:23" ht="12.3" x14ac:dyDescent="0.4">
      <c r="A237" s="2" t="s">
        <v>268</v>
      </c>
      <c r="B237" s="2"/>
      <c r="C237" s="2"/>
      <c r="D237" s="2"/>
      <c r="E237" s="2"/>
      <c r="F237" s="2"/>
      <c r="G237" s="2"/>
      <c r="H237" s="2"/>
      <c r="I237" s="2">
        <v>65.037999999999997</v>
      </c>
      <c r="J237" s="2">
        <v>252</v>
      </c>
      <c r="K237" s="2">
        <v>65.774500000000003</v>
      </c>
      <c r="L237" s="2">
        <v>222</v>
      </c>
      <c r="M237" s="2">
        <v>101.6927</v>
      </c>
      <c r="N237" s="2">
        <v>172</v>
      </c>
      <c r="O237" s="2">
        <v>100.3578</v>
      </c>
      <c r="P237" s="2">
        <v>192</v>
      </c>
      <c r="Q237" s="2">
        <v>105.3445</v>
      </c>
      <c r="R237" s="2">
        <v>267</v>
      </c>
      <c r="S237" s="2">
        <v>106.39190000000001</v>
      </c>
      <c r="T237" s="2">
        <v>268</v>
      </c>
      <c r="U237" s="2">
        <v>0.338171</v>
      </c>
      <c r="V237" s="2">
        <v>236</v>
      </c>
      <c r="W237" s="2">
        <v>2011</v>
      </c>
    </row>
    <row r="238" spans="1:23" ht="12.3" x14ac:dyDescent="0.4">
      <c r="A238" s="2" t="s">
        <v>345</v>
      </c>
      <c r="B238" s="2"/>
      <c r="C238" s="2"/>
      <c r="D238" s="2"/>
      <c r="E238" s="2"/>
      <c r="F238" s="2"/>
      <c r="G238" s="2"/>
      <c r="H238" s="2"/>
      <c r="I238" s="2">
        <v>68.3185</v>
      </c>
      <c r="J238" s="2">
        <v>92</v>
      </c>
      <c r="K238" s="2">
        <v>66.684799999999996</v>
      </c>
      <c r="L238" s="2">
        <v>170</v>
      </c>
      <c r="M238" s="2">
        <v>97.715999999999994</v>
      </c>
      <c r="N238" s="2">
        <v>251</v>
      </c>
      <c r="O238" s="2">
        <v>93.506100000000004</v>
      </c>
      <c r="P238" s="2">
        <v>300</v>
      </c>
      <c r="Q238" s="2">
        <v>97.358099999999993</v>
      </c>
      <c r="R238" s="2">
        <v>74</v>
      </c>
      <c r="S238" s="2">
        <v>99.220200000000006</v>
      </c>
      <c r="T238" s="2">
        <v>109</v>
      </c>
      <c r="U238" s="2">
        <v>0.335787</v>
      </c>
      <c r="V238" s="2">
        <v>237</v>
      </c>
      <c r="W238" s="2">
        <v>2011</v>
      </c>
    </row>
    <row r="239" spans="1:23" ht="12.3" x14ac:dyDescent="0.4">
      <c r="A239" s="2" t="s">
        <v>324</v>
      </c>
      <c r="B239" s="2"/>
      <c r="C239" s="2"/>
      <c r="D239" s="2"/>
      <c r="E239" s="2"/>
      <c r="F239" s="2"/>
      <c r="G239" s="2"/>
      <c r="H239" s="2"/>
      <c r="I239" s="2">
        <v>62.299500000000002</v>
      </c>
      <c r="J239" s="2">
        <v>323</v>
      </c>
      <c r="K239" s="2">
        <v>62.013199999999998</v>
      </c>
      <c r="L239" s="2">
        <v>327</v>
      </c>
      <c r="M239" s="2">
        <v>102.4975</v>
      </c>
      <c r="N239" s="2">
        <v>150</v>
      </c>
      <c r="O239" s="2">
        <v>100.6982</v>
      </c>
      <c r="P239" s="2">
        <v>186</v>
      </c>
      <c r="Q239" s="2">
        <v>103.7756</v>
      </c>
      <c r="R239" s="2">
        <v>228</v>
      </c>
      <c r="S239" s="2">
        <v>107.14230000000001</v>
      </c>
      <c r="T239" s="2">
        <v>276</v>
      </c>
      <c r="U239" s="2">
        <v>0.32886100000000001</v>
      </c>
      <c r="V239" s="2">
        <v>238</v>
      </c>
      <c r="W239" s="2">
        <v>2011</v>
      </c>
    </row>
    <row r="240" spans="1:23" ht="12.3" x14ac:dyDescent="0.4">
      <c r="A240" s="2" t="s">
        <v>339</v>
      </c>
      <c r="B240" s="2"/>
      <c r="C240" s="2"/>
      <c r="D240" s="2"/>
      <c r="E240" s="2"/>
      <c r="F240" s="2"/>
      <c r="G240" s="2"/>
      <c r="H240" s="2"/>
      <c r="I240" s="2">
        <v>60.935200000000002</v>
      </c>
      <c r="J240" s="2">
        <v>341</v>
      </c>
      <c r="K240" s="2">
        <v>61.3874</v>
      </c>
      <c r="L240" s="2">
        <v>333</v>
      </c>
      <c r="M240" s="2">
        <v>101.2672</v>
      </c>
      <c r="N240" s="2">
        <v>180</v>
      </c>
      <c r="O240" s="2">
        <v>99.770399999999995</v>
      </c>
      <c r="P240" s="2">
        <v>207</v>
      </c>
      <c r="Q240" s="2">
        <v>102.87479999999999</v>
      </c>
      <c r="R240" s="2">
        <v>201</v>
      </c>
      <c r="S240" s="2">
        <v>106.1797</v>
      </c>
      <c r="T240" s="2">
        <v>264</v>
      </c>
      <c r="U240" s="2">
        <v>0.32827400000000001</v>
      </c>
      <c r="V240" s="2">
        <v>239</v>
      </c>
      <c r="W240" s="2">
        <v>2011</v>
      </c>
    </row>
    <row r="241" spans="1:23" ht="12.3" x14ac:dyDescent="0.4">
      <c r="A241" s="2" t="s">
        <v>266</v>
      </c>
      <c r="B241" s="2"/>
      <c r="C241" s="2"/>
      <c r="D241" s="2"/>
      <c r="E241" s="2"/>
      <c r="F241" s="2"/>
      <c r="G241" s="2"/>
      <c r="H241" s="2"/>
      <c r="I241" s="2">
        <v>74.928399999999996</v>
      </c>
      <c r="J241" s="2">
        <v>3</v>
      </c>
      <c r="K241" s="2">
        <v>74.538799999999995</v>
      </c>
      <c r="L241" s="2">
        <v>3</v>
      </c>
      <c r="M241" s="2">
        <v>102.0489</v>
      </c>
      <c r="N241" s="2">
        <v>159</v>
      </c>
      <c r="O241" s="2">
        <v>98.422499999999999</v>
      </c>
      <c r="P241" s="2">
        <v>233</v>
      </c>
      <c r="Q241" s="2">
        <v>103.3665</v>
      </c>
      <c r="R241" s="2">
        <v>209</v>
      </c>
      <c r="S241" s="2">
        <v>104.96729999999999</v>
      </c>
      <c r="T241" s="2">
        <v>242</v>
      </c>
      <c r="U241" s="2">
        <v>0.32292300000000002</v>
      </c>
      <c r="V241" s="2">
        <v>240</v>
      </c>
      <c r="W241" s="2">
        <v>2011</v>
      </c>
    </row>
    <row r="242" spans="1:23" ht="12.3" x14ac:dyDescent="0.4">
      <c r="A242" s="2" t="s">
        <v>306</v>
      </c>
      <c r="B242" s="2"/>
      <c r="C242" s="2"/>
      <c r="D242" s="2"/>
      <c r="E242" s="2"/>
      <c r="F242" s="2"/>
      <c r="G242" s="2"/>
      <c r="H242" s="2"/>
      <c r="I242" s="2">
        <v>69.548199999999994</v>
      </c>
      <c r="J242" s="2">
        <v>46</v>
      </c>
      <c r="K242" s="2">
        <v>68.435900000000004</v>
      </c>
      <c r="L242" s="2">
        <v>73</v>
      </c>
      <c r="M242" s="2">
        <v>104.1541</v>
      </c>
      <c r="N242" s="2">
        <v>111</v>
      </c>
      <c r="O242" s="2">
        <v>102.76090000000001</v>
      </c>
      <c r="P242" s="2">
        <v>145</v>
      </c>
      <c r="Q242" s="2">
        <v>108.58069999999999</v>
      </c>
      <c r="R242" s="2">
        <v>316</v>
      </c>
      <c r="S242" s="2">
        <v>109.6309</v>
      </c>
      <c r="T242" s="2">
        <v>310</v>
      </c>
      <c r="U242" s="2">
        <v>0.32208500000000001</v>
      </c>
      <c r="V242" s="2">
        <v>241</v>
      </c>
      <c r="W242" s="2">
        <v>2011</v>
      </c>
    </row>
    <row r="243" spans="1:23" ht="12.3" x14ac:dyDescent="0.4">
      <c r="A243" s="2" t="s">
        <v>94</v>
      </c>
      <c r="B243" s="2"/>
      <c r="C243" s="2"/>
      <c r="D243" s="2"/>
      <c r="E243" s="2"/>
      <c r="F243" s="2"/>
      <c r="G243" s="2"/>
      <c r="H243" s="2"/>
      <c r="I243" s="2">
        <v>68.140699999999995</v>
      </c>
      <c r="J243" s="2">
        <v>102</v>
      </c>
      <c r="K243" s="2">
        <v>67.273399999999995</v>
      </c>
      <c r="L243" s="2">
        <v>140</v>
      </c>
      <c r="M243" s="2">
        <v>92.787199999999999</v>
      </c>
      <c r="N243" s="2">
        <v>312</v>
      </c>
      <c r="O243" s="2">
        <v>93.542900000000003</v>
      </c>
      <c r="P243" s="2">
        <v>298</v>
      </c>
      <c r="Q243" s="2">
        <v>100.2239</v>
      </c>
      <c r="R243" s="2">
        <v>136</v>
      </c>
      <c r="S243" s="2">
        <v>99.835899999999995</v>
      </c>
      <c r="T243" s="2">
        <v>121</v>
      </c>
      <c r="U243" s="2">
        <v>0.32109500000000002</v>
      </c>
      <c r="V243" s="2">
        <v>242</v>
      </c>
      <c r="W243" s="2">
        <v>2011</v>
      </c>
    </row>
    <row r="244" spans="1:23" ht="12.3" x14ac:dyDescent="0.4">
      <c r="A244" s="2" t="s">
        <v>89</v>
      </c>
      <c r="B244" s="2"/>
      <c r="C244" s="2"/>
      <c r="D244" s="2"/>
      <c r="E244" s="2"/>
      <c r="F244" s="2"/>
      <c r="G244" s="2"/>
      <c r="H244" s="2"/>
      <c r="I244" s="2">
        <v>65.882800000000003</v>
      </c>
      <c r="J244" s="2">
        <v>219</v>
      </c>
      <c r="K244" s="2">
        <v>65.553100000000001</v>
      </c>
      <c r="L244" s="2">
        <v>233</v>
      </c>
      <c r="M244" s="2">
        <v>95.604500000000002</v>
      </c>
      <c r="N244" s="2">
        <v>282</v>
      </c>
      <c r="O244" s="2">
        <v>96.494500000000002</v>
      </c>
      <c r="P244" s="2">
        <v>267</v>
      </c>
      <c r="Q244" s="2">
        <v>101.4747</v>
      </c>
      <c r="R244" s="2">
        <v>175</v>
      </c>
      <c r="S244" s="2">
        <v>103.05500000000001</v>
      </c>
      <c r="T244" s="2">
        <v>204</v>
      </c>
      <c r="U244" s="2">
        <v>0.31942199999999998</v>
      </c>
      <c r="V244" s="2">
        <v>243</v>
      </c>
      <c r="W244" s="2">
        <v>2011</v>
      </c>
    </row>
    <row r="245" spans="1:23" ht="12.3" x14ac:dyDescent="0.4">
      <c r="A245" s="2" t="s">
        <v>354</v>
      </c>
      <c r="B245" s="2"/>
      <c r="C245" s="2"/>
      <c r="D245" s="2"/>
      <c r="E245" s="2"/>
      <c r="F245" s="2"/>
      <c r="G245" s="2"/>
      <c r="H245" s="2"/>
      <c r="I245" s="2">
        <v>74.589299999999994</v>
      </c>
      <c r="J245" s="2">
        <v>5</v>
      </c>
      <c r="K245" s="2">
        <v>73.672200000000004</v>
      </c>
      <c r="L245" s="2">
        <v>5</v>
      </c>
      <c r="M245" s="2">
        <v>101.9932</v>
      </c>
      <c r="N245" s="2">
        <v>161</v>
      </c>
      <c r="O245" s="2">
        <v>99.826099999999997</v>
      </c>
      <c r="P245" s="2">
        <v>205</v>
      </c>
      <c r="Q245" s="2">
        <v>104.4622</v>
      </c>
      <c r="R245" s="2">
        <v>252</v>
      </c>
      <c r="S245" s="2">
        <v>106.6238</v>
      </c>
      <c r="T245" s="2">
        <v>270</v>
      </c>
      <c r="U245" s="2">
        <v>0.31917000000000001</v>
      </c>
      <c r="V245" s="2">
        <v>244</v>
      </c>
      <c r="W245" s="2">
        <v>2011</v>
      </c>
    </row>
    <row r="246" spans="1:23" ht="12.3" x14ac:dyDescent="0.4">
      <c r="A246" s="2" t="s">
        <v>82</v>
      </c>
      <c r="B246" s="2"/>
      <c r="C246" s="2"/>
      <c r="D246" s="2"/>
      <c r="E246" s="2"/>
      <c r="F246" s="2"/>
      <c r="G246" s="2"/>
      <c r="H246" s="2"/>
      <c r="I246" s="2">
        <v>63.830599999999997</v>
      </c>
      <c r="J246" s="2">
        <v>297</v>
      </c>
      <c r="K246" s="2">
        <v>64.755099999999999</v>
      </c>
      <c r="L246" s="2">
        <v>259</v>
      </c>
      <c r="M246" s="2">
        <v>95.102999999999994</v>
      </c>
      <c r="N246" s="2">
        <v>287</v>
      </c>
      <c r="O246" s="2">
        <v>94.312600000000003</v>
      </c>
      <c r="P246" s="2">
        <v>291</v>
      </c>
      <c r="Q246" s="2">
        <v>101.17659999999999</v>
      </c>
      <c r="R246" s="2">
        <v>163</v>
      </c>
      <c r="S246" s="2">
        <v>100.8176</v>
      </c>
      <c r="T246" s="2">
        <v>136</v>
      </c>
      <c r="U246" s="2">
        <v>0.31712400000000002</v>
      </c>
      <c r="V246" s="2">
        <v>245</v>
      </c>
      <c r="W246" s="2">
        <v>2011</v>
      </c>
    </row>
    <row r="247" spans="1:23" ht="12.3" x14ac:dyDescent="0.4">
      <c r="A247" s="2" t="s">
        <v>349</v>
      </c>
      <c r="B247" s="2"/>
      <c r="C247" s="2"/>
      <c r="D247" s="2"/>
      <c r="E247" s="2"/>
      <c r="F247" s="2"/>
      <c r="G247" s="2"/>
      <c r="H247" s="2"/>
      <c r="I247" s="2">
        <v>65.441299999999998</v>
      </c>
      <c r="J247" s="2">
        <v>237</v>
      </c>
      <c r="K247" s="2">
        <v>65.383799999999994</v>
      </c>
      <c r="L247" s="2">
        <v>241</v>
      </c>
      <c r="M247" s="2">
        <v>92.285499999999999</v>
      </c>
      <c r="N247" s="2">
        <v>317</v>
      </c>
      <c r="O247" s="2">
        <v>93.757599999999996</v>
      </c>
      <c r="P247" s="2">
        <v>296</v>
      </c>
      <c r="Q247" s="2">
        <v>100.6198</v>
      </c>
      <c r="R247" s="2">
        <v>146</v>
      </c>
      <c r="S247" s="2">
        <v>100.3165</v>
      </c>
      <c r="T247" s="2">
        <v>128</v>
      </c>
      <c r="U247" s="2">
        <v>0.31483699999999998</v>
      </c>
      <c r="V247" s="2">
        <v>246</v>
      </c>
      <c r="W247" s="2">
        <v>2011</v>
      </c>
    </row>
    <row r="248" spans="1:23" ht="12.3" x14ac:dyDescent="0.4">
      <c r="A248" s="2" t="s">
        <v>357</v>
      </c>
      <c r="B248" s="2"/>
      <c r="C248" s="2"/>
      <c r="D248" s="2"/>
      <c r="E248" s="2"/>
      <c r="F248" s="2"/>
      <c r="G248" s="2"/>
      <c r="H248" s="2"/>
      <c r="I248" s="2">
        <v>68.277500000000003</v>
      </c>
      <c r="J248" s="2">
        <v>98</v>
      </c>
      <c r="K248" s="2">
        <v>68.242900000000006</v>
      </c>
      <c r="L248" s="2">
        <v>87</v>
      </c>
      <c r="M248" s="2">
        <v>101.06619999999999</v>
      </c>
      <c r="N248" s="2">
        <v>187</v>
      </c>
      <c r="O248" s="2">
        <v>101.5064</v>
      </c>
      <c r="P248" s="2">
        <v>175</v>
      </c>
      <c r="Q248" s="2">
        <v>107.048</v>
      </c>
      <c r="R248" s="2">
        <v>294</v>
      </c>
      <c r="S248" s="2">
        <v>108.84050000000001</v>
      </c>
      <c r="T248" s="2">
        <v>306</v>
      </c>
      <c r="U248" s="2">
        <v>0.30954199999999998</v>
      </c>
      <c r="V248" s="2">
        <v>247</v>
      </c>
      <c r="W248" s="2">
        <v>2011</v>
      </c>
    </row>
    <row r="249" spans="1:23" ht="12.3" x14ac:dyDescent="0.4">
      <c r="A249" s="2" t="s">
        <v>85</v>
      </c>
      <c r="B249" s="2"/>
      <c r="C249" s="2"/>
      <c r="D249" s="2"/>
      <c r="E249" s="2"/>
      <c r="F249" s="2"/>
      <c r="G249" s="2"/>
      <c r="H249" s="2"/>
      <c r="I249" s="2">
        <v>66.028300000000002</v>
      </c>
      <c r="J249" s="2">
        <v>207</v>
      </c>
      <c r="K249" s="2">
        <v>66.297499999999999</v>
      </c>
      <c r="L249" s="2">
        <v>188</v>
      </c>
      <c r="M249" s="2">
        <v>93.420500000000004</v>
      </c>
      <c r="N249" s="2">
        <v>302</v>
      </c>
      <c r="O249" s="2">
        <v>92.549899999999994</v>
      </c>
      <c r="P249" s="2">
        <v>310</v>
      </c>
      <c r="Q249" s="2">
        <v>100.0672</v>
      </c>
      <c r="R249" s="2">
        <v>129</v>
      </c>
      <c r="S249" s="2">
        <v>99.239000000000004</v>
      </c>
      <c r="T249" s="2">
        <v>110</v>
      </c>
      <c r="U249" s="2">
        <v>0.30948999999999999</v>
      </c>
      <c r="V249" s="2">
        <v>248</v>
      </c>
      <c r="W249" s="2">
        <v>2011</v>
      </c>
    </row>
    <row r="250" spans="1:23" ht="12.3" x14ac:dyDescent="0.4">
      <c r="A250" s="2" t="s">
        <v>237</v>
      </c>
      <c r="B250" s="2"/>
      <c r="C250" s="2"/>
      <c r="D250" s="2"/>
      <c r="E250" s="2"/>
      <c r="F250" s="2"/>
      <c r="G250" s="2"/>
      <c r="H250" s="2"/>
      <c r="I250" s="2">
        <v>68.120500000000007</v>
      </c>
      <c r="J250" s="2">
        <v>104</v>
      </c>
      <c r="K250" s="2">
        <v>67.329700000000003</v>
      </c>
      <c r="L250" s="2">
        <v>136</v>
      </c>
      <c r="M250" s="2">
        <v>101.896</v>
      </c>
      <c r="N250" s="2">
        <v>165</v>
      </c>
      <c r="O250" s="2">
        <v>100.2214</v>
      </c>
      <c r="P250" s="2">
        <v>197</v>
      </c>
      <c r="Q250" s="2">
        <v>108.5399</v>
      </c>
      <c r="R250" s="2">
        <v>315</v>
      </c>
      <c r="S250" s="2">
        <v>107.70869999999999</v>
      </c>
      <c r="T250" s="2">
        <v>289</v>
      </c>
      <c r="U250" s="2">
        <v>0.30394900000000002</v>
      </c>
      <c r="V250" s="2">
        <v>249</v>
      </c>
      <c r="W250" s="2">
        <v>2011</v>
      </c>
    </row>
    <row r="251" spans="1:23" ht="12.3" x14ac:dyDescent="0.4">
      <c r="A251" s="2" t="s">
        <v>328</v>
      </c>
      <c r="B251" s="2"/>
      <c r="C251" s="2"/>
      <c r="D251" s="2"/>
      <c r="E251" s="2"/>
      <c r="F251" s="2"/>
      <c r="G251" s="2"/>
      <c r="H251" s="2"/>
      <c r="I251" s="2">
        <v>67.054000000000002</v>
      </c>
      <c r="J251" s="2">
        <v>168</v>
      </c>
      <c r="K251" s="2">
        <v>65.656899999999993</v>
      </c>
      <c r="L251" s="2">
        <v>228</v>
      </c>
      <c r="M251" s="2">
        <v>98.298299999999998</v>
      </c>
      <c r="N251" s="2">
        <v>238</v>
      </c>
      <c r="O251" s="2">
        <v>97.954300000000003</v>
      </c>
      <c r="P251" s="2">
        <v>244</v>
      </c>
      <c r="Q251" s="2">
        <v>103.73390000000001</v>
      </c>
      <c r="R251" s="2">
        <v>226</v>
      </c>
      <c r="S251" s="2">
        <v>105.2942</v>
      </c>
      <c r="T251" s="2">
        <v>248</v>
      </c>
      <c r="U251" s="2">
        <v>0.30344199999999999</v>
      </c>
      <c r="V251" s="2">
        <v>250</v>
      </c>
      <c r="W251" s="2">
        <v>2011</v>
      </c>
    </row>
    <row r="252" spans="1:23" ht="12.3" x14ac:dyDescent="0.4">
      <c r="A252" s="2" t="s">
        <v>164</v>
      </c>
      <c r="B252" s="2"/>
      <c r="C252" s="2"/>
      <c r="D252" s="2"/>
      <c r="E252" s="2"/>
      <c r="F252" s="2"/>
      <c r="G252" s="2"/>
      <c r="H252" s="2"/>
      <c r="I252" s="2">
        <v>62.665900000000001</v>
      </c>
      <c r="J252" s="2">
        <v>318</v>
      </c>
      <c r="K252" s="2">
        <v>63.555300000000003</v>
      </c>
      <c r="L252" s="2">
        <v>309</v>
      </c>
      <c r="M252" s="2">
        <v>95.967200000000005</v>
      </c>
      <c r="N252" s="2">
        <v>277</v>
      </c>
      <c r="O252" s="2">
        <v>93.732699999999994</v>
      </c>
      <c r="P252" s="2">
        <v>297</v>
      </c>
      <c r="Q252" s="2">
        <v>100.60380000000001</v>
      </c>
      <c r="R252" s="2">
        <v>143</v>
      </c>
      <c r="S252" s="2">
        <v>100.8822</v>
      </c>
      <c r="T252" s="2">
        <v>138</v>
      </c>
      <c r="U252" s="2">
        <v>0.30041600000000002</v>
      </c>
      <c r="V252" s="2">
        <v>251</v>
      </c>
      <c r="W252" s="2">
        <v>2011</v>
      </c>
    </row>
    <row r="253" spans="1:23" ht="12.3" x14ac:dyDescent="0.4">
      <c r="A253" s="2" t="s">
        <v>259</v>
      </c>
      <c r="B253" s="2"/>
      <c r="C253" s="2"/>
      <c r="D253" s="2"/>
      <c r="E253" s="2"/>
      <c r="F253" s="2"/>
      <c r="G253" s="2"/>
      <c r="H253" s="2"/>
      <c r="I253" s="2">
        <v>74.191599999999994</v>
      </c>
      <c r="J253" s="2">
        <v>7</v>
      </c>
      <c r="K253" s="2">
        <v>72.543800000000005</v>
      </c>
      <c r="L253" s="2">
        <v>11</v>
      </c>
      <c r="M253" s="2">
        <v>101.8379</v>
      </c>
      <c r="N253" s="2">
        <v>167</v>
      </c>
      <c r="O253" s="2">
        <v>99.9542</v>
      </c>
      <c r="P253" s="2">
        <v>202</v>
      </c>
      <c r="Q253" s="2">
        <v>104.1649</v>
      </c>
      <c r="R253" s="2">
        <v>243</v>
      </c>
      <c r="S253" s="2">
        <v>107.6237</v>
      </c>
      <c r="T253" s="2">
        <v>287</v>
      </c>
      <c r="U253" s="2">
        <v>0.299396</v>
      </c>
      <c r="V253" s="2">
        <v>252</v>
      </c>
      <c r="W253" s="2">
        <v>2011</v>
      </c>
    </row>
    <row r="254" spans="1:23" ht="12.3" x14ac:dyDescent="0.4">
      <c r="A254" s="2" t="s">
        <v>187</v>
      </c>
      <c r="B254" s="2"/>
      <c r="C254" s="2"/>
      <c r="D254" s="2"/>
      <c r="E254" s="2"/>
      <c r="F254" s="2"/>
      <c r="G254" s="2"/>
      <c r="H254" s="2"/>
      <c r="I254" s="2">
        <v>65.945499999999996</v>
      </c>
      <c r="J254" s="2">
        <v>214</v>
      </c>
      <c r="K254" s="2">
        <v>65.228700000000003</v>
      </c>
      <c r="L254" s="2">
        <v>245</v>
      </c>
      <c r="M254" s="2">
        <v>97.629800000000003</v>
      </c>
      <c r="N254" s="2">
        <v>252</v>
      </c>
      <c r="O254" s="2">
        <v>98.339299999999994</v>
      </c>
      <c r="P254" s="2">
        <v>238</v>
      </c>
      <c r="Q254" s="2">
        <v>106.7522</v>
      </c>
      <c r="R254" s="2">
        <v>289</v>
      </c>
      <c r="S254" s="2">
        <v>105.96810000000001</v>
      </c>
      <c r="T254" s="2">
        <v>260</v>
      </c>
      <c r="U254" s="2">
        <v>0.29750300000000002</v>
      </c>
      <c r="V254" s="2">
        <v>253</v>
      </c>
      <c r="W254" s="2">
        <v>2011</v>
      </c>
    </row>
    <row r="255" spans="1:23" ht="12.3" x14ac:dyDescent="0.4">
      <c r="A255" s="2" t="s">
        <v>163</v>
      </c>
      <c r="B255" s="2"/>
      <c r="C255" s="2"/>
      <c r="D255" s="2"/>
      <c r="E255" s="2"/>
      <c r="F255" s="2"/>
      <c r="G255" s="2"/>
      <c r="H255" s="2"/>
      <c r="I255" s="2">
        <v>65.361400000000003</v>
      </c>
      <c r="J255" s="2">
        <v>245</v>
      </c>
      <c r="K255" s="2">
        <v>65.9071</v>
      </c>
      <c r="L255" s="2">
        <v>215</v>
      </c>
      <c r="M255" s="2">
        <v>99.398399999999995</v>
      </c>
      <c r="N255" s="2">
        <v>216</v>
      </c>
      <c r="O255" s="2">
        <v>98.133700000000005</v>
      </c>
      <c r="P255" s="2">
        <v>241</v>
      </c>
      <c r="Q255" s="2">
        <v>105.4455</v>
      </c>
      <c r="R255" s="2">
        <v>269</v>
      </c>
      <c r="S255" s="2">
        <v>105.9849</v>
      </c>
      <c r="T255" s="2">
        <v>261</v>
      </c>
      <c r="U255" s="2">
        <v>0.29211999999999999</v>
      </c>
      <c r="V255" s="2">
        <v>254</v>
      </c>
      <c r="W255" s="2">
        <v>2011</v>
      </c>
    </row>
    <row r="256" spans="1:23" ht="12.3" x14ac:dyDescent="0.4">
      <c r="A256" s="2" t="s">
        <v>270</v>
      </c>
      <c r="B256" s="2"/>
      <c r="C256" s="2"/>
      <c r="D256" s="2"/>
      <c r="E256" s="2"/>
      <c r="F256" s="2"/>
      <c r="G256" s="2"/>
      <c r="H256" s="2"/>
      <c r="I256" s="2">
        <v>69.492000000000004</v>
      </c>
      <c r="J256" s="2">
        <v>50</v>
      </c>
      <c r="K256" s="2">
        <v>68.347999999999999</v>
      </c>
      <c r="L256" s="2">
        <v>78</v>
      </c>
      <c r="M256" s="2">
        <v>97.424499999999995</v>
      </c>
      <c r="N256" s="2">
        <v>256</v>
      </c>
      <c r="O256" s="2">
        <v>95.578100000000006</v>
      </c>
      <c r="P256" s="2">
        <v>279</v>
      </c>
      <c r="Q256" s="2">
        <v>100.5369</v>
      </c>
      <c r="R256" s="2">
        <v>141</v>
      </c>
      <c r="S256" s="2">
        <v>103.3352</v>
      </c>
      <c r="T256" s="2">
        <v>212</v>
      </c>
      <c r="U256" s="2">
        <v>0.28958499999999998</v>
      </c>
      <c r="V256" s="2">
        <v>255</v>
      </c>
      <c r="W256" s="2">
        <v>2011</v>
      </c>
    </row>
    <row r="257" spans="1:23" ht="12.3" x14ac:dyDescent="0.4">
      <c r="A257" s="2" t="s">
        <v>368</v>
      </c>
      <c r="B257" s="2"/>
      <c r="C257" s="2"/>
      <c r="D257" s="2"/>
      <c r="E257" s="2"/>
      <c r="F257" s="2"/>
      <c r="G257" s="2"/>
      <c r="H257" s="2"/>
      <c r="I257" s="2">
        <v>61.4724</v>
      </c>
      <c r="J257" s="2">
        <v>335</v>
      </c>
      <c r="K257" s="2">
        <v>60.662300000000002</v>
      </c>
      <c r="L257" s="2">
        <v>339</v>
      </c>
      <c r="M257" s="2">
        <v>99.103800000000007</v>
      </c>
      <c r="N257" s="2">
        <v>223</v>
      </c>
      <c r="O257" s="2">
        <v>99.479200000000006</v>
      </c>
      <c r="P257" s="2">
        <v>215</v>
      </c>
      <c r="Q257" s="2">
        <v>106.6985</v>
      </c>
      <c r="R257" s="2">
        <v>287</v>
      </c>
      <c r="S257" s="2">
        <v>107.6743</v>
      </c>
      <c r="T257" s="2">
        <v>288</v>
      </c>
      <c r="U257" s="2">
        <v>0.28692699999999999</v>
      </c>
      <c r="V257" s="2">
        <v>256</v>
      </c>
      <c r="W257" s="2">
        <v>2011</v>
      </c>
    </row>
    <row r="258" spans="1:23" ht="12.3" x14ac:dyDescent="0.4">
      <c r="A258" s="2" t="s">
        <v>372</v>
      </c>
      <c r="B258" s="2"/>
      <c r="C258" s="2"/>
      <c r="D258" s="2"/>
      <c r="E258" s="2"/>
      <c r="F258" s="2"/>
      <c r="G258" s="2"/>
      <c r="H258" s="2"/>
      <c r="I258" s="2">
        <v>69.031000000000006</v>
      </c>
      <c r="J258" s="2">
        <v>70</v>
      </c>
      <c r="K258" s="2">
        <v>66.751199999999997</v>
      </c>
      <c r="L258" s="2">
        <v>166</v>
      </c>
      <c r="M258" s="2">
        <v>104.3687</v>
      </c>
      <c r="N258" s="2">
        <v>107</v>
      </c>
      <c r="O258" s="2">
        <v>99.322800000000001</v>
      </c>
      <c r="P258" s="2">
        <v>220</v>
      </c>
      <c r="Q258" s="2">
        <v>101.3228</v>
      </c>
      <c r="R258" s="2">
        <v>169</v>
      </c>
      <c r="S258" s="2">
        <v>107.50579999999999</v>
      </c>
      <c r="T258" s="2">
        <v>283</v>
      </c>
      <c r="U258" s="2">
        <v>0.28690900000000003</v>
      </c>
      <c r="V258" s="2">
        <v>257</v>
      </c>
      <c r="W258" s="2">
        <v>2011</v>
      </c>
    </row>
    <row r="259" spans="1:23" ht="12.3" x14ac:dyDescent="0.4">
      <c r="A259" s="2" t="s">
        <v>341</v>
      </c>
      <c r="B259" s="2"/>
      <c r="C259" s="2"/>
      <c r="D259" s="2"/>
      <c r="E259" s="2"/>
      <c r="F259" s="2"/>
      <c r="G259" s="2"/>
      <c r="H259" s="2"/>
      <c r="I259" s="2">
        <v>69.207999999999998</v>
      </c>
      <c r="J259" s="2">
        <v>63</v>
      </c>
      <c r="K259" s="2">
        <v>69.238500000000002</v>
      </c>
      <c r="L259" s="2">
        <v>53</v>
      </c>
      <c r="M259" s="2">
        <v>102.05410000000001</v>
      </c>
      <c r="N259" s="2">
        <v>158</v>
      </c>
      <c r="O259" s="2">
        <v>97.292199999999994</v>
      </c>
      <c r="P259" s="2">
        <v>254</v>
      </c>
      <c r="Q259" s="2">
        <v>104.1587</v>
      </c>
      <c r="R259" s="2">
        <v>242</v>
      </c>
      <c r="S259" s="2">
        <v>105.39830000000001</v>
      </c>
      <c r="T259" s="2">
        <v>252</v>
      </c>
      <c r="U259" s="2">
        <v>0.28489500000000001</v>
      </c>
      <c r="V259" s="2">
        <v>258</v>
      </c>
      <c r="W259" s="2">
        <v>2011</v>
      </c>
    </row>
    <row r="260" spans="1:23" ht="12.3" x14ac:dyDescent="0.4">
      <c r="A260" s="2" t="s">
        <v>300</v>
      </c>
      <c r="B260" s="2"/>
      <c r="C260" s="2"/>
      <c r="D260" s="2"/>
      <c r="E260" s="2"/>
      <c r="F260" s="2"/>
      <c r="G260" s="2"/>
      <c r="H260" s="2"/>
      <c r="I260" s="2">
        <v>72.362799999999993</v>
      </c>
      <c r="J260" s="2">
        <v>15</v>
      </c>
      <c r="K260" s="2">
        <v>70.810500000000005</v>
      </c>
      <c r="L260" s="2">
        <v>26</v>
      </c>
      <c r="M260" s="2">
        <v>93.104100000000003</v>
      </c>
      <c r="N260" s="2">
        <v>307</v>
      </c>
      <c r="O260" s="2">
        <v>92.438400000000001</v>
      </c>
      <c r="P260" s="2">
        <v>311</v>
      </c>
      <c r="Q260" s="2">
        <v>99.726200000000006</v>
      </c>
      <c r="R260" s="2">
        <v>116</v>
      </c>
      <c r="S260" s="2">
        <v>100.3985</v>
      </c>
      <c r="T260" s="2">
        <v>130</v>
      </c>
      <c r="U260" s="2">
        <v>0.278893</v>
      </c>
      <c r="V260" s="2">
        <v>259</v>
      </c>
      <c r="W260" s="2">
        <v>2011</v>
      </c>
    </row>
    <row r="261" spans="1:23" ht="12.3" x14ac:dyDescent="0.4">
      <c r="A261" s="2" t="s">
        <v>311</v>
      </c>
      <c r="B261" s="2"/>
      <c r="C261" s="2"/>
      <c r="D261" s="2"/>
      <c r="E261" s="2"/>
      <c r="F261" s="2"/>
      <c r="G261" s="2"/>
      <c r="H261" s="2"/>
      <c r="I261" s="2">
        <v>68.664699999999996</v>
      </c>
      <c r="J261" s="2">
        <v>79</v>
      </c>
      <c r="K261" s="2">
        <v>69.318299999999994</v>
      </c>
      <c r="L261" s="2">
        <v>51</v>
      </c>
      <c r="M261" s="2">
        <v>103.2298</v>
      </c>
      <c r="N261" s="2">
        <v>129</v>
      </c>
      <c r="O261" s="2">
        <v>102.9238</v>
      </c>
      <c r="P261" s="2">
        <v>143</v>
      </c>
      <c r="Q261" s="2">
        <v>110.0429</v>
      </c>
      <c r="R261" s="2">
        <v>330</v>
      </c>
      <c r="S261" s="2">
        <v>111.837</v>
      </c>
      <c r="T261" s="2">
        <v>333</v>
      </c>
      <c r="U261" s="2">
        <v>0.27785599999999999</v>
      </c>
      <c r="V261" s="2">
        <v>260</v>
      </c>
      <c r="W261" s="2">
        <v>2011</v>
      </c>
    </row>
    <row r="262" spans="1:23" ht="12.3" x14ac:dyDescent="0.4">
      <c r="A262" s="2" t="s">
        <v>317</v>
      </c>
      <c r="B262" s="2"/>
      <c r="C262" s="2"/>
      <c r="D262" s="2"/>
      <c r="E262" s="2"/>
      <c r="F262" s="2"/>
      <c r="G262" s="2"/>
      <c r="H262" s="2"/>
      <c r="I262" s="2">
        <v>69.209500000000006</v>
      </c>
      <c r="J262" s="2">
        <v>62</v>
      </c>
      <c r="K262" s="2">
        <v>70.084800000000001</v>
      </c>
      <c r="L262" s="2">
        <v>39</v>
      </c>
      <c r="M262" s="2">
        <v>97.128600000000006</v>
      </c>
      <c r="N262" s="2">
        <v>261</v>
      </c>
      <c r="O262" s="2">
        <v>98.203400000000002</v>
      </c>
      <c r="P262" s="2">
        <v>240</v>
      </c>
      <c r="Q262" s="2">
        <v>107.63200000000001</v>
      </c>
      <c r="R262" s="2">
        <v>302</v>
      </c>
      <c r="S262" s="2">
        <v>106.7225</v>
      </c>
      <c r="T262" s="2">
        <v>271</v>
      </c>
      <c r="U262" s="2">
        <v>0.27753899999999998</v>
      </c>
      <c r="V262" s="2">
        <v>261</v>
      </c>
      <c r="W262" s="2">
        <v>2011</v>
      </c>
    </row>
    <row r="263" spans="1:23" ht="12.3" x14ac:dyDescent="0.4">
      <c r="A263" s="2" t="s">
        <v>316</v>
      </c>
      <c r="B263" s="2"/>
      <c r="C263" s="2"/>
      <c r="D263" s="2"/>
      <c r="E263" s="2"/>
      <c r="F263" s="2"/>
      <c r="G263" s="2"/>
      <c r="H263" s="2"/>
      <c r="I263" s="2">
        <v>66.936099999999996</v>
      </c>
      <c r="J263" s="2">
        <v>172</v>
      </c>
      <c r="K263" s="2">
        <v>66.8613</v>
      </c>
      <c r="L263" s="2">
        <v>161</v>
      </c>
      <c r="M263" s="2">
        <v>98.058899999999994</v>
      </c>
      <c r="N263" s="2">
        <v>243</v>
      </c>
      <c r="O263" s="2">
        <v>98.382099999999994</v>
      </c>
      <c r="P263" s="2">
        <v>236</v>
      </c>
      <c r="Q263" s="2">
        <v>102.9109</v>
      </c>
      <c r="R263" s="2">
        <v>203</v>
      </c>
      <c r="S263" s="2">
        <v>106.9713</v>
      </c>
      <c r="T263" s="2">
        <v>275</v>
      </c>
      <c r="U263" s="2">
        <v>0.27636500000000003</v>
      </c>
      <c r="V263" s="2">
        <v>262</v>
      </c>
      <c r="W263" s="2">
        <v>2011</v>
      </c>
    </row>
    <row r="264" spans="1:23" ht="12.3" x14ac:dyDescent="0.4">
      <c r="A264" s="2" t="s">
        <v>319</v>
      </c>
      <c r="B264" s="2"/>
      <c r="C264" s="2"/>
      <c r="D264" s="2"/>
      <c r="E264" s="2"/>
      <c r="F264" s="2"/>
      <c r="G264" s="2"/>
      <c r="H264" s="2"/>
      <c r="I264" s="2">
        <v>65.940600000000003</v>
      </c>
      <c r="J264" s="2">
        <v>216</v>
      </c>
      <c r="K264" s="2">
        <v>65.660300000000007</v>
      </c>
      <c r="L264" s="2">
        <v>227</v>
      </c>
      <c r="M264" s="2">
        <v>98.264399999999995</v>
      </c>
      <c r="N264" s="2">
        <v>239</v>
      </c>
      <c r="O264" s="2">
        <v>95.415700000000001</v>
      </c>
      <c r="P264" s="2">
        <v>281</v>
      </c>
      <c r="Q264" s="2">
        <v>101.9007</v>
      </c>
      <c r="R264" s="2">
        <v>185</v>
      </c>
      <c r="S264" s="2">
        <v>103.89790000000001</v>
      </c>
      <c r="T264" s="2">
        <v>220</v>
      </c>
      <c r="U264" s="2">
        <v>0.27300999999999997</v>
      </c>
      <c r="V264" s="2">
        <v>263</v>
      </c>
      <c r="W264" s="2">
        <v>2011</v>
      </c>
    </row>
    <row r="265" spans="1:23" ht="12.3" x14ac:dyDescent="0.4">
      <c r="A265" s="2" t="s">
        <v>332</v>
      </c>
      <c r="B265" s="2"/>
      <c r="C265" s="2"/>
      <c r="D265" s="2"/>
      <c r="E265" s="2"/>
      <c r="F265" s="2"/>
      <c r="G265" s="2"/>
      <c r="H265" s="2"/>
      <c r="I265" s="2">
        <v>67.2423</v>
      </c>
      <c r="J265" s="2">
        <v>154</v>
      </c>
      <c r="K265" s="2">
        <v>66.655500000000004</v>
      </c>
      <c r="L265" s="2">
        <v>172</v>
      </c>
      <c r="M265" s="2">
        <v>96.753100000000003</v>
      </c>
      <c r="N265" s="2">
        <v>266</v>
      </c>
      <c r="O265" s="2">
        <v>99.292299999999997</v>
      </c>
      <c r="P265" s="2">
        <v>221</v>
      </c>
      <c r="Q265" s="2">
        <v>107.5543</v>
      </c>
      <c r="R265" s="2">
        <v>301</v>
      </c>
      <c r="S265" s="2">
        <v>108.2186</v>
      </c>
      <c r="T265" s="2">
        <v>299</v>
      </c>
      <c r="U265" s="2">
        <v>0.27091500000000002</v>
      </c>
      <c r="V265" s="2">
        <v>264</v>
      </c>
      <c r="W265" s="2">
        <v>2011</v>
      </c>
    </row>
    <row r="266" spans="1:23" ht="12.3" x14ac:dyDescent="0.4">
      <c r="A266" s="2" t="s">
        <v>376</v>
      </c>
      <c r="B266" s="2"/>
      <c r="C266" s="2"/>
      <c r="D266" s="2"/>
      <c r="E266" s="2"/>
      <c r="F266" s="2"/>
      <c r="G266" s="2"/>
      <c r="H266" s="2"/>
      <c r="I266" s="2">
        <v>74.786699999999996</v>
      </c>
      <c r="J266" s="2">
        <v>4</v>
      </c>
      <c r="K266" s="2">
        <v>73.403899999999993</v>
      </c>
      <c r="L266" s="2">
        <v>6</v>
      </c>
      <c r="M266" s="2">
        <v>92.535799999999995</v>
      </c>
      <c r="N266" s="2">
        <v>316</v>
      </c>
      <c r="O266" s="2">
        <v>91.407899999999998</v>
      </c>
      <c r="P266" s="2">
        <v>318</v>
      </c>
      <c r="Q266" s="2">
        <v>101.2047</v>
      </c>
      <c r="R266" s="2">
        <v>165</v>
      </c>
      <c r="S266" s="2">
        <v>99.641599999999997</v>
      </c>
      <c r="T266" s="2">
        <v>119</v>
      </c>
      <c r="U266" s="2">
        <v>0.27054600000000001</v>
      </c>
      <c r="V266" s="2">
        <v>265</v>
      </c>
      <c r="W266" s="2">
        <v>2011</v>
      </c>
    </row>
    <row r="267" spans="1:23" ht="12.3" x14ac:dyDescent="0.4">
      <c r="A267" s="2" t="s">
        <v>144</v>
      </c>
      <c r="B267" s="2"/>
      <c r="C267" s="2"/>
      <c r="D267" s="2"/>
      <c r="E267" s="2"/>
      <c r="F267" s="2"/>
      <c r="G267" s="2"/>
      <c r="H267" s="2"/>
      <c r="I267" s="2">
        <v>65.720699999999994</v>
      </c>
      <c r="J267" s="2">
        <v>224</v>
      </c>
      <c r="K267" s="2">
        <v>66.048500000000004</v>
      </c>
      <c r="L267" s="2">
        <v>207</v>
      </c>
      <c r="M267" s="2">
        <v>92.763499999999993</v>
      </c>
      <c r="N267" s="2">
        <v>313</v>
      </c>
      <c r="O267" s="2">
        <v>93.887900000000002</v>
      </c>
      <c r="P267" s="2">
        <v>295</v>
      </c>
      <c r="Q267" s="2">
        <v>105.3734</v>
      </c>
      <c r="R267" s="2">
        <v>268</v>
      </c>
      <c r="S267" s="2">
        <v>102.39109999999999</v>
      </c>
      <c r="T267" s="2">
        <v>191</v>
      </c>
      <c r="U267" s="2">
        <v>0.26952500000000001</v>
      </c>
      <c r="V267" s="2">
        <v>266</v>
      </c>
      <c r="W267" s="2">
        <v>2011</v>
      </c>
    </row>
    <row r="268" spans="1:23" ht="12.3" x14ac:dyDescent="0.4">
      <c r="A268" s="2" t="s">
        <v>269</v>
      </c>
      <c r="B268" s="2"/>
      <c r="C268" s="2"/>
      <c r="D268" s="2"/>
      <c r="E268" s="2"/>
      <c r="F268" s="2"/>
      <c r="G268" s="2"/>
      <c r="H268" s="2"/>
      <c r="I268" s="2">
        <v>68.484099999999998</v>
      </c>
      <c r="J268" s="2">
        <v>85</v>
      </c>
      <c r="K268" s="2">
        <v>68.078500000000005</v>
      </c>
      <c r="L268" s="2">
        <v>93</v>
      </c>
      <c r="M268" s="2">
        <v>104.3308</v>
      </c>
      <c r="N268" s="2">
        <v>108</v>
      </c>
      <c r="O268" s="2">
        <v>103.28570000000001</v>
      </c>
      <c r="P268" s="2">
        <v>130</v>
      </c>
      <c r="Q268" s="2">
        <v>109.6234</v>
      </c>
      <c r="R268" s="2">
        <v>324</v>
      </c>
      <c r="S268" s="2">
        <v>112.6895</v>
      </c>
      <c r="T268" s="2">
        <v>337</v>
      </c>
      <c r="U268" s="2">
        <v>0.26853199999999999</v>
      </c>
      <c r="V268" s="2">
        <v>267</v>
      </c>
      <c r="W268" s="2">
        <v>2011</v>
      </c>
    </row>
    <row r="269" spans="1:23" ht="12.3" x14ac:dyDescent="0.4">
      <c r="A269" s="2" t="s">
        <v>166</v>
      </c>
      <c r="B269" s="2"/>
      <c r="C269" s="2"/>
      <c r="D269" s="2"/>
      <c r="E269" s="2"/>
      <c r="F269" s="2"/>
      <c r="G269" s="2"/>
      <c r="H269" s="2"/>
      <c r="I269" s="2">
        <v>69.979500000000002</v>
      </c>
      <c r="J269" s="2">
        <v>41</v>
      </c>
      <c r="K269" s="2">
        <v>69.912099999999995</v>
      </c>
      <c r="L269" s="2">
        <v>41</v>
      </c>
      <c r="M269" s="2">
        <v>97.964600000000004</v>
      </c>
      <c r="N269" s="2">
        <v>246</v>
      </c>
      <c r="O269" s="2">
        <v>97.479399999999998</v>
      </c>
      <c r="P269" s="2">
        <v>250</v>
      </c>
      <c r="Q269" s="2">
        <v>107.3283</v>
      </c>
      <c r="R269" s="2">
        <v>298</v>
      </c>
      <c r="S269" s="2">
        <v>106.37520000000001</v>
      </c>
      <c r="T269" s="2">
        <v>267</v>
      </c>
      <c r="U269" s="2">
        <v>0.26809500000000003</v>
      </c>
      <c r="V269" s="2">
        <v>268</v>
      </c>
      <c r="W269" s="2">
        <v>2011</v>
      </c>
    </row>
    <row r="270" spans="1:23" ht="12.3" x14ac:dyDescent="0.4">
      <c r="A270" s="2" t="s">
        <v>284</v>
      </c>
      <c r="B270" s="2"/>
      <c r="C270" s="2"/>
      <c r="D270" s="2"/>
      <c r="E270" s="2"/>
      <c r="F270" s="2"/>
      <c r="G270" s="2"/>
      <c r="H270" s="2"/>
      <c r="I270" s="2">
        <v>66.013900000000007</v>
      </c>
      <c r="J270" s="2">
        <v>208</v>
      </c>
      <c r="K270" s="2">
        <v>65.581699999999998</v>
      </c>
      <c r="L270" s="2">
        <v>231</v>
      </c>
      <c r="M270" s="2">
        <v>96.244900000000001</v>
      </c>
      <c r="N270" s="2">
        <v>274</v>
      </c>
      <c r="O270" s="2">
        <v>97.143799999999999</v>
      </c>
      <c r="P270" s="2">
        <v>256</v>
      </c>
      <c r="Q270" s="2">
        <v>106.7319</v>
      </c>
      <c r="R270" s="2">
        <v>288</v>
      </c>
      <c r="S270" s="2">
        <v>106.1716</v>
      </c>
      <c r="T270" s="2">
        <v>263</v>
      </c>
      <c r="U270" s="2">
        <v>0.26465100000000003</v>
      </c>
      <c r="V270" s="2">
        <v>269</v>
      </c>
      <c r="W270" s="2">
        <v>2011</v>
      </c>
    </row>
    <row r="271" spans="1:23" ht="12.3" x14ac:dyDescent="0.4">
      <c r="A271" s="2" t="s">
        <v>211</v>
      </c>
      <c r="B271" s="2"/>
      <c r="C271" s="2"/>
      <c r="D271" s="2"/>
      <c r="E271" s="2"/>
      <c r="F271" s="2"/>
      <c r="G271" s="2"/>
      <c r="H271" s="2"/>
      <c r="I271" s="2">
        <v>65.584900000000005</v>
      </c>
      <c r="J271" s="2">
        <v>230</v>
      </c>
      <c r="K271" s="2">
        <v>64.833100000000002</v>
      </c>
      <c r="L271" s="2">
        <v>257</v>
      </c>
      <c r="M271" s="2">
        <v>92.871099999999998</v>
      </c>
      <c r="N271" s="2">
        <v>311</v>
      </c>
      <c r="O271" s="2">
        <v>93.289100000000005</v>
      </c>
      <c r="P271" s="2">
        <v>301</v>
      </c>
      <c r="Q271" s="2">
        <v>102.77679999999999</v>
      </c>
      <c r="R271" s="2">
        <v>198</v>
      </c>
      <c r="S271" s="2">
        <v>102.21339999999999</v>
      </c>
      <c r="T271" s="2">
        <v>180</v>
      </c>
      <c r="U271" s="2">
        <v>0.259104</v>
      </c>
      <c r="V271" s="2">
        <v>270</v>
      </c>
      <c r="W271" s="2">
        <v>2011</v>
      </c>
    </row>
    <row r="272" spans="1:23" ht="12.3" x14ac:dyDescent="0.4">
      <c r="A272" s="2" t="s">
        <v>356</v>
      </c>
      <c r="B272" s="2"/>
      <c r="C272" s="2"/>
      <c r="D272" s="2"/>
      <c r="E272" s="2"/>
      <c r="F272" s="2"/>
      <c r="G272" s="2"/>
      <c r="H272" s="2"/>
      <c r="I272" s="2">
        <v>71.100899999999996</v>
      </c>
      <c r="J272" s="2">
        <v>28</v>
      </c>
      <c r="K272" s="2">
        <v>71.324799999999996</v>
      </c>
      <c r="L272" s="2">
        <v>20</v>
      </c>
      <c r="M272" s="2">
        <v>96.515900000000002</v>
      </c>
      <c r="N272" s="2">
        <v>272</v>
      </c>
      <c r="O272" s="2">
        <v>96.120900000000006</v>
      </c>
      <c r="P272" s="2">
        <v>272</v>
      </c>
      <c r="Q272" s="2">
        <v>106.9391</v>
      </c>
      <c r="R272" s="2">
        <v>291</v>
      </c>
      <c r="S272" s="2">
        <v>105.3856</v>
      </c>
      <c r="T272" s="2">
        <v>251</v>
      </c>
      <c r="U272" s="2">
        <v>0.25764999999999999</v>
      </c>
      <c r="V272" s="2">
        <v>271</v>
      </c>
      <c r="W272" s="2">
        <v>2011</v>
      </c>
    </row>
    <row r="273" spans="1:23" ht="12.3" x14ac:dyDescent="0.4">
      <c r="A273" s="2" t="s">
        <v>314</v>
      </c>
      <c r="B273" s="2"/>
      <c r="C273" s="2"/>
      <c r="D273" s="2"/>
      <c r="E273" s="2"/>
      <c r="F273" s="2"/>
      <c r="G273" s="2"/>
      <c r="H273" s="2"/>
      <c r="I273" s="2">
        <v>68.375399999999999</v>
      </c>
      <c r="J273" s="2">
        <v>89</v>
      </c>
      <c r="K273" s="2">
        <v>68.468000000000004</v>
      </c>
      <c r="L273" s="2">
        <v>72</v>
      </c>
      <c r="M273" s="2">
        <v>99.440299999999993</v>
      </c>
      <c r="N273" s="2">
        <v>214</v>
      </c>
      <c r="O273" s="2">
        <v>98.089299999999994</v>
      </c>
      <c r="P273" s="2">
        <v>242</v>
      </c>
      <c r="Q273" s="2">
        <v>105.2599</v>
      </c>
      <c r="R273" s="2">
        <v>264</v>
      </c>
      <c r="S273" s="2">
        <v>107.75579999999999</v>
      </c>
      <c r="T273" s="2">
        <v>290</v>
      </c>
      <c r="U273" s="2">
        <v>0.25334099999999998</v>
      </c>
      <c r="V273" s="2">
        <v>272</v>
      </c>
      <c r="W273" s="2">
        <v>2011</v>
      </c>
    </row>
    <row r="274" spans="1:23" ht="12.3" x14ac:dyDescent="0.4">
      <c r="A274" s="2" t="s">
        <v>191</v>
      </c>
      <c r="B274" s="2"/>
      <c r="C274" s="2"/>
      <c r="D274" s="2"/>
      <c r="E274" s="2"/>
      <c r="F274" s="2"/>
      <c r="G274" s="2"/>
      <c r="H274" s="2"/>
      <c r="I274" s="2">
        <v>66.376300000000001</v>
      </c>
      <c r="J274" s="2">
        <v>192</v>
      </c>
      <c r="K274" s="2">
        <v>65.494600000000005</v>
      </c>
      <c r="L274" s="2">
        <v>237</v>
      </c>
      <c r="M274" s="2">
        <v>103.1217</v>
      </c>
      <c r="N274" s="2">
        <v>131</v>
      </c>
      <c r="O274" s="2">
        <v>100.563</v>
      </c>
      <c r="P274" s="2">
        <v>191</v>
      </c>
      <c r="Q274" s="2">
        <v>109.3498</v>
      </c>
      <c r="R274" s="2">
        <v>320</v>
      </c>
      <c r="S274" s="2">
        <v>110.5663</v>
      </c>
      <c r="T274" s="2">
        <v>324</v>
      </c>
      <c r="U274" s="2">
        <v>0.25151200000000001</v>
      </c>
      <c r="V274" s="2">
        <v>273</v>
      </c>
      <c r="W274" s="2">
        <v>2011</v>
      </c>
    </row>
    <row r="275" spans="1:23" ht="12.3" x14ac:dyDescent="0.4">
      <c r="A275" s="2" t="s">
        <v>179</v>
      </c>
      <c r="B275" s="2"/>
      <c r="C275" s="2"/>
      <c r="D275" s="2"/>
      <c r="E275" s="2"/>
      <c r="F275" s="2"/>
      <c r="G275" s="2"/>
      <c r="H275" s="2"/>
      <c r="I275" s="2">
        <v>63.8459</v>
      </c>
      <c r="J275" s="2">
        <v>296</v>
      </c>
      <c r="K275" s="2">
        <v>63.4069</v>
      </c>
      <c r="L275" s="2">
        <v>312</v>
      </c>
      <c r="M275" s="2">
        <v>99.645099999999999</v>
      </c>
      <c r="N275" s="2">
        <v>212</v>
      </c>
      <c r="O275" s="2">
        <v>100.6516</v>
      </c>
      <c r="P275" s="2">
        <v>189</v>
      </c>
      <c r="Q275" s="2">
        <v>110.2574</v>
      </c>
      <c r="R275" s="2">
        <v>332</v>
      </c>
      <c r="S275" s="2">
        <v>110.7298</v>
      </c>
      <c r="T275" s="2">
        <v>328</v>
      </c>
      <c r="U275" s="2">
        <v>0.25022299999999997</v>
      </c>
      <c r="V275" s="2">
        <v>274</v>
      </c>
      <c r="W275" s="2">
        <v>2011</v>
      </c>
    </row>
    <row r="276" spans="1:23" ht="12.3" x14ac:dyDescent="0.4">
      <c r="A276" s="2" t="s">
        <v>251</v>
      </c>
      <c r="B276" s="2"/>
      <c r="C276" s="2"/>
      <c r="D276" s="2"/>
      <c r="E276" s="2"/>
      <c r="F276" s="2"/>
      <c r="G276" s="2"/>
      <c r="H276" s="2"/>
      <c r="I276" s="2">
        <v>64.158699999999996</v>
      </c>
      <c r="J276" s="2">
        <v>282</v>
      </c>
      <c r="K276" s="2">
        <v>63.940399999999997</v>
      </c>
      <c r="L276" s="2">
        <v>296</v>
      </c>
      <c r="M276" s="2">
        <v>93.316800000000001</v>
      </c>
      <c r="N276" s="2">
        <v>303</v>
      </c>
      <c r="O276" s="2">
        <v>93.535700000000006</v>
      </c>
      <c r="P276" s="2">
        <v>299</v>
      </c>
      <c r="Q276" s="2">
        <v>101.10429999999999</v>
      </c>
      <c r="R276" s="2">
        <v>161</v>
      </c>
      <c r="S276" s="2">
        <v>103.0796</v>
      </c>
      <c r="T276" s="2">
        <v>206</v>
      </c>
      <c r="U276" s="2">
        <v>0.246508</v>
      </c>
      <c r="V276" s="2">
        <v>275</v>
      </c>
      <c r="W276" s="2">
        <v>2011</v>
      </c>
    </row>
    <row r="277" spans="1:23" ht="12.3" x14ac:dyDescent="0.4">
      <c r="A277" s="2" t="s">
        <v>352</v>
      </c>
      <c r="B277" s="2"/>
      <c r="C277" s="2"/>
      <c r="D277" s="2"/>
      <c r="E277" s="2"/>
      <c r="F277" s="2"/>
      <c r="G277" s="2"/>
      <c r="H277" s="2"/>
      <c r="I277" s="2">
        <v>63.661999999999999</v>
      </c>
      <c r="J277" s="2">
        <v>302</v>
      </c>
      <c r="K277" s="2">
        <v>63.990099999999998</v>
      </c>
      <c r="L277" s="2">
        <v>294</v>
      </c>
      <c r="M277" s="2">
        <v>87.692999999999998</v>
      </c>
      <c r="N277" s="2">
        <v>336</v>
      </c>
      <c r="O277" s="2">
        <v>88.720299999999995</v>
      </c>
      <c r="P277" s="2">
        <v>332</v>
      </c>
      <c r="Q277" s="2">
        <v>97.746200000000002</v>
      </c>
      <c r="R277" s="2">
        <v>80</v>
      </c>
      <c r="S277" s="2">
        <v>97.880399999999995</v>
      </c>
      <c r="T277" s="2">
        <v>82</v>
      </c>
      <c r="U277" s="2">
        <v>0.244167</v>
      </c>
      <c r="V277" s="2">
        <v>276</v>
      </c>
      <c r="W277" s="2">
        <v>2011</v>
      </c>
    </row>
    <row r="278" spans="1:23" ht="12.3" x14ac:dyDescent="0.4">
      <c r="A278" s="2" t="s">
        <v>61</v>
      </c>
      <c r="B278" s="2"/>
      <c r="C278" s="2"/>
      <c r="D278" s="2"/>
      <c r="E278" s="2"/>
      <c r="F278" s="2"/>
      <c r="G278" s="2"/>
      <c r="H278" s="2"/>
      <c r="I278" s="2">
        <v>70.7941</v>
      </c>
      <c r="J278" s="2">
        <v>31</v>
      </c>
      <c r="K278" s="2">
        <v>70.307400000000001</v>
      </c>
      <c r="L278" s="2">
        <v>36</v>
      </c>
      <c r="M278" s="2">
        <v>95.377499999999998</v>
      </c>
      <c r="N278" s="2">
        <v>284</v>
      </c>
      <c r="O278" s="2">
        <v>97.7286</v>
      </c>
      <c r="P278" s="2">
        <v>249</v>
      </c>
      <c r="Q278" s="2">
        <v>109.5496</v>
      </c>
      <c r="R278" s="2">
        <v>323</v>
      </c>
      <c r="S278" s="2">
        <v>107.82899999999999</v>
      </c>
      <c r="T278" s="2">
        <v>293</v>
      </c>
      <c r="U278" s="2">
        <v>0.24396699999999999</v>
      </c>
      <c r="V278" s="2">
        <v>277</v>
      </c>
      <c r="W278" s="2">
        <v>2011</v>
      </c>
    </row>
    <row r="279" spans="1:23" ht="12.3" x14ac:dyDescent="0.4">
      <c r="A279" s="2" t="s">
        <v>127</v>
      </c>
      <c r="B279" s="2"/>
      <c r="C279" s="2"/>
      <c r="D279" s="2"/>
      <c r="E279" s="2"/>
      <c r="F279" s="2"/>
      <c r="G279" s="2"/>
      <c r="H279" s="2"/>
      <c r="I279" s="2">
        <v>71.559200000000004</v>
      </c>
      <c r="J279" s="2">
        <v>23</v>
      </c>
      <c r="K279" s="2">
        <v>70.700999999999993</v>
      </c>
      <c r="L279" s="2">
        <v>29</v>
      </c>
      <c r="M279" s="2">
        <v>98.010999999999996</v>
      </c>
      <c r="N279" s="2">
        <v>244</v>
      </c>
      <c r="O279" s="2">
        <v>98.3874</v>
      </c>
      <c r="P279" s="2">
        <v>234</v>
      </c>
      <c r="Q279" s="2">
        <v>111.0231</v>
      </c>
      <c r="R279" s="2">
        <v>335</v>
      </c>
      <c r="S279" s="2">
        <v>108.6528</v>
      </c>
      <c r="T279" s="2">
        <v>304</v>
      </c>
      <c r="U279" s="2">
        <v>0.24207899999999999</v>
      </c>
      <c r="V279" s="2">
        <v>278</v>
      </c>
      <c r="W279" s="2">
        <v>2011</v>
      </c>
    </row>
    <row r="280" spans="1:23" ht="12.3" x14ac:dyDescent="0.4">
      <c r="A280" s="2" t="s">
        <v>325</v>
      </c>
      <c r="B280" s="2"/>
      <c r="C280" s="2"/>
      <c r="D280" s="2"/>
      <c r="E280" s="2"/>
      <c r="F280" s="2"/>
      <c r="G280" s="2"/>
      <c r="H280" s="2"/>
      <c r="I280" s="2">
        <v>67.526700000000005</v>
      </c>
      <c r="J280" s="2">
        <v>138</v>
      </c>
      <c r="K280" s="2">
        <v>66.140100000000004</v>
      </c>
      <c r="L280" s="2">
        <v>201</v>
      </c>
      <c r="M280" s="2">
        <v>93.441800000000001</v>
      </c>
      <c r="N280" s="2">
        <v>301</v>
      </c>
      <c r="O280" s="2">
        <v>91.407499999999999</v>
      </c>
      <c r="P280" s="2">
        <v>319</v>
      </c>
      <c r="Q280" s="2">
        <v>94.812399999999997</v>
      </c>
      <c r="R280" s="2">
        <v>33</v>
      </c>
      <c r="S280" s="2">
        <v>101.04</v>
      </c>
      <c r="T280" s="2">
        <v>144</v>
      </c>
      <c r="U280" s="2">
        <v>0.240092</v>
      </c>
      <c r="V280" s="2">
        <v>279</v>
      </c>
      <c r="W280" s="2">
        <v>2011</v>
      </c>
    </row>
    <row r="281" spans="1:23" ht="12.3" x14ac:dyDescent="0.4">
      <c r="A281" s="2" t="s">
        <v>369</v>
      </c>
      <c r="B281" s="2"/>
      <c r="C281" s="2"/>
      <c r="D281" s="2"/>
      <c r="E281" s="2"/>
      <c r="F281" s="2"/>
      <c r="G281" s="2"/>
      <c r="H281" s="2"/>
      <c r="I281" s="2">
        <v>69.248599999999996</v>
      </c>
      <c r="J281" s="2">
        <v>60</v>
      </c>
      <c r="K281" s="2">
        <v>68.581900000000005</v>
      </c>
      <c r="L281" s="2">
        <v>69</v>
      </c>
      <c r="M281" s="2">
        <v>93.668000000000006</v>
      </c>
      <c r="N281" s="2">
        <v>298</v>
      </c>
      <c r="O281" s="2">
        <v>93.0398</v>
      </c>
      <c r="P281" s="2">
        <v>304</v>
      </c>
      <c r="Q281" s="2">
        <v>103.6585</v>
      </c>
      <c r="R281" s="2">
        <v>222</v>
      </c>
      <c r="S281" s="2">
        <v>103.0269</v>
      </c>
      <c r="T281" s="2">
        <v>203</v>
      </c>
      <c r="U281" s="2">
        <v>0.23639099999999999</v>
      </c>
      <c r="V281" s="2">
        <v>280</v>
      </c>
      <c r="W281" s="2">
        <v>2011</v>
      </c>
    </row>
    <row r="282" spans="1:23" ht="12.3" x14ac:dyDescent="0.4">
      <c r="A282" s="2" t="s">
        <v>312</v>
      </c>
      <c r="B282" s="2"/>
      <c r="C282" s="2"/>
      <c r="D282" s="2"/>
      <c r="E282" s="2"/>
      <c r="F282" s="2"/>
      <c r="G282" s="2"/>
      <c r="H282" s="2"/>
      <c r="I282" s="2">
        <v>66.184700000000007</v>
      </c>
      <c r="J282" s="2">
        <v>201</v>
      </c>
      <c r="K282" s="2">
        <v>64.619799999999998</v>
      </c>
      <c r="L282" s="2">
        <v>268</v>
      </c>
      <c r="M282" s="2">
        <v>95.975300000000004</v>
      </c>
      <c r="N282" s="2">
        <v>276</v>
      </c>
      <c r="O282" s="2">
        <v>95.110600000000005</v>
      </c>
      <c r="P282" s="2">
        <v>285</v>
      </c>
      <c r="Q282" s="2">
        <v>95.888400000000004</v>
      </c>
      <c r="R282" s="2">
        <v>47</v>
      </c>
      <c r="S282" s="2">
        <v>105.4687</v>
      </c>
      <c r="T282" s="2">
        <v>254</v>
      </c>
      <c r="U282" s="2">
        <v>0.23347399999999999</v>
      </c>
      <c r="V282" s="2">
        <v>281</v>
      </c>
      <c r="W282" s="2">
        <v>2011</v>
      </c>
    </row>
    <row r="283" spans="1:23" ht="12.3" x14ac:dyDescent="0.4">
      <c r="A283" s="2" t="s">
        <v>293</v>
      </c>
      <c r="B283" s="2"/>
      <c r="C283" s="2"/>
      <c r="D283" s="2"/>
      <c r="E283" s="2"/>
      <c r="F283" s="2"/>
      <c r="G283" s="2"/>
      <c r="H283" s="2"/>
      <c r="I283" s="2">
        <v>65.873699999999999</v>
      </c>
      <c r="J283" s="2">
        <v>220</v>
      </c>
      <c r="K283" s="2">
        <v>66.333299999999994</v>
      </c>
      <c r="L283" s="2">
        <v>186</v>
      </c>
      <c r="M283" s="2">
        <v>102.804</v>
      </c>
      <c r="N283" s="2">
        <v>141</v>
      </c>
      <c r="O283" s="2">
        <v>104.2123</v>
      </c>
      <c r="P283" s="2">
        <v>114</v>
      </c>
      <c r="Q283" s="2">
        <v>114.6858</v>
      </c>
      <c r="R283" s="2">
        <v>342</v>
      </c>
      <c r="S283" s="2">
        <v>115.5856</v>
      </c>
      <c r="T283" s="2">
        <v>342</v>
      </c>
      <c r="U283" s="2">
        <v>0.233047</v>
      </c>
      <c r="V283" s="2">
        <v>282</v>
      </c>
      <c r="W283" s="2">
        <v>2011</v>
      </c>
    </row>
    <row r="284" spans="1:23" ht="12.3" x14ac:dyDescent="0.4">
      <c r="A284" s="2" t="s">
        <v>313</v>
      </c>
      <c r="B284" s="2"/>
      <c r="C284" s="2"/>
      <c r="D284" s="2"/>
      <c r="E284" s="2"/>
      <c r="F284" s="2"/>
      <c r="G284" s="2"/>
      <c r="H284" s="2"/>
      <c r="I284" s="2">
        <v>62.258099999999999</v>
      </c>
      <c r="J284" s="2">
        <v>326</v>
      </c>
      <c r="K284" s="2">
        <v>61.747300000000003</v>
      </c>
      <c r="L284" s="2">
        <v>329</v>
      </c>
      <c r="M284" s="2">
        <v>100.8734</v>
      </c>
      <c r="N284" s="2">
        <v>191</v>
      </c>
      <c r="O284" s="2">
        <v>99.211200000000005</v>
      </c>
      <c r="P284" s="2">
        <v>224</v>
      </c>
      <c r="Q284" s="2">
        <v>104.9541</v>
      </c>
      <c r="R284" s="2">
        <v>258</v>
      </c>
      <c r="S284" s="2">
        <v>110.19580000000001</v>
      </c>
      <c r="T284" s="2">
        <v>320</v>
      </c>
      <c r="U284" s="2">
        <v>0.230129</v>
      </c>
      <c r="V284" s="2">
        <v>283</v>
      </c>
      <c r="W284" s="2">
        <v>2011</v>
      </c>
    </row>
    <row r="285" spans="1:23" ht="12.3" x14ac:dyDescent="0.4">
      <c r="A285" s="2" t="s">
        <v>209</v>
      </c>
      <c r="B285" s="2"/>
      <c r="C285" s="2"/>
      <c r="D285" s="2"/>
      <c r="E285" s="2"/>
      <c r="F285" s="2"/>
      <c r="G285" s="2"/>
      <c r="H285" s="2"/>
      <c r="I285" s="2">
        <v>69.097300000000004</v>
      </c>
      <c r="J285" s="2">
        <v>65</v>
      </c>
      <c r="K285" s="2">
        <v>68.782899999999998</v>
      </c>
      <c r="L285" s="2">
        <v>64</v>
      </c>
      <c r="M285" s="2">
        <v>97.619799999999998</v>
      </c>
      <c r="N285" s="2">
        <v>254</v>
      </c>
      <c r="O285" s="2">
        <v>96.536000000000001</v>
      </c>
      <c r="P285" s="2">
        <v>266</v>
      </c>
      <c r="Q285" s="2">
        <v>105.9537</v>
      </c>
      <c r="R285" s="2">
        <v>275</v>
      </c>
      <c r="S285" s="2">
        <v>107.23739999999999</v>
      </c>
      <c r="T285" s="2">
        <v>277</v>
      </c>
      <c r="U285" s="2">
        <v>0.22988</v>
      </c>
      <c r="V285" s="2">
        <v>284</v>
      </c>
      <c r="W285" s="2">
        <v>2011</v>
      </c>
    </row>
    <row r="286" spans="1:23" ht="12.3" x14ac:dyDescent="0.4">
      <c r="A286" s="2" t="s">
        <v>260</v>
      </c>
      <c r="B286" s="2"/>
      <c r="C286" s="2"/>
      <c r="D286" s="2"/>
      <c r="E286" s="2"/>
      <c r="F286" s="2"/>
      <c r="G286" s="2"/>
      <c r="H286" s="2"/>
      <c r="I286" s="2">
        <v>69.543899999999994</v>
      </c>
      <c r="J286" s="2">
        <v>48</v>
      </c>
      <c r="K286" s="2">
        <v>69.421000000000006</v>
      </c>
      <c r="L286" s="2">
        <v>50</v>
      </c>
      <c r="M286" s="2">
        <v>100.5398</v>
      </c>
      <c r="N286" s="2">
        <v>196</v>
      </c>
      <c r="O286" s="2">
        <v>99.463099999999997</v>
      </c>
      <c r="P286" s="2">
        <v>216</v>
      </c>
      <c r="Q286" s="2">
        <v>107.7979</v>
      </c>
      <c r="R286" s="2">
        <v>304</v>
      </c>
      <c r="S286" s="2">
        <v>110.5928</v>
      </c>
      <c r="T286" s="2">
        <v>325</v>
      </c>
      <c r="U286" s="2">
        <v>0.22797300000000001</v>
      </c>
      <c r="V286" s="2">
        <v>285</v>
      </c>
      <c r="W286" s="2">
        <v>2011</v>
      </c>
    </row>
    <row r="287" spans="1:23" ht="12.3" x14ac:dyDescent="0.4">
      <c r="A287" s="2" t="s">
        <v>303</v>
      </c>
      <c r="B287" s="2"/>
      <c r="C287" s="2"/>
      <c r="D287" s="2"/>
      <c r="E287" s="2"/>
      <c r="F287" s="2"/>
      <c r="G287" s="2"/>
      <c r="H287" s="2"/>
      <c r="I287" s="2">
        <v>67.101799999999997</v>
      </c>
      <c r="J287" s="2">
        <v>165</v>
      </c>
      <c r="K287" s="2">
        <v>67.512799999999999</v>
      </c>
      <c r="L287" s="2">
        <v>125</v>
      </c>
      <c r="M287" s="2">
        <v>96.675299999999993</v>
      </c>
      <c r="N287" s="2">
        <v>268</v>
      </c>
      <c r="O287" s="2">
        <v>96.808499999999995</v>
      </c>
      <c r="P287" s="2">
        <v>261</v>
      </c>
      <c r="Q287" s="2">
        <v>106.07389999999999</v>
      </c>
      <c r="R287" s="2">
        <v>277</v>
      </c>
      <c r="S287" s="2">
        <v>107.80710000000001</v>
      </c>
      <c r="T287" s="2">
        <v>291</v>
      </c>
      <c r="U287" s="2">
        <v>0.22486999999999999</v>
      </c>
      <c r="V287" s="2">
        <v>286</v>
      </c>
      <c r="W287" s="2">
        <v>2011</v>
      </c>
    </row>
    <row r="288" spans="1:23" ht="12.3" x14ac:dyDescent="0.4">
      <c r="A288" s="2" t="s">
        <v>235</v>
      </c>
      <c r="B288" s="2"/>
      <c r="C288" s="2"/>
      <c r="D288" s="2"/>
      <c r="E288" s="2"/>
      <c r="F288" s="2"/>
      <c r="G288" s="2"/>
      <c r="H288" s="2"/>
      <c r="I288" s="2">
        <v>64.789199999999994</v>
      </c>
      <c r="J288" s="2">
        <v>260</v>
      </c>
      <c r="K288" s="2">
        <v>64.699600000000004</v>
      </c>
      <c r="L288" s="2">
        <v>263</v>
      </c>
      <c r="M288" s="2">
        <v>90.375399999999999</v>
      </c>
      <c r="N288" s="2">
        <v>325</v>
      </c>
      <c r="O288" s="2">
        <v>90.327399999999997</v>
      </c>
      <c r="P288" s="2">
        <v>327</v>
      </c>
      <c r="Q288" s="2">
        <v>98.903700000000001</v>
      </c>
      <c r="R288" s="2">
        <v>103</v>
      </c>
      <c r="S288" s="2">
        <v>100.5938</v>
      </c>
      <c r="T288" s="2">
        <v>132</v>
      </c>
      <c r="U288" s="2">
        <v>0.22478899999999999</v>
      </c>
      <c r="V288" s="2">
        <v>287</v>
      </c>
      <c r="W288" s="2">
        <v>2011</v>
      </c>
    </row>
    <row r="289" spans="1:23" ht="12.3" x14ac:dyDescent="0.4">
      <c r="A289" s="2" t="s">
        <v>280</v>
      </c>
      <c r="B289" s="2"/>
      <c r="C289" s="2"/>
      <c r="D289" s="2"/>
      <c r="E289" s="2"/>
      <c r="F289" s="2"/>
      <c r="G289" s="2"/>
      <c r="H289" s="2"/>
      <c r="I289" s="2">
        <v>69.544300000000007</v>
      </c>
      <c r="J289" s="2">
        <v>47</v>
      </c>
      <c r="K289" s="2">
        <v>69.169300000000007</v>
      </c>
      <c r="L289" s="2">
        <v>55</v>
      </c>
      <c r="M289" s="2">
        <v>96.486099999999993</v>
      </c>
      <c r="N289" s="2">
        <v>273</v>
      </c>
      <c r="O289" s="2">
        <v>96.976500000000001</v>
      </c>
      <c r="P289" s="2">
        <v>259</v>
      </c>
      <c r="Q289" s="2">
        <v>107.2778</v>
      </c>
      <c r="R289" s="2">
        <v>297</v>
      </c>
      <c r="S289" s="2">
        <v>108.08069999999999</v>
      </c>
      <c r="T289" s="2">
        <v>298</v>
      </c>
      <c r="U289" s="2">
        <v>0.22327</v>
      </c>
      <c r="V289" s="2">
        <v>288</v>
      </c>
      <c r="W289" s="2">
        <v>2011</v>
      </c>
    </row>
    <row r="290" spans="1:23" ht="12.3" x14ac:dyDescent="0.4">
      <c r="A290" s="2" t="s">
        <v>275</v>
      </c>
      <c r="B290" s="2"/>
      <c r="C290" s="2"/>
      <c r="D290" s="2"/>
      <c r="E290" s="2"/>
      <c r="F290" s="2"/>
      <c r="G290" s="2"/>
      <c r="H290" s="2"/>
      <c r="I290" s="2">
        <v>62.607900000000001</v>
      </c>
      <c r="J290" s="2">
        <v>319</v>
      </c>
      <c r="K290" s="2">
        <v>62.917200000000001</v>
      </c>
      <c r="L290" s="2">
        <v>320</v>
      </c>
      <c r="M290" s="2">
        <v>95.311300000000003</v>
      </c>
      <c r="N290" s="2">
        <v>286</v>
      </c>
      <c r="O290" s="2">
        <v>95.528700000000001</v>
      </c>
      <c r="P290" s="2">
        <v>280</v>
      </c>
      <c r="Q290" s="2">
        <v>104.3857</v>
      </c>
      <c r="R290" s="2">
        <v>250</v>
      </c>
      <c r="S290" s="2">
        <v>106.5479</v>
      </c>
      <c r="T290" s="2">
        <v>269</v>
      </c>
      <c r="U290" s="2">
        <v>0.22176000000000001</v>
      </c>
      <c r="V290" s="2">
        <v>289</v>
      </c>
      <c r="W290" s="2">
        <v>2011</v>
      </c>
    </row>
    <row r="291" spans="1:23" ht="12.3" x14ac:dyDescent="0.4">
      <c r="A291" s="2" t="s">
        <v>297</v>
      </c>
      <c r="B291" s="2">
        <v>16</v>
      </c>
      <c r="C291" s="2"/>
      <c r="D291" s="2"/>
      <c r="E291" s="2"/>
      <c r="F291" s="2"/>
      <c r="G291" s="2"/>
      <c r="H291" s="2"/>
      <c r="I291" s="2">
        <v>66.211799999999997</v>
      </c>
      <c r="J291" s="2">
        <v>198</v>
      </c>
      <c r="K291" s="2">
        <v>65.006399999999999</v>
      </c>
      <c r="L291" s="2">
        <v>253</v>
      </c>
      <c r="M291" s="2">
        <v>92.031400000000005</v>
      </c>
      <c r="N291" s="2">
        <v>319</v>
      </c>
      <c r="O291" s="2">
        <v>93.230999999999995</v>
      </c>
      <c r="P291" s="2">
        <v>303</v>
      </c>
      <c r="Q291" s="2">
        <v>96.522900000000007</v>
      </c>
      <c r="R291" s="2">
        <v>57</v>
      </c>
      <c r="S291" s="2">
        <v>104.108</v>
      </c>
      <c r="T291" s="2">
        <v>228</v>
      </c>
      <c r="U291" s="2">
        <v>0.21942900000000001</v>
      </c>
      <c r="V291" s="2">
        <v>290</v>
      </c>
      <c r="W291" s="2">
        <v>2011</v>
      </c>
    </row>
    <row r="292" spans="1:23" ht="12.3" x14ac:dyDescent="0.4">
      <c r="A292" s="2" t="s">
        <v>296</v>
      </c>
      <c r="B292" s="2"/>
      <c r="C292" s="2"/>
      <c r="D292" s="2"/>
      <c r="E292" s="2"/>
      <c r="F292" s="2"/>
      <c r="G292" s="2"/>
      <c r="H292" s="2"/>
      <c r="I292" s="2">
        <v>69.246499999999997</v>
      </c>
      <c r="J292" s="2">
        <v>61</v>
      </c>
      <c r="K292" s="2">
        <v>68.887</v>
      </c>
      <c r="L292" s="2">
        <v>63</v>
      </c>
      <c r="M292" s="2">
        <v>98.973799999999997</v>
      </c>
      <c r="N292" s="2">
        <v>225</v>
      </c>
      <c r="O292" s="2">
        <v>98.386799999999994</v>
      </c>
      <c r="P292" s="2">
        <v>235</v>
      </c>
      <c r="Q292" s="2">
        <v>107.0393</v>
      </c>
      <c r="R292" s="2">
        <v>293</v>
      </c>
      <c r="S292" s="2">
        <v>109.9243</v>
      </c>
      <c r="T292" s="2">
        <v>314</v>
      </c>
      <c r="U292" s="2">
        <v>0.21837100000000001</v>
      </c>
      <c r="V292" s="2">
        <v>291</v>
      </c>
      <c r="W292" s="2">
        <v>2011</v>
      </c>
    </row>
    <row r="293" spans="1:23" ht="12.3" x14ac:dyDescent="0.4">
      <c r="A293" s="2" t="s">
        <v>331</v>
      </c>
      <c r="B293" s="2"/>
      <c r="C293" s="2"/>
      <c r="D293" s="2"/>
      <c r="E293" s="2"/>
      <c r="F293" s="2"/>
      <c r="G293" s="2"/>
      <c r="H293" s="2"/>
      <c r="I293" s="2">
        <v>67.068200000000004</v>
      </c>
      <c r="J293" s="2">
        <v>167</v>
      </c>
      <c r="K293" s="2">
        <v>67.417900000000003</v>
      </c>
      <c r="L293" s="2">
        <v>131</v>
      </c>
      <c r="M293" s="2">
        <v>88.930800000000005</v>
      </c>
      <c r="N293" s="2">
        <v>332</v>
      </c>
      <c r="O293" s="2">
        <v>88.046499999999995</v>
      </c>
      <c r="P293" s="2">
        <v>335</v>
      </c>
      <c r="Q293" s="2">
        <v>97.063299999999998</v>
      </c>
      <c r="R293" s="2">
        <v>68</v>
      </c>
      <c r="S293" s="2">
        <v>98.461600000000004</v>
      </c>
      <c r="T293" s="2">
        <v>97</v>
      </c>
      <c r="U293" s="2">
        <v>0.21657799999999999</v>
      </c>
      <c r="V293" s="2">
        <v>292</v>
      </c>
      <c r="W293" s="2">
        <v>2011</v>
      </c>
    </row>
    <row r="294" spans="1:23" ht="12.3" x14ac:dyDescent="0.4">
      <c r="A294" s="2" t="s">
        <v>249</v>
      </c>
      <c r="B294" s="2"/>
      <c r="C294" s="2"/>
      <c r="D294" s="2"/>
      <c r="E294" s="2"/>
      <c r="F294" s="2"/>
      <c r="G294" s="2"/>
      <c r="H294" s="2"/>
      <c r="I294" s="2">
        <v>67.875</v>
      </c>
      <c r="J294" s="2">
        <v>118</v>
      </c>
      <c r="K294" s="2">
        <v>68.325400000000002</v>
      </c>
      <c r="L294" s="2">
        <v>80</v>
      </c>
      <c r="M294" s="2">
        <v>94.774299999999997</v>
      </c>
      <c r="N294" s="2">
        <v>291</v>
      </c>
      <c r="O294" s="2">
        <v>96.477000000000004</v>
      </c>
      <c r="P294" s="2">
        <v>268</v>
      </c>
      <c r="Q294" s="2">
        <v>108.9388</v>
      </c>
      <c r="R294" s="2">
        <v>318</v>
      </c>
      <c r="S294" s="2">
        <v>108.0501</v>
      </c>
      <c r="T294" s="2">
        <v>297</v>
      </c>
      <c r="U294" s="2">
        <v>0.21368899999999999</v>
      </c>
      <c r="V294" s="2">
        <v>293</v>
      </c>
      <c r="W294" s="2">
        <v>2011</v>
      </c>
    </row>
    <row r="295" spans="1:23" ht="12.3" x14ac:dyDescent="0.4">
      <c r="A295" s="2" t="s">
        <v>320</v>
      </c>
      <c r="B295" s="2"/>
      <c r="C295" s="2"/>
      <c r="D295" s="2"/>
      <c r="E295" s="2"/>
      <c r="F295" s="2"/>
      <c r="G295" s="2"/>
      <c r="H295" s="2"/>
      <c r="I295" s="2">
        <v>70.3322</v>
      </c>
      <c r="J295" s="2">
        <v>40</v>
      </c>
      <c r="K295" s="2">
        <v>69.775899999999993</v>
      </c>
      <c r="L295" s="2">
        <v>43</v>
      </c>
      <c r="M295" s="2">
        <v>97.915899999999993</v>
      </c>
      <c r="N295" s="2">
        <v>247</v>
      </c>
      <c r="O295" s="2">
        <v>96.652799999999999</v>
      </c>
      <c r="P295" s="2">
        <v>264</v>
      </c>
      <c r="Q295" s="2">
        <v>104.3249</v>
      </c>
      <c r="R295" s="2">
        <v>247</v>
      </c>
      <c r="S295" s="2">
        <v>108.3062</v>
      </c>
      <c r="T295" s="2">
        <v>301</v>
      </c>
      <c r="U295" s="2">
        <v>0.21263299999999999</v>
      </c>
      <c r="V295" s="2">
        <v>294</v>
      </c>
      <c r="W295" s="2">
        <v>2011</v>
      </c>
    </row>
    <row r="296" spans="1:23" ht="12.3" x14ac:dyDescent="0.4">
      <c r="A296" s="2" t="s">
        <v>377</v>
      </c>
      <c r="B296" s="2"/>
      <c r="C296" s="2"/>
      <c r="D296" s="2"/>
      <c r="E296" s="2"/>
      <c r="F296" s="2"/>
      <c r="G296" s="2"/>
      <c r="H296" s="2"/>
      <c r="I296" s="2">
        <v>72.7637</v>
      </c>
      <c r="J296" s="2">
        <v>11</v>
      </c>
      <c r="K296" s="2">
        <v>71.856300000000005</v>
      </c>
      <c r="L296" s="2">
        <v>14</v>
      </c>
      <c r="M296" s="2">
        <v>104.2996</v>
      </c>
      <c r="N296" s="2">
        <v>109</v>
      </c>
      <c r="O296" s="2">
        <v>98.497799999999998</v>
      </c>
      <c r="P296" s="2">
        <v>231</v>
      </c>
      <c r="Q296" s="2">
        <v>103.7304</v>
      </c>
      <c r="R296" s="2">
        <v>224</v>
      </c>
      <c r="S296" s="2">
        <v>110.59610000000001</v>
      </c>
      <c r="T296" s="2">
        <v>326</v>
      </c>
      <c r="U296" s="2">
        <v>0.208784</v>
      </c>
      <c r="V296" s="2">
        <v>295</v>
      </c>
      <c r="W296" s="2">
        <v>2011</v>
      </c>
    </row>
    <row r="297" spans="1:23" ht="12.3" x14ac:dyDescent="0.4">
      <c r="A297" s="2" t="s">
        <v>287</v>
      </c>
      <c r="B297" s="2"/>
      <c r="C297" s="2"/>
      <c r="D297" s="2"/>
      <c r="E297" s="2"/>
      <c r="F297" s="2"/>
      <c r="G297" s="2"/>
      <c r="H297" s="2"/>
      <c r="I297" s="2">
        <v>68.902199999999993</v>
      </c>
      <c r="J297" s="2">
        <v>74</v>
      </c>
      <c r="K297" s="2">
        <v>68.427400000000006</v>
      </c>
      <c r="L297" s="2">
        <v>74</v>
      </c>
      <c r="M297" s="2">
        <v>99.253699999999995</v>
      </c>
      <c r="N297" s="2">
        <v>218</v>
      </c>
      <c r="O297" s="2">
        <v>98.662400000000005</v>
      </c>
      <c r="P297" s="2">
        <v>230</v>
      </c>
      <c r="Q297" s="2">
        <v>107.4289</v>
      </c>
      <c r="R297" s="2">
        <v>300</v>
      </c>
      <c r="S297" s="2">
        <v>110.9562</v>
      </c>
      <c r="T297" s="2">
        <v>332</v>
      </c>
      <c r="U297" s="2">
        <v>0.20579500000000001</v>
      </c>
      <c r="V297" s="2">
        <v>296</v>
      </c>
      <c r="W297" s="2">
        <v>2011</v>
      </c>
    </row>
    <row r="298" spans="1:23" ht="12.3" x14ac:dyDescent="0.4">
      <c r="A298" s="2" t="s">
        <v>133</v>
      </c>
      <c r="B298" s="2"/>
      <c r="C298" s="2"/>
      <c r="D298" s="2"/>
      <c r="E298" s="2"/>
      <c r="F298" s="2"/>
      <c r="G298" s="2"/>
      <c r="H298" s="2"/>
      <c r="I298" s="2">
        <v>65.5364</v>
      </c>
      <c r="J298" s="2">
        <v>232</v>
      </c>
      <c r="K298" s="2">
        <v>64.655500000000004</v>
      </c>
      <c r="L298" s="2">
        <v>266</v>
      </c>
      <c r="M298" s="2">
        <v>90.251300000000001</v>
      </c>
      <c r="N298" s="2">
        <v>326</v>
      </c>
      <c r="O298" s="2">
        <v>92.682100000000005</v>
      </c>
      <c r="P298" s="2">
        <v>308</v>
      </c>
      <c r="Q298" s="2">
        <v>108.13809999999999</v>
      </c>
      <c r="R298" s="2">
        <v>312</v>
      </c>
      <c r="S298" s="2">
        <v>104.2409</v>
      </c>
      <c r="T298" s="2">
        <v>232</v>
      </c>
      <c r="U298" s="2">
        <v>0.20561099999999999</v>
      </c>
      <c r="V298" s="2">
        <v>297</v>
      </c>
      <c r="W298" s="2">
        <v>2011</v>
      </c>
    </row>
    <row r="299" spans="1:23" ht="12.3" x14ac:dyDescent="0.4">
      <c r="A299" s="2" t="s">
        <v>310</v>
      </c>
      <c r="B299" s="2"/>
      <c r="C299" s="2"/>
      <c r="D299" s="2"/>
      <c r="E299" s="2"/>
      <c r="F299" s="2"/>
      <c r="G299" s="2"/>
      <c r="H299" s="2"/>
      <c r="I299" s="2">
        <v>61.908200000000001</v>
      </c>
      <c r="J299" s="2">
        <v>330</v>
      </c>
      <c r="K299" s="2">
        <v>62.912999999999997</v>
      </c>
      <c r="L299" s="2">
        <v>321</v>
      </c>
      <c r="M299" s="2">
        <v>92.066400000000002</v>
      </c>
      <c r="N299" s="2">
        <v>318</v>
      </c>
      <c r="O299" s="2">
        <v>89.937100000000001</v>
      </c>
      <c r="P299" s="2">
        <v>329</v>
      </c>
      <c r="Q299" s="2">
        <v>98.253</v>
      </c>
      <c r="R299" s="2">
        <v>90</v>
      </c>
      <c r="S299" s="2">
        <v>101.19540000000001</v>
      </c>
      <c r="T299" s="2">
        <v>152</v>
      </c>
      <c r="U299" s="2">
        <v>0.20483499999999999</v>
      </c>
      <c r="V299" s="2">
        <v>298</v>
      </c>
      <c r="W299" s="2">
        <v>2011</v>
      </c>
    </row>
    <row r="300" spans="1:23" ht="12.3" x14ac:dyDescent="0.4">
      <c r="A300" s="2" t="s">
        <v>375</v>
      </c>
      <c r="B300" s="2"/>
      <c r="C300" s="2"/>
      <c r="D300" s="2"/>
      <c r="E300" s="2"/>
      <c r="F300" s="2"/>
      <c r="G300" s="2"/>
      <c r="H300" s="2"/>
      <c r="I300" s="2">
        <v>67.009600000000006</v>
      </c>
      <c r="J300" s="2">
        <v>170</v>
      </c>
      <c r="K300" s="2">
        <v>66.207800000000006</v>
      </c>
      <c r="L300" s="2">
        <v>197</v>
      </c>
      <c r="M300" s="2">
        <v>98.390699999999995</v>
      </c>
      <c r="N300" s="2">
        <v>236</v>
      </c>
      <c r="O300" s="2">
        <v>99.909700000000001</v>
      </c>
      <c r="P300" s="2">
        <v>203</v>
      </c>
      <c r="Q300" s="2">
        <v>112.989</v>
      </c>
      <c r="R300" s="2">
        <v>340</v>
      </c>
      <c r="S300" s="2">
        <v>112.45610000000001</v>
      </c>
      <c r="T300" s="2">
        <v>336</v>
      </c>
      <c r="U300" s="2">
        <v>0.204175</v>
      </c>
      <c r="V300" s="2">
        <v>299</v>
      </c>
      <c r="W300" s="2">
        <v>2011</v>
      </c>
    </row>
    <row r="301" spans="1:23" ht="12.3" x14ac:dyDescent="0.4">
      <c r="A301" s="2" t="s">
        <v>194</v>
      </c>
      <c r="B301" s="2"/>
      <c r="C301" s="2"/>
      <c r="D301" s="2"/>
      <c r="E301" s="2"/>
      <c r="F301" s="2"/>
      <c r="G301" s="2"/>
      <c r="H301" s="2"/>
      <c r="I301" s="2">
        <v>68.593400000000003</v>
      </c>
      <c r="J301" s="2">
        <v>82</v>
      </c>
      <c r="K301" s="2">
        <v>68.242999999999995</v>
      </c>
      <c r="L301" s="2">
        <v>86</v>
      </c>
      <c r="M301" s="2">
        <v>89.812299999999993</v>
      </c>
      <c r="N301" s="2">
        <v>327</v>
      </c>
      <c r="O301" s="2">
        <v>90.589699999999993</v>
      </c>
      <c r="P301" s="2">
        <v>323</v>
      </c>
      <c r="Q301" s="2">
        <v>102.4396</v>
      </c>
      <c r="R301" s="2">
        <v>194</v>
      </c>
      <c r="S301" s="2">
        <v>102.2235</v>
      </c>
      <c r="T301" s="2">
        <v>181</v>
      </c>
      <c r="U301" s="2">
        <v>0.19949700000000001</v>
      </c>
      <c r="V301" s="2">
        <v>300</v>
      </c>
      <c r="W301" s="2">
        <v>2011</v>
      </c>
    </row>
    <row r="302" spans="1:23" ht="12.3" x14ac:dyDescent="0.4">
      <c r="A302" s="2" t="s">
        <v>294</v>
      </c>
      <c r="B302" s="2"/>
      <c r="C302" s="2"/>
      <c r="D302" s="2"/>
      <c r="E302" s="2"/>
      <c r="F302" s="2"/>
      <c r="G302" s="2"/>
      <c r="H302" s="2"/>
      <c r="I302" s="2">
        <v>64.875500000000002</v>
      </c>
      <c r="J302" s="2">
        <v>255</v>
      </c>
      <c r="K302" s="2">
        <v>65.146600000000007</v>
      </c>
      <c r="L302" s="2">
        <v>247</v>
      </c>
      <c r="M302" s="2">
        <v>97.096699999999998</v>
      </c>
      <c r="N302" s="2">
        <v>262</v>
      </c>
      <c r="O302" s="2">
        <v>97.837599999999995</v>
      </c>
      <c r="P302" s="2">
        <v>248</v>
      </c>
      <c r="Q302" s="2">
        <v>111.1075</v>
      </c>
      <c r="R302" s="2">
        <v>336</v>
      </c>
      <c r="S302" s="2">
        <v>110.6168</v>
      </c>
      <c r="T302" s="2">
        <v>327</v>
      </c>
      <c r="U302" s="2">
        <v>0.19595399999999999</v>
      </c>
      <c r="V302" s="2">
        <v>301</v>
      </c>
      <c r="W302" s="2">
        <v>2011</v>
      </c>
    </row>
    <row r="303" spans="1:23" ht="12.3" x14ac:dyDescent="0.4">
      <c r="A303" s="2" t="s">
        <v>247</v>
      </c>
      <c r="B303" s="2"/>
      <c r="C303" s="2"/>
      <c r="D303" s="2"/>
      <c r="E303" s="2"/>
      <c r="F303" s="2"/>
      <c r="G303" s="2"/>
      <c r="H303" s="2"/>
      <c r="I303" s="2">
        <v>67.773899999999998</v>
      </c>
      <c r="J303" s="2">
        <v>127</v>
      </c>
      <c r="K303" s="2">
        <v>67.559899999999999</v>
      </c>
      <c r="L303" s="2">
        <v>120</v>
      </c>
      <c r="M303" s="2">
        <v>94.661600000000007</v>
      </c>
      <c r="N303" s="2">
        <v>292</v>
      </c>
      <c r="O303" s="2">
        <v>97.303600000000003</v>
      </c>
      <c r="P303" s="2">
        <v>253</v>
      </c>
      <c r="Q303" s="2">
        <v>110.2967</v>
      </c>
      <c r="R303" s="2">
        <v>333</v>
      </c>
      <c r="S303" s="2">
        <v>110.0882</v>
      </c>
      <c r="T303" s="2">
        <v>318</v>
      </c>
      <c r="U303" s="2">
        <v>0.19472</v>
      </c>
      <c r="V303" s="2">
        <v>302</v>
      </c>
      <c r="W303" s="2">
        <v>2011</v>
      </c>
    </row>
    <row r="304" spans="1:23" ht="12.3" x14ac:dyDescent="0.4">
      <c r="A304" s="2" t="s">
        <v>378</v>
      </c>
      <c r="B304" s="2"/>
      <c r="C304" s="2"/>
      <c r="D304" s="2"/>
      <c r="E304" s="2"/>
      <c r="F304" s="2"/>
      <c r="G304" s="2"/>
      <c r="H304" s="2"/>
      <c r="I304" s="2">
        <v>68.039100000000005</v>
      </c>
      <c r="J304" s="2">
        <v>109</v>
      </c>
      <c r="K304" s="2">
        <v>67.539299999999997</v>
      </c>
      <c r="L304" s="2">
        <v>123</v>
      </c>
      <c r="M304" s="2">
        <v>95.773700000000005</v>
      </c>
      <c r="N304" s="2">
        <v>281</v>
      </c>
      <c r="O304" s="2">
        <v>90.353499999999997</v>
      </c>
      <c r="P304" s="2">
        <v>326</v>
      </c>
      <c r="Q304" s="2">
        <v>100.3582</v>
      </c>
      <c r="R304" s="2">
        <v>138</v>
      </c>
      <c r="S304" s="2">
        <v>102.3582</v>
      </c>
      <c r="T304" s="2">
        <v>187</v>
      </c>
      <c r="U304" s="2">
        <v>0.19238</v>
      </c>
      <c r="V304" s="2">
        <v>303</v>
      </c>
      <c r="W304" s="2">
        <v>2011</v>
      </c>
    </row>
    <row r="305" spans="1:23" ht="12.3" x14ac:dyDescent="0.4">
      <c r="A305" s="2" t="s">
        <v>295</v>
      </c>
      <c r="B305" s="2"/>
      <c r="C305" s="2"/>
      <c r="D305" s="2"/>
      <c r="E305" s="2"/>
      <c r="F305" s="2"/>
      <c r="G305" s="2"/>
      <c r="H305" s="2"/>
      <c r="I305" s="2">
        <v>63.3979</v>
      </c>
      <c r="J305" s="2">
        <v>305</v>
      </c>
      <c r="K305" s="2">
        <v>64.070700000000002</v>
      </c>
      <c r="L305" s="2">
        <v>293</v>
      </c>
      <c r="M305" s="2">
        <v>92.886499999999998</v>
      </c>
      <c r="N305" s="2">
        <v>310</v>
      </c>
      <c r="O305" s="2">
        <v>91.930899999999994</v>
      </c>
      <c r="P305" s="2">
        <v>314</v>
      </c>
      <c r="Q305" s="2">
        <v>99.9285</v>
      </c>
      <c r="R305" s="2">
        <v>124</v>
      </c>
      <c r="S305" s="2">
        <v>104.1891</v>
      </c>
      <c r="T305" s="2">
        <v>230</v>
      </c>
      <c r="U305" s="2">
        <v>0.19162999999999999</v>
      </c>
      <c r="V305" s="2">
        <v>304</v>
      </c>
      <c r="W305" s="2">
        <v>2011</v>
      </c>
    </row>
    <row r="306" spans="1:23" ht="12.3" x14ac:dyDescent="0.4">
      <c r="A306" s="2" t="s">
        <v>298</v>
      </c>
      <c r="B306" s="2"/>
      <c r="C306" s="2"/>
      <c r="D306" s="2"/>
      <c r="E306" s="2"/>
      <c r="F306" s="2"/>
      <c r="G306" s="2"/>
      <c r="H306" s="2"/>
      <c r="I306" s="2">
        <v>66.734300000000005</v>
      </c>
      <c r="J306" s="2">
        <v>174</v>
      </c>
      <c r="K306" s="2">
        <v>66.623199999999997</v>
      </c>
      <c r="L306" s="2">
        <v>174</v>
      </c>
      <c r="M306" s="2">
        <v>94.658100000000005</v>
      </c>
      <c r="N306" s="2">
        <v>293</v>
      </c>
      <c r="O306" s="2">
        <v>95.347800000000007</v>
      </c>
      <c r="P306" s="2">
        <v>282</v>
      </c>
      <c r="Q306" s="2">
        <v>106.2426</v>
      </c>
      <c r="R306" s="2">
        <v>280</v>
      </c>
      <c r="S306" s="2">
        <v>108.3656</v>
      </c>
      <c r="T306" s="2">
        <v>302</v>
      </c>
      <c r="U306" s="2">
        <v>0.18667400000000001</v>
      </c>
      <c r="V306" s="2">
        <v>305</v>
      </c>
      <c r="W306" s="2">
        <v>2011</v>
      </c>
    </row>
    <row r="307" spans="1:23" ht="12.3" x14ac:dyDescent="0.4">
      <c r="A307" s="2" t="s">
        <v>315</v>
      </c>
      <c r="B307" s="2"/>
      <c r="C307" s="2"/>
      <c r="D307" s="2"/>
      <c r="E307" s="2"/>
      <c r="F307" s="2"/>
      <c r="G307" s="2"/>
      <c r="H307" s="2"/>
      <c r="I307" s="2">
        <v>61.713099999999997</v>
      </c>
      <c r="J307" s="2">
        <v>333</v>
      </c>
      <c r="K307" s="2">
        <v>62.878700000000002</v>
      </c>
      <c r="L307" s="2">
        <v>322</v>
      </c>
      <c r="M307" s="2">
        <v>95.883099999999999</v>
      </c>
      <c r="N307" s="2">
        <v>279</v>
      </c>
      <c r="O307" s="2">
        <v>96.810299999999998</v>
      </c>
      <c r="P307" s="2">
        <v>260</v>
      </c>
      <c r="Q307" s="2">
        <v>109.9555</v>
      </c>
      <c r="R307" s="2">
        <v>328</v>
      </c>
      <c r="S307" s="2">
        <v>110.17610000000001</v>
      </c>
      <c r="T307" s="2">
        <v>319</v>
      </c>
      <c r="U307" s="2">
        <v>0.184334</v>
      </c>
      <c r="V307" s="2">
        <v>306</v>
      </c>
      <c r="W307" s="2">
        <v>2011</v>
      </c>
    </row>
    <row r="308" spans="1:23" ht="12.3" x14ac:dyDescent="0.4">
      <c r="A308" s="2" t="s">
        <v>264</v>
      </c>
      <c r="B308" s="2"/>
      <c r="C308" s="2"/>
      <c r="D308" s="2"/>
      <c r="E308" s="2"/>
      <c r="F308" s="2"/>
      <c r="G308" s="2"/>
      <c r="H308" s="2"/>
      <c r="I308" s="2">
        <v>63.490299999999998</v>
      </c>
      <c r="J308" s="2">
        <v>304</v>
      </c>
      <c r="K308" s="2">
        <v>64.126099999999994</v>
      </c>
      <c r="L308" s="2">
        <v>289</v>
      </c>
      <c r="M308" s="2">
        <v>93.688500000000005</v>
      </c>
      <c r="N308" s="2">
        <v>297</v>
      </c>
      <c r="O308" s="2">
        <v>91.927700000000002</v>
      </c>
      <c r="P308" s="2">
        <v>315</v>
      </c>
      <c r="Q308" s="2">
        <v>103.92</v>
      </c>
      <c r="R308" s="2">
        <v>231</v>
      </c>
      <c r="S308" s="2">
        <v>104.8219</v>
      </c>
      <c r="T308" s="2">
        <v>241</v>
      </c>
      <c r="U308" s="2">
        <v>0.18101400000000001</v>
      </c>
      <c r="V308" s="2">
        <v>307</v>
      </c>
      <c r="W308" s="2">
        <v>2011</v>
      </c>
    </row>
    <row r="309" spans="1:23" ht="12.3" x14ac:dyDescent="0.4">
      <c r="A309" s="2" t="s">
        <v>265</v>
      </c>
      <c r="B309" s="2"/>
      <c r="C309" s="2"/>
      <c r="D309" s="2"/>
      <c r="E309" s="2"/>
      <c r="F309" s="2"/>
      <c r="G309" s="2"/>
      <c r="H309" s="2"/>
      <c r="I309" s="2">
        <v>61.470300000000002</v>
      </c>
      <c r="J309" s="2">
        <v>336</v>
      </c>
      <c r="K309" s="2">
        <v>61.368499999999997</v>
      </c>
      <c r="L309" s="2">
        <v>334</v>
      </c>
      <c r="M309" s="2">
        <v>98.335499999999996</v>
      </c>
      <c r="N309" s="2">
        <v>237</v>
      </c>
      <c r="O309" s="2">
        <v>96.635800000000003</v>
      </c>
      <c r="P309" s="2">
        <v>265</v>
      </c>
      <c r="Q309" s="2">
        <v>107.80889999999999</v>
      </c>
      <c r="R309" s="2">
        <v>306</v>
      </c>
      <c r="S309" s="2">
        <v>110.35</v>
      </c>
      <c r="T309" s="2">
        <v>322</v>
      </c>
      <c r="U309" s="2">
        <v>0.178559</v>
      </c>
      <c r="V309" s="2">
        <v>308</v>
      </c>
      <c r="W309" s="2">
        <v>2011</v>
      </c>
    </row>
    <row r="310" spans="1:23" ht="12.3" x14ac:dyDescent="0.4">
      <c r="A310" s="2" t="s">
        <v>139</v>
      </c>
      <c r="B310" s="2"/>
      <c r="C310" s="2"/>
      <c r="D310" s="2"/>
      <c r="E310" s="2"/>
      <c r="F310" s="2"/>
      <c r="G310" s="2"/>
      <c r="H310" s="2"/>
      <c r="I310" s="2">
        <v>63.875399999999999</v>
      </c>
      <c r="J310" s="2">
        <v>294</v>
      </c>
      <c r="K310" s="2">
        <v>63.7639</v>
      </c>
      <c r="L310" s="2">
        <v>301</v>
      </c>
      <c r="M310" s="2">
        <v>93.194100000000006</v>
      </c>
      <c r="N310" s="2">
        <v>305</v>
      </c>
      <c r="O310" s="2">
        <v>95.674400000000006</v>
      </c>
      <c r="P310" s="2">
        <v>276</v>
      </c>
      <c r="Q310" s="2">
        <v>108.0247</v>
      </c>
      <c r="R310" s="2">
        <v>310</v>
      </c>
      <c r="S310" s="2">
        <v>109.271</v>
      </c>
      <c r="T310" s="2">
        <v>307</v>
      </c>
      <c r="U310" s="2">
        <v>0.17826900000000001</v>
      </c>
      <c r="V310" s="2">
        <v>309</v>
      </c>
      <c r="W310" s="2">
        <v>2011</v>
      </c>
    </row>
    <row r="311" spans="1:23" ht="12.3" x14ac:dyDescent="0.4">
      <c r="A311" s="2" t="s">
        <v>359</v>
      </c>
      <c r="B311" s="2"/>
      <c r="C311" s="2"/>
      <c r="D311" s="2"/>
      <c r="E311" s="2"/>
      <c r="F311" s="2"/>
      <c r="G311" s="2"/>
      <c r="H311" s="2"/>
      <c r="I311" s="2">
        <v>72.3185</v>
      </c>
      <c r="J311" s="2">
        <v>16</v>
      </c>
      <c r="K311" s="2">
        <v>70.644199999999998</v>
      </c>
      <c r="L311" s="2">
        <v>30</v>
      </c>
      <c r="M311" s="2">
        <v>99.491699999999994</v>
      </c>
      <c r="N311" s="2">
        <v>213</v>
      </c>
      <c r="O311" s="2">
        <v>103.164</v>
      </c>
      <c r="P311" s="2">
        <v>137</v>
      </c>
      <c r="Q311" s="2">
        <v>116.116</v>
      </c>
      <c r="R311" s="2">
        <v>344</v>
      </c>
      <c r="S311" s="2">
        <v>117.86969999999999</v>
      </c>
      <c r="T311" s="2">
        <v>345</v>
      </c>
      <c r="U311" s="2">
        <v>0.17763000000000001</v>
      </c>
      <c r="V311" s="2">
        <v>310</v>
      </c>
      <c r="W311" s="2">
        <v>2011</v>
      </c>
    </row>
    <row r="312" spans="1:23" ht="12.3" x14ac:dyDescent="0.4">
      <c r="A312" s="2" t="s">
        <v>366</v>
      </c>
      <c r="B312" s="2"/>
      <c r="C312" s="2"/>
      <c r="D312" s="2"/>
      <c r="E312" s="2"/>
      <c r="F312" s="2"/>
      <c r="G312" s="2"/>
      <c r="H312" s="2"/>
      <c r="I312" s="2">
        <v>68.825400000000002</v>
      </c>
      <c r="J312" s="2">
        <v>75</v>
      </c>
      <c r="K312" s="2">
        <v>66.565299999999993</v>
      </c>
      <c r="L312" s="2">
        <v>175</v>
      </c>
      <c r="M312" s="2">
        <v>96.674400000000006</v>
      </c>
      <c r="N312" s="2">
        <v>269</v>
      </c>
      <c r="O312" s="2">
        <v>91.610500000000002</v>
      </c>
      <c r="P312" s="2">
        <v>316</v>
      </c>
      <c r="Q312" s="2">
        <v>101.9442</v>
      </c>
      <c r="R312" s="2">
        <v>187</v>
      </c>
      <c r="S312" s="2">
        <v>104.6885</v>
      </c>
      <c r="T312" s="2">
        <v>239</v>
      </c>
      <c r="U312" s="2">
        <v>0.17732200000000001</v>
      </c>
      <c r="V312" s="2">
        <v>311</v>
      </c>
      <c r="W312" s="2">
        <v>2011</v>
      </c>
    </row>
    <row r="313" spans="1:23" ht="12.3" x14ac:dyDescent="0.4">
      <c r="A313" s="2" t="s">
        <v>330</v>
      </c>
      <c r="B313" s="2"/>
      <c r="C313" s="2"/>
      <c r="D313" s="2"/>
      <c r="E313" s="2"/>
      <c r="F313" s="2"/>
      <c r="G313" s="2"/>
      <c r="H313" s="2"/>
      <c r="I313" s="2">
        <v>67.964200000000005</v>
      </c>
      <c r="J313" s="2">
        <v>114</v>
      </c>
      <c r="K313" s="2">
        <v>67.102500000000006</v>
      </c>
      <c r="L313" s="2">
        <v>148</v>
      </c>
      <c r="M313" s="2">
        <v>93.718000000000004</v>
      </c>
      <c r="N313" s="2">
        <v>296</v>
      </c>
      <c r="O313" s="2">
        <v>94.113200000000006</v>
      </c>
      <c r="P313" s="2">
        <v>294</v>
      </c>
      <c r="Q313" s="2">
        <v>106.346</v>
      </c>
      <c r="R313" s="2">
        <v>283</v>
      </c>
      <c r="S313" s="2">
        <v>107.5518</v>
      </c>
      <c r="T313" s="2">
        <v>284</v>
      </c>
      <c r="U313" s="2">
        <v>0.17727000000000001</v>
      </c>
      <c r="V313" s="2">
        <v>312</v>
      </c>
      <c r="W313" s="2">
        <v>2011</v>
      </c>
    </row>
    <row r="314" spans="1:23" ht="12.3" x14ac:dyDescent="0.4">
      <c r="A314" s="2" t="s">
        <v>371</v>
      </c>
      <c r="B314" s="2"/>
      <c r="C314" s="2"/>
      <c r="D314" s="2"/>
      <c r="E314" s="2"/>
      <c r="F314" s="2"/>
      <c r="G314" s="2"/>
      <c r="H314" s="2"/>
      <c r="I314" s="2">
        <v>66.706500000000005</v>
      </c>
      <c r="J314" s="2">
        <v>175</v>
      </c>
      <c r="K314" s="2">
        <v>67.021000000000001</v>
      </c>
      <c r="L314" s="2">
        <v>151</v>
      </c>
      <c r="M314" s="2">
        <v>97.278099999999995</v>
      </c>
      <c r="N314" s="2">
        <v>260</v>
      </c>
      <c r="O314" s="2">
        <v>95.585300000000004</v>
      </c>
      <c r="P314" s="2">
        <v>278</v>
      </c>
      <c r="Q314" s="2">
        <v>104.87130000000001</v>
      </c>
      <c r="R314" s="2">
        <v>257</v>
      </c>
      <c r="S314" s="2">
        <v>110.00660000000001</v>
      </c>
      <c r="T314" s="2">
        <v>315</v>
      </c>
      <c r="U314" s="2">
        <v>0.16575799999999999</v>
      </c>
      <c r="V314" s="2">
        <v>313</v>
      </c>
      <c r="W314" s="2">
        <v>2011</v>
      </c>
    </row>
    <row r="315" spans="1:23" ht="12.3" x14ac:dyDescent="0.4">
      <c r="A315" s="2" t="s">
        <v>208</v>
      </c>
      <c r="B315" s="2"/>
      <c r="C315" s="2"/>
      <c r="D315" s="2"/>
      <c r="E315" s="2"/>
      <c r="F315" s="2"/>
      <c r="G315" s="2"/>
      <c r="H315" s="2"/>
      <c r="I315" s="2">
        <v>61.990299999999998</v>
      </c>
      <c r="J315" s="2">
        <v>328</v>
      </c>
      <c r="K315" s="2">
        <v>61.448700000000002</v>
      </c>
      <c r="L315" s="2">
        <v>331</v>
      </c>
      <c r="M315" s="2">
        <v>95.948999999999998</v>
      </c>
      <c r="N315" s="2">
        <v>278</v>
      </c>
      <c r="O315" s="2">
        <v>95.254800000000003</v>
      </c>
      <c r="P315" s="2">
        <v>283</v>
      </c>
      <c r="Q315" s="2">
        <v>107.8014</v>
      </c>
      <c r="R315" s="2">
        <v>305</v>
      </c>
      <c r="S315" s="2">
        <v>109.71980000000001</v>
      </c>
      <c r="T315" s="2">
        <v>311</v>
      </c>
      <c r="U315" s="2">
        <v>0.164405</v>
      </c>
      <c r="V315" s="2">
        <v>314</v>
      </c>
      <c r="W315" s="2">
        <v>2011</v>
      </c>
    </row>
    <row r="316" spans="1:23" ht="12.3" x14ac:dyDescent="0.4">
      <c r="A316" s="2" t="s">
        <v>299</v>
      </c>
      <c r="B316" s="2"/>
      <c r="C316" s="2"/>
      <c r="D316" s="2"/>
      <c r="E316" s="2"/>
      <c r="F316" s="2"/>
      <c r="G316" s="2"/>
      <c r="H316" s="2"/>
      <c r="I316" s="2">
        <v>73.912999999999997</v>
      </c>
      <c r="J316" s="2">
        <v>9</v>
      </c>
      <c r="K316" s="2">
        <v>72.547300000000007</v>
      </c>
      <c r="L316" s="2">
        <v>10</v>
      </c>
      <c r="M316" s="2">
        <v>91.874099999999999</v>
      </c>
      <c r="N316" s="2">
        <v>320</v>
      </c>
      <c r="O316" s="2">
        <v>92.700500000000005</v>
      </c>
      <c r="P316" s="2">
        <v>307</v>
      </c>
      <c r="Q316" s="2">
        <v>100.6129</v>
      </c>
      <c r="R316" s="2">
        <v>145</v>
      </c>
      <c r="S316" s="2">
        <v>106.8019</v>
      </c>
      <c r="T316" s="2">
        <v>274</v>
      </c>
      <c r="U316" s="2">
        <v>0.164047</v>
      </c>
      <c r="V316" s="2">
        <v>315</v>
      </c>
      <c r="W316" s="2">
        <v>2011</v>
      </c>
    </row>
    <row r="317" spans="1:23" ht="12.3" x14ac:dyDescent="0.4">
      <c r="A317" s="2" t="s">
        <v>370</v>
      </c>
      <c r="B317" s="2"/>
      <c r="C317" s="2"/>
      <c r="D317" s="2"/>
      <c r="E317" s="2"/>
      <c r="F317" s="2"/>
      <c r="G317" s="2"/>
      <c r="H317" s="2"/>
      <c r="I317" s="2">
        <v>69.853399999999993</v>
      </c>
      <c r="J317" s="2">
        <v>42</v>
      </c>
      <c r="K317" s="2">
        <v>69.560100000000006</v>
      </c>
      <c r="L317" s="2">
        <v>46</v>
      </c>
      <c r="M317" s="2">
        <v>96.727099999999993</v>
      </c>
      <c r="N317" s="2">
        <v>267</v>
      </c>
      <c r="O317" s="2">
        <v>95.019599999999997</v>
      </c>
      <c r="P317" s="2">
        <v>286</v>
      </c>
      <c r="Q317" s="2">
        <v>109.9648</v>
      </c>
      <c r="R317" s="2">
        <v>329</v>
      </c>
      <c r="S317" s="2">
        <v>109.54470000000001</v>
      </c>
      <c r="T317" s="2">
        <v>309</v>
      </c>
      <c r="U317" s="2">
        <v>0.16302800000000001</v>
      </c>
      <c r="V317" s="2">
        <v>316</v>
      </c>
      <c r="W317" s="2">
        <v>2011</v>
      </c>
    </row>
    <row r="318" spans="1:23" ht="12.3" x14ac:dyDescent="0.4">
      <c r="A318" s="2" t="s">
        <v>361</v>
      </c>
      <c r="B318" s="2"/>
      <c r="C318" s="2"/>
      <c r="D318" s="2"/>
      <c r="E318" s="2"/>
      <c r="F318" s="2"/>
      <c r="G318" s="2"/>
      <c r="H318" s="2"/>
      <c r="I318" s="2">
        <v>66.029200000000003</v>
      </c>
      <c r="J318" s="2">
        <v>206</v>
      </c>
      <c r="K318" s="2">
        <v>64.978200000000001</v>
      </c>
      <c r="L318" s="2">
        <v>254</v>
      </c>
      <c r="M318" s="2">
        <v>95.852599999999995</v>
      </c>
      <c r="N318" s="2">
        <v>280</v>
      </c>
      <c r="O318" s="2">
        <v>97.884600000000006</v>
      </c>
      <c r="P318" s="2">
        <v>246</v>
      </c>
      <c r="Q318" s="2">
        <v>111.98560000000001</v>
      </c>
      <c r="R318" s="2">
        <v>338</v>
      </c>
      <c r="S318" s="2">
        <v>113.0692</v>
      </c>
      <c r="T318" s="2">
        <v>339</v>
      </c>
      <c r="U318" s="2">
        <v>0.15997400000000001</v>
      </c>
      <c r="V318" s="2">
        <v>317</v>
      </c>
      <c r="W318" s="2">
        <v>2011</v>
      </c>
    </row>
    <row r="319" spans="1:23" ht="12.3" x14ac:dyDescent="0.4">
      <c r="A319" s="2" t="s">
        <v>143</v>
      </c>
      <c r="B319" s="2"/>
      <c r="C319" s="2"/>
      <c r="D319" s="2"/>
      <c r="E319" s="2"/>
      <c r="F319" s="2"/>
      <c r="G319" s="2"/>
      <c r="H319" s="2"/>
      <c r="I319" s="2">
        <v>66.453800000000001</v>
      </c>
      <c r="J319" s="2">
        <v>184</v>
      </c>
      <c r="K319" s="2">
        <v>65.679000000000002</v>
      </c>
      <c r="L319" s="2">
        <v>226</v>
      </c>
      <c r="M319" s="2">
        <v>90.395200000000003</v>
      </c>
      <c r="N319" s="2">
        <v>324</v>
      </c>
      <c r="O319" s="2">
        <v>94.714600000000004</v>
      </c>
      <c r="P319" s="2">
        <v>289</v>
      </c>
      <c r="Q319" s="2">
        <v>108.8927</v>
      </c>
      <c r="R319" s="2">
        <v>317</v>
      </c>
      <c r="S319" s="2">
        <v>109.78279999999999</v>
      </c>
      <c r="T319" s="2">
        <v>313</v>
      </c>
      <c r="U319" s="2">
        <v>0.154752</v>
      </c>
      <c r="V319" s="2">
        <v>318</v>
      </c>
      <c r="W319" s="2">
        <v>2011</v>
      </c>
    </row>
    <row r="320" spans="1:23" ht="12.3" x14ac:dyDescent="0.4">
      <c r="A320" s="2" t="s">
        <v>302</v>
      </c>
      <c r="B320" s="2"/>
      <c r="C320" s="2"/>
      <c r="D320" s="2"/>
      <c r="E320" s="2"/>
      <c r="F320" s="2"/>
      <c r="G320" s="2"/>
      <c r="H320" s="2"/>
      <c r="I320" s="2">
        <v>64.197800000000001</v>
      </c>
      <c r="J320" s="2">
        <v>280</v>
      </c>
      <c r="K320" s="2">
        <v>64.670199999999994</v>
      </c>
      <c r="L320" s="2">
        <v>265</v>
      </c>
      <c r="M320" s="2">
        <v>92.721100000000007</v>
      </c>
      <c r="N320" s="2">
        <v>314</v>
      </c>
      <c r="O320" s="2">
        <v>92.896900000000002</v>
      </c>
      <c r="P320" s="2">
        <v>305</v>
      </c>
      <c r="Q320" s="2">
        <v>108.0039</v>
      </c>
      <c r="R320" s="2">
        <v>309</v>
      </c>
      <c r="S320" s="2">
        <v>107.99769999999999</v>
      </c>
      <c r="T320" s="2">
        <v>296</v>
      </c>
      <c r="U320" s="2">
        <v>0.150315</v>
      </c>
      <c r="V320" s="2">
        <v>319</v>
      </c>
      <c r="W320" s="2">
        <v>2011</v>
      </c>
    </row>
    <row r="321" spans="1:23" ht="12.3" x14ac:dyDescent="0.4">
      <c r="A321" s="2" t="s">
        <v>276</v>
      </c>
      <c r="B321" s="2"/>
      <c r="C321" s="2"/>
      <c r="D321" s="2"/>
      <c r="E321" s="2"/>
      <c r="F321" s="2"/>
      <c r="G321" s="2"/>
      <c r="H321" s="2"/>
      <c r="I321" s="2">
        <v>65.992000000000004</v>
      </c>
      <c r="J321" s="2">
        <v>211</v>
      </c>
      <c r="K321" s="2">
        <v>65.936999999999998</v>
      </c>
      <c r="L321" s="2">
        <v>212</v>
      </c>
      <c r="M321" s="2">
        <v>91.075999999999993</v>
      </c>
      <c r="N321" s="2">
        <v>322</v>
      </c>
      <c r="O321" s="2">
        <v>92.122600000000006</v>
      </c>
      <c r="P321" s="2">
        <v>313</v>
      </c>
      <c r="Q321" s="2">
        <v>106.9896</v>
      </c>
      <c r="R321" s="2">
        <v>292</v>
      </c>
      <c r="S321" s="2">
        <v>107.3168</v>
      </c>
      <c r="T321" s="2">
        <v>279</v>
      </c>
      <c r="U321" s="2">
        <v>0.147338</v>
      </c>
      <c r="V321" s="2">
        <v>320</v>
      </c>
      <c r="W321" s="2">
        <v>2011</v>
      </c>
    </row>
    <row r="322" spans="1:23" ht="12.3" x14ac:dyDescent="0.4">
      <c r="A322" s="2" t="s">
        <v>272</v>
      </c>
      <c r="B322" s="2"/>
      <c r="C322" s="2"/>
      <c r="D322" s="2"/>
      <c r="E322" s="2"/>
      <c r="F322" s="2"/>
      <c r="G322" s="2"/>
      <c r="H322" s="2"/>
      <c r="I322" s="2">
        <v>70.909599999999998</v>
      </c>
      <c r="J322" s="2">
        <v>29</v>
      </c>
      <c r="K322" s="2">
        <v>70.274299999999997</v>
      </c>
      <c r="L322" s="2">
        <v>37</v>
      </c>
      <c r="M322" s="2">
        <v>88.3476</v>
      </c>
      <c r="N322" s="2">
        <v>333</v>
      </c>
      <c r="O322" s="2">
        <v>87.4512</v>
      </c>
      <c r="P322" s="2">
        <v>338</v>
      </c>
      <c r="Q322" s="2">
        <v>93.552599999999998</v>
      </c>
      <c r="R322" s="2">
        <v>22</v>
      </c>
      <c r="S322" s="2">
        <v>102.2009</v>
      </c>
      <c r="T322" s="2">
        <v>179</v>
      </c>
      <c r="U322" s="2">
        <v>0.14278099999999999</v>
      </c>
      <c r="V322" s="2">
        <v>321</v>
      </c>
      <c r="W322" s="2">
        <v>2011</v>
      </c>
    </row>
    <row r="323" spans="1:23" ht="12.3" x14ac:dyDescent="0.4">
      <c r="A323" s="2" t="s">
        <v>327</v>
      </c>
      <c r="B323" s="2"/>
      <c r="C323" s="2"/>
      <c r="D323" s="2"/>
      <c r="E323" s="2"/>
      <c r="F323" s="2"/>
      <c r="G323" s="2"/>
      <c r="H323" s="2"/>
      <c r="I323" s="2">
        <v>66.402900000000002</v>
      </c>
      <c r="J323" s="2">
        <v>188</v>
      </c>
      <c r="K323" s="2">
        <v>66.447699999999998</v>
      </c>
      <c r="L323" s="2">
        <v>183</v>
      </c>
      <c r="M323" s="2">
        <v>89.243899999999996</v>
      </c>
      <c r="N323" s="2">
        <v>329</v>
      </c>
      <c r="O323" s="2">
        <v>90.316500000000005</v>
      </c>
      <c r="P323" s="2">
        <v>328</v>
      </c>
      <c r="Q323" s="2">
        <v>106.40089999999999</v>
      </c>
      <c r="R323" s="2">
        <v>285</v>
      </c>
      <c r="S323" s="2">
        <v>105.55800000000001</v>
      </c>
      <c r="T323" s="2">
        <v>255</v>
      </c>
      <c r="U323" s="2">
        <v>0.14266599999999999</v>
      </c>
      <c r="V323" s="2">
        <v>322</v>
      </c>
      <c r="W323" s="2">
        <v>2011</v>
      </c>
    </row>
    <row r="324" spans="1:23" ht="12.3" x14ac:dyDescent="0.4">
      <c r="A324" s="2" t="s">
        <v>344</v>
      </c>
      <c r="B324" s="2"/>
      <c r="C324" s="2"/>
      <c r="D324" s="2"/>
      <c r="E324" s="2"/>
      <c r="F324" s="2"/>
      <c r="G324" s="2"/>
      <c r="H324" s="2"/>
      <c r="I324" s="2">
        <v>67.3262</v>
      </c>
      <c r="J324" s="2">
        <v>150</v>
      </c>
      <c r="K324" s="2">
        <v>67.336399999999998</v>
      </c>
      <c r="L324" s="2">
        <v>135</v>
      </c>
      <c r="M324" s="2">
        <v>93.557299999999998</v>
      </c>
      <c r="N324" s="2">
        <v>299</v>
      </c>
      <c r="O324" s="2">
        <v>92.200699999999998</v>
      </c>
      <c r="P324" s="2">
        <v>312</v>
      </c>
      <c r="Q324" s="2">
        <v>106.2842</v>
      </c>
      <c r="R324" s="2">
        <v>281</v>
      </c>
      <c r="S324" s="2">
        <v>107.86490000000001</v>
      </c>
      <c r="T324" s="2">
        <v>294</v>
      </c>
      <c r="U324" s="2">
        <v>0.14130599999999999</v>
      </c>
      <c r="V324" s="2">
        <v>323</v>
      </c>
      <c r="W324" s="2">
        <v>2011</v>
      </c>
    </row>
    <row r="325" spans="1:23" ht="12.3" x14ac:dyDescent="0.4">
      <c r="A325" s="2" t="s">
        <v>367</v>
      </c>
      <c r="B325" s="2"/>
      <c r="C325" s="2"/>
      <c r="D325" s="2"/>
      <c r="E325" s="2"/>
      <c r="F325" s="2"/>
      <c r="G325" s="2"/>
      <c r="H325" s="2"/>
      <c r="I325" s="2">
        <v>64.373699999999999</v>
      </c>
      <c r="J325" s="2">
        <v>276</v>
      </c>
      <c r="K325" s="2">
        <v>64.395799999999994</v>
      </c>
      <c r="L325" s="2">
        <v>278</v>
      </c>
      <c r="M325" s="2">
        <v>89.061400000000006</v>
      </c>
      <c r="N325" s="2">
        <v>331</v>
      </c>
      <c r="O325" s="2">
        <v>91.467299999999994</v>
      </c>
      <c r="P325" s="2">
        <v>317</v>
      </c>
      <c r="Q325" s="2">
        <v>107.12390000000001</v>
      </c>
      <c r="R325" s="2">
        <v>295</v>
      </c>
      <c r="S325" s="2">
        <v>107.8152</v>
      </c>
      <c r="T325" s="2">
        <v>292</v>
      </c>
      <c r="U325" s="2">
        <v>0.13112699999999999</v>
      </c>
      <c r="V325" s="2">
        <v>324</v>
      </c>
      <c r="W325" s="2">
        <v>2011</v>
      </c>
    </row>
    <row r="326" spans="1:23" ht="12.3" x14ac:dyDescent="0.4">
      <c r="A326" s="2" t="s">
        <v>301</v>
      </c>
      <c r="B326" s="2"/>
      <c r="C326" s="2"/>
      <c r="D326" s="2"/>
      <c r="E326" s="2"/>
      <c r="F326" s="2"/>
      <c r="G326" s="2"/>
      <c r="H326" s="2"/>
      <c r="I326" s="2">
        <v>67.807699999999997</v>
      </c>
      <c r="J326" s="2">
        <v>126</v>
      </c>
      <c r="K326" s="2">
        <v>67.6173</v>
      </c>
      <c r="L326" s="2">
        <v>117</v>
      </c>
      <c r="M326" s="2">
        <v>89.258399999999995</v>
      </c>
      <c r="N326" s="2">
        <v>328</v>
      </c>
      <c r="O326" s="2">
        <v>88.266199999999998</v>
      </c>
      <c r="P326" s="2">
        <v>334</v>
      </c>
      <c r="Q326" s="2">
        <v>100.61</v>
      </c>
      <c r="R326" s="2">
        <v>144</v>
      </c>
      <c r="S326" s="2">
        <v>104.5772</v>
      </c>
      <c r="T326" s="2">
        <v>237</v>
      </c>
      <c r="U326" s="2">
        <v>0.12454900000000001</v>
      </c>
      <c r="V326" s="2">
        <v>325</v>
      </c>
      <c r="W326" s="2">
        <v>2011</v>
      </c>
    </row>
    <row r="327" spans="1:23" ht="12.3" x14ac:dyDescent="0.4">
      <c r="A327" s="2" t="s">
        <v>288</v>
      </c>
      <c r="B327" s="2"/>
      <c r="C327" s="2"/>
      <c r="D327" s="2"/>
      <c r="E327" s="2"/>
      <c r="F327" s="2"/>
      <c r="G327" s="2"/>
      <c r="H327" s="2"/>
      <c r="I327" s="2">
        <v>67.840999999999994</v>
      </c>
      <c r="J327" s="2">
        <v>123</v>
      </c>
      <c r="K327" s="2">
        <v>68.361999999999995</v>
      </c>
      <c r="L327" s="2">
        <v>77</v>
      </c>
      <c r="M327" s="2">
        <v>93.463899999999995</v>
      </c>
      <c r="N327" s="2">
        <v>300</v>
      </c>
      <c r="O327" s="2">
        <v>90.373599999999996</v>
      </c>
      <c r="P327" s="2">
        <v>325</v>
      </c>
      <c r="Q327" s="2">
        <v>105.0852</v>
      </c>
      <c r="R327" s="2">
        <v>260</v>
      </c>
      <c r="S327" s="2">
        <v>107.5594</v>
      </c>
      <c r="T327" s="2">
        <v>285</v>
      </c>
      <c r="U327" s="2">
        <v>0.118988</v>
      </c>
      <c r="V327" s="2">
        <v>326</v>
      </c>
      <c r="W327" s="2">
        <v>2011</v>
      </c>
    </row>
    <row r="328" spans="1:23" ht="12.3" x14ac:dyDescent="0.4">
      <c r="A328" s="2" t="s">
        <v>193</v>
      </c>
      <c r="B328" s="2"/>
      <c r="C328" s="2"/>
      <c r="D328" s="2"/>
      <c r="E328" s="2"/>
      <c r="F328" s="2"/>
      <c r="G328" s="2"/>
      <c r="H328" s="2"/>
      <c r="I328" s="2">
        <v>63.1203</v>
      </c>
      <c r="J328" s="2">
        <v>310</v>
      </c>
      <c r="K328" s="2">
        <v>63.025500000000001</v>
      </c>
      <c r="L328" s="2">
        <v>316</v>
      </c>
      <c r="M328" s="2">
        <v>93.063900000000004</v>
      </c>
      <c r="N328" s="2">
        <v>308</v>
      </c>
      <c r="O328" s="2">
        <v>94.272099999999995</v>
      </c>
      <c r="P328" s="2">
        <v>292</v>
      </c>
      <c r="Q328" s="2">
        <v>109.5155</v>
      </c>
      <c r="R328" s="2">
        <v>322</v>
      </c>
      <c r="S328" s="2">
        <v>112.21729999999999</v>
      </c>
      <c r="T328" s="2">
        <v>335</v>
      </c>
      <c r="U328" s="2">
        <v>0.118795</v>
      </c>
      <c r="V328" s="2">
        <v>327</v>
      </c>
      <c r="W328" s="2">
        <v>2011</v>
      </c>
    </row>
    <row r="329" spans="1:23" ht="12.3" x14ac:dyDescent="0.4">
      <c r="A329" s="2" t="s">
        <v>329</v>
      </c>
      <c r="B329" s="2" t="e">
        <v>#N/A</v>
      </c>
      <c r="C329" s="2"/>
      <c r="D329" s="2"/>
      <c r="E329" s="2"/>
      <c r="F329" s="2"/>
      <c r="G329" s="2"/>
      <c r="H329" s="2"/>
      <c r="I329" s="2">
        <v>69.42</v>
      </c>
      <c r="J329" s="2">
        <v>54</v>
      </c>
      <c r="K329" s="2">
        <v>67.501000000000005</v>
      </c>
      <c r="L329" s="2">
        <v>126</v>
      </c>
      <c r="M329" s="2">
        <v>86.467799999999997</v>
      </c>
      <c r="N329" s="2">
        <v>339</v>
      </c>
      <c r="O329" s="2">
        <v>88.005099999999999</v>
      </c>
      <c r="P329" s="2">
        <v>336</v>
      </c>
      <c r="Q329" s="2">
        <v>96.955600000000004</v>
      </c>
      <c r="R329" s="2">
        <v>65</v>
      </c>
      <c r="S329" s="2">
        <v>105.65649999999999</v>
      </c>
      <c r="T329" s="2">
        <v>258</v>
      </c>
      <c r="U329" s="2">
        <v>0.108885</v>
      </c>
      <c r="V329" s="2">
        <v>328</v>
      </c>
      <c r="W329" s="2">
        <v>2011</v>
      </c>
    </row>
    <row r="330" spans="1:23" ht="12.3" x14ac:dyDescent="0.4">
      <c r="A330" s="2" t="s">
        <v>153</v>
      </c>
      <c r="B330" s="2" t="e">
        <v>#N/A</v>
      </c>
      <c r="C330" s="2"/>
      <c r="D330" s="2"/>
      <c r="E330" s="2"/>
      <c r="F330" s="2"/>
      <c r="G330" s="2"/>
      <c r="H330" s="2"/>
      <c r="I330" s="2">
        <v>68.189899999999994</v>
      </c>
      <c r="J330" s="2">
        <v>100</v>
      </c>
      <c r="K330" s="2">
        <v>67.356200000000001</v>
      </c>
      <c r="L330" s="2">
        <v>134</v>
      </c>
      <c r="M330" s="2">
        <v>90.890299999999996</v>
      </c>
      <c r="N330" s="2">
        <v>323</v>
      </c>
      <c r="O330" s="2">
        <v>88.298100000000005</v>
      </c>
      <c r="P330" s="2">
        <v>333</v>
      </c>
      <c r="Q330" s="2">
        <v>109.1617</v>
      </c>
      <c r="R330" s="2">
        <v>319</v>
      </c>
      <c r="S330" s="2">
        <v>106.342</v>
      </c>
      <c r="T330" s="2">
        <v>266</v>
      </c>
      <c r="U330" s="2">
        <v>0.10542700000000001</v>
      </c>
      <c r="V330" s="2">
        <v>329</v>
      </c>
      <c r="W330" s="2">
        <v>2011</v>
      </c>
    </row>
    <row r="331" spans="1:23" ht="12.3" x14ac:dyDescent="0.4">
      <c r="A331" s="2" t="s">
        <v>321</v>
      </c>
      <c r="B331" s="2" t="e">
        <v>#N/A</v>
      </c>
      <c r="C331" s="2"/>
      <c r="D331" s="2"/>
      <c r="E331" s="2"/>
      <c r="F331" s="2"/>
      <c r="G331" s="2"/>
      <c r="H331" s="2"/>
      <c r="I331" s="2">
        <v>69.653899999999993</v>
      </c>
      <c r="J331" s="2">
        <v>44</v>
      </c>
      <c r="K331" s="2">
        <v>70.514200000000002</v>
      </c>
      <c r="L331" s="2">
        <v>32</v>
      </c>
      <c r="M331" s="2">
        <v>92.596199999999996</v>
      </c>
      <c r="N331" s="2">
        <v>315</v>
      </c>
      <c r="O331" s="2">
        <v>91.280799999999999</v>
      </c>
      <c r="P331" s="2">
        <v>320</v>
      </c>
      <c r="Q331" s="2">
        <v>110.2041</v>
      </c>
      <c r="R331" s="2">
        <v>331</v>
      </c>
      <c r="S331" s="2">
        <v>110.79859999999999</v>
      </c>
      <c r="T331" s="2">
        <v>330</v>
      </c>
      <c r="U331" s="2">
        <v>9.7228999999999996E-2</v>
      </c>
      <c r="V331" s="2">
        <v>330</v>
      </c>
      <c r="W331" s="2">
        <v>2011</v>
      </c>
    </row>
    <row r="332" spans="1:23" ht="12.3" x14ac:dyDescent="0.4">
      <c r="A332" s="2" t="s">
        <v>223</v>
      </c>
      <c r="B332" s="2" t="e">
        <v>#N/A</v>
      </c>
      <c r="C332" s="2"/>
      <c r="D332" s="2"/>
      <c r="E332" s="2"/>
      <c r="F332" s="2"/>
      <c r="G332" s="2"/>
      <c r="H332" s="2"/>
      <c r="I332" s="2">
        <v>67.465299999999999</v>
      </c>
      <c r="J332" s="2">
        <v>141</v>
      </c>
      <c r="K332" s="2">
        <v>67.971199999999996</v>
      </c>
      <c r="L332" s="2">
        <v>102</v>
      </c>
      <c r="M332" s="2">
        <v>85.398700000000005</v>
      </c>
      <c r="N332" s="2">
        <v>342</v>
      </c>
      <c r="O332" s="2">
        <v>86.184299999999993</v>
      </c>
      <c r="P332" s="2">
        <v>340</v>
      </c>
      <c r="Q332" s="2">
        <v>105.8974</v>
      </c>
      <c r="R332" s="2">
        <v>274</v>
      </c>
      <c r="S332" s="2">
        <v>105.38120000000001</v>
      </c>
      <c r="T332" s="2">
        <v>250</v>
      </c>
      <c r="U332" s="2">
        <v>9.0084999999999998E-2</v>
      </c>
      <c r="V332" s="2">
        <v>331</v>
      </c>
      <c r="W332" s="2">
        <v>2011</v>
      </c>
    </row>
    <row r="333" spans="1:23" ht="12.3" x14ac:dyDescent="0.4">
      <c r="A333" s="2" t="s">
        <v>252</v>
      </c>
      <c r="B333" s="2" t="e">
        <v>#N/A</v>
      </c>
      <c r="C333" s="2"/>
      <c r="D333" s="2"/>
      <c r="E333" s="2"/>
      <c r="F333" s="2"/>
      <c r="G333" s="2"/>
      <c r="H333" s="2"/>
      <c r="I333" s="2">
        <v>67.143500000000003</v>
      </c>
      <c r="J333" s="2">
        <v>163</v>
      </c>
      <c r="K333" s="2">
        <v>68.388599999999997</v>
      </c>
      <c r="L333" s="2">
        <v>76</v>
      </c>
      <c r="M333" s="2">
        <v>94.394900000000007</v>
      </c>
      <c r="N333" s="2">
        <v>295</v>
      </c>
      <c r="O333" s="2">
        <v>95.840699999999998</v>
      </c>
      <c r="P333" s="2">
        <v>274</v>
      </c>
      <c r="Q333" s="2">
        <v>115.2591</v>
      </c>
      <c r="R333" s="2">
        <v>343</v>
      </c>
      <c r="S333" s="2">
        <v>117.2394</v>
      </c>
      <c r="T333" s="2">
        <v>344</v>
      </c>
      <c r="U333" s="2">
        <v>8.9675000000000005E-2</v>
      </c>
      <c r="V333" s="2">
        <v>332</v>
      </c>
      <c r="W333" s="2">
        <v>2011</v>
      </c>
    </row>
    <row r="334" spans="1:23" ht="12.3" x14ac:dyDescent="0.4">
      <c r="A334" s="2" t="s">
        <v>202</v>
      </c>
      <c r="B334" s="2" t="e">
        <v>#N/A</v>
      </c>
      <c r="C334" s="2"/>
      <c r="D334" s="2"/>
      <c r="E334" s="2"/>
      <c r="F334" s="2"/>
      <c r="G334" s="2"/>
      <c r="H334" s="2"/>
      <c r="I334" s="2">
        <v>69.068399999999997</v>
      </c>
      <c r="J334" s="2">
        <v>66</v>
      </c>
      <c r="K334" s="2">
        <v>66.927700000000002</v>
      </c>
      <c r="L334" s="2">
        <v>159</v>
      </c>
      <c r="M334" s="2">
        <v>95.016300000000001</v>
      </c>
      <c r="N334" s="2">
        <v>288</v>
      </c>
      <c r="O334" s="2">
        <v>92.628</v>
      </c>
      <c r="P334" s="2">
        <v>309</v>
      </c>
      <c r="Q334" s="2">
        <v>109.7107</v>
      </c>
      <c r="R334" s="2">
        <v>325</v>
      </c>
      <c r="S334" s="2">
        <v>113.7667</v>
      </c>
      <c r="T334" s="2">
        <v>341</v>
      </c>
      <c r="U334" s="2">
        <v>8.5966000000000001E-2</v>
      </c>
      <c r="V334" s="2">
        <v>333</v>
      </c>
      <c r="W334" s="2">
        <v>2011</v>
      </c>
    </row>
    <row r="335" spans="1:23" ht="12.3" x14ac:dyDescent="0.4">
      <c r="A335" s="2" t="s">
        <v>342</v>
      </c>
      <c r="B335" s="2" t="e">
        <v>#N/A</v>
      </c>
      <c r="C335" s="2"/>
      <c r="D335" s="2"/>
      <c r="E335" s="2"/>
      <c r="F335" s="2"/>
      <c r="G335" s="2"/>
      <c r="H335" s="2"/>
      <c r="I335" s="2">
        <v>68.9495</v>
      </c>
      <c r="J335" s="2">
        <v>73</v>
      </c>
      <c r="K335" s="2">
        <v>67.703699999999998</v>
      </c>
      <c r="L335" s="2">
        <v>113</v>
      </c>
      <c r="M335" s="2">
        <v>86.381600000000006</v>
      </c>
      <c r="N335" s="2">
        <v>341</v>
      </c>
      <c r="O335" s="2">
        <v>84.794499999999999</v>
      </c>
      <c r="P335" s="2">
        <v>343</v>
      </c>
      <c r="Q335" s="2">
        <v>102.0125</v>
      </c>
      <c r="R335" s="2">
        <v>188</v>
      </c>
      <c r="S335" s="2">
        <v>104.2192</v>
      </c>
      <c r="T335" s="2">
        <v>231</v>
      </c>
      <c r="U335" s="2">
        <v>8.5329000000000002E-2</v>
      </c>
      <c r="V335" s="2">
        <v>334</v>
      </c>
      <c r="W335" s="2">
        <v>2011</v>
      </c>
    </row>
    <row r="336" spans="1:23" ht="12.3" x14ac:dyDescent="0.4">
      <c r="A336" s="2" t="s">
        <v>285</v>
      </c>
      <c r="B336" s="2" t="e">
        <v>#N/A</v>
      </c>
      <c r="C336" s="2"/>
      <c r="D336" s="2"/>
      <c r="E336" s="2"/>
      <c r="F336" s="2"/>
      <c r="G336" s="2"/>
      <c r="H336" s="2"/>
      <c r="I336" s="2">
        <v>62.761600000000001</v>
      </c>
      <c r="J336" s="2">
        <v>316</v>
      </c>
      <c r="K336" s="2">
        <v>62.417000000000002</v>
      </c>
      <c r="L336" s="2">
        <v>326</v>
      </c>
      <c r="M336" s="2">
        <v>89.155600000000007</v>
      </c>
      <c r="N336" s="2">
        <v>330</v>
      </c>
      <c r="O336" s="2">
        <v>86.795699999999997</v>
      </c>
      <c r="P336" s="2">
        <v>339</v>
      </c>
      <c r="Q336" s="2">
        <v>105.96769999999999</v>
      </c>
      <c r="R336" s="2">
        <v>276</v>
      </c>
      <c r="S336" s="2">
        <v>106.7959</v>
      </c>
      <c r="T336" s="2">
        <v>273</v>
      </c>
      <c r="U336" s="2">
        <v>8.4348999999999993E-2</v>
      </c>
      <c r="V336" s="2">
        <v>335</v>
      </c>
      <c r="W336" s="2">
        <v>2011</v>
      </c>
    </row>
    <row r="337" spans="1:23" ht="12.3" x14ac:dyDescent="0.4">
      <c r="A337" s="2" t="s">
        <v>186</v>
      </c>
      <c r="B337" s="2" t="e">
        <v>#N/A</v>
      </c>
      <c r="C337" s="2"/>
      <c r="D337" s="2"/>
      <c r="E337" s="2"/>
      <c r="F337" s="2"/>
      <c r="G337" s="2"/>
      <c r="H337" s="2"/>
      <c r="I337" s="2">
        <v>64.247299999999996</v>
      </c>
      <c r="J337" s="2">
        <v>279</v>
      </c>
      <c r="K337" s="2">
        <v>64.432599999999994</v>
      </c>
      <c r="L337" s="2">
        <v>274</v>
      </c>
      <c r="M337" s="2">
        <v>88.331800000000001</v>
      </c>
      <c r="N337" s="2">
        <v>334</v>
      </c>
      <c r="O337" s="2">
        <v>90.693899999999999</v>
      </c>
      <c r="P337" s="2">
        <v>322</v>
      </c>
      <c r="Q337" s="2">
        <v>109.8302</v>
      </c>
      <c r="R337" s="2">
        <v>326</v>
      </c>
      <c r="S337" s="2">
        <v>112.06010000000001</v>
      </c>
      <c r="T337" s="2">
        <v>334</v>
      </c>
      <c r="U337" s="2">
        <v>8.0708000000000002E-2</v>
      </c>
      <c r="V337" s="2">
        <v>336</v>
      </c>
      <c r="W337" s="2">
        <v>2011</v>
      </c>
    </row>
    <row r="338" spans="1:23" ht="12.3" x14ac:dyDescent="0.4">
      <c r="A338" s="2" t="s">
        <v>364</v>
      </c>
      <c r="B338" s="2" t="e">
        <v>#N/A</v>
      </c>
      <c r="C338" s="2"/>
      <c r="D338" s="2"/>
      <c r="E338" s="2"/>
      <c r="F338" s="2"/>
      <c r="G338" s="2"/>
      <c r="H338" s="2"/>
      <c r="I338" s="2">
        <v>71.833500000000001</v>
      </c>
      <c r="J338" s="2">
        <v>21</v>
      </c>
      <c r="K338" s="2">
        <v>71.261200000000002</v>
      </c>
      <c r="L338" s="2">
        <v>22</v>
      </c>
      <c r="M338" s="2">
        <v>91.641900000000007</v>
      </c>
      <c r="N338" s="2">
        <v>321</v>
      </c>
      <c r="O338" s="2">
        <v>89.001300000000001</v>
      </c>
      <c r="P338" s="2">
        <v>330</v>
      </c>
      <c r="Q338" s="2">
        <v>110.3887</v>
      </c>
      <c r="R338" s="2">
        <v>334</v>
      </c>
      <c r="S338" s="2">
        <v>110.0528</v>
      </c>
      <c r="T338" s="2">
        <v>316</v>
      </c>
      <c r="U338" s="2">
        <v>8.0059000000000005E-2</v>
      </c>
      <c r="V338" s="2">
        <v>337</v>
      </c>
      <c r="W338" s="2">
        <v>2011</v>
      </c>
    </row>
    <row r="339" spans="1:23" ht="12.3" x14ac:dyDescent="0.4">
      <c r="A339" s="2" t="s">
        <v>374</v>
      </c>
      <c r="B339" s="2" t="e">
        <v>#N/A</v>
      </c>
      <c r="C339" s="2"/>
      <c r="D339" s="2"/>
      <c r="E339" s="2"/>
      <c r="F339" s="2"/>
      <c r="G339" s="2"/>
      <c r="H339" s="2"/>
      <c r="I339" s="2">
        <v>73.621600000000001</v>
      </c>
      <c r="J339" s="2">
        <v>10</v>
      </c>
      <c r="K339" s="2">
        <v>71.471400000000003</v>
      </c>
      <c r="L339" s="2">
        <v>18</v>
      </c>
      <c r="M339" s="2">
        <v>93.143699999999995</v>
      </c>
      <c r="N339" s="2">
        <v>306</v>
      </c>
      <c r="O339" s="2">
        <v>91.230099999999993</v>
      </c>
      <c r="P339" s="2">
        <v>321</v>
      </c>
      <c r="Q339" s="2">
        <v>106.3904</v>
      </c>
      <c r="R339" s="2">
        <v>284</v>
      </c>
      <c r="S339" s="2">
        <v>112.8605</v>
      </c>
      <c r="T339" s="2">
        <v>338</v>
      </c>
      <c r="U339" s="2">
        <v>7.9671000000000006E-2</v>
      </c>
      <c r="V339" s="2">
        <v>338</v>
      </c>
      <c r="W339" s="2">
        <v>2011</v>
      </c>
    </row>
    <row r="340" spans="1:23" ht="12.3" x14ac:dyDescent="0.4">
      <c r="A340" s="2" t="s">
        <v>351</v>
      </c>
      <c r="B340" s="2" t="e">
        <v>#N/A</v>
      </c>
      <c r="C340" s="2"/>
      <c r="D340" s="2"/>
      <c r="E340" s="2"/>
      <c r="F340" s="2"/>
      <c r="G340" s="2"/>
      <c r="H340" s="2"/>
      <c r="I340" s="2">
        <v>68.234300000000005</v>
      </c>
      <c r="J340" s="2">
        <v>99</v>
      </c>
      <c r="K340" s="2">
        <v>66.940899999999999</v>
      </c>
      <c r="L340" s="2">
        <v>156</v>
      </c>
      <c r="M340" s="2">
        <v>86.569000000000003</v>
      </c>
      <c r="N340" s="2">
        <v>338</v>
      </c>
      <c r="O340" s="2">
        <v>88.738399999999999</v>
      </c>
      <c r="P340" s="2">
        <v>331</v>
      </c>
      <c r="Q340" s="2">
        <v>103.6251</v>
      </c>
      <c r="R340" s="2">
        <v>220</v>
      </c>
      <c r="S340" s="2">
        <v>110.07299999999999</v>
      </c>
      <c r="T340" s="2">
        <v>317</v>
      </c>
      <c r="U340" s="2">
        <v>7.7437000000000006E-2</v>
      </c>
      <c r="V340" s="2">
        <v>339</v>
      </c>
      <c r="W340" s="2">
        <v>2011</v>
      </c>
    </row>
    <row r="341" spans="1:23" ht="12.3" x14ac:dyDescent="0.4">
      <c r="A341" s="2" t="s">
        <v>242</v>
      </c>
      <c r="B341" s="2" t="e">
        <v>#N/A</v>
      </c>
      <c r="C341" s="2"/>
      <c r="D341" s="2"/>
      <c r="E341" s="2"/>
      <c r="F341" s="2"/>
      <c r="G341" s="2"/>
      <c r="H341" s="2"/>
      <c r="I341" s="2">
        <v>66.299599999999998</v>
      </c>
      <c r="J341" s="2">
        <v>194</v>
      </c>
      <c r="K341" s="2">
        <v>65.930199999999999</v>
      </c>
      <c r="L341" s="2">
        <v>213</v>
      </c>
      <c r="M341" s="2">
        <v>88.293599999999998</v>
      </c>
      <c r="N341" s="2">
        <v>335</v>
      </c>
      <c r="O341" s="2">
        <v>87.626199999999997</v>
      </c>
      <c r="P341" s="2">
        <v>337</v>
      </c>
      <c r="Q341" s="2">
        <v>105.7547</v>
      </c>
      <c r="R341" s="2">
        <v>272</v>
      </c>
      <c r="S341" s="2">
        <v>109.7474</v>
      </c>
      <c r="T341" s="2">
        <v>312</v>
      </c>
      <c r="U341" s="2">
        <v>6.9871000000000003E-2</v>
      </c>
      <c r="V341" s="2">
        <v>340</v>
      </c>
      <c r="W341" s="2">
        <v>2011</v>
      </c>
    </row>
    <row r="342" spans="1:23" ht="12.3" x14ac:dyDescent="0.4">
      <c r="A342" s="2" t="s">
        <v>373</v>
      </c>
      <c r="B342" s="2" t="e">
        <v>#N/A</v>
      </c>
      <c r="C342" s="2"/>
      <c r="D342" s="2"/>
      <c r="E342" s="2"/>
      <c r="F342" s="2"/>
      <c r="G342" s="2"/>
      <c r="H342" s="2"/>
      <c r="I342" s="2">
        <v>70.408100000000005</v>
      </c>
      <c r="J342" s="2">
        <v>37</v>
      </c>
      <c r="K342" s="2">
        <v>70.75</v>
      </c>
      <c r="L342" s="2">
        <v>28</v>
      </c>
      <c r="M342" s="2">
        <v>86.438999999999993</v>
      </c>
      <c r="N342" s="2">
        <v>340</v>
      </c>
      <c r="O342" s="2">
        <v>85.544700000000006</v>
      </c>
      <c r="P342" s="2">
        <v>342</v>
      </c>
      <c r="Q342" s="2">
        <v>112.9353</v>
      </c>
      <c r="R342" s="2">
        <v>339</v>
      </c>
      <c r="S342" s="2">
        <v>109.3947</v>
      </c>
      <c r="T342" s="2">
        <v>308</v>
      </c>
      <c r="U342" s="2">
        <v>5.5822999999999998E-2</v>
      </c>
      <c r="V342" s="2">
        <v>341</v>
      </c>
      <c r="W342" s="2">
        <v>2011</v>
      </c>
    </row>
    <row r="343" spans="1:23" ht="12.3" x14ac:dyDescent="0.4">
      <c r="A343" s="2" t="s">
        <v>261</v>
      </c>
      <c r="B343" s="2" t="e">
        <v>#N/A</v>
      </c>
      <c r="C343" s="2"/>
      <c r="D343" s="2"/>
      <c r="E343" s="2"/>
      <c r="F343" s="2"/>
      <c r="G343" s="2"/>
      <c r="H343" s="2"/>
      <c r="I343" s="2">
        <v>77.645799999999994</v>
      </c>
      <c r="J343" s="2">
        <v>1</v>
      </c>
      <c r="K343" s="2">
        <v>77.602199999999996</v>
      </c>
      <c r="L343" s="2">
        <v>1</v>
      </c>
      <c r="M343" s="2">
        <v>84.500399999999999</v>
      </c>
      <c r="N343" s="2">
        <v>343</v>
      </c>
      <c r="O343" s="2">
        <v>86.123500000000007</v>
      </c>
      <c r="P343" s="2">
        <v>341</v>
      </c>
      <c r="Q343" s="2">
        <v>103.37869999999999</v>
      </c>
      <c r="R343" s="2">
        <v>210</v>
      </c>
      <c r="S343" s="2">
        <v>110.28579999999999</v>
      </c>
      <c r="T343" s="2">
        <v>321</v>
      </c>
      <c r="U343" s="2">
        <v>5.4998999999999999E-2</v>
      </c>
      <c r="V343" s="2">
        <v>342</v>
      </c>
      <c r="W343" s="2">
        <v>2011</v>
      </c>
    </row>
    <row r="344" spans="1:23" ht="12.3" x14ac:dyDescent="0.4">
      <c r="A344" s="2" t="s">
        <v>348</v>
      </c>
      <c r="B344" s="2" t="e">
        <v>#N/A</v>
      </c>
      <c r="C344" s="2"/>
      <c r="D344" s="2"/>
      <c r="E344" s="2"/>
      <c r="F344" s="2"/>
      <c r="G344" s="2"/>
      <c r="H344" s="2"/>
      <c r="I344" s="2">
        <v>74.178399999999996</v>
      </c>
      <c r="J344" s="2">
        <v>8</v>
      </c>
      <c r="K344" s="2">
        <v>72.321700000000007</v>
      </c>
      <c r="L344" s="2">
        <v>12</v>
      </c>
      <c r="M344" s="2">
        <v>86.751800000000003</v>
      </c>
      <c r="N344" s="2">
        <v>337</v>
      </c>
      <c r="O344" s="2">
        <v>90.510900000000007</v>
      </c>
      <c r="P344" s="2">
        <v>324</v>
      </c>
      <c r="Q344" s="2">
        <v>116.9734</v>
      </c>
      <c r="R344" s="2">
        <v>345</v>
      </c>
      <c r="S344" s="2">
        <v>117.0608</v>
      </c>
      <c r="T344" s="2">
        <v>343</v>
      </c>
      <c r="U344" s="2">
        <v>4.9355999999999997E-2</v>
      </c>
      <c r="V344" s="2">
        <v>343</v>
      </c>
      <c r="W344" s="2">
        <v>2011</v>
      </c>
    </row>
    <row r="345" spans="1:23" ht="12.3" x14ac:dyDescent="0.4">
      <c r="A345" s="2" t="s">
        <v>224</v>
      </c>
      <c r="B345" s="2" t="e">
        <v>#N/A</v>
      </c>
      <c r="C345" s="2"/>
      <c r="D345" s="2"/>
      <c r="E345" s="2"/>
      <c r="F345" s="2"/>
      <c r="G345" s="2"/>
      <c r="H345" s="2"/>
      <c r="I345" s="2">
        <v>70.704499999999996</v>
      </c>
      <c r="J345" s="2">
        <v>34</v>
      </c>
      <c r="K345" s="2">
        <v>70.419600000000003</v>
      </c>
      <c r="L345" s="2">
        <v>34</v>
      </c>
      <c r="M345" s="2">
        <v>83.021600000000007</v>
      </c>
      <c r="N345" s="2">
        <v>344</v>
      </c>
      <c r="O345" s="2">
        <v>83.950900000000004</v>
      </c>
      <c r="P345" s="2">
        <v>344</v>
      </c>
      <c r="Q345" s="2">
        <v>114.53530000000001</v>
      </c>
      <c r="R345" s="2">
        <v>341</v>
      </c>
      <c r="S345" s="2">
        <v>110.3907</v>
      </c>
      <c r="T345" s="2">
        <v>323</v>
      </c>
      <c r="U345" s="2">
        <v>4.1145000000000001E-2</v>
      </c>
      <c r="V345" s="2">
        <v>344</v>
      </c>
      <c r="W345" s="2">
        <v>2011</v>
      </c>
    </row>
    <row r="346" spans="1:23" ht="12.3" x14ac:dyDescent="0.4">
      <c r="A346" s="2" t="s">
        <v>338</v>
      </c>
      <c r="B346" s="2" t="e">
        <v>#N/A</v>
      </c>
      <c r="C346" s="2"/>
      <c r="D346" s="2"/>
      <c r="E346" s="2"/>
      <c r="F346" s="2"/>
      <c r="G346" s="2"/>
      <c r="H346" s="2"/>
      <c r="I346" s="2">
        <v>67.518600000000006</v>
      </c>
      <c r="J346" s="2">
        <v>139</v>
      </c>
      <c r="K346" s="2">
        <v>66.035700000000006</v>
      </c>
      <c r="L346" s="2">
        <v>208</v>
      </c>
      <c r="M346" s="2">
        <v>82.424400000000006</v>
      </c>
      <c r="N346" s="2">
        <v>345</v>
      </c>
      <c r="O346" s="2">
        <v>82.641000000000005</v>
      </c>
      <c r="P346" s="2">
        <v>345</v>
      </c>
      <c r="Q346" s="2">
        <v>105.8496</v>
      </c>
      <c r="R346" s="2">
        <v>273</v>
      </c>
      <c r="S346" s="2">
        <v>110.85420000000001</v>
      </c>
      <c r="T346" s="2">
        <v>331</v>
      </c>
      <c r="U346" s="2">
        <v>3.3001000000000003E-2</v>
      </c>
      <c r="V346" s="2">
        <v>345</v>
      </c>
      <c r="W346" s="2">
        <v>2011</v>
      </c>
    </row>
  </sheetData>
  <autoFilter ref="A1:V346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346"/>
  <sheetViews>
    <sheetView workbookViewId="0"/>
  </sheetViews>
  <sheetFormatPr defaultColWidth="14.44140625" defaultRowHeight="15.75" customHeight="1" x14ac:dyDescent="0.4"/>
  <cols>
    <col min="2" max="2" width="3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45</v>
      </c>
      <c r="B2" s="2">
        <v>1</v>
      </c>
      <c r="C2" s="3" t="s">
        <v>33</v>
      </c>
      <c r="D2" s="3" t="s">
        <v>33</v>
      </c>
      <c r="E2" s="3" t="s">
        <v>33</v>
      </c>
      <c r="F2" s="3" t="s">
        <v>33</v>
      </c>
      <c r="G2" s="3" t="s">
        <v>33</v>
      </c>
      <c r="H2" s="3" t="s">
        <v>33</v>
      </c>
      <c r="I2" s="2">
        <v>66.118399999999994</v>
      </c>
      <c r="J2" s="2">
        <v>177</v>
      </c>
      <c r="K2" s="2">
        <v>65.673500000000004</v>
      </c>
      <c r="L2" s="2">
        <v>191</v>
      </c>
      <c r="M2" s="2">
        <v>116.4605</v>
      </c>
      <c r="N2" s="2">
        <v>4</v>
      </c>
      <c r="O2" s="2">
        <v>118.6576</v>
      </c>
      <c r="P2" s="2">
        <v>2</v>
      </c>
      <c r="Q2" s="2">
        <v>89.6755</v>
      </c>
      <c r="R2" s="2">
        <v>7</v>
      </c>
      <c r="S2" s="2">
        <v>89.285499999999999</v>
      </c>
      <c r="T2" s="2">
        <v>5</v>
      </c>
      <c r="U2" s="2">
        <v>0.96340700000000001</v>
      </c>
      <c r="V2" s="2">
        <v>1</v>
      </c>
      <c r="W2" s="2">
        <v>2012</v>
      </c>
    </row>
    <row r="3" spans="1:23" ht="15.75" customHeight="1" x14ac:dyDescent="0.4">
      <c r="A3" s="2" t="s">
        <v>58</v>
      </c>
      <c r="B3" s="2">
        <v>1</v>
      </c>
      <c r="C3" s="3" t="s">
        <v>33</v>
      </c>
      <c r="D3" s="3" t="s">
        <v>33</v>
      </c>
      <c r="E3" s="2"/>
      <c r="F3" s="2"/>
      <c r="G3" s="2"/>
      <c r="H3" s="2"/>
      <c r="I3" s="2">
        <v>65.364500000000007</v>
      </c>
      <c r="J3" s="2">
        <v>210</v>
      </c>
      <c r="K3" s="2">
        <v>65.5715</v>
      </c>
      <c r="L3" s="2">
        <v>198</v>
      </c>
      <c r="M3" s="2">
        <v>109.7376</v>
      </c>
      <c r="N3" s="2">
        <v>31</v>
      </c>
      <c r="O3" s="2">
        <v>112.9404</v>
      </c>
      <c r="P3" s="2">
        <v>19</v>
      </c>
      <c r="Q3" s="2">
        <v>90.255099999999999</v>
      </c>
      <c r="R3" s="2">
        <v>11</v>
      </c>
      <c r="S3" s="2">
        <v>86.723699999999994</v>
      </c>
      <c r="T3" s="2">
        <v>2</v>
      </c>
      <c r="U3" s="2">
        <v>0.95424100000000001</v>
      </c>
      <c r="V3" s="2">
        <v>2</v>
      </c>
      <c r="W3" s="2">
        <v>2012</v>
      </c>
    </row>
    <row r="4" spans="1:23" ht="15.75" customHeight="1" x14ac:dyDescent="0.4">
      <c r="A4" s="2" t="s">
        <v>21</v>
      </c>
      <c r="B4" s="2">
        <v>2</v>
      </c>
      <c r="C4" s="3" t="s">
        <v>33</v>
      </c>
      <c r="D4" s="3" t="s">
        <v>33</v>
      </c>
      <c r="E4" s="3" t="s">
        <v>33</v>
      </c>
      <c r="F4" s="3" t="s">
        <v>33</v>
      </c>
      <c r="G4" s="2"/>
      <c r="H4" s="2"/>
      <c r="I4" s="2">
        <v>66.768699999999995</v>
      </c>
      <c r="J4" s="2">
        <v>143</v>
      </c>
      <c r="K4" s="2">
        <v>67.906999999999996</v>
      </c>
      <c r="L4" s="2">
        <v>84</v>
      </c>
      <c r="M4" s="2">
        <v>111.7826</v>
      </c>
      <c r="N4" s="2">
        <v>18</v>
      </c>
      <c r="O4" s="2">
        <v>116.1609</v>
      </c>
      <c r="P4" s="2">
        <v>6</v>
      </c>
      <c r="Q4" s="2">
        <v>88.862499999999997</v>
      </c>
      <c r="R4" s="2">
        <v>2</v>
      </c>
      <c r="S4" s="2">
        <v>89.882800000000003</v>
      </c>
      <c r="T4" s="2">
        <v>9</v>
      </c>
      <c r="U4" s="2">
        <v>0.95023500000000005</v>
      </c>
      <c r="V4" s="2">
        <v>3</v>
      </c>
      <c r="W4" s="2">
        <v>2012</v>
      </c>
    </row>
    <row r="5" spans="1:23" ht="15.75" customHeight="1" x14ac:dyDescent="0.4">
      <c r="A5" s="2" t="s">
        <v>35</v>
      </c>
      <c r="B5" s="2">
        <v>2</v>
      </c>
      <c r="C5" s="3" t="s">
        <v>33</v>
      </c>
      <c r="D5" s="3" t="s">
        <v>33</v>
      </c>
      <c r="E5" s="3" t="s">
        <v>33</v>
      </c>
      <c r="F5" s="3" t="s">
        <v>33</v>
      </c>
      <c r="G5" s="3" t="s">
        <v>33</v>
      </c>
      <c r="H5" s="2"/>
      <c r="I5" s="2">
        <v>67.616500000000002</v>
      </c>
      <c r="J5" s="2">
        <v>102</v>
      </c>
      <c r="K5" s="2">
        <v>67.718999999999994</v>
      </c>
      <c r="L5" s="2">
        <v>93</v>
      </c>
      <c r="M5" s="2">
        <v>110.6377</v>
      </c>
      <c r="N5" s="2">
        <v>23</v>
      </c>
      <c r="O5" s="2">
        <v>113.60339999999999</v>
      </c>
      <c r="P5" s="2">
        <v>15</v>
      </c>
      <c r="Q5" s="2">
        <v>91.061599999999999</v>
      </c>
      <c r="R5" s="2">
        <v>14</v>
      </c>
      <c r="S5" s="2">
        <v>89.513999999999996</v>
      </c>
      <c r="T5" s="2">
        <v>7</v>
      </c>
      <c r="U5" s="2">
        <v>0.939384</v>
      </c>
      <c r="V5" s="2">
        <v>4</v>
      </c>
      <c r="W5" s="2">
        <v>2012</v>
      </c>
    </row>
    <row r="6" spans="1:23" ht="15.75" customHeight="1" x14ac:dyDescent="0.4">
      <c r="A6" s="2" t="s">
        <v>168</v>
      </c>
      <c r="B6" s="2">
        <v>1</v>
      </c>
      <c r="C6" s="3" t="s">
        <v>33</v>
      </c>
      <c r="D6" s="3" t="s">
        <v>33</v>
      </c>
      <c r="E6" s="3" t="s">
        <v>33</v>
      </c>
      <c r="F6" s="2"/>
      <c r="G6" s="2"/>
      <c r="H6" s="2"/>
      <c r="I6" s="2">
        <v>72.926500000000004</v>
      </c>
      <c r="J6" s="2">
        <v>8</v>
      </c>
      <c r="K6" s="2">
        <v>72.232900000000001</v>
      </c>
      <c r="L6" s="2">
        <v>9</v>
      </c>
      <c r="M6" s="2">
        <v>112.15179999999999</v>
      </c>
      <c r="N6" s="2">
        <v>15</v>
      </c>
      <c r="O6" s="2">
        <v>115.7779</v>
      </c>
      <c r="P6" s="2">
        <v>7</v>
      </c>
      <c r="Q6" s="2">
        <v>91.999499999999998</v>
      </c>
      <c r="R6" s="2">
        <v>21</v>
      </c>
      <c r="S6" s="2">
        <v>91.440200000000004</v>
      </c>
      <c r="T6" s="2">
        <v>15</v>
      </c>
      <c r="U6" s="2">
        <v>0.93784000000000001</v>
      </c>
      <c r="V6" s="2">
        <v>5</v>
      </c>
      <c r="W6" s="2">
        <v>2012</v>
      </c>
    </row>
    <row r="7" spans="1:23" ht="15.75" customHeight="1" x14ac:dyDescent="0.4">
      <c r="A7" s="2" t="s">
        <v>73</v>
      </c>
      <c r="B7" s="2">
        <v>2</v>
      </c>
      <c r="C7" s="2"/>
      <c r="D7" s="2"/>
      <c r="E7" s="2"/>
      <c r="F7" s="2"/>
      <c r="G7" s="2"/>
      <c r="H7" s="2"/>
      <c r="I7" s="2">
        <v>66.465299999999999</v>
      </c>
      <c r="J7" s="2">
        <v>155</v>
      </c>
      <c r="K7" s="2">
        <v>66.300799999999995</v>
      </c>
      <c r="L7" s="2">
        <v>150</v>
      </c>
      <c r="M7" s="2">
        <v>120.50579999999999</v>
      </c>
      <c r="N7" s="2">
        <v>1</v>
      </c>
      <c r="O7" s="2">
        <v>123.2176</v>
      </c>
      <c r="P7" s="2">
        <v>1</v>
      </c>
      <c r="Q7" s="2">
        <v>98.398300000000006</v>
      </c>
      <c r="R7" s="2">
        <v>109</v>
      </c>
      <c r="S7" s="2">
        <v>98.032399999999996</v>
      </c>
      <c r="T7" s="2">
        <v>107</v>
      </c>
      <c r="U7" s="2">
        <v>0.93273700000000004</v>
      </c>
      <c r="V7" s="2">
        <v>6</v>
      </c>
      <c r="W7" s="2">
        <v>2012</v>
      </c>
    </row>
    <row r="8" spans="1:23" ht="15.75" customHeight="1" x14ac:dyDescent="0.4">
      <c r="A8" s="2" t="s">
        <v>23</v>
      </c>
      <c r="B8" s="2">
        <v>1</v>
      </c>
      <c r="C8" s="3" t="s">
        <v>33</v>
      </c>
      <c r="D8" s="3" t="s">
        <v>33</v>
      </c>
      <c r="E8" s="3" t="s">
        <v>33</v>
      </c>
      <c r="F8" s="2"/>
      <c r="G8" s="2"/>
      <c r="H8" s="2"/>
      <c r="I8" s="2">
        <v>65.864599999999996</v>
      </c>
      <c r="J8" s="2">
        <v>190</v>
      </c>
      <c r="K8" s="2">
        <v>65.889899999999997</v>
      </c>
      <c r="L8" s="2">
        <v>180</v>
      </c>
      <c r="M8" s="2">
        <v>112.80670000000001</v>
      </c>
      <c r="N8" s="2">
        <v>11</v>
      </c>
      <c r="O8" s="2">
        <v>113.5377</v>
      </c>
      <c r="P8" s="2">
        <v>16</v>
      </c>
      <c r="Q8" s="2">
        <v>91.852000000000004</v>
      </c>
      <c r="R8" s="2">
        <v>20</v>
      </c>
      <c r="S8" s="2">
        <v>90.527900000000002</v>
      </c>
      <c r="T8" s="2">
        <v>12</v>
      </c>
      <c r="U8" s="2">
        <v>0.93115000000000003</v>
      </c>
      <c r="V8" s="2">
        <v>7</v>
      </c>
      <c r="W8" s="2">
        <v>2012</v>
      </c>
    </row>
    <row r="9" spans="1:23" ht="15.75" customHeight="1" x14ac:dyDescent="0.4">
      <c r="A9" s="2" t="s">
        <v>71</v>
      </c>
      <c r="B9" s="2">
        <v>8</v>
      </c>
      <c r="C9" s="2"/>
      <c r="D9" s="2"/>
      <c r="E9" s="2"/>
      <c r="F9" s="2"/>
      <c r="G9" s="2"/>
      <c r="H9" s="2"/>
      <c r="I9" s="2">
        <v>67.518100000000004</v>
      </c>
      <c r="J9" s="2">
        <v>109</v>
      </c>
      <c r="K9" s="2">
        <v>68.317899999999995</v>
      </c>
      <c r="L9" s="2">
        <v>68</v>
      </c>
      <c r="M9" s="2">
        <v>110.1803</v>
      </c>
      <c r="N9" s="2">
        <v>26</v>
      </c>
      <c r="O9" s="2">
        <v>113.1039</v>
      </c>
      <c r="P9" s="2">
        <v>18</v>
      </c>
      <c r="Q9" s="2">
        <v>92.051900000000003</v>
      </c>
      <c r="R9" s="2">
        <v>22</v>
      </c>
      <c r="S9" s="2">
        <v>91.730999999999995</v>
      </c>
      <c r="T9" s="2">
        <v>16</v>
      </c>
      <c r="U9" s="2">
        <v>0.91748300000000005</v>
      </c>
      <c r="V9" s="2">
        <v>8</v>
      </c>
      <c r="W9" s="2">
        <v>2012</v>
      </c>
    </row>
    <row r="10" spans="1:23" ht="15.75" customHeight="1" x14ac:dyDescent="0.4">
      <c r="A10" s="2" t="s">
        <v>192</v>
      </c>
      <c r="B10" s="2">
        <v>5</v>
      </c>
      <c r="C10" s="2"/>
      <c r="D10" s="2"/>
      <c r="E10" s="2"/>
      <c r="F10" s="2"/>
      <c r="G10" s="2"/>
      <c r="H10" s="2"/>
      <c r="I10" s="2">
        <v>66.927400000000006</v>
      </c>
      <c r="J10" s="2">
        <v>134</v>
      </c>
      <c r="K10" s="2">
        <v>67.008799999999994</v>
      </c>
      <c r="L10" s="2">
        <v>122</v>
      </c>
      <c r="M10" s="2">
        <v>113.6251</v>
      </c>
      <c r="N10" s="2">
        <v>9</v>
      </c>
      <c r="O10" s="2">
        <v>115.3159</v>
      </c>
      <c r="P10" s="2">
        <v>8</v>
      </c>
      <c r="Q10" s="2">
        <v>92.6357</v>
      </c>
      <c r="R10" s="2">
        <v>26</v>
      </c>
      <c r="S10" s="2">
        <v>94.075599999999994</v>
      </c>
      <c r="T10" s="2">
        <v>39</v>
      </c>
      <c r="U10" s="2">
        <v>0.91222700000000001</v>
      </c>
      <c r="V10" s="2">
        <v>9</v>
      </c>
      <c r="W10" s="2">
        <v>2012</v>
      </c>
    </row>
    <row r="11" spans="1:23" ht="15.75" customHeight="1" x14ac:dyDescent="0.4">
      <c r="A11" s="2" t="s">
        <v>76</v>
      </c>
      <c r="B11" s="2">
        <v>4</v>
      </c>
      <c r="C11" s="3" t="s">
        <v>33</v>
      </c>
      <c r="D11" s="3" t="s">
        <v>33</v>
      </c>
      <c r="E11" s="2"/>
      <c r="F11" s="2"/>
      <c r="G11" s="2"/>
      <c r="H11" s="2"/>
      <c r="I11" s="2">
        <v>58.965699999999998</v>
      </c>
      <c r="J11" s="2">
        <v>345</v>
      </c>
      <c r="K11" s="2">
        <v>58.963700000000003</v>
      </c>
      <c r="L11" s="2">
        <v>344</v>
      </c>
      <c r="M11" s="2">
        <v>107.6313</v>
      </c>
      <c r="N11" s="2">
        <v>50</v>
      </c>
      <c r="O11" s="2">
        <v>109.6301</v>
      </c>
      <c r="P11" s="2">
        <v>35</v>
      </c>
      <c r="Q11" s="2">
        <v>88.8797</v>
      </c>
      <c r="R11" s="2">
        <v>3</v>
      </c>
      <c r="S11" s="2">
        <v>89.724299999999999</v>
      </c>
      <c r="T11" s="2">
        <v>8</v>
      </c>
      <c r="U11" s="2">
        <v>0.90922899999999995</v>
      </c>
      <c r="V11" s="2">
        <v>10</v>
      </c>
      <c r="W11" s="2">
        <v>2012</v>
      </c>
    </row>
    <row r="12" spans="1:23" ht="15.75" customHeight="1" x14ac:dyDescent="0.4">
      <c r="A12" s="2" t="s">
        <v>158</v>
      </c>
      <c r="B12" s="2">
        <v>3</v>
      </c>
      <c r="C12" s="3" t="s">
        <v>33</v>
      </c>
      <c r="D12" s="3" t="s">
        <v>33</v>
      </c>
      <c r="E12" s="3" t="s">
        <v>33</v>
      </c>
      <c r="F12" s="2"/>
      <c r="G12" s="2"/>
      <c r="H12" s="2"/>
      <c r="I12" s="2">
        <v>67.136399999999995</v>
      </c>
      <c r="J12" s="2">
        <v>121</v>
      </c>
      <c r="K12" s="2">
        <v>66.466300000000004</v>
      </c>
      <c r="L12" s="2">
        <v>145</v>
      </c>
      <c r="M12" s="2">
        <v>110.1153</v>
      </c>
      <c r="N12" s="2">
        <v>27</v>
      </c>
      <c r="O12" s="2">
        <v>114.86360000000001</v>
      </c>
      <c r="P12" s="2">
        <v>11</v>
      </c>
      <c r="Q12" s="2">
        <v>96.799899999999994</v>
      </c>
      <c r="R12" s="2">
        <v>75</v>
      </c>
      <c r="S12" s="2">
        <v>94.637799999999999</v>
      </c>
      <c r="T12" s="2">
        <v>47</v>
      </c>
      <c r="U12" s="2">
        <v>0.90268499999999996</v>
      </c>
      <c r="V12" s="2">
        <v>11</v>
      </c>
      <c r="W12" s="2">
        <v>2012</v>
      </c>
    </row>
    <row r="13" spans="1:23" ht="15.75" customHeight="1" x14ac:dyDescent="0.4">
      <c r="A13" s="2" t="s">
        <v>40</v>
      </c>
      <c r="B13" s="2">
        <v>4</v>
      </c>
      <c r="C13" s="3" t="s">
        <v>33</v>
      </c>
      <c r="D13" s="3" t="s">
        <v>33</v>
      </c>
      <c r="E13" s="2"/>
      <c r="F13" s="2"/>
      <c r="G13" s="2"/>
      <c r="H13" s="2"/>
      <c r="I13" s="2">
        <v>66.999200000000002</v>
      </c>
      <c r="J13" s="2">
        <v>129</v>
      </c>
      <c r="K13" s="2">
        <v>67.507400000000004</v>
      </c>
      <c r="L13" s="2">
        <v>104</v>
      </c>
      <c r="M13" s="2">
        <v>115.0583</v>
      </c>
      <c r="N13" s="2">
        <v>7</v>
      </c>
      <c r="O13" s="2">
        <v>117.8019</v>
      </c>
      <c r="P13" s="2">
        <v>4</v>
      </c>
      <c r="Q13" s="2">
        <v>98.185299999999998</v>
      </c>
      <c r="R13" s="2">
        <v>103</v>
      </c>
      <c r="S13" s="2">
        <v>97.164699999999996</v>
      </c>
      <c r="T13" s="2">
        <v>83</v>
      </c>
      <c r="U13" s="2">
        <v>0.90157699999999996</v>
      </c>
      <c r="V13" s="2">
        <v>12</v>
      </c>
      <c r="W13" s="2">
        <v>2012</v>
      </c>
    </row>
    <row r="14" spans="1:23" ht="15.75" customHeight="1" x14ac:dyDescent="0.4">
      <c r="A14" s="2" t="s">
        <v>111</v>
      </c>
      <c r="B14" s="2">
        <v>5</v>
      </c>
      <c r="C14" s="3" t="s">
        <v>33</v>
      </c>
      <c r="D14" s="2"/>
      <c r="E14" s="2"/>
      <c r="F14" s="2"/>
      <c r="G14" s="2"/>
      <c r="H14" s="2"/>
      <c r="I14" s="2">
        <v>65.832599999999999</v>
      </c>
      <c r="J14" s="2">
        <v>192</v>
      </c>
      <c r="K14" s="2">
        <v>65.5869</v>
      </c>
      <c r="L14" s="2">
        <v>196</v>
      </c>
      <c r="M14" s="2">
        <v>109.6189</v>
      </c>
      <c r="N14" s="2">
        <v>32</v>
      </c>
      <c r="O14" s="2">
        <v>113.3553</v>
      </c>
      <c r="P14" s="2">
        <v>17</v>
      </c>
      <c r="Q14" s="2">
        <v>97.488200000000006</v>
      </c>
      <c r="R14" s="2">
        <v>88</v>
      </c>
      <c r="S14" s="2">
        <v>93.839200000000005</v>
      </c>
      <c r="T14" s="2">
        <v>33</v>
      </c>
      <c r="U14" s="2">
        <v>0.897787</v>
      </c>
      <c r="V14" s="2">
        <v>13</v>
      </c>
      <c r="W14" s="2">
        <v>2012</v>
      </c>
    </row>
    <row r="15" spans="1:23" ht="15.75" customHeight="1" x14ac:dyDescent="0.4">
      <c r="A15" s="2" t="s">
        <v>116</v>
      </c>
      <c r="B15" s="2">
        <v>9</v>
      </c>
      <c r="C15" s="3" t="s">
        <v>33</v>
      </c>
      <c r="D15" s="2"/>
      <c r="E15" s="2"/>
      <c r="F15" s="2"/>
      <c r="G15" s="2"/>
      <c r="H15" s="2"/>
      <c r="I15" s="2">
        <v>63.272199999999998</v>
      </c>
      <c r="J15" s="2">
        <v>293</v>
      </c>
      <c r="K15" s="2">
        <v>62.837499999999999</v>
      </c>
      <c r="L15" s="2">
        <v>303</v>
      </c>
      <c r="M15" s="2">
        <v>109.19459999999999</v>
      </c>
      <c r="N15" s="2">
        <v>35</v>
      </c>
      <c r="O15" s="2">
        <v>109.18729999999999</v>
      </c>
      <c r="P15" s="2">
        <v>41</v>
      </c>
      <c r="Q15" s="2">
        <v>89.926000000000002</v>
      </c>
      <c r="R15" s="2">
        <v>9</v>
      </c>
      <c r="S15" s="2">
        <v>90.936700000000002</v>
      </c>
      <c r="T15" s="2">
        <v>13</v>
      </c>
      <c r="U15" s="2">
        <v>0.89122900000000005</v>
      </c>
      <c r="V15" s="2">
        <v>14</v>
      </c>
      <c r="W15" s="2">
        <v>2012</v>
      </c>
    </row>
    <row r="16" spans="1:23" ht="15.75" customHeight="1" x14ac:dyDescent="0.4">
      <c r="A16" s="2" t="s">
        <v>62</v>
      </c>
      <c r="B16" s="2">
        <v>3</v>
      </c>
      <c r="C16" s="3" t="s">
        <v>33</v>
      </c>
      <c r="D16" s="2"/>
      <c r="E16" s="2"/>
      <c r="F16" s="2"/>
      <c r="G16" s="2"/>
      <c r="H16" s="2"/>
      <c r="I16" s="2">
        <v>63.630499999999998</v>
      </c>
      <c r="J16" s="2">
        <v>281</v>
      </c>
      <c r="K16" s="2">
        <v>63.254600000000003</v>
      </c>
      <c r="L16" s="2">
        <v>294</v>
      </c>
      <c r="M16" s="2">
        <v>105.8721</v>
      </c>
      <c r="N16" s="2">
        <v>79</v>
      </c>
      <c r="O16" s="2">
        <v>108.2437</v>
      </c>
      <c r="P16" s="2">
        <v>52</v>
      </c>
      <c r="Q16" s="2">
        <v>91.401399999999995</v>
      </c>
      <c r="R16" s="2">
        <v>16</v>
      </c>
      <c r="S16" s="2">
        <v>90.226600000000005</v>
      </c>
      <c r="T16" s="2">
        <v>10</v>
      </c>
      <c r="U16" s="2">
        <v>0.890289</v>
      </c>
      <c r="V16" s="2">
        <v>15</v>
      </c>
      <c r="W16" s="2">
        <v>2012</v>
      </c>
    </row>
    <row r="17" spans="1:23" ht="15.75" customHeight="1" x14ac:dyDescent="0.4">
      <c r="A17" s="2" t="s">
        <v>32</v>
      </c>
      <c r="B17" s="2">
        <v>2</v>
      </c>
      <c r="C17" s="2"/>
      <c r="D17" s="2"/>
      <c r="E17" s="2"/>
      <c r="F17" s="2"/>
      <c r="G17" s="2"/>
      <c r="H17" s="2"/>
      <c r="I17" s="2">
        <v>68.288200000000003</v>
      </c>
      <c r="J17" s="2">
        <v>74</v>
      </c>
      <c r="K17" s="2">
        <v>67.581800000000001</v>
      </c>
      <c r="L17" s="2">
        <v>100</v>
      </c>
      <c r="M17" s="2">
        <v>112.61660000000001</v>
      </c>
      <c r="N17" s="2">
        <v>12</v>
      </c>
      <c r="O17" s="2">
        <v>115.14190000000001</v>
      </c>
      <c r="P17" s="2">
        <v>9</v>
      </c>
      <c r="Q17" s="2">
        <v>99.596500000000006</v>
      </c>
      <c r="R17" s="2">
        <v>143</v>
      </c>
      <c r="S17" s="2">
        <v>96.386899999999997</v>
      </c>
      <c r="T17" s="2">
        <v>72</v>
      </c>
      <c r="U17" s="2">
        <v>0.88540399999999997</v>
      </c>
      <c r="V17" s="2">
        <v>16</v>
      </c>
      <c r="W17" s="2">
        <v>2012</v>
      </c>
    </row>
    <row r="18" spans="1:23" ht="15.75" customHeight="1" x14ac:dyDescent="0.4">
      <c r="A18" s="2" t="s">
        <v>115</v>
      </c>
      <c r="B18" s="2">
        <v>5</v>
      </c>
      <c r="C18" s="3" t="s">
        <v>33</v>
      </c>
      <c r="D18" s="2"/>
      <c r="E18" s="2"/>
      <c r="F18" s="2"/>
      <c r="G18" s="2"/>
      <c r="H18" s="2"/>
      <c r="I18" s="2">
        <v>66.386499999999998</v>
      </c>
      <c r="J18" s="2">
        <v>161</v>
      </c>
      <c r="K18" s="2">
        <v>66.707099999999997</v>
      </c>
      <c r="L18" s="2">
        <v>136</v>
      </c>
      <c r="M18" s="2">
        <v>108.81</v>
      </c>
      <c r="N18" s="2">
        <v>41</v>
      </c>
      <c r="O18" s="2">
        <v>108.72320000000001</v>
      </c>
      <c r="P18" s="2">
        <v>46</v>
      </c>
      <c r="Q18" s="2">
        <v>89.635900000000007</v>
      </c>
      <c r="R18" s="2">
        <v>6</v>
      </c>
      <c r="S18" s="2">
        <v>91.095299999999995</v>
      </c>
      <c r="T18" s="2">
        <v>14</v>
      </c>
      <c r="U18" s="2">
        <v>0.884355</v>
      </c>
      <c r="V18" s="2">
        <v>17</v>
      </c>
      <c r="W18" s="2">
        <v>2012</v>
      </c>
    </row>
    <row r="19" spans="1:23" ht="15.75" customHeight="1" x14ac:dyDescent="0.4">
      <c r="A19" s="2" t="s">
        <v>39</v>
      </c>
      <c r="B19" s="2">
        <v>3</v>
      </c>
      <c r="C19" s="3" t="s">
        <v>33</v>
      </c>
      <c r="D19" s="3" t="s">
        <v>33</v>
      </c>
      <c r="E19" s="2"/>
      <c r="F19" s="2"/>
      <c r="G19" s="2"/>
      <c r="H19" s="2"/>
      <c r="I19" s="2">
        <v>70.675399999999996</v>
      </c>
      <c r="J19" s="2">
        <v>25</v>
      </c>
      <c r="K19" s="2">
        <v>71.380099999999999</v>
      </c>
      <c r="L19" s="2">
        <v>15</v>
      </c>
      <c r="M19" s="2">
        <v>107.28830000000001</v>
      </c>
      <c r="N19" s="2">
        <v>58</v>
      </c>
      <c r="O19" s="2">
        <v>109.9601</v>
      </c>
      <c r="P19" s="2">
        <v>29</v>
      </c>
      <c r="Q19" s="2">
        <v>93.815399999999997</v>
      </c>
      <c r="R19" s="2">
        <v>37</v>
      </c>
      <c r="S19" s="2">
        <v>92.522599999999997</v>
      </c>
      <c r="T19" s="2">
        <v>20</v>
      </c>
      <c r="U19" s="2">
        <v>0.87928099999999998</v>
      </c>
      <c r="V19" s="2">
        <v>18</v>
      </c>
      <c r="W19" s="2">
        <v>2012</v>
      </c>
    </row>
    <row r="20" spans="1:23" ht="15.75" customHeight="1" x14ac:dyDescent="0.4">
      <c r="A20" s="2" t="s">
        <v>37</v>
      </c>
      <c r="B20" s="2">
        <v>7</v>
      </c>
      <c r="C20" s="3" t="s">
        <v>33</v>
      </c>
      <c r="D20" s="3" t="s">
        <v>33</v>
      </c>
      <c r="E20" s="3" t="s">
        <v>33</v>
      </c>
      <c r="F20" s="2"/>
      <c r="G20" s="2"/>
      <c r="H20" s="2"/>
      <c r="I20" s="2">
        <v>65.099599999999995</v>
      </c>
      <c r="J20" s="2">
        <v>223</v>
      </c>
      <c r="K20" s="2">
        <v>64.867599999999996</v>
      </c>
      <c r="L20" s="2">
        <v>234</v>
      </c>
      <c r="M20" s="2">
        <v>115.67310000000001</v>
      </c>
      <c r="N20" s="2">
        <v>6</v>
      </c>
      <c r="O20" s="2">
        <v>118.5885</v>
      </c>
      <c r="P20" s="2">
        <v>3</v>
      </c>
      <c r="Q20" s="2">
        <v>100.7488</v>
      </c>
      <c r="R20" s="2">
        <v>170</v>
      </c>
      <c r="S20" s="2">
        <v>100.08329999999999</v>
      </c>
      <c r="T20" s="2">
        <v>146</v>
      </c>
      <c r="U20" s="2">
        <v>0.87556100000000003</v>
      </c>
      <c r="V20" s="2">
        <v>19</v>
      </c>
      <c r="W20" s="2">
        <v>2012</v>
      </c>
    </row>
    <row r="21" spans="1:23" ht="15.75" customHeight="1" x14ac:dyDescent="0.4">
      <c r="A21" s="2" t="s">
        <v>86</v>
      </c>
      <c r="B21" s="2">
        <v>4</v>
      </c>
      <c r="C21" s="3" t="s">
        <v>33</v>
      </c>
      <c r="D21" s="3" t="s">
        <v>33</v>
      </c>
      <c r="E21" s="3" t="s">
        <v>33</v>
      </c>
      <c r="F21" s="3" t="s">
        <v>33</v>
      </c>
      <c r="G21" s="2"/>
      <c r="H21" s="2"/>
      <c r="I21" s="2">
        <v>67.836600000000004</v>
      </c>
      <c r="J21" s="2">
        <v>91</v>
      </c>
      <c r="K21" s="2">
        <v>67.644300000000001</v>
      </c>
      <c r="L21" s="2">
        <v>97</v>
      </c>
      <c r="M21" s="2">
        <v>99.940799999999996</v>
      </c>
      <c r="N21" s="2">
        <v>188</v>
      </c>
      <c r="O21" s="2">
        <v>102.45229999999999</v>
      </c>
      <c r="P21" s="2">
        <v>139</v>
      </c>
      <c r="Q21" s="2">
        <v>89.026600000000002</v>
      </c>
      <c r="R21" s="2">
        <v>4</v>
      </c>
      <c r="S21" s="2">
        <v>86.516400000000004</v>
      </c>
      <c r="T21" s="2">
        <v>1</v>
      </c>
      <c r="U21" s="2">
        <v>0.87481600000000004</v>
      </c>
      <c r="V21" s="2">
        <v>20</v>
      </c>
      <c r="W21" s="2">
        <v>2012</v>
      </c>
    </row>
    <row r="22" spans="1:23" ht="15.75" customHeight="1" x14ac:dyDescent="0.4">
      <c r="A22" s="2" t="s">
        <v>148</v>
      </c>
      <c r="B22" s="2">
        <v>8</v>
      </c>
      <c r="C22" s="3" t="s">
        <v>33</v>
      </c>
      <c r="D22" s="2"/>
      <c r="E22" s="2"/>
      <c r="F22" s="2"/>
      <c r="G22" s="2"/>
      <c r="H22" s="2"/>
      <c r="I22" s="2">
        <v>67.371899999999997</v>
      </c>
      <c r="J22" s="2">
        <v>113</v>
      </c>
      <c r="K22" s="2">
        <v>67.217500000000001</v>
      </c>
      <c r="L22" s="2">
        <v>113</v>
      </c>
      <c r="M22" s="2">
        <v>104.8916</v>
      </c>
      <c r="N22" s="2">
        <v>98</v>
      </c>
      <c r="O22" s="2">
        <v>108.6262</v>
      </c>
      <c r="P22" s="2">
        <v>50</v>
      </c>
      <c r="Q22" s="2">
        <v>93.613600000000005</v>
      </c>
      <c r="R22" s="2">
        <v>35</v>
      </c>
      <c r="S22" s="2">
        <v>91.874600000000001</v>
      </c>
      <c r="T22" s="2">
        <v>17</v>
      </c>
      <c r="U22" s="2">
        <v>0.87281799999999998</v>
      </c>
      <c r="V22" s="2">
        <v>21</v>
      </c>
      <c r="W22" s="2">
        <v>2012</v>
      </c>
    </row>
    <row r="23" spans="1:23" ht="15.75" customHeight="1" x14ac:dyDescent="0.4">
      <c r="A23" s="2" t="s">
        <v>20</v>
      </c>
      <c r="B23" s="2">
        <v>3</v>
      </c>
      <c r="C23" s="3" t="s">
        <v>33</v>
      </c>
      <c r="D23" s="2"/>
      <c r="E23" s="2"/>
      <c r="F23" s="2"/>
      <c r="G23" s="2"/>
      <c r="H23" s="2"/>
      <c r="I23" s="2">
        <v>67.796499999999995</v>
      </c>
      <c r="J23" s="2">
        <v>94</v>
      </c>
      <c r="K23" s="2">
        <v>67.657399999999996</v>
      </c>
      <c r="L23" s="2">
        <v>96</v>
      </c>
      <c r="M23" s="2">
        <v>102.1193</v>
      </c>
      <c r="N23" s="2">
        <v>149</v>
      </c>
      <c r="O23" s="2">
        <v>106.69589999999999</v>
      </c>
      <c r="P23" s="2">
        <v>72</v>
      </c>
      <c r="Q23" s="2">
        <v>91.799199999999999</v>
      </c>
      <c r="R23" s="2">
        <v>18</v>
      </c>
      <c r="S23" s="2">
        <v>90.330500000000001</v>
      </c>
      <c r="T23" s="2">
        <v>11</v>
      </c>
      <c r="U23" s="2">
        <v>0.87156100000000003</v>
      </c>
      <c r="V23" s="2">
        <v>22</v>
      </c>
      <c r="W23" s="2">
        <v>2012</v>
      </c>
    </row>
    <row r="24" spans="1:23" ht="15.75" customHeight="1" x14ac:dyDescent="0.4">
      <c r="A24" s="2" t="s">
        <v>154</v>
      </c>
      <c r="B24" s="2">
        <v>4</v>
      </c>
      <c r="C24" s="2"/>
      <c r="D24" s="2"/>
      <c r="E24" s="2"/>
      <c r="F24" s="2"/>
      <c r="G24" s="2"/>
      <c r="H24" s="2"/>
      <c r="I24" s="2">
        <v>61.420400000000001</v>
      </c>
      <c r="J24" s="2">
        <v>328</v>
      </c>
      <c r="K24" s="2">
        <v>61.382800000000003</v>
      </c>
      <c r="L24" s="2">
        <v>326</v>
      </c>
      <c r="M24" s="2">
        <v>107.44799999999999</v>
      </c>
      <c r="N24" s="2">
        <v>55</v>
      </c>
      <c r="O24" s="2">
        <v>111.7586</v>
      </c>
      <c r="P24" s="2">
        <v>23</v>
      </c>
      <c r="Q24" s="2">
        <v>100.20359999999999</v>
      </c>
      <c r="R24" s="2">
        <v>156</v>
      </c>
      <c r="S24" s="2">
        <v>95.213800000000006</v>
      </c>
      <c r="T24" s="2">
        <v>55</v>
      </c>
      <c r="U24" s="2">
        <v>0.86324199999999995</v>
      </c>
      <c r="V24" s="2">
        <v>23</v>
      </c>
      <c r="W24" s="2">
        <v>2012</v>
      </c>
    </row>
    <row r="25" spans="1:23" ht="15.75" customHeight="1" x14ac:dyDescent="0.4">
      <c r="A25" s="2" t="s">
        <v>87</v>
      </c>
      <c r="B25" s="2">
        <v>10</v>
      </c>
      <c r="C25" s="2"/>
      <c r="D25" s="2"/>
      <c r="E25" s="2"/>
      <c r="F25" s="2"/>
      <c r="G25" s="2"/>
      <c r="H25" s="2"/>
      <c r="I25" s="2">
        <v>60.991300000000003</v>
      </c>
      <c r="J25" s="2">
        <v>333</v>
      </c>
      <c r="K25" s="2">
        <v>60.427900000000001</v>
      </c>
      <c r="L25" s="2">
        <v>339</v>
      </c>
      <c r="M25" s="2">
        <v>102.8552</v>
      </c>
      <c r="N25" s="2">
        <v>133</v>
      </c>
      <c r="O25" s="2">
        <v>103.51009999999999</v>
      </c>
      <c r="P25" s="2">
        <v>121</v>
      </c>
      <c r="Q25" s="2">
        <v>87.612499999999997</v>
      </c>
      <c r="R25" s="2">
        <v>1</v>
      </c>
      <c r="S25" s="2">
        <v>88.729299999999995</v>
      </c>
      <c r="T25" s="2">
        <v>3</v>
      </c>
      <c r="U25" s="2">
        <v>0.85469399999999995</v>
      </c>
      <c r="V25" s="2">
        <v>24</v>
      </c>
      <c r="W25" s="2">
        <v>2012</v>
      </c>
    </row>
    <row r="26" spans="1:23" ht="15.75" customHeight="1" x14ac:dyDescent="0.4">
      <c r="A26" s="2" t="s">
        <v>47</v>
      </c>
      <c r="B26" s="2">
        <v>7</v>
      </c>
      <c r="C26" s="3" t="s">
        <v>33</v>
      </c>
      <c r="D26" s="2"/>
      <c r="E26" s="2"/>
      <c r="F26" s="2"/>
      <c r="G26" s="2"/>
      <c r="H26" s="2"/>
      <c r="I26" s="2">
        <v>66.878399999999999</v>
      </c>
      <c r="J26" s="2">
        <v>138</v>
      </c>
      <c r="K26" s="2">
        <v>65.924000000000007</v>
      </c>
      <c r="L26" s="2">
        <v>176</v>
      </c>
      <c r="M26" s="2">
        <v>110.6649</v>
      </c>
      <c r="N26" s="2">
        <v>22</v>
      </c>
      <c r="O26" s="2">
        <v>109.6611</v>
      </c>
      <c r="P26" s="2">
        <v>32</v>
      </c>
      <c r="Q26" s="2">
        <v>94.435299999999998</v>
      </c>
      <c r="R26" s="2">
        <v>44</v>
      </c>
      <c r="S26" s="2">
        <v>94.050399999999996</v>
      </c>
      <c r="T26" s="2">
        <v>37</v>
      </c>
      <c r="U26" s="2">
        <v>0.85395799999999999</v>
      </c>
      <c r="V26" s="2">
        <v>25</v>
      </c>
      <c r="W26" s="2">
        <v>2012</v>
      </c>
    </row>
    <row r="27" spans="1:23" ht="15.75" customHeight="1" x14ac:dyDescent="0.4">
      <c r="A27" s="2" t="s">
        <v>146</v>
      </c>
      <c r="B27" s="2">
        <v>8</v>
      </c>
      <c r="C27" s="3" t="s">
        <v>33</v>
      </c>
      <c r="D27" s="2"/>
      <c r="E27" s="2"/>
      <c r="F27" s="2"/>
      <c r="G27" s="2"/>
      <c r="H27" s="2"/>
      <c r="I27" s="2">
        <v>67.623000000000005</v>
      </c>
      <c r="J27" s="2">
        <v>99</v>
      </c>
      <c r="K27" s="2">
        <v>67.298699999999997</v>
      </c>
      <c r="L27" s="2">
        <v>110</v>
      </c>
      <c r="M27" s="2">
        <v>108.2958</v>
      </c>
      <c r="N27" s="2">
        <v>43</v>
      </c>
      <c r="O27" s="2">
        <v>110.18040000000001</v>
      </c>
      <c r="P27" s="2">
        <v>28</v>
      </c>
      <c r="Q27" s="2">
        <v>98.741500000000002</v>
      </c>
      <c r="R27" s="2">
        <v>120</v>
      </c>
      <c r="S27" s="2">
        <v>94.775599999999997</v>
      </c>
      <c r="T27" s="2">
        <v>50</v>
      </c>
      <c r="U27" s="2">
        <v>0.849665</v>
      </c>
      <c r="V27" s="2">
        <v>26</v>
      </c>
      <c r="W27" s="2">
        <v>2012</v>
      </c>
    </row>
    <row r="28" spans="1:23" ht="15.75" customHeight="1" x14ac:dyDescent="0.4">
      <c r="A28" s="2" t="s">
        <v>49</v>
      </c>
      <c r="B28" s="2">
        <v>9</v>
      </c>
      <c r="C28" s="2"/>
      <c r="D28" s="2"/>
      <c r="E28" s="2"/>
      <c r="F28" s="2"/>
      <c r="G28" s="2"/>
      <c r="H28" s="2"/>
      <c r="I28" s="2">
        <v>63.344799999999999</v>
      </c>
      <c r="J28" s="2">
        <v>290</v>
      </c>
      <c r="K28" s="2">
        <v>63.413200000000003</v>
      </c>
      <c r="L28" s="2">
        <v>290</v>
      </c>
      <c r="M28" s="2">
        <v>101.7572</v>
      </c>
      <c r="N28" s="2">
        <v>159</v>
      </c>
      <c r="O28" s="2">
        <v>103.1698</v>
      </c>
      <c r="P28" s="2">
        <v>130</v>
      </c>
      <c r="Q28" s="2">
        <v>91.271100000000004</v>
      </c>
      <c r="R28" s="2">
        <v>15</v>
      </c>
      <c r="S28" s="2">
        <v>89.130499999999998</v>
      </c>
      <c r="T28" s="2">
        <v>4</v>
      </c>
      <c r="U28" s="2">
        <v>0.84319100000000002</v>
      </c>
      <c r="V28" s="2">
        <v>27</v>
      </c>
      <c r="W28" s="2">
        <v>2012</v>
      </c>
    </row>
    <row r="29" spans="1:23" ht="12.3" x14ac:dyDescent="0.4">
      <c r="A29" s="2" t="s">
        <v>188</v>
      </c>
      <c r="B29" s="2">
        <v>12</v>
      </c>
      <c r="C29" s="2"/>
      <c r="D29" s="2"/>
      <c r="E29" s="2"/>
      <c r="F29" s="2"/>
      <c r="G29" s="2"/>
      <c r="H29" s="2"/>
      <c r="I29" s="2">
        <v>67.520399999999995</v>
      </c>
      <c r="J29" s="2">
        <v>108</v>
      </c>
      <c r="K29" s="2">
        <v>67.317499999999995</v>
      </c>
      <c r="L29" s="2">
        <v>109</v>
      </c>
      <c r="M29" s="2">
        <v>109.32599999999999</v>
      </c>
      <c r="N29" s="2">
        <v>34</v>
      </c>
      <c r="O29" s="2">
        <v>109.1621</v>
      </c>
      <c r="P29" s="2">
        <v>42</v>
      </c>
      <c r="Q29" s="2">
        <v>95.209800000000001</v>
      </c>
      <c r="R29" s="2">
        <v>54</v>
      </c>
      <c r="S29" s="2">
        <v>94.413700000000006</v>
      </c>
      <c r="T29" s="2">
        <v>44</v>
      </c>
      <c r="U29" s="2">
        <v>0.84146799999999999</v>
      </c>
      <c r="V29" s="2">
        <v>28</v>
      </c>
      <c r="W29" s="2">
        <v>2012</v>
      </c>
    </row>
    <row r="30" spans="1:23" ht="12.3" x14ac:dyDescent="0.4">
      <c r="A30" s="2" t="s">
        <v>67</v>
      </c>
      <c r="B30" s="2">
        <v>11</v>
      </c>
      <c r="C30" s="2"/>
      <c r="D30" s="2"/>
      <c r="E30" s="2"/>
      <c r="F30" s="2"/>
      <c r="G30" s="2"/>
      <c r="H30" s="2"/>
      <c r="I30" s="2">
        <v>66.9636</v>
      </c>
      <c r="J30" s="2">
        <v>131</v>
      </c>
      <c r="K30" s="2">
        <v>65.994900000000001</v>
      </c>
      <c r="L30" s="2">
        <v>171</v>
      </c>
      <c r="M30" s="2">
        <v>108.17230000000001</v>
      </c>
      <c r="N30" s="2">
        <v>45</v>
      </c>
      <c r="O30" s="2">
        <v>111.3908</v>
      </c>
      <c r="P30" s="2">
        <v>26</v>
      </c>
      <c r="Q30" s="2">
        <v>98.885300000000001</v>
      </c>
      <c r="R30" s="2">
        <v>123</v>
      </c>
      <c r="S30" s="2">
        <v>96.347200000000001</v>
      </c>
      <c r="T30" s="2">
        <v>71</v>
      </c>
      <c r="U30" s="2">
        <v>0.84137399999999996</v>
      </c>
      <c r="V30" s="2">
        <v>29</v>
      </c>
      <c r="W30" s="2">
        <v>2012</v>
      </c>
    </row>
    <row r="31" spans="1:23" ht="12.3" x14ac:dyDescent="0.4">
      <c r="A31" s="2" t="s">
        <v>244</v>
      </c>
      <c r="B31" s="2">
        <v>14</v>
      </c>
      <c r="C31" s="2"/>
      <c r="D31" s="2"/>
      <c r="E31" s="2"/>
      <c r="F31" s="2"/>
      <c r="G31" s="2"/>
      <c r="H31" s="2"/>
      <c r="I31" s="2">
        <v>68.949799999999996</v>
      </c>
      <c r="J31" s="2">
        <v>50</v>
      </c>
      <c r="K31" s="2">
        <v>68.453900000000004</v>
      </c>
      <c r="L31" s="2">
        <v>64</v>
      </c>
      <c r="M31" s="2">
        <v>117.67270000000001</v>
      </c>
      <c r="N31" s="2">
        <v>2</v>
      </c>
      <c r="O31" s="2">
        <v>114.14319999999999</v>
      </c>
      <c r="P31" s="2">
        <v>13</v>
      </c>
      <c r="Q31" s="2">
        <v>96.848600000000005</v>
      </c>
      <c r="R31" s="2">
        <v>76</v>
      </c>
      <c r="S31" s="2">
        <v>98.941400000000002</v>
      </c>
      <c r="T31" s="2">
        <v>126</v>
      </c>
      <c r="U31" s="2">
        <v>0.83803000000000005</v>
      </c>
      <c r="V31" s="2">
        <v>30</v>
      </c>
      <c r="W31" s="2">
        <v>2012</v>
      </c>
    </row>
    <row r="32" spans="1:23" ht="12.3" x14ac:dyDescent="0.4">
      <c r="A32" s="2" t="s">
        <v>181</v>
      </c>
      <c r="B32" s="2">
        <v>6</v>
      </c>
      <c r="C32" s="3" t="s">
        <v>33</v>
      </c>
      <c r="D32" s="2"/>
      <c r="E32" s="2"/>
      <c r="F32" s="2"/>
      <c r="G32" s="2"/>
      <c r="H32" s="2"/>
      <c r="I32" s="2">
        <v>66.222499999999997</v>
      </c>
      <c r="J32" s="2">
        <v>172</v>
      </c>
      <c r="K32" s="2">
        <v>66.082300000000004</v>
      </c>
      <c r="L32" s="2">
        <v>164</v>
      </c>
      <c r="M32" s="2">
        <v>111.221</v>
      </c>
      <c r="N32" s="2">
        <v>21</v>
      </c>
      <c r="O32" s="2">
        <v>107.9331</v>
      </c>
      <c r="P32" s="2">
        <v>57</v>
      </c>
      <c r="Q32" s="2">
        <v>93.220500000000001</v>
      </c>
      <c r="R32" s="2">
        <v>30</v>
      </c>
      <c r="S32" s="2">
        <v>93.606499999999997</v>
      </c>
      <c r="T32" s="2">
        <v>30</v>
      </c>
      <c r="U32" s="2">
        <v>0.83722600000000003</v>
      </c>
      <c r="V32" s="2">
        <v>31</v>
      </c>
      <c r="W32" s="2">
        <v>2012</v>
      </c>
    </row>
    <row r="33" spans="1:23" ht="12.3" x14ac:dyDescent="0.4">
      <c r="A33" s="2" t="s">
        <v>34</v>
      </c>
      <c r="B33" s="2">
        <v>6</v>
      </c>
      <c r="C33" s="3" t="s">
        <v>33</v>
      </c>
      <c r="D33" s="3" t="s">
        <v>33</v>
      </c>
      <c r="E33" s="2"/>
      <c r="F33" s="2"/>
      <c r="G33" s="2"/>
      <c r="H33" s="2"/>
      <c r="I33" s="2">
        <v>64.048599999999993</v>
      </c>
      <c r="J33" s="2">
        <v>275</v>
      </c>
      <c r="K33" s="2">
        <v>63.737200000000001</v>
      </c>
      <c r="L33" s="2">
        <v>281</v>
      </c>
      <c r="M33" s="2">
        <v>105.0352</v>
      </c>
      <c r="N33" s="2">
        <v>96</v>
      </c>
      <c r="O33" s="2">
        <v>107.64919999999999</v>
      </c>
      <c r="P33" s="2">
        <v>59</v>
      </c>
      <c r="Q33" s="2">
        <v>94.356999999999999</v>
      </c>
      <c r="R33" s="2">
        <v>42</v>
      </c>
      <c r="S33" s="2">
        <v>93.372299999999996</v>
      </c>
      <c r="T33" s="2">
        <v>27</v>
      </c>
      <c r="U33" s="2">
        <v>0.83702500000000002</v>
      </c>
      <c r="V33" s="2">
        <v>32</v>
      </c>
      <c r="W33" s="2">
        <v>2012</v>
      </c>
    </row>
    <row r="34" spans="1:23" ht="12.3" x14ac:dyDescent="0.4">
      <c r="A34" s="2" t="s">
        <v>121</v>
      </c>
      <c r="B34" s="2">
        <v>10</v>
      </c>
      <c r="C34" s="3" t="s">
        <v>33</v>
      </c>
      <c r="D34" s="2"/>
      <c r="E34" s="2"/>
      <c r="F34" s="2"/>
      <c r="G34" s="2"/>
      <c r="H34" s="2"/>
      <c r="I34" s="2">
        <v>64.807599999999994</v>
      </c>
      <c r="J34" s="2">
        <v>238</v>
      </c>
      <c r="K34" s="2">
        <v>65.447100000000006</v>
      </c>
      <c r="L34" s="2">
        <v>202</v>
      </c>
      <c r="M34" s="2">
        <v>111.36799999999999</v>
      </c>
      <c r="N34" s="2">
        <v>20</v>
      </c>
      <c r="O34" s="2">
        <v>114.9153</v>
      </c>
      <c r="P34" s="2">
        <v>10</v>
      </c>
      <c r="Q34" s="2">
        <v>101.87949999999999</v>
      </c>
      <c r="R34" s="2">
        <v>194</v>
      </c>
      <c r="S34" s="2">
        <v>99.754099999999994</v>
      </c>
      <c r="T34" s="2">
        <v>140</v>
      </c>
      <c r="U34" s="2">
        <v>0.83577199999999996</v>
      </c>
      <c r="V34" s="2">
        <v>33</v>
      </c>
      <c r="W34" s="2">
        <v>2012</v>
      </c>
    </row>
    <row r="35" spans="1:23" ht="12.3" x14ac:dyDescent="0.4">
      <c r="A35" s="2" t="s">
        <v>88</v>
      </c>
      <c r="B35" s="2">
        <v>5</v>
      </c>
      <c r="C35" s="2"/>
      <c r="D35" s="2"/>
      <c r="E35" s="2"/>
      <c r="F35" s="2"/>
      <c r="G35" s="2"/>
      <c r="H35" s="2"/>
      <c r="I35" s="2">
        <v>67.942300000000003</v>
      </c>
      <c r="J35" s="2">
        <v>83</v>
      </c>
      <c r="K35" s="2">
        <v>66.950900000000004</v>
      </c>
      <c r="L35" s="2">
        <v>126</v>
      </c>
      <c r="M35" s="2">
        <v>109.9401</v>
      </c>
      <c r="N35" s="2">
        <v>29</v>
      </c>
      <c r="O35" s="2">
        <v>112.4097</v>
      </c>
      <c r="P35" s="2">
        <v>21</v>
      </c>
      <c r="Q35" s="2">
        <v>100.7389</v>
      </c>
      <c r="R35" s="2">
        <v>169</v>
      </c>
      <c r="S35" s="2">
        <v>97.833500000000001</v>
      </c>
      <c r="T35" s="2">
        <v>100</v>
      </c>
      <c r="U35" s="2">
        <v>0.83162100000000005</v>
      </c>
      <c r="V35" s="2">
        <v>34</v>
      </c>
      <c r="W35" s="2">
        <v>2012</v>
      </c>
    </row>
    <row r="36" spans="1:23" ht="12.3" x14ac:dyDescent="0.4">
      <c r="A36" s="2" t="s">
        <v>255</v>
      </c>
      <c r="B36" s="2">
        <v>12</v>
      </c>
      <c r="C36" s="2"/>
      <c r="D36" s="2"/>
      <c r="E36" s="2"/>
      <c r="F36" s="2"/>
      <c r="G36" s="2"/>
      <c r="H36" s="2"/>
      <c r="I36" s="2">
        <v>60.792000000000002</v>
      </c>
      <c r="J36" s="2">
        <v>337</v>
      </c>
      <c r="K36" s="2">
        <v>61.1614</v>
      </c>
      <c r="L36" s="2">
        <v>329</v>
      </c>
      <c r="M36" s="2">
        <v>106.5193</v>
      </c>
      <c r="N36" s="2">
        <v>68</v>
      </c>
      <c r="O36" s="2">
        <v>106.8588</v>
      </c>
      <c r="P36" s="2">
        <v>69</v>
      </c>
      <c r="Q36" s="2">
        <v>89.941900000000004</v>
      </c>
      <c r="R36" s="2">
        <v>10</v>
      </c>
      <c r="S36" s="2">
        <v>93.030299999999997</v>
      </c>
      <c r="T36" s="2">
        <v>22</v>
      </c>
      <c r="U36" s="2">
        <v>0.83113700000000001</v>
      </c>
      <c r="V36" s="2">
        <v>35</v>
      </c>
      <c r="W36" s="2">
        <v>2012</v>
      </c>
    </row>
    <row r="37" spans="1:23" ht="12.3" x14ac:dyDescent="0.4">
      <c r="A37" s="2" t="s">
        <v>109</v>
      </c>
      <c r="B37" s="2">
        <v>6</v>
      </c>
      <c r="C37" s="2"/>
      <c r="D37" s="2"/>
      <c r="E37" s="2"/>
      <c r="F37" s="2"/>
      <c r="G37" s="2"/>
      <c r="H37" s="2"/>
      <c r="I37" s="2">
        <v>68.980599999999995</v>
      </c>
      <c r="J37" s="2">
        <v>49</v>
      </c>
      <c r="K37" s="2">
        <v>69.725200000000001</v>
      </c>
      <c r="L37" s="2">
        <v>30</v>
      </c>
      <c r="M37" s="2">
        <v>107.48180000000001</v>
      </c>
      <c r="N37" s="2">
        <v>54</v>
      </c>
      <c r="O37" s="2">
        <v>106.8185</v>
      </c>
      <c r="P37" s="2">
        <v>71</v>
      </c>
      <c r="Q37" s="2">
        <v>94.639600000000002</v>
      </c>
      <c r="R37" s="2">
        <v>45</v>
      </c>
      <c r="S37" s="2">
        <v>93.001800000000003</v>
      </c>
      <c r="T37" s="2">
        <v>21</v>
      </c>
      <c r="U37" s="2">
        <v>0.83102200000000004</v>
      </c>
      <c r="V37" s="2">
        <v>36</v>
      </c>
      <c r="W37" s="2">
        <v>2012</v>
      </c>
    </row>
    <row r="38" spans="1:23" ht="12.3" x14ac:dyDescent="0.4">
      <c r="A38" s="2" t="s">
        <v>57</v>
      </c>
      <c r="B38" s="2">
        <v>12</v>
      </c>
      <c r="C38" s="2"/>
      <c r="D38" s="2"/>
      <c r="E38" s="2"/>
      <c r="F38" s="2"/>
      <c r="G38" s="2"/>
      <c r="H38" s="2"/>
      <c r="I38" s="2">
        <v>66.589399999999998</v>
      </c>
      <c r="J38" s="2">
        <v>150</v>
      </c>
      <c r="K38" s="2">
        <v>67.2119</v>
      </c>
      <c r="L38" s="2">
        <v>114</v>
      </c>
      <c r="M38" s="2">
        <v>107.8545</v>
      </c>
      <c r="N38" s="2">
        <v>47</v>
      </c>
      <c r="O38" s="2">
        <v>108.8378</v>
      </c>
      <c r="P38" s="2">
        <v>45</v>
      </c>
      <c r="Q38" s="2">
        <v>92.4816</v>
      </c>
      <c r="R38" s="2">
        <v>25</v>
      </c>
      <c r="S38" s="2">
        <v>94.772400000000005</v>
      </c>
      <c r="T38" s="2">
        <v>49</v>
      </c>
      <c r="U38" s="2">
        <v>0.83080900000000002</v>
      </c>
      <c r="V38" s="2">
        <v>37</v>
      </c>
      <c r="W38" s="2">
        <v>2012</v>
      </c>
    </row>
    <row r="39" spans="1:23" ht="12.3" x14ac:dyDescent="0.4">
      <c r="A39" s="2" t="s">
        <v>90</v>
      </c>
      <c r="B39" s="2">
        <v>8</v>
      </c>
      <c r="C39" s="3" t="s">
        <v>33</v>
      </c>
      <c r="D39" s="2"/>
      <c r="E39" s="2"/>
      <c r="F39" s="2"/>
      <c r="G39" s="2"/>
      <c r="H39" s="2"/>
      <c r="I39" s="2">
        <v>67.535300000000007</v>
      </c>
      <c r="J39" s="2">
        <v>106</v>
      </c>
      <c r="K39" s="2">
        <v>67.036799999999999</v>
      </c>
      <c r="L39" s="2">
        <v>120</v>
      </c>
      <c r="M39" s="2">
        <v>117.3257</v>
      </c>
      <c r="N39" s="2">
        <v>3</v>
      </c>
      <c r="O39" s="2">
        <v>117.5104</v>
      </c>
      <c r="P39" s="2">
        <v>5</v>
      </c>
      <c r="Q39" s="2">
        <v>102.3886</v>
      </c>
      <c r="R39" s="2">
        <v>201</v>
      </c>
      <c r="S39" s="2">
        <v>102.413</v>
      </c>
      <c r="T39" s="2">
        <v>195</v>
      </c>
      <c r="U39" s="2">
        <v>0.829403</v>
      </c>
      <c r="V39" s="2">
        <v>38</v>
      </c>
      <c r="W39" s="2">
        <v>2012</v>
      </c>
    </row>
    <row r="40" spans="1:23" ht="12.3" x14ac:dyDescent="0.4">
      <c r="A40" s="2" t="s">
        <v>210</v>
      </c>
      <c r="B40" s="2"/>
      <c r="C40" s="2"/>
      <c r="D40" s="2"/>
      <c r="E40" s="2"/>
      <c r="F40" s="2"/>
      <c r="G40" s="2"/>
      <c r="H40" s="2"/>
      <c r="I40" s="2">
        <v>60.813299999999998</v>
      </c>
      <c r="J40" s="2">
        <v>336</v>
      </c>
      <c r="K40" s="2">
        <v>60.973700000000001</v>
      </c>
      <c r="L40" s="2">
        <v>332</v>
      </c>
      <c r="M40" s="2">
        <v>106.78579999999999</v>
      </c>
      <c r="N40" s="2">
        <v>63</v>
      </c>
      <c r="O40" s="2">
        <v>107.53189999999999</v>
      </c>
      <c r="P40" s="2">
        <v>61</v>
      </c>
      <c r="Q40" s="2">
        <v>90.935400000000001</v>
      </c>
      <c r="R40" s="2">
        <v>13</v>
      </c>
      <c r="S40" s="2">
        <v>94.170500000000004</v>
      </c>
      <c r="T40" s="2">
        <v>40</v>
      </c>
      <c r="U40" s="2">
        <v>0.82139499999999999</v>
      </c>
      <c r="V40" s="2">
        <v>39</v>
      </c>
      <c r="W40" s="2">
        <v>2012</v>
      </c>
    </row>
    <row r="41" spans="1:23" ht="12.3" x14ac:dyDescent="0.4">
      <c r="A41" s="2" t="s">
        <v>60</v>
      </c>
      <c r="B41" s="2"/>
      <c r="C41" s="2"/>
      <c r="D41" s="2"/>
      <c r="E41" s="2"/>
      <c r="F41" s="2"/>
      <c r="G41" s="2"/>
      <c r="H41" s="2"/>
      <c r="I41" s="2">
        <v>65.483699999999999</v>
      </c>
      <c r="J41" s="2">
        <v>206</v>
      </c>
      <c r="K41" s="2">
        <v>64.7423</v>
      </c>
      <c r="L41" s="2">
        <v>244</v>
      </c>
      <c r="M41" s="2">
        <v>106.2192</v>
      </c>
      <c r="N41" s="2">
        <v>73</v>
      </c>
      <c r="O41" s="2">
        <v>109.3797</v>
      </c>
      <c r="P41" s="2">
        <v>39</v>
      </c>
      <c r="Q41" s="2">
        <v>98.4114</v>
      </c>
      <c r="R41" s="2">
        <v>110</v>
      </c>
      <c r="S41" s="2">
        <v>95.803399999999996</v>
      </c>
      <c r="T41" s="2">
        <v>63</v>
      </c>
      <c r="U41" s="2">
        <v>0.82113599999999998</v>
      </c>
      <c r="V41" s="2">
        <v>40</v>
      </c>
      <c r="W41" s="2">
        <v>2012</v>
      </c>
    </row>
    <row r="42" spans="1:23" ht="12.3" x14ac:dyDescent="0.4">
      <c r="A42" s="2" t="s">
        <v>54</v>
      </c>
      <c r="B42" s="2">
        <v>9</v>
      </c>
      <c r="C42" s="2"/>
      <c r="D42" s="2"/>
      <c r="E42" s="2"/>
      <c r="F42" s="2"/>
      <c r="G42" s="2"/>
      <c r="H42" s="2"/>
      <c r="I42" s="2">
        <v>64.173400000000001</v>
      </c>
      <c r="J42" s="2">
        <v>273</v>
      </c>
      <c r="K42" s="2">
        <v>63.941099999999999</v>
      </c>
      <c r="L42" s="2">
        <v>273</v>
      </c>
      <c r="M42" s="2">
        <v>106.0234</v>
      </c>
      <c r="N42" s="2">
        <v>77</v>
      </c>
      <c r="O42" s="2">
        <v>109.0886</v>
      </c>
      <c r="P42" s="2">
        <v>43</v>
      </c>
      <c r="Q42" s="2">
        <v>98.967799999999997</v>
      </c>
      <c r="R42" s="2">
        <v>127</v>
      </c>
      <c r="S42" s="2">
        <v>95.779899999999998</v>
      </c>
      <c r="T42" s="2">
        <v>61</v>
      </c>
      <c r="U42" s="2">
        <v>0.81701100000000004</v>
      </c>
      <c r="V42" s="2">
        <v>41</v>
      </c>
      <c r="W42" s="2">
        <v>2012</v>
      </c>
    </row>
    <row r="43" spans="1:23" ht="12.3" x14ac:dyDescent="0.4">
      <c r="A43" s="2" t="s">
        <v>56</v>
      </c>
      <c r="B43" s="2">
        <v>7</v>
      </c>
      <c r="C43" s="2"/>
      <c r="D43" s="2"/>
      <c r="E43" s="2"/>
      <c r="F43" s="2"/>
      <c r="G43" s="2"/>
      <c r="H43" s="2"/>
      <c r="I43" s="2">
        <v>61.853000000000002</v>
      </c>
      <c r="J43" s="2">
        <v>324</v>
      </c>
      <c r="K43" s="2">
        <v>61.328499999999998</v>
      </c>
      <c r="L43" s="2">
        <v>327</v>
      </c>
      <c r="M43" s="2">
        <v>105.7932</v>
      </c>
      <c r="N43" s="2">
        <v>82</v>
      </c>
      <c r="O43" s="2">
        <v>107.71299999999999</v>
      </c>
      <c r="P43" s="2">
        <v>58</v>
      </c>
      <c r="Q43" s="2">
        <v>98.037099999999995</v>
      </c>
      <c r="R43" s="2">
        <v>100</v>
      </c>
      <c r="S43" s="2">
        <v>94.888499999999993</v>
      </c>
      <c r="T43" s="2">
        <v>51</v>
      </c>
      <c r="U43" s="2">
        <v>0.81120099999999995</v>
      </c>
      <c r="V43" s="2">
        <v>42</v>
      </c>
      <c r="W43" s="2">
        <v>2012</v>
      </c>
    </row>
    <row r="44" spans="1:23" ht="12.3" x14ac:dyDescent="0.4">
      <c r="A44" s="2" t="s">
        <v>262</v>
      </c>
      <c r="B44" s="2">
        <v>7</v>
      </c>
      <c r="C44" s="2"/>
      <c r="D44" s="2"/>
      <c r="E44" s="2"/>
      <c r="F44" s="2"/>
      <c r="G44" s="2"/>
      <c r="H44" s="2"/>
      <c r="I44" s="2">
        <v>64.491100000000003</v>
      </c>
      <c r="J44" s="2">
        <v>250</v>
      </c>
      <c r="K44" s="2">
        <v>64.027100000000004</v>
      </c>
      <c r="L44" s="2">
        <v>270</v>
      </c>
      <c r="M44" s="2">
        <v>113.5955</v>
      </c>
      <c r="N44" s="2">
        <v>10</v>
      </c>
      <c r="O44" s="2">
        <v>112.8068</v>
      </c>
      <c r="P44" s="2">
        <v>20</v>
      </c>
      <c r="Q44" s="2">
        <v>97.141999999999996</v>
      </c>
      <c r="R44" s="2">
        <v>82</v>
      </c>
      <c r="S44" s="2">
        <v>99.446100000000001</v>
      </c>
      <c r="T44" s="2">
        <v>135</v>
      </c>
      <c r="U44" s="2">
        <v>0.80995200000000001</v>
      </c>
      <c r="V44" s="2">
        <v>43</v>
      </c>
      <c r="W44" s="2">
        <v>2012</v>
      </c>
    </row>
    <row r="45" spans="1:23" ht="12.3" x14ac:dyDescent="0.4">
      <c r="A45" s="2" t="s">
        <v>137</v>
      </c>
      <c r="B45" s="2">
        <v>12</v>
      </c>
      <c r="C45" s="3" t="s">
        <v>33</v>
      </c>
      <c r="D45" s="2"/>
      <c r="E45" s="2"/>
      <c r="F45" s="2"/>
      <c r="G45" s="2"/>
      <c r="H45" s="2"/>
      <c r="I45" s="2">
        <v>65.1751</v>
      </c>
      <c r="J45" s="2">
        <v>218</v>
      </c>
      <c r="K45" s="2">
        <v>66.358599999999996</v>
      </c>
      <c r="L45" s="2">
        <v>147</v>
      </c>
      <c r="M45" s="2">
        <v>104.1292</v>
      </c>
      <c r="N45" s="2">
        <v>110</v>
      </c>
      <c r="O45" s="2">
        <v>105.6999</v>
      </c>
      <c r="P45" s="2">
        <v>84</v>
      </c>
      <c r="Q45" s="2">
        <v>90.847300000000004</v>
      </c>
      <c r="R45" s="2">
        <v>12</v>
      </c>
      <c r="S45" s="2">
        <v>93.357799999999997</v>
      </c>
      <c r="T45" s="2">
        <v>26</v>
      </c>
      <c r="U45" s="2">
        <v>0.80657299999999998</v>
      </c>
      <c r="V45" s="2">
        <v>44</v>
      </c>
      <c r="W45" s="2">
        <v>2012</v>
      </c>
    </row>
    <row r="46" spans="1:23" ht="12.3" x14ac:dyDescent="0.4">
      <c r="A46" s="2" t="s">
        <v>229</v>
      </c>
      <c r="B46" s="2">
        <v>10</v>
      </c>
      <c r="C46" s="2"/>
      <c r="D46" s="2"/>
      <c r="E46" s="2"/>
      <c r="F46" s="2"/>
      <c r="G46" s="2"/>
      <c r="H46" s="2"/>
      <c r="I46" s="2">
        <v>65.250900000000001</v>
      </c>
      <c r="J46" s="2">
        <v>215</v>
      </c>
      <c r="K46" s="2">
        <v>64.912599999999998</v>
      </c>
      <c r="L46" s="2">
        <v>228</v>
      </c>
      <c r="M46" s="2">
        <v>106.45650000000001</v>
      </c>
      <c r="N46" s="2">
        <v>69</v>
      </c>
      <c r="O46" s="2">
        <v>109.5359</v>
      </c>
      <c r="P46" s="2">
        <v>37</v>
      </c>
      <c r="Q46" s="2">
        <v>99.449600000000004</v>
      </c>
      <c r="R46" s="2">
        <v>137</v>
      </c>
      <c r="S46" s="2">
        <v>97.072699999999998</v>
      </c>
      <c r="T46" s="2">
        <v>82</v>
      </c>
      <c r="U46" s="2">
        <v>0.80044999999999999</v>
      </c>
      <c r="V46" s="2">
        <v>45</v>
      </c>
      <c r="W46" s="2">
        <v>2012</v>
      </c>
    </row>
    <row r="47" spans="1:23" ht="12.3" x14ac:dyDescent="0.4">
      <c r="A47" s="2" t="s">
        <v>97</v>
      </c>
      <c r="B47" s="2">
        <v>6</v>
      </c>
      <c r="C47" s="2"/>
      <c r="D47" s="2"/>
      <c r="E47" s="2"/>
      <c r="F47" s="2"/>
      <c r="G47" s="2"/>
      <c r="H47" s="2"/>
      <c r="I47" s="2">
        <v>66.7547</v>
      </c>
      <c r="J47" s="2">
        <v>145</v>
      </c>
      <c r="K47" s="2">
        <v>66.705799999999996</v>
      </c>
      <c r="L47" s="2">
        <v>137</v>
      </c>
      <c r="M47" s="2">
        <v>103.8913</v>
      </c>
      <c r="N47" s="2">
        <v>115</v>
      </c>
      <c r="O47" s="2">
        <v>105.3074</v>
      </c>
      <c r="P47" s="2">
        <v>92</v>
      </c>
      <c r="Q47" s="2">
        <v>94.889600000000002</v>
      </c>
      <c r="R47" s="2">
        <v>49</v>
      </c>
      <c r="S47" s="2">
        <v>93.882099999999994</v>
      </c>
      <c r="T47" s="2">
        <v>34</v>
      </c>
      <c r="U47" s="2">
        <v>0.78929899999999997</v>
      </c>
      <c r="V47" s="2">
        <v>46</v>
      </c>
      <c r="W47" s="2">
        <v>2012</v>
      </c>
    </row>
    <row r="48" spans="1:23" ht="12.3" x14ac:dyDescent="0.4">
      <c r="A48" s="2" t="s">
        <v>228</v>
      </c>
      <c r="B48" s="2"/>
      <c r="C48" s="2"/>
      <c r="D48" s="2"/>
      <c r="E48" s="2"/>
      <c r="F48" s="2"/>
      <c r="G48" s="2"/>
      <c r="H48" s="2"/>
      <c r="I48" s="2">
        <v>66.236900000000006</v>
      </c>
      <c r="J48" s="2">
        <v>171</v>
      </c>
      <c r="K48" s="2">
        <v>66.0017</v>
      </c>
      <c r="L48" s="2">
        <v>169</v>
      </c>
      <c r="M48" s="2">
        <v>106.92829999999999</v>
      </c>
      <c r="N48" s="2">
        <v>61</v>
      </c>
      <c r="O48" s="2">
        <v>105.4248</v>
      </c>
      <c r="P48" s="2">
        <v>89</v>
      </c>
      <c r="Q48" s="2">
        <v>92.985900000000001</v>
      </c>
      <c r="R48" s="2">
        <v>27</v>
      </c>
      <c r="S48" s="2">
        <v>94.071600000000004</v>
      </c>
      <c r="T48" s="2">
        <v>38</v>
      </c>
      <c r="U48" s="2">
        <v>0.78756800000000005</v>
      </c>
      <c r="V48" s="2">
        <v>47</v>
      </c>
      <c r="W48" s="2">
        <v>2012</v>
      </c>
    </row>
    <row r="49" spans="1:23" ht="12.3" x14ac:dyDescent="0.4">
      <c r="A49" s="2" t="s">
        <v>43</v>
      </c>
      <c r="B49" s="2"/>
      <c r="C49" s="2"/>
      <c r="D49" s="2"/>
      <c r="E49" s="2"/>
      <c r="F49" s="2"/>
      <c r="G49" s="2"/>
      <c r="H49" s="2"/>
      <c r="I49" s="2">
        <v>65.318100000000001</v>
      </c>
      <c r="J49" s="2">
        <v>213</v>
      </c>
      <c r="K49" s="2">
        <v>65.554299999999998</v>
      </c>
      <c r="L49" s="2">
        <v>200</v>
      </c>
      <c r="M49" s="2">
        <v>105.4601</v>
      </c>
      <c r="N49" s="2">
        <v>90</v>
      </c>
      <c r="O49" s="2">
        <v>105.74930000000001</v>
      </c>
      <c r="P49" s="2">
        <v>82</v>
      </c>
      <c r="Q49" s="2">
        <v>95.119299999999996</v>
      </c>
      <c r="R49" s="2">
        <v>53</v>
      </c>
      <c r="S49" s="2">
        <v>94.364000000000004</v>
      </c>
      <c r="T49" s="2">
        <v>42</v>
      </c>
      <c r="U49" s="2">
        <v>0.78751099999999996</v>
      </c>
      <c r="V49" s="2">
        <v>48</v>
      </c>
      <c r="W49" s="2">
        <v>2012</v>
      </c>
    </row>
    <row r="50" spans="1:23" ht="12.3" x14ac:dyDescent="0.4">
      <c r="A50" s="2" t="s">
        <v>55</v>
      </c>
      <c r="B50" s="2">
        <v>11</v>
      </c>
      <c r="C50" s="3" t="s">
        <v>33</v>
      </c>
      <c r="D50" s="3" t="s">
        <v>33</v>
      </c>
      <c r="E50" s="2"/>
      <c r="F50" s="2"/>
      <c r="G50" s="2"/>
      <c r="H50" s="2"/>
      <c r="I50" s="2">
        <v>67.999399999999994</v>
      </c>
      <c r="J50" s="2">
        <v>81</v>
      </c>
      <c r="K50" s="2">
        <v>68.107799999999997</v>
      </c>
      <c r="L50" s="2">
        <v>80</v>
      </c>
      <c r="M50" s="2">
        <v>107.7067</v>
      </c>
      <c r="N50" s="2">
        <v>49</v>
      </c>
      <c r="O50" s="2">
        <v>109.67570000000001</v>
      </c>
      <c r="P50" s="2">
        <v>31</v>
      </c>
      <c r="Q50" s="2">
        <v>99.628100000000003</v>
      </c>
      <c r="R50" s="2">
        <v>144</v>
      </c>
      <c r="S50" s="2">
        <v>98.019599999999997</v>
      </c>
      <c r="T50" s="2">
        <v>106</v>
      </c>
      <c r="U50" s="2">
        <v>0.78451000000000004</v>
      </c>
      <c r="V50" s="2">
        <v>49</v>
      </c>
      <c r="W50" s="2">
        <v>2012</v>
      </c>
    </row>
    <row r="51" spans="1:23" ht="12.3" x14ac:dyDescent="0.4">
      <c r="A51" s="2" t="s">
        <v>106</v>
      </c>
      <c r="B51" s="2">
        <v>14</v>
      </c>
      <c r="C51" s="2"/>
      <c r="D51" s="2"/>
      <c r="E51" s="2"/>
      <c r="F51" s="2"/>
      <c r="G51" s="2"/>
      <c r="H51" s="2"/>
      <c r="I51" s="2">
        <v>65.037800000000004</v>
      </c>
      <c r="J51" s="2">
        <v>228</v>
      </c>
      <c r="K51" s="2">
        <v>64.166300000000007</v>
      </c>
      <c r="L51" s="2">
        <v>261</v>
      </c>
      <c r="M51" s="2">
        <v>107.3471</v>
      </c>
      <c r="N51" s="2">
        <v>57</v>
      </c>
      <c r="O51" s="2">
        <v>108.7195</v>
      </c>
      <c r="P51" s="2">
        <v>47</v>
      </c>
      <c r="Q51" s="2">
        <v>98.656899999999993</v>
      </c>
      <c r="R51" s="2">
        <v>119</v>
      </c>
      <c r="S51" s="2">
        <v>97.498199999999997</v>
      </c>
      <c r="T51" s="2">
        <v>93</v>
      </c>
      <c r="U51" s="2">
        <v>0.77778000000000003</v>
      </c>
      <c r="V51" s="2">
        <v>50</v>
      </c>
      <c r="W51" s="2">
        <v>2012</v>
      </c>
    </row>
    <row r="52" spans="1:23" ht="12.3" x14ac:dyDescent="0.4">
      <c r="A52" s="2" t="s">
        <v>119</v>
      </c>
      <c r="B52" s="2"/>
      <c r="C52" s="2"/>
      <c r="D52" s="2"/>
      <c r="E52" s="2"/>
      <c r="F52" s="2"/>
      <c r="G52" s="2"/>
      <c r="H52" s="2"/>
      <c r="I52" s="2">
        <v>66.114099999999993</v>
      </c>
      <c r="J52" s="2">
        <v>178</v>
      </c>
      <c r="K52" s="2">
        <v>65.776700000000005</v>
      </c>
      <c r="L52" s="2">
        <v>188</v>
      </c>
      <c r="M52" s="2">
        <v>102.864</v>
      </c>
      <c r="N52" s="2">
        <v>132</v>
      </c>
      <c r="O52" s="2">
        <v>103.9944</v>
      </c>
      <c r="P52" s="2">
        <v>111</v>
      </c>
      <c r="Q52" s="2">
        <v>95.041799999999995</v>
      </c>
      <c r="R52" s="2">
        <v>51</v>
      </c>
      <c r="S52" s="2">
        <v>93.397199999999998</v>
      </c>
      <c r="T52" s="2">
        <v>28</v>
      </c>
      <c r="U52" s="2">
        <v>0.77486200000000005</v>
      </c>
      <c r="V52" s="2">
        <v>51</v>
      </c>
      <c r="W52" s="2">
        <v>2012</v>
      </c>
    </row>
    <row r="53" spans="1:23" ht="12.3" x14ac:dyDescent="0.4">
      <c r="A53" s="2" t="s">
        <v>103</v>
      </c>
      <c r="B53" s="2">
        <v>12</v>
      </c>
      <c r="C53" s="3" t="s">
        <v>33</v>
      </c>
      <c r="D53" s="2"/>
      <c r="E53" s="2"/>
      <c r="F53" s="2"/>
      <c r="G53" s="2"/>
      <c r="H53" s="2"/>
      <c r="I53" s="2">
        <v>59.781999999999996</v>
      </c>
      <c r="J53" s="2">
        <v>342</v>
      </c>
      <c r="K53" s="2">
        <v>59.849800000000002</v>
      </c>
      <c r="L53" s="2">
        <v>342</v>
      </c>
      <c r="M53" s="2">
        <v>97.666600000000003</v>
      </c>
      <c r="N53" s="2">
        <v>240</v>
      </c>
      <c r="O53" s="2">
        <v>99.433000000000007</v>
      </c>
      <c r="P53" s="2">
        <v>208</v>
      </c>
      <c r="Q53" s="2">
        <v>95.072299999999998</v>
      </c>
      <c r="R53" s="2">
        <v>52</v>
      </c>
      <c r="S53" s="2">
        <v>89.369900000000001</v>
      </c>
      <c r="T53" s="2">
        <v>6</v>
      </c>
      <c r="U53" s="2">
        <v>0.77330299999999996</v>
      </c>
      <c r="V53" s="2">
        <v>52</v>
      </c>
      <c r="W53" s="2">
        <v>2012</v>
      </c>
    </row>
    <row r="54" spans="1:23" ht="12.3" x14ac:dyDescent="0.4">
      <c r="A54" s="2" t="s">
        <v>169</v>
      </c>
      <c r="B54" s="2"/>
      <c r="C54" s="2"/>
      <c r="D54" s="2"/>
      <c r="E54" s="2"/>
      <c r="F54" s="2"/>
      <c r="G54" s="2"/>
      <c r="H54" s="2"/>
      <c r="I54" s="2">
        <v>68.554400000000001</v>
      </c>
      <c r="J54" s="2">
        <v>61</v>
      </c>
      <c r="K54" s="2">
        <v>68.636300000000006</v>
      </c>
      <c r="L54" s="2">
        <v>55</v>
      </c>
      <c r="M54" s="2">
        <v>106.428</v>
      </c>
      <c r="N54" s="2">
        <v>70</v>
      </c>
      <c r="O54" s="2">
        <v>105.02800000000001</v>
      </c>
      <c r="P54" s="2">
        <v>95</v>
      </c>
      <c r="Q54" s="2">
        <v>95.510499999999993</v>
      </c>
      <c r="R54" s="2">
        <v>56</v>
      </c>
      <c r="S54" s="2">
        <v>94.448599999999999</v>
      </c>
      <c r="T54" s="2">
        <v>45</v>
      </c>
      <c r="U54" s="2">
        <v>0.772235</v>
      </c>
      <c r="V54" s="2">
        <v>53</v>
      </c>
      <c r="W54" s="2">
        <v>2012</v>
      </c>
    </row>
    <row r="55" spans="1:23" ht="12.3" x14ac:dyDescent="0.4">
      <c r="A55" s="2" t="s">
        <v>81</v>
      </c>
      <c r="B55" s="2"/>
      <c r="C55" s="2"/>
      <c r="D55" s="2"/>
      <c r="E55" s="2"/>
      <c r="F55" s="2"/>
      <c r="G55" s="2"/>
      <c r="H55" s="2"/>
      <c r="I55" s="2">
        <v>65.063599999999994</v>
      </c>
      <c r="J55" s="2">
        <v>225</v>
      </c>
      <c r="K55" s="2">
        <v>65.153000000000006</v>
      </c>
      <c r="L55" s="2">
        <v>214</v>
      </c>
      <c r="M55" s="2">
        <v>103.18389999999999</v>
      </c>
      <c r="N55" s="2">
        <v>125</v>
      </c>
      <c r="O55" s="2">
        <v>104.78</v>
      </c>
      <c r="P55" s="2">
        <v>100</v>
      </c>
      <c r="Q55" s="2">
        <v>98.851100000000002</v>
      </c>
      <c r="R55" s="2">
        <v>121</v>
      </c>
      <c r="S55" s="2">
        <v>94.2376</v>
      </c>
      <c r="T55" s="2">
        <v>41</v>
      </c>
      <c r="U55" s="2">
        <v>0.771976</v>
      </c>
      <c r="V55" s="2">
        <v>54</v>
      </c>
      <c r="W55" s="2">
        <v>2012</v>
      </c>
    </row>
    <row r="56" spans="1:23" ht="12.3" x14ac:dyDescent="0.4">
      <c r="A56" s="2" t="s">
        <v>50</v>
      </c>
      <c r="B56" s="2">
        <v>10</v>
      </c>
      <c r="C56" s="2"/>
      <c r="D56" s="2"/>
      <c r="E56" s="2"/>
      <c r="F56" s="2"/>
      <c r="G56" s="2"/>
      <c r="H56" s="2"/>
      <c r="I56" s="2">
        <v>67.698400000000007</v>
      </c>
      <c r="J56" s="2">
        <v>98</v>
      </c>
      <c r="K56" s="2">
        <v>67.575299999999999</v>
      </c>
      <c r="L56" s="2">
        <v>101</v>
      </c>
      <c r="M56" s="2">
        <v>103.35080000000001</v>
      </c>
      <c r="N56" s="2">
        <v>122</v>
      </c>
      <c r="O56" s="2">
        <v>105.8775</v>
      </c>
      <c r="P56" s="2">
        <v>81</v>
      </c>
      <c r="Q56" s="2">
        <v>98.516800000000003</v>
      </c>
      <c r="R56" s="2">
        <v>113</v>
      </c>
      <c r="S56" s="2">
        <v>95.396500000000003</v>
      </c>
      <c r="T56" s="2">
        <v>59</v>
      </c>
      <c r="U56" s="2">
        <v>0.76830699999999996</v>
      </c>
      <c r="V56" s="2">
        <v>55</v>
      </c>
      <c r="W56" s="2">
        <v>2012</v>
      </c>
    </row>
    <row r="57" spans="1:23" ht="12.3" x14ac:dyDescent="0.4">
      <c r="A57" s="2" t="s">
        <v>118</v>
      </c>
      <c r="B57" s="2">
        <v>13</v>
      </c>
      <c r="C57" s="2"/>
      <c r="D57" s="2"/>
      <c r="E57" s="2"/>
      <c r="F57" s="2"/>
      <c r="G57" s="2"/>
      <c r="H57" s="2"/>
      <c r="I57" s="2">
        <v>70.774500000000003</v>
      </c>
      <c r="J57" s="2">
        <v>21</v>
      </c>
      <c r="K57" s="2">
        <v>70.852900000000005</v>
      </c>
      <c r="L57" s="2">
        <v>19</v>
      </c>
      <c r="M57" s="2">
        <v>108.89709999999999</v>
      </c>
      <c r="N57" s="2">
        <v>38</v>
      </c>
      <c r="O57" s="2">
        <v>106.6245</v>
      </c>
      <c r="P57" s="2">
        <v>73</v>
      </c>
      <c r="Q57" s="2">
        <v>95.885999999999996</v>
      </c>
      <c r="R57" s="2">
        <v>63</v>
      </c>
      <c r="S57" s="2">
        <v>96.213399999999993</v>
      </c>
      <c r="T57" s="2">
        <v>69</v>
      </c>
      <c r="U57" s="2">
        <v>0.76522800000000002</v>
      </c>
      <c r="V57" s="2">
        <v>56</v>
      </c>
      <c r="W57" s="2">
        <v>2012</v>
      </c>
    </row>
    <row r="58" spans="1:23" ht="12.3" x14ac:dyDescent="0.4">
      <c r="A58" s="2" t="s">
        <v>241</v>
      </c>
      <c r="B58" s="2">
        <v>14</v>
      </c>
      <c r="C58" s="2"/>
      <c r="D58" s="2"/>
      <c r="E58" s="2"/>
      <c r="F58" s="2"/>
      <c r="G58" s="2"/>
      <c r="H58" s="2"/>
      <c r="I58" s="2">
        <v>71.166399999999996</v>
      </c>
      <c r="J58" s="2">
        <v>18</v>
      </c>
      <c r="K58" s="2">
        <v>70.546800000000005</v>
      </c>
      <c r="L58" s="2">
        <v>22</v>
      </c>
      <c r="M58" s="2">
        <v>115.69880000000001</v>
      </c>
      <c r="N58" s="2">
        <v>5</v>
      </c>
      <c r="O58" s="2">
        <v>114.25790000000001</v>
      </c>
      <c r="P58" s="2">
        <v>12</v>
      </c>
      <c r="Q58" s="2">
        <v>100.6866</v>
      </c>
      <c r="R58" s="2">
        <v>167</v>
      </c>
      <c r="S58" s="2">
        <v>103.18210000000001</v>
      </c>
      <c r="T58" s="2">
        <v>213</v>
      </c>
      <c r="U58" s="2">
        <v>0.76361000000000001</v>
      </c>
      <c r="V58" s="2">
        <v>57</v>
      </c>
      <c r="W58" s="2">
        <v>2012</v>
      </c>
    </row>
    <row r="59" spans="1:23" ht="12.3" x14ac:dyDescent="0.4">
      <c r="A59" s="2" t="s">
        <v>151</v>
      </c>
      <c r="B59" s="2">
        <v>13</v>
      </c>
      <c r="C59" s="3" t="s">
        <v>33</v>
      </c>
      <c r="D59" s="3" t="s">
        <v>33</v>
      </c>
      <c r="E59" s="2"/>
      <c r="F59" s="2"/>
      <c r="G59" s="2"/>
      <c r="H59" s="2"/>
      <c r="I59" s="2">
        <v>67.107699999999994</v>
      </c>
      <c r="J59" s="2">
        <v>123</v>
      </c>
      <c r="K59" s="2">
        <v>67.1738</v>
      </c>
      <c r="L59" s="2">
        <v>115</v>
      </c>
      <c r="M59" s="2">
        <v>104.36839999999999</v>
      </c>
      <c r="N59" s="2">
        <v>106</v>
      </c>
      <c r="O59" s="2">
        <v>104.4235</v>
      </c>
      <c r="P59" s="2">
        <v>106</v>
      </c>
      <c r="Q59" s="2">
        <v>93.230500000000006</v>
      </c>
      <c r="R59" s="2">
        <v>31</v>
      </c>
      <c r="S59" s="2">
        <v>94.395200000000003</v>
      </c>
      <c r="T59" s="2">
        <v>43</v>
      </c>
      <c r="U59" s="2">
        <v>0.76153099999999996</v>
      </c>
      <c r="V59" s="2">
        <v>58</v>
      </c>
      <c r="W59" s="2">
        <v>2012</v>
      </c>
    </row>
    <row r="60" spans="1:23" ht="12.3" x14ac:dyDescent="0.4">
      <c r="A60" s="2" t="s">
        <v>91</v>
      </c>
      <c r="B60" s="2"/>
      <c r="C60" s="2"/>
      <c r="D60" s="2"/>
      <c r="E60" s="2"/>
      <c r="F60" s="2"/>
      <c r="G60" s="2"/>
      <c r="H60" s="2"/>
      <c r="I60" s="2">
        <v>66.268299999999996</v>
      </c>
      <c r="J60" s="2">
        <v>168</v>
      </c>
      <c r="K60" s="2">
        <v>65.793300000000002</v>
      </c>
      <c r="L60" s="2">
        <v>187</v>
      </c>
      <c r="M60" s="2">
        <v>106.7487</v>
      </c>
      <c r="N60" s="2">
        <v>64</v>
      </c>
      <c r="O60" s="2">
        <v>108.9405</v>
      </c>
      <c r="P60" s="2">
        <v>44</v>
      </c>
      <c r="Q60" s="2">
        <v>100.5421</v>
      </c>
      <c r="R60" s="2">
        <v>165</v>
      </c>
      <c r="S60" s="2">
        <v>98.503100000000003</v>
      </c>
      <c r="T60" s="2">
        <v>114</v>
      </c>
      <c r="U60" s="2">
        <v>0.76100500000000004</v>
      </c>
      <c r="V60" s="2">
        <v>59</v>
      </c>
      <c r="W60" s="2">
        <v>2012</v>
      </c>
    </row>
    <row r="61" spans="1:23" ht="12.3" x14ac:dyDescent="0.4">
      <c r="A61" s="2" t="s">
        <v>124</v>
      </c>
      <c r="B61" s="2"/>
      <c r="C61" s="2"/>
      <c r="D61" s="2"/>
      <c r="E61" s="2"/>
      <c r="F61" s="2"/>
      <c r="G61" s="2"/>
      <c r="H61" s="2"/>
      <c r="I61" s="2">
        <v>62.9908</v>
      </c>
      <c r="J61" s="2">
        <v>303</v>
      </c>
      <c r="K61" s="2">
        <v>63.417000000000002</v>
      </c>
      <c r="L61" s="2">
        <v>289</v>
      </c>
      <c r="M61" s="2">
        <v>109.1279</v>
      </c>
      <c r="N61" s="2">
        <v>36</v>
      </c>
      <c r="O61" s="2">
        <v>113.617</v>
      </c>
      <c r="P61" s="2">
        <v>14</v>
      </c>
      <c r="Q61" s="2">
        <v>106.4491</v>
      </c>
      <c r="R61" s="2">
        <v>286</v>
      </c>
      <c r="S61" s="2">
        <v>102.7328</v>
      </c>
      <c r="T61" s="2">
        <v>201</v>
      </c>
      <c r="U61" s="2">
        <v>0.76098200000000005</v>
      </c>
      <c r="V61" s="2">
        <v>60</v>
      </c>
      <c r="W61" s="2">
        <v>2012</v>
      </c>
    </row>
    <row r="62" spans="1:23" ht="12.3" x14ac:dyDescent="0.4">
      <c r="A62" s="2" t="s">
        <v>96</v>
      </c>
      <c r="B62" s="2">
        <v>14</v>
      </c>
      <c r="C62" s="2"/>
      <c r="D62" s="2"/>
      <c r="E62" s="2"/>
      <c r="F62" s="2"/>
      <c r="G62" s="2"/>
      <c r="H62" s="2"/>
      <c r="I62" s="2">
        <v>72.506900000000002</v>
      </c>
      <c r="J62" s="2">
        <v>9</v>
      </c>
      <c r="K62" s="2">
        <v>73.224000000000004</v>
      </c>
      <c r="L62" s="2">
        <v>5</v>
      </c>
      <c r="M62" s="2">
        <v>108.0408</v>
      </c>
      <c r="N62" s="2">
        <v>46</v>
      </c>
      <c r="O62" s="2">
        <v>103.62050000000001</v>
      </c>
      <c r="P62" s="2">
        <v>120</v>
      </c>
      <c r="Q62" s="2">
        <v>93.218900000000005</v>
      </c>
      <c r="R62" s="2">
        <v>29</v>
      </c>
      <c r="S62" s="2">
        <v>93.7577</v>
      </c>
      <c r="T62" s="2">
        <v>31</v>
      </c>
      <c r="U62" s="2">
        <v>0.75955499999999998</v>
      </c>
      <c r="V62" s="2">
        <v>61</v>
      </c>
      <c r="W62" s="2">
        <v>2012</v>
      </c>
    </row>
    <row r="63" spans="1:23" ht="12.3" x14ac:dyDescent="0.4">
      <c r="A63" s="2" t="s">
        <v>362</v>
      </c>
      <c r="B63" s="2">
        <v>14</v>
      </c>
      <c r="C63" s="2"/>
      <c r="D63" s="2"/>
      <c r="E63" s="2"/>
      <c r="F63" s="2"/>
      <c r="G63" s="2"/>
      <c r="H63" s="2"/>
      <c r="I63" s="2">
        <v>65.957400000000007</v>
      </c>
      <c r="J63" s="2">
        <v>185</v>
      </c>
      <c r="K63" s="2">
        <v>65.679400000000001</v>
      </c>
      <c r="L63" s="2">
        <v>190</v>
      </c>
      <c r="M63" s="2">
        <v>114.633</v>
      </c>
      <c r="N63" s="2">
        <v>8</v>
      </c>
      <c r="O63" s="2">
        <v>111.4897</v>
      </c>
      <c r="P63" s="2">
        <v>25</v>
      </c>
      <c r="Q63" s="2">
        <v>99.777900000000002</v>
      </c>
      <c r="R63" s="2">
        <v>148</v>
      </c>
      <c r="S63" s="2">
        <v>101.008</v>
      </c>
      <c r="T63" s="2">
        <v>162</v>
      </c>
      <c r="U63" s="2">
        <v>0.75683800000000001</v>
      </c>
      <c r="V63" s="2">
        <v>62</v>
      </c>
      <c r="W63" s="2">
        <v>2012</v>
      </c>
    </row>
    <row r="64" spans="1:23" ht="12.3" x14ac:dyDescent="0.4">
      <c r="A64" s="2" t="s">
        <v>65</v>
      </c>
      <c r="B64" s="2"/>
      <c r="C64" s="2"/>
      <c r="D64" s="2"/>
      <c r="E64" s="2"/>
      <c r="F64" s="2"/>
      <c r="G64" s="2"/>
      <c r="H64" s="2"/>
      <c r="I64" s="2">
        <v>65.012900000000002</v>
      </c>
      <c r="J64" s="2">
        <v>229</v>
      </c>
      <c r="K64" s="2">
        <v>65.947900000000004</v>
      </c>
      <c r="L64" s="2">
        <v>174</v>
      </c>
      <c r="M64" s="2">
        <v>104.6788</v>
      </c>
      <c r="N64" s="2">
        <v>103</v>
      </c>
      <c r="O64" s="2">
        <v>104.9569</v>
      </c>
      <c r="P64" s="2">
        <v>96</v>
      </c>
      <c r="Q64" s="2">
        <v>96.273399999999995</v>
      </c>
      <c r="R64" s="2">
        <v>66</v>
      </c>
      <c r="S64" s="2">
        <v>95.289400000000001</v>
      </c>
      <c r="T64" s="2">
        <v>56</v>
      </c>
      <c r="U64" s="2">
        <v>0.75236400000000003</v>
      </c>
      <c r="V64" s="2">
        <v>63</v>
      </c>
      <c r="W64" s="2">
        <v>2012</v>
      </c>
    </row>
    <row r="65" spans="1:23" ht="12.3" x14ac:dyDescent="0.4">
      <c r="A65" s="2" t="s">
        <v>75</v>
      </c>
      <c r="B65" s="2"/>
      <c r="C65" s="2"/>
      <c r="D65" s="2"/>
      <c r="E65" s="2"/>
      <c r="F65" s="2"/>
      <c r="G65" s="2"/>
      <c r="H65" s="2"/>
      <c r="I65" s="2">
        <v>62.868699999999997</v>
      </c>
      <c r="J65" s="2">
        <v>309</v>
      </c>
      <c r="K65" s="2">
        <v>63.926200000000001</v>
      </c>
      <c r="L65" s="2">
        <v>275</v>
      </c>
      <c r="M65" s="2">
        <v>104.8013</v>
      </c>
      <c r="N65" s="2">
        <v>99</v>
      </c>
      <c r="O65" s="2">
        <v>106.5125</v>
      </c>
      <c r="P65" s="2">
        <v>74</v>
      </c>
      <c r="Q65" s="2">
        <v>100.2007</v>
      </c>
      <c r="R65" s="2">
        <v>155</v>
      </c>
      <c r="S65" s="2">
        <v>96.712900000000005</v>
      </c>
      <c r="T65" s="2">
        <v>77</v>
      </c>
      <c r="U65" s="2">
        <v>0.75211600000000001</v>
      </c>
      <c r="V65" s="2">
        <v>64</v>
      </c>
      <c r="W65" s="2">
        <v>2012</v>
      </c>
    </row>
    <row r="66" spans="1:23" ht="12.3" x14ac:dyDescent="0.4">
      <c r="A66" s="2" t="s">
        <v>175</v>
      </c>
      <c r="B66" s="2">
        <v>9</v>
      </c>
      <c r="C66" s="2"/>
      <c r="D66" s="2"/>
      <c r="E66" s="2"/>
      <c r="F66" s="2"/>
      <c r="G66" s="2"/>
      <c r="H66" s="2"/>
      <c r="I66" s="2">
        <v>64.409899999999993</v>
      </c>
      <c r="J66" s="2">
        <v>260</v>
      </c>
      <c r="K66" s="2">
        <v>64.934600000000003</v>
      </c>
      <c r="L66" s="2">
        <v>225</v>
      </c>
      <c r="M66" s="2">
        <v>107.11499999999999</v>
      </c>
      <c r="N66" s="2">
        <v>60</v>
      </c>
      <c r="O66" s="2">
        <v>109.2343</v>
      </c>
      <c r="P66" s="2">
        <v>40</v>
      </c>
      <c r="Q66" s="2">
        <v>99.995500000000007</v>
      </c>
      <c r="R66" s="2">
        <v>149</v>
      </c>
      <c r="S66" s="2">
        <v>99.2821</v>
      </c>
      <c r="T66" s="2">
        <v>134</v>
      </c>
      <c r="U66" s="2">
        <v>0.749996</v>
      </c>
      <c r="V66" s="2">
        <v>65</v>
      </c>
      <c r="W66" s="2">
        <v>2012</v>
      </c>
    </row>
    <row r="67" spans="1:23" ht="12.3" x14ac:dyDescent="0.4">
      <c r="A67" s="2" t="s">
        <v>52</v>
      </c>
      <c r="B67" s="2"/>
      <c r="C67" s="2"/>
      <c r="D67" s="2"/>
      <c r="E67" s="2"/>
      <c r="F67" s="2"/>
      <c r="G67" s="2"/>
      <c r="H67" s="2"/>
      <c r="I67" s="2">
        <v>66.766099999999994</v>
      </c>
      <c r="J67" s="2">
        <v>144</v>
      </c>
      <c r="K67" s="2">
        <v>66.968800000000002</v>
      </c>
      <c r="L67" s="2">
        <v>125</v>
      </c>
      <c r="M67" s="2">
        <v>104.0385</v>
      </c>
      <c r="N67" s="2">
        <v>112</v>
      </c>
      <c r="O67" s="2">
        <v>103.3134</v>
      </c>
      <c r="P67" s="2">
        <v>125</v>
      </c>
      <c r="Q67" s="2">
        <v>92.409099999999995</v>
      </c>
      <c r="R67" s="2">
        <v>23</v>
      </c>
      <c r="S67" s="2">
        <v>93.942300000000003</v>
      </c>
      <c r="T67" s="2">
        <v>35</v>
      </c>
      <c r="U67" s="2">
        <v>0.74903900000000001</v>
      </c>
      <c r="V67" s="2">
        <v>66</v>
      </c>
      <c r="W67" s="2">
        <v>2012</v>
      </c>
    </row>
    <row r="68" spans="1:23" ht="12.3" x14ac:dyDescent="0.4">
      <c r="A68" s="2" t="s">
        <v>256</v>
      </c>
      <c r="B68" s="2"/>
      <c r="C68" s="2"/>
      <c r="D68" s="2"/>
      <c r="E68" s="2"/>
      <c r="F68" s="2"/>
      <c r="G68" s="2"/>
      <c r="H68" s="2"/>
      <c r="I68" s="2">
        <v>67.537999999999997</v>
      </c>
      <c r="J68" s="2">
        <v>105</v>
      </c>
      <c r="K68" s="2">
        <v>67.407700000000006</v>
      </c>
      <c r="L68" s="2">
        <v>105</v>
      </c>
      <c r="M68" s="2">
        <v>105.18300000000001</v>
      </c>
      <c r="N68" s="2">
        <v>93</v>
      </c>
      <c r="O68" s="2">
        <v>106.1433</v>
      </c>
      <c r="P68" s="2">
        <v>79</v>
      </c>
      <c r="Q68" s="2">
        <v>96.590299999999999</v>
      </c>
      <c r="R68" s="2">
        <v>71</v>
      </c>
      <c r="S68" s="2">
        <v>96.589399999999998</v>
      </c>
      <c r="T68" s="2">
        <v>76</v>
      </c>
      <c r="U68" s="2">
        <v>0.74738000000000004</v>
      </c>
      <c r="V68" s="2">
        <v>67</v>
      </c>
      <c r="W68" s="2">
        <v>2012</v>
      </c>
    </row>
    <row r="69" spans="1:23" ht="12.3" x14ac:dyDescent="0.4">
      <c r="A69" s="2" t="s">
        <v>64</v>
      </c>
      <c r="B69" s="2"/>
      <c r="C69" s="2"/>
      <c r="D69" s="2"/>
      <c r="E69" s="2"/>
      <c r="F69" s="2"/>
      <c r="G69" s="2"/>
      <c r="H69" s="2"/>
      <c r="I69" s="2">
        <v>65.117400000000004</v>
      </c>
      <c r="J69" s="2">
        <v>221</v>
      </c>
      <c r="K69" s="2">
        <v>65.175700000000006</v>
      </c>
      <c r="L69" s="2">
        <v>212</v>
      </c>
      <c r="M69" s="2">
        <v>108.4748</v>
      </c>
      <c r="N69" s="2">
        <v>42</v>
      </c>
      <c r="O69" s="2">
        <v>111.10639999999999</v>
      </c>
      <c r="P69" s="2">
        <v>27</v>
      </c>
      <c r="Q69" s="2">
        <v>101.2607</v>
      </c>
      <c r="R69" s="2">
        <v>180</v>
      </c>
      <c r="S69" s="2">
        <v>101.3289</v>
      </c>
      <c r="T69" s="2">
        <v>173</v>
      </c>
      <c r="U69" s="2">
        <v>0.742564</v>
      </c>
      <c r="V69" s="2">
        <v>68</v>
      </c>
      <c r="W69" s="2">
        <v>2012</v>
      </c>
    </row>
    <row r="70" spans="1:23" ht="12.3" x14ac:dyDescent="0.4">
      <c r="A70" s="2" t="s">
        <v>134</v>
      </c>
      <c r="B70" s="2">
        <v>13</v>
      </c>
      <c r="C70" s="2"/>
      <c r="D70" s="2"/>
      <c r="E70" s="2"/>
      <c r="F70" s="2"/>
      <c r="G70" s="2"/>
      <c r="H70" s="2"/>
      <c r="I70" s="2">
        <v>68.455100000000002</v>
      </c>
      <c r="J70" s="2">
        <v>66</v>
      </c>
      <c r="K70" s="2">
        <v>68.133799999999994</v>
      </c>
      <c r="L70" s="2">
        <v>79</v>
      </c>
      <c r="M70" s="2">
        <v>112.3976</v>
      </c>
      <c r="N70" s="2">
        <v>13</v>
      </c>
      <c r="O70" s="2">
        <v>109.65949999999999</v>
      </c>
      <c r="P70" s="2">
        <v>33</v>
      </c>
      <c r="Q70" s="2">
        <v>98.186999999999998</v>
      </c>
      <c r="R70" s="2">
        <v>104</v>
      </c>
      <c r="S70" s="2">
        <v>100.167</v>
      </c>
      <c r="T70" s="2">
        <v>148</v>
      </c>
      <c r="U70" s="2">
        <v>0.73908600000000002</v>
      </c>
      <c r="V70" s="2">
        <v>69</v>
      </c>
      <c r="W70" s="2">
        <v>2012</v>
      </c>
    </row>
    <row r="71" spans="1:23" ht="12.3" x14ac:dyDescent="0.4">
      <c r="A71" s="2" t="s">
        <v>286</v>
      </c>
      <c r="B71" s="2"/>
      <c r="C71" s="2"/>
      <c r="D71" s="2"/>
      <c r="E71" s="2"/>
      <c r="F71" s="2"/>
      <c r="G71" s="2"/>
      <c r="H71" s="2"/>
      <c r="I71" s="2">
        <v>61.389699999999998</v>
      </c>
      <c r="J71" s="2">
        <v>329</v>
      </c>
      <c r="K71" s="2">
        <v>61.481299999999997</v>
      </c>
      <c r="L71" s="2">
        <v>325</v>
      </c>
      <c r="M71" s="2">
        <v>109.91079999999999</v>
      </c>
      <c r="N71" s="2">
        <v>30</v>
      </c>
      <c r="O71" s="2">
        <v>108.5723</v>
      </c>
      <c r="P71" s="2">
        <v>51</v>
      </c>
      <c r="Q71" s="2">
        <v>97.380499999999998</v>
      </c>
      <c r="R71" s="2">
        <v>86</v>
      </c>
      <c r="S71" s="2">
        <v>99.188100000000006</v>
      </c>
      <c r="T71" s="2">
        <v>130</v>
      </c>
      <c r="U71" s="2">
        <v>0.73876900000000001</v>
      </c>
      <c r="V71" s="2">
        <v>70</v>
      </c>
      <c r="W71" s="2">
        <v>2012</v>
      </c>
    </row>
    <row r="72" spans="1:23" ht="12.3" x14ac:dyDescent="0.4">
      <c r="A72" s="2" t="s">
        <v>41</v>
      </c>
      <c r="B72" s="2"/>
      <c r="C72" s="2"/>
      <c r="D72" s="2"/>
      <c r="E72" s="2"/>
      <c r="F72" s="2"/>
      <c r="G72" s="2"/>
      <c r="H72" s="2"/>
      <c r="I72" s="2">
        <v>67.271799999999999</v>
      </c>
      <c r="J72" s="2">
        <v>117</v>
      </c>
      <c r="K72" s="2">
        <v>67.372399999999999</v>
      </c>
      <c r="L72" s="2">
        <v>107</v>
      </c>
      <c r="M72" s="2">
        <v>107.52549999999999</v>
      </c>
      <c r="N72" s="2">
        <v>52</v>
      </c>
      <c r="O72" s="2">
        <v>109.80419999999999</v>
      </c>
      <c r="P72" s="2">
        <v>30</v>
      </c>
      <c r="Q72" s="2">
        <v>99.653700000000001</v>
      </c>
      <c r="R72" s="2">
        <v>145</v>
      </c>
      <c r="S72" s="2">
        <v>100.3867</v>
      </c>
      <c r="T72" s="2">
        <v>153</v>
      </c>
      <c r="U72" s="2">
        <v>0.737147</v>
      </c>
      <c r="V72" s="2">
        <v>71</v>
      </c>
      <c r="W72" s="2">
        <v>2012</v>
      </c>
    </row>
    <row r="73" spans="1:23" ht="12.3" x14ac:dyDescent="0.4">
      <c r="A73" s="2" t="s">
        <v>326</v>
      </c>
      <c r="B73" s="2">
        <v>15</v>
      </c>
      <c r="C73" s="2"/>
      <c r="D73" s="2"/>
      <c r="E73" s="2"/>
      <c r="F73" s="2"/>
      <c r="G73" s="2"/>
      <c r="H73" s="2"/>
      <c r="I73" s="2">
        <v>68.317300000000003</v>
      </c>
      <c r="J73" s="2">
        <v>72</v>
      </c>
      <c r="K73" s="2">
        <v>68.608800000000002</v>
      </c>
      <c r="L73" s="2">
        <v>56</v>
      </c>
      <c r="M73" s="2">
        <v>110.0147</v>
      </c>
      <c r="N73" s="2">
        <v>28</v>
      </c>
      <c r="O73" s="2">
        <v>107.3817</v>
      </c>
      <c r="P73" s="2">
        <v>62</v>
      </c>
      <c r="Q73" s="2">
        <v>94.782899999999998</v>
      </c>
      <c r="R73" s="2">
        <v>48</v>
      </c>
      <c r="S73" s="2">
        <v>98.193100000000001</v>
      </c>
      <c r="T73" s="2">
        <v>109</v>
      </c>
      <c r="U73" s="2">
        <v>0.73666600000000004</v>
      </c>
      <c r="V73" s="2">
        <v>72</v>
      </c>
      <c r="W73" s="2">
        <v>2012</v>
      </c>
    </row>
    <row r="74" spans="1:23" ht="12.3" x14ac:dyDescent="0.4">
      <c r="A74" s="2" t="s">
        <v>131</v>
      </c>
      <c r="B74" s="2"/>
      <c r="C74" s="2"/>
      <c r="D74" s="2"/>
      <c r="E74" s="2"/>
      <c r="F74" s="2"/>
      <c r="G74" s="2"/>
      <c r="H74" s="2"/>
      <c r="I74" s="2">
        <v>71.194599999999994</v>
      </c>
      <c r="J74" s="2">
        <v>17</v>
      </c>
      <c r="K74" s="2">
        <v>70.459800000000001</v>
      </c>
      <c r="L74" s="2">
        <v>23</v>
      </c>
      <c r="M74" s="2">
        <v>105.1888</v>
      </c>
      <c r="N74" s="2">
        <v>92</v>
      </c>
      <c r="O74" s="2">
        <v>106.46080000000001</v>
      </c>
      <c r="P74" s="2">
        <v>76</v>
      </c>
      <c r="Q74" s="2">
        <v>98.276399999999995</v>
      </c>
      <c r="R74" s="2">
        <v>106</v>
      </c>
      <c r="S74" s="2">
        <v>97.483199999999997</v>
      </c>
      <c r="T74" s="2">
        <v>92</v>
      </c>
      <c r="U74" s="2">
        <v>0.73363</v>
      </c>
      <c r="V74" s="2">
        <v>73</v>
      </c>
      <c r="W74" s="2">
        <v>2012</v>
      </c>
    </row>
    <row r="75" spans="1:23" ht="12.3" x14ac:dyDescent="0.4">
      <c r="A75" s="2" t="s">
        <v>24</v>
      </c>
      <c r="B75" s="2"/>
      <c r="C75" s="2"/>
      <c r="D75" s="2"/>
      <c r="E75" s="2"/>
      <c r="F75" s="2"/>
      <c r="G75" s="2"/>
      <c r="H75" s="2"/>
      <c r="I75" s="2">
        <v>63.497100000000003</v>
      </c>
      <c r="J75" s="2">
        <v>285</v>
      </c>
      <c r="K75" s="2">
        <v>64.349500000000006</v>
      </c>
      <c r="L75" s="2">
        <v>255</v>
      </c>
      <c r="M75" s="2">
        <v>100.77800000000001</v>
      </c>
      <c r="N75" s="2">
        <v>173</v>
      </c>
      <c r="O75" s="2">
        <v>103.8873</v>
      </c>
      <c r="P75" s="2">
        <v>114</v>
      </c>
      <c r="Q75" s="2">
        <v>94.651899999999998</v>
      </c>
      <c r="R75" s="2">
        <v>46</v>
      </c>
      <c r="S75" s="2">
        <v>95.343999999999994</v>
      </c>
      <c r="T75" s="2">
        <v>57</v>
      </c>
      <c r="U75" s="2">
        <v>0.72846999999999995</v>
      </c>
      <c r="V75" s="2">
        <v>74</v>
      </c>
      <c r="W75" s="2">
        <v>2012</v>
      </c>
    </row>
    <row r="76" spans="1:23" ht="12.3" x14ac:dyDescent="0.4">
      <c r="A76" s="2" t="s">
        <v>157</v>
      </c>
      <c r="B76" s="2">
        <v>11</v>
      </c>
      <c r="C76" s="2"/>
      <c r="D76" s="2"/>
      <c r="E76" s="2"/>
      <c r="F76" s="2"/>
      <c r="G76" s="2"/>
      <c r="H76" s="2"/>
      <c r="I76" s="2">
        <v>64.468000000000004</v>
      </c>
      <c r="J76" s="2">
        <v>255</v>
      </c>
      <c r="K76" s="2">
        <v>64.772000000000006</v>
      </c>
      <c r="L76" s="2">
        <v>241</v>
      </c>
      <c r="M76" s="2">
        <v>108.88549999999999</v>
      </c>
      <c r="N76" s="2">
        <v>39</v>
      </c>
      <c r="O76" s="2">
        <v>111.5288</v>
      </c>
      <c r="P76" s="2">
        <v>24</v>
      </c>
      <c r="Q76" s="2">
        <v>104.9198</v>
      </c>
      <c r="R76" s="2">
        <v>262</v>
      </c>
      <c r="S76" s="2">
        <v>102.41070000000001</v>
      </c>
      <c r="T76" s="2">
        <v>194</v>
      </c>
      <c r="U76" s="2">
        <v>0.72727799999999998</v>
      </c>
      <c r="V76" s="2">
        <v>75</v>
      </c>
      <c r="W76" s="2">
        <v>2012</v>
      </c>
    </row>
    <row r="77" spans="1:23" ht="12.3" x14ac:dyDescent="0.4">
      <c r="A77" s="2" t="s">
        <v>197</v>
      </c>
      <c r="B77" s="2"/>
      <c r="C77" s="2"/>
      <c r="D77" s="2"/>
      <c r="E77" s="2"/>
      <c r="F77" s="2"/>
      <c r="G77" s="2"/>
      <c r="H77" s="2"/>
      <c r="I77" s="2">
        <v>65.362899999999996</v>
      </c>
      <c r="J77" s="2">
        <v>211</v>
      </c>
      <c r="K77" s="2">
        <v>65.848500000000001</v>
      </c>
      <c r="L77" s="2">
        <v>183</v>
      </c>
      <c r="M77" s="2">
        <v>104.3501</v>
      </c>
      <c r="N77" s="2">
        <v>107</v>
      </c>
      <c r="O77" s="2">
        <v>107.5598</v>
      </c>
      <c r="P77" s="2">
        <v>60</v>
      </c>
      <c r="Q77" s="2">
        <v>100.88849999999999</v>
      </c>
      <c r="R77" s="2">
        <v>173</v>
      </c>
      <c r="S77" s="2">
        <v>98.860399999999998</v>
      </c>
      <c r="T77" s="2">
        <v>124</v>
      </c>
      <c r="U77" s="2">
        <v>0.72509800000000002</v>
      </c>
      <c r="V77" s="2">
        <v>76</v>
      </c>
      <c r="W77" s="2">
        <v>2012</v>
      </c>
    </row>
    <row r="78" spans="1:23" ht="12.3" x14ac:dyDescent="0.4">
      <c r="A78" s="2" t="s">
        <v>177</v>
      </c>
      <c r="B78" s="2"/>
      <c r="C78" s="2"/>
      <c r="D78" s="2"/>
      <c r="E78" s="2"/>
      <c r="F78" s="2"/>
      <c r="G78" s="2"/>
      <c r="H78" s="2"/>
      <c r="I78" s="2">
        <v>63.612499999999997</v>
      </c>
      <c r="J78" s="2">
        <v>283</v>
      </c>
      <c r="K78" s="2">
        <v>64.053200000000004</v>
      </c>
      <c r="L78" s="2">
        <v>268</v>
      </c>
      <c r="M78" s="2">
        <v>102.4132</v>
      </c>
      <c r="N78" s="2">
        <v>145</v>
      </c>
      <c r="O78" s="2">
        <v>105.5485</v>
      </c>
      <c r="P78" s="2">
        <v>87</v>
      </c>
      <c r="Q78" s="2">
        <v>98.320700000000002</v>
      </c>
      <c r="R78" s="2">
        <v>107</v>
      </c>
      <c r="S78" s="2">
        <v>97.169700000000006</v>
      </c>
      <c r="T78" s="2">
        <v>84</v>
      </c>
      <c r="U78" s="2">
        <v>0.72135300000000002</v>
      </c>
      <c r="V78" s="2">
        <v>77</v>
      </c>
      <c r="W78" s="2">
        <v>2012</v>
      </c>
    </row>
    <row r="79" spans="1:23" ht="12.3" x14ac:dyDescent="0.4">
      <c r="A79" s="2" t="s">
        <v>93</v>
      </c>
      <c r="B79" s="2"/>
      <c r="C79" s="2"/>
      <c r="D79" s="2"/>
      <c r="E79" s="2"/>
      <c r="F79" s="2"/>
      <c r="G79" s="2"/>
      <c r="H79" s="2"/>
      <c r="I79" s="2">
        <v>60.961300000000001</v>
      </c>
      <c r="J79" s="2">
        <v>334</v>
      </c>
      <c r="K79" s="2">
        <v>60.444600000000001</v>
      </c>
      <c r="L79" s="2">
        <v>338</v>
      </c>
      <c r="M79" s="2">
        <v>101.9962</v>
      </c>
      <c r="N79" s="2">
        <v>152</v>
      </c>
      <c r="O79" s="2">
        <v>99.919399999999996</v>
      </c>
      <c r="P79" s="2">
        <v>193</v>
      </c>
      <c r="Q79" s="2">
        <v>91.847999999999999</v>
      </c>
      <c r="R79" s="2">
        <v>19</v>
      </c>
      <c r="S79" s="2">
        <v>92.084400000000002</v>
      </c>
      <c r="T79" s="2">
        <v>18</v>
      </c>
      <c r="U79" s="2">
        <v>0.718912</v>
      </c>
      <c r="V79" s="2">
        <v>78</v>
      </c>
      <c r="W79" s="2">
        <v>2012</v>
      </c>
    </row>
    <row r="80" spans="1:23" ht="12.3" x14ac:dyDescent="0.4">
      <c r="A80" s="2" t="s">
        <v>51</v>
      </c>
      <c r="B80" s="2"/>
      <c r="C80" s="2"/>
      <c r="D80" s="2"/>
      <c r="E80" s="2"/>
      <c r="F80" s="2"/>
      <c r="G80" s="2"/>
      <c r="H80" s="2"/>
      <c r="I80" s="2">
        <v>66.346400000000003</v>
      </c>
      <c r="J80" s="2">
        <v>166</v>
      </c>
      <c r="K80" s="2">
        <v>65.91</v>
      </c>
      <c r="L80" s="2">
        <v>178</v>
      </c>
      <c r="M80" s="2">
        <v>97.731499999999997</v>
      </c>
      <c r="N80" s="2">
        <v>237</v>
      </c>
      <c r="O80" s="2">
        <v>102.94499999999999</v>
      </c>
      <c r="P80" s="2">
        <v>132</v>
      </c>
      <c r="Q80" s="2">
        <v>96.3399</v>
      </c>
      <c r="R80" s="2">
        <v>67</v>
      </c>
      <c r="S80" s="2">
        <v>95.131699999999995</v>
      </c>
      <c r="T80" s="2">
        <v>54</v>
      </c>
      <c r="U80" s="2">
        <v>0.71253299999999997</v>
      </c>
      <c r="V80" s="2">
        <v>79</v>
      </c>
      <c r="W80" s="2">
        <v>2012</v>
      </c>
    </row>
    <row r="81" spans="1:23" ht="12.3" x14ac:dyDescent="0.4">
      <c r="A81" s="2" t="s">
        <v>155</v>
      </c>
      <c r="B81" s="2"/>
      <c r="C81" s="2"/>
      <c r="D81" s="2"/>
      <c r="E81" s="2"/>
      <c r="F81" s="2"/>
      <c r="G81" s="2"/>
      <c r="H81" s="2"/>
      <c r="I81" s="2">
        <v>74.385199999999998</v>
      </c>
      <c r="J81" s="2">
        <v>3</v>
      </c>
      <c r="K81" s="2">
        <v>74.082499999999996</v>
      </c>
      <c r="L81" s="2">
        <v>3</v>
      </c>
      <c r="M81" s="2">
        <v>102.6574</v>
      </c>
      <c r="N81" s="2">
        <v>140</v>
      </c>
      <c r="O81" s="2">
        <v>103.8083</v>
      </c>
      <c r="P81" s="2">
        <v>116</v>
      </c>
      <c r="Q81" s="2">
        <v>96.230599999999995</v>
      </c>
      <c r="R81" s="2">
        <v>65</v>
      </c>
      <c r="S81" s="2">
        <v>96.137299999999996</v>
      </c>
      <c r="T81" s="2">
        <v>67</v>
      </c>
      <c r="U81" s="2">
        <v>0.70740999999999998</v>
      </c>
      <c r="V81" s="2">
        <v>80</v>
      </c>
      <c r="W81" s="2">
        <v>2012</v>
      </c>
    </row>
    <row r="82" spans="1:23" ht="12.3" x14ac:dyDescent="0.4">
      <c r="A82" s="2" t="s">
        <v>234</v>
      </c>
      <c r="B82" s="2">
        <v>13</v>
      </c>
      <c r="C82" s="2"/>
      <c r="D82" s="2"/>
      <c r="E82" s="2"/>
      <c r="F82" s="2"/>
      <c r="G82" s="2"/>
      <c r="H82" s="2"/>
      <c r="I82" s="2">
        <v>66.360699999999994</v>
      </c>
      <c r="J82" s="2">
        <v>164</v>
      </c>
      <c r="K82" s="2">
        <v>65.628500000000003</v>
      </c>
      <c r="L82" s="2">
        <v>193</v>
      </c>
      <c r="M82" s="2">
        <v>106.8279</v>
      </c>
      <c r="N82" s="2">
        <v>62</v>
      </c>
      <c r="O82" s="2">
        <v>101.84350000000001</v>
      </c>
      <c r="P82" s="2">
        <v>151</v>
      </c>
      <c r="Q82" s="2">
        <v>93.354600000000005</v>
      </c>
      <c r="R82" s="2">
        <v>32</v>
      </c>
      <c r="S82" s="2">
        <v>94.484499999999997</v>
      </c>
      <c r="T82" s="2">
        <v>46</v>
      </c>
      <c r="U82" s="2">
        <v>0.70318700000000001</v>
      </c>
      <c r="V82" s="2">
        <v>81</v>
      </c>
      <c r="W82" s="2">
        <v>2012</v>
      </c>
    </row>
    <row r="83" spans="1:23" ht="12.3" x14ac:dyDescent="0.4">
      <c r="A83" s="2" t="s">
        <v>222</v>
      </c>
      <c r="B83" s="2"/>
      <c r="C83" s="2"/>
      <c r="D83" s="2"/>
      <c r="E83" s="2"/>
      <c r="F83" s="2"/>
      <c r="G83" s="2"/>
      <c r="H83" s="2"/>
      <c r="I83" s="2">
        <v>63.479799999999997</v>
      </c>
      <c r="J83" s="2">
        <v>286</v>
      </c>
      <c r="K83" s="2">
        <v>64.338300000000004</v>
      </c>
      <c r="L83" s="2">
        <v>256</v>
      </c>
      <c r="M83" s="2">
        <v>102.9119</v>
      </c>
      <c r="N83" s="2">
        <v>131</v>
      </c>
      <c r="O83" s="2">
        <v>103.20350000000001</v>
      </c>
      <c r="P83" s="2">
        <v>129</v>
      </c>
      <c r="Q83" s="2">
        <v>94.004999999999995</v>
      </c>
      <c r="R83" s="2">
        <v>40</v>
      </c>
      <c r="S83" s="2">
        <v>95.781000000000006</v>
      </c>
      <c r="T83" s="2">
        <v>62</v>
      </c>
      <c r="U83" s="2">
        <v>0.70231399999999999</v>
      </c>
      <c r="V83" s="2">
        <v>82</v>
      </c>
      <c r="W83" s="2">
        <v>2012</v>
      </c>
    </row>
    <row r="84" spans="1:23" ht="12.3" x14ac:dyDescent="0.4">
      <c r="A84" s="2" t="s">
        <v>138</v>
      </c>
      <c r="B84" s="2"/>
      <c r="C84" s="2"/>
      <c r="D84" s="2"/>
      <c r="E84" s="2"/>
      <c r="F84" s="2"/>
      <c r="G84" s="2"/>
      <c r="H84" s="2"/>
      <c r="I84" s="2">
        <v>64.332599999999999</v>
      </c>
      <c r="J84" s="2">
        <v>263</v>
      </c>
      <c r="K84" s="2">
        <v>64.720699999999994</v>
      </c>
      <c r="L84" s="2">
        <v>248</v>
      </c>
      <c r="M84" s="2">
        <v>112.2693</v>
      </c>
      <c r="N84" s="2">
        <v>14</v>
      </c>
      <c r="O84" s="2">
        <v>109.6587</v>
      </c>
      <c r="P84" s="2">
        <v>34</v>
      </c>
      <c r="Q84" s="2">
        <v>101.2471</v>
      </c>
      <c r="R84" s="2">
        <v>178</v>
      </c>
      <c r="S84" s="2">
        <v>101.81310000000001</v>
      </c>
      <c r="T84" s="2">
        <v>184</v>
      </c>
      <c r="U84" s="2">
        <v>0.70133999999999996</v>
      </c>
      <c r="V84" s="2">
        <v>83</v>
      </c>
      <c r="W84" s="2">
        <v>2012</v>
      </c>
    </row>
    <row r="85" spans="1:23" ht="12.3" x14ac:dyDescent="0.4">
      <c r="A85" s="2" t="s">
        <v>48</v>
      </c>
      <c r="B85" s="2"/>
      <c r="C85" s="2"/>
      <c r="D85" s="2"/>
      <c r="E85" s="2"/>
      <c r="F85" s="2"/>
      <c r="G85" s="2"/>
      <c r="H85" s="2"/>
      <c r="I85" s="2">
        <v>65.148700000000005</v>
      </c>
      <c r="J85" s="2">
        <v>219</v>
      </c>
      <c r="K85" s="2">
        <v>64.9619</v>
      </c>
      <c r="L85" s="2">
        <v>222</v>
      </c>
      <c r="M85" s="2">
        <v>107.49469999999999</v>
      </c>
      <c r="N85" s="2">
        <v>53</v>
      </c>
      <c r="O85" s="2">
        <v>109.4109</v>
      </c>
      <c r="P85" s="2">
        <v>38</v>
      </c>
      <c r="Q85" s="2">
        <v>101.09699999999999</v>
      </c>
      <c r="R85" s="2">
        <v>176</v>
      </c>
      <c r="S85" s="2">
        <v>101.6681</v>
      </c>
      <c r="T85" s="2">
        <v>181</v>
      </c>
      <c r="U85" s="2">
        <v>0.699322</v>
      </c>
      <c r="V85" s="2">
        <v>84</v>
      </c>
      <c r="W85" s="2">
        <v>2012</v>
      </c>
    </row>
    <row r="86" spans="1:23" ht="12.3" x14ac:dyDescent="0.4">
      <c r="A86" s="2" t="s">
        <v>176</v>
      </c>
      <c r="B86" s="2"/>
      <c r="C86" s="2"/>
      <c r="D86" s="2"/>
      <c r="E86" s="2"/>
      <c r="F86" s="2"/>
      <c r="G86" s="2"/>
      <c r="H86" s="2"/>
      <c r="I86" s="2">
        <v>62.900399999999998</v>
      </c>
      <c r="J86" s="2">
        <v>306</v>
      </c>
      <c r="K86" s="2">
        <v>63.839199999999998</v>
      </c>
      <c r="L86" s="2">
        <v>278</v>
      </c>
      <c r="M86" s="2">
        <v>103.1407</v>
      </c>
      <c r="N86" s="2">
        <v>126</v>
      </c>
      <c r="O86" s="2">
        <v>104.435</v>
      </c>
      <c r="P86" s="2">
        <v>105</v>
      </c>
      <c r="Q86" s="2">
        <v>96.356899999999996</v>
      </c>
      <c r="R86" s="2">
        <v>69</v>
      </c>
      <c r="S86" s="2">
        <v>97.056200000000004</v>
      </c>
      <c r="T86" s="2">
        <v>81</v>
      </c>
      <c r="U86" s="2">
        <v>0.69902500000000001</v>
      </c>
      <c r="V86" s="2">
        <v>85</v>
      </c>
      <c r="W86" s="2">
        <v>2012</v>
      </c>
    </row>
    <row r="87" spans="1:23" ht="12.3" x14ac:dyDescent="0.4">
      <c r="A87" s="2" t="s">
        <v>46</v>
      </c>
      <c r="B87" s="2"/>
      <c r="C87" s="2"/>
      <c r="D87" s="2"/>
      <c r="E87" s="2"/>
      <c r="F87" s="2"/>
      <c r="G87" s="2"/>
      <c r="H87" s="2"/>
      <c r="I87" s="2">
        <v>63.629199999999997</v>
      </c>
      <c r="J87" s="2">
        <v>282</v>
      </c>
      <c r="K87" s="2">
        <v>63.778599999999997</v>
      </c>
      <c r="L87" s="2">
        <v>280</v>
      </c>
      <c r="M87" s="2">
        <v>107.7514</v>
      </c>
      <c r="N87" s="2">
        <v>48</v>
      </c>
      <c r="O87" s="2">
        <v>107.98820000000001</v>
      </c>
      <c r="P87" s="2">
        <v>55</v>
      </c>
      <c r="Q87" s="2">
        <v>104.0196</v>
      </c>
      <c r="R87" s="2">
        <v>238</v>
      </c>
      <c r="S87" s="2">
        <v>100.3969</v>
      </c>
      <c r="T87" s="2">
        <v>154</v>
      </c>
      <c r="U87" s="2">
        <v>0.69809399999999999</v>
      </c>
      <c r="V87" s="2">
        <v>86</v>
      </c>
      <c r="W87" s="2">
        <v>2012</v>
      </c>
    </row>
    <row r="88" spans="1:23" ht="12.3" x14ac:dyDescent="0.4">
      <c r="A88" s="2" t="s">
        <v>129</v>
      </c>
      <c r="B88" s="2">
        <v>11</v>
      </c>
      <c r="C88" s="3" t="s">
        <v>33</v>
      </c>
      <c r="D88" s="2"/>
      <c r="E88" s="2"/>
      <c r="F88" s="2"/>
      <c r="G88" s="2"/>
      <c r="H88" s="2"/>
      <c r="I88" s="2">
        <v>65.243200000000002</v>
      </c>
      <c r="J88" s="2">
        <v>216</v>
      </c>
      <c r="K88" s="2">
        <v>65.574299999999994</v>
      </c>
      <c r="L88" s="2">
        <v>197</v>
      </c>
      <c r="M88" s="2">
        <v>101.20959999999999</v>
      </c>
      <c r="N88" s="2">
        <v>169</v>
      </c>
      <c r="O88" s="2">
        <v>102.13160000000001</v>
      </c>
      <c r="P88" s="2">
        <v>146</v>
      </c>
      <c r="Q88" s="2">
        <v>96.7881</v>
      </c>
      <c r="R88" s="2">
        <v>74</v>
      </c>
      <c r="S88" s="2">
        <v>94.980099999999993</v>
      </c>
      <c r="T88" s="2">
        <v>53</v>
      </c>
      <c r="U88" s="2">
        <v>0.69737700000000002</v>
      </c>
      <c r="V88" s="2">
        <v>87</v>
      </c>
      <c r="W88" s="2">
        <v>2012</v>
      </c>
    </row>
    <row r="89" spans="1:23" ht="12.3" x14ac:dyDescent="0.4">
      <c r="A89" s="2" t="s">
        <v>152</v>
      </c>
      <c r="B89" s="2"/>
      <c r="C89" s="2"/>
      <c r="D89" s="2"/>
      <c r="E89" s="2"/>
      <c r="F89" s="2"/>
      <c r="G89" s="2"/>
      <c r="H89" s="2"/>
      <c r="I89" s="2">
        <v>65.269900000000007</v>
      </c>
      <c r="J89" s="2">
        <v>214</v>
      </c>
      <c r="K89" s="2">
        <v>64.831000000000003</v>
      </c>
      <c r="L89" s="2">
        <v>238</v>
      </c>
      <c r="M89" s="2">
        <v>102.0924</v>
      </c>
      <c r="N89" s="2">
        <v>151</v>
      </c>
      <c r="O89" s="2">
        <v>100.2323</v>
      </c>
      <c r="P89" s="2">
        <v>185</v>
      </c>
      <c r="Q89" s="2">
        <v>89.483999999999995</v>
      </c>
      <c r="R89" s="2">
        <v>5</v>
      </c>
      <c r="S89" s="2">
        <v>93.299800000000005</v>
      </c>
      <c r="T89" s="2">
        <v>24</v>
      </c>
      <c r="U89" s="2">
        <v>0.69513599999999998</v>
      </c>
      <c r="V89" s="2">
        <v>88</v>
      </c>
      <c r="W89" s="2">
        <v>2012</v>
      </c>
    </row>
    <row r="90" spans="1:23" ht="12.3" x14ac:dyDescent="0.4">
      <c r="A90" s="2" t="s">
        <v>69</v>
      </c>
      <c r="B90" s="2"/>
      <c r="C90" s="2"/>
      <c r="D90" s="2"/>
      <c r="E90" s="2"/>
      <c r="F90" s="2"/>
      <c r="G90" s="2"/>
      <c r="H90" s="2"/>
      <c r="I90" s="2">
        <v>64.207999999999998</v>
      </c>
      <c r="J90" s="2">
        <v>271</v>
      </c>
      <c r="K90" s="2">
        <v>64.905699999999996</v>
      </c>
      <c r="L90" s="2">
        <v>230</v>
      </c>
      <c r="M90" s="2">
        <v>102.4926</v>
      </c>
      <c r="N90" s="2">
        <v>143</v>
      </c>
      <c r="O90" s="2">
        <v>104.61539999999999</v>
      </c>
      <c r="P90" s="2">
        <v>104</v>
      </c>
      <c r="Q90" s="2">
        <v>97.455399999999997</v>
      </c>
      <c r="R90" s="2">
        <v>87</v>
      </c>
      <c r="S90" s="2">
        <v>97.431899999999999</v>
      </c>
      <c r="T90" s="2">
        <v>91</v>
      </c>
      <c r="U90" s="2">
        <v>0.69382900000000003</v>
      </c>
      <c r="V90" s="2">
        <v>89</v>
      </c>
      <c r="W90" s="2">
        <v>2012</v>
      </c>
    </row>
    <row r="91" spans="1:23" ht="12.3" x14ac:dyDescent="0.4">
      <c r="A91" s="2" t="s">
        <v>213</v>
      </c>
      <c r="B91" s="2"/>
      <c r="C91" s="2"/>
      <c r="D91" s="2"/>
      <c r="E91" s="2"/>
      <c r="F91" s="2"/>
      <c r="G91" s="2"/>
      <c r="H91" s="2"/>
      <c r="I91" s="2">
        <v>67.906800000000004</v>
      </c>
      <c r="J91" s="2">
        <v>86</v>
      </c>
      <c r="K91" s="2">
        <v>68.0745</v>
      </c>
      <c r="L91" s="2">
        <v>81</v>
      </c>
      <c r="M91" s="2">
        <v>104.5444</v>
      </c>
      <c r="N91" s="2">
        <v>105</v>
      </c>
      <c r="O91" s="2">
        <v>106.2794</v>
      </c>
      <c r="P91" s="2">
        <v>78</v>
      </c>
      <c r="Q91" s="2">
        <v>98.607799999999997</v>
      </c>
      <c r="R91" s="2">
        <v>116</v>
      </c>
      <c r="S91" s="2">
        <v>99.006500000000003</v>
      </c>
      <c r="T91" s="2">
        <v>127</v>
      </c>
      <c r="U91" s="2">
        <v>0.693214</v>
      </c>
      <c r="V91" s="2">
        <v>90</v>
      </c>
      <c r="W91" s="2">
        <v>2012</v>
      </c>
    </row>
    <row r="92" spans="1:23" ht="12.3" x14ac:dyDescent="0.4">
      <c r="A92" s="2" t="s">
        <v>216</v>
      </c>
      <c r="B92" s="2"/>
      <c r="C92" s="2"/>
      <c r="D92" s="2"/>
      <c r="E92" s="2"/>
      <c r="F92" s="2"/>
      <c r="G92" s="2"/>
      <c r="H92" s="2"/>
      <c r="I92" s="2">
        <v>62.791499999999999</v>
      </c>
      <c r="J92" s="2">
        <v>312</v>
      </c>
      <c r="K92" s="2">
        <v>62.525199999999998</v>
      </c>
      <c r="L92" s="2">
        <v>314</v>
      </c>
      <c r="M92" s="2">
        <v>102.764</v>
      </c>
      <c r="N92" s="2">
        <v>138</v>
      </c>
      <c r="O92" s="2">
        <v>103.8471</v>
      </c>
      <c r="P92" s="2">
        <v>115</v>
      </c>
      <c r="Q92" s="2">
        <v>98.918599999999998</v>
      </c>
      <c r="R92" s="2">
        <v>125</v>
      </c>
      <c r="S92" s="2">
        <v>96.749300000000005</v>
      </c>
      <c r="T92" s="2">
        <v>78</v>
      </c>
      <c r="U92" s="2">
        <v>0.69299699999999997</v>
      </c>
      <c r="V92" s="2">
        <v>91</v>
      </c>
      <c r="W92" s="2">
        <v>2012</v>
      </c>
    </row>
    <row r="93" spans="1:23" ht="12.3" x14ac:dyDescent="0.4">
      <c r="A93" s="2" t="s">
        <v>44</v>
      </c>
      <c r="B93" s="2"/>
      <c r="C93" s="2"/>
      <c r="D93" s="2"/>
      <c r="E93" s="2"/>
      <c r="F93" s="2"/>
      <c r="G93" s="2"/>
      <c r="H93" s="2"/>
      <c r="I93" s="2">
        <v>64.454999999999998</v>
      </c>
      <c r="J93" s="2">
        <v>256</v>
      </c>
      <c r="K93" s="2">
        <v>65.355199999999996</v>
      </c>
      <c r="L93" s="2">
        <v>205</v>
      </c>
      <c r="M93" s="2">
        <v>100.55710000000001</v>
      </c>
      <c r="N93" s="2">
        <v>176</v>
      </c>
      <c r="O93" s="2">
        <v>101.61879999999999</v>
      </c>
      <c r="P93" s="2">
        <v>154</v>
      </c>
      <c r="Q93" s="2">
        <v>98.593100000000007</v>
      </c>
      <c r="R93" s="2">
        <v>115</v>
      </c>
      <c r="S93" s="2">
        <v>94.680300000000003</v>
      </c>
      <c r="T93" s="2">
        <v>48</v>
      </c>
      <c r="U93" s="2">
        <v>0.69281499999999996</v>
      </c>
      <c r="V93" s="2">
        <v>92</v>
      </c>
      <c r="W93" s="2">
        <v>2012</v>
      </c>
    </row>
    <row r="94" spans="1:23" ht="12.3" x14ac:dyDescent="0.4">
      <c r="A94" s="2" t="s">
        <v>289</v>
      </c>
      <c r="B94" s="2"/>
      <c r="C94" s="2"/>
      <c r="D94" s="2"/>
      <c r="E94" s="2"/>
      <c r="F94" s="2"/>
      <c r="G94" s="2"/>
      <c r="H94" s="2"/>
      <c r="I94" s="2">
        <v>63.589100000000002</v>
      </c>
      <c r="J94" s="2">
        <v>284</v>
      </c>
      <c r="K94" s="2">
        <v>64.390299999999996</v>
      </c>
      <c r="L94" s="2">
        <v>253</v>
      </c>
      <c r="M94" s="2">
        <v>107.59910000000001</v>
      </c>
      <c r="N94" s="2">
        <v>51</v>
      </c>
      <c r="O94" s="2">
        <v>105.36369999999999</v>
      </c>
      <c r="P94" s="2">
        <v>90</v>
      </c>
      <c r="Q94" s="2">
        <v>96.767399999999995</v>
      </c>
      <c r="R94" s="2">
        <v>73</v>
      </c>
      <c r="S94" s="2">
        <v>98.410300000000007</v>
      </c>
      <c r="T94" s="2">
        <v>112</v>
      </c>
      <c r="U94" s="2">
        <v>0.68678399999999995</v>
      </c>
      <c r="V94" s="2">
        <v>93</v>
      </c>
      <c r="W94" s="2">
        <v>2012</v>
      </c>
    </row>
    <row r="95" spans="1:23" ht="12.3" x14ac:dyDescent="0.4">
      <c r="A95" s="2" t="s">
        <v>72</v>
      </c>
      <c r="B95" s="2"/>
      <c r="C95" s="2"/>
      <c r="D95" s="2"/>
      <c r="E95" s="2"/>
      <c r="F95" s="2"/>
      <c r="G95" s="2"/>
      <c r="H95" s="2"/>
      <c r="I95" s="2">
        <v>66.018100000000004</v>
      </c>
      <c r="J95" s="2">
        <v>183</v>
      </c>
      <c r="K95" s="2">
        <v>66.321700000000007</v>
      </c>
      <c r="L95" s="2">
        <v>149</v>
      </c>
      <c r="M95" s="2">
        <v>99.867699999999999</v>
      </c>
      <c r="N95" s="2">
        <v>189</v>
      </c>
      <c r="O95" s="2">
        <v>105.52760000000001</v>
      </c>
      <c r="P95" s="2">
        <v>88</v>
      </c>
      <c r="Q95" s="2">
        <v>102.47539999999999</v>
      </c>
      <c r="R95" s="2">
        <v>204</v>
      </c>
      <c r="S95" s="2">
        <v>98.599400000000003</v>
      </c>
      <c r="T95" s="2">
        <v>116</v>
      </c>
      <c r="U95" s="2">
        <v>0.68588199999999999</v>
      </c>
      <c r="V95" s="2">
        <v>94</v>
      </c>
      <c r="W95" s="2">
        <v>2012</v>
      </c>
    </row>
    <row r="96" spans="1:23" ht="12.3" x14ac:dyDescent="0.4">
      <c r="A96" s="2" t="s">
        <v>85</v>
      </c>
      <c r="B96" s="2"/>
      <c r="C96" s="2"/>
      <c r="D96" s="2"/>
      <c r="E96" s="2"/>
      <c r="F96" s="2"/>
      <c r="G96" s="2"/>
      <c r="H96" s="2"/>
      <c r="I96" s="2">
        <v>66.076800000000006</v>
      </c>
      <c r="J96" s="2">
        <v>181</v>
      </c>
      <c r="K96" s="2">
        <v>65.858800000000002</v>
      </c>
      <c r="L96" s="2">
        <v>182</v>
      </c>
      <c r="M96" s="2">
        <v>96.808999999999997</v>
      </c>
      <c r="N96" s="2">
        <v>254</v>
      </c>
      <c r="O96" s="2">
        <v>98.771600000000007</v>
      </c>
      <c r="P96" s="2">
        <v>221</v>
      </c>
      <c r="Q96" s="2">
        <v>94.433300000000003</v>
      </c>
      <c r="R96" s="2">
        <v>43</v>
      </c>
      <c r="S96" s="2">
        <v>92.367699999999999</v>
      </c>
      <c r="T96" s="2">
        <v>19</v>
      </c>
      <c r="U96" s="2">
        <v>0.68371099999999996</v>
      </c>
      <c r="V96" s="2">
        <v>95</v>
      </c>
      <c r="W96" s="2">
        <v>2012</v>
      </c>
    </row>
    <row r="97" spans="1:23" ht="12.3" x14ac:dyDescent="0.4">
      <c r="A97" s="2" t="s">
        <v>78</v>
      </c>
      <c r="B97" s="2"/>
      <c r="C97" s="2"/>
      <c r="D97" s="2"/>
      <c r="E97" s="2"/>
      <c r="F97" s="2"/>
      <c r="G97" s="2"/>
      <c r="H97" s="2"/>
      <c r="I97" s="2">
        <v>67.521600000000007</v>
      </c>
      <c r="J97" s="2">
        <v>107</v>
      </c>
      <c r="K97" s="2">
        <v>68.173299999999998</v>
      </c>
      <c r="L97" s="2">
        <v>77</v>
      </c>
      <c r="M97" s="2">
        <v>103.2987</v>
      </c>
      <c r="N97" s="2">
        <v>123</v>
      </c>
      <c r="O97" s="2">
        <v>106.95229999999999</v>
      </c>
      <c r="P97" s="2">
        <v>67</v>
      </c>
      <c r="Q97" s="2">
        <v>103.11669999999999</v>
      </c>
      <c r="R97" s="2">
        <v>218</v>
      </c>
      <c r="S97" s="2">
        <v>100.0254</v>
      </c>
      <c r="T97" s="2">
        <v>144</v>
      </c>
      <c r="U97" s="2">
        <v>0.68352400000000002</v>
      </c>
      <c r="V97" s="2">
        <v>96</v>
      </c>
      <c r="W97" s="2">
        <v>2012</v>
      </c>
    </row>
    <row r="98" spans="1:23" ht="12.3" x14ac:dyDescent="0.4">
      <c r="A98" s="2" t="s">
        <v>190</v>
      </c>
      <c r="B98" s="2"/>
      <c r="C98" s="2"/>
      <c r="D98" s="2"/>
      <c r="E98" s="2"/>
      <c r="F98" s="2"/>
      <c r="G98" s="2"/>
      <c r="H98" s="2"/>
      <c r="I98" s="2">
        <v>65.099599999999995</v>
      </c>
      <c r="J98" s="2">
        <v>222</v>
      </c>
      <c r="K98" s="2">
        <v>65.833200000000005</v>
      </c>
      <c r="L98" s="2">
        <v>185</v>
      </c>
      <c r="M98" s="2">
        <v>98.573400000000007</v>
      </c>
      <c r="N98" s="2">
        <v>214</v>
      </c>
      <c r="O98" s="2">
        <v>99.842699999999994</v>
      </c>
      <c r="P98" s="2">
        <v>194</v>
      </c>
      <c r="Q98" s="2">
        <v>92.41</v>
      </c>
      <c r="R98" s="2">
        <v>24</v>
      </c>
      <c r="S98" s="2">
        <v>93.399100000000004</v>
      </c>
      <c r="T98" s="2">
        <v>29</v>
      </c>
      <c r="U98" s="2">
        <v>0.68291599999999997</v>
      </c>
      <c r="V98" s="2">
        <v>97</v>
      </c>
      <c r="W98" s="2">
        <v>2012</v>
      </c>
    </row>
    <row r="99" spans="1:23" ht="12.3" x14ac:dyDescent="0.4">
      <c r="A99" s="2" t="s">
        <v>266</v>
      </c>
      <c r="B99" s="2">
        <v>16</v>
      </c>
      <c r="C99" s="2"/>
      <c r="D99" s="2"/>
      <c r="E99" s="2"/>
      <c r="F99" s="2"/>
      <c r="G99" s="2"/>
      <c r="H99" s="2"/>
      <c r="I99" s="2">
        <v>68.553600000000003</v>
      </c>
      <c r="J99" s="2">
        <v>62</v>
      </c>
      <c r="K99" s="2">
        <v>67.026300000000006</v>
      </c>
      <c r="L99" s="2">
        <v>121</v>
      </c>
      <c r="M99" s="2">
        <v>105.6296</v>
      </c>
      <c r="N99" s="2">
        <v>85</v>
      </c>
      <c r="O99" s="2">
        <v>105.5522</v>
      </c>
      <c r="P99" s="2">
        <v>86</v>
      </c>
      <c r="Q99" s="2">
        <v>95.410899999999998</v>
      </c>
      <c r="R99" s="2">
        <v>55</v>
      </c>
      <c r="S99" s="2">
        <v>98.787400000000005</v>
      </c>
      <c r="T99" s="2">
        <v>122</v>
      </c>
      <c r="U99" s="2">
        <v>0.68172500000000003</v>
      </c>
      <c r="V99" s="2">
        <v>98</v>
      </c>
      <c r="W99" s="2">
        <v>2012</v>
      </c>
    </row>
    <row r="100" spans="1:23" ht="12.3" x14ac:dyDescent="0.4">
      <c r="A100" s="2" t="s">
        <v>159</v>
      </c>
      <c r="B100" s="2"/>
      <c r="C100" s="2"/>
      <c r="D100" s="2"/>
      <c r="E100" s="2"/>
      <c r="F100" s="2"/>
      <c r="G100" s="2"/>
      <c r="H100" s="2"/>
      <c r="I100" s="2">
        <v>63.020499999999998</v>
      </c>
      <c r="J100" s="2">
        <v>302</v>
      </c>
      <c r="K100" s="2">
        <v>62.616300000000003</v>
      </c>
      <c r="L100" s="2">
        <v>310</v>
      </c>
      <c r="M100" s="2">
        <v>102.4902</v>
      </c>
      <c r="N100" s="2">
        <v>144</v>
      </c>
      <c r="O100" s="2">
        <v>104.28570000000001</v>
      </c>
      <c r="P100" s="2">
        <v>107</v>
      </c>
      <c r="Q100" s="2">
        <v>98.493899999999996</v>
      </c>
      <c r="R100" s="2">
        <v>112</v>
      </c>
      <c r="S100" s="2">
        <v>97.611199999999997</v>
      </c>
      <c r="T100" s="2">
        <v>96</v>
      </c>
      <c r="U100" s="2">
        <v>0.68149099999999996</v>
      </c>
      <c r="V100" s="2">
        <v>99</v>
      </c>
      <c r="W100" s="2">
        <v>2012</v>
      </c>
    </row>
    <row r="101" spans="1:23" ht="12.3" x14ac:dyDescent="0.4">
      <c r="A101" s="2" t="s">
        <v>22</v>
      </c>
      <c r="B101" s="2"/>
      <c r="C101" s="2"/>
      <c r="D101" s="2"/>
      <c r="E101" s="2"/>
      <c r="F101" s="2"/>
      <c r="G101" s="2"/>
      <c r="H101" s="2"/>
      <c r="I101" s="2">
        <v>63.208100000000002</v>
      </c>
      <c r="J101" s="2">
        <v>297</v>
      </c>
      <c r="K101" s="2">
        <v>63.180300000000003</v>
      </c>
      <c r="L101" s="2">
        <v>297</v>
      </c>
      <c r="M101" s="2">
        <v>102.2483</v>
      </c>
      <c r="N101" s="2">
        <v>148</v>
      </c>
      <c r="O101" s="2">
        <v>102.9589</v>
      </c>
      <c r="P101" s="2">
        <v>131</v>
      </c>
      <c r="Q101" s="2">
        <v>98.465999999999994</v>
      </c>
      <c r="R101" s="2">
        <v>111</v>
      </c>
      <c r="S101" s="2">
        <v>96.439400000000006</v>
      </c>
      <c r="T101" s="2">
        <v>73</v>
      </c>
      <c r="U101" s="2">
        <v>0.67967299999999997</v>
      </c>
      <c r="V101" s="2">
        <v>100</v>
      </c>
      <c r="W101" s="2">
        <v>2012</v>
      </c>
    </row>
    <row r="102" spans="1:23" ht="12.3" x14ac:dyDescent="0.4">
      <c r="A102" s="2" t="s">
        <v>84</v>
      </c>
      <c r="B102" s="2"/>
      <c r="C102" s="2"/>
      <c r="D102" s="2"/>
      <c r="E102" s="2"/>
      <c r="F102" s="2"/>
      <c r="G102" s="2"/>
      <c r="H102" s="2"/>
      <c r="I102" s="2">
        <v>67.935199999999995</v>
      </c>
      <c r="J102" s="2">
        <v>84</v>
      </c>
      <c r="K102" s="2">
        <v>68.234099999999998</v>
      </c>
      <c r="L102" s="2">
        <v>70</v>
      </c>
      <c r="M102" s="2">
        <v>105.74809999999999</v>
      </c>
      <c r="N102" s="2">
        <v>83</v>
      </c>
      <c r="O102" s="2">
        <v>107.95010000000001</v>
      </c>
      <c r="P102" s="2">
        <v>56</v>
      </c>
      <c r="Q102" s="2">
        <v>105.41419999999999</v>
      </c>
      <c r="R102" s="2">
        <v>274</v>
      </c>
      <c r="S102" s="2">
        <v>101.4555</v>
      </c>
      <c r="T102" s="2">
        <v>174</v>
      </c>
      <c r="U102" s="2">
        <v>0.67118599999999995</v>
      </c>
      <c r="V102" s="2">
        <v>101</v>
      </c>
      <c r="W102" s="2">
        <v>2012</v>
      </c>
    </row>
    <row r="103" spans="1:23" ht="12.3" x14ac:dyDescent="0.4">
      <c r="A103" s="2" t="s">
        <v>145</v>
      </c>
      <c r="B103" s="2"/>
      <c r="C103" s="2"/>
      <c r="D103" s="2"/>
      <c r="E103" s="2"/>
      <c r="F103" s="2"/>
      <c r="G103" s="2"/>
      <c r="H103" s="2"/>
      <c r="I103" s="2">
        <v>65.792599999999993</v>
      </c>
      <c r="J103" s="2">
        <v>196</v>
      </c>
      <c r="K103" s="2">
        <v>64.929400000000001</v>
      </c>
      <c r="L103" s="2">
        <v>226</v>
      </c>
      <c r="M103" s="2">
        <v>106.0211</v>
      </c>
      <c r="N103" s="2">
        <v>78</v>
      </c>
      <c r="O103" s="2">
        <v>104.22920000000001</v>
      </c>
      <c r="P103" s="2">
        <v>109</v>
      </c>
      <c r="Q103" s="2">
        <v>96.917199999999994</v>
      </c>
      <c r="R103" s="2">
        <v>78</v>
      </c>
      <c r="S103" s="2">
        <v>98.204800000000006</v>
      </c>
      <c r="T103" s="2">
        <v>110</v>
      </c>
      <c r="U103" s="2">
        <v>0.66478099999999996</v>
      </c>
      <c r="V103" s="2">
        <v>102</v>
      </c>
      <c r="W103" s="2">
        <v>2012</v>
      </c>
    </row>
    <row r="104" spans="1:23" ht="12.3" x14ac:dyDescent="0.4">
      <c r="A104" s="2" t="s">
        <v>164</v>
      </c>
      <c r="B104" s="2"/>
      <c r="C104" s="2"/>
      <c r="D104" s="2"/>
      <c r="E104" s="2"/>
      <c r="F104" s="2"/>
      <c r="G104" s="2"/>
      <c r="H104" s="2"/>
      <c r="I104" s="2">
        <v>64.328500000000005</v>
      </c>
      <c r="J104" s="2">
        <v>264</v>
      </c>
      <c r="K104" s="2">
        <v>64.308499999999995</v>
      </c>
      <c r="L104" s="2">
        <v>258</v>
      </c>
      <c r="M104" s="2">
        <v>105.14400000000001</v>
      </c>
      <c r="N104" s="2">
        <v>94</v>
      </c>
      <c r="O104" s="2">
        <v>104.7094</v>
      </c>
      <c r="P104" s="2">
        <v>102</v>
      </c>
      <c r="Q104" s="2">
        <v>98.997200000000007</v>
      </c>
      <c r="R104" s="2">
        <v>128</v>
      </c>
      <c r="S104" s="2">
        <v>98.690700000000007</v>
      </c>
      <c r="T104" s="2">
        <v>121</v>
      </c>
      <c r="U104" s="2">
        <v>0.66391199999999995</v>
      </c>
      <c r="V104" s="2">
        <v>103</v>
      </c>
      <c r="W104" s="2">
        <v>2012</v>
      </c>
    </row>
    <row r="105" spans="1:23" ht="12.3" x14ac:dyDescent="0.4">
      <c r="A105" s="2" t="s">
        <v>215</v>
      </c>
      <c r="B105" s="2"/>
      <c r="C105" s="2"/>
      <c r="D105" s="2"/>
      <c r="E105" s="2"/>
      <c r="F105" s="2"/>
      <c r="G105" s="2"/>
      <c r="H105" s="2"/>
      <c r="I105" s="2">
        <v>68.864099999999993</v>
      </c>
      <c r="J105" s="2">
        <v>54</v>
      </c>
      <c r="K105" s="2">
        <v>68.596400000000003</v>
      </c>
      <c r="L105" s="2">
        <v>57</v>
      </c>
      <c r="M105" s="2">
        <v>106.5219</v>
      </c>
      <c r="N105" s="2">
        <v>67</v>
      </c>
      <c r="O105" s="2">
        <v>102.2475</v>
      </c>
      <c r="P105" s="2">
        <v>143</v>
      </c>
      <c r="Q105" s="2">
        <v>93.418099999999995</v>
      </c>
      <c r="R105" s="2">
        <v>33</v>
      </c>
      <c r="S105" s="2">
        <v>96.471000000000004</v>
      </c>
      <c r="T105" s="2">
        <v>74</v>
      </c>
      <c r="U105" s="2">
        <v>0.66122899999999996</v>
      </c>
      <c r="V105" s="2">
        <v>104</v>
      </c>
      <c r="W105" s="2">
        <v>2012</v>
      </c>
    </row>
    <row r="106" spans="1:23" ht="12.3" x14ac:dyDescent="0.4">
      <c r="A106" s="2" t="s">
        <v>221</v>
      </c>
      <c r="B106" s="2"/>
      <c r="C106" s="2"/>
      <c r="D106" s="2"/>
      <c r="E106" s="2"/>
      <c r="F106" s="2"/>
      <c r="G106" s="2"/>
      <c r="H106" s="2"/>
      <c r="I106" s="2">
        <v>65.409099999999995</v>
      </c>
      <c r="J106" s="2">
        <v>209</v>
      </c>
      <c r="K106" s="2">
        <v>64.869699999999995</v>
      </c>
      <c r="L106" s="2">
        <v>233</v>
      </c>
      <c r="M106" s="2">
        <v>99.6738</v>
      </c>
      <c r="N106" s="2">
        <v>195</v>
      </c>
      <c r="O106" s="2">
        <v>98.778599999999997</v>
      </c>
      <c r="P106" s="2">
        <v>220</v>
      </c>
      <c r="Q106" s="2">
        <v>93.603899999999996</v>
      </c>
      <c r="R106" s="2">
        <v>34</v>
      </c>
      <c r="S106" s="2">
        <v>93.236400000000003</v>
      </c>
      <c r="T106" s="2">
        <v>23</v>
      </c>
      <c r="U106" s="2">
        <v>0.66016900000000001</v>
      </c>
      <c r="V106" s="2">
        <v>105</v>
      </c>
      <c r="W106" s="2">
        <v>2012</v>
      </c>
    </row>
    <row r="107" spans="1:23" ht="12.3" x14ac:dyDescent="0.4">
      <c r="A107" s="2" t="s">
        <v>147</v>
      </c>
      <c r="B107" s="2"/>
      <c r="C107" s="2"/>
      <c r="D107" s="2"/>
      <c r="E107" s="2"/>
      <c r="F107" s="2"/>
      <c r="G107" s="2"/>
      <c r="H107" s="2"/>
      <c r="I107" s="2">
        <v>67.880399999999995</v>
      </c>
      <c r="J107" s="2">
        <v>88</v>
      </c>
      <c r="K107" s="2">
        <v>68.213200000000001</v>
      </c>
      <c r="L107" s="2">
        <v>72</v>
      </c>
      <c r="M107" s="2">
        <v>101.92449999999999</v>
      </c>
      <c r="N107" s="2">
        <v>153</v>
      </c>
      <c r="O107" s="2">
        <v>102.0424</v>
      </c>
      <c r="P107" s="2">
        <v>148</v>
      </c>
      <c r="Q107" s="2">
        <v>93.909599999999998</v>
      </c>
      <c r="R107" s="2">
        <v>38</v>
      </c>
      <c r="S107" s="2">
        <v>96.332099999999997</v>
      </c>
      <c r="T107" s="2">
        <v>70</v>
      </c>
      <c r="U107" s="2">
        <v>0.65976500000000005</v>
      </c>
      <c r="V107" s="2">
        <v>106</v>
      </c>
      <c r="W107" s="2">
        <v>2012</v>
      </c>
    </row>
    <row r="108" spans="1:23" ht="12.3" x14ac:dyDescent="0.4">
      <c r="A108" s="2" t="s">
        <v>132</v>
      </c>
      <c r="B108" s="2">
        <v>15</v>
      </c>
      <c r="C108" s="2"/>
      <c r="D108" s="2"/>
      <c r="E108" s="2"/>
      <c r="F108" s="2"/>
      <c r="G108" s="2"/>
      <c r="H108" s="2"/>
      <c r="I108" s="2">
        <v>66.800399999999996</v>
      </c>
      <c r="J108" s="2">
        <v>140</v>
      </c>
      <c r="K108" s="2">
        <v>68.207800000000006</v>
      </c>
      <c r="L108" s="2">
        <v>73</v>
      </c>
      <c r="M108" s="2">
        <v>105.69289999999999</v>
      </c>
      <c r="N108" s="2">
        <v>84</v>
      </c>
      <c r="O108" s="2">
        <v>107.17400000000001</v>
      </c>
      <c r="P108" s="2">
        <v>64</v>
      </c>
      <c r="Q108" s="2">
        <v>101.07559999999999</v>
      </c>
      <c r="R108" s="2">
        <v>175</v>
      </c>
      <c r="S108" s="2">
        <v>101.1803</v>
      </c>
      <c r="T108" s="2">
        <v>166</v>
      </c>
      <c r="U108" s="2">
        <v>0.65966999999999998</v>
      </c>
      <c r="V108" s="2">
        <v>107</v>
      </c>
      <c r="W108" s="2">
        <v>2012</v>
      </c>
    </row>
    <row r="109" spans="1:23" ht="12.3" x14ac:dyDescent="0.4">
      <c r="A109" s="2" t="s">
        <v>292</v>
      </c>
      <c r="B109" s="2"/>
      <c r="C109" s="2"/>
      <c r="D109" s="2"/>
      <c r="E109" s="2"/>
      <c r="F109" s="2"/>
      <c r="G109" s="2"/>
      <c r="H109" s="2"/>
      <c r="I109" s="2">
        <v>67.289299999999997</v>
      </c>
      <c r="J109" s="2">
        <v>116</v>
      </c>
      <c r="K109" s="2">
        <v>67.619799999999998</v>
      </c>
      <c r="L109" s="2">
        <v>98</v>
      </c>
      <c r="M109" s="2">
        <v>105.54179999999999</v>
      </c>
      <c r="N109" s="2">
        <v>86</v>
      </c>
      <c r="O109" s="2">
        <v>108.096</v>
      </c>
      <c r="P109" s="2">
        <v>54</v>
      </c>
      <c r="Q109" s="2">
        <v>104.7458</v>
      </c>
      <c r="R109" s="2">
        <v>257</v>
      </c>
      <c r="S109" s="2">
        <v>102.3454</v>
      </c>
      <c r="T109" s="2">
        <v>193</v>
      </c>
      <c r="U109" s="2">
        <v>0.65218699999999996</v>
      </c>
      <c r="V109" s="2">
        <v>108</v>
      </c>
      <c r="W109" s="2">
        <v>2012</v>
      </c>
    </row>
    <row r="110" spans="1:23" ht="12.3" x14ac:dyDescent="0.4">
      <c r="A110" s="2" t="s">
        <v>149</v>
      </c>
      <c r="B110" s="2"/>
      <c r="C110" s="2"/>
      <c r="D110" s="2"/>
      <c r="E110" s="2"/>
      <c r="F110" s="2"/>
      <c r="G110" s="2"/>
      <c r="H110" s="2"/>
      <c r="I110" s="2">
        <v>70.982500000000002</v>
      </c>
      <c r="J110" s="2">
        <v>20</v>
      </c>
      <c r="K110" s="2">
        <v>70.976699999999994</v>
      </c>
      <c r="L110" s="2">
        <v>17</v>
      </c>
      <c r="M110" s="2">
        <v>108.2803</v>
      </c>
      <c r="N110" s="2">
        <v>44</v>
      </c>
      <c r="O110" s="2">
        <v>108.68259999999999</v>
      </c>
      <c r="P110" s="2">
        <v>49</v>
      </c>
      <c r="Q110" s="2">
        <v>101.1849</v>
      </c>
      <c r="R110" s="2">
        <v>177</v>
      </c>
      <c r="S110" s="2">
        <v>102.9924</v>
      </c>
      <c r="T110" s="2">
        <v>208</v>
      </c>
      <c r="U110" s="2">
        <v>0.64986200000000005</v>
      </c>
      <c r="V110" s="2">
        <v>109</v>
      </c>
      <c r="W110" s="2">
        <v>2012</v>
      </c>
    </row>
    <row r="111" spans="1:23" ht="12.3" x14ac:dyDescent="0.4">
      <c r="A111" s="2" t="s">
        <v>104</v>
      </c>
      <c r="B111" s="2"/>
      <c r="C111" s="2"/>
      <c r="D111" s="2"/>
      <c r="E111" s="2"/>
      <c r="F111" s="2"/>
      <c r="G111" s="2"/>
      <c r="H111" s="2"/>
      <c r="I111" s="2">
        <v>64.512600000000006</v>
      </c>
      <c r="J111" s="2">
        <v>249</v>
      </c>
      <c r="K111" s="2">
        <v>64.100999999999999</v>
      </c>
      <c r="L111" s="2">
        <v>264</v>
      </c>
      <c r="M111" s="2">
        <v>110.227</v>
      </c>
      <c r="N111" s="2">
        <v>25</v>
      </c>
      <c r="O111" s="2">
        <v>108.7015</v>
      </c>
      <c r="P111" s="2">
        <v>48</v>
      </c>
      <c r="Q111" s="2">
        <v>101.4973</v>
      </c>
      <c r="R111" s="2">
        <v>186</v>
      </c>
      <c r="S111" s="2">
        <v>103.1073</v>
      </c>
      <c r="T111" s="2">
        <v>211</v>
      </c>
      <c r="U111" s="2">
        <v>0.64739400000000002</v>
      </c>
      <c r="V111" s="2">
        <v>110</v>
      </c>
      <c r="W111" s="2">
        <v>2012</v>
      </c>
    </row>
    <row r="112" spans="1:23" ht="12.3" x14ac:dyDescent="0.4">
      <c r="A112" s="2" t="s">
        <v>318</v>
      </c>
      <c r="B112" s="2"/>
      <c r="C112" s="2"/>
      <c r="D112" s="2"/>
      <c r="E112" s="2"/>
      <c r="F112" s="2"/>
      <c r="G112" s="2"/>
      <c r="H112" s="2"/>
      <c r="I112" s="2">
        <v>64.9833</v>
      </c>
      <c r="J112" s="2">
        <v>231</v>
      </c>
      <c r="K112" s="2">
        <v>64.076800000000006</v>
      </c>
      <c r="L112" s="2">
        <v>267</v>
      </c>
      <c r="M112" s="2">
        <v>104.02160000000001</v>
      </c>
      <c r="N112" s="2">
        <v>113</v>
      </c>
      <c r="O112" s="2">
        <v>101.69629999999999</v>
      </c>
      <c r="P112" s="2">
        <v>152</v>
      </c>
      <c r="Q112" s="2">
        <v>95.856999999999999</v>
      </c>
      <c r="R112" s="2">
        <v>62</v>
      </c>
      <c r="S112" s="2">
        <v>96.566699999999997</v>
      </c>
      <c r="T112" s="2">
        <v>75</v>
      </c>
      <c r="U112" s="2">
        <v>0.64455600000000002</v>
      </c>
      <c r="V112" s="2">
        <v>111</v>
      </c>
      <c r="W112" s="2">
        <v>2012</v>
      </c>
    </row>
    <row r="113" spans="1:23" ht="12.3" x14ac:dyDescent="0.4">
      <c r="A113" s="2" t="s">
        <v>19</v>
      </c>
      <c r="B113" s="2"/>
      <c r="C113" s="2"/>
      <c r="D113" s="2"/>
      <c r="E113" s="2"/>
      <c r="F113" s="2"/>
      <c r="G113" s="2"/>
      <c r="H113" s="2"/>
      <c r="I113" s="2">
        <v>61.467199999999998</v>
      </c>
      <c r="J113" s="2">
        <v>326</v>
      </c>
      <c r="K113" s="2">
        <v>62.578299999999999</v>
      </c>
      <c r="L113" s="2">
        <v>312</v>
      </c>
      <c r="M113" s="2">
        <v>97.997600000000006</v>
      </c>
      <c r="N113" s="2">
        <v>231</v>
      </c>
      <c r="O113" s="2">
        <v>102.05370000000001</v>
      </c>
      <c r="P113" s="2">
        <v>147</v>
      </c>
      <c r="Q113" s="2">
        <v>101.4773</v>
      </c>
      <c r="R113" s="2">
        <v>185</v>
      </c>
      <c r="S113" s="2">
        <v>97.327299999999994</v>
      </c>
      <c r="T113" s="2">
        <v>88</v>
      </c>
      <c r="U113" s="2">
        <v>0.63305</v>
      </c>
      <c r="V113" s="2">
        <v>112</v>
      </c>
      <c r="W113" s="2">
        <v>2012</v>
      </c>
    </row>
    <row r="114" spans="1:23" ht="12.3" x14ac:dyDescent="0.4">
      <c r="A114" s="2" t="s">
        <v>38</v>
      </c>
      <c r="B114" s="2"/>
      <c r="C114" s="2"/>
      <c r="D114" s="2"/>
      <c r="E114" s="2"/>
      <c r="F114" s="2"/>
      <c r="G114" s="2"/>
      <c r="H114" s="2"/>
      <c r="I114" s="2">
        <v>67.464600000000004</v>
      </c>
      <c r="J114" s="2">
        <v>110</v>
      </c>
      <c r="K114" s="2">
        <v>67.326999999999998</v>
      </c>
      <c r="L114" s="2">
        <v>108</v>
      </c>
      <c r="M114" s="2">
        <v>101.8948</v>
      </c>
      <c r="N114" s="2">
        <v>155</v>
      </c>
      <c r="O114" s="2">
        <v>102.5181</v>
      </c>
      <c r="P114" s="2">
        <v>136</v>
      </c>
      <c r="Q114" s="2">
        <v>101.6795</v>
      </c>
      <c r="R114" s="2">
        <v>189</v>
      </c>
      <c r="S114" s="2">
        <v>97.848799999999997</v>
      </c>
      <c r="T114" s="2">
        <v>102</v>
      </c>
      <c r="U114" s="2">
        <v>0.63090000000000002</v>
      </c>
      <c r="V114" s="2">
        <v>113</v>
      </c>
      <c r="W114" s="2">
        <v>2012</v>
      </c>
    </row>
    <row r="115" spans="1:23" ht="12.3" x14ac:dyDescent="0.4">
      <c r="A115" s="2" t="s">
        <v>53</v>
      </c>
      <c r="B115" s="2"/>
      <c r="C115" s="2"/>
      <c r="D115" s="2"/>
      <c r="E115" s="2"/>
      <c r="F115" s="2"/>
      <c r="G115" s="2"/>
      <c r="H115" s="2"/>
      <c r="I115" s="2">
        <v>67.314700000000002</v>
      </c>
      <c r="J115" s="2">
        <v>115</v>
      </c>
      <c r="K115" s="2">
        <v>67.998699999999999</v>
      </c>
      <c r="L115" s="2">
        <v>82</v>
      </c>
      <c r="M115" s="2">
        <v>104.17659999999999</v>
      </c>
      <c r="N115" s="2">
        <v>109</v>
      </c>
      <c r="O115" s="2">
        <v>103.9823</v>
      </c>
      <c r="P115" s="2">
        <v>112</v>
      </c>
      <c r="Q115" s="2">
        <v>97.707599999999999</v>
      </c>
      <c r="R115" s="2">
        <v>93</v>
      </c>
      <c r="S115" s="2">
        <v>99.2607</v>
      </c>
      <c r="T115" s="2">
        <v>132</v>
      </c>
      <c r="U115" s="2">
        <v>0.63051199999999996</v>
      </c>
      <c r="V115" s="2">
        <v>114</v>
      </c>
      <c r="W115" s="2">
        <v>2012</v>
      </c>
    </row>
    <row r="116" spans="1:23" ht="12.3" x14ac:dyDescent="0.4">
      <c r="A116" s="2" t="s">
        <v>100</v>
      </c>
      <c r="B116" s="2"/>
      <c r="C116" s="2"/>
      <c r="D116" s="2"/>
      <c r="E116" s="2"/>
      <c r="F116" s="2"/>
      <c r="G116" s="2"/>
      <c r="H116" s="2"/>
      <c r="I116" s="2">
        <v>64.747200000000007</v>
      </c>
      <c r="J116" s="2">
        <v>241</v>
      </c>
      <c r="K116" s="2">
        <v>64.043199999999999</v>
      </c>
      <c r="L116" s="2">
        <v>269</v>
      </c>
      <c r="M116" s="2">
        <v>106.0523</v>
      </c>
      <c r="N116" s="2">
        <v>76</v>
      </c>
      <c r="O116" s="2">
        <v>106.4418</v>
      </c>
      <c r="P116" s="2">
        <v>77</v>
      </c>
      <c r="Q116" s="2">
        <v>103.2081</v>
      </c>
      <c r="R116" s="2">
        <v>220</v>
      </c>
      <c r="S116" s="2">
        <v>101.6373</v>
      </c>
      <c r="T116" s="2">
        <v>177</v>
      </c>
      <c r="U116" s="2">
        <v>0.62975099999999995</v>
      </c>
      <c r="V116" s="2">
        <v>115</v>
      </c>
      <c r="W116" s="2">
        <v>2012</v>
      </c>
    </row>
    <row r="117" spans="1:23" ht="12.3" x14ac:dyDescent="0.4">
      <c r="A117" s="2" t="s">
        <v>248</v>
      </c>
      <c r="B117" s="2"/>
      <c r="C117" s="2"/>
      <c r="D117" s="2"/>
      <c r="E117" s="2"/>
      <c r="F117" s="2"/>
      <c r="G117" s="2"/>
      <c r="H117" s="2"/>
      <c r="I117" s="2">
        <v>62.881100000000004</v>
      </c>
      <c r="J117" s="2">
        <v>307</v>
      </c>
      <c r="K117" s="2">
        <v>62.400700000000001</v>
      </c>
      <c r="L117" s="2">
        <v>317</v>
      </c>
      <c r="M117" s="2">
        <v>95.977400000000003</v>
      </c>
      <c r="N117" s="2">
        <v>269</v>
      </c>
      <c r="O117" s="2">
        <v>99.687600000000003</v>
      </c>
      <c r="P117" s="2">
        <v>200</v>
      </c>
      <c r="Q117" s="2">
        <v>97.517200000000003</v>
      </c>
      <c r="R117" s="2">
        <v>89</v>
      </c>
      <c r="S117" s="2">
        <v>95.373999999999995</v>
      </c>
      <c r="T117" s="2">
        <v>58</v>
      </c>
      <c r="U117" s="2">
        <v>0.62450399999999995</v>
      </c>
      <c r="V117" s="2">
        <v>116</v>
      </c>
      <c r="W117" s="2">
        <v>2012</v>
      </c>
    </row>
    <row r="118" spans="1:23" ht="12.3" x14ac:dyDescent="0.4">
      <c r="A118" s="2" t="s">
        <v>18</v>
      </c>
      <c r="B118" s="2"/>
      <c r="C118" s="2"/>
      <c r="D118" s="2"/>
      <c r="E118" s="2"/>
      <c r="F118" s="2"/>
      <c r="G118" s="2"/>
      <c r="H118" s="2"/>
      <c r="I118" s="2">
        <v>64.4251</v>
      </c>
      <c r="J118" s="2">
        <v>259</v>
      </c>
      <c r="K118" s="2">
        <v>65.162800000000004</v>
      </c>
      <c r="L118" s="2">
        <v>213</v>
      </c>
      <c r="M118" s="2">
        <v>96.006500000000003</v>
      </c>
      <c r="N118" s="2">
        <v>268</v>
      </c>
      <c r="O118" s="2">
        <v>97.370099999999994</v>
      </c>
      <c r="P118" s="2">
        <v>242</v>
      </c>
      <c r="Q118" s="2">
        <v>93.750399999999999</v>
      </c>
      <c r="R118" s="2">
        <v>36</v>
      </c>
      <c r="S118" s="2">
        <v>93.306899999999999</v>
      </c>
      <c r="T118" s="2">
        <v>25</v>
      </c>
      <c r="U118" s="2">
        <v>0.62015100000000001</v>
      </c>
      <c r="V118" s="2">
        <v>117</v>
      </c>
      <c r="W118" s="2">
        <v>2012</v>
      </c>
    </row>
    <row r="119" spans="1:23" ht="12.3" x14ac:dyDescent="0.4">
      <c r="A119" s="2" t="s">
        <v>123</v>
      </c>
      <c r="B119" s="2"/>
      <c r="C119" s="2"/>
      <c r="D119" s="2"/>
      <c r="E119" s="2"/>
      <c r="F119" s="2"/>
      <c r="G119" s="2"/>
      <c r="H119" s="2"/>
      <c r="I119" s="2">
        <v>65.958200000000005</v>
      </c>
      <c r="J119" s="2">
        <v>184</v>
      </c>
      <c r="K119" s="2">
        <v>66.224999999999994</v>
      </c>
      <c r="L119" s="2">
        <v>155</v>
      </c>
      <c r="M119" s="2">
        <v>98.056600000000003</v>
      </c>
      <c r="N119" s="2">
        <v>230</v>
      </c>
      <c r="O119" s="2">
        <v>100.0395</v>
      </c>
      <c r="P119" s="2">
        <v>190</v>
      </c>
      <c r="Q119" s="2">
        <v>98.6387</v>
      </c>
      <c r="R119" s="2">
        <v>118</v>
      </c>
      <c r="S119" s="2">
        <v>96.032300000000006</v>
      </c>
      <c r="T119" s="2">
        <v>66</v>
      </c>
      <c r="U119" s="2">
        <v>0.61541400000000002</v>
      </c>
      <c r="V119" s="2">
        <v>118</v>
      </c>
      <c r="W119" s="2">
        <v>2012</v>
      </c>
    </row>
    <row r="120" spans="1:23" ht="12.3" x14ac:dyDescent="0.4">
      <c r="A120" s="2" t="s">
        <v>120</v>
      </c>
      <c r="B120" s="2"/>
      <c r="C120" s="2"/>
      <c r="D120" s="2"/>
      <c r="E120" s="2"/>
      <c r="F120" s="2"/>
      <c r="G120" s="2"/>
      <c r="H120" s="2"/>
      <c r="I120" s="2">
        <v>65.816500000000005</v>
      </c>
      <c r="J120" s="2">
        <v>194</v>
      </c>
      <c r="K120" s="2">
        <v>66.344700000000003</v>
      </c>
      <c r="L120" s="2">
        <v>148</v>
      </c>
      <c r="M120" s="2">
        <v>104.0656</v>
      </c>
      <c r="N120" s="2">
        <v>111</v>
      </c>
      <c r="O120" s="2">
        <v>109.5812</v>
      </c>
      <c r="P120" s="2">
        <v>36</v>
      </c>
      <c r="Q120" s="2">
        <v>105.1909</v>
      </c>
      <c r="R120" s="2">
        <v>267</v>
      </c>
      <c r="S120" s="2">
        <v>105.24339999999999</v>
      </c>
      <c r="T120" s="2">
        <v>261</v>
      </c>
      <c r="U120" s="2">
        <v>0.61407800000000001</v>
      </c>
      <c r="V120" s="2">
        <v>119</v>
      </c>
      <c r="W120" s="2">
        <v>2012</v>
      </c>
    </row>
    <row r="121" spans="1:23" ht="12.3" x14ac:dyDescent="0.4">
      <c r="A121" s="2" t="s">
        <v>89</v>
      </c>
      <c r="B121" s="2"/>
      <c r="C121" s="2"/>
      <c r="D121" s="2"/>
      <c r="E121" s="2"/>
      <c r="F121" s="2"/>
      <c r="G121" s="2"/>
      <c r="H121" s="2"/>
      <c r="I121" s="2">
        <v>64.698599999999999</v>
      </c>
      <c r="J121" s="2">
        <v>242</v>
      </c>
      <c r="K121" s="2">
        <v>64.735100000000003</v>
      </c>
      <c r="L121" s="2">
        <v>245</v>
      </c>
      <c r="M121" s="2">
        <v>101.12479999999999</v>
      </c>
      <c r="N121" s="2">
        <v>170</v>
      </c>
      <c r="O121" s="2">
        <v>101.6872</v>
      </c>
      <c r="P121" s="2">
        <v>153</v>
      </c>
      <c r="Q121" s="2">
        <v>97.983000000000004</v>
      </c>
      <c r="R121" s="2">
        <v>99</v>
      </c>
      <c r="S121" s="2">
        <v>97.694000000000003</v>
      </c>
      <c r="T121" s="2">
        <v>97</v>
      </c>
      <c r="U121" s="2">
        <v>0.613182</v>
      </c>
      <c r="V121" s="2">
        <v>120</v>
      </c>
      <c r="W121" s="2">
        <v>2012</v>
      </c>
    </row>
    <row r="122" spans="1:23" ht="12.3" x14ac:dyDescent="0.4">
      <c r="A122" s="2" t="s">
        <v>220</v>
      </c>
      <c r="B122" s="2">
        <v>16</v>
      </c>
      <c r="C122" s="2"/>
      <c r="D122" s="2"/>
      <c r="E122" s="2"/>
      <c r="F122" s="2"/>
      <c r="G122" s="2"/>
      <c r="H122" s="2"/>
      <c r="I122" s="2">
        <v>63.268700000000003</v>
      </c>
      <c r="J122" s="2">
        <v>295</v>
      </c>
      <c r="K122" s="2">
        <v>63.640300000000003</v>
      </c>
      <c r="L122" s="2">
        <v>282</v>
      </c>
      <c r="M122" s="2">
        <v>105.0145</v>
      </c>
      <c r="N122" s="2">
        <v>97</v>
      </c>
      <c r="O122" s="2">
        <v>101.35769999999999</v>
      </c>
      <c r="P122" s="2">
        <v>164</v>
      </c>
      <c r="Q122" s="2">
        <v>94.652500000000003</v>
      </c>
      <c r="R122" s="2">
        <v>47</v>
      </c>
      <c r="S122" s="2">
        <v>97.380399999999995</v>
      </c>
      <c r="T122" s="2">
        <v>90</v>
      </c>
      <c r="U122" s="2">
        <v>0.61309899999999995</v>
      </c>
      <c r="V122" s="2">
        <v>121</v>
      </c>
      <c r="W122" s="2">
        <v>2012</v>
      </c>
    </row>
    <row r="123" spans="1:23" ht="12.3" x14ac:dyDescent="0.4">
      <c r="A123" s="2" t="s">
        <v>281</v>
      </c>
      <c r="B123" s="2">
        <v>16</v>
      </c>
      <c r="C123" s="2"/>
      <c r="D123" s="2"/>
      <c r="E123" s="2"/>
      <c r="F123" s="2"/>
      <c r="G123" s="2"/>
      <c r="H123" s="2"/>
      <c r="I123" s="2">
        <v>70.191299999999998</v>
      </c>
      <c r="J123" s="2">
        <v>31</v>
      </c>
      <c r="K123" s="2">
        <v>69.466700000000003</v>
      </c>
      <c r="L123" s="2">
        <v>35</v>
      </c>
      <c r="M123" s="2">
        <v>111.4371</v>
      </c>
      <c r="N123" s="2">
        <v>19</v>
      </c>
      <c r="O123" s="2">
        <v>107.1992</v>
      </c>
      <c r="P123" s="2">
        <v>63</v>
      </c>
      <c r="Q123" s="2">
        <v>102.30589999999999</v>
      </c>
      <c r="R123" s="2">
        <v>200</v>
      </c>
      <c r="S123" s="2">
        <v>103.1621</v>
      </c>
      <c r="T123" s="2">
        <v>212</v>
      </c>
      <c r="U123" s="2">
        <v>0.60860400000000003</v>
      </c>
      <c r="V123" s="2">
        <v>122</v>
      </c>
      <c r="W123" s="2">
        <v>2012</v>
      </c>
    </row>
    <row r="124" spans="1:23" ht="12.3" x14ac:dyDescent="0.4">
      <c r="A124" s="2" t="s">
        <v>128</v>
      </c>
      <c r="B124" s="2"/>
      <c r="C124" s="2"/>
      <c r="D124" s="2"/>
      <c r="E124" s="2"/>
      <c r="F124" s="2"/>
      <c r="G124" s="2"/>
      <c r="H124" s="2"/>
      <c r="I124" s="2">
        <v>61.975000000000001</v>
      </c>
      <c r="J124" s="2">
        <v>323</v>
      </c>
      <c r="K124" s="2">
        <v>62.355699999999999</v>
      </c>
      <c r="L124" s="2">
        <v>318</v>
      </c>
      <c r="M124" s="2">
        <v>97.004099999999994</v>
      </c>
      <c r="N124" s="2">
        <v>248</v>
      </c>
      <c r="O124" s="2">
        <v>99.605099999999993</v>
      </c>
      <c r="P124" s="2">
        <v>203</v>
      </c>
      <c r="Q124" s="2">
        <v>98.914500000000004</v>
      </c>
      <c r="R124" s="2">
        <v>124</v>
      </c>
      <c r="S124" s="2">
        <v>95.887900000000002</v>
      </c>
      <c r="T124" s="2">
        <v>65</v>
      </c>
      <c r="U124" s="2">
        <v>0.60763699999999998</v>
      </c>
      <c r="V124" s="2">
        <v>123</v>
      </c>
      <c r="W124" s="2">
        <v>2012</v>
      </c>
    </row>
    <row r="125" spans="1:23" ht="12.3" x14ac:dyDescent="0.4">
      <c r="A125" s="2" t="s">
        <v>250</v>
      </c>
      <c r="B125" s="2"/>
      <c r="C125" s="2"/>
      <c r="D125" s="2"/>
      <c r="E125" s="2"/>
      <c r="F125" s="2"/>
      <c r="G125" s="2"/>
      <c r="H125" s="2"/>
      <c r="I125" s="2">
        <v>68.935100000000006</v>
      </c>
      <c r="J125" s="2">
        <v>51</v>
      </c>
      <c r="K125" s="2">
        <v>68.200400000000002</v>
      </c>
      <c r="L125" s="2">
        <v>74</v>
      </c>
      <c r="M125" s="2">
        <v>102.9195</v>
      </c>
      <c r="N125" s="2">
        <v>130</v>
      </c>
      <c r="O125" s="2">
        <v>105.1078</v>
      </c>
      <c r="P125" s="2">
        <v>94</v>
      </c>
      <c r="Q125" s="2">
        <v>104.32640000000001</v>
      </c>
      <c r="R125" s="2">
        <v>247</v>
      </c>
      <c r="S125" s="2">
        <v>101.1952</v>
      </c>
      <c r="T125" s="2">
        <v>167</v>
      </c>
      <c r="U125" s="2">
        <v>0.60736599999999996</v>
      </c>
      <c r="V125" s="2">
        <v>124</v>
      </c>
      <c r="W125" s="2">
        <v>2012</v>
      </c>
    </row>
    <row r="126" spans="1:23" ht="12.3" x14ac:dyDescent="0.4">
      <c r="A126" s="2" t="s">
        <v>270</v>
      </c>
      <c r="B126" s="2"/>
      <c r="C126" s="2"/>
      <c r="D126" s="2"/>
      <c r="E126" s="2"/>
      <c r="F126" s="2"/>
      <c r="G126" s="2"/>
      <c r="H126" s="2"/>
      <c r="I126" s="2">
        <v>72.252200000000002</v>
      </c>
      <c r="J126" s="2">
        <v>10</v>
      </c>
      <c r="K126" s="2">
        <v>72.055899999999994</v>
      </c>
      <c r="L126" s="2">
        <v>11</v>
      </c>
      <c r="M126" s="2">
        <v>105.4842</v>
      </c>
      <c r="N126" s="2">
        <v>88</v>
      </c>
      <c r="O126" s="2">
        <v>103.75020000000001</v>
      </c>
      <c r="P126" s="2">
        <v>117</v>
      </c>
      <c r="Q126" s="2">
        <v>92.996099999999998</v>
      </c>
      <c r="R126" s="2">
        <v>28</v>
      </c>
      <c r="S126" s="2">
        <v>99.929599999999994</v>
      </c>
      <c r="T126" s="2">
        <v>142</v>
      </c>
      <c r="U126" s="2">
        <v>0.60622500000000001</v>
      </c>
      <c r="V126" s="2">
        <v>125</v>
      </c>
      <c r="W126" s="2">
        <v>2012</v>
      </c>
    </row>
    <row r="127" spans="1:23" ht="12.3" x14ac:dyDescent="0.4">
      <c r="A127" s="2" t="s">
        <v>170</v>
      </c>
      <c r="B127" s="2"/>
      <c r="C127" s="2"/>
      <c r="D127" s="2"/>
      <c r="E127" s="2"/>
      <c r="F127" s="2"/>
      <c r="G127" s="2"/>
      <c r="H127" s="2"/>
      <c r="I127" s="2">
        <v>66.904399999999995</v>
      </c>
      <c r="J127" s="2">
        <v>136</v>
      </c>
      <c r="K127" s="2">
        <v>66.182299999999998</v>
      </c>
      <c r="L127" s="2">
        <v>158</v>
      </c>
      <c r="M127" s="2">
        <v>111.97929999999999</v>
      </c>
      <c r="N127" s="2">
        <v>17</v>
      </c>
      <c r="O127" s="2">
        <v>108.1561</v>
      </c>
      <c r="P127" s="2">
        <v>53</v>
      </c>
      <c r="Q127" s="2">
        <v>103.2319</v>
      </c>
      <c r="R127" s="2">
        <v>222</v>
      </c>
      <c r="S127" s="2">
        <v>104.22499999999999</v>
      </c>
      <c r="T127" s="2">
        <v>241</v>
      </c>
      <c r="U127" s="2">
        <v>0.60486200000000001</v>
      </c>
      <c r="V127" s="2">
        <v>126</v>
      </c>
      <c r="W127" s="2">
        <v>2012</v>
      </c>
    </row>
    <row r="128" spans="1:23" ht="12.3" x14ac:dyDescent="0.4">
      <c r="A128" s="2" t="s">
        <v>77</v>
      </c>
      <c r="B128" s="2"/>
      <c r="C128" s="2"/>
      <c r="D128" s="2"/>
      <c r="E128" s="2"/>
      <c r="F128" s="2"/>
      <c r="G128" s="2"/>
      <c r="H128" s="2"/>
      <c r="I128" s="2">
        <v>63.326500000000003</v>
      </c>
      <c r="J128" s="2">
        <v>291</v>
      </c>
      <c r="K128" s="2">
        <v>62.777200000000001</v>
      </c>
      <c r="L128" s="2">
        <v>304</v>
      </c>
      <c r="M128" s="2">
        <v>101.7034</v>
      </c>
      <c r="N128" s="2">
        <v>163</v>
      </c>
      <c r="O128" s="2">
        <v>102.49250000000001</v>
      </c>
      <c r="P128" s="2">
        <v>138</v>
      </c>
      <c r="Q128" s="2">
        <v>99.553899999999999</v>
      </c>
      <c r="R128" s="2">
        <v>140</v>
      </c>
      <c r="S128" s="2">
        <v>98.852099999999993</v>
      </c>
      <c r="T128" s="2">
        <v>123</v>
      </c>
      <c r="U128" s="2">
        <v>0.60250199999999998</v>
      </c>
      <c r="V128" s="2">
        <v>127</v>
      </c>
      <c r="W128" s="2">
        <v>2012</v>
      </c>
    </row>
    <row r="129" spans="1:23" ht="12.3" x14ac:dyDescent="0.4">
      <c r="A129" s="2" t="s">
        <v>340</v>
      </c>
      <c r="B129" s="2">
        <v>15</v>
      </c>
      <c r="C129" s="2"/>
      <c r="D129" s="2"/>
      <c r="E129" s="2"/>
      <c r="F129" s="2"/>
      <c r="G129" s="2"/>
      <c r="H129" s="2"/>
      <c r="I129" s="2">
        <v>65.218000000000004</v>
      </c>
      <c r="J129" s="2">
        <v>217</v>
      </c>
      <c r="K129" s="2">
        <v>64.148899999999998</v>
      </c>
      <c r="L129" s="2">
        <v>262</v>
      </c>
      <c r="M129" s="2">
        <v>103.69289999999999</v>
      </c>
      <c r="N129" s="2">
        <v>117</v>
      </c>
      <c r="O129" s="2">
        <v>102.19240000000001</v>
      </c>
      <c r="P129" s="2">
        <v>144</v>
      </c>
      <c r="Q129" s="2">
        <v>97.623000000000005</v>
      </c>
      <c r="R129" s="2">
        <v>90</v>
      </c>
      <c r="S129" s="2">
        <v>98.6083</v>
      </c>
      <c r="T129" s="2">
        <v>117</v>
      </c>
      <c r="U129" s="2">
        <v>0.60122500000000001</v>
      </c>
      <c r="V129" s="2">
        <v>128</v>
      </c>
      <c r="W129" s="2">
        <v>2012</v>
      </c>
    </row>
    <row r="130" spans="1:23" ht="12.3" x14ac:dyDescent="0.4">
      <c r="A130" s="2" t="s">
        <v>36</v>
      </c>
      <c r="B130" s="2"/>
      <c r="C130" s="2"/>
      <c r="D130" s="2"/>
      <c r="E130" s="2"/>
      <c r="F130" s="2"/>
      <c r="G130" s="2"/>
      <c r="H130" s="2"/>
      <c r="I130" s="2">
        <v>67.008099999999999</v>
      </c>
      <c r="J130" s="2">
        <v>128</v>
      </c>
      <c r="K130" s="2">
        <v>67.526600000000002</v>
      </c>
      <c r="L130" s="2">
        <v>103</v>
      </c>
      <c r="M130" s="2">
        <v>101.43819999999999</v>
      </c>
      <c r="N130" s="2">
        <v>166</v>
      </c>
      <c r="O130" s="2">
        <v>104.87269999999999</v>
      </c>
      <c r="P130" s="2">
        <v>99</v>
      </c>
      <c r="Q130" s="2">
        <v>104.3267</v>
      </c>
      <c r="R130" s="2">
        <v>248</v>
      </c>
      <c r="S130" s="2">
        <v>101.22750000000001</v>
      </c>
      <c r="T130" s="2">
        <v>170</v>
      </c>
      <c r="U130" s="2">
        <v>0.60032799999999997</v>
      </c>
      <c r="V130" s="2">
        <v>129</v>
      </c>
      <c r="W130" s="2">
        <v>2012</v>
      </c>
    </row>
    <row r="131" spans="1:23" ht="12.3" x14ac:dyDescent="0.4">
      <c r="A131" s="2" t="s">
        <v>267</v>
      </c>
      <c r="B131" s="2"/>
      <c r="C131" s="2"/>
      <c r="D131" s="2"/>
      <c r="E131" s="2"/>
      <c r="F131" s="2"/>
      <c r="G131" s="2"/>
      <c r="H131" s="2"/>
      <c r="I131" s="2">
        <v>64.632499999999993</v>
      </c>
      <c r="J131" s="2">
        <v>245</v>
      </c>
      <c r="K131" s="2">
        <v>65.0702</v>
      </c>
      <c r="L131" s="2">
        <v>218</v>
      </c>
      <c r="M131" s="2">
        <v>98.107399999999998</v>
      </c>
      <c r="N131" s="2">
        <v>228</v>
      </c>
      <c r="O131" s="2">
        <v>100.20740000000001</v>
      </c>
      <c r="P131" s="2">
        <v>187</v>
      </c>
      <c r="Q131" s="2">
        <v>99.079800000000006</v>
      </c>
      <c r="R131" s="2">
        <v>129</v>
      </c>
      <c r="S131" s="2">
        <v>96.887699999999995</v>
      </c>
      <c r="T131" s="2">
        <v>80</v>
      </c>
      <c r="U131" s="2">
        <v>0.59566300000000005</v>
      </c>
      <c r="V131" s="2">
        <v>130</v>
      </c>
      <c r="W131" s="2">
        <v>2012</v>
      </c>
    </row>
    <row r="132" spans="1:23" ht="12.3" x14ac:dyDescent="0.4">
      <c r="A132" s="2" t="s">
        <v>139</v>
      </c>
      <c r="B132" s="2"/>
      <c r="C132" s="2"/>
      <c r="D132" s="2"/>
      <c r="E132" s="2"/>
      <c r="F132" s="2"/>
      <c r="G132" s="2"/>
      <c r="H132" s="2"/>
      <c r="I132" s="2">
        <v>68.508300000000006</v>
      </c>
      <c r="J132" s="2">
        <v>64</v>
      </c>
      <c r="K132" s="2">
        <v>68.417699999999996</v>
      </c>
      <c r="L132" s="2">
        <v>67</v>
      </c>
      <c r="M132" s="2">
        <v>102.7651</v>
      </c>
      <c r="N132" s="2">
        <v>137</v>
      </c>
      <c r="O132" s="2">
        <v>100.614</v>
      </c>
      <c r="P132" s="2">
        <v>173</v>
      </c>
      <c r="Q132" s="2">
        <v>93.91</v>
      </c>
      <c r="R132" s="2">
        <v>39</v>
      </c>
      <c r="S132" s="2">
        <v>97.575000000000003</v>
      </c>
      <c r="T132" s="2">
        <v>95</v>
      </c>
      <c r="U132" s="2">
        <v>0.58727499999999999</v>
      </c>
      <c r="V132" s="2">
        <v>131</v>
      </c>
      <c r="W132" s="2">
        <v>2012</v>
      </c>
    </row>
    <row r="133" spans="1:23" ht="12.3" x14ac:dyDescent="0.4">
      <c r="A133" s="2" t="s">
        <v>206</v>
      </c>
      <c r="B133" s="2"/>
      <c r="C133" s="2"/>
      <c r="D133" s="2"/>
      <c r="E133" s="2"/>
      <c r="F133" s="2"/>
      <c r="G133" s="2"/>
      <c r="H133" s="2"/>
      <c r="I133" s="2">
        <v>66.093599999999995</v>
      </c>
      <c r="J133" s="2">
        <v>179</v>
      </c>
      <c r="K133" s="2">
        <v>65.690200000000004</v>
      </c>
      <c r="L133" s="2">
        <v>189</v>
      </c>
      <c r="M133" s="2">
        <v>100.61660000000001</v>
      </c>
      <c r="N133" s="2">
        <v>175</v>
      </c>
      <c r="O133" s="2">
        <v>103.4196</v>
      </c>
      <c r="P133" s="2">
        <v>122</v>
      </c>
      <c r="Q133" s="2">
        <v>100.5013</v>
      </c>
      <c r="R133" s="2">
        <v>164</v>
      </c>
      <c r="S133" s="2">
        <v>100.3322</v>
      </c>
      <c r="T133" s="2">
        <v>152</v>
      </c>
      <c r="U133" s="2">
        <v>0.58626500000000004</v>
      </c>
      <c r="V133" s="2">
        <v>132</v>
      </c>
      <c r="W133" s="2">
        <v>2012</v>
      </c>
    </row>
    <row r="134" spans="1:23" ht="12.3" x14ac:dyDescent="0.4">
      <c r="A134" s="2" t="s">
        <v>74</v>
      </c>
      <c r="B134" s="2"/>
      <c r="C134" s="2"/>
      <c r="D134" s="2"/>
      <c r="E134" s="2"/>
      <c r="F134" s="2"/>
      <c r="G134" s="2"/>
      <c r="H134" s="2"/>
      <c r="I134" s="2">
        <v>65.095699999999994</v>
      </c>
      <c r="J134" s="2">
        <v>224</v>
      </c>
      <c r="K134" s="2">
        <v>64.788399999999996</v>
      </c>
      <c r="L134" s="2">
        <v>240</v>
      </c>
      <c r="M134" s="2">
        <v>103.4645</v>
      </c>
      <c r="N134" s="2">
        <v>118</v>
      </c>
      <c r="O134" s="2">
        <v>103.3663</v>
      </c>
      <c r="P134" s="2">
        <v>124</v>
      </c>
      <c r="Q134" s="2">
        <v>101.30719999999999</v>
      </c>
      <c r="R134" s="2">
        <v>182</v>
      </c>
      <c r="S134" s="2">
        <v>100.3036</v>
      </c>
      <c r="T134" s="2">
        <v>151</v>
      </c>
      <c r="U134" s="2">
        <v>0.585619</v>
      </c>
      <c r="V134" s="2">
        <v>133</v>
      </c>
      <c r="W134" s="2">
        <v>2012</v>
      </c>
    </row>
    <row r="135" spans="1:23" ht="12.3" x14ac:dyDescent="0.4">
      <c r="A135" s="2" t="s">
        <v>291</v>
      </c>
      <c r="B135" s="2"/>
      <c r="C135" s="2"/>
      <c r="D135" s="2"/>
      <c r="E135" s="2"/>
      <c r="F135" s="2"/>
      <c r="G135" s="2"/>
      <c r="H135" s="2"/>
      <c r="I135" s="2">
        <v>66.646000000000001</v>
      </c>
      <c r="J135" s="2">
        <v>149</v>
      </c>
      <c r="K135" s="2">
        <v>66.031199999999998</v>
      </c>
      <c r="L135" s="2">
        <v>167</v>
      </c>
      <c r="M135" s="2">
        <v>100.9601</v>
      </c>
      <c r="N135" s="2">
        <v>172</v>
      </c>
      <c r="O135" s="2">
        <v>100.6687</v>
      </c>
      <c r="P135" s="2">
        <v>172</v>
      </c>
      <c r="Q135" s="2">
        <v>99.586799999999997</v>
      </c>
      <c r="R135" s="2">
        <v>142</v>
      </c>
      <c r="S135" s="2">
        <v>97.985399999999998</v>
      </c>
      <c r="T135" s="2">
        <v>105</v>
      </c>
      <c r="U135" s="2">
        <v>0.57705099999999998</v>
      </c>
      <c r="V135" s="2">
        <v>134</v>
      </c>
      <c r="W135" s="2">
        <v>2012</v>
      </c>
    </row>
    <row r="136" spans="1:23" ht="12.3" x14ac:dyDescent="0.4">
      <c r="A136" s="2" t="s">
        <v>230</v>
      </c>
      <c r="B136" s="2"/>
      <c r="C136" s="2"/>
      <c r="D136" s="2"/>
      <c r="E136" s="2"/>
      <c r="F136" s="2"/>
      <c r="G136" s="2"/>
      <c r="H136" s="2"/>
      <c r="I136" s="2">
        <v>63.695700000000002</v>
      </c>
      <c r="J136" s="2">
        <v>278</v>
      </c>
      <c r="K136" s="2">
        <v>64.446299999999994</v>
      </c>
      <c r="L136" s="2">
        <v>251</v>
      </c>
      <c r="M136" s="2">
        <v>97.17</v>
      </c>
      <c r="N136" s="2">
        <v>247</v>
      </c>
      <c r="O136" s="2">
        <v>100.461</v>
      </c>
      <c r="P136" s="2">
        <v>179</v>
      </c>
      <c r="Q136" s="2">
        <v>103.20659999999999</v>
      </c>
      <c r="R136" s="2">
        <v>219</v>
      </c>
      <c r="S136" s="2">
        <v>97.855000000000004</v>
      </c>
      <c r="T136" s="2">
        <v>104</v>
      </c>
      <c r="U136" s="2">
        <v>0.57499299999999998</v>
      </c>
      <c r="V136" s="2">
        <v>135</v>
      </c>
      <c r="W136" s="2">
        <v>2012</v>
      </c>
    </row>
    <row r="137" spans="1:23" ht="12.3" x14ac:dyDescent="0.4">
      <c r="A137" s="2" t="s">
        <v>80</v>
      </c>
      <c r="B137" s="2"/>
      <c r="C137" s="2"/>
      <c r="D137" s="2"/>
      <c r="E137" s="2"/>
      <c r="F137" s="2"/>
      <c r="G137" s="2"/>
      <c r="H137" s="2"/>
      <c r="I137" s="2">
        <v>70.224599999999995</v>
      </c>
      <c r="J137" s="2">
        <v>30</v>
      </c>
      <c r="K137" s="2">
        <v>70.379199999999997</v>
      </c>
      <c r="L137" s="2">
        <v>24</v>
      </c>
      <c r="M137" s="2">
        <v>102.11369999999999</v>
      </c>
      <c r="N137" s="2">
        <v>150</v>
      </c>
      <c r="O137" s="2">
        <v>104.92789999999999</v>
      </c>
      <c r="P137" s="2">
        <v>98</v>
      </c>
      <c r="Q137" s="2">
        <v>100.0209</v>
      </c>
      <c r="R137" s="2">
        <v>150</v>
      </c>
      <c r="S137" s="2">
        <v>102.21550000000001</v>
      </c>
      <c r="T137" s="2">
        <v>192</v>
      </c>
      <c r="U137" s="2">
        <v>0.57473399999999997</v>
      </c>
      <c r="V137" s="2">
        <v>136</v>
      </c>
      <c r="W137" s="2">
        <v>2012</v>
      </c>
    </row>
    <row r="138" spans="1:23" ht="12.3" x14ac:dyDescent="0.4">
      <c r="A138" s="2" t="s">
        <v>173</v>
      </c>
      <c r="B138" s="2"/>
      <c r="C138" s="2"/>
      <c r="D138" s="2"/>
      <c r="E138" s="2"/>
      <c r="F138" s="2"/>
      <c r="G138" s="2"/>
      <c r="H138" s="2"/>
      <c r="I138" s="2">
        <v>69.735299999999995</v>
      </c>
      <c r="J138" s="2">
        <v>37</v>
      </c>
      <c r="K138" s="2">
        <v>69.376800000000003</v>
      </c>
      <c r="L138" s="2">
        <v>37</v>
      </c>
      <c r="M138" s="2">
        <v>107.24590000000001</v>
      </c>
      <c r="N138" s="2">
        <v>59</v>
      </c>
      <c r="O138" s="2">
        <v>106.4824</v>
      </c>
      <c r="P138" s="2">
        <v>75</v>
      </c>
      <c r="Q138" s="2">
        <v>103.6323</v>
      </c>
      <c r="R138" s="2">
        <v>230</v>
      </c>
      <c r="S138" s="2">
        <v>103.77119999999999</v>
      </c>
      <c r="T138" s="2">
        <v>227</v>
      </c>
      <c r="U138" s="2">
        <v>0.57360900000000004</v>
      </c>
      <c r="V138" s="2">
        <v>137</v>
      </c>
      <c r="W138" s="2">
        <v>2012</v>
      </c>
    </row>
    <row r="139" spans="1:23" ht="12.3" x14ac:dyDescent="0.4">
      <c r="A139" s="2" t="s">
        <v>307</v>
      </c>
      <c r="B139" s="2"/>
      <c r="C139" s="2"/>
      <c r="D139" s="2"/>
      <c r="E139" s="2"/>
      <c r="F139" s="2"/>
      <c r="G139" s="2"/>
      <c r="H139" s="2"/>
      <c r="I139" s="2">
        <v>65.004599999999996</v>
      </c>
      <c r="J139" s="2">
        <v>230</v>
      </c>
      <c r="K139" s="2">
        <v>63.919199999999996</v>
      </c>
      <c r="L139" s="2">
        <v>276</v>
      </c>
      <c r="M139" s="2">
        <v>105.376</v>
      </c>
      <c r="N139" s="2">
        <v>91</v>
      </c>
      <c r="O139" s="2">
        <v>104.2745</v>
      </c>
      <c r="P139" s="2">
        <v>108</v>
      </c>
      <c r="Q139" s="2">
        <v>97.889799999999994</v>
      </c>
      <c r="R139" s="2">
        <v>97</v>
      </c>
      <c r="S139" s="2">
        <v>101.6614</v>
      </c>
      <c r="T139" s="2">
        <v>180</v>
      </c>
      <c r="U139" s="2">
        <v>0.57245199999999996</v>
      </c>
      <c r="V139" s="2">
        <v>138</v>
      </c>
      <c r="W139" s="2">
        <v>2012</v>
      </c>
    </row>
    <row r="140" spans="1:23" ht="12.3" x14ac:dyDescent="0.4">
      <c r="A140" s="2" t="s">
        <v>205</v>
      </c>
      <c r="B140" s="2"/>
      <c r="C140" s="2"/>
      <c r="D140" s="2"/>
      <c r="E140" s="2"/>
      <c r="F140" s="2"/>
      <c r="G140" s="2"/>
      <c r="H140" s="2"/>
      <c r="I140" s="2">
        <v>66.549300000000002</v>
      </c>
      <c r="J140" s="2">
        <v>153</v>
      </c>
      <c r="K140" s="2">
        <v>66.493399999999994</v>
      </c>
      <c r="L140" s="2">
        <v>143</v>
      </c>
      <c r="M140" s="2">
        <v>97.9923</v>
      </c>
      <c r="N140" s="2">
        <v>233</v>
      </c>
      <c r="O140" s="2">
        <v>98.652699999999996</v>
      </c>
      <c r="P140" s="2">
        <v>224</v>
      </c>
      <c r="Q140" s="2">
        <v>99.255499999999998</v>
      </c>
      <c r="R140" s="2">
        <v>134</v>
      </c>
      <c r="S140" s="2">
        <v>96.192400000000006</v>
      </c>
      <c r="T140" s="2">
        <v>68</v>
      </c>
      <c r="U140" s="2">
        <v>0.572102</v>
      </c>
      <c r="V140" s="2">
        <v>139</v>
      </c>
      <c r="W140" s="2">
        <v>2012</v>
      </c>
    </row>
    <row r="141" spans="1:23" ht="12.3" x14ac:dyDescent="0.4">
      <c r="A141" s="2" t="s">
        <v>367</v>
      </c>
      <c r="B141" s="2"/>
      <c r="C141" s="2"/>
      <c r="D141" s="2"/>
      <c r="E141" s="2"/>
      <c r="F141" s="2"/>
      <c r="G141" s="2"/>
      <c r="H141" s="2"/>
      <c r="I141" s="2">
        <v>68.607500000000002</v>
      </c>
      <c r="J141" s="2">
        <v>59</v>
      </c>
      <c r="K141" s="2">
        <v>67.763999999999996</v>
      </c>
      <c r="L141" s="2">
        <v>91</v>
      </c>
      <c r="M141" s="2">
        <v>102.96720000000001</v>
      </c>
      <c r="N141" s="2">
        <v>129</v>
      </c>
      <c r="O141" s="2">
        <v>101.49120000000001</v>
      </c>
      <c r="P141" s="2">
        <v>159</v>
      </c>
      <c r="Q141" s="2">
        <v>100.437</v>
      </c>
      <c r="R141" s="2">
        <v>161</v>
      </c>
      <c r="S141" s="2">
        <v>99.167599999999993</v>
      </c>
      <c r="T141" s="2">
        <v>129</v>
      </c>
      <c r="U141" s="2">
        <v>0.56619699999999995</v>
      </c>
      <c r="V141" s="2">
        <v>140</v>
      </c>
      <c r="W141" s="2">
        <v>2012</v>
      </c>
    </row>
    <row r="142" spans="1:23" ht="12.3" x14ac:dyDescent="0.4">
      <c r="A142" s="2" t="s">
        <v>239</v>
      </c>
      <c r="B142" s="2"/>
      <c r="C142" s="2"/>
      <c r="D142" s="2"/>
      <c r="E142" s="2"/>
      <c r="F142" s="2"/>
      <c r="G142" s="2"/>
      <c r="H142" s="2"/>
      <c r="I142" s="2">
        <v>64.908900000000003</v>
      </c>
      <c r="J142" s="2">
        <v>234</v>
      </c>
      <c r="K142" s="2">
        <v>64.080200000000005</v>
      </c>
      <c r="L142" s="2">
        <v>266</v>
      </c>
      <c r="M142" s="2">
        <v>104.6999</v>
      </c>
      <c r="N142" s="2">
        <v>101</v>
      </c>
      <c r="O142" s="2">
        <v>105.2054</v>
      </c>
      <c r="P142" s="2">
        <v>93</v>
      </c>
      <c r="Q142" s="2">
        <v>102.858</v>
      </c>
      <c r="R142" s="2">
        <v>215</v>
      </c>
      <c r="S142" s="2">
        <v>102.8028</v>
      </c>
      <c r="T142" s="2">
        <v>204</v>
      </c>
      <c r="U142" s="2">
        <v>0.56602799999999998</v>
      </c>
      <c r="V142" s="2">
        <v>141</v>
      </c>
      <c r="W142" s="2">
        <v>2012</v>
      </c>
    </row>
    <row r="143" spans="1:23" ht="12.3" x14ac:dyDescent="0.4">
      <c r="A143" s="2" t="s">
        <v>98</v>
      </c>
      <c r="B143" s="2"/>
      <c r="C143" s="2"/>
      <c r="D143" s="2"/>
      <c r="E143" s="2"/>
      <c r="F143" s="2"/>
      <c r="G143" s="2"/>
      <c r="H143" s="2"/>
      <c r="I143" s="2">
        <v>62.721299999999999</v>
      </c>
      <c r="J143" s="2">
        <v>313</v>
      </c>
      <c r="K143" s="2">
        <v>61.717500000000001</v>
      </c>
      <c r="L143" s="2">
        <v>324</v>
      </c>
      <c r="M143" s="2">
        <v>106.7377</v>
      </c>
      <c r="N143" s="2">
        <v>65</v>
      </c>
      <c r="O143" s="2">
        <v>105.36109999999999</v>
      </c>
      <c r="P143" s="2">
        <v>91</v>
      </c>
      <c r="Q143" s="2">
        <v>102.56189999999999</v>
      </c>
      <c r="R143" s="2">
        <v>206</v>
      </c>
      <c r="S143" s="2">
        <v>102.9623</v>
      </c>
      <c r="T143" s="2">
        <v>207</v>
      </c>
      <c r="U143" s="2">
        <v>0.56582900000000003</v>
      </c>
      <c r="V143" s="2">
        <v>142</v>
      </c>
      <c r="W143" s="2">
        <v>2012</v>
      </c>
    </row>
    <row r="144" spans="1:23" ht="12.3" x14ac:dyDescent="0.4">
      <c r="A144" s="2" t="s">
        <v>274</v>
      </c>
      <c r="B144" s="2"/>
      <c r="C144" s="2"/>
      <c r="D144" s="2"/>
      <c r="E144" s="2"/>
      <c r="F144" s="2"/>
      <c r="G144" s="2"/>
      <c r="H144" s="2"/>
      <c r="I144" s="2">
        <v>67.801100000000005</v>
      </c>
      <c r="J144" s="2">
        <v>92</v>
      </c>
      <c r="K144" s="2">
        <v>66.077799999999996</v>
      </c>
      <c r="L144" s="2">
        <v>166</v>
      </c>
      <c r="M144" s="2">
        <v>104.605</v>
      </c>
      <c r="N144" s="2">
        <v>104</v>
      </c>
      <c r="O144" s="2">
        <v>102.6279</v>
      </c>
      <c r="P144" s="2">
        <v>134</v>
      </c>
      <c r="Q144" s="2">
        <v>97.822800000000001</v>
      </c>
      <c r="R144" s="2">
        <v>95</v>
      </c>
      <c r="S144" s="2">
        <v>100.56019999999999</v>
      </c>
      <c r="T144" s="2">
        <v>155</v>
      </c>
      <c r="U144" s="2">
        <v>0.558249</v>
      </c>
      <c r="V144" s="2">
        <v>143</v>
      </c>
      <c r="W144" s="2">
        <v>2012</v>
      </c>
    </row>
    <row r="145" spans="1:23" ht="12.3" x14ac:dyDescent="0.4">
      <c r="A145" s="2" t="s">
        <v>282</v>
      </c>
      <c r="B145" s="2"/>
      <c r="C145" s="2"/>
      <c r="D145" s="2"/>
      <c r="E145" s="2"/>
      <c r="F145" s="2"/>
      <c r="G145" s="2"/>
      <c r="H145" s="2"/>
      <c r="I145" s="2">
        <v>60.540500000000002</v>
      </c>
      <c r="J145" s="2">
        <v>339</v>
      </c>
      <c r="K145" s="2">
        <v>59.716000000000001</v>
      </c>
      <c r="L145" s="2">
        <v>343</v>
      </c>
      <c r="M145" s="2">
        <v>97.192400000000006</v>
      </c>
      <c r="N145" s="2">
        <v>246</v>
      </c>
      <c r="O145" s="2">
        <v>95.624799999999993</v>
      </c>
      <c r="P145" s="2">
        <v>281</v>
      </c>
      <c r="Q145" s="2">
        <v>89.919700000000006</v>
      </c>
      <c r="R145" s="2">
        <v>8</v>
      </c>
      <c r="S145" s="2">
        <v>93.807500000000005</v>
      </c>
      <c r="T145" s="2">
        <v>32</v>
      </c>
      <c r="U145" s="2">
        <v>0.55493899999999996</v>
      </c>
      <c r="V145" s="2">
        <v>144</v>
      </c>
      <c r="W145" s="2">
        <v>2012</v>
      </c>
    </row>
    <row r="146" spans="1:23" ht="12.3" x14ac:dyDescent="0.4">
      <c r="A146" s="2" t="s">
        <v>219</v>
      </c>
      <c r="B146" s="2"/>
      <c r="C146" s="2"/>
      <c r="D146" s="2"/>
      <c r="E146" s="2"/>
      <c r="F146" s="2"/>
      <c r="G146" s="2"/>
      <c r="H146" s="2"/>
      <c r="I146" s="2">
        <v>62.272399999999998</v>
      </c>
      <c r="J146" s="2">
        <v>319</v>
      </c>
      <c r="K146" s="2">
        <v>62.573900000000002</v>
      </c>
      <c r="L146" s="2">
        <v>313</v>
      </c>
      <c r="M146" s="2">
        <v>98.9649</v>
      </c>
      <c r="N146" s="2">
        <v>206</v>
      </c>
      <c r="O146" s="2">
        <v>99.054199999999994</v>
      </c>
      <c r="P146" s="2">
        <v>211</v>
      </c>
      <c r="Q146" s="2">
        <v>98.950199999999995</v>
      </c>
      <c r="R146" s="2">
        <v>126</v>
      </c>
      <c r="S146" s="2">
        <v>97.224299999999999</v>
      </c>
      <c r="T146" s="2">
        <v>87</v>
      </c>
      <c r="U146" s="2">
        <v>0.55340199999999995</v>
      </c>
      <c r="V146" s="2">
        <v>145</v>
      </c>
      <c r="W146" s="2">
        <v>2012</v>
      </c>
    </row>
    <row r="147" spans="1:23" ht="12.3" x14ac:dyDescent="0.4">
      <c r="A147" s="2" t="s">
        <v>336</v>
      </c>
      <c r="B147" s="2"/>
      <c r="C147" s="2"/>
      <c r="D147" s="2"/>
      <c r="E147" s="2"/>
      <c r="F147" s="2"/>
      <c r="G147" s="2"/>
      <c r="H147" s="2"/>
      <c r="I147" s="2">
        <v>62.0244</v>
      </c>
      <c r="J147" s="2">
        <v>322</v>
      </c>
      <c r="K147" s="2">
        <v>61.892499999999998</v>
      </c>
      <c r="L147" s="2">
        <v>322</v>
      </c>
      <c r="M147" s="2">
        <v>105.8081</v>
      </c>
      <c r="N147" s="2">
        <v>81</v>
      </c>
      <c r="O147" s="2">
        <v>101.3998</v>
      </c>
      <c r="P147" s="2">
        <v>162</v>
      </c>
      <c r="Q147" s="2">
        <v>95.856700000000004</v>
      </c>
      <c r="R147" s="2">
        <v>61</v>
      </c>
      <c r="S147" s="2">
        <v>99.669399999999996</v>
      </c>
      <c r="T147" s="2">
        <v>136</v>
      </c>
      <c r="U147" s="2">
        <v>0.54932499999999995</v>
      </c>
      <c r="V147" s="2">
        <v>146</v>
      </c>
      <c r="W147" s="2">
        <v>2012</v>
      </c>
    </row>
    <row r="148" spans="1:23" ht="12.3" x14ac:dyDescent="0.4">
      <c r="A148" s="2" t="s">
        <v>231</v>
      </c>
      <c r="B148" s="2"/>
      <c r="C148" s="2"/>
      <c r="D148" s="2"/>
      <c r="E148" s="2"/>
      <c r="F148" s="2"/>
      <c r="G148" s="2"/>
      <c r="H148" s="2"/>
      <c r="I148" s="2">
        <v>67.922899999999998</v>
      </c>
      <c r="J148" s="2">
        <v>85</v>
      </c>
      <c r="K148" s="2">
        <v>68.473399999999998</v>
      </c>
      <c r="L148" s="2">
        <v>61</v>
      </c>
      <c r="M148" s="2">
        <v>98.54</v>
      </c>
      <c r="N148" s="2">
        <v>216</v>
      </c>
      <c r="O148" s="2">
        <v>99.5137</v>
      </c>
      <c r="P148" s="2">
        <v>204</v>
      </c>
      <c r="Q148" s="2">
        <v>98.341300000000004</v>
      </c>
      <c r="R148" s="2">
        <v>108</v>
      </c>
      <c r="S148" s="2">
        <v>97.847999999999999</v>
      </c>
      <c r="T148" s="2">
        <v>101</v>
      </c>
      <c r="U148" s="2">
        <v>0.54837999999999998</v>
      </c>
      <c r="V148" s="2">
        <v>147</v>
      </c>
      <c r="W148" s="2">
        <v>2012</v>
      </c>
    </row>
    <row r="149" spans="1:23" ht="12.3" x14ac:dyDescent="0.4">
      <c r="A149" s="2" t="s">
        <v>160</v>
      </c>
      <c r="B149" s="2"/>
      <c r="C149" s="2"/>
      <c r="D149" s="2"/>
      <c r="E149" s="2"/>
      <c r="F149" s="2"/>
      <c r="G149" s="2"/>
      <c r="H149" s="2"/>
      <c r="I149" s="2">
        <v>66.533299999999997</v>
      </c>
      <c r="J149" s="2">
        <v>154</v>
      </c>
      <c r="K149" s="2">
        <v>66.993399999999994</v>
      </c>
      <c r="L149" s="2">
        <v>123</v>
      </c>
      <c r="M149" s="2">
        <v>99.681399999999996</v>
      </c>
      <c r="N149" s="2">
        <v>194</v>
      </c>
      <c r="O149" s="2">
        <v>99.483999999999995</v>
      </c>
      <c r="P149" s="2">
        <v>205</v>
      </c>
      <c r="Q149" s="2">
        <v>97.308899999999994</v>
      </c>
      <c r="R149" s="2">
        <v>85</v>
      </c>
      <c r="S149" s="2">
        <v>97.85</v>
      </c>
      <c r="T149" s="2">
        <v>103</v>
      </c>
      <c r="U149" s="2">
        <v>0.54747100000000004</v>
      </c>
      <c r="V149" s="2">
        <v>148</v>
      </c>
      <c r="W149" s="2">
        <v>2012</v>
      </c>
    </row>
    <row r="150" spans="1:23" ht="12.3" x14ac:dyDescent="0.4">
      <c r="A150" s="2" t="s">
        <v>108</v>
      </c>
      <c r="B150" s="2"/>
      <c r="C150" s="2"/>
      <c r="D150" s="2"/>
      <c r="E150" s="2"/>
      <c r="F150" s="2"/>
      <c r="G150" s="2"/>
      <c r="H150" s="2"/>
      <c r="I150" s="2">
        <v>66.440799999999996</v>
      </c>
      <c r="J150" s="2">
        <v>157</v>
      </c>
      <c r="K150" s="2">
        <v>64.810299999999998</v>
      </c>
      <c r="L150" s="2">
        <v>239</v>
      </c>
      <c r="M150" s="2">
        <v>101.2671</v>
      </c>
      <c r="N150" s="2">
        <v>168</v>
      </c>
      <c r="O150" s="2">
        <v>99.637</v>
      </c>
      <c r="P150" s="2">
        <v>201</v>
      </c>
      <c r="Q150" s="2">
        <v>99.190799999999996</v>
      </c>
      <c r="R150" s="2">
        <v>132</v>
      </c>
      <c r="S150" s="2">
        <v>98.130200000000002</v>
      </c>
      <c r="T150" s="2">
        <v>108</v>
      </c>
      <c r="U150" s="2">
        <v>0.54369999999999996</v>
      </c>
      <c r="V150" s="2">
        <v>149</v>
      </c>
      <c r="W150" s="2">
        <v>2012</v>
      </c>
    </row>
    <row r="151" spans="1:23" ht="12.3" x14ac:dyDescent="0.4">
      <c r="A151" s="2" t="s">
        <v>113</v>
      </c>
      <c r="B151" s="2"/>
      <c r="C151" s="2"/>
      <c r="D151" s="2"/>
      <c r="E151" s="2"/>
      <c r="F151" s="2"/>
      <c r="G151" s="2"/>
      <c r="H151" s="2"/>
      <c r="I151" s="2">
        <v>65.058499999999995</v>
      </c>
      <c r="J151" s="2">
        <v>227</v>
      </c>
      <c r="K151" s="2">
        <v>65.102000000000004</v>
      </c>
      <c r="L151" s="2">
        <v>217</v>
      </c>
      <c r="M151" s="2">
        <v>94.849199999999996</v>
      </c>
      <c r="N151" s="2">
        <v>283</v>
      </c>
      <c r="O151" s="2">
        <v>97.2898</v>
      </c>
      <c r="P151" s="2">
        <v>244</v>
      </c>
      <c r="Q151" s="2">
        <v>97.289900000000003</v>
      </c>
      <c r="R151" s="2">
        <v>84</v>
      </c>
      <c r="S151" s="2">
        <v>95.849699999999999</v>
      </c>
      <c r="T151" s="2">
        <v>64</v>
      </c>
      <c r="U151" s="2">
        <v>0.54277200000000003</v>
      </c>
      <c r="V151" s="2">
        <v>150</v>
      </c>
      <c r="W151" s="2">
        <v>2012</v>
      </c>
    </row>
    <row r="152" spans="1:23" ht="12.3" x14ac:dyDescent="0.4">
      <c r="A152" s="2" t="s">
        <v>142</v>
      </c>
      <c r="B152" s="2"/>
      <c r="C152" s="2"/>
      <c r="D152" s="2"/>
      <c r="E152" s="2"/>
      <c r="F152" s="2"/>
      <c r="G152" s="2"/>
      <c r="H152" s="2"/>
      <c r="I152" s="2">
        <v>67.617900000000006</v>
      </c>
      <c r="J152" s="2">
        <v>101</v>
      </c>
      <c r="K152" s="2">
        <v>68.4529</v>
      </c>
      <c r="L152" s="2">
        <v>65</v>
      </c>
      <c r="M152" s="2">
        <v>101.7821</v>
      </c>
      <c r="N152" s="2">
        <v>158</v>
      </c>
      <c r="O152" s="2">
        <v>105.6234</v>
      </c>
      <c r="P152" s="2">
        <v>85</v>
      </c>
      <c r="Q152" s="2">
        <v>104.1217</v>
      </c>
      <c r="R152" s="2">
        <v>240</v>
      </c>
      <c r="S152" s="2">
        <v>104.0823</v>
      </c>
      <c r="T152" s="2">
        <v>237</v>
      </c>
      <c r="U152" s="2">
        <v>0.542157</v>
      </c>
      <c r="V152" s="2">
        <v>151</v>
      </c>
      <c r="W152" s="2">
        <v>2012</v>
      </c>
    </row>
    <row r="153" spans="1:23" ht="12.3" x14ac:dyDescent="0.4">
      <c r="A153" s="2" t="s">
        <v>207</v>
      </c>
      <c r="B153" s="2"/>
      <c r="C153" s="2"/>
      <c r="D153" s="2"/>
      <c r="E153" s="2"/>
      <c r="F153" s="2"/>
      <c r="G153" s="2"/>
      <c r="H153" s="2"/>
      <c r="I153" s="2">
        <v>71.849299999999999</v>
      </c>
      <c r="J153" s="2">
        <v>14</v>
      </c>
      <c r="K153" s="2">
        <v>72.379800000000003</v>
      </c>
      <c r="L153" s="2">
        <v>8</v>
      </c>
      <c r="M153" s="2">
        <v>102.81100000000001</v>
      </c>
      <c r="N153" s="2">
        <v>134</v>
      </c>
      <c r="O153" s="2">
        <v>106.84910000000001</v>
      </c>
      <c r="P153" s="2">
        <v>70</v>
      </c>
      <c r="Q153" s="2">
        <v>106.1696</v>
      </c>
      <c r="R153" s="2">
        <v>282</v>
      </c>
      <c r="S153" s="2">
        <v>105.36279999999999</v>
      </c>
      <c r="T153" s="2">
        <v>263</v>
      </c>
      <c r="U153" s="2">
        <v>0.54018699999999997</v>
      </c>
      <c r="V153" s="2">
        <v>152</v>
      </c>
      <c r="W153" s="2">
        <v>2012</v>
      </c>
    </row>
    <row r="154" spans="1:23" ht="12.3" x14ac:dyDescent="0.4">
      <c r="A154" s="2" t="s">
        <v>122</v>
      </c>
      <c r="B154" s="2"/>
      <c r="C154" s="2"/>
      <c r="D154" s="2"/>
      <c r="E154" s="2"/>
      <c r="F154" s="2"/>
      <c r="G154" s="2"/>
      <c r="H154" s="2"/>
      <c r="I154" s="2">
        <v>64.847899999999996</v>
      </c>
      <c r="J154" s="2">
        <v>237</v>
      </c>
      <c r="K154" s="2">
        <v>65.888599999999997</v>
      </c>
      <c r="L154" s="2">
        <v>181</v>
      </c>
      <c r="M154" s="2">
        <v>97.910799999999995</v>
      </c>
      <c r="N154" s="2">
        <v>235</v>
      </c>
      <c r="O154" s="2">
        <v>98.946200000000005</v>
      </c>
      <c r="P154" s="2">
        <v>213</v>
      </c>
      <c r="Q154" s="2">
        <v>94.891000000000005</v>
      </c>
      <c r="R154" s="2">
        <v>50</v>
      </c>
      <c r="S154" s="2">
        <v>97.8262</v>
      </c>
      <c r="T154" s="2">
        <v>99</v>
      </c>
      <c r="U154" s="2">
        <v>0.53268199999999999</v>
      </c>
      <c r="V154" s="2">
        <v>153</v>
      </c>
      <c r="W154" s="2">
        <v>2012</v>
      </c>
    </row>
    <row r="155" spans="1:23" ht="12.3" x14ac:dyDescent="0.4">
      <c r="A155" s="2" t="s">
        <v>268</v>
      </c>
      <c r="B155" s="2"/>
      <c r="C155" s="2"/>
      <c r="D155" s="2"/>
      <c r="E155" s="2"/>
      <c r="F155" s="2"/>
      <c r="G155" s="2"/>
      <c r="H155" s="2"/>
      <c r="I155" s="2">
        <v>65.833699999999993</v>
      </c>
      <c r="J155" s="2">
        <v>191</v>
      </c>
      <c r="K155" s="2">
        <v>66.106300000000005</v>
      </c>
      <c r="L155" s="2">
        <v>162</v>
      </c>
      <c r="M155" s="2">
        <v>100.0027</v>
      </c>
      <c r="N155" s="2">
        <v>187</v>
      </c>
      <c r="O155" s="2">
        <v>99.707599999999999</v>
      </c>
      <c r="P155" s="2">
        <v>199</v>
      </c>
      <c r="Q155" s="2">
        <v>100.04179999999999</v>
      </c>
      <c r="R155" s="2">
        <v>152</v>
      </c>
      <c r="S155" s="2">
        <v>98.646199999999993</v>
      </c>
      <c r="T155" s="2">
        <v>119</v>
      </c>
      <c r="U155" s="2">
        <v>0.53073000000000004</v>
      </c>
      <c r="V155" s="2">
        <v>154</v>
      </c>
      <c r="W155" s="2">
        <v>2012</v>
      </c>
    </row>
    <row r="156" spans="1:23" ht="12.3" x14ac:dyDescent="0.4">
      <c r="A156" s="2" t="s">
        <v>304</v>
      </c>
      <c r="B156" s="2"/>
      <c r="C156" s="2"/>
      <c r="D156" s="2"/>
      <c r="E156" s="2"/>
      <c r="F156" s="2"/>
      <c r="G156" s="2"/>
      <c r="H156" s="2"/>
      <c r="I156" s="2">
        <v>64.180099999999996</v>
      </c>
      <c r="J156" s="2">
        <v>272</v>
      </c>
      <c r="K156" s="2">
        <v>63.235799999999998</v>
      </c>
      <c r="L156" s="2">
        <v>295</v>
      </c>
      <c r="M156" s="2">
        <v>106.1835</v>
      </c>
      <c r="N156" s="2">
        <v>74</v>
      </c>
      <c r="O156" s="2">
        <v>103.98180000000001</v>
      </c>
      <c r="P156" s="2">
        <v>113</v>
      </c>
      <c r="Q156" s="2">
        <v>103.55459999999999</v>
      </c>
      <c r="R156" s="2">
        <v>229</v>
      </c>
      <c r="S156" s="2">
        <v>102.94929999999999</v>
      </c>
      <c r="T156" s="2">
        <v>206</v>
      </c>
      <c r="U156" s="2">
        <v>0.52865899999999999</v>
      </c>
      <c r="V156" s="2">
        <v>155</v>
      </c>
      <c r="W156" s="2">
        <v>2012</v>
      </c>
    </row>
    <row r="157" spans="1:23" ht="12.3" x14ac:dyDescent="0.4">
      <c r="A157" s="2" t="s">
        <v>63</v>
      </c>
      <c r="B157" s="2"/>
      <c r="C157" s="2"/>
      <c r="D157" s="2"/>
      <c r="E157" s="2"/>
      <c r="F157" s="2"/>
      <c r="G157" s="2"/>
      <c r="H157" s="2"/>
      <c r="I157" s="2">
        <v>68.833299999999994</v>
      </c>
      <c r="J157" s="2">
        <v>56</v>
      </c>
      <c r="K157" s="2">
        <v>68.418700000000001</v>
      </c>
      <c r="L157" s="2">
        <v>66</v>
      </c>
      <c r="M157" s="2">
        <v>96.690299999999993</v>
      </c>
      <c r="N157" s="2">
        <v>255</v>
      </c>
      <c r="O157" s="2">
        <v>98.229600000000005</v>
      </c>
      <c r="P157" s="2">
        <v>230</v>
      </c>
      <c r="Q157" s="2">
        <v>99.5745</v>
      </c>
      <c r="R157" s="2">
        <v>141</v>
      </c>
      <c r="S157" s="2">
        <v>97.3797</v>
      </c>
      <c r="T157" s="2">
        <v>89</v>
      </c>
      <c r="U157" s="2">
        <v>0.52496100000000001</v>
      </c>
      <c r="V157" s="2">
        <v>156</v>
      </c>
      <c r="W157" s="2">
        <v>2012</v>
      </c>
    </row>
    <row r="158" spans="1:23" ht="12.3" x14ac:dyDescent="0.4">
      <c r="A158" s="2" t="s">
        <v>174</v>
      </c>
      <c r="B158" s="2"/>
      <c r="C158" s="2"/>
      <c r="D158" s="2"/>
      <c r="E158" s="2"/>
      <c r="F158" s="2"/>
      <c r="G158" s="2"/>
      <c r="H158" s="2"/>
      <c r="I158" s="2">
        <v>67.263800000000003</v>
      </c>
      <c r="J158" s="2">
        <v>119</v>
      </c>
      <c r="K158" s="2">
        <v>68.150499999999994</v>
      </c>
      <c r="L158" s="2">
        <v>78</v>
      </c>
      <c r="M158" s="2">
        <v>101.0964</v>
      </c>
      <c r="N158" s="2">
        <v>171</v>
      </c>
      <c r="O158" s="2">
        <v>102.9097</v>
      </c>
      <c r="P158" s="2">
        <v>133</v>
      </c>
      <c r="Q158" s="2">
        <v>99.350999999999999</v>
      </c>
      <c r="R158" s="2">
        <v>135</v>
      </c>
      <c r="S158" s="2">
        <v>102.1527</v>
      </c>
      <c r="T158" s="2">
        <v>191</v>
      </c>
      <c r="U158" s="2">
        <v>0.52121399999999996</v>
      </c>
      <c r="V158" s="2">
        <v>157</v>
      </c>
      <c r="W158" s="2">
        <v>2012</v>
      </c>
    </row>
    <row r="159" spans="1:23" ht="12.3" x14ac:dyDescent="0.4">
      <c r="A159" s="2" t="s">
        <v>136</v>
      </c>
      <c r="B159" s="2"/>
      <c r="C159" s="2"/>
      <c r="D159" s="2"/>
      <c r="E159" s="2"/>
      <c r="F159" s="2"/>
      <c r="G159" s="2"/>
      <c r="H159" s="2"/>
      <c r="I159" s="2">
        <v>62.161200000000001</v>
      </c>
      <c r="J159" s="2">
        <v>320</v>
      </c>
      <c r="K159" s="2">
        <v>62.636400000000002</v>
      </c>
      <c r="L159" s="2">
        <v>309</v>
      </c>
      <c r="M159" s="2">
        <v>96.947199999999995</v>
      </c>
      <c r="N159" s="2">
        <v>250</v>
      </c>
      <c r="O159" s="2">
        <v>101.3644</v>
      </c>
      <c r="P159" s="2">
        <v>163</v>
      </c>
      <c r="Q159" s="2">
        <v>105.1485</v>
      </c>
      <c r="R159" s="2">
        <v>266</v>
      </c>
      <c r="S159" s="2">
        <v>100.69459999999999</v>
      </c>
      <c r="T159" s="2">
        <v>156</v>
      </c>
      <c r="U159" s="2">
        <v>0.51905199999999996</v>
      </c>
      <c r="V159" s="2">
        <v>158</v>
      </c>
      <c r="W159" s="2">
        <v>2012</v>
      </c>
    </row>
    <row r="160" spans="1:23" ht="12.3" x14ac:dyDescent="0.4">
      <c r="A160" s="2" t="s">
        <v>165</v>
      </c>
      <c r="B160" s="2"/>
      <c r="C160" s="2"/>
      <c r="D160" s="2"/>
      <c r="E160" s="2"/>
      <c r="F160" s="2"/>
      <c r="G160" s="2"/>
      <c r="H160" s="2"/>
      <c r="I160" s="2">
        <v>70.424999999999997</v>
      </c>
      <c r="J160" s="2">
        <v>28</v>
      </c>
      <c r="K160" s="2">
        <v>70.653999999999996</v>
      </c>
      <c r="L160" s="2">
        <v>21</v>
      </c>
      <c r="M160" s="2">
        <v>112.0528</v>
      </c>
      <c r="N160" s="2">
        <v>16</v>
      </c>
      <c r="O160" s="2">
        <v>112.2641</v>
      </c>
      <c r="P160" s="2">
        <v>22</v>
      </c>
      <c r="Q160" s="2">
        <v>111.3899</v>
      </c>
      <c r="R160" s="2">
        <v>332</v>
      </c>
      <c r="S160" s="2">
        <v>111.5976</v>
      </c>
      <c r="T160" s="2">
        <v>330</v>
      </c>
      <c r="U160" s="2">
        <v>0.51711399999999996</v>
      </c>
      <c r="V160" s="2">
        <v>159</v>
      </c>
      <c r="W160" s="2">
        <v>2012</v>
      </c>
    </row>
    <row r="161" spans="1:23" ht="12.3" x14ac:dyDescent="0.4">
      <c r="A161" s="2" t="s">
        <v>317</v>
      </c>
      <c r="B161" s="2"/>
      <c r="C161" s="2"/>
      <c r="D161" s="2"/>
      <c r="E161" s="2"/>
      <c r="F161" s="2"/>
      <c r="G161" s="2"/>
      <c r="H161" s="2"/>
      <c r="I161" s="2">
        <v>64.683400000000006</v>
      </c>
      <c r="J161" s="2">
        <v>243</v>
      </c>
      <c r="K161" s="2">
        <v>65.407499999999999</v>
      </c>
      <c r="L161" s="2">
        <v>204</v>
      </c>
      <c r="M161" s="2">
        <v>103.42570000000001</v>
      </c>
      <c r="N161" s="2">
        <v>120</v>
      </c>
      <c r="O161" s="2">
        <v>104.7424</v>
      </c>
      <c r="P161" s="2">
        <v>101</v>
      </c>
      <c r="Q161" s="2">
        <v>103.22709999999999</v>
      </c>
      <c r="R161" s="2">
        <v>221</v>
      </c>
      <c r="S161" s="2">
        <v>104.2966</v>
      </c>
      <c r="T161" s="2">
        <v>245</v>
      </c>
      <c r="U161" s="2">
        <v>0.51226000000000005</v>
      </c>
      <c r="V161" s="2">
        <v>160</v>
      </c>
      <c r="W161" s="2">
        <v>2012</v>
      </c>
    </row>
    <row r="162" spans="1:23" ht="12.3" x14ac:dyDescent="0.4">
      <c r="A162" s="2" t="s">
        <v>343</v>
      </c>
      <c r="B162" s="2">
        <v>16</v>
      </c>
      <c r="C162" s="2"/>
      <c r="D162" s="2"/>
      <c r="E162" s="2"/>
      <c r="F162" s="2"/>
      <c r="G162" s="2"/>
      <c r="H162" s="2"/>
      <c r="I162" s="2">
        <v>74.972700000000003</v>
      </c>
      <c r="J162" s="2">
        <v>2</v>
      </c>
      <c r="K162" s="2">
        <v>74.442800000000005</v>
      </c>
      <c r="L162" s="2">
        <v>2</v>
      </c>
      <c r="M162" s="2">
        <v>108.8421</v>
      </c>
      <c r="N162" s="2">
        <v>40</v>
      </c>
      <c r="O162" s="2">
        <v>106.8891</v>
      </c>
      <c r="P162" s="2">
        <v>68</v>
      </c>
      <c r="Q162" s="2">
        <v>102.68559999999999</v>
      </c>
      <c r="R162" s="2">
        <v>210</v>
      </c>
      <c r="S162" s="2">
        <v>106.5365</v>
      </c>
      <c r="T162" s="2">
        <v>277</v>
      </c>
      <c r="U162" s="2">
        <v>0.50949999999999995</v>
      </c>
      <c r="V162" s="2">
        <v>161</v>
      </c>
      <c r="W162" s="2">
        <v>2012</v>
      </c>
    </row>
    <row r="163" spans="1:23" ht="12.3" x14ac:dyDescent="0.4">
      <c r="A163" s="2" t="s">
        <v>102</v>
      </c>
      <c r="B163" s="2"/>
      <c r="C163" s="2"/>
      <c r="D163" s="2"/>
      <c r="E163" s="2"/>
      <c r="F163" s="2"/>
      <c r="G163" s="2"/>
      <c r="H163" s="2"/>
      <c r="I163" s="2">
        <v>67.267600000000002</v>
      </c>
      <c r="J163" s="2">
        <v>118</v>
      </c>
      <c r="K163" s="2">
        <v>67.401799999999994</v>
      </c>
      <c r="L163" s="2">
        <v>106</v>
      </c>
      <c r="M163" s="2">
        <v>98.530500000000004</v>
      </c>
      <c r="N163" s="2">
        <v>217</v>
      </c>
      <c r="O163" s="2">
        <v>101.50749999999999</v>
      </c>
      <c r="P163" s="2">
        <v>157</v>
      </c>
      <c r="Q163" s="2">
        <v>105.2127</v>
      </c>
      <c r="R163" s="2">
        <v>268</v>
      </c>
      <c r="S163" s="2">
        <v>101.1771</v>
      </c>
      <c r="T163" s="2">
        <v>165</v>
      </c>
      <c r="U163" s="2">
        <v>0.50937200000000005</v>
      </c>
      <c r="V163" s="2">
        <v>162</v>
      </c>
      <c r="W163" s="2">
        <v>2012</v>
      </c>
    </row>
    <row r="164" spans="1:23" ht="12.3" x14ac:dyDescent="0.4">
      <c r="A164" s="2" t="s">
        <v>226</v>
      </c>
      <c r="B164" s="2"/>
      <c r="C164" s="2"/>
      <c r="D164" s="2"/>
      <c r="E164" s="2"/>
      <c r="F164" s="2"/>
      <c r="G164" s="2"/>
      <c r="H164" s="2"/>
      <c r="I164" s="2">
        <v>62.839700000000001</v>
      </c>
      <c r="J164" s="2">
        <v>311</v>
      </c>
      <c r="K164" s="2">
        <v>62.585900000000002</v>
      </c>
      <c r="L164" s="2">
        <v>311</v>
      </c>
      <c r="M164" s="2">
        <v>102.25320000000001</v>
      </c>
      <c r="N164" s="2">
        <v>146</v>
      </c>
      <c r="O164" s="2">
        <v>99.445700000000002</v>
      </c>
      <c r="P164" s="2">
        <v>207</v>
      </c>
      <c r="Q164" s="2">
        <v>97.782799999999995</v>
      </c>
      <c r="R164" s="2">
        <v>94</v>
      </c>
      <c r="S164" s="2">
        <v>99.1464</v>
      </c>
      <c r="T164" s="2">
        <v>128</v>
      </c>
      <c r="U164" s="2">
        <v>0.50866400000000001</v>
      </c>
      <c r="V164" s="2">
        <v>163</v>
      </c>
      <c r="W164" s="2">
        <v>2012</v>
      </c>
    </row>
    <row r="165" spans="1:23" ht="12.3" x14ac:dyDescent="0.4">
      <c r="A165" s="2" t="s">
        <v>105</v>
      </c>
      <c r="B165" s="2"/>
      <c r="C165" s="2"/>
      <c r="D165" s="2"/>
      <c r="E165" s="2"/>
      <c r="F165" s="2"/>
      <c r="G165" s="2"/>
      <c r="H165" s="2"/>
      <c r="I165" s="2">
        <v>68.294799999999995</v>
      </c>
      <c r="J165" s="2">
        <v>73</v>
      </c>
      <c r="K165" s="2">
        <v>67.6828</v>
      </c>
      <c r="L165" s="2">
        <v>95</v>
      </c>
      <c r="M165" s="2">
        <v>101.85080000000001</v>
      </c>
      <c r="N165" s="2">
        <v>157</v>
      </c>
      <c r="O165" s="2">
        <v>100.4858</v>
      </c>
      <c r="P165" s="2">
        <v>177</v>
      </c>
      <c r="Q165" s="2">
        <v>98.202299999999994</v>
      </c>
      <c r="R165" s="2">
        <v>105</v>
      </c>
      <c r="S165" s="2">
        <v>100.2546</v>
      </c>
      <c r="T165" s="2">
        <v>149</v>
      </c>
      <c r="U165" s="2">
        <v>0.50662399999999996</v>
      </c>
      <c r="V165" s="2">
        <v>164</v>
      </c>
      <c r="W165" s="2">
        <v>2012</v>
      </c>
    </row>
    <row r="166" spans="1:23" ht="12.3" x14ac:dyDescent="0.4">
      <c r="A166" s="2" t="s">
        <v>184</v>
      </c>
      <c r="B166" s="2"/>
      <c r="C166" s="2"/>
      <c r="D166" s="2"/>
      <c r="E166" s="2"/>
      <c r="F166" s="2"/>
      <c r="G166" s="2"/>
      <c r="H166" s="2"/>
      <c r="I166" s="2">
        <v>68.384900000000002</v>
      </c>
      <c r="J166" s="2">
        <v>69</v>
      </c>
      <c r="K166" s="2">
        <v>68.856300000000005</v>
      </c>
      <c r="L166" s="2">
        <v>50</v>
      </c>
      <c r="M166" s="2">
        <v>98.899000000000001</v>
      </c>
      <c r="N166" s="2">
        <v>208</v>
      </c>
      <c r="O166" s="2">
        <v>98.794499999999999</v>
      </c>
      <c r="P166" s="2">
        <v>219</v>
      </c>
      <c r="Q166" s="2">
        <v>95.713700000000003</v>
      </c>
      <c r="R166" s="2">
        <v>57</v>
      </c>
      <c r="S166" s="2">
        <v>98.611599999999996</v>
      </c>
      <c r="T166" s="2">
        <v>118</v>
      </c>
      <c r="U166" s="2">
        <v>0.50532699999999997</v>
      </c>
      <c r="V166" s="2">
        <v>165</v>
      </c>
      <c r="W166" s="2">
        <v>2012</v>
      </c>
    </row>
    <row r="167" spans="1:23" ht="12.3" x14ac:dyDescent="0.4">
      <c r="A167" s="2" t="s">
        <v>212</v>
      </c>
      <c r="B167" s="2"/>
      <c r="C167" s="2"/>
      <c r="D167" s="2"/>
      <c r="E167" s="2"/>
      <c r="F167" s="2"/>
      <c r="G167" s="2"/>
      <c r="H167" s="2"/>
      <c r="I167" s="2">
        <v>64.918599999999998</v>
      </c>
      <c r="J167" s="2">
        <v>233</v>
      </c>
      <c r="K167" s="2">
        <v>65.319400000000002</v>
      </c>
      <c r="L167" s="2">
        <v>208</v>
      </c>
      <c r="M167" s="2">
        <v>103.0351</v>
      </c>
      <c r="N167" s="2">
        <v>127</v>
      </c>
      <c r="O167" s="2">
        <v>102.50749999999999</v>
      </c>
      <c r="P167" s="2">
        <v>137</v>
      </c>
      <c r="Q167" s="2">
        <v>103.25960000000001</v>
      </c>
      <c r="R167" s="2">
        <v>223</v>
      </c>
      <c r="S167" s="2">
        <v>102.5436</v>
      </c>
      <c r="T167" s="2">
        <v>198</v>
      </c>
      <c r="U167" s="2">
        <v>0.49898999999999999</v>
      </c>
      <c r="V167" s="2">
        <v>166</v>
      </c>
      <c r="W167" s="2">
        <v>2012</v>
      </c>
    </row>
    <row r="168" spans="1:23" ht="12.3" x14ac:dyDescent="0.4">
      <c r="A168" s="2" t="s">
        <v>311</v>
      </c>
      <c r="B168" s="2"/>
      <c r="C168" s="2"/>
      <c r="D168" s="2"/>
      <c r="E168" s="2"/>
      <c r="F168" s="2"/>
      <c r="G168" s="2"/>
      <c r="H168" s="2"/>
      <c r="I168" s="2">
        <v>69.042900000000003</v>
      </c>
      <c r="J168" s="2">
        <v>45</v>
      </c>
      <c r="K168" s="2">
        <v>68.932199999999995</v>
      </c>
      <c r="L168" s="2">
        <v>47</v>
      </c>
      <c r="M168" s="2">
        <v>110.6373</v>
      </c>
      <c r="N168" s="2">
        <v>24</v>
      </c>
      <c r="O168" s="2">
        <v>107.01860000000001</v>
      </c>
      <c r="P168" s="2">
        <v>65</v>
      </c>
      <c r="Q168" s="2">
        <v>103.5326</v>
      </c>
      <c r="R168" s="2">
        <v>228</v>
      </c>
      <c r="S168" s="2">
        <v>107.2041</v>
      </c>
      <c r="T168" s="2">
        <v>284</v>
      </c>
      <c r="U168" s="2">
        <v>0.49502099999999999</v>
      </c>
      <c r="V168" s="2">
        <v>167</v>
      </c>
      <c r="W168" s="2">
        <v>2012</v>
      </c>
    </row>
    <row r="169" spans="1:23" ht="12.3" x14ac:dyDescent="0.4">
      <c r="A169" s="2" t="s">
        <v>232</v>
      </c>
      <c r="B169" s="2"/>
      <c r="C169" s="2"/>
      <c r="D169" s="2"/>
      <c r="E169" s="2"/>
      <c r="F169" s="2"/>
      <c r="G169" s="2"/>
      <c r="H169" s="2"/>
      <c r="I169" s="2">
        <v>64.240700000000004</v>
      </c>
      <c r="J169" s="2">
        <v>268</v>
      </c>
      <c r="K169" s="2">
        <v>63.5242</v>
      </c>
      <c r="L169" s="2">
        <v>286</v>
      </c>
      <c r="M169" s="2">
        <v>96.620999999999995</v>
      </c>
      <c r="N169" s="2">
        <v>256</v>
      </c>
      <c r="O169" s="2">
        <v>100.34</v>
      </c>
      <c r="P169" s="2">
        <v>183</v>
      </c>
      <c r="Q169" s="2">
        <v>104.1405</v>
      </c>
      <c r="R169" s="2">
        <v>241</v>
      </c>
      <c r="S169" s="2">
        <v>100.99079999999999</v>
      </c>
      <c r="T169" s="2">
        <v>161</v>
      </c>
      <c r="U169" s="2">
        <v>0.48142099999999999</v>
      </c>
      <c r="V169" s="2">
        <v>168</v>
      </c>
      <c r="W169" s="2">
        <v>2012</v>
      </c>
    </row>
    <row r="170" spans="1:23" ht="12.3" x14ac:dyDescent="0.4">
      <c r="A170" s="2" t="s">
        <v>17</v>
      </c>
      <c r="B170" s="2"/>
      <c r="C170" s="2"/>
      <c r="D170" s="2"/>
      <c r="E170" s="2"/>
      <c r="F170" s="2"/>
      <c r="G170" s="2"/>
      <c r="H170" s="2"/>
      <c r="I170" s="2">
        <v>62.314799999999998</v>
      </c>
      <c r="J170" s="2">
        <v>318</v>
      </c>
      <c r="K170" s="2">
        <v>63.000599999999999</v>
      </c>
      <c r="L170" s="2">
        <v>300</v>
      </c>
      <c r="M170" s="2">
        <v>98.383399999999995</v>
      </c>
      <c r="N170" s="2">
        <v>222</v>
      </c>
      <c r="O170" s="2">
        <v>100.5519</v>
      </c>
      <c r="P170" s="2">
        <v>175</v>
      </c>
      <c r="Q170" s="2">
        <v>103.9988</v>
      </c>
      <c r="R170" s="2">
        <v>237</v>
      </c>
      <c r="S170" s="2">
        <v>101.2105</v>
      </c>
      <c r="T170" s="2">
        <v>168</v>
      </c>
      <c r="U170" s="2">
        <v>0.48123700000000003</v>
      </c>
      <c r="V170" s="2">
        <v>169</v>
      </c>
      <c r="W170" s="2">
        <v>2012</v>
      </c>
    </row>
    <row r="171" spans="1:23" ht="12.3" x14ac:dyDescent="0.4">
      <c r="A171" s="2" t="s">
        <v>236</v>
      </c>
      <c r="B171" s="2"/>
      <c r="C171" s="2"/>
      <c r="D171" s="2"/>
      <c r="E171" s="2"/>
      <c r="F171" s="2"/>
      <c r="G171" s="2"/>
      <c r="H171" s="2"/>
      <c r="I171" s="2">
        <v>65.6374</v>
      </c>
      <c r="J171" s="2">
        <v>200</v>
      </c>
      <c r="K171" s="2">
        <v>67.149000000000001</v>
      </c>
      <c r="L171" s="2">
        <v>116</v>
      </c>
      <c r="M171" s="2">
        <v>95.898099999999999</v>
      </c>
      <c r="N171" s="2">
        <v>271</v>
      </c>
      <c r="O171" s="2">
        <v>100.2063</v>
      </c>
      <c r="P171" s="2">
        <v>188</v>
      </c>
      <c r="Q171" s="2">
        <v>100.818</v>
      </c>
      <c r="R171" s="2">
        <v>172</v>
      </c>
      <c r="S171" s="2">
        <v>100.896</v>
      </c>
      <c r="T171" s="2">
        <v>159</v>
      </c>
      <c r="U171" s="2">
        <v>0.48028999999999999</v>
      </c>
      <c r="V171" s="2">
        <v>170</v>
      </c>
      <c r="W171" s="2">
        <v>2012</v>
      </c>
    </row>
    <row r="172" spans="1:23" ht="12.3" x14ac:dyDescent="0.4">
      <c r="A172" s="2" t="s">
        <v>162</v>
      </c>
      <c r="B172" s="2"/>
      <c r="C172" s="2"/>
      <c r="D172" s="2"/>
      <c r="E172" s="2"/>
      <c r="F172" s="2"/>
      <c r="G172" s="2"/>
      <c r="H172" s="2"/>
      <c r="I172" s="2">
        <v>66.025300000000001</v>
      </c>
      <c r="J172" s="2">
        <v>182</v>
      </c>
      <c r="K172" s="2">
        <v>65.916499999999999</v>
      </c>
      <c r="L172" s="2">
        <v>177</v>
      </c>
      <c r="M172" s="2">
        <v>102.6459</v>
      </c>
      <c r="N172" s="2">
        <v>141</v>
      </c>
      <c r="O172" s="2">
        <v>103.7354</v>
      </c>
      <c r="P172" s="2">
        <v>118</v>
      </c>
      <c r="Q172" s="2">
        <v>104.83</v>
      </c>
      <c r="R172" s="2">
        <v>258</v>
      </c>
      <c r="S172" s="2">
        <v>104.497</v>
      </c>
      <c r="T172" s="2">
        <v>246</v>
      </c>
      <c r="U172" s="2">
        <v>0.47898000000000002</v>
      </c>
      <c r="V172" s="2">
        <v>171</v>
      </c>
      <c r="W172" s="2">
        <v>2012</v>
      </c>
    </row>
    <row r="173" spans="1:23" ht="12.3" x14ac:dyDescent="0.4">
      <c r="A173" s="2" t="s">
        <v>352</v>
      </c>
      <c r="B173" s="2"/>
      <c r="C173" s="2"/>
      <c r="D173" s="2"/>
      <c r="E173" s="2"/>
      <c r="F173" s="2"/>
      <c r="G173" s="2"/>
      <c r="H173" s="2"/>
      <c r="I173" s="2">
        <v>64.750500000000002</v>
      </c>
      <c r="J173" s="2">
        <v>240</v>
      </c>
      <c r="K173" s="2">
        <v>63.959200000000003</v>
      </c>
      <c r="L173" s="2">
        <v>272</v>
      </c>
      <c r="M173" s="2">
        <v>95.628399999999999</v>
      </c>
      <c r="N173" s="2">
        <v>275</v>
      </c>
      <c r="O173" s="2">
        <v>93.151200000000003</v>
      </c>
      <c r="P173" s="2">
        <v>296</v>
      </c>
      <c r="Q173" s="2">
        <v>91.731099999999998</v>
      </c>
      <c r="R173" s="2">
        <v>17</v>
      </c>
      <c r="S173" s="2">
        <v>94.005899999999997</v>
      </c>
      <c r="T173" s="2">
        <v>36</v>
      </c>
      <c r="U173" s="2">
        <v>0.47376400000000002</v>
      </c>
      <c r="V173" s="2">
        <v>172</v>
      </c>
      <c r="W173" s="2">
        <v>2012</v>
      </c>
    </row>
    <row r="174" spans="1:23" ht="12.3" x14ac:dyDescent="0.4">
      <c r="A174" s="2" t="s">
        <v>285</v>
      </c>
      <c r="B174" s="2"/>
      <c r="C174" s="2"/>
      <c r="D174" s="2"/>
      <c r="E174" s="2"/>
      <c r="F174" s="2"/>
      <c r="G174" s="2"/>
      <c r="H174" s="2"/>
      <c r="I174" s="2">
        <v>59.2089</v>
      </c>
      <c r="J174" s="2">
        <v>344</v>
      </c>
      <c r="K174" s="2">
        <v>58.302199999999999</v>
      </c>
      <c r="L174" s="2">
        <v>345</v>
      </c>
      <c r="M174" s="2">
        <v>100.1281</v>
      </c>
      <c r="N174" s="2">
        <v>185</v>
      </c>
      <c r="O174" s="2">
        <v>95.700199999999995</v>
      </c>
      <c r="P174" s="2">
        <v>279</v>
      </c>
      <c r="Q174" s="2">
        <v>99.5274</v>
      </c>
      <c r="R174" s="2">
        <v>139</v>
      </c>
      <c r="S174" s="2">
        <v>96.802999999999997</v>
      </c>
      <c r="T174" s="2">
        <v>79</v>
      </c>
      <c r="U174" s="2">
        <v>0.46710499999999999</v>
      </c>
      <c r="V174" s="2">
        <v>173</v>
      </c>
      <c r="W174" s="2">
        <v>2012</v>
      </c>
    </row>
    <row r="175" spans="1:23" ht="12.3" x14ac:dyDescent="0.4">
      <c r="A175" s="2" t="s">
        <v>369</v>
      </c>
      <c r="B175" s="2"/>
      <c r="C175" s="2"/>
      <c r="D175" s="2"/>
      <c r="E175" s="2"/>
      <c r="F175" s="2"/>
      <c r="G175" s="2"/>
      <c r="H175" s="2"/>
      <c r="I175" s="2">
        <v>68.321200000000005</v>
      </c>
      <c r="J175" s="2">
        <v>71</v>
      </c>
      <c r="K175" s="2">
        <v>67.593400000000003</v>
      </c>
      <c r="L175" s="2">
        <v>99</v>
      </c>
      <c r="M175" s="2">
        <v>103.9148</v>
      </c>
      <c r="N175" s="2">
        <v>114</v>
      </c>
      <c r="O175" s="2">
        <v>103.7144</v>
      </c>
      <c r="P175" s="2">
        <v>119</v>
      </c>
      <c r="Q175" s="2">
        <v>105.0086</v>
      </c>
      <c r="R175" s="2">
        <v>263</v>
      </c>
      <c r="S175" s="2">
        <v>104.97190000000001</v>
      </c>
      <c r="T175" s="2">
        <v>255</v>
      </c>
      <c r="U175" s="2">
        <v>0.46540799999999999</v>
      </c>
      <c r="V175" s="2">
        <v>174</v>
      </c>
      <c r="W175" s="2">
        <v>2012</v>
      </c>
    </row>
    <row r="176" spans="1:23" ht="12.3" x14ac:dyDescent="0.4">
      <c r="A176" s="2" t="s">
        <v>189</v>
      </c>
      <c r="B176" s="2"/>
      <c r="C176" s="2"/>
      <c r="D176" s="2"/>
      <c r="E176" s="2"/>
      <c r="F176" s="2"/>
      <c r="G176" s="2"/>
      <c r="H176" s="2"/>
      <c r="I176" s="2">
        <v>60.421799999999998</v>
      </c>
      <c r="J176" s="2">
        <v>340</v>
      </c>
      <c r="K176" s="2">
        <v>60.377000000000002</v>
      </c>
      <c r="L176" s="2">
        <v>340</v>
      </c>
      <c r="M176" s="2">
        <v>105.48390000000001</v>
      </c>
      <c r="N176" s="2">
        <v>89</v>
      </c>
      <c r="O176" s="2">
        <v>102.3113</v>
      </c>
      <c r="P176" s="2">
        <v>142</v>
      </c>
      <c r="Q176" s="2">
        <v>100.0416</v>
      </c>
      <c r="R176" s="2">
        <v>151</v>
      </c>
      <c r="S176" s="2">
        <v>103.6495</v>
      </c>
      <c r="T176" s="2">
        <v>224</v>
      </c>
      <c r="U176" s="2">
        <v>0.46271000000000001</v>
      </c>
      <c r="V176" s="2">
        <v>175</v>
      </c>
      <c r="W176" s="2">
        <v>2012</v>
      </c>
    </row>
    <row r="177" spans="1:23" ht="12.3" x14ac:dyDescent="0.4">
      <c r="A177" s="2" t="s">
        <v>305</v>
      </c>
      <c r="B177" s="2"/>
      <c r="C177" s="2"/>
      <c r="D177" s="2"/>
      <c r="E177" s="2"/>
      <c r="F177" s="2"/>
      <c r="G177" s="2"/>
      <c r="H177" s="2"/>
      <c r="I177" s="2">
        <v>71.053299999999993</v>
      </c>
      <c r="J177" s="2">
        <v>19</v>
      </c>
      <c r="K177" s="2">
        <v>70.303100000000001</v>
      </c>
      <c r="L177" s="2">
        <v>25</v>
      </c>
      <c r="M177" s="2">
        <v>105.8563</v>
      </c>
      <c r="N177" s="2">
        <v>80</v>
      </c>
      <c r="O177" s="2">
        <v>102.5228</v>
      </c>
      <c r="P177" s="2">
        <v>135</v>
      </c>
      <c r="Q177" s="2">
        <v>102.66849999999999</v>
      </c>
      <c r="R177" s="2">
        <v>209</v>
      </c>
      <c r="S177" s="2">
        <v>103.8665</v>
      </c>
      <c r="T177" s="2">
        <v>229</v>
      </c>
      <c r="U177" s="2">
        <v>0.46263399999999999</v>
      </c>
      <c r="V177" s="2">
        <v>176</v>
      </c>
      <c r="W177" s="2">
        <v>2012</v>
      </c>
    </row>
    <row r="178" spans="1:23" ht="12.3" x14ac:dyDescent="0.4">
      <c r="A178" s="2" t="s">
        <v>92</v>
      </c>
      <c r="B178" s="2"/>
      <c r="C178" s="2"/>
      <c r="D178" s="2"/>
      <c r="E178" s="2"/>
      <c r="F178" s="2"/>
      <c r="G178" s="2"/>
      <c r="H178" s="2"/>
      <c r="I178" s="2">
        <v>63.314999999999998</v>
      </c>
      <c r="J178" s="2">
        <v>292</v>
      </c>
      <c r="K178" s="2">
        <v>63.094200000000001</v>
      </c>
      <c r="L178" s="2">
        <v>298</v>
      </c>
      <c r="M178" s="2">
        <v>94.425799999999995</v>
      </c>
      <c r="N178" s="2">
        <v>290</v>
      </c>
      <c r="O178" s="2">
        <v>96.384799999999998</v>
      </c>
      <c r="P178" s="2">
        <v>262</v>
      </c>
      <c r="Q178" s="2">
        <v>98.608999999999995</v>
      </c>
      <c r="R178" s="2">
        <v>117</v>
      </c>
      <c r="S178" s="2">
        <v>97.7744</v>
      </c>
      <c r="T178" s="2">
        <v>98</v>
      </c>
      <c r="U178" s="2">
        <v>0.45894099999999999</v>
      </c>
      <c r="V178" s="2">
        <v>177</v>
      </c>
      <c r="W178" s="2">
        <v>2012</v>
      </c>
    </row>
    <row r="179" spans="1:23" ht="12.3" x14ac:dyDescent="0.4">
      <c r="A179" s="2" t="s">
        <v>360</v>
      </c>
      <c r="B179" s="2"/>
      <c r="C179" s="2"/>
      <c r="D179" s="2"/>
      <c r="E179" s="2"/>
      <c r="F179" s="2"/>
      <c r="G179" s="2"/>
      <c r="H179" s="2"/>
      <c r="I179" s="2">
        <v>66.583600000000004</v>
      </c>
      <c r="J179" s="2">
        <v>152</v>
      </c>
      <c r="K179" s="2">
        <v>66.692300000000003</v>
      </c>
      <c r="L179" s="2">
        <v>138</v>
      </c>
      <c r="M179" s="2">
        <v>107.3683</v>
      </c>
      <c r="N179" s="2">
        <v>56</v>
      </c>
      <c r="O179" s="2">
        <v>103.2333</v>
      </c>
      <c r="P179" s="2">
        <v>127</v>
      </c>
      <c r="Q179" s="2">
        <v>102.69329999999999</v>
      </c>
      <c r="R179" s="2">
        <v>211</v>
      </c>
      <c r="S179" s="2">
        <v>104.8081</v>
      </c>
      <c r="T179" s="2">
        <v>252</v>
      </c>
      <c r="U179" s="2">
        <v>0.45658300000000002</v>
      </c>
      <c r="V179" s="2">
        <v>178</v>
      </c>
      <c r="W179" s="2">
        <v>2012</v>
      </c>
    </row>
    <row r="180" spans="1:23" ht="12.3" x14ac:dyDescent="0.4">
      <c r="A180" s="2" t="s">
        <v>203</v>
      </c>
      <c r="B180" s="2"/>
      <c r="C180" s="2"/>
      <c r="D180" s="2"/>
      <c r="E180" s="2"/>
      <c r="F180" s="2"/>
      <c r="G180" s="2"/>
      <c r="H180" s="2"/>
      <c r="I180" s="2">
        <v>64.488799999999998</v>
      </c>
      <c r="J180" s="2">
        <v>251</v>
      </c>
      <c r="K180" s="2">
        <v>64.834999999999994</v>
      </c>
      <c r="L180" s="2">
        <v>237</v>
      </c>
      <c r="M180" s="2">
        <v>98.813800000000001</v>
      </c>
      <c r="N180" s="2">
        <v>209</v>
      </c>
      <c r="O180" s="2">
        <v>97.753200000000007</v>
      </c>
      <c r="P180" s="2">
        <v>240</v>
      </c>
      <c r="Q180" s="2">
        <v>98.180599999999998</v>
      </c>
      <c r="R180" s="2">
        <v>102</v>
      </c>
      <c r="S180" s="2">
        <v>99.278199999999998</v>
      </c>
      <c r="T180" s="2">
        <v>133</v>
      </c>
      <c r="U180" s="2">
        <v>0.45561200000000002</v>
      </c>
      <c r="V180" s="2">
        <v>179</v>
      </c>
      <c r="W180" s="2">
        <v>2012</v>
      </c>
    </row>
    <row r="181" spans="1:23" ht="12.3" x14ac:dyDescent="0.4">
      <c r="A181" s="2" t="s">
        <v>185</v>
      </c>
      <c r="B181" s="2"/>
      <c r="C181" s="2"/>
      <c r="D181" s="2"/>
      <c r="E181" s="2"/>
      <c r="F181" s="2"/>
      <c r="G181" s="2"/>
      <c r="H181" s="2"/>
      <c r="I181" s="2">
        <v>67.741699999999994</v>
      </c>
      <c r="J181" s="2">
        <v>96</v>
      </c>
      <c r="K181" s="2">
        <v>67.695999999999998</v>
      </c>
      <c r="L181" s="2">
        <v>94</v>
      </c>
      <c r="M181" s="2">
        <v>103.2433</v>
      </c>
      <c r="N181" s="2">
        <v>124</v>
      </c>
      <c r="O181" s="2">
        <v>101.2654</v>
      </c>
      <c r="P181" s="2">
        <v>165</v>
      </c>
      <c r="Q181" s="2">
        <v>99.716700000000003</v>
      </c>
      <c r="R181" s="2">
        <v>146</v>
      </c>
      <c r="S181" s="2">
        <v>103.0099</v>
      </c>
      <c r="T181" s="2">
        <v>209</v>
      </c>
      <c r="U181" s="2">
        <v>0.45105000000000001</v>
      </c>
      <c r="V181" s="2">
        <v>180</v>
      </c>
      <c r="W181" s="2">
        <v>2012</v>
      </c>
    </row>
    <row r="182" spans="1:23" ht="12.3" x14ac:dyDescent="0.4">
      <c r="A182" s="2" t="s">
        <v>201</v>
      </c>
      <c r="B182" s="2"/>
      <c r="C182" s="2"/>
      <c r="D182" s="2"/>
      <c r="E182" s="2"/>
      <c r="F182" s="2"/>
      <c r="G182" s="2"/>
      <c r="H182" s="2"/>
      <c r="I182" s="2">
        <v>61.067900000000002</v>
      </c>
      <c r="J182" s="2">
        <v>331</v>
      </c>
      <c r="K182" s="2">
        <v>61.053199999999997</v>
      </c>
      <c r="L182" s="2">
        <v>330</v>
      </c>
      <c r="M182" s="2">
        <v>99.802099999999996</v>
      </c>
      <c r="N182" s="2">
        <v>191</v>
      </c>
      <c r="O182" s="2">
        <v>98.932699999999997</v>
      </c>
      <c r="P182" s="2">
        <v>215</v>
      </c>
      <c r="Q182" s="2">
        <v>101.4367</v>
      </c>
      <c r="R182" s="2">
        <v>184</v>
      </c>
      <c r="S182" s="2">
        <v>100.7467</v>
      </c>
      <c r="T182" s="2">
        <v>157</v>
      </c>
      <c r="U182" s="2">
        <v>0.44795200000000002</v>
      </c>
      <c r="V182" s="2">
        <v>181</v>
      </c>
      <c r="W182" s="2">
        <v>2012</v>
      </c>
    </row>
    <row r="183" spans="1:23" ht="12.3" x14ac:dyDescent="0.4">
      <c r="A183" s="2" t="s">
        <v>204</v>
      </c>
      <c r="B183" s="2"/>
      <c r="C183" s="2"/>
      <c r="D183" s="2"/>
      <c r="E183" s="2"/>
      <c r="F183" s="2"/>
      <c r="G183" s="2"/>
      <c r="H183" s="2"/>
      <c r="I183" s="2">
        <v>62.66</v>
      </c>
      <c r="J183" s="2">
        <v>316</v>
      </c>
      <c r="K183" s="2">
        <v>62.430300000000003</v>
      </c>
      <c r="L183" s="2">
        <v>316</v>
      </c>
      <c r="M183" s="2">
        <v>96.278800000000004</v>
      </c>
      <c r="N183" s="2">
        <v>262</v>
      </c>
      <c r="O183" s="2">
        <v>98.457700000000003</v>
      </c>
      <c r="P183" s="2">
        <v>228</v>
      </c>
      <c r="Q183" s="2">
        <v>100.46429999999999</v>
      </c>
      <c r="R183" s="2">
        <v>162</v>
      </c>
      <c r="S183" s="2">
        <v>100.2677</v>
      </c>
      <c r="T183" s="2">
        <v>150</v>
      </c>
      <c r="U183" s="2">
        <v>0.44781700000000002</v>
      </c>
      <c r="V183" s="2">
        <v>182</v>
      </c>
      <c r="W183" s="2">
        <v>2012</v>
      </c>
    </row>
    <row r="184" spans="1:23" ht="12.3" x14ac:dyDescent="0.4">
      <c r="A184" s="2" t="s">
        <v>94</v>
      </c>
      <c r="B184" s="2"/>
      <c r="C184" s="2"/>
      <c r="D184" s="2"/>
      <c r="E184" s="2"/>
      <c r="F184" s="2"/>
      <c r="G184" s="2"/>
      <c r="H184" s="2"/>
      <c r="I184" s="2">
        <v>67.889600000000002</v>
      </c>
      <c r="J184" s="2">
        <v>87</v>
      </c>
      <c r="K184" s="2">
        <v>67.783500000000004</v>
      </c>
      <c r="L184" s="2">
        <v>89</v>
      </c>
      <c r="M184" s="2">
        <v>99.773499999999999</v>
      </c>
      <c r="N184" s="2">
        <v>192</v>
      </c>
      <c r="O184" s="2">
        <v>100.8796</v>
      </c>
      <c r="P184" s="2">
        <v>171</v>
      </c>
      <c r="Q184" s="2">
        <v>102.10850000000001</v>
      </c>
      <c r="R184" s="2">
        <v>198</v>
      </c>
      <c r="S184" s="2">
        <v>102.7773</v>
      </c>
      <c r="T184" s="2">
        <v>203</v>
      </c>
      <c r="U184" s="2">
        <v>0.44662200000000002</v>
      </c>
      <c r="V184" s="2">
        <v>183</v>
      </c>
      <c r="W184" s="2">
        <v>2012</v>
      </c>
    </row>
    <row r="185" spans="1:23" ht="12.3" x14ac:dyDescent="0.4">
      <c r="A185" s="2" t="s">
        <v>271</v>
      </c>
      <c r="B185" s="2"/>
      <c r="C185" s="2"/>
      <c r="D185" s="2"/>
      <c r="E185" s="2"/>
      <c r="F185" s="2"/>
      <c r="G185" s="2"/>
      <c r="H185" s="2"/>
      <c r="I185" s="2">
        <v>63.1539</v>
      </c>
      <c r="J185" s="2">
        <v>300</v>
      </c>
      <c r="K185" s="2">
        <v>63.423499999999997</v>
      </c>
      <c r="L185" s="2">
        <v>288</v>
      </c>
      <c r="M185" s="2">
        <v>99.712000000000003</v>
      </c>
      <c r="N185" s="2">
        <v>193</v>
      </c>
      <c r="O185" s="2">
        <v>100.47709999999999</v>
      </c>
      <c r="P185" s="2">
        <v>178</v>
      </c>
      <c r="Q185" s="2">
        <v>99.199100000000001</v>
      </c>
      <c r="R185" s="2">
        <v>133</v>
      </c>
      <c r="S185" s="2">
        <v>102.4462</v>
      </c>
      <c r="T185" s="2">
        <v>197</v>
      </c>
      <c r="U185" s="2">
        <v>0.44443100000000002</v>
      </c>
      <c r="V185" s="2">
        <v>184</v>
      </c>
      <c r="W185" s="2">
        <v>2012</v>
      </c>
    </row>
    <row r="186" spans="1:23" ht="12.3" x14ac:dyDescent="0.4">
      <c r="A186" s="2" t="s">
        <v>125</v>
      </c>
      <c r="B186" s="2"/>
      <c r="C186" s="2"/>
      <c r="D186" s="2"/>
      <c r="E186" s="2"/>
      <c r="F186" s="2"/>
      <c r="G186" s="2"/>
      <c r="H186" s="2"/>
      <c r="I186" s="2">
        <v>64.649199999999993</v>
      </c>
      <c r="J186" s="2">
        <v>244</v>
      </c>
      <c r="K186" s="2">
        <v>64.848299999999995</v>
      </c>
      <c r="L186" s="2">
        <v>236</v>
      </c>
      <c r="M186" s="2">
        <v>95.323499999999996</v>
      </c>
      <c r="N186" s="2">
        <v>276</v>
      </c>
      <c r="O186" s="2">
        <v>96.378299999999996</v>
      </c>
      <c r="P186" s="2">
        <v>264</v>
      </c>
      <c r="Q186" s="2">
        <v>97.957499999999996</v>
      </c>
      <c r="R186" s="2">
        <v>98</v>
      </c>
      <c r="S186" s="2">
        <v>98.366600000000005</v>
      </c>
      <c r="T186" s="2">
        <v>111</v>
      </c>
      <c r="U186" s="2">
        <v>0.44156099999999998</v>
      </c>
      <c r="V186" s="2">
        <v>185</v>
      </c>
      <c r="W186" s="2">
        <v>2012</v>
      </c>
    </row>
    <row r="187" spans="1:23" ht="12.3" x14ac:dyDescent="0.4">
      <c r="A187" s="2" t="s">
        <v>363</v>
      </c>
      <c r="B187" s="2"/>
      <c r="C187" s="2"/>
      <c r="D187" s="2"/>
      <c r="E187" s="2"/>
      <c r="F187" s="2"/>
      <c r="G187" s="2"/>
      <c r="H187" s="2"/>
      <c r="I187" s="2">
        <v>66.979500000000002</v>
      </c>
      <c r="J187" s="2">
        <v>130</v>
      </c>
      <c r="K187" s="2">
        <v>66.728099999999998</v>
      </c>
      <c r="L187" s="2">
        <v>133</v>
      </c>
      <c r="M187" s="2">
        <v>98.916799999999995</v>
      </c>
      <c r="N187" s="2">
        <v>207</v>
      </c>
      <c r="O187" s="2">
        <v>101.0241</v>
      </c>
      <c r="P187" s="2">
        <v>168</v>
      </c>
      <c r="Q187" s="2">
        <v>104.0675</v>
      </c>
      <c r="R187" s="2">
        <v>239</v>
      </c>
      <c r="S187" s="2">
        <v>103.2666</v>
      </c>
      <c r="T187" s="2">
        <v>215</v>
      </c>
      <c r="U187" s="2">
        <v>0.43721300000000002</v>
      </c>
      <c r="V187" s="2">
        <v>186</v>
      </c>
      <c r="W187" s="2">
        <v>2012</v>
      </c>
    </row>
    <row r="188" spans="1:23" ht="12.3" x14ac:dyDescent="0.4">
      <c r="A188" s="2" t="s">
        <v>114</v>
      </c>
      <c r="B188" s="2"/>
      <c r="C188" s="2"/>
      <c r="D188" s="2"/>
      <c r="E188" s="2"/>
      <c r="F188" s="2"/>
      <c r="G188" s="2"/>
      <c r="H188" s="2"/>
      <c r="I188" s="2">
        <v>67.956299999999999</v>
      </c>
      <c r="J188" s="2">
        <v>82</v>
      </c>
      <c r="K188" s="2">
        <v>68.872399999999999</v>
      </c>
      <c r="L188" s="2">
        <v>48</v>
      </c>
      <c r="M188" s="2">
        <v>104.30459999999999</v>
      </c>
      <c r="N188" s="2">
        <v>108</v>
      </c>
      <c r="O188" s="2">
        <v>101.9072</v>
      </c>
      <c r="P188" s="2">
        <v>150</v>
      </c>
      <c r="Q188" s="2">
        <v>103.8323</v>
      </c>
      <c r="R188" s="2">
        <v>234</v>
      </c>
      <c r="S188" s="2">
        <v>104.2251</v>
      </c>
      <c r="T188" s="2">
        <v>242</v>
      </c>
      <c r="U188" s="2">
        <v>0.43569799999999997</v>
      </c>
      <c r="V188" s="2">
        <v>187</v>
      </c>
      <c r="W188" s="2">
        <v>2012</v>
      </c>
    </row>
    <row r="189" spans="1:23" ht="12.3" x14ac:dyDescent="0.4">
      <c r="A189" s="2" t="s">
        <v>320</v>
      </c>
      <c r="B189" s="2">
        <v>15</v>
      </c>
      <c r="C189" s="3" t="s">
        <v>33</v>
      </c>
      <c r="D189" s="2"/>
      <c r="E189" s="2"/>
      <c r="F189" s="2"/>
      <c r="G189" s="2"/>
      <c r="H189" s="2"/>
      <c r="I189" s="2">
        <v>68.635000000000005</v>
      </c>
      <c r="J189" s="2">
        <v>57</v>
      </c>
      <c r="K189" s="2">
        <v>67.735500000000002</v>
      </c>
      <c r="L189" s="2">
        <v>92</v>
      </c>
      <c r="M189" s="2">
        <v>100.4777</v>
      </c>
      <c r="N189" s="2">
        <v>178</v>
      </c>
      <c r="O189" s="2">
        <v>98.803200000000004</v>
      </c>
      <c r="P189" s="2">
        <v>217</v>
      </c>
      <c r="Q189" s="2">
        <v>96.478800000000007</v>
      </c>
      <c r="R189" s="2">
        <v>70</v>
      </c>
      <c r="S189" s="2">
        <v>101.0852</v>
      </c>
      <c r="T189" s="2">
        <v>163</v>
      </c>
      <c r="U189" s="2">
        <v>0.434728</v>
      </c>
      <c r="V189" s="2">
        <v>188</v>
      </c>
      <c r="W189" s="2">
        <v>2012</v>
      </c>
    </row>
    <row r="190" spans="1:23" ht="12.3" x14ac:dyDescent="0.4">
      <c r="A190" s="2" t="s">
        <v>308</v>
      </c>
      <c r="B190" s="2"/>
      <c r="C190" s="2"/>
      <c r="D190" s="2"/>
      <c r="E190" s="2"/>
      <c r="F190" s="2"/>
      <c r="G190" s="2"/>
      <c r="H190" s="2"/>
      <c r="I190" s="2">
        <v>64.438199999999995</v>
      </c>
      <c r="J190" s="2">
        <v>257</v>
      </c>
      <c r="K190" s="2">
        <v>64.705500000000001</v>
      </c>
      <c r="L190" s="2">
        <v>250</v>
      </c>
      <c r="M190" s="2">
        <v>96.584299999999999</v>
      </c>
      <c r="N190" s="2">
        <v>257</v>
      </c>
      <c r="O190" s="2">
        <v>98.944199999999995</v>
      </c>
      <c r="P190" s="2">
        <v>214</v>
      </c>
      <c r="Q190" s="2">
        <v>100.49850000000001</v>
      </c>
      <c r="R190" s="2">
        <v>163</v>
      </c>
      <c r="S190" s="2">
        <v>101.31180000000001</v>
      </c>
      <c r="T190" s="2">
        <v>172</v>
      </c>
      <c r="U190" s="2">
        <v>0.43243199999999998</v>
      </c>
      <c r="V190" s="2">
        <v>189</v>
      </c>
      <c r="W190" s="2">
        <v>2012</v>
      </c>
    </row>
    <row r="191" spans="1:23" ht="12.3" x14ac:dyDescent="0.4">
      <c r="A191" s="2" t="s">
        <v>112</v>
      </c>
      <c r="B191" s="2"/>
      <c r="C191" s="2"/>
      <c r="D191" s="2"/>
      <c r="E191" s="2"/>
      <c r="F191" s="2"/>
      <c r="G191" s="2"/>
      <c r="H191" s="2"/>
      <c r="I191" s="2">
        <v>63.2577</v>
      </c>
      <c r="J191" s="2">
        <v>296</v>
      </c>
      <c r="K191" s="2">
        <v>62.727800000000002</v>
      </c>
      <c r="L191" s="2">
        <v>305</v>
      </c>
      <c r="M191" s="2">
        <v>100.31829999999999</v>
      </c>
      <c r="N191" s="2">
        <v>179</v>
      </c>
      <c r="O191" s="2">
        <v>98.691500000000005</v>
      </c>
      <c r="P191" s="2">
        <v>222</v>
      </c>
      <c r="Q191" s="2">
        <v>102.7261</v>
      </c>
      <c r="R191" s="2">
        <v>213</v>
      </c>
      <c r="S191" s="2">
        <v>101.2162</v>
      </c>
      <c r="T191" s="2">
        <v>169</v>
      </c>
      <c r="U191" s="2">
        <v>0.42788399999999999</v>
      </c>
      <c r="V191" s="2">
        <v>190</v>
      </c>
      <c r="W191" s="2">
        <v>2012</v>
      </c>
    </row>
    <row r="192" spans="1:23" ht="12.3" x14ac:dyDescent="0.4">
      <c r="A192" s="2" t="s">
        <v>339</v>
      </c>
      <c r="B192" s="2"/>
      <c r="C192" s="2"/>
      <c r="D192" s="2"/>
      <c r="E192" s="2"/>
      <c r="F192" s="2"/>
      <c r="G192" s="2"/>
      <c r="H192" s="2"/>
      <c r="I192" s="2">
        <v>65.471000000000004</v>
      </c>
      <c r="J192" s="2">
        <v>207</v>
      </c>
      <c r="K192" s="2">
        <v>65.325599999999994</v>
      </c>
      <c r="L192" s="2">
        <v>207</v>
      </c>
      <c r="M192" s="2">
        <v>109.38120000000001</v>
      </c>
      <c r="N192" s="2">
        <v>33</v>
      </c>
      <c r="O192" s="2">
        <v>106.98399999999999</v>
      </c>
      <c r="P192" s="2">
        <v>66</v>
      </c>
      <c r="Q192" s="2">
        <v>104.4183</v>
      </c>
      <c r="R192" s="2">
        <v>249</v>
      </c>
      <c r="S192" s="2">
        <v>109.7741</v>
      </c>
      <c r="T192" s="2">
        <v>317</v>
      </c>
      <c r="U192" s="2">
        <v>0.42651899999999998</v>
      </c>
      <c r="V192" s="2">
        <v>191</v>
      </c>
      <c r="W192" s="2">
        <v>2012</v>
      </c>
    </row>
    <row r="193" spans="1:23" ht="12.3" x14ac:dyDescent="0.4">
      <c r="A193" s="2" t="s">
        <v>68</v>
      </c>
      <c r="B193" s="2">
        <v>16</v>
      </c>
      <c r="C193" s="2"/>
      <c r="D193" s="2"/>
      <c r="E193" s="2"/>
      <c r="F193" s="2"/>
      <c r="G193" s="2"/>
      <c r="H193" s="2"/>
      <c r="I193" s="2">
        <v>68.222099999999998</v>
      </c>
      <c r="J193" s="2">
        <v>77</v>
      </c>
      <c r="K193" s="2">
        <v>68.706400000000002</v>
      </c>
      <c r="L193" s="2">
        <v>53</v>
      </c>
      <c r="M193" s="2">
        <v>94.913600000000002</v>
      </c>
      <c r="N193" s="2">
        <v>282</v>
      </c>
      <c r="O193" s="2">
        <v>97.150300000000001</v>
      </c>
      <c r="P193" s="2">
        <v>247</v>
      </c>
      <c r="Q193" s="2">
        <v>99.162599999999998</v>
      </c>
      <c r="R193" s="2">
        <v>131</v>
      </c>
      <c r="S193" s="2">
        <v>99.748400000000004</v>
      </c>
      <c r="T193" s="2">
        <v>139</v>
      </c>
      <c r="U193" s="2">
        <v>0.42469899999999999</v>
      </c>
      <c r="V193" s="2">
        <v>192</v>
      </c>
      <c r="W193" s="2">
        <v>2012</v>
      </c>
    </row>
    <row r="194" spans="1:23" ht="12.3" x14ac:dyDescent="0.4">
      <c r="A194" s="2" t="s">
        <v>279</v>
      </c>
      <c r="B194" s="2"/>
      <c r="C194" s="2"/>
      <c r="D194" s="2"/>
      <c r="E194" s="2"/>
      <c r="F194" s="2"/>
      <c r="G194" s="2"/>
      <c r="H194" s="2"/>
      <c r="I194" s="2">
        <v>62.109699999999997</v>
      </c>
      <c r="J194" s="2">
        <v>321</v>
      </c>
      <c r="K194" s="2">
        <v>61.799500000000002</v>
      </c>
      <c r="L194" s="2">
        <v>323</v>
      </c>
      <c r="M194" s="2">
        <v>101.66930000000001</v>
      </c>
      <c r="N194" s="2">
        <v>164</v>
      </c>
      <c r="O194" s="2">
        <v>99.727900000000005</v>
      </c>
      <c r="P194" s="2">
        <v>198</v>
      </c>
      <c r="Q194" s="2">
        <v>100.6583</v>
      </c>
      <c r="R194" s="2">
        <v>166</v>
      </c>
      <c r="S194" s="2">
        <v>102.44450000000001</v>
      </c>
      <c r="T194" s="2">
        <v>196</v>
      </c>
      <c r="U194" s="2">
        <v>0.42334100000000002</v>
      </c>
      <c r="V194" s="2">
        <v>193</v>
      </c>
      <c r="W194" s="2">
        <v>2012</v>
      </c>
    </row>
    <row r="195" spans="1:23" ht="12.3" x14ac:dyDescent="0.4">
      <c r="A195" s="2" t="s">
        <v>130</v>
      </c>
      <c r="B195" s="2"/>
      <c r="C195" s="2"/>
      <c r="D195" s="2"/>
      <c r="E195" s="2"/>
      <c r="F195" s="2"/>
      <c r="G195" s="2"/>
      <c r="H195" s="2"/>
      <c r="I195" s="2">
        <v>67.744600000000005</v>
      </c>
      <c r="J195" s="2">
        <v>95</v>
      </c>
      <c r="K195" s="2">
        <v>67.295299999999997</v>
      </c>
      <c r="L195" s="2">
        <v>111</v>
      </c>
      <c r="M195" s="2">
        <v>103.3759</v>
      </c>
      <c r="N195" s="2">
        <v>121</v>
      </c>
      <c r="O195" s="2">
        <v>103.3022</v>
      </c>
      <c r="P195" s="2">
        <v>126</v>
      </c>
      <c r="Q195" s="2">
        <v>104.2546</v>
      </c>
      <c r="R195" s="2">
        <v>243</v>
      </c>
      <c r="S195" s="2">
        <v>106.1367</v>
      </c>
      <c r="T195" s="2">
        <v>271</v>
      </c>
      <c r="U195" s="2">
        <v>0.42280000000000001</v>
      </c>
      <c r="V195" s="2">
        <v>194</v>
      </c>
      <c r="W195" s="2">
        <v>2012</v>
      </c>
    </row>
    <row r="196" spans="1:23" ht="12.3" x14ac:dyDescent="0.4">
      <c r="A196" s="2" t="s">
        <v>199</v>
      </c>
      <c r="B196" s="2"/>
      <c r="C196" s="2"/>
      <c r="D196" s="2"/>
      <c r="E196" s="2"/>
      <c r="F196" s="2"/>
      <c r="G196" s="2"/>
      <c r="H196" s="2"/>
      <c r="I196" s="2">
        <v>66.127499999999998</v>
      </c>
      <c r="J196" s="2">
        <v>176</v>
      </c>
      <c r="K196" s="2">
        <v>66.003200000000007</v>
      </c>
      <c r="L196" s="2">
        <v>168</v>
      </c>
      <c r="M196" s="2">
        <v>106.6712</v>
      </c>
      <c r="N196" s="2">
        <v>66</v>
      </c>
      <c r="O196" s="2">
        <v>105.7441</v>
      </c>
      <c r="P196" s="2">
        <v>83</v>
      </c>
      <c r="Q196" s="2">
        <v>109.83880000000001</v>
      </c>
      <c r="R196" s="2">
        <v>322</v>
      </c>
      <c r="S196" s="2">
        <v>108.6519</v>
      </c>
      <c r="T196" s="2">
        <v>305</v>
      </c>
      <c r="U196" s="2">
        <v>0.42263499999999998</v>
      </c>
      <c r="V196" s="2">
        <v>195</v>
      </c>
      <c r="W196" s="2">
        <v>2012</v>
      </c>
    </row>
    <row r="197" spans="1:23" ht="12.3" x14ac:dyDescent="0.4">
      <c r="A197" s="2" t="s">
        <v>275</v>
      </c>
      <c r="B197" s="2"/>
      <c r="C197" s="2"/>
      <c r="D197" s="2"/>
      <c r="E197" s="2"/>
      <c r="F197" s="2"/>
      <c r="G197" s="2"/>
      <c r="H197" s="2"/>
      <c r="I197" s="2">
        <v>64.275099999999995</v>
      </c>
      <c r="J197" s="2">
        <v>266</v>
      </c>
      <c r="K197" s="2">
        <v>64.265799999999999</v>
      </c>
      <c r="L197" s="2">
        <v>259</v>
      </c>
      <c r="M197" s="2">
        <v>98.471400000000003</v>
      </c>
      <c r="N197" s="2">
        <v>219</v>
      </c>
      <c r="O197" s="2">
        <v>98.002399999999994</v>
      </c>
      <c r="P197" s="2">
        <v>234</v>
      </c>
      <c r="Q197" s="2">
        <v>97.627099999999999</v>
      </c>
      <c r="R197" s="2">
        <v>91</v>
      </c>
      <c r="S197" s="2">
        <v>100.8631</v>
      </c>
      <c r="T197" s="2">
        <v>158</v>
      </c>
      <c r="U197" s="2">
        <v>0.41802699999999998</v>
      </c>
      <c r="V197" s="2">
        <v>196</v>
      </c>
      <c r="W197" s="2">
        <v>2012</v>
      </c>
    </row>
    <row r="198" spans="1:23" ht="12.3" x14ac:dyDescent="0.4">
      <c r="A198" s="2" t="s">
        <v>172</v>
      </c>
      <c r="B198" s="2"/>
      <c r="C198" s="2"/>
      <c r="D198" s="2"/>
      <c r="E198" s="2"/>
      <c r="F198" s="2"/>
      <c r="G198" s="2"/>
      <c r="H198" s="2"/>
      <c r="I198" s="2">
        <v>63.831099999999999</v>
      </c>
      <c r="J198" s="2">
        <v>276</v>
      </c>
      <c r="K198" s="2">
        <v>62.644100000000002</v>
      </c>
      <c r="L198" s="2">
        <v>308</v>
      </c>
      <c r="M198" s="2">
        <v>98.393699999999995</v>
      </c>
      <c r="N198" s="2">
        <v>221</v>
      </c>
      <c r="O198" s="2">
        <v>102.18689999999999</v>
      </c>
      <c r="P198" s="2">
        <v>145</v>
      </c>
      <c r="Q198" s="2">
        <v>102.77079999999999</v>
      </c>
      <c r="R198" s="2">
        <v>214</v>
      </c>
      <c r="S198" s="2">
        <v>105.2161</v>
      </c>
      <c r="T198" s="2">
        <v>259</v>
      </c>
      <c r="U198" s="2">
        <v>0.41679300000000002</v>
      </c>
      <c r="V198" s="2">
        <v>197</v>
      </c>
      <c r="W198" s="2">
        <v>2012</v>
      </c>
    </row>
    <row r="199" spans="1:23" ht="12.3" x14ac:dyDescent="0.4">
      <c r="A199" s="2" t="s">
        <v>186</v>
      </c>
      <c r="B199" s="2"/>
      <c r="C199" s="2"/>
      <c r="D199" s="2"/>
      <c r="E199" s="2"/>
      <c r="F199" s="2"/>
      <c r="G199" s="2"/>
      <c r="H199" s="2"/>
      <c r="I199" s="2">
        <v>66.156999999999996</v>
      </c>
      <c r="J199" s="2">
        <v>175</v>
      </c>
      <c r="K199" s="2">
        <v>66.564700000000002</v>
      </c>
      <c r="L199" s="2">
        <v>141</v>
      </c>
      <c r="M199" s="2">
        <v>102.752</v>
      </c>
      <c r="N199" s="2">
        <v>139</v>
      </c>
      <c r="O199" s="2">
        <v>101.98180000000001</v>
      </c>
      <c r="P199" s="2">
        <v>149</v>
      </c>
      <c r="Q199" s="2">
        <v>101.7794</v>
      </c>
      <c r="R199" s="2">
        <v>190</v>
      </c>
      <c r="S199" s="2">
        <v>105.01649999999999</v>
      </c>
      <c r="T199" s="2">
        <v>256</v>
      </c>
      <c r="U199" s="2">
        <v>0.41648600000000002</v>
      </c>
      <c r="V199" s="2">
        <v>198</v>
      </c>
      <c r="W199" s="2">
        <v>2012</v>
      </c>
    </row>
    <row r="200" spans="1:23" ht="12.3" x14ac:dyDescent="0.4">
      <c r="A200" s="2" t="s">
        <v>107</v>
      </c>
      <c r="B200" s="2"/>
      <c r="C200" s="2"/>
      <c r="D200" s="2"/>
      <c r="E200" s="2"/>
      <c r="F200" s="2"/>
      <c r="G200" s="2"/>
      <c r="H200" s="2"/>
      <c r="I200" s="2">
        <v>66.384200000000007</v>
      </c>
      <c r="J200" s="2">
        <v>163</v>
      </c>
      <c r="K200" s="2">
        <v>64.853099999999998</v>
      </c>
      <c r="L200" s="2">
        <v>235</v>
      </c>
      <c r="M200" s="2">
        <v>98.739599999999996</v>
      </c>
      <c r="N200" s="2">
        <v>212</v>
      </c>
      <c r="O200" s="2">
        <v>100.92440000000001</v>
      </c>
      <c r="P200" s="2">
        <v>170</v>
      </c>
      <c r="Q200" s="2">
        <v>101.78060000000001</v>
      </c>
      <c r="R200" s="2">
        <v>191</v>
      </c>
      <c r="S200" s="2">
        <v>104.08029999999999</v>
      </c>
      <c r="T200" s="2">
        <v>236</v>
      </c>
      <c r="U200" s="2">
        <v>0.41238999999999998</v>
      </c>
      <c r="V200" s="2">
        <v>199</v>
      </c>
      <c r="W200" s="2">
        <v>2012</v>
      </c>
    </row>
    <row r="201" spans="1:23" ht="12.3" x14ac:dyDescent="0.4">
      <c r="A201" s="2" t="s">
        <v>333</v>
      </c>
      <c r="B201" s="2"/>
      <c r="C201" s="2"/>
      <c r="D201" s="2"/>
      <c r="E201" s="2"/>
      <c r="F201" s="2"/>
      <c r="G201" s="2"/>
      <c r="H201" s="2"/>
      <c r="I201" s="2">
        <v>67.186599999999999</v>
      </c>
      <c r="J201" s="2">
        <v>120</v>
      </c>
      <c r="K201" s="2">
        <v>68.462800000000001</v>
      </c>
      <c r="L201" s="2">
        <v>63</v>
      </c>
      <c r="M201" s="2">
        <v>94.809799999999996</v>
      </c>
      <c r="N201" s="2">
        <v>284</v>
      </c>
      <c r="O201" s="2">
        <v>96.64</v>
      </c>
      <c r="P201" s="2">
        <v>259</v>
      </c>
      <c r="Q201" s="2">
        <v>99.748199999999997</v>
      </c>
      <c r="R201" s="2">
        <v>147</v>
      </c>
      <c r="S201" s="2">
        <v>99.740600000000001</v>
      </c>
      <c r="T201" s="2">
        <v>138</v>
      </c>
      <c r="U201" s="2">
        <v>0.410192</v>
      </c>
      <c r="V201" s="2">
        <v>200</v>
      </c>
      <c r="W201" s="2">
        <v>2012</v>
      </c>
    </row>
    <row r="202" spans="1:23" ht="12.3" x14ac:dyDescent="0.4">
      <c r="A202" s="2" t="s">
        <v>277</v>
      </c>
      <c r="B202" s="2"/>
      <c r="C202" s="2"/>
      <c r="D202" s="2"/>
      <c r="E202" s="2"/>
      <c r="F202" s="2"/>
      <c r="G202" s="2"/>
      <c r="H202" s="2"/>
      <c r="I202" s="2">
        <v>70.275199999999998</v>
      </c>
      <c r="J202" s="2">
        <v>29</v>
      </c>
      <c r="K202" s="2">
        <v>69.218599999999995</v>
      </c>
      <c r="L202" s="2">
        <v>41</v>
      </c>
      <c r="M202" s="2">
        <v>98.442300000000003</v>
      </c>
      <c r="N202" s="2">
        <v>220</v>
      </c>
      <c r="O202" s="2">
        <v>96.089500000000001</v>
      </c>
      <c r="P202" s="2">
        <v>273</v>
      </c>
      <c r="Q202" s="2">
        <v>97.288600000000002</v>
      </c>
      <c r="R202" s="2">
        <v>83</v>
      </c>
      <c r="S202" s="2">
        <v>99.244100000000003</v>
      </c>
      <c r="T202" s="2">
        <v>131</v>
      </c>
      <c r="U202" s="2">
        <v>0.40818399999999999</v>
      </c>
      <c r="V202" s="2">
        <v>201</v>
      </c>
      <c r="W202" s="2">
        <v>2012</v>
      </c>
    </row>
    <row r="203" spans="1:23" ht="12.3" x14ac:dyDescent="0.4">
      <c r="A203" s="2" t="s">
        <v>167</v>
      </c>
      <c r="B203" s="2"/>
      <c r="C203" s="2"/>
      <c r="D203" s="2"/>
      <c r="E203" s="2"/>
      <c r="F203" s="2"/>
      <c r="G203" s="2"/>
      <c r="H203" s="2"/>
      <c r="I203" s="2">
        <v>60.813899999999997</v>
      </c>
      <c r="J203" s="2">
        <v>335</v>
      </c>
      <c r="K203" s="2">
        <v>60.600999999999999</v>
      </c>
      <c r="L203" s="2">
        <v>337</v>
      </c>
      <c r="M203" s="2">
        <v>98.542000000000002</v>
      </c>
      <c r="N203" s="2">
        <v>215</v>
      </c>
      <c r="O203" s="2">
        <v>100.4601</v>
      </c>
      <c r="P203" s="2">
        <v>180</v>
      </c>
      <c r="Q203" s="2">
        <v>105.13120000000001</v>
      </c>
      <c r="R203" s="2">
        <v>265</v>
      </c>
      <c r="S203" s="2">
        <v>103.8087</v>
      </c>
      <c r="T203" s="2">
        <v>228</v>
      </c>
      <c r="U203" s="2">
        <v>0.40683399999999997</v>
      </c>
      <c r="V203" s="2">
        <v>202</v>
      </c>
      <c r="W203" s="2">
        <v>2012</v>
      </c>
    </row>
    <row r="204" spans="1:23" ht="12.3" x14ac:dyDescent="0.4">
      <c r="A204" s="2" t="s">
        <v>140</v>
      </c>
      <c r="B204" s="2"/>
      <c r="C204" s="2"/>
      <c r="D204" s="2"/>
      <c r="E204" s="2"/>
      <c r="F204" s="2"/>
      <c r="G204" s="2"/>
      <c r="H204" s="2"/>
      <c r="I204" s="2">
        <v>59.915300000000002</v>
      </c>
      <c r="J204" s="2">
        <v>341</v>
      </c>
      <c r="K204" s="2">
        <v>60.7029</v>
      </c>
      <c r="L204" s="2">
        <v>336</v>
      </c>
      <c r="M204" s="2">
        <v>95.691199999999995</v>
      </c>
      <c r="N204" s="2">
        <v>274</v>
      </c>
      <c r="O204" s="2">
        <v>95.456400000000002</v>
      </c>
      <c r="P204" s="2">
        <v>282</v>
      </c>
      <c r="Q204" s="2">
        <v>100.32129999999999</v>
      </c>
      <c r="R204" s="2">
        <v>159</v>
      </c>
      <c r="S204" s="2">
        <v>98.660799999999995</v>
      </c>
      <c r="T204" s="2">
        <v>120</v>
      </c>
      <c r="U204" s="2">
        <v>0.406196</v>
      </c>
      <c r="V204" s="2">
        <v>203</v>
      </c>
      <c r="W204" s="2">
        <v>2012</v>
      </c>
    </row>
    <row r="205" spans="1:23" ht="12.3" x14ac:dyDescent="0.4">
      <c r="A205" s="2" t="s">
        <v>269</v>
      </c>
      <c r="B205" s="2"/>
      <c r="C205" s="2"/>
      <c r="D205" s="2"/>
      <c r="E205" s="2"/>
      <c r="F205" s="2"/>
      <c r="G205" s="2"/>
      <c r="H205" s="2"/>
      <c r="I205" s="2">
        <v>68.122200000000007</v>
      </c>
      <c r="J205" s="2">
        <v>78</v>
      </c>
      <c r="K205" s="2">
        <v>66.936300000000003</v>
      </c>
      <c r="L205" s="2">
        <v>127</v>
      </c>
      <c r="M205" s="2">
        <v>109.1022</v>
      </c>
      <c r="N205" s="2">
        <v>37</v>
      </c>
      <c r="O205" s="2">
        <v>106.0436</v>
      </c>
      <c r="P205" s="2">
        <v>80</v>
      </c>
      <c r="Q205" s="2">
        <v>108.9726</v>
      </c>
      <c r="R205" s="2">
        <v>314</v>
      </c>
      <c r="S205" s="2">
        <v>109.6759</v>
      </c>
      <c r="T205" s="2">
        <v>316</v>
      </c>
      <c r="U205" s="2">
        <v>0.40436499999999997</v>
      </c>
      <c r="V205" s="2">
        <v>204</v>
      </c>
      <c r="W205" s="2">
        <v>2012</v>
      </c>
    </row>
    <row r="206" spans="1:23" ht="12.3" x14ac:dyDescent="0.4">
      <c r="A206" s="2" t="s">
        <v>227</v>
      </c>
      <c r="B206" s="2"/>
      <c r="C206" s="2"/>
      <c r="D206" s="2"/>
      <c r="E206" s="2"/>
      <c r="F206" s="2"/>
      <c r="G206" s="2"/>
      <c r="H206" s="2"/>
      <c r="I206" s="2">
        <v>68.523200000000003</v>
      </c>
      <c r="J206" s="2">
        <v>63</v>
      </c>
      <c r="K206" s="2">
        <v>68.554699999999997</v>
      </c>
      <c r="L206" s="2">
        <v>58</v>
      </c>
      <c r="M206" s="2">
        <v>100.1754</v>
      </c>
      <c r="N206" s="2">
        <v>184</v>
      </c>
      <c r="O206" s="2">
        <v>100.4148</v>
      </c>
      <c r="P206" s="2">
        <v>181</v>
      </c>
      <c r="Q206" s="2">
        <v>105.90989999999999</v>
      </c>
      <c r="R206" s="2">
        <v>281</v>
      </c>
      <c r="S206" s="2">
        <v>103.9804</v>
      </c>
      <c r="T206" s="2">
        <v>234</v>
      </c>
      <c r="U206" s="2">
        <v>0.40100799999999998</v>
      </c>
      <c r="V206" s="2">
        <v>205</v>
      </c>
      <c r="W206" s="2">
        <v>2012</v>
      </c>
    </row>
    <row r="207" spans="1:23" ht="12.3" x14ac:dyDescent="0.4">
      <c r="A207" s="2" t="s">
        <v>334</v>
      </c>
      <c r="B207" s="2"/>
      <c r="C207" s="2"/>
      <c r="D207" s="2"/>
      <c r="E207" s="2"/>
      <c r="F207" s="2"/>
      <c r="G207" s="2"/>
      <c r="H207" s="2"/>
      <c r="I207" s="2">
        <v>65.753699999999995</v>
      </c>
      <c r="J207" s="2">
        <v>197</v>
      </c>
      <c r="K207" s="2">
        <v>64.749399999999994</v>
      </c>
      <c r="L207" s="2">
        <v>243</v>
      </c>
      <c r="M207" s="2">
        <v>104.6977</v>
      </c>
      <c r="N207" s="2">
        <v>102</v>
      </c>
      <c r="O207" s="2">
        <v>100.3472</v>
      </c>
      <c r="P207" s="2">
        <v>182</v>
      </c>
      <c r="Q207" s="2">
        <v>101.86369999999999</v>
      </c>
      <c r="R207" s="2">
        <v>192</v>
      </c>
      <c r="S207" s="2">
        <v>103.92610000000001</v>
      </c>
      <c r="T207" s="2">
        <v>232</v>
      </c>
      <c r="U207" s="2">
        <v>0.400592</v>
      </c>
      <c r="V207" s="2">
        <v>206</v>
      </c>
      <c r="W207" s="2">
        <v>2012</v>
      </c>
    </row>
    <row r="208" spans="1:23" ht="12.3" x14ac:dyDescent="0.4">
      <c r="A208" s="2" t="s">
        <v>371</v>
      </c>
      <c r="B208" s="2"/>
      <c r="C208" s="2"/>
      <c r="D208" s="2"/>
      <c r="E208" s="2"/>
      <c r="F208" s="2"/>
      <c r="G208" s="2"/>
      <c r="H208" s="2"/>
      <c r="I208" s="2">
        <v>66.855800000000002</v>
      </c>
      <c r="J208" s="2">
        <v>139</v>
      </c>
      <c r="K208" s="2">
        <v>65.943299999999994</v>
      </c>
      <c r="L208" s="2">
        <v>175</v>
      </c>
      <c r="M208" s="2">
        <v>98.257199999999997</v>
      </c>
      <c r="N208" s="2">
        <v>225</v>
      </c>
      <c r="O208" s="2">
        <v>96.217200000000005</v>
      </c>
      <c r="P208" s="2">
        <v>268</v>
      </c>
      <c r="Q208" s="2">
        <v>96.866</v>
      </c>
      <c r="R208" s="2">
        <v>77</v>
      </c>
      <c r="S208" s="2">
        <v>99.692599999999999</v>
      </c>
      <c r="T208" s="2">
        <v>137</v>
      </c>
      <c r="U208" s="2">
        <v>0.39938000000000001</v>
      </c>
      <c r="V208" s="2">
        <v>207</v>
      </c>
      <c r="W208" s="2">
        <v>2012</v>
      </c>
    </row>
    <row r="209" spans="1:23" ht="12.3" x14ac:dyDescent="0.4">
      <c r="A209" s="2" t="s">
        <v>337</v>
      </c>
      <c r="B209" s="2"/>
      <c r="C209" s="2"/>
      <c r="D209" s="2"/>
      <c r="E209" s="2"/>
      <c r="F209" s="2"/>
      <c r="G209" s="2"/>
      <c r="H209" s="2"/>
      <c r="I209" s="2">
        <v>70.694900000000004</v>
      </c>
      <c r="J209" s="2">
        <v>23</v>
      </c>
      <c r="K209" s="2">
        <v>69.3536</v>
      </c>
      <c r="L209" s="2">
        <v>38</v>
      </c>
      <c r="M209" s="2">
        <v>99.348100000000002</v>
      </c>
      <c r="N209" s="2">
        <v>201</v>
      </c>
      <c r="O209" s="2">
        <v>99.031099999999995</v>
      </c>
      <c r="P209" s="2">
        <v>212</v>
      </c>
      <c r="Q209" s="2">
        <v>104.5074</v>
      </c>
      <c r="R209" s="2">
        <v>252</v>
      </c>
      <c r="S209" s="2">
        <v>102.66930000000001</v>
      </c>
      <c r="T209" s="2">
        <v>199</v>
      </c>
      <c r="U209" s="2">
        <v>0.39773599999999998</v>
      </c>
      <c r="V209" s="2">
        <v>208</v>
      </c>
      <c r="W209" s="2">
        <v>2012</v>
      </c>
    </row>
    <row r="210" spans="1:23" ht="12.3" x14ac:dyDescent="0.4">
      <c r="A210" s="2" t="s">
        <v>101</v>
      </c>
      <c r="B210" s="2"/>
      <c r="C210" s="2"/>
      <c r="D210" s="2"/>
      <c r="E210" s="2"/>
      <c r="F210" s="2"/>
      <c r="G210" s="2"/>
      <c r="H210" s="2"/>
      <c r="I210" s="2">
        <v>62.851700000000001</v>
      </c>
      <c r="J210" s="2">
        <v>310</v>
      </c>
      <c r="K210" s="2">
        <v>63.198300000000003</v>
      </c>
      <c r="L210" s="2">
        <v>296</v>
      </c>
      <c r="M210" s="2">
        <v>100.11279999999999</v>
      </c>
      <c r="N210" s="2">
        <v>186</v>
      </c>
      <c r="O210" s="2">
        <v>97.971900000000005</v>
      </c>
      <c r="P210" s="2">
        <v>235</v>
      </c>
      <c r="Q210" s="2">
        <v>98.079499999999996</v>
      </c>
      <c r="R210" s="2">
        <v>101</v>
      </c>
      <c r="S210" s="2">
        <v>101.6474</v>
      </c>
      <c r="T210" s="2">
        <v>178</v>
      </c>
      <c r="U210" s="2">
        <v>0.39567200000000002</v>
      </c>
      <c r="V210" s="2">
        <v>209</v>
      </c>
      <c r="W210" s="2">
        <v>2012</v>
      </c>
    </row>
    <row r="211" spans="1:23" ht="12.3" x14ac:dyDescent="0.4">
      <c r="A211" s="2" t="s">
        <v>156</v>
      </c>
      <c r="B211" s="2"/>
      <c r="C211" s="2"/>
      <c r="D211" s="2"/>
      <c r="E211" s="2"/>
      <c r="F211" s="2"/>
      <c r="G211" s="2"/>
      <c r="H211" s="2"/>
      <c r="I211" s="2">
        <v>69.025499999999994</v>
      </c>
      <c r="J211" s="2">
        <v>47</v>
      </c>
      <c r="K211" s="2">
        <v>67.772999999999996</v>
      </c>
      <c r="L211" s="2">
        <v>90</v>
      </c>
      <c r="M211" s="2">
        <v>100.2265</v>
      </c>
      <c r="N211" s="2">
        <v>182</v>
      </c>
      <c r="O211" s="2">
        <v>97.964699999999993</v>
      </c>
      <c r="P211" s="2">
        <v>236</v>
      </c>
      <c r="Q211" s="2">
        <v>100.1944</v>
      </c>
      <c r="R211" s="2">
        <v>154</v>
      </c>
      <c r="S211" s="2">
        <v>101.71939999999999</v>
      </c>
      <c r="T211" s="2">
        <v>182</v>
      </c>
      <c r="U211" s="2">
        <v>0.39352399999999998</v>
      </c>
      <c r="V211" s="2">
        <v>210</v>
      </c>
      <c r="W211" s="2">
        <v>2012</v>
      </c>
    </row>
    <row r="212" spans="1:23" ht="12.3" x14ac:dyDescent="0.4">
      <c r="A212" s="2" t="s">
        <v>66</v>
      </c>
      <c r="B212" s="2"/>
      <c r="C212" s="2"/>
      <c r="D212" s="2"/>
      <c r="E212" s="2"/>
      <c r="F212" s="2"/>
      <c r="G212" s="2"/>
      <c r="H212" s="2"/>
      <c r="I212" s="2">
        <v>70.6905</v>
      </c>
      <c r="J212" s="2">
        <v>24</v>
      </c>
      <c r="K212" s="2">
        <v>71.218599999999995</v>
      </c>
      <c r="L212" s="2">
        <v>16</v>
      </c>
      <c r="M212" s="2">
        <v>102.2495</v>
      </c>
      <c r="N212" s="2">
        <v>147</v>
      </c>
      <c r="O212" s="2">
        <v>101.5693</v>
      </c>
      <c r="P212" s="2">
        <v>155</v>
      </c>
      <c r="Q212" s="2">
        <v>105.29040000000001</v>
      </c>
      <c r="R212" s="2">
        <v>270</v>
      </c>
      <c r="S212" s="2">
        <v>105.54819999999999</v>
      </c>
      <c r="T212" s="2">
        <v>264</v>
      </c>
      <c r="U212" s="2">
        <v>0.39129000000000003</v>
      </c>
      <c r="V212" s="2">
        <v>211</v>
      </c>
      <c r="W212" s="2">
        <v>2012</v>
      </c>
    </row>
    <row r="213" spans="1:23" ht="12.3" x14ac:dyDescent="0.4">
      <c r="A213" s="2" t="s">
        <v>287</v>
      </c>
      <c r="B213" s="2"/>
      <c r="C213" s="2"/>
      <c r="D213" s="2"/>
      <c r="E213" s="2"/>
      <c r="F213" s="2"/>
      <c r="G213" s="2"/>
      <c r="H213" s="2"/>
      <c r="I213" s="2">
        <v>65.7059</v>
      </c>
      <c r="J213" s="2">
        <v>199</v>
      </c>
      <c r="K213" s="2">
        <v>65.960899999999995</v>
      </c>
      <c r="L213" s="2">
        <v>172</v>
      </c>
      <c r="M213" s="2">
        <v>99.400400000000005</v>
      </c>
      <c r="N213" s="2">
        <v>200</v>
      </c>
      <c r="O213" s="2">
        <v>99.481399999999994</v>
      </c>
      <c r="P213" s="2">
        <v>206</v>
      </c>
      <c r="Q213" s="2">
        <v>101.3939</v>
      </c>
      <c r="R213" s="2">
        <v>183</v>
      </c>
      <c r="S213" s="2">
        <v>103.464</v>
      </c>
      <c r="T213" s="2">
        <v>221</v>
      </c>
      <c r="U213" s="2">
        <v>0.38902599999999998</v>
      </c>
      <c r="V213" s="2">
        <v>212</v>
      </c>
      <c r="W213" s="2">
        <v>2012</v>
      </c>
    </row>
    <row r="214" spans="1:23" ht="12.3" x14ac:dyDescent="0.4">
      <c r="A214" s="2" t="s">
        <v>133</v>
      </c>
      <c r="B214" s="2"/>
      <c r="C214" s="2"/>
      <c r="D214" s="2"/>
      <c r="E214" s="2"/>
      <c r="F214" s="2"/>
      <c r="G214" s="2"/>
      <c r="H214" s="2"/>
      <c r="I214" s="2">
        <v>66.92</v>
      </c>
      <c r="J214" s="2">
        <v>135</v>
      </c>
      <c r="K214" s="2">
        <v>66.230900000000005</v>
      </c>
      <c r="L214" s="2">
        <v>154</v>
      </c>
      <c r="M214" s="2">
        <v>99.114999999999995</v>
      </c>
      <c r="N214" s="2">
        <v>204</v>
      </c>
      <c r="O214" s="2">
        <v>100.0391</v>
      </c>
      <c r="P214" s="2">
        <v>191</v>
      </c>
      <c r="Q214" s="2">
        <v>105.53449999999999</v>
      </c>
      <c r="R214" s="2">
        <v>275</v>
      </c>
      <c r="S214" s="2">
        <v>104.06789999999999</v>
      </c>
      <c r="T214" s="2">
        <v>235</v>
      </c>
      <c r="U214" s="2">
        <v>0.38839800000000002</v>
      </c>
      <c r="V214" s="2">
        <v>213</v>
      </c>
      <c r="W214" s="2">
        <v>2012</v>
      </c>
    </row>
    <row r="215" spans="1:23" ht="12.3" x14ac:dyDescent="0.4">
      <c r="A215" s="2" t="s">
        <v>161</v>
      </c>
      <c r="B215" s="2"/>
      <c r="C215" s="2"/>
      <c r="D215" s="2"/>
      <c r="E215" s="2"/>
      <c r="F215" s="2"/>
      <c r="G215" s="2"/>
      <c r="H215" s="2"/>
      <c r="I215" s="2">
        <v>64.390500000000003</v>
      </c>
      <c r="J215" s="2">
        <v>261</v>
      </c>
      <c r="K215" s="2">
        <v>65.412400000000005</v>
      </c>
      <c r="L215" s="2">
        <v>203</v>
      </c>
      <c r="M215" s="2">
        <v>97.491100000000003</v>
      </c>
      <c r="N215" s="2">
        <v>243</v>
      </c>
      <c r="O215" s="2">
        <v>96.153999999999996</v>
      </c>
      <c r="P215" s="2">
        <v>269</v>
      </c>
      <c r="Q215" s="2">
        <v>96.048299999999998</v>
      </c>
      <c r="R215" s="2">
        <v>64</v>
      </c>
      <c r="S215" s="2">
        <v>100.04340000000001</v>
      </c>
      <c r="T215" s="2">
        <v>145</v>
      </c>
      <c r="U215" s="2">
        <v>0.387936</v>
      </c>
      <c r="V215" s="2">
        <v>214</v>
      </c>
      <c r="W215" s="2">
        <v>2012</v>
      </c>
    </row>
    <row r="216" spans="1:23" ht="12.3" x14ac:dyDescent="0.4">
      <c r="A216" s="2" t="s">
        <v>182</v>
      </c>
      <c r="B216" s="2"/>
      <c r="C216" s="2"/>
      <c r="D216" s="2"/>
      <c r="E216" s="2"/>
      <c r="F216" s="2"/>
      <c r="G216" s="2"/>
      <c r="H216" s="2"/>
      <c r="I216" s="2">
        <v>68.873000000000005</v>
      </c>
      <c r="J216" s="2">
        <v>53</v>
      </c>
      <c r="K216" s="2">
        <v>68.786799999999999</v>
      </c>
      <c r="L216" s="2">
        <v>51</v>
      </c>
      <c r="M216" s="2">
        <v>102.7702</v>
      </c>
      <c r="N216" s="2">
        <v>136</v>
      </c>
      <c r="O216" s="2">
        <v>102.4462</v>
      </c>
      <c r="P216" s="2">
        <v>140</v>
      </c>
      <c r="Q216" s="2">
        <v>107.5787</v>
      </c>
      <c r="R216" s="2">
        <v>300</v>
      </c>
      <c r="S216" s="2">
        <v>106.64279999999999</v>
      </c>
      <c r="T216" s="2">
        <v>278</v>
      </c>
      <c r="U216" s="2">
        <v>0.38658500000000001</v>
      </c>
      <c r="V216" s="2">
        <v>215</v>
      </c>
      <c r="W216" s="2">
        <v>2012</v>
      </c>
    </row>
    <row r="217" spans="1:23" ht="12.3" x14ac:dyDescent="0.4">
      <c r="A217" s="2" t="s">
        <v>117</v>
      </c>
      <c r="B217" s="2"/>
      <c r="C217" s="2"/>
      <c r="D217" s="2"/>
      <c r="E217" s="2"/>
      <c r="F217" s="2"/>
      <c r="G217" s="2"/>
      <c r="H217" s="2"/>
      <c r="I217" s="2">
        <v>69.973799999999997</v>
      </c>
      <c r="J217" s="2">
        <v>32</v>
      </c>
      <c r="K217" s="2">
        <v>70.1417</v>
      </c>
      <c r="L217" s="2">
        <v>28</v>
      </c>
      <c r="M217" s="2">
        <v>94.526200000000003</v>
      </c>
      <c r="N217" s="2">
        <v>287</v>
      </c>
      <c r="O217" s="2">
        <v>91.933000000000007</v>
      </c>
      <c r="P217" s="2">
        <v>309</v>
      </c>
      <c r="Q217" s="2">
        <v>95.821100000000001</v>
      </c>
      <c r="R217" s="2">
        <v>60</v>
      </c>
      <c r="S217" s="2">
        <v>95.706199999999995</v>
      </c>
      <c r="T217" s="2">
        <v>60</v>
      </c>
      <c r="U217" s="2">
        <v>0.38637700000000003</v>
      </c>
      <c r="V217" s="2">
        <v>216</v>
      </c>
      <c r="W217" s="2">
        <v>2012</v>
      </c>
    </row>
    <row r="218" spans="1:23" ht="12.3" x14ac:dyDescent="0.4">
      <c r="A218" s="2" t="s">
        <v>187</v>
      </c>
      <c r="B218" s="2"/>
      <c r="C218" s="2"/>
      <c r="D218" s="2"/>
      <c r="E218" s="2"/>
      <c r="F218" s="2"/>
      <c r="G218" s="2"/>
      <c r="H218" s="2"/>
      <c r="I218" s="2">
        <v>69.288499999999999</v>
      </c>
      <c r="J218" s="2">
        <v>43</v>
      </c>
      <c r="K218" s="2">
        <v>68.717799999999997</v>
      </c>
      <c r="L218" s="2">
        <v>52</v>
      </c>
      <c r="M218" s="2">
        <v>102.59990000000001</v>
      </c>
      <c r="N218" s="2">
        <v>142</v>
      </c>
      <c r="O218" s="2">
        <v>99.745599999999996</v>
      </c>
      <c r="P218" s="2">
        <v>196</v>
      </c>
      <c r="Q218" s="2">
        <v>103.494</v>
      </c>
      <c r="R218" s="2">
        <v>227</v>
      </c>
      <c r="S218" s="2">
        <v>103.89830000000001</v>
      </c>
      <c r="T218" s="2">
        <v>231</v>
      </c>
      <c r="U218" s="2">
        <v>0.38483200000000001</v>
      </c>
      <c r="V218" s="2">
        <v>217</v>
      </c>
      <c r="W218" s="2">
        <v>2012</v>
      </c>
    </row>
    <row r="219" spans="1:23" ht="12.3" x14ac:dyDescent="0.4">
      <c r="A219" s="2" t="s">
        <v>258</v>
      </c>
      <c r="B219" s="2"/>
      <c r="C219" s="2"/>
      <c r="D219" s="2"/>
      <c r="E219" s="2"/>
      <c r="F219" s="2"/>
      <c r="G219" s="2"/>
      <c r="H219" s="2"/>
      <c r="I219" s="2">
        <v>68.092699999999994</v>
      </c>
      <c r="J219" s="2">
        <v>79</v>
      </c>
      <c r="K219" s="2">
        <v>67.809600000000003</v>
      </c>
      <c r="L219" s="2">
        <v>87</v>
      </c>
      <c r="M219" s="2">
        <v>98.262</v>
      </c>
      <c r="N219" s="2">
        <v>224</v>
      </c>
      <c r="O219" s="2">
        <v>100.9607</v>
      </c>
      <c r="P219" s="2">
        <v>169</v>
      </c>
      <c r="Q219" s="2">
        <v>108.639</v>
      </c>
      <c r="R219" s="2">
        <v>309</v>
      </c>
      <c r="S219" s="2">
        <v>105.18859999999999</v>
      </c>
      <c r="T219" s="2">
        <v>258</v>
      </c>
      <c r="U219" s="2">
        <v>0.38419599999999998</v>
      </c>
      <c r="V219" s="2">
        <v>218</v>
      </c>
      <c r="W219" s="2">
        <v>2012</v>
      </c>
    </row>
    <row r="220" spans="1:23" ht="12.3" x14ac:dyDescent="0.4">
      <c r="A220" s="2" t="s">
        <v>171</v>
      </c>
      <c r="B220" s="2"/>
      <c r="C220" s="2"/>
      <c r="D220" s="2"/>
      <c r="E220" s="2"/>
      <c r="F220" s="2"/>
      <c r="G220" s="2"/>
      <c r="H220" s="2"/>
      <c r="I220" s="2">
        <v>62.429400000000001</v>
      </c>
      <c r="J220" s="2">
        <v>317</v>
      </c>
      <c r="K220" s="2">
        <v>63.256900000000002</v>
      </c>
      <c r="L220" s="2">
        <v>293</v>
      </c>
      <c r="M220" s="2">
        <v>91.266800000000003</v>
      </c>
      <c r="N220" s="2">
        <v>313</v>
      </c>
      <c r="O220" s="2">
        <v>93.488799999999998</v>
      </c>
      <c r="P220" s="2">
        <v>293</v>
      </c>
      <c r="Q220" s="2">
        <v>97.879900000000006</v>
      </c>
      <c r="R220" s="2">
        <v>96</v>
      </c>
      <c r="S220" s="2">
        <v>97.546099999999996</v>
      </c>
      <c r="T220" s="2">
        <v>94</v>
      </c>
      <c r="U220" s="2">
        <v>0.38023299999999999</v>
      </c>
      <c r="V220" s="2">
        <v>219</v>
      </c>
      <c r="W220" s="2">
        <v>2012</v>
      </c>
    </row>
    <row r="221" spans="1:23" ht="12.3" x14ac:dyDescent="0.4">
      <c r="A221" s="2" t="s">
        <v>61</v>
      </c>
      <c r="B221" s="2"/>
      <c r="C221" s="2"/>
      <c r="D221" s="2"/>
      <c r="E221" s="2"/>
      <c r="F221" s="2"/>
      <c r="G221" s="2"/>
      <c r="H221" s="2"/>
      <c r="I221" s="2">
        <v>66.664900000000003</v>
      </c>
      <c r="J221" s="2">
        <v>148</v>
      </c>
      <c r="K221" s="2">
        <v>66.798699999999997</v>
      </c>
      <c r="L221" s="2">
        <v>130</v>
      </c>
      <c r="M221" s="2">
        <v>97.861199999999997</v>
      </c>
      <c r="N221" s="2">
        <v>236</v>
      </c>
      <c r="O221" s="2">
        <v>99.784000000000006</v>
      </c>
      <c r="P221" s="2">
        <v>195</v>
      </c>
      <c r="Q221" s="2">
        <v>105.7573</v>
      </c>
      <c r="R221" s="2">
        <v>279</v>
      </c>
      <c r="S221" s="2">
        <v>104.17740000000001</v>
      </c>
      <c r="T221" s="2">
        <v>239</v>
      </c>
      <c r="U221" s="2">
        <v>0.37859900000000002</v>
      </c>
      <c r="V221" s="2">
        <v>220</v>
      </c>
      <c r="W221" s="2">
        <v>2012</v>
      </c>
    </row>
    <row r="222" spans="1:23" ht="12.3" x14ac:dyDescent="0.4">
      <c r="A222" s="2" t="s">
        <v>178</v>
      </c>
      <c r="B222" s="2"/>
      <c r="C222" s="2"/>
      <c r="D222" s="2"/>
      <c r="E222" s="2"/>
      <c r="F222" s="2"/>
      <c r="G222" s="2"/>
      <c r="H222" s="2"/>
      <c r="I222" s="2">
        <v>66.194000000000003</v>
      </c>
      <c r="J222" s="2">
        <v>174</v>
      </c>
      <c r="K222" s="2">
        <v>66.247399999999999</v>
      </c>
      <c r="L222" s="2">
        <v>153</v>
      </c>
      <c r="M222" s="2">
        <v>98.502399999999994</v>
      </c>
      <c r="N222" s="2">
        <v>218</v>
      </c>
      <c r="O222" s="2">
        <v>97.046599999999998</v>
      </c>
      <c r="P222" s="2">
        <v>251</v>
      </c>
      <c r="Q222" s="2">
        <v>100.7651</v>
      </c>
      <c r="R222" s="2">
        <v>171</v>
      </c>
      <c r="S222" s="2">
        <v>101.62430000000001</v>
      </c>
      <c r="T222" s="2">
        <v>176</v>
      </c>
      <c r="U222" s="2">
        <v>0.370506</v>
      </c>
      <c r="V222" s="2">
        <v>221</v>
      </c>
      <c r="W222" s="2">
        <v>2012</v>
      </c>
    </row>
    <row r="223" spans="1:23" ht="12.3" x14ac:dyDescent="0.4">
      <c r="A223" s="2" t="s">
        <v>218</v>
      </c>
      <c r="B223" s="2"/>
      <c r="C223" s="2"/>
      <c r="D223" s="2"/>
      <c r="E223" s="2"/>
      <c r="F223" s="2"/>
      <c r="G223" s="2"/>
      <c r="H223" s="2"/>
      <c r="I223" s="2">
        <v>64.573599999999999</v>
      </c>
      <c r="J223" s="2">
        <v>247</v>
      </c>
      <c r="K223" s="2">
        <v>64.727099999999993</v>
      </c>
      <c r="L223" s="2">
        <v>247</v>
      </c>
      <c r="M223" s="2">
        <v>97.671199999999999</v>
      </c>
      <c r="N223" s="2">
        <v>239</v>
      </c>
      <c r="O223" s="2">
        <v>98.606200000000001</v>
      </c>
      <c r="P223" s="2">
        <v>226</v>
      </c>
      <c r="Q223" s="2">
        <v>102.57810000000001</v>
      </c>
      <c r="R223" s="2">
        <v>207</v>
      </c>
      <c r="S223" s="2">
        <v>103.62350000000001</v>
      </c>
      <c r="T223" s="2">
        <v>223</v>
      </c>
      <c r="U223" s="2">
        <v>0.36106500000000002</v>
      </c>
      <c r="V223" s="2">
        <v>222</v>
      </c>
      <c r="W223" s="2">
        <v>2012</v>
      </c>
    </row>
    <row r="224" spans="1:23" ht="12.3" x14ac:dyDescent="0.4">
      <c r="A224" s="2" t="s">
        <v>259</v>
      </c>
      <c r="B224" s="2"/>
      <c r="C224" s="2"/>
      <c r="D224" s="2"/>
      <c r="E224" s="2"/>
      <c r="F224" s="2"/>
      <c r="G224" s="2"/>
      <c r="H224" s="2"/>
      <c r="I224" s="2">
        <v>70.548900000000003</v>
      </c>
      <c r="J224" s="2">
        <v>26</v>
      </c>
      <c r="K224" s="2">
        <v>70.179199999999994</v>
      </c>
      <c r="L224" s="2">
        <v>27</v>
      </c>
      <c r="M224" s="2">
        <v>96.245500000000007</v>
      </c>
      <c r="N224" s="2">
        <v>263</v>
      </c>
      <c r="O224" s="2">
        <v>94.958500000000001</v>
      </c>
      <c r="P224" s="2">
        <v>283</v>
      </c>
      <c r="Q224" s="2">
        <v>99.460899999999995</v>
      </c>
      <c r="R224" s="2">
        <v>138</v>
      </c>
      <c r="S224" s="2">
        <v>99.995699999999999</v>
      </c>
      <c r="T224" s="2">
        <v>143</v>
      </c>
      <c r="U224" s="2">
        <v>0.35562500000000002</v>
      </c>
      <c r="V224" s="2">
        <v>223</v>
      </c>
      <c r="W224" s="2">
        <v>2012</v>
      </c>
    </row>
    <row r="225" spans="1:23" ht="12.3" x14ac:dyDescent="0.4">
      <c r="A225" s="2" t="s">
        <v>82</v>
      </c>
      <c r="B225" s="2"/>
      <c r="C225" s="2"/>
      <c r="D225" s="2"/>
      <c r="E225" s="2"/>
      <c r="F225" s="2"/>
      <c r="G225" s="2"/>
      <c r="H225" s="2"/>
      <c r="I225" s="2">
        <v>65.886899999999997</v>
      </c>
      <c r="J225" s="2">
        <v>189</v>
      </c>
      <c r="K225" s="2">
        <v>65.893799999999999</v>
      </c>
      <c r="L225" s="2">
        <v>179</v>
      </c>
      <c r="M225" s="2">
        <v>94.2072</v>
      </c>
      <c r="N225" s="2">
        <v>295</v>
      </c>
      <c r="O225" s="2">
        <v>97.850300000000004</v>
      </c>
      <c r="P225" s="2">
        <v>239</v>
      </c>
      <c r="Q225" s="2">
        <v>104.2984</v>
      </c>
      <c r="R225" s="2">
        <v>245</v>
      </c>
      <c r="S225" s="2">
        <v>103.08710000000001</v>
      </c>
      <c r="T225" s="2">
        <v>210</v>
      </c>
      <c r="U225" s="2">
        <v>0.35444300000000001</v>
      </c>
      <c r="V225" s="2">
        <v>224</v>
      </c>
      <c r="W225" s="2">
        <v>2012</v>
      </c>
    </row>
    <row r="226" spans="1:23" ht="12.3" x14ac:dyDescent="0.4">
      <c r="A226" s="2" t="s">
        <v>243</v>
      </c>
      <c r="B226" s="2"/>
      <c r="C226" s="2"/>
      <c r="D226" s="2"/>
      <c r="E226" s="2"/>
      <c r="F226" s="2"/>
      <c r="G226" s="2"/>
      <c r="H226" s="2"/>
      <c r="I226" s="2">
        <v>67.108999999999995</v>
      </c>
      <c r="J226" s="2">
        <v>122</v>
      </c>
      <c r="K226" s="2">
        <v>66.784899999999993</v>
      </c>
      <c r="L226" s="2">
        <v>131</v>
      </c>
      <c r="M226" s="2">
        <v>96.938500000000005</v>
      </c>
      <c r="N226" s="2">
        <v>251</v>
      </c>
      <c r="O226" s="2">
        <v>96.735600000000005</v>
      </c>
      <c r="P226" s="2">
        <v>255</v>
      </c>
      <c r="Q226" s="2">
        <v>100.3937</v>
      </c>
      <c r="R226" s="2">
        <v>160</v>
      </c>
      <c r="S226" s="2">
        <v>101.9804</v>
      </c>
      <c r="T226" s="2">
        <v>187</v>
      </c>
      <c r="U226" s="2">
        <v>0.35269899999999998</v>
      </c>
      <c r="V226" s="2">
        <v>225</v>
      </c>
      <c r="W226" s="2">
        <v>2012</v>
      </c>
    </row>
    <row r="227" spans="1:23" ht="12.3" x14ac:dyDescent="0.4">
      <c r="A227" s="2" t="s">
        <v>303</v>
      </c>
      <c r="B227" s="2"/>
      <c r="C227" s="2"/>
      <c r="D227" s="2"/>
      <c r="E227" s="2"/>
      <c r="F227" s="2"/>
      <c r="G227" s="2"/>
      <c r="H227" s="2"/>
      <c r="I227" s="2">
        <v>65.321299999999994</v>
      </c>
      <c r="J227" s="2">
        <v>212</v>
      </c>
      <c r="K227" s="2">
        <v>65.659800000000004</v>
      </c>
      <c r="L227" s="2">
        <v>192</v>
      </c>
      <c r="M227" s="2">
        <v>106.25060000000001</v>
      </c>
      <c r="N227" s="2">
        <v>72</v>
      </c>
      <c r="O227" s="2">
        <v>103.4122</v>
      </c>
      <c r="P227" s="2">
        <v>123</v>
      </c>
      <c r="Q227" s="2">
        <v>107.1095</v>
      </c>
      <c r="R227" s="2">
        <v>293</v>
      </c>
      <c r="S227" s="2">
        <v>109.03870000000001</v>
      </c>
      <c r="T227" s="2">
        <v>311</v>
      </c>
      <c r="U227" s="2">
        <v>0.35222500000000001</v>
      </c>
      <c r="V227" s="2">
        <v>226</v>
      </c>
      <c r="W227" s="2">
        <v>2012</v>
      </c>
    </row>
    <row r="228" spans="1:23" ht="12.3" x14ac:dyDescent="0.4">
      <c r="A228" s="2" t="s">
        <v>273</v>
      </c>
      <c r="B228" s="2"/>
      <c r="C228" s="2"/>
      <c r="D228" s="2"/>
      <c r="E228" s="2"/>
      <c r="F228" s="2"/>
      <c r="G228" s="2"/>
      <c r="H228" s="2"/>
      <c r="I228" s="2">
        <v>66.585099999999997</v>
      </c>
      <c r="J228" s="2">
        <v>151</v>
      </c>
      <c r="K228" s="2">
        <v>66.760599999999997</v>
      </c>
      <c r="L228" s="2">
        <v>132</v>
      </c>
      <c r="M228" s="2">
        <v>104.7149</v>
      </c>
      <c r="N228" s="2">
        <v>100</v>
      </c>
      <c r="O228" s="2">
        <v>104.6966</v>
      </c>
      <c r="P228" s="2">
        <v>103</v>
      </c>
      <c r="Q228" s="2">
        <v>109.5838</v>
      </c>
      <c r="R228" s="2">
        <v>319</v>
      </c>
      <c r="S228" s="2">
        <v>110.4134</v>
      </c>
      <c r="T228" s="2">
        <v>323</v>
      </c>
      <c r="U228" s="2">
        <v>0.35174</v>
      </c>
      <c r="V228" s="2">
        <v>227</v>
      </c>
      <c r="W228" s="2">
        <v>2012</v>
      </c>
    </row>
    <row r="229" spans="1:23" ht="12.3" x14ac:dyDescent="0.4">
      <c r="A229" s="2" t="s">
        <v>246</v>
      </c>
      <c r="B229" s="2"/>
      <c r="C229" s="2"/>
      <c r="D229" s="2"/>
      <c r="E229" s="2"/>
      <c r="F229" s="2"/>
      <c r="G229" s="2"/>
      <c r="H229" s="2"/>
      <c r="I229" s="2">
        <v>67.072299999999998</v>
      </c>
      <c r="J229" s="2">
        <v>125</v>
      </c>
      <c r="K229" s="2">
        <v>66.718800000000002</v>
      </c>
      <c r="L229" s="2">
        <v>134</v>
      </c>
      <c r="M229" s="2">
        <v>100.18129999999999</v>
      </c>
      <c r="N229" s="2">
        <v>183</v>
      </c>
      <c r="O229" s="2">
        <v>100.12090000000001</v>
      </c>
      <c r="P229" s="2">
        <v>189</v>
      </c>
      <c r="Q229" s="2">
        <v>105.056</v>
      </c>
      <c r="R229" s="2">
        <v>264</v>
      </c>
      <c r="S229" s="2">
        <v>105.7137</v>
      </c>
      <c r="T229" s="2">
        <v>268</v>
      </c>
      <c r="U229" s="2">
        <v>0.34862500000000002</v>
      </c>
      <c r="V229" s="2">
        <v>228</v>
      </c>
      <c r="W229" s="2">
        <v>2012</v>
      </c>
    </row>
    <row r="230" spans="1:23" ht="12.3" x14ac:dyDescent="0.4">
      <c r="A230" s="2" t="s">
        <v>260</v>
      </c>
      <c r="B230" s="2"/>
      <c r="C230" s="2"/>
      <c r="D230" s="2"/>
      <c r="E230" s="2"/>
      <c r="F230" s="2"/>
      <c r="G230" s="2"/>
      <c r="H230" s="2"/>
      <c r="I230" s="2">
        <v>64.338999999999999</v>
      </c>
      <c r="J230" s="2">
        <v>262</v>
      </c>
      <c r="K230" s="2">
        <v>64.939300000000003</v>
      </c>
      <c r="L230" s="2">
        <v>224</v>
      </c>
      <c r="M230" s="2">
        <v>96.9512</v>
      </c>
      <c r="N230" s="2">
        <v>249</v>
      </c>
      <c r="O230" s="2">
        <v>97.935500000000005</v>
      </c>
      <c r="P230" s="2">
        <v>237</v>
      </c>
      <c r="Q230" s="2">
        <v>102.9605</v>
      </c>
      <c r="R230" s="2">
        <v>216</v>
      </c>
      <c r="S230" s="2">
        <v>103.44159999999999</v>
      </c>
      <c r="T230" s="2">
        <v>220</v>
      </c>
      <c r="U230" s="2">
        <v>0.34772999999999998</v>
      </c>
      <c r="V230" s="2">
        <v>229</v>
      </c>
      <c r="W230" s="2">
        <v>2012</v>
      </c>
    </row>
    <row r="231" spans="1:23" ht="12.3" x14ac:dyDescent="0.4">
      <c r="A231" s="2" t="s">
        <v>376</v>
      </c>
      <c r="B231" s="2"/>
      <c r="C231" s="2"/>
      <c r="D231" s="2"/>
      <c r="E231" s="2"/>
      <c r="F231" s="2"/>
      <c r="G231" s="2"/>
      <c r="H231" s="2"/>
      <c r="I231" s="2">
        <v>75.2196</v>
      </c>
      <c r="J231" s="2">
        <v>1</v>
      </c>
      <c r="K231" s="2">
        <v>76.181100000000001</v>
      </c>
      <c r="L231" s="2">
        <v>1</v>
      </c>
      <c r="M231" s="2">
        <v>100.2773</v>
      </c>
      <c r="N231" s="2">
        <v>180</v>
      </c>
      <c r="O231" s="2">
        <v>97.100399999999993</v>
      </c>
      <c r="P231" s="2">
        <v>249</v>
      </c>
      <c r="Q231" s="2">
        <v>101.6733</v>
      </c>
      <c r="R231" s="2">
        <v>188</v>
      </c>
      <c r="S231" s="2">
        <v>102.6853</v>
      </c>
      <c r="T231" s="2">
        <v>200</v>
      </c>
      <c r="U231" s="2">
        <v>0.34454000000000001</v>
      </c>
      <c r="V231" s="2">
        <v>230</v>
      </c>
      <c r="W231" s="2">
        <v>2012</v>
      </c>
    </row>
    <row r="232" spans="1:23" ht="12.3" x14ac:dyDescent="0.4">
      <c r="A232" s="2" t="s">
        <v>196</v>
      </c>
      <c r="B232" s="2"/>
      <c r="C232" s="2"/>
      <c r="D232" s="2"/>
      <c r="E232" s="2"/>
      <c r="F232" s="2"/>
      <c r="G232" s="2"/>
      <c r="H232" s="2"/>
      <c r="I232" s="2">
        <v>65.907200000000003</v>
      </c>
      <c r="J232" s="2">
        <v>187</v>
      </c>
      <c r="K232" s="2">
        <v>65.570999999999998</v>
      </c>
      <c r="L232" s="2">
        <v>199</v>
      </c>
      <c r="M232" s="2">
        <v>96.168099999999995</v>
      </c>
      <c r="N232" s="2">
        <v>264</v>
      </c>
      <c r="O232" s="2">
        <v>96.241699999999994</v>
      </c>
      <c r="P232" s="2">
        <v>267</v>
      </c>
      <c r="Q232" s="2">
        <v>100.27379999999999</v>
      </c>
      <c r="R232" s="2">
        <v>158</v>
      </c>
      <c r="S232" s="2">
        <v>101.8028</v>
      </c>
      <c r="T232" s="2">
        <v>183</v>
      </c>
      <c r="U232" s="2">
        <v>0.34388999999999997</v>
      </c>
      <c r="V232" s="2">
        <v>231</v>
      </c>
      <c r="W232" s="2">
        <v>2012</v>
      </c>
    </row>
    <row r="233" spans="1:23" ht="12.3" x14ac:dyDescent="0.4">
      <c r="A233" s="2" t="s">
        <v>237</v>
      </c>
      <c r="B233" s="2"/>
      <c r="C233" s="2"/>
      <c r="D233" s="2"/>
      <c r="E233" s="2"/>
      <c r="F233" s="2"/>
      <c r="G233" s="2"/>
      <c r="H233" s="2"/>
      <c r="I233" s="2">
        <v>64.2624</v>
      </c>
      <c r="J233" s="2">
        <v>267</v>
      </c>
      <c r="K233" s="2">
        <v>63.832799999999999</v>
      </c>
      <c r="L233" s="2">
        <v>279</v>
      </c>
      <c r="M233" s="2">
        <v>100.52670000000001</v>
      </c>
      <c r="N233" s="2">
        <v>177</v>
      </c>
      <c r="O233" s="2">
        <v>96.5</v>
      </c>
      <c r="P233" s="2">
        <v>260</v>
      </c>
      <c r="Q233" s="2">
        <v>105.2317</v>
      </c>
      <c r="R233" s="2">
        <v>269</v>
      </c>
      <c r="S233" s="2">
        <v>102.1331</v>
      </c>
      <c r="T233" s="2">
        <v>190</v>
      </c>
      <c r="U233" s="2">
        <v>0.34244200000000002</v>
      </c>
      <c r="V233" s="2">
        <v>232</v>
      </c>
      <c r="W233" s="2">
        <v>2012</v>
      </c>
    </row>
    <row r="234" spans="1:23" ht="12.3" x14ac:dyDescent="0.4">
      <c r="A234" s="2" t="s">
        <v>316</v>
      </c>
      <c r="B234" s="2"/>
      <c r="C234" s="2"/>
      <c r="D234" s="2"/>
      <c r="E234" s="2"/>
      <c r="F234" s="2"/>
      <c r="G234" s="2"/>
      <c r="H234" s="2"/>
      <c r="I234" s="2">
        <v>68.375799999999998</v>
      </c>
      <c r="J234" s="2">
        <v>70</v>
      </c>
      <c r="K234" s="2">
        <v>66.716099999999997</v>
      </c>
      <c r="L234" s="2">
        <v>135</v>
      </c>
      <c r="M234" s="2">
        <v>102.7745</v>
      </c>
      <c r="N234" s="2">
        <v>135</v>
      </c>
      <c r="O234" s="2">
        <v>100.226</v>
      </c>
      <c r="P234" s="2">
        <v>186</v>
      </c>
      <c r="Q234" s="2">
        <v>104.55889999999999</v>
      </c>
      <c r="R234" s="2">
        <v>254</v>
      </c>
      <c r="S234" s="2">
        <v>106.2274</v>
      </c>
      <c r="T234" s="2">
        <v>272</v>
      </c>
      <c r="U234" s="2">
        <v>0.33877000000000002</v>
      </c>
      <c r="V234" s="2">
        <v>233</v>
      </c>
      <c r="W234" s="2">
        <v>2012</v>
      </c>
    </row>
    <row r="235" spans="1:23" ht="12.3" x14ac:dyDescent="0.4">
      <c r="A235" s="2" t="s">
        <v>265</v>
      </c>
      <c r="B235" s="2"/>
      <c r="C235" s="2"/>
      <c r="D235" s="2"/>
      <c r="E235" s="2"/>
      <c r="F235" s="2"/>
      <c r="G235" s="2"/>
      <c r="H235" s="2"/>
      <c r="I235" s="2">
        <v>61.802100000000003</v>
      </c>
      <c r="J235" s="2">
        <v>325</v>
      </c>
      <c r="K235" s="2">
        <v>61.0336</v>
      </c>
      <c r="L235" s="2">
        <v>331</v>
      </c>
      <c r="M235" s="2">
        <v>101.27290000000001</v>
      </c>
      <c r="N235" s="2">
        <v>167</v>
      </c>
      <c r="O235" s="2">
        <v>100.2574</v>
      </c>
      <c r="P235" s="2">
        <v>184</v>
      </c>
      <c r="Q235" s="2">
        <v>103.05840000000001</v>
      </c>
      <c r="R235" s="2">
        <v>217</v>
      </c>
      <c r="S235" s="2">
        <v>106.36360000000001</v>
      </c>
      <c r="T235" s="2">
        <v>276</v>
      </c>
      <c r="U235" s="2">
        <v>0.336281</v>
      </c>
      <c r="V235" s="2">
        <v>234</v>
      </c>
      <c r="W235" s="2">
        <v>2012</v>
      </c>
    </row>
    <row r="236" spans="1:23" ht="12.3" x14ac:dyDescent="0.4">
      <c r="A236" s="2" t="s">
        <v>299</v>
      </c>
      <c r="B236" s="2">
        <v>16</v>
      </c>
      <c r="C236" s="2"/>
      <c r="D236" s="2"/>
      <c r="E236" s="2"/>
      <c r="F236" s="2"/>
      <c r="G236" s="2"/>
      <c r="H236" s="2"/>
      <c r="I236" s="2">
        <v>69.792299999999997</v>
      </c>
      <c r="J236" s="2">
        <v>36</v>
      </c>
      <c r="K236" s="2">
        <v>69.7714</v>
      </c>
      <c r="L236" s="2">
        <v>29</v>
      </c>
      <c r="M236" s="2">
        <v>97.946700000000007</v>
      </c>
      <c r="N236" s="2">
        <v>234</v>
      </c>
      <c r="O236" s="2">
        <v>97.327799999999996</v>
      </c>
      <c r="P236" s="2">
        <v>243</v>
      </c>
      <c r="Q236" s="2">
        <v>98.540300000000002</v>
      </c>
      <c r="R236" s="2">
        <v>114</v>
      </c>
      <c r="S236" s="2">
        <v>103.547</v>
      </c>
      <c r="T236" s="2">
        <v>222</v>
      </c>
      <c r="U236" s="2">
        <v>0.32908500000000002</v>
      </c>
      <c r="V236" s="2">
        <v>235</v>
      </c>
      <c r="W236" s="2">
        <v>2012</v>
      </c>
    </row>
    <row r="237" spans="1:23" ht="12.3" x14ac:dyDescent="0.4">
      <c r="A237" s="2" t="s">
        <v>330</v>
      </c>
      <c r="B237" s="2"/>
      <c r="C237" s="2"/>
      <c r="D237" s="2"/>
      <c r="E237" s="2"/>
      <c r="F237" s="2"/>
      <c r="G237" s="2"/>
      <c r="H237" s="2"/>
      <c r="I237" s="2">
        <v>64.558800000000005</v>
      </c>
      <c r="J237" s="2">
        <v>248</v>
      </c>
      <c r="K237" s="2">
        <v>64.716399999999993</v>
      </c>
      <c r="L237" s="2">
        <v>249</v>
      </c>
      <c r="M237" s="2">
        <v>106.14060000000001</v>
      </c>
      <c r="N237" s="2">
        <v>75</v>
      </c>
      <c r="O237" s="2">
        <v>104.11020000000001</v>
      </c>
      <c r="P237" s="2">
        <v>110</v>
      </c>
      <c r="Q237" s="2">
        <v>108.7012</v>
      </c>
      <c r="R237" s="2">
        <v>310</v>
      </c>
      <c r="S237" s="2">
        <v>110.9053</v>
      </c>
      <c r="T237" s="2">
        <v>326</v>
      </c>
      <c r="U237" s="2">
        <v>0.32582899999999998</v>
      </c>
      <c r="V237" s="2">
        <v>236</v>
      </c>
      <c r="W237" s="2">
        <v>2012</v>
      </c>
    </row>
    <row r="238" spans="1:23" ht="12.3" x14ac:dyDescent="0.4">
      <c r="A238" s="2" t="s">
        <v>153</v>
      </c>
      <c r="B238" s="2"/>
      <c r="C238" s="2"/>
      <c r="D238" s="2"/>
      <c r="E238" s="2"/>
      <c r="F238" s="2"/>
      <c r="G238" s="2"/>
      <c r="H238" s="2"/>
      <c r="I238" s="2">
        <v>66.080500000000001</v>
      </c>
      <c r="J238" s="2">
        <v>180</v>
      </c>
      <c r="K238" s="2">
        <v>66.096400000000003</v>
      </c>
      <c r="L238" s="2">
        <v>163</v>
      </c>
      <c r="M238" s="2">
        <v>97.398300000000006</v>
      </c>
      <c r="N238" s="2">
        <v>245</v>
      </c>
      <c r="O238" s="2">
        <v>95.679299999999998</v>
      </c>
      <c r="P238" s="2">
        <v>280</v>
      </c>
      <c r="Q238" s="2">
        <v>101.99339999999999</v>
      </c>
      <c r="R238" s="2">
        <v>196</v>
      </c>
      <c r="S238" s="2">
        <v>101.99420000000001</v>
      </c>
      <c r="T238" s="2">
        <v>188</v>
      </c>
      <c r="U238" s="2">
        <v>0.32409700000000002</v>
      </c>
      <c r="V238" s="2">
        <v>237</v>
      </c>
      <c r="W238" s="2">
        <v>2012</v>
      </c>
    </row>
    <row r="239" spans="1:23" ht="12.3" x14ac:dyDescent="0.4">
      <c r="A239" s="2" t="s">
        <v>319</v>
      </c>
      <c r="B239" s="2"/>
      <c r="C239" s="2"/>
      <c r="D239" s="2"/>
      <c r="E239" s="2"/>
      <c r="F239" s="2"/>
      <c r="G239" s="2"/>
      <c r="H239" s="2"/>
      <c r="I239" s="2">
        <v>69.322400000000002</v>
      </c>
      <c r="J239" s="2">
        <v>42</v>
      </c>
      <c r="K239" s="2">
        <v>68.303299999999993</v>
      </c>
      <c r="L239" s="2">
        <v>69</v>
      </c>
      <c r="M239" s="2">
        <v>105.0586</v>
      </c>
      <c r="N239" s="2">
        <v>95</v>
      </c>
      <c r="O239" s="2">
        <v>101.26130000000001</v>
      </c>
      <c r="P239" s="2">
        <v>166</v>
      </c>
      <c r="Q239" s="2">
        <v>106.71339999999999</v>
      </c>
      <c r="R239" s="2">
        <v>290</v>
      </c>
      <c r="S239" s="2">
        <v>107.95050000000001</v>
      </c>
      <c r="T239" s="2">
        <v>295</v>
      </c>
      <c r="U239" s="2">
        <v>0.32396000000000003</v>
      </c>
      <c r="V239" s="2">
        <v>238</v>
      </c>
      <c r="W239" s="2">
        <v>2012</v>
      </c>
    </row>
    <row r="240" spans="1:23" ht="12.3" x14ac:dyDescent="0.4">
      <c r="A240" s="2" t="s">
        <v>194</v>
      </c>
      <c r="B240" s="2"/>
      <c r="C240" s="2"/>
      <c r="D240" s="2"/>
      <c r="E240" s="2"/>
      <c r="F240" s="2"/>
      <c r="G240" s="2"/>
      <c r="H240" s="2"/>
      <c r="I240" s="2">
        <v>68.424499999999995</v>
      </c>
      <c r="J240" s="2">
        <v>67</v>
      </c>
      <c r="K240" s="2">
        <v>68.179000000000002</v>
      </c>
      <c r="L240" s="2">
        <v>76</v>
      </c>
      <c r="M240" s="2">
        <v>101.8925</v>
      </c>
      <c r="N240" s="2">
        <v>156</v>
      </c>
      <c r="O240" s="2">
        <v>101.49250000000001</v>
      </c>
      <c r="P240" s="2">
        <v>158</v>
      </c>
      <c r="Q240" s="2">
        <v>107.66030000000001</v>
      </c>
      <c r="R240" s="2">
        <v>301</v>
      </c>
      <c r="S240" s="2">
        <v>108.3366</v>
      </c>
      <c r="T240" s="2">
        <v>303</v>
      </c>
      <c r="U240" s="2">
        <v>0.32071899999999998</v>
      </c>
      <c r="V240" s="2">
        <v>239</v>
      </c>
      <c r="W240" s="2">
        <v>2012</v>
      </c>
    </row>
    <row r="241" spans="1:23" ht="12.3" x14ac:dyDescent="0.4">
      <c r="A241" s="2" t="s">
        <v>214</v>
      </c>
      <c r="B241" s="2"/>
      <c r="C241" s="2"/>
      <c r="D241" s="2"/>
      <c r="E241" s="2"/>
      <c r="F241" s="2"/>
      <c r="G241" s="2"/>
      <c r="H241" s="2"/>
      <c r="I241" s="2">
        <v>66.942899999999995</v>
      </c>
      <c r="J241" s="2">
        <v>132</v>
      </c>
      <c r="K241" s="2">
        <v>66.894599999999997</v>
      </c>
      <c r="L241" s="2">
        <v>128</v>
      </c>
      <c r="M241" s="2">
        <v>96.452799999999996</v>
      </c>
      <c r="N241" s="2">
        <v>258</v>
      </c>
      <c r="O241" s="2">
        <v>97.387500000000003</v>
      </c>
      <c r="P241" s="2">
        <v>241</v>
      </c>
      <c r="Q241" s="2">
        <v>107.1233</v>
      </c>
      <c r="R241" s="2">
        <v>294</v>
      </c>
      <c r="S241" s="2">
        <v>103.9752</v>
      </c>
      <c r="T241" s="2">
        <v>233</v>
      </c>
      <c r="U241" s="2">
        <v>0.32022800000000001</v>
      </c>
      <c r="V241" s="2">
        <v>240</v>
      </c>
      <c r="W241" s="2">
        <v>2012</v>
      </c>
    </row>
    <row r="242" spans="1:23" ht="12.3" x14ac:dyDescent="0.4">
      <c r="A242" s="2" t="s">
        <v>83</v>
      </c>
      <c r="B242" s="2"/>
      <c r="C242" s="2"/>
      <c r="D242" s="2"/>
      <c r="E242" s="2"/>
      <c r="F242" s="2"/>
      <c r="G242" s="2"/>
      <c r="H242" s="2"/>
      <c r="I242" s="2">
        <v>66.739900000000006</v>
      </c>
      <c r="J242" s="2">
        <v>146</v>
      </c>
      <c r="K242" s="2">
        <v>67.043099999999995</v>
      </c>
      <c r="L242" s="2">
        <v>119</v>
      </c>
      <c r="M242" s="2">
        <v>97.425299999999993</v>
      </c>
      <c r="N242" s="2">
        <v>244</v>
      </c>
      <c r="O242" s="2">
        <v>98.020499999999998</v>
      </c>
      <c r="P242" s="2">
        <v>233</v>
      </c>
      <c r="Q242" s="2">
        <v>105.7824</v>
      </c>
      <c r="R242" s="2">
        <v>280</v>
      </c>
      <c r="S242" s="2">
        <v>104.7693</v>
      </c>
      <c r="T242" s="2">
        <v>251</v>
      </c>
      <c r="U242" s="2">
        <v>0.31740699999999999</v>
      </c>
      <c r="V242" s="2">
        <v>241</v>
      </c>
      <c r="W242" s="2">
        <v>2012</v>
      </c>
    </row>
    <row r="243" spans="1:23" ht="12.3" x14ac:dyDescent="0.4">
      <c r="A243" s="2" t="s">
        <v>372</v>
      </c>
      <c r="B243" s="2"/>
      <c r="C243" s="2"/>
      <c r="D243" s="2"/>
      <c r="E243" s="2"/>
      <c r="F243" s="2"/>
      <c r="G243" s="2"/>
      <c r="H243" s="2"/>
      <c r="I243" s="2">
        <v>66.936700000000002</v>
      </c>
      <c r="J243" s="2">
        <v>133</v>
      </c>
      <c r="K243" s="2">
        <v>65.829700000000003</v>
      </c>
      <c r="L243" s="2">
        <v>186</v>
      </c>
      <c r="M243" s="2">
        <v>99.610399999999998</v>
      </c>
      <c r="N243" s="2">
        <v>196</v>
      </c>
      <c r="O243" s="2">
        <v>97.921199999999999</v>
      </c>
      <c r="P243" s="2">
        <v>238</v>
      </c>
      <c r="Q243" s="2">
        <v>99.124799999999993</v>
      </c>
      <c r="R243" s="2">
        <v>130</v>
      </c>
      <c r="S243" s="2">
        <v>104.705</v>
      </c>
      <c r="T243" s="2">
        <v>248</v>
      </c>
      <c r="U243" s="2">
        <v>0.316413</v>
      </c>
      <c r="V243" s="2">
        <v>242</v>
      </c>
      <c r="W243" s="2">
        <v>2012</v>
      </c>
    </row>
    <row r="244" spans="1:23" ht="12.3" x14ac:dyDescent="0.4">
      <c r="A244" s="2" t="s">
        <v>59</v>
      </c>
      <c r="B244" s="2"/>
      <c r="C244" s="2"/>
      <c r="D244" s="2"/>
      <c r="E244" s="2"/>
      <c r="F244" s="2"/>
      <c r="G244" s="2"/>
      <c r="H244" s="2"/>
      <c r="I244" s="2">
        <v>65.503799999999998</v>
      </c>
      <c r="J244" s="2">
        <v>204</v>
      </c>
      <c r="K244" s="2">
        <v>64.730699999999999</v>
      </c>
      <c r="L244" s="2">
        <v>246</v>
      </c>
      <c r="M244" s="2">
        <v>90.190600000000003</v>
      </c>
      <c r="N244" s="2">
        <v>324</v>
      </c>
      <c r="O244" s="2">
        <v>92.156199999999998</v>
      </c>
      <c r="P244" s="2">
        <v>308</v>
      </c>
      <c r="Q244" s="2">
        <v>104.1422</v>
      </c>
      <c r="R244" s="2">
        <v>242</v>
      </c>
      <c r="S244" s="2">
        <v>98.590900000000005</v>
      </c>
      <c r="T244" s="2">
        <v>115</v>
      </c>
      <c r="U244" s="2">
        <v>0.31514399999999998</v>
      </c>
      <c r="V244" s="2">
        <v>243</v>
      </c>
      <c r="W244" s="2">
        <v>2012</v>
      </c>
    </row>
    <row r="245" spans="1:23" ht="12.3" x14ac:dyDescent="0.4">
      <c r="A245" s="2" t="s">
        <v>99</v>
      </c>
      <c r="B245" s="2"/>
      <c r="C245" s="2"/>
      <c r="D245" s="2"/>
      <c r="E245" s="2"/>
      <c r="F245" s="2"/>
      <c r="G245" s="2"/>
      <c r="H245" s="2"/>
      <c r="I245" s="2">
        <v>63.412500000000001</v>
      </c>
      <c r="J245" s="2">
        <v>288</v>
      </c>
      <c r="K245" s="2">
        <v>63.581499999999998</v>
      </c>
      <c r="L245" s="2">
        <v>284</v>
      </c>
      <c r="M245" s="2">
        <v>95.938699999999997</v>
      </c>
      <c r="N245" s="2">
        <v>270</v>
      </c>
      <c r="O245" s="2">
        <v>98.5184</v>
      </c>
      <c r="P245" s="2">
        <v>227</v>
      </c>
      <c r="Q245" s="2">
        <v>104.8926</v>
      </c>
      <c r="R245" s="2">
        <v>261</v>
      </c>
      <c r="S245" s="2">
        <v>105.6027</v>
      </c>
      <c r="T245" s="2">
        <v>265</v>
      </c>
      <c r="U245" s="2">
        <v>0.31033100000000002</v>
      </c>
      <c r="V245" s="2">
        <v>244</v>
      </c>
      <c r="W245" s="2">
        <v>2012</v>
      </c>
    </row>
    <row r="246" spans="1:23" ht="12.3" x14ac:dyDescent="0.4">
      <c r="A246" s="2" t="s">
        <v>195</v>
      </c>
      <c r="B246" s="2"/>
      <c r="C246" s="2"/>
      <c r="D246" s="2"/>
      <c r="E246" s="2"/>
      <c r="F246" s="2"/>
      <c r="G246" s="2"/>
      <c r="H246" s="2"/>
      <c r="I246" s="2">
        <v>64.425899999999999</v>
      </c>
      <c r="J246" s="2">
        <v>258</v>
      </c>
      <c r="K246" s="2">
        <v>64.9923</v>
      </c>
      <c r="L246" s="2">
        <v>221</v>
      </c>
      <c r="M246" s="2">
        <v>98.716700000000003</v>
      </c>
      <c r="N246" s="2">
        <v>213</v>
      </c>
      <c r="O246" s="2">
        <v>96.275899999999993</v>
      </c>
      <c r="P246" s="2">
        <v>266</v>
      </c>
      <c r="Q246" s="2">
        <v>102.11539999999999</v>
      </c>
      <c r="R246" s="2">
        <v>199</v>
      </c>
      <c r="S246" s="2">
        <v>103.2171</v>
      </c>
      <c r="T246" s="2">
        <v>214</v>
      </c>
      <c r="U246" s="2">
        <v>0.30990000000000001</v>
      </c>
      <c r="V246" s="2">
        <v>245</v>
      </c>
      <c r="W246" s="2">
        <v>2012</v>
      </c>
    </row>
    <row r="247" spans="1:23" ht="12.3" x14ac:dyDescent="0.4">
      <c r="A247" s="2" t="s">
        <v>143</v>
      </c>
      <c r="B247" s="2"/>
      <c r="C247" s="2"/>
      <c r="D247" s="2"/>
      <c r="E247" s="2"/>
      <c r="F247" s="2"/>
      <c r="G247" s="2"/>
      <c r="H247" s="2"/>
      <c r="I247" s="2">
        <v>69.004900000000006</v>
      </c>
      <c r="J247" s="2">
        <v>48</v>
      </c>
      <c r="K247" s="2">
        <v>68.465999999999994</v>
      </c>
      <c r="L247" s="2">
        <v>62</v>
      </c>
      <c r="M247" s="2">
        <v>97.678799999999995</v>
      </c>
      <c r="N247" s="2">
        <v>238</v>
      </c>
      <c r="O247" s="2">
        <v>96.715699999999998</v>
      </c>
      <c r="P247" s="2">
        <v>256</v>
      </c>
      <c r="Q247" s="2">
        <v>104.32510000000001</v>
      </c>
      <c r="R247" s="2">
        <v>246</v>
      </c>
      <c r="S247" s="2">
        <v>103.7664</v>
      </c>
      <c r="T247" s="2">
        <v>226</v>
      </c>
      <c r="U247" s="2">
        <v>0.308058</v>
      </c>
      <c r="V247" s="2">
        <v>246</v>
      </c>
      <c r="W247" s="2">
        <v>2012</v>
      </c>
    </row>
    <row r="248" spans="1:23" ht="12.3" x14ac:dyDescent="0.4">
      <c r="A248" s="2" t="s">
        <v>200</v>
      </c>
      <c r="B248" s="2"/>
      <c r="C248" s="2"/>
      <c r="D248" s="2"/>
      <c r="E248" s="2"/>
      <c r="F248" s="2"/>
      <c r="G248" s="2"/>
      <c r="H248" s="2"/>
      <c r="I248" s="2">
        <v>66.338099999999997</v>
      </c>
      <c r="J248" s="2">
        <v>167</v>
      </c>
      <c r="K248" s="2">
        <v>66.290899999999993</v>
      </c>
      <c r="L248" s="2">
        <v>152</v>
      </c>
      <c r="M248" s="2">
        <v>98.979200000000006</v>
      </c>
      <c r="N248" s="2">
        <v>205</v>
      </c>
      <c r="O248" s="2">
        <v>99.610699999999994</v>
      </c>
      <c r="P248" s="2">
        <v>202</v>
      </c>
      <c r="Q248" s="2">
        <v>104.431</v>
      </c>
      <c r="R248" s="2">
        <v>250</v>
      </c>
      <c r="S248" s="2">
        <v>106.8901</v>
      </c>
      <c r="T248" s="2">
        <v>280</v>
      </c>
      <c r="U248" s="2">
        <v>0.30765500000000001</v>
      </c>
      <c r="V248" s="2">
        <v>247</v>
      </c>
      <c r="W248" s="2">
        <v>2012</v>
      </c>
    </row>
    <row r="249" spans="1:23" ht="12.3" x14ac:dyDescent="0.4">
      <c r="A249" s="2" t="s">
        <v>298</v>
      </c>
      <c r="B249" s="2"/>
      <c r="C249" s="2"/>
      <c r="D249" s="2"/>
      <c r="E249" s="2"/>
      <c r="F249" s="2"/>
      <c r="G249" s="2"/>
      <c r="H249" s="2"/>
      <c r="I249" s="2">
        <v>72.252200000000002</v>
      </c>
      <c r="J249" s="2">
        <v>11</v>
      </c>
      <c r="K249" s="2">
        <v>71.558499999999995</v>
      </c>
      <c r="L249" s="2">
        <v>14</v>
      </c>
      <c r="M249" s="2">
        <v>97.994699999999995</v>
      </c>
      <c r="N249" s="2">
        <v>232</v>
      </c>
      <c r="O249" s="2">
        <v>99.932100000000005</v>
      </c>
      <c r="P249" s="2">
        <v>192</v>
      </c>
      <c r="Q249" s="2">
        <v>107.6812</v>
      </c>
      <c r="R249" s="2">
        <v>302</v>
      </c>
      <c r="S249" s="2">
        <v>107.411</v>
      </c>
      <c r="T249" s="2">
        <v>286</v>
      </c>
      <c r="U249" s="2">
        <v>0.303651</v>
      </c>
      <c r="V249" s="2">
        <v>248</v>
      </c>
      <c r="W249" s="2">
        <v>2012</v>
      </c>
    </row>
    <row r="250" spans="1:23" ht="12.3" x14ac:dyDescent="0.4">
      <c r="A250" s="2" t="s">
        <v>370</v>
      </c>
      <c r="B250" s="2"/>
      <c r="C250" s="2"/>
      <c r="D250" s="2"/>
      <c r="E250" s="2"/>
      <c r="F250" s="2"/>
      <c r="G250" s="2"/>
      <c r="H250" s="2"/>
      <c r="I250" s="2">
        <v>66.2483</v>
      </c>
      <c r="J250" s="2">
        <v>170</v>
      </c>
      <c r="K250" s="2">
        <v>65.593500000000006</v>
      </c>
      <c r="L250" s="2">
        <v>195</v>
      </c>
      <c r="M250" s="2">
        <v>103.0145</v>
      </c>
      <c r="N250" s="2">
        <v>128</v>
      </c>
      <c r="O250" s="2">
        <v>99.7346</v>
      </c>
      <c r="P250" s="2">
        <v>197</v>
      </c>
      <c r="Q250" s="2">
        <v>105.71550000000001</v>
      </c>
      <c r="R250" s="2">
        <v>276</v>
      </c>
      <c r="S250" s="2">
        <v>107.38800000000001</v>
      </c>
      <c r="T250" s="2">
        <v>285</v>
      </c>
      <c r="U250" s="2">
        <v>0.29937799999999998</v>
      </c>
      <c r="V250" s="2">
        <v>249</v>
      </c>
      <c r="W250" s="2">
        <v>2012</v>
      </c>
    </row>
    <row r="251" spans="1:23" ht="12.3" x14ac:dyDescent="0.4">
      <c r="A251" s="2" t="s">
        <v>110</v>
      </c>
      <c r="B251" s="2"/>
      <c r="C251" s="2"/>
      <c r="D251" s="2"/>
      <c r="E251" s="2"/>
      <c r="F251" s="2"/>
      <c r="G251" s="2"/>
      <c r="H251" s="2"/>
      <c r="I251" s="2">
        <v>69.805099999999996</v>
      </c>
      <c r="J251" s="2">
        <v>35</v>
      </c>
      <c r="K251" s="2">
        <v>69.517799999999994</v>
      </c>
      <c r="L251" s="2">
        <v>32</v>
      </c>
      <c r="M251" s="2">
        <v>96.075400000000002</v>
      </c>
      <c r="N251" s="2">
        <v>265</v>
      </c>
      <c r="O251" s="2">
        <v>95.927999999999997</v>
      </c>
      <c r="P251" s="2">
        <v>277</v>
      </c>
      <c r="Q251" s="2">
        <v>103.3886</v>
      </c>
      <c r="R251" s="2">
        <v>225</v>
      </c>
      <c r="S251" s="2">
        <v>103.29049999999999</v>
      </c>
      <c r="T251" s="2">
        <v>216</v>
      </c>
      <c r="U251" s="2">
        <v>0.299348</v>
      </c>
      <c r="V251" s="2">
        <v>250</v>
      </c>
      <c r="W251" s="2">
        <v>2012</v>
      </c>
    </row>
    <row r="252" spans="1:23" ht="12.3" x14ac:dyDescent="0.4">
      <c r="A252" s="2" t="s">
        <v>313</v>
      </c>
      <c r="B252" s="2"/>
      <c r="C252" s="2"/>
      <c r="D252" s="2"/>
      <c r="E252" s="2"/>
      <c r="F252" s="2"/>
      <c r="G252" s="2"/>
      <c r="H252" s="2"/>
      <c r="I252" s="2">
        <v>64.488</v>
      </c>
      <c r="J252" s="2">
        <v>252</v>
      </c>
      <c r="K252" s="2">
        <v>63.3461</v>
      </c>
      <c r="L252" s="2">
        <v>292</v>
      </c>
      <c r="M252" s="2">
        <v>100.26430000000001</v>
      </c>
      <c r="N252" s="2">
        <v>181</v>
      </c>
      <c r="O252" s="2">
        <v>101.4755</v>
      </c>
      <c r="P252" s="2">
        <v>160</v>
      </c>
      <c r="Q252" s="2">
        <v>103.8657</v>
      </c>
      <c r="R252" s="2">
        <v>236</v>
      </c>
      <c r="S252" s="2">
        <v>109.54649999999999</v>
      </c>
      <c r="T252" s="2">
        <v>315</v>
      </c>
      <c r="U252" s="2">
        <v>0.29315400000000003</v>
      </c>
      <c r="V252" s="2">
        <v>251</v>
      </c>
      <c r="W252" s="2">
        <v>2012</v>
      </c>
    </row>
    <row r="253" spans="1:23" ht="12.3" x14ac:dyDescent="0.4">
      <c r="A253" s="2" t="s">
        <v>253</v>
      </c>
      <c r="B253" s="2"/>
      <c r="C253" s="2"/>
      <c r="D253" s="2"/>
      <c r="E253" s="2"/>
      <c r="F253" s="2"/>
      <c r="G253" s="2"/>
      <c r="H253" s="2"/>
      <c r="I253" s="2">
        <v>67.0715</v>
      </c>
      <c r="J253" s="2">
        <v>126</v>
      </c>
      <c r="K253" s="2">
        <v>66.564999999999998</v>
      </c>
      <c r="L253" s="2">
        <v>140</v>
      </c>
      <c r="M253" s="2">
        <v>99.512100000000004</v>
      </c>
      <c r="N253" s="2">
        <v>199</v>
      </c>
      <c r="O253" s="2">
        <v>98.371200000000002</v>
      </c>
      <c r="P253" s="2">
        <v>229</v>
      </c>
      <c r="Q253" s="2">
        <v>105.3771</v>
      </c>
      <c r="R253" s="2">
        <v>273</v>
      </c>
      <c r="S253" s="2">
        <v>106.35760000000001</v>
      </c>
      <c r="T253" s="2">
        <v>275</v>
      </c>
      <c r="U253" s="2">
        <v>0.28952600000000001</v>
      </c>
      <c r="V253" s="2">
        <v>252</v>
      </c>
      <c r="W253" s="2">
        <v>2012</v>
      </c>
    </row>
    <row r="254" spans="1:23" ht="12.3" x14ac:dyDescent="0.4">
      <c r="A254" s="2" t="s">
        <v>249</v>
      </c>
      <c r="B254" s="2"/>
      <c r="C254" s="2"/>
      <c r="D254" s="2"/>
      <c r="E254" s="2"/>
      <c r="F254" s="2"/>
      <c r="G254" s="2"/>
      <c r="H254" s="2"/>
      <c r="I254" s="2">
        <v>67.840299999999999</v>
      </c>
      <c r="J254" s="2">
        <v>90</v>
      </c>
      <c r="K254" s="2">
        <v>66.989199999999997</v>
      </c>
      <c r="L254" s="2">
        <v>124</v>
      </c>
      <c r="M254" s="2">
        <v>91.073300000000003</v>
      </c>
      <c r="N254" s="2">
        <v>315</v>
      </c>
      <c r="O254" s="2">
        <v>94.008799999999994</v>
      </c>
      <c r="P254" s="2">
        <v>289</v>
      </c>
      <c r="Q254" s="2">
        <v>105.3236</v>
      </c>
      <c r="R254" s="2">
        <v>271</v>
      </c>
      <c r="S254" s="2">
        <v>101.6502</v>
      </c>
      <c r="T254" s="2">
        <v>179</v>
      </c>
      <c r="U254" s="2">
        <v>0.28931299999999999</v>
      </c>
      <c r="V254" s="2">
        <v>253</v>
      </c>
      <c r="W254" s="2">
        <v>2012</v>
      </c>
    </row>
    <row r="255" spans="1:23" ht="12.3" x14ac:dyDescent="0.4">
      <c r="A255" s="2" t="s">
        <v>378</v>
      </c>
      <c r="B255" s="2"/>
      <c r="C255" s="2"/>
      <c r="D255" s="2"/>
      <c r="E255" s="2"/>
      <c r="F255" s="2"/>
      <c r="G255" s="2"/>
      <c r="H255" s="2"/>
      <c r="I255" s="2">
        <v>67.797200000000004</v>
      </c>
      <c r="J255" s="2">
        <v>93</v>
      </c>
      <c r="K255" s="2">
        <v>67.282700000000006</v>
      </c>
      <c r="L255" s="2">
        <v>112</v>
      </c>
      <c r="M255" s="2">
        <v>96.867599999999996</v>
      </c>
      <c r="N255" s="2">
        <v>252</v>
      </c>
      <c r="O255" s="2">
        <v>93.868799999999993</v>
      </c>
      <c r="P255" s="2">
        <v>290</v>
      </c>
      <c r="Q255" s="2">
        <v>100.14749999999999</v>
      </c>
      <c r="R255" s="2">
        <v>153</v>
      </c>
      <c r="S255" s="2">
        <v>101.54470000000001</v>
      </c>
      <c r="T255" s="2">
        <v>175</v>
      </c>
      <c r="U255" s="2">
        <v>0.288248</v>
      </c>
      <c r="V255" s="2">
        <v>254</v>
      </c>
      <c r="W255" s="2">
        <v>2012</v>
      </c>
    </row>
    <row r="256" spans="1:23" ht="12.3" x14ac:dyDescent="0.4">
      <c r="A256" s="2" t="s">
        <v>368</v>
      </c>
      <c r="B256" s="2"/>
      <c r="C256" s="2"/>
      <c r="D256" s="2"/>
      <c r="E256" s="2"/>
      <c r="F256" s="2"/>
      <c r="G256" s="2"/>
      <c r="H256" s="2"/>
      <c r="I256" s="2">
        <v>61.430199999999999</v>
      </c>
      <c r="J256" s="2">
        <v>327</v>
      </c>
      <c r="K256" s="2">
        <v>60.965899999999998</v>
      </c>
      <c r="L256" s="2">
        <v>333</v>
      </c>
      <c r="M256" s="2">
        <v>103.45869999999999</v>
      </c>
      <c r="N256" s="2">
        <v>119</v>
      </c>
      <c r="O256" s="2">
        <v>100.5766</v>
      </c>
      <c r="P256" s="2">
        <v>174</v>
      </c>
      <c r="Q256" s="2">
        <v>106.64409999999999</v>
      </c>
      <c r="R256" s="2">
        <v>289</v>
      </c>
      <c r="S256" s="2">
        <v>108.82989999999999</v>
      </c>
      <c r="T256" s="2">
        <v>307</v>
      </c>
      <c r="U256" s="2">
        <v>0.28761999999999999</v>
      </c>
      <c r="V256" s="2">
        <v>255</v>
      </c>
      <c r="W256" s="2">
        <v>2012</v>
      </c>
    </row>
    <row r="257" spans="1:23" ht="12.3" x14ac:dyDescent="0.4">
      <c r="A257" s="2" t="s">
        <v>354</v>
      </c>
      <c r="B257" s="2"/>
      <c r="C257" s="2"/>
      <c r="D257" s="2"/>
      <c r="E257" s="2"/>
      <c r="F257" s="2"/>
      <c r="G257" s="2"/>
      <c r="H257" s="2"/>
      <c r="I257" s="2">
        <v>73.993700000000004</v>
      </c>
      <c r="J257" s="2">
        <v>4</v>
      </c>
      <c r="K257" s="2">
        <v>72.536199999999994</v>
      </c>
      <c r="L257" s="2">
        <v>7</v>
      </c>
      <c r="M257" s="2">
        <v>99.580699999999993</v>
      </c>
      <c r="N257" s="2">
        <v>198</v>
      </c>
      <c r="O257" s="2">
        <v>98.646900000000002</v>
      </c>
      <c r="P257" s="2">
        <v>225</v>
      </c>
      <c r="Q257" s="2">
        <v>104.43989999999999</v>
      </c>
      <c r="R257" s="2">
        <v>251</v>
      </c>
      <c r="S257" s="2">
        <v>106.80540000000001</v>
      </c>
      <c r="T257" s="2">
        <v>279</v>
      </c>
      <c r="U257" s="2">
        <v>0.28622199999999998</v>
      </c>
      <c r="V257" s="2">
        <v>256</v>
      </c>
      <c r="W257" s="2">
        <v>2012</v>
      </c>
    </row>
    <row r="258" spans="1:23" ht="12.3" x14ac:dyDescent="0.4">
      <c r="A258" s="2" t="s">
        <v>306</v>
      </c>
      <c r="B258" s="2"/>
      <c r="C258" s="2"/>
      <c r="D258" s="2"/>
      <c r="E258" s="2"/>
      <c r="F258" s="2"/>
      <c r="G258" s="2"/>
      <c r="H258" s="2"/>
      <c r="I258" s="2">
        <v>69.8095</v>
      </c>
      <c r="J258" s="2">
        <v>34</v>
      </c>
      <c r="K258" s="2">
        <v>69.214600000000004</v>
      </c>
      <c r="L258" s="2">
        <v>42</v>
      </c>
      <c r="M258" s="2">
        <v>96.823599999999999</v>
      </c>
      <c r="N258" s="2">
        <v>253</v>
      </c>
      <c r="O258" s="2">
        <v>97.142300000000006</v>
      </c>
      <c r="P258" s="2">
        <v>248</v>
      </c>
      <c r="Q258" s="2">
        <v>102.7068</v>
      </c>
      <c r="R258" s="2">
        <v>212</v>
      </c>
      <c r="S258" s="2">
        <v>105.2679</v>
      </c>
      <c r="T258" s="2">
        <v>262</v>
      </c>
      <c r="U258" s="2">
        <v>0.28418199999999999</v>
      </c>
      <c r="V258" s="2">
        <v>257</v>
      </c>
      <c r="W258" s="2">
        <v>2012</v>
      </c>
    </row>
    <row r="259" spans="1:23" ht="12.3" x14ac:dyDescent="0.4">
      <c r="A259" s="2" t="s">
        <v>358</v>
      </c>
      <c r="B259" s="2"/>
      <c r="C259" s="2"/>
      <c r="D259" s="2"/>
      <c r="E259" s="2"/>
      <c r="F259" s="2"/>
      <c r="G259" s="2"/>
      <c r="H259" s="2"/>
      <c r="I259" s="2">
        <v>66.902100000000004</v>
      </c>
      <c r="J259" s="2">
        <v>137</v>
      </c>
      <c r="K259" s="2">
        <v>67.044300000000007</v>
      </c>
      <c r="L259" s="2">
        <v>118</v>
      </c>
      <c r="M259" s="2">
        <v>105.498</v>
      </c>
      <c r="N259" s="2">
        <v>87</v>
      </c>
      <c r="O259" s="2">
        <v>102.43980000000001</v>
      </c>
      <c r="P259" s="2">
        <v>141</v>
      </c>
      <c r="Q259" s="2">
        <v>111.407</v>
      </c>
      <c r="R259" s="2">
        <v>333</v>
      </c>
      <c r="S259" s="2">
        <v>111.1294</v>
      </c>
      <c r="T259" s="2">
        <v>327</v>
      </c>
      <c r="U259" s="2">
        <v>0.281642</v>
      </c>
      <c r="V259" s="2">
        <v>258</v>
      </c>
      <c r="W259" s="2">
        <v>2012</v>
      </c>
    </row>
    <row r="260" spans="1:23" ht="12.3" x14ac:dyDescent="0.4">
      <c r="A260" s="2" t="s">
        <v>331</v>
      </c>
      <c r="B260" s="2"/>
      <c r="C260" s="2"/>
      <c r="D260" s="2"/>
      <c r="E260" s="2"/>
      <c r="F260" s="2"/>
      <c r="G260" s="2"/>
      <c r="H260" s="2"/>
      <c r="I260" s="2">
        <v>59.5137</v>
      </c>
      <c r="J260" s="2">
        <v>343</v>
      </c>
      <c r="K260" s="2">
        <v>59.990400000000001</v>
      </c>
      <c r="L260" s="2">
        <v>341</v>
      </c>
      <c r="M260" s="2">
        <v>88.574100000000001</v>
      </c>
      <c r="N260" s="2">
        <v>329</v>
      </c>
      <c r="O260" s="2">
        <v>89.605400000000003</v>
      </c>
      <c r="P260" s="2">
        <v>324</v>
      </c>
      <c r="Q260" s="2">
        <v>98.865499999999997</v>
      </c>
      <c r="R260" s="2">
        <v>122</v>
      </c>
      <c r="S260" s="2">
        <v>97.213800000000006</v>
      </c>
      <c r="T260" s="2">
        <v>86</v>
      </c>
      <c r="U260" s="2">
        <v>0.28146399999999999</v>
      </c>
      <c r="V260" s="2">
        <v>259</v>
      </c>
      <c r="W260" s="2">
        <v>2012</v>
      </c>
    </row>
    <row r="261" spans="1:23" ht="12.3" x14ac:dyDescent="0.4">
      <c r="A261" s="2" t="s">
        <v>42</v>
      </c>
      <c r="B261" s="2"/>
      <c r="C261" s="2"/>
      <c r="D261" s="2"/>
      <c r="E261" s="2"/>
      <c r="F261" s="2"/>
      <c r="G261" s="2"/>
      <c r="H261" s="2"/>
      <c r="I261" s="2">
        <v>61.040599999999998</v>
      </c>
      <c r="J261" s="2">
        <v>332</v>
      </c>
      <c r="K261" s="2">
        <v>61.323799999999999</v>
      </c>
      <c r="L261" s="2">
        <v>328</v>
      </c>
      <c r="M261" s="2">
        <v>85.857500000000002</v>
      </c>
      <c r="N261" s="2">
        <v>342</v>
      </c>
      <c r="O261" s="2">
        <v>87.511300000000006</v>
      </c>
      <c r="P261" s="2">
        <v>336</v>
      </c>
      <c r="Q261" s="2">
        <v>96.968299999999999</v>
      </c>
      <c r="R261" s="2">
        <v>79</v>
      </c>
      <c r="S261" s="2">
        <v>94.944199999999995</v>
      </c>
      <c r="T261" s="2">
        <v>52</v>
      </c>
      <c r="U261" s="2">
        <v>0.28140700000000002</v>
      </c>
      <c r="V261" s="2">
        <v>260</v>
      </c>
      <c r="W261" s="2">
        <v>2012</v>
      </c>
    </row>
    <row r="262" spans="1:23" ht="12.3" x14ac:dyDescent="0.4">
      <c r="A262" s="2" t="s">
        <v>345</v>
      </c>
      <c r="B262" s="2"/>
      <c r="C262" s="2"/>
      <c r="D262" s="2"/>
      <c r="E262" s="2"/>
      <c r="F262" s="2"/>
      <c r="G262" s="2"/>
      <c r="H262" s="2"/>
      <c r="I262" s="2">
        <v>67.598600000000005</v>
      </c>
      <c r="J262" s="2">
        <v>103</v>
      </c>
      <c r="K262" s="2">
        <v>67.066999999999993</v>
      </c>
      <c r="L262" s="2">
        <v>117</v>
      </c>
      <c r="M262" s="2">
        <v>98.091700000000003</v>
      </c>
      <c r="N262" s="2">
        <v>229</v>
      </c>
      <c r="O262" s="2">
        <v>97.281000000000006</v>
      </c>
      <c r="P262" s="2">
        <v>245</v>
      </c>
      <c r="Q262" s="2">
        <v>101.9496</v>
      </c>
      <c r="R262" s="2">
        <v>195</v>
      </c>
      <c r="S262" s="2">
        <v>105.7998</v>
      </c>
      <c r="T262" s="2">
        <v>269</v>
      </c>
      <c r="U262" s="2">
        <v>0.27580700000000002</v>
      </c>
      <c r="V262" s="2">
        <v>261</v>
      </c>
      <c r="W262" s="2">
        <v>2012</v>
      </c>
    </row>
    <row r="263" spans="1:23" ht="12.3" x14ac:dyDescent="0.4">
      <c r="A263" s="2" t="s">
        <v>263</v>
      </c>
      <c r="B263" s="2"/>
      <c r="C263" s="2"/>
      <c r="D263" s="2"/>
      <c r="E263" s="2"/>
      <c r="F263" s="2"/>
      <c r="G263" s="2"/>
      <c r="H263" s="2"/>
      <c r="I263" s="2">
        <v>73.692700000000002</v>
      </c>
      <c r="J263" s="2">
        <v>5</v>
      </c>
      <c r="K263" s="2">
        <v>73.553200000000004</v>
      </c>
      <c r="L263" s="2">
        <v>4</v>
      </c>
      <c r="M263" s="2">
        <v>103.7907</v>
      </c>
      <c r="N263" s="2">
        <v>116</v>
      </c>
      <c r="O263" s="2">
        <v>100.4931</v>
      </c>
      <c r="P263" s="2">
        <v>176</v>
      </c>
      <c r="Q263" s="2">
        <v>109.0064</v>
      </c>
      <c r="R263" s="2">
        <v>315</v>
      </c>
      <c r="S263" s="2">
        <v>109.3095</v>
      </c>
      <c r="T263" s="2">
        <v>314</v>
      </c>
      <c r="U263" s="2">
        <v>0.27546199999999998</v>
      </c>
      <c r="V263" s="2">
        <v>262</v>
      </c>
      <c r="W263" s="2">
        <v>2012</v>
      </c>
    </row>
    <row r="264" spans="1:23" ht="12.3" x14ac:dyDescent="0.4">
      <c r="A264" s="2" t="s">
        <v>235</v>
      </c>
      <c r="B264" s="2"/>
      <c r="C264" s="2"/>
      <c r="D264" s="2"/>
      <c r="E264" s="2"/>
      <c r="F264" s="2"/>
      <c r="G264" s="2"/>
      <c r="H264" s="2"/>
      <c r="I264" s="2">
        <v>64.224599999999995</v>
      </c>
      <c r="J264" s="2">
        <v>269</v>
      </c>
      <c r="K264" s="2">
        <v>64.904600000000002</v>
      </c>
      <c r="L264" s="2">
        <v>231</v>
      </c>
      <c r="M264" s="2">
        <v>95.282700000000006</v>
      </c>
      <c r="N264" s="2">
        <v>279</v>
      </c>
      <c r="O264" s="2">
        <v>96.382999999999996</v>
      </c>
      <c r="P264" s="2">
        <v>263</v>
      </c>
      <c r="Q264" s="2">
        <v>103.4649</v>
      </c>
      <c r="R264" s="2">
        <v>226</v>
      </c>
      <c r="S264" s="2">
        <v>104.9435</v>
      </c>
      <c r="T264" s="2">
        <v>254</v>
      </c>
      <c r="U264" s="2">
        <v>0.273177</v>
      </c>
      <c r="V264" s="2">
        <v>263</v>
      </c>
      <c r="W264" s="2">
        <v>2012</v>
      </c>
    </row>
    <row r="265" spans="1:23" ht="12.3" x14ac:dyDescent="0.4">
      <c r="A265" s="2" t="s">
        <v>240</v>
      </c>
      <c r="B265" s="2"/>
      <c r="C265" s="2"/>
      <c r="D265" s="2"/>
      <c r="E265" s="2"/>
      <c r="F265" s="2"/>
      <c r="G265" s="2"/>
      <c r="H265" s="2"/>
      <c r="I265" s="2">
        <v>63.203499999999998</v>
      </c>
      <c r="J265" s="2">
        <v>298</v>
      </c>
      <c r="K265" s="2">
        <v>62.860900000000001</v>
      </c>
      <c r="L265" s="2">
        <v>302</v>
      </c>
      <c r="M265" s="2">
        <v>95.741900000000001</v>
      </c>
      <c r="N265" s="2">
        <v>273</v>
      </c>
      <c r="O265" s="2">
        <v>92.716099999999997</v>
      </c>
      <c r="P265" s="2">
        <v>300</v>
      </c>
      <c r="Q265" s="2">
        <v>102.6078</v>
      </c>
      <c r="R265" s="2">
        <v>208</v>
      </c>
      <c r="S265" s="2">
        <v>100.9806</v>
      </c>
      <c r="T265" s="2">
        <v>160</v>
      </c>
      <c r="U265" s="2">
        <v>0.27250799999999997</v>
      </c>
      <c r="V265" s="2">
        <v>264</v>
      </c>
      <c r="W265" s="2">
        <v>2012</v>
      </c>
    </row>
    <row r="266" spans="1:23" ht="12.3" x14ac:dyDescent="0.4">
      <c r="A266" s="2" t="s">
        <v>324</v>
      </c>
      <c r="B266" s="2"/>
      <c r="C266" s="2"/>
      <c r="D266" s="2"/>
      <c r="E266" s="2"/>
      <c r="F266" s="2"/>
      <c r="G266" s="2"/>
      <c r="H266" s="2"/>
      <c r="I266" s="2">
        <v>62.936999999999998</v>
      </c>
      <c r="J266" s="2">
        <v>304</v>
      </c>
      <c r="K266" s="2">
        <v>62.710900000000002</v>
      </c>
      <c r="L266" s="2">
        <v>307</v>
      </c>
      <c r="M266" s="2">
        <v>101.7338</v>
      </c>
      <c r="N266" s="2">
        <v>160</v>
      </c>
      <c r="O266" s="2">
        <v>99.177999999999997</v>
      </c>
      <c r="P266" s="2">
        <v>209</v>
      </c>
      <c r="Q266" s="2">
        <v>105.7439</v>
      </c>
      <c r="R266" s="2">
        <v>278</v>
      </c>
      <c r="S266" s="2">
        <v>108.11369999999999</v>
      </c>
      <c r="T266" s="2">
        <v>298</v>
      </c>
      <c r="U266" s="2">
        <v>0.27050099999999999</v>
      </c>
      <c r="V266" s="2">
        <v>265</v>
      </c>
      <c r="W266" s="2">
        <v>2012</v>
      </c>
    </row>
    <row r="267" spans="1:23" ht="12.3" x14ac:dyDescent="0.4">
      <c r="A267" s="2" t="s">
        <v>95</v>
      </c>
      <c r="B267" s="2"/>
      <c r="C267" s="2"/>
      <c r="D267" s="2"/>
      <c r="E267" s="2"/>
      <c r="F267" s="2"/>
      <c r="G267" s="2"/>
      <c r="H267" s="2"/>
      <c r="I267" s="2">
        <v>64.863500000000002</v>
      </c>
      <c r="J267" s="2">
        <v>236</v>
      </c>
      <c r="K267" s="2">
        <v>65.327699999999993</v>
      </c>
      <c r="L267" s="2">
        <v>206</v>
      </c>
      <c r="M267" s="2">
        <v>90.4679</v>
      </c>
      <c r="N267" s="2">
        <v>320</v>
      </c>
      <c r="O267" s="2">
        <v>93.311300000000003</v>
      </c>
      <c r="P267" s="2">
        <v>295</v>
      </c>
      <c r="Q267" s="2">
        <v>104.5132</v>
      </c>
      <c r="R267" s="2">
        <v>253</v>
      </c>
      <c r="S267" s="2">
        <v>101.85120000000001</v>
      </c>
      <c r="T267" s="2">
        <v>185</v>
      </c>
      <c r="U267" s="2">
        <v>0.26755299999999999</v>
      </c>
      <c r="V267" s="2">
        <v>266</v>
      </c>
      <c r="W267" s="2">
        <v>2012</v>
      </c>
    </row>
    <row r="268" spans="1:23" ht="12.3" x14ac:dyDescent="0.4">
      <c r="A268" s="2" t="s">
        <v>278</v>
      </c>
      <c r="B268" s="2"/>
      <c r="C268" s="2"/>
      <c r="D268" s="2"/>
      <c r="E268" s="2"/>
      <c r="F268" s="2"/>
      <c r="G268" s="2"/>
      <c r="H268" s="2"/>
      <c r="I268" s="2">
        <v>65.608599999999996</v>
      </c>
      <c r="J268" s="2">
        <v>202</v>
      </c>
      <c r="K268" s="2">
        <v>65.109399999999994</v>
      </c>
      <c r="L268" s="2">
        <v>216</v>
      </c>
      <c r="M268" s="2">
        <v>98.741500000000002</v>
      </c>
      <c r="N268" s="2">
        <v>211</v>
      </c>
      <c r="O268" s="2">
        <v>98.800600000000003</v>
      </c>
      <c r="P268" s="2">
        <v>218</v>
      </c>
      <c r="Q268" s="2">
        <v>109.0085</v>
      </c>
      <c r="R268" s="2">
        <v>316</v>
      </c>
      <c r="S268" s="2">
        <v>107.8904</v>
      </c>
      <c r="T268" s="2">
        <v>294</v>
      </c>
      <c r="U268" s="2">
        <v>0.26656200000000002</v>
      </c>
      <c r="V268" s="2">
        <v>267</v>
      </c>
      <c r="W268" s="2">
        <v>2012</v>
      </c>
    </row>
    <row r="269" spans="1:23" ht="12.3" x14ac:dyDescent="0.4">
      <c r="A269" s="2" t="s">
        <v>251</v>
      </c>
      <c r="B269" s="2"/>
      <c r="C269" s="2"/>
      <c r="D269" s="2"/>
      <c r="E269" s="2"/>
      <c r="F269" s="2"/>
      <c r="G269" s="2"/>
      <c r="H269" s="2"/>
      <c r="I269" s="2">
        <v>69.8352</v>
      </c>
      <c r="J269" s="2">
        <v>33</v>
      </c>
      <c r="K269" s="2">
        <v>69.131799999999998</v>
      </c>
      <c r="L269" s="2">
        <v>43</v>
      </c>
      <c r="M269" s="2">
        <v>94.981700000000004</v>
      </c>
      <c r="N269" s="2">
        <v>281</v>
      </c>
      <c r="O269" s="2">
        <v>96.747699999999995</v>
      </c>
      <c r="P269" s="2">
        <v>254</v>
      </c>
      <c r="Q269" s="2">
        <v>107.5012</v>
      </c>
      <c r="R269" s="2">
        <v>299</v>
      </c>
      <c r="S269" s="2">
        <v>105.685</v>
      </c>
      <c r="T269" s="2">
        <v>267</v>
      </c>
      <c r="U269" s="2">
        <v>0.26578800000000002</v>
      </c>
      <c r="V269" s="2">
        <v>268</v>
      </c>
      <c r="W269" s="2">
        <v>2012</v>
      </c>
    </row>
    <row r="270" spans="1:23" ht="12.3" x14ac:dyDescent="0.4">
      <c r="A270" s="2" t="s">
        <v>325</v>
      </c>
      <c r="B270" s="2"/>
      <c r="C270" s="2"/>
      <c r="D270" s="2"/>
      <c r="E270" s="2"/>
      <c r="F270" s="2"/>
      <c r="G270" s="2"/>
      <c r="H270" s="2"/>
      <c r="I270" s="2">
        <v>66.387600000000006</v>
      </c>
      <c r="J270" s="2">
        <v>160</v>
      </c>
      <c r="K270" s="2">
        <v>66.293000000000006</v>
      </c>
      <c r="L270" s="2">
        <v>151</v>
      </c>
      <c r="M270" s="2">
        <v>91.894599999999997</v>
      </c>
      <c r="N270" s="2">
        <v>308</v>
      </c>
      <c r="O270" s="2">
        <v>91.337500000000006</v>
      </c>
      <c r="P270" s="2">
        <v>314</v>
      </c>
      <c r="Q270" s="2">
        <v>94.269099999999995</v>
      </c>
      <c r="R270" s="2">
        <v>41</v>
      </c>
      <c r="S270" s="2">
        <v>99.893799999999999</v>
      </c>
      <c r="T270" s="2">
        <v>141</v>
      </c>
      <c r="U270" s="2">
        <v>0.26312600000000003</v>
      </c>
      <c r="V270" s="2">
        <v>269</v>
      </c>
      <c r="W270" s="2">
        <v>2012</v>
      </c>
    </row>
    <row r="271" spans="1:23" ht="12.3" x14ac:dyDescent="0.4">
      <c r="A271" s="2" t="s">
        <v>127</v>
      </c>
      <c r="B271" s="2"/>
      <c r="C271" s="2"/>
      <c r="D271" s="2"/>
      <c r="E271" s="2"/>
      <c r="F271" s="2"/>
      <c r="G271" s="2"/>
      <c r="H271" s="2"/>
      <c r="I271" s="2">
        <v>71.910499999999999</v>
      </c>
      <c r="J271" s="2">
        <v>13</v>
      </c>
      <c r="K271" s="2">
        <v>72.219700000000003</v>
      </c>
      <c r="L271" s="2">
        <v>10</v>
      </c>
      <c r="M271" s="2">
        <v>96.071600000000004</v>
      </c>
      <c r="N271" s="2">
        <v>266</v>
      </c>
      <c r="O271" s="2">
        <v>96.043499999999995</v>
      </c>
      <c r="P271" s="2">
        <v>275</v>
      </c>
      <c r="Q271" s="2">
        <v>106.8035</v>
      </c>
      <c r="R271" s="2">
        <v>291</v>
      </c>
      <c r="S271" s="2">
        <v>105.0733</v>
      </c>
      <c r="T271" s="2">
        <v>257</v>
      </c>
      <c r="U271" s="2">
        <v>0.26243499999999997</v>
      </c>
      <c r="V271" s="2">
        <v>270</v>
      </c>
      <c r="W271" s="2">
        <v>2012</v>
      </c>
    </row>
    <row r="272" spans="1:23" ht="12.3" x14ac:dyDescent="0.4">
      <c r="A272" s="2" t="s">
        <v>322</v>
      </c>
      <c r="B272" s="2"/>
      <c r="C272" s="2"/>
      <c r="D272" s="2"/>
      <c r="E272" s="2"/>
      <c r="F272" s="2"/>
      <c r="G272" s="2"/>
      <c r="H272" s="2"/>
      <c r="I272" s="2">
        <v>69.544200000000004</v>
      </c>
      <c r="J272" s="2">
        <v>39</v>
      </c>
      <c r="K272" s="2">
        <v>69.470699999999994</v>
      </c>
      <c r="L272" s="2">
        <v>34</v>
      </c>
      <c r="M272" s="2">
        <v>99.315200000000004</v>
      </c>
      <c r="N272" s="2">
        <v>202</v>
      </c>
      <c r="O272" s="2">
        <v>97.025899999999993</v>
      </c>
      <c r="P272" s="2">
        <v>252</v>
      </c>
      <c r="Q272" s="2">
        <v>107.87649999999999</v>
      </c>
      <c r="R272" s="2">
        <v>303</v>
      </c>
      <c r="S272" s="2">
        <v>106.26139999999999</v>
      </c>
      <c r="T272" s="2">
        <v>274</v>
      </c>
      <c r="U272" s="2">
        <v>0.26006699999999999</v>
      </c>
      <c r="V272" s="2">
        <v>271</v>
      </c>
      <c r="W272" s="2">
        <v>2012</v>
      </c>
    </row>
    <row r="273" spans="1:23" ht="12.3" x14ac:dyDescent="0.4">
      <c r="A273" s="2" t="s">
        <v>356</v>
      </c>
      <c r="B273" s="2"/>
      <c r="C273" s="2"/>
      <c r="D273" s="2"/>
      <c r="E273" s="2"/>
      <c r="F273" s="2"/>
      <c r="G273" s="2"/>
      <c r="H273" s="2"/>
      <c r="I273" s="2">
        <v>67.864900000000006</v>
      </c>
      <c r="J273" s="2">
        <v>89</v>
      </c>
      <c r="K273" s="2">
        <v>68.216300000000004</v>
      </c>
      <c r="L273" s="2">
        <v>71</v>
      </c>
      <c r="M273" s="2">
        <v>101.8955</v>
      </c>
      <c r="N273" s="2">
        <v>154</v>
      </c>
      <c r="O273" s="2">
        <v>103.2145</v>
      </c>
      <c r="P273" s="2">
        <v>128</v>
      </c>
      <c r="Q273" s="2">
        <v>111.4254</v>
      </c>
      <c r="R273" s="2">
        <v>334</v>
      </c>
      <c r="S273" s="2">
        <v>113.2259</v>
      </c>
      <c r="T273" s="2">
        <v>336</v>
      </c>
      <c r="U273" s="2">
        <v>0.25642599999999999</v>
      </c>
      <c r="V273" s="2">
        <v>272</v>
      </c>
      <c r="W273" s="2">
        <v>2012</v>
      </c>
    </row>
    <row r="274" spans="1:23" ht="12.3" x14ac:dyDescent="0.4">
      <c r="A274" s="2" t="s">
        <v>245</v>
      </c>
      <c r="B274" s="2"/>
      <c r="C274" s="2"/>
      <c r="D274" s="2"/>
      <c r="E274" s="2"/>
      <c r="F274" s="2"/>
      <c r="G274" s="2"/>
      <c r="H274" s="2"/>
      <c r="I274" s="2">
        <v>67.418000000000006</v>
      </c>
      <c r="J274" s="2">
        <v>112</v>
      </c>
      <c r="K274" s="2">
        <v>68.488399999999999</v>
      </c>
      <c r="L274" s="2">
        <v>60</v>
      </c>
      <c r="M274" s="2">
        <v>90.485299999999995</v>
      </c>
      <c r="N274" s="2">
        <v>318</v>
      </c>
      <c r="O274" s="2">
        <v>92.2881</v>
      </c>
      <c r="P274" s="2">
        <v>305</v>
      </c>
      <c r="Q274" s="2">
        <v>104.6005</v>
      </c>
      <c r="R274" s="2">
        <v>256</v>
      </c>
      <c r="S274" s="2">
        <v>101.2505</v>
      </c>
      <c r="T274" s="2">
        <v>171</v>
      </c>
      <c r="U274" s="2">
        <v>0.25619199999999998</v>
      </c>
      <c r="V274" s="2">
        <v>273</v>
      </c>
      <c r="W274" s="2">
        <v>2012</v>
      </c>
    </row>
    <row r="275" spans="1:23" ht="12.3" x14ac:dyDescent="0.4">
      <c r="A275" s="2" t="s">
        <v>346</v>
      </c>
      <c r="B275" s="2"/>
      <c r="C275" s="2"/>
      <c r="D275" s="2"/>
      <c r="E275" s="2"/>
      <c r="F275" s="2"/>
      <c r="G275" s="2"/>
      <c r="H275" s="2"/>
      <c r="I275" s="2">
        <v>65.899900000000002</v>
      </c>
      <c r="J275" s="2">
        <v>188</v>
      </c>
      <c r="K275" s="2">
        <v>64.925600000000003</v>
      </c>
      <c r="L275" s="2">
        <v>227</v>
      </c>
      <c r="M275" s="2">
        <v>101.7315</v>
      </c>
      <c r="N275" s="2">
        <v>161</v>
      </c>
      <c r="O275" s="2">
        <v>99.14</v>
      </c>
      <c r="P275" s="2">
        <v>210</v>
      </c>
      <c r="Q275" s="2">
        <v>108.747</v>
      </c>
      <c r="R275" s="2">
        <v>311</v>
      </c>
      <c r="S275" s="2">
        <v>108.8672</v>
      </c>
      <c r="T275" s="2">
        <v>308</v>
      </c>
      <c r="U275" s="2">
        <v>0.25419799999999998</v>
      </c>
      <c r="V275" s="2">
        <v>274</v>
      </c>
      <c r="W275" s="2">
        <v>2012</v>
      </c>
    </row>
    <row r="276" spans="1:23" ht="12.3" x14ac:dyDescent="0.4">
      <c r="A276" s="2" t="s">
        <v>166</v>
      </c>
      <c r="B276" s="2"/>
      <c r="C276" s="2"/>
      <c r="D276" s="2"/>
      <c r="E276" s="2"/>
      <c r="F276" s="2"/>
      <c r="G276" s="2"/>
      <c r="H276" s="2"/>
      <c r="I276" s="2">
        <v>68.934200000000004</v>
      </c>
      <c r="J276" s="2">
        <v>52</v>
      </c>
      <c r="K276" s="2">
        <v>68.692599999999999</v>
      </c>
      <c r="L276" s="2">
        <v>54</v>
      </c>
      <c r="M276" s="2">
        <v>97.624200000000002</v>
      </c>
      <c r="N276" s="2">
        <v>241</v>
      </c>
      <c r="O276" s="2">
        <v>96.1327</v>
      </c>
      <c r="P276" s="2">
        <v>270</v>
      </c>
      <c r="Q276" s="2">
        <v>102.53319999999999</v>
      </c>
      <c r="R276" s="2">
        <v>205</v>
      </c>
      <c r="S276" s="2">
        <v>105.6357</v>
      </c>
      <c r="T276" s="2">
        <v>266</v>
      </c>
      <c r="U276" s="2">
        <v>0.25273800000000002</v>
      </c>
      <c r="V276" s="2">
        <v>275</v>
      </c>
      <c r="W276" s="2">
        <v>2012</v>
      </c>
    </row>
    <row r="277" spans="1:23" ht="12.3" x14ac:dyDescent="0.4">
      <c r="A277" s="2" t="s">
        <v>208</v>
      </c>
      <c r="B277" s="2"/>
      <c r="C277" s="2"/>
      <c r="D277" s="2"/>
      <c r="E277" s="2"/>
      <c r="F277" s="2"/>
      <c r="G277" s="2"/>
      <c r="H277" s="2"/>
      <c r="I277" s="2">
        <v>63.672899999999998</v>
      </c>
      <c r="J277" s="2">
        <v>279</v>
      </c>
      <c r="K277" s="2">
        <v>62.716500000000003</v>
      </c>
      <c r="L277" s="2">
        <v>306</v>
      </c>
      <c r="M277" s="2">
        <v>100.7595</v>
      </c>
      <c r="N277" s="2">
        <v>174</v>
      </c>
      <c r="O277" s="2">
        <v>101.0351</v>
      </c>
      <c r="P277" s="2">
        <v>167</v>
      </c>
      <c r="Q277" s="2">
        <v>109.6545</v>
      </c>
      <c r="R277" s="2">
        <v>320</v>
      </c>
      <c r="S277" s="2">
        <v>111.2619</v>
      </c>
      <c r="T277" s="2">
        <v>328</v>
      </c>
      <c r="U277" s="2">
        <v>0.24809100000000001</v>
      </c>
      <c r="V277" s="2">
        <v>276</v>
      </c>
      <c r="W277" s="2">
        <v>2012</v>
      </c>
    </row>
    <row r="278" spans="1:23" ht="12.3" x14ac:dyDescent="0.4">
      <c r="A278" s="2" t="s">
        <v>135</v>
      </c>
      <c r="B278" s="2"/>
      <c r="C278" s="2"/>
      <c r="D278" s="2"/>
      <c r="E278" s="2"/>
      <c r="F278" s="2"/>
      <c r="G278" s="2"/>
      <c r="H278" s="2"/>
      <c r="I278" s="2">
        <v>68.035499999999999</v>
      </c>
      <c r="J278" s="2">
        <v>80</v>
      </c>
      <c r="K278" s="2">
        <v>68.182900000000004</v>
      </c>
      <c r="L278" s="2">
        <v>75</v>
      </c>
      <c r="M278" s="2">
        <v>94.289900000000003</v>
      </c>
      <c r="N278" s="2">
        <v>291</v>
      </c>
      <c r="O278" s="2">
        <v>90.897800000000004</v>
      </c>
      <c r="P278" s="2">
        <v>317</v>
      </c>
      <c r="Q278" s="2">
        <v>97.650400000000005</v>
      </c>
      <c r="R278" s="2">
        <v>92</v>
      </c>
      <c r="S278" s="2">
        <v>100.1258</v>
      </c>
      <c r="T278" s="2">
        <v>147</v>
      </c>
      <c r="U278" s="2">
        <v>0.24750800000000001</v>
      </c>
      <c r="V278" s="2">
        <v>277</v>
      </c>
      <c r="W278" s="2">
        <v>2012</v>
      </c>
    </row>
    <row r="279" spans="1:23" ht="12.3" x14ac:dyDescent="0.4">
      <c r="A279" s="2" t="s">
        <v>341</v>
      </c>
      <c r="B279" s="2"/>
      <c r="C279" s="2"/>
      <c r="D279" s="2"/>
      <c r="E279" s="2"/>
      <c r="F279" s="2"/>
      <c r="G279" s="2"/>
      <c r="H279" s="2"/>
      <c r="I279" s="2">
        <v>69.450100000000006</v>
      </c>
      <c r="J279" s="2">
        <v>40</v>
      </c>
      <c r="K279" s="2">
        <v>69.238100000000003</v>
      </c>
      <c r="L279" s="2">
        <v>40</v>
      </c>
      <c r="M279" s="2">
        <v>106.35980000000001</v>
      </c>
      <c r="N279" s="2">
        <v>71</v>
      </c>
      <c r="O279" s="2">
        <v>104.9482</v>
      </c>
      <c r="P279" s="2">
        <v>97</v>
      </c>
      <c r="Q279" s="2">
        <v>110.4875</v>
      </c>
      <c r="R279" s="2">
        <v>327</v>
      </c>
      <c r="S279" s="2">
        <v>115.61279999999999</v>
      </c>
      <c r="T279" s="2">
        <v>342</v>
      </c>
      <c r="U279" s="2">
        <v>0.24731700000000001</v>
      </c>
      <c r="V279" s="2">
        <v>278</v>
      </c>
      <c r="W279" s="2">
        <v>2012</v>
      </c>
    </row>
    <row r="280" spans="1:23" ht="12.3" x14ac:dyDescent="0.4">
      <c r="A280" s="2" t="s">
        <v>126</v>
      </c>
      <c r="B280" s="2"/>
      <c r="C280" s="2"/>
      <c r="D280" s="2"/>
      <c r="E280" s="2"/>
      <c r="F280" s="2"/>
      <c r="G280" s="2"/>
      <c r="H280" s="2"/>
      <c r="I280" s="2">
        <v>62.701700000000002</v>
      </c>
      <c r="J280" s="2">
        <v>315</v>
      </c>
      <c r="K280" s="2">
        <v>62.498899999999999</v>
      </c>
      <c r="L280" s="2">
        <v>315</v>
      </c>
      <c r="M280" s="2">
        <v>98.113</v>
      </c>
      <c r="N280" s="2">
        <v>227</v>
      </c>
      <c r="O280" s="2">
        <v>96.087299999999999</v>
      </c>
      <c r="P280" s="2">
        <v>274</v>
      </c>
      <c r="Q280" s="2">
        <v>107.2574</v>
      </c>
      <c r="R280" s="2">
        <v>297</v>
      </c>
      <c r="S280" s="2">
        <v>105.8762</v>
      </c>
      <c r="T280" s="2">
        <v>270</v>
      </c>
      <c r="U280" s="2">
        <v>0.24681800000000001</v>
      </c>
      <c r="V280" s="2">
        <v>279</v>
      </c>
      <c r="W280" s="2">
        <v>2012</v>
      </c>
    </row>
    <row r="281" spans="1:23" ht="12.3" x14ac:dyDescent="0.4">
      <c r="A281" s="2" t="s">
        <v>377</v>
      </c>
      <c r="B281" s="2"/>
      <c r="C281" s="2"/>
      <c r="D281" s="2"/>
      <c r="E281" s="2"/>
      <c r="F281" s="2"/>
      <c r="G281" s="2"/>
      <c r="H281" s="2"/>
      <c r="I281" s="2">
        <v>69.030199999999994</v>
      </c>
      <c r="J281" s="2">
        <v>46</v>
      </c>
      <c r="K281" s="2">
        <v>69.352699999999999</v>
      </c>
      <c r="L281" s="2">
        <v>39</v>
      </c>
      <c r="M281" s="2">
        <v>99.594800000000006</v>
      </c>
      <c r="N281" s="2">
        <v>197</v>
      </c>
      <c r="O281" s="2">
        <v>98.1066</v>
      </c>
      <c r="P281" s="2">
        <v>232</v>
      </c>
      <c r="Q281" s="2">
        <v>108.5307</v>
      </c>
      <c r="R281" s="2">
        <v>308</v>
      </c>
      <c r="S281" s="2">
        <v>108.2165</v>
      </c>
      <c r="T281" s="2">
        <v>300</v>
      </c>
      <c r="U281" s="2">
        <v>0.24454600000000001</v>
      </c>
      <c r="V281" s="2">
        <v>280</v>
      </c>
      <c r="W281" s="2">
        <v>2012</v>
      </c>
    </row>
    <row r="282" spans="1:23" ht="12.3" x14ac:dyDescent="0.4">
      <c r="A282" s="2" t="s">
        <v>211</v>
      </c>
      <c r="B282" s="2"/>
      <c r="C282" s="2"/>
      <c r="D282" s="2"/>
      <c r="E282" s="2"/>
      <c r="F282" s="2"/>
      <c r="G282" s="2"/>
      <c r="H282" s="2"/>
      <c r="I282" s="2">
        <v>65.800700000000006</v>
      </c>
      <c r="J282" s="2">
        <v>195</v>
      </c>
      <c r="K282" s="2">
        <v>64.881600000000006</v>
      </c>
      <c r="L282" s="2">
        <v>232</v>
      </c>
      <c r="M282" s="2">
        <v>96.394999999999996</v>
      </c>
      <c r="N282" s="2">
        <v>259</v>
      </c>
      <c r="O282" s="2">
        <v>93.563699999999997</v>
      </c>
      <c r="P282" s="2">
        <v>292</v>
      </c>
      <c r="Q282" s="2">
        <v>101.5386</v>
      </c>
      <c r="R282" s="2">
        <v>187</v>
      </c>
      <c r="S282" s="2">
        <v>103.2937</v>
      </c>
      <c r="T282" s="2">
        <v>217</v>
      </c>
      <c r="U282" s="2">
        <v>0.24273400000000001</v>
      </c>
      <c r="V282" s="2">
        <v>281</v>
      </c>
      <c r="W282" s="2">
        <v>2012</v>
      </c>
    </row>
    <row r="283" spans="1:23" ht="12.3" x14ac:dyDescent="0.4">
      <c r="A283" s="2" t="s">
        <v>309</v>
      </c>
      <c r="B283" s="2"/>
      <c r="C283" s="2"/>
      <c r="D283" s="2"/>
      <c r="E283" s="2"/>
      <c r="F283" s="2"/>
      <c r="G283" s="2"/>
      <c r="H283" s="2"/>
      <c r="I283" s="2">
        <v>66.775199999999998</v>
      </c>
      <c r="J283" s="2">
        <v>142</v>
      </c>
      <c r="K283" s="2">
        <v>67.9024</v>
      </c>
      <c r="L283" s="2">
        <v>85</v>
      </c>
      <c r="M283" s="2">
        <v>99.137</v>
      </c>
      <c r="N283" s="2">
        <v>203</v>
      </c>
      <c r="O283" s="2">
        <v>94.314899999999994</v>
      </c>
      <c r="P283" s="2">
        <v>287</v>
      </c>
      <c r="Q283" s="2">
        <v>101.994</v>
      </c>
      <c r="R283" s="2">
        <v>197</v>
      </c>
      <c r="S283" s="2">
        <v>104.23180000000001</v>
      </c>
      <c r="T283" s="2">
        <v>243</v>
      </c>
      <c r="U283" s="2">
        <v>0.240535</v>
      </c>
      <c r="V283" s="2">
        <v>282</v>
      </c>
      <c r="W283" s="2">
        <v>2012</v>
      </c>
    </row>
    <row r="284" spans="1:23" ht="12.3" x14ac:dyDescent="0.4">
      <c r="A284" s="2" t="s">
        <v>217</v>
      </c>
      <c r="B284" s="2"/>
      <c r="C284" s="2"/>
      <c r="D284" s="2"/>
      <c r="E284" s="2"/>
      <c r="F284" s="2"/>
      <c r="G284" s="2"/>
      <c r="H284" s="2"/>
      <c r="I284" s="2">
        <v>67.012</v>
      </c>
      <c r="J284" s="2">
        <v>127</v>
      </c>
      <c r="K284" s="2">
        <v>66.439700000000002</v>
      </c>
      <c r="L284" s="2">
        <v>146</v>
      </c>
      <c r="M284" s="2">
        <v>101.7298</v>
      </c>
      <c r="N284" s="2">
        <v>162</v>
      </c>
      <c r="O284" s="2">
        <v>101.56659999999999</v>
      </c>
      <c r="P284" s="2">
        <v>156</v>
      </c>
      <c r="Q284" s="2">
        <v>112.92310000000001</v>
      </c>
      <c r="R284" s="2">
        <v>340</v>
      </c>
      <c r="S284" s="2">
        <v>112.4218</v>
      </c>
      <c r="T284" s="2">
        <v>333</v>
      </c>
      <c r="U284" s="2">
        <v>0.237262</v>
      </c>
      <c r="V284" s="2">
        <v>283</v>
      </c>
      <c r="W284" s="2">
        <v>2012</v>
      </c>
    </row>
    <row r="285" spans="1:23" ht="12.3" x14ac:dyDescent="0.4">
      <c r="A285" s="2" t="s">
        <v>225</v>
      </c>
      <c r="B285" s="2"/>
      <c r="C285" s="2"/>
      <c r="D285" s="2"/>
      <c r="E285" s="2"/>
      <c r="F285" s="2"/>
      <c r="G285" s="2"/>
      <c r="H285" s="2"/>
      <c r="I285" s="2">
        <v>63.820599999999999</v>
      </c>
      <c r="J285" s="2">
        <v>277</v>
      </c>
      <c r="K285" s="2">
        <v>63.545000000000002</v>
      </c>
      <c r="L285" s="2">
        <v>285</v>
      </c>
      <c r="M285" s="2">
        <v>87.204300000000003</v>
      </c>
      <c r="N285" s="2">
        <v>337</v>
      </c>
      <c r="O285" s="2">
        <v>88.721599999999995</v>
      </c>
      <c r="P285" s="2">
        <v>330</v>
      </c>
      <c r="Q285" s="2">
        <v>97.063999999999993</v>
      </c>
      <c r="R285" s="2">
        <v>80</v>
      </c>
      <c r="S285" s="2">
        <v>98.429400000000001</v>
      </c>
      <c r="T285" s="2">
        <v>113</v>
      </c>
      <c r="U285" s="2">
        <v>0.23252200000000001</v>
      </c>
      <c r="V285" s="2">
        <v>284</v>
      </c>
      <c r="W285" s="2">
        <v>2012</v>
      </c>
    </row>
    <row r="286" spans="1:23" ht="12.3" x14ac:dyDescent="0.4">
      <c r="A286" s="2" t="s">
        <v>290</v>
      </c>
      <c r="B286" s="2"/>
      <c r="C286" s="2"/>
      <c r="D286" s="2"/>
      <c r="E286" s="2"/>
      <c r="F286" s="2"/>
      <c r="G286" s="2"/>
      <c r="H286" s="2"/>
      <c r="I286" s="2">
        <v>68.229299999999995</v>
      </c>
      <c r="J286" s="2">
        <v>76</v>
      </c>
      <c r="K286" s="2">
        <v>67.790499999999994</v>
      </c>
      <c r="L286" s="2">
        <v>88</v>
      </c>
      <c r="M286" s="2">
        <v>94.756299999999996</v>
      </c>
      <c r="N286" s="2">
        <v>285</v>
      </c>
      <c r="O286" s="2">
        <v>97.096400000000003</v>
      </c>
      <c r="P286" s="2">
        <v>250</v>
      </c>
      <c r="Q286" s="2">
        <v>111.431</v>
      </c>
      <c r="R286" s="2">
        <v>335</v>
      </c>
      <c r="S286" s="2">
        <v>107.774</v>
      </c>
      <c r="T286" s="2">
        <v>291</v>
      </c>
      <c r="U286" s="2">
        <v>0.23150699999999999</v>
      </c>
      <c r="V286" s="2">
        <v>285</v>
      </c>
      <c r="W286" s="2">
        <v>2012</v>
      </c>
    </row>
    <row r="287" spans="1:23" ht="12.3" x14ac:dyDescent="0.4">
      <c r="A287" s="2" t="s">
        <v>257</v>
      </c>
      <c r="B287" s="2"/>
      <c r="C287" s="2"/>
      <c r="D287" s="2"/>
      <c r="E287" s="2"/>
      <c r="F287" s="2"/>
      <c r="G287" s="2"/>
      <c r="H287" s="2"/>
      <c r="I287" s="2">
        <v>63.428199999999997</v>
      </c>
      <c r="J287" s="2">
        <v>287</v>
      </c>
      <c r="K287" s="2">
        <v>63.508000000000003</v>
      </c>
      <c r="L287" s="2">
        <v>287</v>
      </c>
      <c r="M287" s="2">
        <v>94.241900000000001</v>
      </c>
      <c r="N287" s="2">
        <v>294</v>
      </c>
      <c r="O287" s="2">
        <v>97.266000000000005</v>
      </c>
      <c r="P287" s="2">
        <v>246</v>
      </c>
      <c r="Q287" s="2">
        <v>110.1562</v>
      </c>
      <c r="R287" s="2">
        <v>324</v>
      </c>
      <c r="S287" s="2">
        <v>108.0476</v>
      </c>
      <c r="T287" s="2">
        <v>297</v>
      </c>
      <c r="U287" s="2">
        <v>0.22989399999999999</v>
      </c>
      <c r="V287" s="2">
        <v>286</v>
      </c>
      <c r="W287" s="2">
        <v>2012</v>
      </c>
    </row>
    <row r="288" spans="1:23" ht="12.3" x14ac:dyDescent="0.4">
      <c r="A288" s="2" t="s">
        <v>144</v>
      </c>
      <c r="B288" s="2"/>
      <c r="C288" s="2"/>
      <c r="D288" s="2"/>
      <c r="E288" s="2"/>
      <c r="F288" s="2"/>
      <c r="G288" s="2"/>
      <c r="H288" s="2"/>
      <c r="I288" s="2">
        <v>64.11</v>
      </c>
      <c r="J288" s="2">
        <v>274</v>
      </c>
      <c r="K288" s="2">
        <v>64.952600000000004</v>
      </c>
      <c r="L288" s="2">
        <v>223</v>
      </c>
      <c r="M288" s="2">
        <v>94.479299999999995</v>
      </c>
      <c r="N288" s="2">
        <v>288</v>
      </c>
      <c r="O288" s="2">
        <v>96.682900000000004</v>
      </c>
      <c r="P288" s="2">
        <v>257</v>
      </c>
      <c r="Q288" s="2">
        <v>106.3613</v>
      </c>
      <c r="R288" s="2">
        <v>284</v>
      </c>
      <c r="S288" s="2">
        <v>107.4603</v>
      </c>
      <c r="T288" s="2">
        <v>287</v>
      </c>
      <c r="U288" s="2">
        <v>0.22875200000000001</v>
      </c>
      <c r="V288" s="2">
        <v>287</v>
      </c>
      <c r="W288" s="2">
        <v>2012</v>
      </c>
    </row>
    <row r="289" spans="1:23" ht="12.3" x14ac:dyDescent="0.4">
      <c r="A289" s="2" t="s">
        <v>284</v>
      </c>
      <c r="B289" s="2"/>
      <c r="C289" s="2"/>
      <c r="D289" s="2"/>
      <c r="E289" s="2"/>
      <c r="F289" s="2"/>
      <c r="G289" s="2"/>
      <c r="H289" s="2"/>
      <c r="I289" s="2">
        <v>62.876600000000003</v>
      </c>
      <c r="J289" s="2">
        <v>308</v>
      </c>
      <c r="K289" s="2">
        <v>63.9636</v>
      </c>
      <c r="L289" s="2">
        <v>271</v>
      </c>
      <c r="M289" s="2">
        <v>90.045400000000001</v>
      </c>
      <c r="N289" s="2">
        <v>325</v>
      </c>
      <c r="O289" s="2">
        <v>88.975300000000004</v>
      </c>
      <c r="P289" s="2">
        <v>328</v>
      </c>
      <c r="Q289" s="2">
        <v>99.359700000000004</v>
      </c>
      <c r="R289" s="2">
        <v>136</v>
      </c>
      <c r="S289" s="2">
        <v>98.932199999999995</v>
      </c>
      <c r="T289" s="2">
        <v>125</v>
      </c>
      <c r="U289" s="2">
        <v>0.22795799999999999</v>
      </c>
      <c r="V289" s="2">
        <v>288</v>
      </c>
      <c r="W289" s="2">
        <v>2012</v>
      </c>
    </row>
    <row r="290" spans="1:23" ht="12.3" x14ac:dyDescent="0.4">
      <c r="A290" s="2" t="s">
        <v>150</v>
      </c>
      <c r="B290" s="2"/>
      <c r="C290" s="2"/>
      <c r="D290" s="2"/>
      <c r="E290" s="2"/>
      <c r="F290" s="2"/>
      <c r="G290" s="2"/>
      <c r="H290" s="2"/>
      <c r="I290" s="2">
        <v>60.632300000000001</v>
      </c>
      <c r="J290" s="2">
        <v>338</v>
      </c>
      <c r="K290" s="2">
        <v>60.804299999999998</v>
      </c>
      <c r="L290" s="2">
        <v>335</v>
      </c>
      <c r="M290" s="2">
        <v>92.406800000000004</v>
      </c>
      <c r="N290" s="2">
        <v>306</v>
      </c>
      <c r="O290" s="2">
        <v>94.023200000000003</v>
      </c>
      <c r="P290" s="2">
        <v>288</v>
      </c>
      <c r="Q290" s="2">
        <v>103.6758</v>
      </c>
      <c r="R290" s="2">
        <v>232</v>
      </c>
      <c r="S290" s="2">
        <v>104.602</v>
      </c>
      <c r="T290" s="2">
        <v>247</v>
      </c>
      <c r="U290" s="2">
        <v>0.226856</v>
      </c>
      <c r="V290" s="2">
        <v>289</v>
      </c>
      <c r="W290" s="2">
        <v>2012</v>
      </c>
    </row>
    <row r="291" spans="1:23" ht="12.3" x14ac:dyDescent="0.4">
      <c r="A291" s="2" t="s">
        <v>191</v>
      </c>
      <c r="B291" s="2"/>
      <c r="C291" s="2"/>
      <c r="D291" s="2"/>
      <c r="E291" s="2"/>
      <c r="F291" s="2"/>
      <c r="G291" s="2"/>
      <c r="H291" s="2"/>
      <c r="I291" s="2">
        <v>64.217699999999994</v>
      </c>
      <c r="J291" s="2">
        <v>270</v>
      </c>
      <c r="K291" s="2">
        <v>64.101200000000006</v>
      </c>
      <c r="L291" s="2">
        <v>263</v>
      </c>
      <c r="M291" s="2">
        <v>99.835599999999999</v>
      </c>
      <c r="N291" s="2">
        <v>190</v>
      </c>
      <c r="O291" s="2">
        <v>98.688999999999993</v>
      </c>
      <c r="P291" s="2">
        <v>223</v>
      </c>
      <c r="Q291" s="2">
        <v>109.72629999999999</v>
      </c>
      <c r="R291" s="2">
        <v>321</v>
      </c>
      <c r="S291" s="2">
        <v>109.8326</v>
      </c>
      <c r="T291" s="2">
        <v>318</v>
      </c>
      <c r="U291" s="2">
        <v>0.22612699999999999</v>
      </c>
      <c r="V291" s="2">
        <v>290</v>
      </c>
      <c r="W291" s="2">
        <v>2012</v>
      </c>
    </row>
    <row r="292" spans="1:23" ht="12.3" x14ac:dyDescent="0.4">
      <c r="A292" s="2" t="s">
        <v>79</v>
      </c>
      <c r="B292" s="2"/>
      <c r="C292" s="2"/>
      <c r="D292" s="2"/>
      <c r="E292" s="2"/>
      <c r="F292" s="2"/>
      <c r="G292" s="2"/>
      <c r="H292" s="2"/>
      <c r="I292" s="2">
        <v>63.0426</v>
      </c>
      <c r="J292" s="2">
        <v>301</v>
      </c>
      <c r="K292" s="2">
        <v>61.948099999999997</v>
      </c>
      <c r="L292" s="2">
        <v>321</v>
      </c>
      <c r="M292" s="2">
        <v>93.581000000000003</v>
      </c>
      <c r="N292" s="2">
        <v>296</v>
      </c>
      <c r="O292" s="2">
        <v>93.346900000000005</v>
      </c>
      <c r="P292" s="2">
        <v>294</v>
      </c>
      <c r="Q292" s="2">
        <v>104.8366</v>
      </c>
      <c r="R292" s="2">
        <v>259</v>
      </c>
      <c r="S292" s="2">
        <v>104.10769999999999</v>
      </c>
      <c r="T292" s="2">
        <v>238</v>
      </c>
      <c r="U292" s="2">
        <v>0.221889</v>
      </c>
      <c r="V292" s="2">
        <v>291</v>
      </c>
      <c r="W292" s="2">
        <v>2012</v>
      </c>
    </row>
    <row r="293" spans="1:23" ht="12.3" x14ac:dyDescent="0.4">
      <c r="A293" s="2" t="s">
        <v>349</v>
      </c>
      <c r="B293" s="2"/>
      <c r="C293" s="2"/>
      <c r="D293" s="2"/>
      <c r="E293" s="2"/>
      <c r="F293" s="2"/>
      <c r="G293" s="2"/>
      <c r="H293" s="2"/>
      <c r="I293" s="2">
        <v>64.585999999999999</v>
      </c>
      <c r="J293" s="2">
        <v>246</v>
      </c>
      <c r="K293" s="2">
        <v>63.636899999999997</v>
      </c>
      <c r="L293" s="2">
        <v>283</v>
      </c>
      <c r="M293" s="2">
        <v>92.1571</v>
      </c>
      <c r="N293" s="2">
        <v>307</v>
      </c>
      <c r="O293" s="2">
        <v>92.296599999999998</v>
      </c>
      <c r="P293" s="2">
        <v>303</v>
      </c>
      <c r="Q293" s="2">
        <v>102.41330000000001</v>
      </c>
      <c r="R293" s="2">
        <v>202</v>
      </c>
      <c r="S293" s="2">
        <v>103.3656</v>
      </c>
      <c r="T293" s="2">
        <v>219</v>
      </c>
      <c r="U293" s="2">
        <v>0.21373600000000001</v>
      </c>
      <c r="V293" s="2">
        <v>292</v>
      </c>
      <c r="W293" s="2">
        <v>2012</v>
      </c>
    </row>
    <row r="294" spans="1:23" ht="12.3" x14ac:dyDescent="0.4">
      <c r="A294" s="2" t="s">
        <v>302</v>
      </c>
      <c r="B294" s="2"/>
      <c r="C294" s="2"/>
      <c r="D294" s="2"/>
      <c r="E294" s="2"/>
      <c r="F294" s="2"/>
      <c r="G294" s="2"/>
      <c r="H294" s="2"/>
      <c r="I294" s="2">
        <v>65.919700000000006</v>
      </c>
      <c r="J294" s="2">
        <v>186</v>
      </c>
      <c r="K294" s="2">
        <v>66.152299999999997</v>
      </c>
      <c r="L294" s="2">
        <v>160</v>
      </c>
      <c r="M294" s="2">
        <v>101.4725</v>
      </c>
      <c r="N294" s="2">
        <v>165</v>
      </c>
      <c r="O294" s="2">
        <v>96.784599999999998</v>
      </c>
      <c r="P294" s="2">
        <v>253</v>
      </c>
      <c r="Q294" s="2">
        <v>107.45610000000001</v>
      </c>
      <c r="R294" s="2">
        <v>298</v>
      </c>
      <c r="S294" s="2">
        <v>108.48699999999999</v>
      </c>
      <c r="T294" s="2">
        <v>304</v>
      </c>
      <c r="U294" s="2">
        <v>0.21204700000000001</v>
      </c>
      <c r="V294" s="2">
        <v>293</v>
      </c>
      <c r="W294" s="2">
        <v>2012</v>
      </c>
    </row>
    <row r="295" spans="1:23" ht="12.3" x14ac:dyDescent="0.4">
      <c r="A295" s="2" t="s">
        <v>264</v>
      </c>
      <c r="B295" s="2"/>
      <c r="C295" s="2"/>
      <c r="D295" s="2"/>
      <c r="E295" s="2"/>
      <c r="F295" s="2"/>
      <c r="G295" s="2"/>
      <c r="H295" s="2"/>
      <c r="I295" s="2">
        <v>63.672499999999999</v>
      </c>
      <c r="J295" s="2">
        <v>280</v>
      </c>
      <c r="K295" s="2">
        <v>64.088399999999993</v>
      </c>
      <c r="L295" s="2">
        <v>265</v>
      </c>
      <c r="M295" s="2">
        <v>98.282799999999995</v>
      </c>
      <c r="N295" s="2">
        <v>223</v>
      </c>
      <c r="O295" s="2">
        <v>96.390199999999993</v>
      </c>
      <c r="P295" s="2">
        <v>261</v>
      </c>
      <c r="Q295" s="2">
        <v>106.4453</v>
      </c>
      <c r="R295" s="2">
        <v>285</v>
      </c>
      <c r="S295" s="2">
        <v>108.30670000000001</v>
      </c>
      <c r="T295" s="2">
        <v>302</v>
      </c>
      <c r="U295" s="2">
        <v>0.20743400000000001</v>
      </c>
      <c r="V295" s="2">
        <v>294</v>
      </c>
      <c r="W295" s="2">
        <v>2012</v>
      </c>
    </row>
    <row r="296" spans="1:23" ht="12.3" x14ac:dyDescent="0.4">
      <c r="A296" s="2" t="s">
        <v>163</v>
      </c>
      <c r="B296" s="2"/>
      <c r="C296" s="2"/>
      <c r="D296" s="2"/>
      <c r="E296" s="2"/>
      <c r="F296" s="2"/>
      <c r="G296" s="2"/>
      <c r="H296" s="2"/>
      <c r="I296" s="2">
        <v>67.323899999999995</v>
      </c>
      <c r="J296" s="2">
        <v>114</v>
      </c>
      <c r="K296" s="2">
        <v>66.836399999999998</v>
      </c>
      <c r="L296" s="2">
        <v>129</v>
      </c>
      <c r="M296" s="2">
        <v>98.762299999999996</v>
      </c>
      <c r="N296" s="2">
        <v>210</v>
      </c>
      <c r="O296" s="2">
        <v>95.757199999999997</v>
      </c>
      <c r="P296" s="2">
        <v>278</v>
      </c>
      <c r="Q296" s="2">
        <v>106.98090000000001</v>
      </c>
      <c r="R296" s="2">
        <v>292</v>
      </c>
      <c r="S296" s="2">
        <v>107.6388</v>
      </c>
      <c r="T296" s="2">
        <v>290</v>
      </c>
      <c r="U296" s="2">
        <v>0.206673</v>
      </c>
      <c r="V296" s="2">
        <v>295</v>
      </c>
      <c r="W296" s="2">
        <v>2012</v>
      </c>
    </row>
    <row r="297" spans="1:23" ht="12.3" x14ac:dyDescent="0.4">
      <c r="A297" s="2" t="s">
        <v>310</v>
      </c>
      <c r="B297" s="2"/>
      <c r="C297" s="2"/>
      <c r="D297" s="2"/>
      <c r="E297" s="2"/>
      <c r="F297" s="2"/>
      <c r="G297" s="2"/>
      <c r="H297" s="2"/>
      <c r="I297" s="2">
        <v>64.954499999999996</v>
      </c>
      <c r="J297" s="2">
        <v>232</v>
      </c>
      <c r="K297" s="2">
        <v>65.125</v>
      </c>
      <c r="L297" s="2">
        <v>215</v>
      </c>
      <c r="M297" s="2">
        <v>92.973799999999997</v>
      </c>
      <c r="N297" s="2">
        <v>299</v>
      </c>
      <c r="O297" s="2">
        <v>89.846999999999994</v>
      </c>
      <c r="P297" s="2">
        <v>322</v>
      </c>
      <c r="Q297" s="2">
        <v>96.751999999999995</v>
      </c>
      <c r="R297" s="2">
        <v>72</v>
      </c>
      <c r="S297" s="2">
        <v>101.1189</v>
      </c>
      <c r="T297" s="2">
        <v>164</v>
      </c>
      <c r="U297" s="2">
        <v>0.204374</v>
      </c>
      <c r="V297" s="2">
        <v>296</v>
      </c>
      <c r="W297" s="2">
        <v>2012</v>
      </c>
    </row>
    <row r="298" spans="1:23" ht="12.3" x14ac:dyDescent="0.4">
      <c r="A298" s="2" t="s">
        <v>314</v>
      </c>
      <c r="B298" s="2"/>
      <c r="C298" s="2"/>
      <c r="D298" s="2"/>
      <c r="E298" s="2"/>
      <c r="F298" s="2"/>
      <c r="G298" s="2"/>
      <c r="H298" s="2"/>
      <c r="I298" s="2">
        <v>69.120199999999997</v>
      </c>
      <c r="J298" s="2">
        <v>44</v>
      </c>
      <c r="K298" s="2">
        <v>69.485900000000001</v>
      </c>
      <c r="L298" s="2">
        <v>33</v>
      </c>
      <c r="M298" s="2">
        <v>95.315799999999996</v>
      </c>
      <c r="N298" s="2">
        <v>277</v>
      </c>
      <c r="O298" s="2">
        <v>92.193299999999994</v>
      </c>
      <c r="P298" s="2">
        <v>307</v>
      </c>
      <c r="Q298" s="2">
        <v>101.2655</v>
      </c>
      <c r="R298" s="2">
        <v>181</v>
      </c>
      <c r="S298" s="2">
        <v>104.20140000000001</v>
      </c>
      <c r="T298" s="2">
        <v>240</v>
      </c>
      <c r="U298" s="2">
        <v>0.196543</v>
      </c>
      <c r="V298" s="2">
        <v>297</v>
      </c>
      <c r="W298" s="2">
        <v>2012</v>
      </c>
    </row>
    <row r="299" spans="1:23" ht="12.3" x14ac:dyDescent="0.4">
      <c r="A299" s="2" t="s">
        <v>366</v>
      </c>
      <c r="B299" s="2"/>
      <c r="C299" s="2"/>
      <c r="D299" s="2"/>
      <c r="E299" s="2"/>
      <c r="F299" s="2"/>
      <c r="G299" s="2"/>
      <c r="H299" s="2"/>
      <c r="I299" s="2">
        <v>67.081000000000003</v>
      </c>
      <c r="J299" s="2">
        <v>124</v>
      </c>
      <c r="K299" s="2">
        <v>65.031499999999994</v>
      </c>
      <c r="L299" s="2">
        <v>220</v>
      </c>
      <c r="M299" s="2">
        <v>98.113600000000005</v>
      </c>
      <c r="N299" s="2">
        <v>226</v>
      </c>
      <c r="O299" s="2">
        <v>96.101900000000001</v>
      </c>
      <c r="P299" s="2">
        <v>272</v>
      </c>
      <c r="Q299" s="2">
        <v>103.6527</v>
      </c>
      <c r="R299" s="2">
        <v>231</v>
      </c>
      <c r="S299" s="2">
        <v>108.90349999999999</v>
      </c>
      <c r="T299" s="2">
        <v>310</v>
      </c>
      <c r="U299" s="2">
        <v>0.19183800000000001</v>
      </c>
      <c r="V299" s="2">
        <v>298</v>
      </c>
      <c r="W299" s="2">
        <v>2012</v>
      </c>
    </row>
    <row r="300" spans="1:23" ht="12.3" x14ac:dyDescent="0.4">
      <c r="A300" s="2" t="s">
        <v>328</v>
      </c>
      <c r="B300" s="2"/>
      <c r="C300" s="2"/>
      <c r="D300" s="2"/>
      <c r="E300" s="2"/>
      <c r="F300" s="2"/>
      <c r="G300" s="2"/>
      <c r="H300" s="2"/>
      <c r="I300" s="2">
        <v>64.883899999999997</v>
      </c>
      <c r="J300" s="2">
        <v>235</v>
      </c>
      <c r="K300" s="2">
        <v>63.933900000000001</v>
      </c>
      <c r="L300" s="2">
        <v>274</v>
      </c>
      <c r="M300" s="2">
        <v>87.211399999999998</v>
      </c>
      <c r="N300" s="2">
        <v>336</v>
      </c>
      <c r="O300" s="2">
        <v>85.701599999999999</v>
      </c>
      <c r="P300" s="2">
        <v>344</v>
      </c>
      <c r="Q300" s="2">
        <v>95.811700000000002</v>
      </c>
      <c r="R300" s="2">
        <v>59</v>
      </c>
      <c r="S300" s="2">
        <v>97.207499999999996</v>
      </c>
      <c r="T300" s="2">
        <v>85</v>
      </c>
      <c r="U300" s="2">
        <v>0.190197</v>
      </c>
      <c r="V300" s="2">
        <v>299</v>
      </c>
      <c r="W300" s="2">
        <v>2012</v>
      </c>
    </row>
    <row r="301" spans="1:23" ht="12.3" x14ac:dyDescent="0.4">
      <c r="A301" s="2" t="s">
        <v>198</v>
      </c>
      <c r="B301" s="2"/>
      <c r="C301" s="2"/>
      <c r="D301" s="2"/>
      <c r="E301" s="2"/>
      <c r="F301" s="2"/>
      <c r="G301" s="2"/>
      <c r="H301" s="2"/>
      <c r="I301" s="2">
        <v>68.6053</v>
      </c>
      <c r="J301" s="2">
        <v>60</v>
      </c>
      <c r="K301" s="2">
        <v>68.942300000000003</v>
      </c>
      <c r="L301" s="2">
        <v>46</v>
      </c>
      <c r="M301" s="2">
        <v>96.350499999999997</v>
      </c>
      <c r="N301" s="2">
        <v>261</v>
      </c>
      <c r="O301" s="2">
        <v>98.160399999999996</v>
      </c>
      <c r="P301" s="2">
        <v>231</v>
      </c>
      <c r="Q301" s="2">
        <v>110.1983</v>
      </c>
      <c r="R301" s="2">
        <v>325</v>
      </c>
      <c r="S301" s="2">
        <v>111.3492</v>
      </c>
      <c r="T301" s="2">
        <v>329</v>
      </c>
      <c r="U301" s="2">
        <v>0.19003400000000001</v>
      </c>
      <c r="V301" s="2">
        <v>300</v>
      </c>
      <c r="W301" s="2">
        <v>2012</v>
      </c>
    </row>
    <row r="302" spans="1:23" ht="12.3" x14ac:dyDescent="0.4">
      <c r="A302" s="2" t="s">
        <v>296</v>
      </c>
      <c r="B302" s="2"/>
      <c r="C302" s="2"/>
      <c r="D302" s="2"/>
      <c r="E302" s="2"/>
      <c r="F302" s="2"/>
      <c r="G302" s="2"/>
      <c r="H302" s="2"/>
      <c r="I302" s="2">
        <v>70.506100000000004</v>
      </c>
      <c r="J302" s="2">
        <v>27</v>
      </c>
      <c r="K302" s="2">
        <v>69.034400000000005</v>
      </c>
      <c r="L302" s="2">
        <v>44</v>
      </c>
      <c r="M302" s="2">
        <v>94.249499999999998</v>
      </c>
      <c r="N302" s="2">
        <v>293</v>
      </c>
      <c r="O302" s="2">
        <v>92.533299999999997</v>
      </c>
      <c r="P302" s="2">
        <v>301</v>
      </c>
      <c r="Q302" s="2">
        <v>103.861</v>
      </c>
      <c r="R302" s="2">
        <v>235</v>
      </c>
      <c r="S302" s="2">
        <v>105.22239999999999</v>
      </c>
      <c r="T302" s="2">
        <v>260</v>
      </c>
      <c r="U302" s="2">
        <v>0.185754</v>
      </c>
      <c r="V302" s="2">
        <v>301</v>
      </c>
      <c r="W302" s="2">
        <v>2012</v>
      </c>
    </row>
    <row r="303" spans="1:23" ht="12.3" x14ac:dyDescent="0.4">
      <c r="A303" s="2" t="s">
        <v>327</v>
      </c>
      <c r="B303" s="2"/>
      <c r="C303" s="2"/>
      <c r="D303" s="2"/>
      <c r="E303" s="2"/>
      <c r="F303" s="2"/>
      <c r="G303" s="2"/>
      <c r="H303" s="2"/>
      <c r="I303" s="2">
        <v>63.366</v>
      </c>
      <c r="J303" s="2">
        <v>289</v>
      </c>
      <c r="K303" s="2">
        <v>63.846800000000002</v>
      </c>
      <c r="L303" s="2">
        <v>277</v>
      </c>
      <c r="M303" s="2">
        <v>90.247500000000002</v>
      </c>
      <c r="N303" s="2">
        <v>322</v>
      </c>
      <c r="O303" s="2">
        <v>89.460300000000004</v>
      </c>
      <c r="P303" s="2">
        <v>325</v>
      </c>
      <c r="Q303" s="2">
        <v>100.7055</v>
      </c>
      <c r="R303" s="2">
        <v>168</v>
      </c>
      <c r="S303" s="2">
        <v>101.99850000000001</v>
      </c>
      <c r="T303" s="2">
        <v>189</v>
      </c>
      <c r="U303" s="2">
        <v>0.18117900000000001</v>
      </c>
      <c r="V303" s="2">
        <v>302</v>
      </c>
      <c r="W303" s="2">
        <v>2012</v>
      </c>
    </row>
    <row r="304" spans="1:23" ht="12.3" x14ac:dyDescent="0.4">
      <c r="A304" s="2" t="s">
        <v>295</v>
      </c>
      <c r="B304" s="2"/>
      <c r="C304" s="2"/>
      <c r="D304" s="2"/>
      <c r="E304" s="2"/>
      <c r="F304" s="2"/>
      <c r="G304" s="2"/>
      <c r="H304" s="2"/>
      <c r="I304" s="2">
        <v>65.627300000000005</v>
      </c>
      <c r="J304" s="2">
        <v>201</v>
      </c>
      <c r="K304" s="2">
        <v>65.061000000000007</v>
      </c>
      <c r="L304" s="2">
        <v>219</v>
      </c>
      <c r="M304" s="2">
        <v>90.326899999999995</v>
      </c>
      <c r="N304" s="2">
        <v>321</v>
      </c>
      <c r="O304" s="2">
        <v>90.900499999999994</v>
      </c>
      <c r="P304" s="2">
        <v>316</v>
      </c>
      <c r="Q304" s="2">
        <v>100.9019</v>
      </c>
      <c r="R304" s="2">
        <v>174</v>
      </c>
      <c r="S304" s="2">
        <v>103.6824</v>
      </c>
      <c r="T304" s="2">
        <v>225</v>
      </c>
      <c r="U304" s="2">
        <v>0.18049200000000001</v>
      </c>
      <c r="V304" s="2">
        <v>303</v>
      </c>
      <c r="W304" s="2">
        <v>2012</v>
      </c>
    </row>
    <row r="305" spans="1:23" ht="12.3" x14ac:dyDescent="0.4">
      <c r="A305" s="2" t="s">
        <v>294</v>
      </c>
      <c r="B305" s="2"/>
      <c r="C305" s="2"/>
      <c r="D305" s="2"/>
      <c r="E305" s="2"/>
      <c r="F305" s="2"/>
      <c r="G305" s="2"/>
      <c r="H305" s="2"/>
      <c r="I305" s="2">
        <v>65.492599999999996</v>
      </c>
      <c r="J305" s="2">
        <v>205</v>
      </c>
      <c r="K305" s="2">
        <v>65.996099999999998</v>
      </c>
      <c r="L305" s="2">
        <v>170</v>
      </c>
      <c r="M305" s="2">
        <v>96.350800000000007</v>
      </c>
      <c r="N305" s="2">
        <v>260</v>
      </c>
      <c r="O305" s="2">
        <v>96.334699999999998</v>
      </c>
      <c r="P305" s="2">
        <v>265</v>
      </c>
      <c r="Q305" s="2">
        <v>109.19159999999999</v>
      </c>
      <c r="R305" s="2">
        <v>317</v>
      </c>
      <c r="S305" s="2">
        <v>110.1442</v>
      </c>
      <c r="T305" s="2">
        <v>321</v>
      </c>
      <c r="U305" s="2">
        <v>0.176455</v>
      </c>
      <c r="V305" s="2">
        <v>304</v>
      </c>
      <c r="W305" s="2">
        <v>2012</v>
      </c>
    </row>
    <row r="306" spans="1:23" ht="12.3" x14ac:dyDescent="0.4">
      <c r="A306" s="2" t="s">
        <v>70</v>
      </c>
      <c r="B306" s="2"/>
      <c r="C306" s="2"/>
      <c r="D306" s="2"/>
      <c r="E306" s="2"/>
      <c r="F306" s="2"/>
      <c r="G306" s="2"/>
      <c r="H306" s="2"/>
      <c r="I306" s="2">
        <v>62.710599999999999</v>
      </c>
      <c r="J306" s="2">
        <v>314</v>
      </c>
      <c r="K306" s="2">
        <v>62.241599999999998</v>
      </c>
      <c r="L306" s="2">
        <v>320</v>
      </c>
      <c r="M306" s="2">
        <v>88.025999999999996</v>
      </c>
      <c r="N306" s="2">
        <v>331</v>
      </c>
      <c r="O306" s="2">
        <v>90.775300000000001</v>
      </c>
      <c r="P306" s="2">
        <v>318</v>
      </c>
      <c r="Q306" s="2">
        <v>111.27760000000001</v>
      </c>
      <c r="R306" s="2">
        <v>331</v>
      </c>
      <c r="S306" s="2">
        <v>103.86709999999999</v>
      </c>
      <c r="T306" s="2">
        <v>230</v>
      </c>
      <c r="U306" s="2">
        <v>0.17518300000000001</v>
      </c>
      <c r="V306" s="2">
        <v>305</v>
      </c>
      <c r="W306" s="2">
        <v>2012</v>
      </c>
    </row>
    <row r="307" spans="1:23" ht="12.3" x14ac:dyDescent="0.4">
      <c r="A307" s="2" t="s">
        <v>193</v>
      </c>
      <c r="B307" s="2"/>
      <c r="C307" s="2"/>
      <c r="D307" s="2"/>
      <c r="E307" s="2"/>
      <c r="F307" s="2"/>
      <c r="G307" s="2"/>
      <c r="H307" s="2"/>
      <c r="I307" s="2">
        <v>64.487099999999998</v>
      </c>
      <c r="J307" s="2">
        <v>253</v>
      </c>
      <c r="K307" s="2">
        <v>64.906899999999993</v>
      </c>
      <c r="L307" s="2">
        <v>229</v>
      </c>
      <c r="M307" s="2">
        <v>92.908500000000004</v>
      </c>
      <c r="N307" s="2">
        <v>300</v>
      </c>
      <c r="O307" s="2">
        <v>96.111199999999997</v>
      </c>
      <c r="P307" s="2">
        <v>271</v>
      </c>
      <c r="Q307" s="2">
        <v>110.8302</v>
      </c>
      <c r="R307" s="2">
        <v>330</v>
      </c>
      <c r="S307" s="2">
        <v>110.084</v>
      </c>
      <c r="T307" s="2">
        <v>320</v>
      </c>
      <c r="U307" s="2">
        <v>0.17350599999999999</v>
      </c>
      <c r="V307" s="2">
        <v>306</v>
      </c>
      <c r="W307" s="2">
        <v>2012</v>
      </c>
    </row>
    <row r="308" spans="1:23" ht="12.3" x14ac:dyDescent="0.4">
      <c r="A308" s="2" t="s">
        <v>373</v>
      </c>
      <c r="B308" s="2"/>
      <c r="C308" s="2"/>
      <c r="D308" s="2"/>
      <c r="E308" s="2"/>
      <c r="F308" s="2"/>
      <c r="G308" s="2"/>
      <c r="H308" s="2"/>
      <c r="I308" s="2">
        <v>68.265000000000001</v>
      </c>
      <c r="J308" s="2">
        <v>75</v>
      </c>
      <c r="K308" s="2">
        <v>69.027900000000002</v>
      </c>
      <c r="L308" s="2">
        <v>45</v>
      </c>
      <c r="M308" s="2">
        <v>95.069000000000003</v>
      </c>
      <c r="N308" s="2">
        <v>280</v>
      </c>
      <c r="O308" s="2">
        <v>94.326700000000002</v>
      </c>
      <c r="P308" s="2">
        <v>286</v>
      </c>
      <c r="Q308" s="2">
        <v>106.5056</v>
      </c>
      <c r="R308" s="2">
        <v>287</v>
      </c>
      <c r="S308" s="2">
        <v>108.2022</v>
      </c>
      <c r="T308" s="2">
        <v>299</v>
      </c>
      <c r="U308" s="2">
        <v>0.171047</v>
      </c>
      <c r="V308" s="2">
        <v>307</v>
      </c>
      <c r="W308" s="2">
        <v>2012</v>
      </c>
    </row>
    <row r="309" spans="1:23" ht="12.3" x14ac:dyDescent="0.4">
      <c r="A309" s="2" t="s">
        <v>233</v>
      </c>
      <c r="B309" s="2"/>
      <c r="C309" s="2"/>
      <c r="D309" s="2"/>
      <c r="E309" s="2"/>
      <c r="F309" s="2"/>
      <c r="G309" s="2"/>
      <c r="H309" s="2"/>
      <c r="I309" s="2">
        <v>65.062899999999999</v>
      </c>
      <c r="J309" s="2">
        <v>226</v>
      </c>
      <c r="K309" s="2">
        <v>65.284300000000002</v>
      </c>
      <c r="L309" s="2">
        <v>209</v>
      </c>
      <c r="M309" s="2">
        <v>93.061800000000005</v>
      </c>
      <c r="N309" s="2">
        <v>298</v>
      </c>
      <c r="O309" s="2">
        <v>94.815200000000004</v>
      </c>
      <c r="P309" s="2">
        <v>284</v>
      </c>
      <c r="Q309" s="2">
        <v>107.2144</v>
      </c>
      <c r="R309" s="2">
        <v>296</v>
      </c>
      <c r="S309" s="2">
        <v>109.2501</v>
      </c>
      <c r="T309" s="2">
        <v>312</v>
      </c>
      <c r="U309" s="2">
        <v>0.16387599999999999</v>
      </c>
      <c r="V309" s="2">
        <v>308</v>
      </c>
      <c r="W309" s="2">
        <v>2012</v>
      </c>
    </row>
    <row r="310" spans="1:23" ht="12.3" x14ac:dyDescent="0.4">
      <c r="A310" s="2" t="s">
        <v>347</v>
      </c>
      <c r="B310" s="2"/>
      <c r="C310" s="2"/>
      <c r="D310" s="2"/>
      <c r="E310" s="2"/>
      <c r="F310" s="2"/>
      <c r="G310" s="2"/>
      <c r="H310" s="2"/>
      <c r="I310" s="2">
        <v>68.493099999999998</v>
      </c>
      <c r="J310" s="2">
        <v>65</v>
      </c>
      <c r="K310" s="2">
        <v>66.5291</v>
      </c>
      <c r="L310" s="2">
        <v>142</v>
      </c>
      <c r="M310" s="2">
        <v>94.741200000000006</v>
      </c>
      <c r="N310" s="2">
        <v>286</v>
      </c>
      <c r="O310" s="2">
        <v>101.4482</v>
      </c>
      <c r="P310" s="2">
        <v>161</v>
      </c>
      <c r="Q310" s="2">
        <v>115.0958</v>
      </c>
      <c r="R310" s="2">
        <v>342</v>
      </c>
      <c r="S310" s="2">
        <v>117.7376</v>
      </c>
      <c r="T310" s="2">
        <v>344</v>
      </c>
      <c r="U310" s="2">
        <v>0.15284400000000001</v>
      </c>
      <c r="V310" s="2">
        <v>309</v>
      </c>
      <c r="W310" s="2">
        <v>2012</v>
      </c>
    </row>
    <row r="311" spans="1:23" ht="12.3" x14ac:dyDescent="0.4">
      <c r="A311" s="2" t="s">
        <v>332</v>
      </c>
      <c r="B311" s="2"/>
      <c r="C311" s="2"/>
      <c r="D311" s="2"/>
      <c r="E311" s="2"/>
      <c r="F311" s="2"/>
      <c r="G311" s="2"/>
      <c r="H311" s="2"/>
      <c r="I311" s="2">
        <v>64.480599999999995</v>
      </c>
      <c r="J311" s="2">
        <v>254</v>
      </c>
      <c r="K311" s="2">
        <v>64.354799999999997</v>
      </c>
      <c r="L311" s="2">
        <v>254</v>
      </c>
      <c r="M311" s="2">
        <v>94.478499999999997</v>
      </c>
      <c r="N311" s="2">
        <v>289</v>
      </c>
      <c r="O311" s="2">
        <v>93.694299999999998</v>
      </c>
      <c r="P311" s="2">
        <v>291</v>
      </c>
      <c r="Q311" s="2">
        <v>108.0063</v>
      </c>
      <c r="R311" s="2">
        <v>305</v>
      </c>
      <c r="S311" s="2">
        <v>108.893</v>
      </c>
      <c r="T311" s="2">
        <v>309</v>
      </c>
      <c r="U311" s="2">
        <v>0.15074499999999999</v>
      </c>
      <c r="V311" s="2">
        <v>310</v>
      </c>
      <c r="W311" s="2">
        <v>2012</v>
      </c>
    </row>
    <row r="312" spans="1:23" ht="12.3" x14ac:dyDescent="0.4">
      <c r="A312" s="2" t="s">
        <v>242</v>
      </c>
      <c r="B312" s="2"/>
      <c r="C312" s="2"/>
      <c r="D312" s="2"/>
      <c r="E312" s="2"/>
      <c r="F312" s="2"/>
      <c r="G312" s="2"/>
      <c r="H312" s="2"/>
      <c r="I312" s="2">
        <v>67.462599999999995</v>
      </c>
      <c r="J312" s="2">
        <v>111</v>
      </c>
      <c r="K312" s="2">
        <v>66.201999999999998</v>
      </c>
      <c r="L312" s="2">
        <v>157</v>
      </c>
      <c r="M312" s="2">
        <v>88.592200000000005</v>
      </c>
      <c r="N312" s="2">
        <v>328</v>
      </c>
      <c r="O312" s="2">
        <v>89.647000000000006</v>
      </c>
      <c r="P312" s="2">
        <v>323</v>
      </c>
      <c r="Q312" s="2">
        <v>103.72069999999999</v>
      </c>
      <c r="R312" s="2">
        <v>233</v>
      </c>
      <c r="S312" s="2">
        <v>104.23779999999999</v>
      </c>
      <c r="T312" s="2">
        <v>244</v>
      </c>
      <c r="U312" s="2">
        <v>0.150059</v>
      </c>
      <c r="V312" s="2">
        <v>311</v>
      </c>
      <c r="W312" s="2">
        <v>2012</v>
      </c>
    </row>
    <row r="313" spans="1:23" ht="12.3" x14ac:dyDescent="0.4">
      <c r="A313" s="2" t="s">
        <v>276</v>
      </c>
      <c r="B313" s="2"/>
      <c r="C313" s="2"/>
      <c r="D313" s="2"/>
      <c r="E313" s="2"/>
      <c r="F313" s="2"/>
      <c r="G313" s="2"/>
      <c r="H313" s="2"/>
      <c r="I313" s="2">
        <v>66.203199999999995</v>
      </c>
      <c r="J313" s="2">
        <v>173</v>
      </c>
      <c r="K313" s="2">
        <v>66.080500000000001</v>
      </c>
      <c r="L313" s="2">
        <v>165</v>
      </c>
      <c r="M313" s="2">
        <v>87.557299999999998</v>
      </c>
      <c r="N313" s="2">
        <v>333</v>
      </c>
      <c r="O313" s="2">
        <v>88.442400000000006</v>
      </c>
      <c r="P313" s="2">
        <v>332</v>
      </c>
      <c r="Q313" s="2">
        <v>101.2586</v>
      </c>
      <c r="R313" s="2">
        <v>179</v>
      </c>
      <c r="S313" s="2">
        <v>103.35</v>
      </c>
      <c r="T313" s="2">
        <v>218</v>
      </c>
      <c r="U313" s="2">
        <v>0.14290600000000001</v>
      </c>
      <c r="V313" s="2">
        <v>312</v>
      </c>
      <c r="W313" s="2">
        <v>2012</v>
      </c>
    </row>
    <row r="314" spans="1:23" ht="12.3" x14ac:dyDescent="0.4">
      <c r="A314" s="2" t="s">
        <v>202</v>
      </c>
      <c r="B314" s="2"/>
      <c r="C314" s="2"/>
      <c r="D314" s="2"/>
      <c r="E314" s="2"/>
      <c r="F314" s="2"/>
      <c r="G314" s="2"/>
      <c r="H314" s="2"/>
      <c r="I314" s="2">
        <v>66.787899999999993</v>
      </c>
      <c r="J314" s="2">
        <v>141</v>
      </c>
      <c r="K314" s="2">
        <v>65.259299999999996</v>
      </c>
      <c r="L314" s="2">
        <v>211</v>
      </c>
      <c r="M314" s="2">
        <v>91.198099999999997</v>
      </c>
      <c r="N314" s="2">
        <v>314</v>
      </c>
      <c r="O314" s="2">
        <v>91.596800000000002</v>
      </c>
      <c r="P314" s="2">
        <v>311</v>
      </c>
      <c r="Q314" s="2">
        <v>105.3437</v>
      </c>
      <c r="R314" s="2">
        <v>272</v>
      </c>
      <c r="S314" s="2">
        <v>107.0672</v>
      </c>
      <c r="T314" s="2">
        <v>283</v>
      </c>
      <c r="U314" s="2">
        <v>0.14249899999999999</v>
      </c>
      <c r="V314" s="2">
        <v>313</v>
      </c>
      <c r="W314" s="2">
        <v>2012</v>
      </c>
    </row>
    <row r="315" spans="1:23" ht="12.3" x14ac:dyDescent="0.4">
      <c r="A315" s="2" t="s">
        <v>361</v>
      </c>
      <c r="B315" s="2"/>
      <c r="C315" s="2"/>
      <c r="D315" s="2"/>
      <c r="E315" s="2"/>
      <c r="F315" s="2"/>
      <c r="G315" s="2"/>
      <c r="H315" s="2"/>
      <c r="I315" s="2">
        <v>64.288399999999996</v>
      </c>
      <c r="J315" s="2">
        <v>265</v>
      </c>
      <c r="K315" s="2">
        <v>63.410299999999999</v>
      </c>
      <c r="L315" s="2">
        <v>291</v>
      </c>
      <c r="M315" s="2">
        <v>93.572800000000001</v>
      </c>
      <c r="N315" s="2">
        <v>297</v>
      </c>
      <c r="O315" s="2">
        <v>96.043199999999999</v>
      </c>
      <c r="P315" s="2">
        <v>276</v>
      </c>
      <c r="Q315" s="2">
        <v>116.3768</v>
      </c>
      <c r="R315" s="2">
        <v>343</v>
      </c>
      <c r="S315" s="2">
        <v>112.6932</v>
      </c>
      <c r="T315" s="2">
        <v>334</v>
      </c>
      <c r="U315" s="2">
        <v>0.13722799999999999</v>
      </c>
      <c r="V315" s="2">
        <v>314</v>
      </c>
      <c r="W315" s="2">
        <v>2012</v>
      </c>
    </row>
    <row r="316" spans="1:23" ht="12.3" x14ac:dyDescent="0.4">
      <c r="A316" s="2" t="s">
        <v>301</v>
      </c>
      <c r="B316" s="2"/>
      <c r="C316" s="2"/>
      <c r="D316" s="2"/>
      <c r="E316" s="2"/>
      <c r="F316" s="2"/>
      <c r="G316" s="2"/>
      <c r="H316" s="2"/>
      <c r="I316" s="2">
        <v>69.3934</v>
      </c>
      <c r="J316" s="2">
        <v>41</v>
      </c>
      <c r="K316" s="2">
        <v>68.861900000000006</v>
      </c>
      <c r="L316" s="2">
        <v>49</v>
      </c>
      <c r="M316" s="2">
        <v>92.525099999999995</v>
      </c>
      <c r="N316" s="2">
        <v>303</v>
      </c>
      <c r="O316" s="2">
        <v>92.346299999999999</v>
      </c>
      <c r="P316" s="2">
        <v>302</v>
      </c>
      <c r="Q316" s="2">
        <v>105.7182</v>
      </c>
      <c r="R316" s="2">
        <v>277</v>
      </c>
      <c r="S316" s="2">
        <v>108.7517</v>
      </c>
      <c r="T316" s="2">
        <v>306</v>
      </c>
      <c r="U316" s="2">
        <v>0.13233200000000001</v>
      </c>
      <c r="V316" s="2">
        <v>315</v>
      </c>
      <c r="W316" s="2">
        <v>2012</v>
      </c>
    </row>
    <row r="317" spans="1:23" ht="12.3" x14ac:dyDescent="0.4">
      <c r="A317" s="2" t="s">
        <v>364</v>
      </c>
      <c r="B317" s="2"/>
      <c r="C317" s="2"/>
      <c r="D317" s="2"/>
      <c r="E317" s="2"/>
      <c r="F317" s="2"/>
      <c r="G317" s="2"/>
      <c r="H317" s="2"/>
      <c r="I317" s="2">
        <v>73.476399999999998</v>
      </c>
      <c r="J317" s="2">
        <v>7</v>
      </c>
      <c r="K317" s="2">
        <v>72.996799999999993</v>
      </c>
      <c r="L317" s="2">
        <v>6</v>
      </c>
      <c r="M317" s="2">
        <v>92.437100000000001</v>
      </c>
      <c r="N317" s="2">
        <v>305</v>
      </c>
      <c r="O317" s="2">
        <v>91.433099999999996</v>
      </c>
      <c r="P317" s="2">
        <v>313</v>
      </c>
      <c r="Q317" s="2">
        <v>109.20959999999999</v>
      </c>
      <c r="R317" s="2">
        <v>318</v>
      </c>
      <c r="S317" s="2">
        <v>107.8134</v>
      </c>
      <c r="T317" s="2">
        <v>292</v>
      </c>
      <c r="U317" s="2">
        <v>0.130659</v>
      </c>
      <c r="V317" s="2">
        <v>316</v>
      </c>
      <c r="W317" s="2">
        <v>2012</v>
      </c>
    </row>
    <row r="318" spans="1:23" ht="12.3" x14ac:dyDescent="0.4">
      <c r="A318" s="2" t="s">
        <v>223</v>
      </c>
      <c r="B318" s="2"/>
      <c r="C318" s="2"/>
      <c r="D318" s="2"/>
      <c r="E318" s="2"/>
      <c r="F318" s="2"/>
      <c r="G318" s="2"/>
      <c r="H318" s="2"/>
      <c r="I318" s="2">
        <v>66.459199999999996</v>
      </c>
      <c r="J318" s="2">
        <v>156</v>
      </c>
      <c r="K318" s="2">
        <v>65.955299999999994</v>
      </c>
      <c r="L318" s="2">
        <v>173</v>
      </c>
      <c r="M318" s="2">
        <v>90.562600000000003</v>
      </c>
      <c r="N318" s="2">
        <v>317</v>
      </c>
      <c r="O318" s="2">
        <v>88.793400000000005</v>
      </c>
      <c r="P318" s="2">
        <v>329</v>
      </c>
      <c r="Q318" s="2">
        <v>104.8792</v>
      </c>
      <c r="R318" s="2">
        <v>260</v>
      </c>
      <c r="S318" s="2">
        <v>104.70650000000001</v>
      </c>
      <c r="T318" s="2">
        <v>249</v>
      </c>
      <c r="U318" s="2">
        <v>0.13058800000000001</v>
      </c>
      <c r="V318" s="2">
        <v>317</v>
      </c>
      <c r="W318" s="2">
        <v>2012</v>
      </c>
    </row>
    <row r="319" spans="1:23" ht="12.3" x14ac:dyDescent="0.4">
      <c r="A319" s="2" t="s">
        <v>374</v>
      </c>
      <c r="B319" s="2"/>
      <c r="C319" s="2"/>
      <c r="D319" s="2"/>
      <c r="E319" s="2"/>
      <c r="F319" s="2"/>
      <c r="G319" s="2"/>
      <c r="H319" s="2"/>
      <c r="I319" s="2">
        <v>73.487700000000004</v>
      </c>
      <c r="J319" s="2">
        <v>6</v>
      </c>
      <c r="K319" s="2">
        <v>71.593500000000006</v>
      </c>
      <c r="L319" s="2">
        <v>13</v>
      </c>
      <c r="M319" s="2">
        <v>94.266999999999996</v>
      </c>
      <c r="N319" s="2">
        <v>292</v>
      </c>
      <c r="O319" s="2">
        <v>91.434100000000001</v>
      </c>
      <c r="P319" s="2">
        <v>312</v>
      </c>
      <c r="Q319" s="2">
        <v>107.1944</v>
      </c>
      <c r="R319" s="2">
        <v>295</v>
      </c>
      <c r="S319" s="2">
        <v>107.8289</v>
      </c>
      <c r="T319" s="2">
        <v>293</v>
      </c>
      <c r="U319" s="2">
        <v>0.13048699999999999</v>
      </c>
      <c r="V319" s="2">
        <v>318</v>
      </c>
      <c r="W319" s="2">
        <v>2012</v>
      </c>
    </row>
    <row r="320" spans="1:23" ht="12.3" x14ac:dyDescent="0.4">
      <c r="A320" s="2" t="s">
        <v>338</v>
      </c>
      <c r="B320" s="2"/>
      <c r="C320" s="2"/>
      <c r="D320" s="2"/>
      <c r="E320" s="2"/>
      <c r="F320" s="2"/>
      <c r="G320" s="2"/>
      <c r="H320" s="2"/>
      <c r="I320" s="2">
        <v>65.592799999999997</v>
      </c>
      <c r="J320" s="2">
        <v>203</v>
      </c>
      <c r="K320" s="2">
        <v>64.337699999999998</v>
      </c>
      <c r="L320" s="2">
        <v>257</v>
      </c>
      <c r="M320" s="2">
        <v>90.471599999999995</v>
      </c>
      <c r="N320" s="2">
        <v>319</v>
      </c>
      <c r="O320" s="2">
        <v>88.712699999999998</v>
      </c>
      <c r="P320" s="2">
        <v>331</v>
      </c>
      <c r="Q320" s="2">
        <v>97.114400000000003</v>
      </c>
      <c r="R320" s="2">
        <v>81</v>
      </c>
      <c r="S320" s="2">
        <v>104.7103</v>
      </c>
      <c r="T320" s="2">
        <v>250</v>
      </c>
      <c r="U320" s="2">
        <v>0.12936</v>
      </c>
      <c r="V320" s="2">
        <v>319</v>
      </c>
      <c r="W320" s="2">
        <v>2012</v>
      </c>
    </row>
    <row r="321" spans="1:23" ht="12.3" x14ac:dyDescent="0.4">
      <c r="A321" s="2" t="s">
        <v>179</v>
      </c>
      <c r="B321" s="2"/>
      <c r="C321" s="2"/>
      <c r="D321" s="2"/>
      <c r="E321" s="2"/>
      <c r="F321" s="2"/>
      <c r="G321" s="2"/>
      <c r="H321" s="2"/>
      <c r="I321" s="2">
        <v>65.715000000000003</v>
      </c>
      <c r="J321" s="2">
        <v>198</v>
      </c>
      <c r="K321" s="2">
        <v>64.1708</v>
      </c>
      <c r="L321" s="2">
        <v>260</v>
      </c>
      <c r="M321" s="2">
        <v>92.692999999999998</v>
      </c>
      <c r="N321" s="2">
        <v>301</v>
      </c>
      <c r="O321" s="2">
        <v>90.946200000000005</v>
      </c>
      <c r="P321" s="2">
        <v>315</v>
      </c>
      <c r="Q321" s="2">
        <v>108.89449999999999</v>
      </c>
      <c r="R321" s="2">
        <v>312</v>
      </c>
      <c r="S321" s="2">
        <v>107.6108</v>
      </c>
      <c r="T321" s="2">
        <v>288</v>
      </c>
      <c r="U321" s="2">
        <v>0.12620799999999999</v>
      </c>
      <c r="V321" s="2">
        <v>320</v>
      </c>
      <c r="W321" s="2">
        <v>2012</v>
      </c>
    </row>
    <row r="322" spans="1:23" ht="12.3" x14ac:dyDescent="0.4">
      <c r="A322" s="2" t="s">
        <v>357</v>
      </c>
      <c r="B322" s="2"/>
      <c r="C322" s="2"/>
      <c r="D322" s="2"/>
      <c r="E322" s="2"/>
      <c r="F322" s="2"/>
      <c r="G322" s="2"/>
      <c r="H322" s="2"/>
      <c r="I322" s="2">
        <v>66.403300000000002</v>
      </c>
      <c r="J322" s="2">
        <v>159</v>
      </c>
      <c r="K322" s="2">
        <v>66.209800000000001</v>
      </c>
      <c r="L322" s="2">
        <v>156</v>
      </c>
      <c r="M322" s="2">
        <v>92.438500000000005</v>
      </c>
      <c r="N322" s="2">
        <v>304</v>
      </c>
      <c r="O322" s="2">
        <v>93.073899999999995</v>
      </c>
      <c r="P322" s="2">
        <v>298</v>
      </c>
      <c r="Q322" s="2">
        <v>112.0172</v>
      </c>
      <c r="R322" s="2">
        <v>336</v>
      </c>
      <c r="S322" s="2">
        <v>110.4228</v>
      </c>
      <c r="T322" s="2">
        <v>324</v>
      </c>
      <c r="U322" s="2">
        <v>0.122861</v>
      </c>
      <c r="V322" s="2">
        <v>321</v>
      </c>
      <c r="W322" s="2">
        <v>2012</v>
      </c>
    </row>
    <row r="323" spans="1:23" ht="12.3" x14ac:dyDescent="0.4">
      <c r="A323" s="2" t="s">
        <v>247</v>
      </c>
      <c r="B323" s="2"/>
      <c r="C323" s="2"/>
      <c r="D323" s="2"/>
      <c r="E323" s="2"/>
      <c r="F323" s="2"/>
      <c r="G323" s="2"/>
      <c r="H323" s="2"/>
      <c r="I323" s="2">
        <v>65.433099999999996</v>
      </c>
      <c r="J323" s="2">
        <v>208</v>
      </c>
      <c r="K323" s="2">
        <v>65.271500000000003</v>
      </c>
      <c r="L323" s="2">
        <v>210</v>
      </c>
      <c r="M323" s="2">
        <v>96.050799999999995</v>
      </c>
      <c r="N323" s="2">
        <v>267</v>
      </c>
      <c r="O323" s="2">
        <v>96.651399999999995</v>
      </c>
      <c r="P323" s="2">
        <v>258</v>
      </c>
      <c r="Q323" s="2">
        <v>112.0243</v>
      </c>
      <c r="R323" s="2">
        <v>337</v>
      </c>
      <c r="S323" s="2">
        <v>114.8463</v>
      </c>
      <c r="T323" s="2">
        <v>340</v>
      </c>
      <c r="U323" s="2">
        <v>0.12094000000000001</v>
      </c>
      <c r="V323" s="2">
        <v>322</v>
      </c>
      <c r="W323" s="2">
        <v>2012</v>
      </c>
    </row>
    <row r="324" spans="1:23" ht="12.3" x14ac:dyDescent="0.4">
      <c r="A324" s="2" t="s">
        <v>297</v>
      </c>
      <c r="B324" s="2"/>
      <c r="C324" s="2"/>
      <c r="D324" s="2"/>
      <c r="E324" s="2"/>
      <c r="F324" s="2"/>
      <c r="G324" s="2"/>
      <c r="H324" s="2"/>
      <c r="I324" s="2">
        <v>64.803600000000003</v>
      </c>
      <c r="J324" s="2">
        <v>239</v>
      </c>
      <c r="K324" s="2">
        <v>64.4452</v>
      </c>
      <c r="L324" s="2">
        <v>252</v>
      </c>
      <c r="M324" s="2">
        <v>87.379000000000005</v>
      </c>
      <c r="N324" s="2">
        <v>335</v>
      </c>
      <c r="O324" s="2">
        <v>86.496399999999994</v>
      </c>
      <c r="P324" s="2">
        <v>340</v>
      </c>
      <c r="Q324" s="2">
        <v>96.348100000000002</v>
      </c>
      <c r="R324" s="2">
        <v>68</v>
      </c>
      <c r="S324" s="2">
        <v>102.8326</v>
      </c>
      <c r="T324" s="2">
        <v>205</v>
      </c>
      <c r="U324" s="2">
        <v>0.120311</v>
      </c>
      <c r="V324" s="2">
        <v>323</v>
      </c>
      <c r="W324" s="2">
        <v>2012</v>
      </c>
    </row>
    <row r="325" spans="1:23" ht="12.3" x14ac:dyDescent="0.4">
      <c r="A325" s="2" t="s">
        <v>351</v>
      </c>
      <c r="B325" s="2"/>
      <c r="C325" s="2"/>
      <c r="D325" s="2"/>
      <c r="E325" s="2"/>
      <c r="F325" s="2"/>
      <c r="G325" s="2"/>
      <c r="H325" s="2"/>
      <c r="I325" s="2">
        <v>66.357600000000005</v>
      </c>
      <c r="J325" s="2">
        <v>165</v>
      </c>
      <c r="K325" s="2">
        <v>66.161600000000007</v>
      </c>
      <c r="L325" s="2">
        <v>159</v>
      </c>
      <c r="M325" s="2">
        <v>91.871300000000005</v>
      </c>
      <c r="N325" s="2">
        <v>309</v>
      </c>
      <c r="O325" s="2">
        <v>92.2941</v>
      </c>
      <c r="P325" s="2">
        <v>304</v>
      </c>
      <c r="Q325" s="2">
        <v>104.2556</v>
      </c>
      <c r="R325" s="2">
        <v>244</v>
      </c>
      <c r="S325" s="2">
        <v>109.9327</v>
      </c>
      <c r="T325" s="2">
        <v>319</v>
      </c>
      <c r="U325" s="2">
        <v>0.11803</v>
      </c>
      <c r="V325" s="2">
        <v>324</v>
      </c>
      <c r="W325" s="2">
        <v>2012</v>
      </c>
    </row>
    <row r="326" spans="1:23" ht="12.3" x14ac:dyDescent="0.4">
      <c r="A326" s="2" t="s">
        <v>335</v>
      </c>
      <c r="B326" s="2"/>
      <c r="C326" s="2"/>
      <c r="D326" s="2"/>
      <c r="E326" s="2"/>
      <c r="F326" s="2"/>
      <c r="G326" s="2"/>
      <c r="H326" s="2"/>
      <c r="I326" s="2">
        <v>65.820599999999999</v>
      </c>
      <c r="J326" s="2">
        <v>193</v>
      </c>
      <c r="K326" s="2">
        <v>64.751599999999996</v>
      </c>
      <c r="L326" s="2">
        <v>242</v>
      </c>
      <c r="M326" s="2">
        <v>88.179100000000005</v>
      </c>
      <c r="N326" s="2">
        <v>330</v>
      </c>
      <c r="O326" s="2">
        <v>88.021600000000007</v>
      </c>
      <c r="P326" s="2">
        <v>334</v>
      </c>
      <c r="Q326" s="2">
        <v>104.5895</v>
      </c>
      <c r="R326" s="2">
        <v>255</v>
      </c>
      <c r="S326" s="2">
        <v>104.86539999999999</v>
      </c>
      <c r="T326" s="2">
        <v>253</v>
      </c>
      <c r="U326" s="2">
        <v>0.117783</v>
      </c>
      <c r="V326" s="2">
        <v>325</v>
      </c>
      <c r="W326" s="2">
        <v>2012</v>
      </c>
    </row>
    <row r="327" spans="1:23" ht="12.3" x14ac:dyDescent="0.4">
      <c r="A327" s="2" t="s">
        <v>321</v>
      </c>
      <c r="B327" s="2"/>
      <c r="C327" s="2"/>
      <c r="D327" s="2"/>
      <c r="E327" s="2"/>
      <c r="F327" s="2"/>
      <c r="G327" s="2"/>
      <c r="H327" s="2"/>
      <c r="I327" s="2">
        <v>67.618600000000001</v>
      </c>
      <c r="J327" s="2">
        <v>100</v>
      </c>
      <c r="K327" s="2">
        <v>67.967600000000004</v>
      </c>
      <c r="L327" s="2">
        <v>83</v>
      </c>
      <c r="M327" s="2">
        <v>85.513800000000003</v>
      </c>
      <c r="N327" s="2">
        <v>343</v>
      </c>
      <c r="O327" s="2">
        <v>85.812200000000004</v>
      </c>
      <c r="P327" s="2">
        <v>343</v>
      </c>
      <c r="Q327" s="2">
        <v>103.2831</v>
      </c>
      <c r="R327" s="2">
        <v>224</v>
      </c>
      <c r="S327" s="2">
        <v>102.7771</v>
      </c>
      <c r="T327" s="2">
        <v>202</v>
      </c>
      <c r="U327" s="2">
        <v>0.11158899999999999</v>
      </c>
      <c r="V327" s="2">
        <v>326</v>
      </c>
      <c r="W327" s="2">
        <v>2012</v>
      </c>
    </row>
    <row r="328" spans="1:23" ht="12.3" x14ac:dyDescent="0.4">
      <c r="A328" s="2" t="s">
        <v>209</v>
      </c>
      <c r="B328" s="2"/>
      <c r="C328" s="2"/>
      <c r="D328" s="2"/>
      <c r="E328" s="2"/>
      <c r="F328" s="2"/>
      <c r="G328" s="2"/>
      <c r="H328" s="2"/>
      <c r="I328" s="2">
        <v>62.904600000000002</v>
      </c>
      <c r="J328" s="2">
        <v>305</v>
      </c>
      <c r="K328" s="2">
        <v>63.091000000000001</v>
      </c>
      <c r="L328" s="2">
        <v>299</v>
      </c>
      <c r="M328" s="2">
        <v>87.553100000000001</v>
      </c>
      <c r="N328" s="2">
        <v>334</v>
      </c>
      <c r="O328" s="2">
        <v>90.162400000000005</v>
      </c>
      <c r="P328" s="2">
        <v>320</v>
      </c>
      <c r="Q328" s="2">
        <v>108.4101</v>
      </c>
      <c r="R328" s="2">
        <v>306</v>
      </c>
      <c r="S328" s="2">
        <v>108.01430000000001</v>
      </c>
      <c r="T328" s="2">
        <v>296</v>
      </c>
      <c r="U328" s="2">
        <v>0.111303</v>
      </c>
      <c r="V328" s="2">
        <v>327</v>
      </c>
      <c r="W328" s="2">
        <v>2012</v>
      </c>
    </row>
    <row r="329" spans="1:23" ht="12.3" x14ac:dyDescent="0.4">
      <c r="A329" s="2" t="s">
        <v>283</v>
      </c>
      <c r="B329" s="2"/>
      <c r="C329" s="2"/>
      <c r="D329" s="2"/>
      <c r="E329" s="2"/>
      <c r="F329" s="2"/>
      <c r="G329" s="2"/>
      <c r="H329" s="2"/>
      <c r="I329" s="2">
        <v>67.711299999999994</v>
      </c>
      <c r="J329" s="2">
        <v>97</v>
      </c>
      <c r="K329" s="2">
        <v>66.625200000000007</v>
      </c>
      <c r="L329" s="2">
        <v>139</v>
      </c>
      <c r="M329" s="2">
        <v>95.879099999999994</v>
      </c>
      <c r="N329" s="2">
        <v>272</v>
      </c>
      <c r="O329" s="2">
        <v>93.132400000000004</v>
      </c>
      <c r="P329" s="2">
        <v>297</v>
      </c>
      <c r="Q329" s="2">
        <v>110.78449999999999</v>
      </c>
      <c r="R329" s="2">
        <v>329</v>
      </c>
      <c r="S329" s="2">
        <v>111.6142</v>
      </c>
      <c r="T329" s="2">
        <v>331</v>
      </c>
      <c r="U329" s="2">
        <v>0.110878</v>
      </c>
      <c r="V329" s="2">
        <v>328</v>
      </c>
      <c r="W329" s="2">
        <v>2012</v>
      </c>
    </row>
    <row r="330" spans="1:23" ht="12.3" x14ac:dyDescent="0.4">
      <c r="A330" s="2" t="s">
        <v>342</v>
      </c>
      <c r="B330" s="2"/>
      <c r="C330" s="2"/>
      <c r="D330" s="2"/>
      <c r="E330" s="2"/>
      <c r="F330" s="2"/>
      <c r="G330" s="2"/>
      <c r="H330" s="2"/>
      <c r="I330" s="2">
        <v>70.727599999999995</v>
      </c>
      <c r="J330" s="2">
        <v>22</v>
      </c>
      <c r="K330" s="2">
        <v>70.969899999999996</v>
      </c>
      <c r="L330" s="2">
        <v>18</v>
      </c>
      <c r="M330" s="2">
        <v>86.668499999999995</v>
      </c>
      <c r="N330" s="2">
        <v>339</v>
      </c>
      <c r="O330" s="2">
        <v>84.6601</v>
      </c>
      <c r="P330" s="2">
        <v>345</v>
      </c>
      <c r="Q330" s="2">
        <v>95.7149</v>
      </c>
      <c r="R330" s="2">
        <v>58</v>
      </c>
      <c r="S330" s="2">
        <v>101.9131</v>
      </c>
      <c r="T330" s="2">
        <v>186</v>
      </c>
      <c r="U330" s="2">
        <v>0.105933</v>
      </c>
      <c r="V330" s="2">
        <v>329</v>
      </c>
      <c r="W330" s="2">
        <v>2012</v>
      </c>
    </row>
    <row r="331" spans="1:23" ht="12.3" x14ac:dyDescent="0.4">
      <c r="A331" s="2" t="s">
        <v>379</v>
      </c>
      <c r="B331" s="2"/>
      <c r="C331" s="2"/>
      <c r="D331" s="2"/>
      <c r="E331" s="2"/>
      <c r="F331" s="2"/>
      <c r="G331" s="2"/>
      <c r="H331" s="2"/>
      <c r="I331" s="2">
        <v>71.784000000000006</v>
      </c>
      <c r="J331" s="2">
        <v>15</v>
      </c>
      <c r="K331" s="2">
        <v>71.906400000000005</v>
      </c>
      <c r="L331" s="2">
        <v>12</v>
      </c>
      <c r="M331" s="2">
        <v>95.290700000000001</v>
      </c>
      <c r="N331" s="2">
        <v>278</v>
      </c>
      <c r="O331" s="2">
        <v>94.711699999999993</v>
      </c>
      <c r="P331" s="2">
        <v>285</v>
      </c>
      <c r="Q331" s="2">
        <v>117.59399999999999</v>
      </c>
      <c r="R331" s="2">
        <v>344</v>
      </c>
      <c r="S331" s="2">
        <v>114.5299</v>
      </c>
      <c r="T331" s="2">
        <v>339</v>
      </c>
      <c r="U331" s="2">
        <v>0.101108</v>
      </c>
      <c r="V331" s="2">
        <v>330</v>
      </c>
      <c r="W331" s="2">
        <v>2012</v>
      </c>
    </row>
    <row r="332" spans="1:23" ht="12.3" x14ac:dyDescent="0.4">
      <c r="A332" s="2" t="s">
        <v>261</v>
      </c>
      <c r="B332" s="2"/>
      <c r="C332" s="2"/>
      <c r="D332" s="2"/>
      <c r="E332" s="2"/>
      <c r="F332" s="2"/>
      <c r="G332" s="2"/>
      <c r="H332" s="2"/>
      <c r="I332" s="2">
        <v>68.627200000000002</v>
      </c>
      <c r="J332" s="2">
        <v>58</v>
      </c>
      <c r="K332" s="2">
        <v>68.489099999999993</v>
      </c>
      <c r="L332" s="2">
        <v>59</v>
      </c>
      <c r="M332" s="2">
        <v>87.767600000000002</v>
      </c>
      <c r="N332" s="2">
        <v>332</v>
      </c>
      <c r="O332" s="2">
        <v>87.680400000000006</v>
      </c>
      <c r="P332" s="2">
        <v>335</v>
      </c>
      <c r="Q332" s="2">
        <v>100.2287</v>
      </c>
      <c r="R332" s="2">
        <v>157</v>
      </c>
      <c r="S332" s="2">
        <v>106.2336</v>
      </c>
      <c r="T332" s="2">
        <v>273</v>
      </c>
      <c r="U332" s="2">
        <v>9.9094000000000002E-2</v>
      </c>
      <c r="V332" s="2">
        <v>331</v>
      </c>
      <c r="W332" s="2">
        <v>2012</v>
      </c>
    </row>
    <row r="333" spans="1:23" ht="12.3" x14ac:dyDescent="0.4">
      <c r="A333" s="2" t="s">
        <v>300</v>
      </c>
      <c r="B333" s="2"/>
      <c r="C333" s="2"/>
      <c r="D333" s="2"/>
      <c r="E333" s="2"/>
      <c r="F333" s="2"/>
      <c r="G333" s="2"/>
      <c r="H333" s="2"/>
      <c r="I333" s="2">
        <v>61.284300000000002</v>
      </c>
      <c r="J333" s="2">
        <v>330</v>
      </c>
      <c r="K333" s="2">
        <v>60.833100000000002</v>
      </c>
      <c r="L333" s="2">
        <v>334</v>
      </c>
      <c r="M333" s="2">
        <v>91.738900000000001</v>
      </c>
      <c r="N333" s="2">
        <v>310</v>
      </c>
      <c r="O333" s="2">
        <v>89.911500000000004</v>
      </c>
      <c r="P333" s="2">
        <v>321</v>
      </c>
      <c r="Q333" s="2">
        <v>107.89570000000001</v>
      </c>
      <c r="R333" s="2">
        <v>304</v>
      </c>
      <c r="S333" s="2">
        <v>109.2517</v>
      </c>
      <c r="T333" s="2">
        <v>313</v>
      </c>
      <c r="U333" s="2">
        <v>9.6170000000000005E-2</v>
      </c>
      <c r="V333" s="2">
        <v>332</v>
      </c>
      <c r="W333" s="2">
        <v>2012</v>
      </c>
    </row>
    <row r="334" spans="1:23" ht="12.3" x14ac:dyDescent="0.4">
      <c r="A334" s="2" t="s">
        <v>348</v>
      </c>
      <c r="B334" s="2"/>
      <c r="C334" s="2"/>
      <c r="D334" s="2"/>
      <c r="E334" s="2"/>
      <c r="F334" s="2"/>
      <c r="G334" s="2"/>
      <c r="H334" s="2"/>
      <c r="I334" s="2">
        <v>71.451800000000006</v>
      </c>
      <c r="J334" s="2">
        <v>16</v>
      </c>
      <c r="K334" s="2">
        <v>70.234800000000007</v>
      </c>
      <c r="L334" s="2">
        <v>26</v>
      </c>
      <c r="M334" s="2">
        <v>86.437100000000001</v>
      </c>
      <c r="N334" s="2">
        <v>341</v>
      </c>
      <c r="O334" s="2">
        <v>88.2102</v>
      </c>
      <c r="P334" s="2">
        <v>333</v>
      </c>
      <c r="Q334" s="2">
        <v>108.89870000000001</v>
      </c>
      <c r="R334" s="2">
        <v>313</v>
      </c>
      <c r="S334" s="2">
        <v>107.62860000000001</v>
      </c>
      <c r="T334" s="2">
        <v>289</v>
      </c>
      <c r="U334" s="2">
        <v>9.2115000000000002E-2</v>
      </c>
      <c r="V334" s="2">
        <v>333</v>
      </c>
      <c r="W334" s="2">
        <v>2012</v>
      </c>
    </row>
    <row r="335" spans="1:23" ht="12.3" x14ac:dyDescent="0.4">
      <c r="A335" s="2" t="s">
        <v>359</v>
      </c>
      <c r="B335" s="2"/>
      <c r="C335" s="2"/>
      <c r="D335" s="2"/>
      <c r="E335" s="2"/>
      <c r="F335" s="2"/>
      <c r="G335" s="2"/>
      <c r="H335" s="2"/>
      <c r="I335" s="2">
        <v>72.101399999999998</v>
      </c>
      <c r="J335" s="2">
        <v>12</v>
      </c>
      <c r="K335" s="2">
        <v>70.777699999999996</v>
      </c>
      <c r="L335" s="2">
        <v>20</v>
      </c>
      <c r="M335" s="2">
        <v>97.505399999999995</v>
      </c>
      <c r="N335" s="2">
        <v>242</v>
      </c>
      <c r="O335" s="2">
        <v>98.909000000000006</v>
      </c>
      <c r="P335" s="2">
        <v>216</v>
      </c>
      <c r="Q335" s="2">
        <v>117.9174</v>
      </c>
      <c r="R335" s="2">
        <v>345</v>
      </c>
      <c r="S335" s="2">
        <v>121.1347</v>
      </c>
      <c r="T335" s="2">
        <v>345</v>
      </c>
      <c r="U335" s="2">
        <v>8.8580000000000006E-2</v>
      </c>
      <c r="V335" s="2">
        <v>334</v>
      </c>
      <c r="W335" s="2">
        <v>2012</v>
      </c>
    </row>
    <row r="336" spans="1:23" ht="12.3" x14ac:dyDescent="0.4">
      <c r="A336" s="2" t="s">
        <v>280</v>
      </c>
      <c r="B336" s="2"/>
      <c r="C336" s="2"/>
      <c r="D336" s="2"/>
      <c r="E336" s="2"/>
      <c r="F336" s="2"/>
      <c r="G336" s="2"/>
      <c r="H336" s="2"/>
      <c r="I336" s="2">
        <v>66.384600000000006</v>
      </c>
      <c r="J336" s="2">
        <v>162</v>
      </c>
      <c r="K336" s="2">
        <v>66.471400000000003</v>
      </c>
      <c r="L336" s="2">
        <v>144</v>
      </c>
      <c r="M336" s="2">
        <v>91.465500000000006</v>
      </c>
      <c r="N336" s="2">
        <v>312</v>
      </c>
      <c r="O336" s="2">
        <v>92.857100000000003</v>
      </c>
      <c r="P336" s="2">
        <v>299</v>
      </c>
      <c r="Q336" s="2">
        <v>112.2295</v>
      </c>
      <c r="R336" s="2">
        <v>338</v>
      </c>
      <c r="S336" s="2">
        <v>114.11</v>
      </c>
      <c r="T336" s="2">
        <v>337</v>
      </c>
      <c r="U336" s="2">
        <v>8.5476999999999997E-2</v>
      </c>
      <c r="V336" s="2">
        <v>335</v>
      </c>
      <c r="W336" s="2">
        <v>2012</v>
      </c>
    </row>
    <row r="337" spans="1:23" ht="12.3" x14ac:dyDescent="0.4">
      <c r="A337" s="2" t="s">
        <v>312</v>
      </c>
      <c r="B337" s="2"/>
      <c r="C337" s="2"/>
      <c r="D337" s="2"/>
      <c r="E337" s="2"/>
      <c r="F337" s="2"/>
      <c r="G337" s="2"/>
      <c r="H337" s="2"/>
      <c r="I337" s="2">
        <v>63.191499999999998</v>
      </c>
      <c r="J337" s="2">
        <v>299</v>
      </c>
      <c r="K337" s="2">
        <v>62.247100000000003</v>
      </c>
      <c r="L337" s="2">
        <v>319</v>
      </c>
      <c r="M337" s="2">
        <v>86.507599999999996</v>
      </c>
      <c r="N337" s="2">
        <v>340</v>
      </c>
      <c r="O337" s="2">
        <v>86.642399999999995</v>
      </c>
      <c r="P337" s="2">
        <v>338</v>
      </c>
      <c r="Q337" s="2">
        <v>102.4417</v>
      </c>
      <c r="R337" s="2">
        <v>203</v>
      </c>
      <c r="S337" s="2">
        <v>107.02930000000001</v>
      </c>
      <c r="T337" s="2">
        <v>282</v>
      </c>
      <c r="U337" s="2">
        <v>8.0905000000000005E-2</v>
      </c>
      <c r="V337" s="2">
        <v>336</v>
      </c>
      <c r="W337" s="2">
        <v>2012</v>
      </c>
    </row>
    <row r="338" spans="1:23" ht="12.3" x14ac:dyDescent="0.4">
      <c r="A338" s="2" t="s">
        <v>375</v>
      </c>
      <c r="B338" s="2"/>
      <c r="C338" s="2"/>
      <c r="D338" s="2"/>
      <c r="E338" s="2"/>
      <c r="F338" s="2"/>
      <c r="G338" s="2"/>
      <c r="H338" s="2"/>
      <c r="I338" s="2">
        <v>66.410600000000002</v>
      </c>
      <c r="J338" s="2">
        <v>158</v>
      </c>
      <c r="K338" s="2">
        <v>66.1357</v>
      </c>
      <c r="L338" s="2">
        <v>161</v>
      </c>
      <c r="M338" s="2">
        <v>92.588800000000006</v>
      </c>
      <c r="N338" s="2">
        <v>302</v>
      </c>
      <c r="O338" s="2">
        <v>92.232200000000006</v>
      </c>
      <c r="P338" s="2">
        <v>306</v>
      </c>
      <c r="Q338" s="2">
        <v>113.1319</v>
      </c>
      <c r="R338" s="2">
        <v>341</v>
      </c>
      <c r="S338" s="2">
        <v>114.5194</v>
      </c>
      <c r="T338" s="2">
        <v>338</v>
      </c>
      <c r="U338" s="2">
        <v>7.6632000000000006E-2</v>
      </c>
      <c r="V338" s="2">
        <v>337</v>
      </c>
      <c r="W338" s="2">
        <v>2012</v>
      </c>
    </row>
    <row r="339" spans="1:23" ht="12.3" x14ac:dyDescent="0.4">
      <c r="A339" s="2" t="s">
        <v>272</v>
      </c>
      <c r="B339" s="2"/>
      <c r="C339" s="2"/>
      <c r="D339" s="2"/>
      <c r="E339" s="2"/>
      <c r="F339" s="2"/>
      <c r="G339" s="2"/>
      <c r="H339" s="2"/>
      <c r="I339" s="2">
        <v>67.577399999999997</v>
      </c>
      <c r="J339" s="2">
        <v>104</v>
      </c>
      <c r="K339" s="2">
        <v>67.876400000000004</v>
      </c>
      <c r="L339" s="2">
        <v>86</v>
      </c>
      <c r="M339" s="2">
        <v>89.546000000000006</v>
      </c>
      <c r="N339" s="2">
        <v>326</v>
      </c>
      <c r="O339" s="2">
        <v>89.026799999999994</v>
      </c>
      <c r="P339" s="2">
        <v>327</v>
      </c>
      <c r="Q339" s="2">
        <v>101.86750000000001</v>
      </c>
      <c r="R339" s="2">
        <v>193</v>
      </c>
      <c r="S339" s="2">
        <v>110.745</v>
      </c>
      <c r="T339" s="2">
        <v>325</v>
      </c>
      <c r="U339" s="2">
        <v>7.5134000000000006E-2</v>
      </c>
      <c r="V339" s="2">
        <v>338</v>
      </c>
      <c r="W339" s="2">
        <v>2012</v>
      </c>
    </row>
    <row r="340" spans="1:23" ht="12.3" x14ac:dyDescent="0.4">
      <c r="A340" s="2" t="s">
        <v>344</v>
      </c>
      <c r="B340" s="2"/>
      <c r="C340" s="2"/>
      <c r="D340" s="2"/>
      <c r="E340" s="2"/>
      <c r="F340" s="2"/>
      <c r="G340" s="2"/>
      <c r="H340" s="2"/>
      <c r="I340" s="2">
        <v>68.398300000000006</v>
      </c>
      <c r="J340" s="2">
        <v>68</v>
      </c>
      <c r="K340" s="2">
        <v>67.564599999999999</v>
      </c>
      <c r="L340" s="2">
        <v>102</v>
      </c>
      <c r="M340" s="2">
        <v>88.668300000000002</v>
      </c>
      <c r="N340" s="2">
        <v>327</v>
      </c>
      <c r="O340" s="2">
        <v>85.929100000000005</v>
      </c>
      <c r="P340" s="2">
        <v>342</v>
      </c>
      <c r="Q340" s="2">
        <v>106.199</v>
      </c>
      <c r="R340" s="2">
        <v>283</v>
      </c>
      <c r="S340" s="2">
        <v>106.9504</v>
      </c>
      <c r="T340" s="2">
        <v>281</v>
      </c>
      <c r="U340" s="2">
        <v>7.4695999999999999E-2</v>
      </c>
      <c r="V340" s="2">
        <v>339</v>
      </c>
      <c r="W340" s="2">
        <v>2012</v>
      </c>
    </row>
    <row r="341" spans="1:23" ht="12.3" x14ac:dyDescent="0.4">
      <c r="A341" s="2" t="s">
        <v>252</v>
      </c>
      <c r="B341" s="2"/>
      <c r="C341" s="2"/>
      <c r="D341" s="2"/>
      <c r="E341" s="2"/>
      <c r="F341" s="2"/>
      <c r="G341" s="2"/>
      <c r="H341" s="2"/>
      <c r="I341" s="2">
        <v>68.861199999999997</v>
      </c>
      <c r="J341" s="2">
        <v>55</v>
      </c>
      <c r="K341" s="2">
        <v>69.433999999999997</v>
      </c>
      <c r="L341" s="2">
        <v>36</v>
      </c>
      <c r="M341" s="2">
        <v>90.664699999999996</v>
      </c>
      <c r="N341" s="2">
        <v>316</v>
      </c>
      <c r="O341" s="2">
        <v>90.721999999999994</v>
      </c>
      <c r="P341" s="2">
        <v>319</v>
      </c>
      <c r="Q341" s="2">
        <v>110.6404</v>
      </c>
      <c r="R341" s="2">
        <v>328</v>
      </c>
      <c r="S341" s="2">
        <v>112.93429999999999</v>
      </c>
      <c r="T341" s="2">
        <v>335</v>
      </c>
      <c r="U341" s="2">
        <v>7.4566999999999994E-2</v>
      </c>
      <c r="V341" s="2">
        <v>340</v>
      </c>
      <c r="W341" s="2">
        <v>2012</v>
      </c>
    </row>
    <row r="342" spans="1:23" ht="12.3" x14ac:dyDescent="0.4">
      <c r="A342" s="2" t="s">
        <v>293</v>
      </c>
      <c r="B342" s="2"/>
      <c r="C342" s="2"/>
      <c r="D342" s="2"/>
      <c r="E342" s="2"/>
      <c r="F342" s="2"/>
      <c r="G342" s="2"/>
      <c r="H342" s="2"/>
      <c r="I342" s="2">
        <v>63.271099999999997</v>
      </c>
      <c r="J342" s="2">
        <v>294</v>
      </c>
      <c r="K342" s="2">
        <v>62.943800000000003</v>
      </c>
      <c r="L342" s="2">
        <v>301</v>
      </c>
      <c r="M342" s="2">
        <v>81.550899999999999</v>
      </c>
      <c r="N342" s="2">
        <v>344</v>
      </c>
      <c r="O342" s="2">
        <v>86.938999999999993</v>
      </c>
      <c r="P342" s="2">
        <v>337</v>
      </c>
      <c r="Q342" s="2">
        <v>110.28489999999999</v>
      </c>
      <c r="R342" s="2">
        <v>326</v>
      </c>
      <c r="S342" s="2">
        <v>108.2826</v>
      </c>
      <c r="T342" s="2">
        <v>301</v>
      </c>
      <c r="U342" s="2">
        <v>7.4146000000000004E-2</v>
      </c>
      <c r="V342" s="2">
        <v>341</v>
      </c>
      <c r="W342" s="2">
        <v>2012</v>
      </c>
    </row>
    <row r="343" spans="1:23" ht="12.3" x14ac:dyDescent="0.4">
      <c r="A343" s="2" t="s">
        <v>254</v>
      </c>
      <c r="B343" s="2"/>
      <c r="C343" s="2"/>
      <c r="D343" s="2"/>
      <c r="E343" s="2"/>
      <c r="F343" s="2"/>
      <c r="G343" s="2"/>
      <c r="H343" s="2"/>
      <c r="I343" s="2">
        <v>66.266900000000007</v>
      </c>
      <c r="J343" s="2">
        <v>169</v>
      </c>
      <c r="K343" s="2">
        <v>65.838099999999997</v>
      </c>
      <c r="L343" s="2">
        <v>184</v>
      </c>
      <c r="M343" s="2">
        <v>90.243399999999994</v>
      </c>
      <c r="N343" s="2">
        <v>323</v>
      </c>
      <c r="O343" s="2">
        <v>89.239400000000003</v>
      </c>
      <c r="P343" s="2">
        <v>326</v>
      </c>
      <c r="Q343" s="2">
        <v>110.0866</v>
      </c>
      <c r="R343" s="2">
        <v>323</v>
      </c>
      <c r="S343" s="2">
        <v>111.8383</v>
      </c>
      <c r="T343" s="2">
        <v>332</v>
      </c>
      <c r="U343" s="2">
        <v>6.9402000000000005E-2</v>
      </c>
      <c r="V343" s="2">
        <v>342</v>
      </c>
      <c r="W343" s="2">
        <v>2012</v>
      </c>
    </row>
    <row r="344" spans="1:23" ht="12.3" x14ac:dyDescent="0.4">
      <c r="A344" s="2" t="s">
        <v>288</v>
      </c>
      <c r="B344" s="2"/>
      <c r="C344" s="2"/>
      <c r="D344" s="2"/>
      <c r="E344" s="2"/>
      <c r="F344" s="2"/>
      <c r="G344" s="2"/>
      <c r="H344" s="2"/>
      <c r="I344" s="2">
        <v>69.605500000000006</v>
      </c>
      <c r="J344" s="2">
        <v>38</v>
      </c>
      <c r="K344" s="2">
        <v>69.547700000000006</v>
      </c>
      <c r="L344" s="2">
        <v>31</v>
      </c>
      <c r="M344" s="2">
        <v>91.524299999999997</v>
      </c>
      <c r="N344" s="2">
        <v>311</v>
      </c>
      <c r="O344" s="2">
        <v>91.694500000000005</v>
      </c>
      <c r="P344" s="2">
        <v>310</v>
      </c>
      <c r="Q344" s="2">
        <v>112.4349</v>
      </c>
      <c r="R344" s="2">
        <v>339</v>
      </c>
      <c r="S344" s="2">
        <v>115.9632</v>
      </c>
      <c r="T344" s="2">
        <v>343</v>
      </c>
      <c r="U344" s="2">
        <v>6.2953999999999996E-2</v>
      </c>
      <c r="V344" s="2">
        <v>343</v>
      </c>
      <c r="W344" s="2">
        <v>2012</v>
      </c>
    </row>
    <row r="345" spans="1:23" ht="12.3" x14ac:dyDescent="0.4">
      <c r="A345" s="2" t="s">
        <v>315</v>
      </c>
      <c r="B345" s="2"/>
      <c r="C345" s="2"/>
      <c r="D345" s="2"/>
      <c r="E345" s="2"/>
      <c r="F345" s="2"/>
      <c r="G345" s="2"/>
      <c r="H345" s="2"/>
      <c r="I345" s="2">
        <v>65.137900000000002</v>
      </c>
      <c r="J345" s="2">
        <v>220</v>
      </c>
      <c r="K345" s="2">
        <v>65.5471</v>
      </c>
      <c r="L345" s="2">
        <v>201</v>
      </c>
      <c r="M345" s="2">
        <v>86.938500000000005</v>
      </c>
      <c r="N345" s="2">
        <v>338</v>
      </c>
      <c r="O345" s="2">
        <v>86.089299999999994</v>
      </c>
      <c r="P345" s="2">
        <v>341</v>
      </c>
      <c r="Q345" s="2">
        <v>108.494</v>
      </c>
      <c r="R345" s="2">
        <v>307</v>
      </c>
      <c r="S345" s="2">
        <v>110.3373</v>
      </c>
      <c r="T345" s="2">
        <v>322</v>
      </c>
      <c r="U345" s="2">
        <v>5.4484999999999999E-2</v>
      </c>
      <c r="V345" s="2">
        <v>344</v>
      </c>
      <c r="W345" s="2">
        <v>2012</v>
      </c>
    </row>
    <row r="346" spans="1:23" ht="12.3" x14ac:dyDescent="0.4">
      <c r="A346" s="2" t="s">
        <v>329</v>
      </c>
      <c r="B346" s="2"/>
      <c r="C346" s="2"/>
      <c r="D346" s="2"/>
      <c r="E346" s="2"/>
      <c r="F346" s="2"/>
      <c r="G346" s="2"/>
      <c r="H346" s="2"/>
      <c r="I346" s="2">
        <v>66.689700000000002</v>
      </c>
      <c r="J346" s="2">
        <v>147</v>
      </c>
      <c r="K346" s="2">
        <v>65.608900000000006</v>
      </c>
      <c r="L346" s="2">
        <v>194</v>
      </c>
      <c r="M346" s="2">
        <v>81.0959</v>
      </c>
      <c r="N346" s="2">
        <v>345</v>
      </c>
      <c r="O346" s="2">
        <v>86.514600000000002</v>
      </c>
      <c r="P346" s="2">
        <v>339</v>
      </c>
      <c r="Q346" s="2">
        <v>106.6324</v>
      </c>
      <c r="R346" s="2">
        <v>288</v>
      </c>
      <c r="S346" s="2">
        <v>115.3831</v>
      </c>
      <c r="T346" s="2">
        <v>341</v>
      </c>
      <c r="U346" s="2">
        <v>3.5182999999999999E-2</v>
      </c>
      <c r="V346" s="2">
        <v>345</v>
      </c>
      <c r="W346" s="2">
        <v>2012</v>
      </c>
    </row>
  </sheetData>
  <autoFilter ref="A1:V346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W348"/>
  <sheetViews>
    <sheetView workbookViewId="0"/>
  </sheetViews>
  <sheetFormatPr defaultColWidth="14.44140625" defaultRowHeight="15.75" customHeight="1" x14ac:dyDescent="0.4"/>
  <cols>
    <col min="2" max="2" width="3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86</v>
      </c>
      <c r="B2" s="2">
        <v>1</v>
      </c>
      <c r="C2" s="3" t="s">
        <v>33</v>
      </c>
      <c r="D2" s="3" t="s">
        <v>33</v>
      </c>
      <c r="E2" s="3" t="s">
        <v>33</v>
      </c>
      <c r="F2" s="3" t="s">
        <v>33</v>
      </c>
      <c r="G2" s="3" t="s">
        <v>33</v>
      </c>
      <c r="H2" s="3" t="s">
        <v>33</v>
      </c>
      <c r="I2" s="2">
        <v>66.668000000000006</v>
      </c>
      <c r="J2" s="2">
        <v>138</v>
      </c>
      <c r="K2" s="2">
        <v>67.232900000000001</v>
      </c>
      <c r="L2" s="2">
        <v>112</v>
      </c>
      <c r="M2" s="2">
        <v>108.6223</v>
      </c>
      <c r="N2" s="2">
        <v>31</v>
      </c>
      <c r="O2" s="2">
        <v>112.1925</v>
      </c>
      <c r="P2" s="2">
        <v>18</v>
      </c>
      <c r="Q2" s="2">
        <v>85.264399999999995</v>
      </c>
      <c r="R2" s="2">
        <v>2</v>
      </c>
      <c r="S2" s="2">
        <v>83.799400000000006</v>
      </c>
      <c r="T2" s="2">
        <v>1</v>
      </c>
      <c r="U2" s="2">
        <v>0.96628700000000001</v>
      </c>
      <c r="V2" s="2">
        <v>1</v>
      </c>
      <c r="W2" s="2">
        <v>2013</v>
      </c>
    </row>
    <row r="3" spans="1:23" ht="15.75" customHeight="1" x14ac:dyDescent="0.4">
      <c r="A3" s="2" t="s">
        <v>37</v>
      </c>
      <c r="B3" s="2">
        <v>3</v>
      </c>
      <c r="C3" s="3" t="s">
        <v>33</v>
      </c>
      <c r="D3" s="3" t="s">
        <v>33</v>
      </c>
      <c r="E3" s="3" t="s">
        <v>33</v>
      </c>
      <c r="F3" s="2"/>
      <c r="G3" s="2"/>
      <c r="H3" s="2"/>
      <c r="I3" s="2">
        <v>62.645800000000001</v>
      </c>
      <c r="J3" s="2">
        <v>300</v>
      </c>
      <c r="K3" s="2">
        <v>62.492699999999999</v>
      </c>
      <c r="L3" s="2">
        <v>299</v>
      </c>
      <c r="M3" s="2">
        <v>114.4507</v>
      </c>
      <c r="N3" s="2">
        <v>8</v>
      </c>
      <c r="O3" s="2">
        <v>113.9367</v>
      </c>
      <c r="P3" s="2">
        <v>9</v>
      </c>
      <c r="Q3" s="2">
        <v>85.6828</v>
      </c>
      <c r="R3" s="2">
        <v>3</v>
      </c>
      <c r="S3" s="2">
        <v>87.155100000000004</v>
      </c>
      <c r="T3" s="2">
        <v>4</v>
      </c>
      <c r="U3" s="2">
        <v>0.95612200000000003</v>
      </c>
      <c r="V3" s="2">
        <v>2</v>
      </c>
      <c r="W3" s="2">
        <v>2013</v>
      </c>
    </row>
    <row r="4" spans="1:23" ht="15.75" customHeight="1" x14ac:dyDescent="0.4">
      <c r="A4" s="2" t="s">
        <v>47</v>
      </c>
      <c r="B4" s="2">
        <v>1</v>
      </c>
      <c r="C4" s="3" t="s">
        <v>33</v>
      </c>
      <c r="D4" s="2"/>
      <c r="E4" s="2"/>
      <c r="F4" s="2"/>
      <c r="G4" s="2"/>
      <c r="H4" s="2"/>
      <c r="I4" s="2">
        <v>65.064099999999996</v>
      </c>
      <c r="J4" s="2">
        <v>215</v>
      </c>
      <c r="K4" s="2">
        <v>64.624300000000005</v>
      </c>
      <c r="L4" s="2">
        <v>231</v>
      </c>
      <c r="M4" s="2">
        <v>117.92</v>
      </c>
      <c r="N4" s="2">
        <v>1</v>
      </c>
      <c r="O4" s="2">
        <v>118.3677</v>
      </c>
      <c r="P4" s="2">
        <v>2</v>
      </c>
      <c r="Q4" s="2">
        <v>91.5809</v>
      </c>
      <c r="R4" s="2">
        <v>21</v>
      </c>
      <c r="S4" s="2">
        <v>91.925600000000003</v>
      </c>
      <c r="T4" s="2">
        <v>26</v>
      </c>
      <c r="U4" s="2">
        <v>0.94821100000000003</v>
      </c>
      <c r="V4" s="2">
        <v>3</v>
      </c>
      <c r="W4" s="2">
        <v>2013</v>
      </c>
    </row>
    <row r="5" spans="1:23" ht="15.75" customHeight="1" x14ac:dyDescent="0.4">
      <c r="A5" s="2" t="s">
        <v>40</v>
      </c>
      <c r="B5" s="2">
        <v>1</v>
      </c>
      <c r="C5" s="3" t="s">
        <v>33</v>
      </c>
      <c r="D5" s="3" t="s">
        <v>33</v>
      </c>
      <c r="E5" s="2"/>
      <c r="F5" s="2"/>
      <c r="G5" s="2"/>
      <c r="H5" s="2"/>
      <c r="I5" s="2">
        <v>67.518900000000002</v>
      </c>
      <c r="J5" s="2">
        <v>101</v>
      </c>
      <c r="K5" s="2">
        <v>67.794700000000006</v>
      </c>
      <c r="L5" s="2">
        <v>86</v>
      </c>
      <c r="M5" s="2">
        <v>117.4251</v>
      </c>
      <c r="N5" s="2">
        <v>2</v>
      </c>
      <c r="O5" s="2">
        <v>120.4208</v>
      </c>
      <c r="P5" s="2">
        <v>1</v>
      </c>
      <c r="Q5" s="2">
        <v>92.293199999999999</v>
      </c>
      <c r="R5" s="2">
        <v>30</v>
      </c>
      <c r="S5" s="2">
        <v>94.176900000000003</v>
      </c>
      <c r="T5" s="2">
        <v>44</v>
      </c>
      <c r="U5" s="2">
        <v>0.94411199999999995</v>
      </c>
      <c r="V5" s="2">
        <v>4</v>
      </c>
      <c r="W5" s="2">
        <v>2013</v>
      </c>
    </row>
    <row r="6" spans="1:23" ht="15.75" customHeight="1" x14ac:dyDescent="0.4">
      <c r="A6" s="2" t="s">
        <v>21</v>
      </c>
      <c r="B6" s="2">
        <v>2</v>
      </c>
      <c r="C6" s="3" t="s">
        <v>33</v>
      </c>
      <c r="D6" s="3" t="s">
        <v>33</v>
      </c>
      <c r="E6" s="3" t="s">
        <v>33</v>
      </c>
      <c r="F6" s="2"/>
      <c r="G6" s="2"/>
      <c r="H6" s="2"/>
      <c r="I6" s="2">
        <v>63.558799999999998</v>
      </c>
      <c r="J6" s="2">
        <v>275</v>
      </c>
      <c r="K6" s="2">
        <v>64.305999999999997</v>
      </c>
      <c r="L6" s="2">
        <v>248</v>
      </c>
      <c r="M6" s="2">
        <v>108.62179999999999</v>
      </c>
      <c r="N6" s="2">
        <v>32</v>
      </c>
      <c r="O6" s="2">
        <v>111.7563</v>
      </c>
      <c r="P6" s="2">
        <v>21</v>
      </c>
      <c r="Q6" s="2">
        <v>91.190299999999993</v>
      </c>
      <c r="R6" s="2">
        <v>16</v>
      </c>
      <c r="S6" s="2">
        <v>89.258799999999994</v>
      </c>
      <c r="T6" s="2">
        <v>10</v>
      </c>
      <c r="U6" s="2">
        <v>0.92988899999999997</v>
      </c>
      <c r="V6" s="2">
        <v>5</v>
      </c>
      <c r="W6" s="2">
        <v>2013</v>
      </c>
    </row>
    <row r="7" spans="1:23" ht="15.75" customHeight="1" x14ac:dyDescent="0.4">
      <c r="A7" s="2" t="s">
        <v>32</v>
      </c>
      <c r="B7" s="2">
        <v>2</v>
      </c>
      <c r="C7" s="3" t="s">
        <v>33</v>
      </c>
      <c r="D7" s="3" t="s">
        <v>33</v>
      </c>
      <c r="E7" s="3" t="s">
        <v>33</v>
      </c>
      <c r="F7" s="2"/>
      <c r="G7" s="2"/>
      <c r="H7" s="2"/>
      <c r="I7" s="2">
        <v>68.660200000000003</v>
      </c>
      <c r="J7" s="2">
        <v>68</v>
      </c>
      <c r="K7" s="2">
        <v>67.914400000000001</v>
      </c>
      <c r="L7" s="2">
        <v>81</v>
      </c>
      <c r="M7" s="2">
        <v>114.4513</v>
      </c>
      <c r="N7" s="2">
        <v>7</v>
      </c>
      <c r="O7" s="2">
        <v>117.2188</v>
      </c>
      <c r="P7" s="2">
        <v>4</v>
      </c>
      <c r="Q7" s="2">
        <v>95.1267</v>
      </c>
      <c r="R7" s="2">
        <v>59</v>
      </c>
      <c r="S7" s="2">
        <v>93.706400000000002</v>
      </c>
      <c r="T7" s="2">
        <v>39</v>
      </c>
      <c r="U7" s="2">
        <v>0.92920700000000001</v>
      </c>
      <c r="V7" s="2">
        <v>6</v>
      </c>
      <c r="W7" s="2">
        <v>2013</v>
      </c>
    </row>
    <row r="8" spans="1:23" ht="15.75" customHeight="1" x14ac:dyDescent="0.4">
      <c r="A8" s="2" t="s">
        <v>35</v>
      </c>
      <c r="B8" s="2">
        <v>1</v>
      </c>
      <c r="C8" s="3" t="s">
        <v>33</v>
      </c>
      <c r="D8" s="3" t="s">
        <v>33</v>
      </c>
      <c r="E8" s="2"/>
      <c r="F8" s="2"/>
      <c r="G8" s="2"/>
      <c r="H8" s="2"/>
      <c r="I8" s="2">
        <v>67.635999999999996</v>
      </c>
      <c r="J8" s="2">
        <v>95</v>
      </c>
      <c r="K8" s="2">
        <v>67.702699999999993</v>
      </c>
      <c r="L8" s="2">
        <v>91</v>
      </c>
      <c r="M8" s="2">
        <v>109.6229</v>
      </c>
      <c r="N8" s="2">
        <v>24</v>
      </c>
      <c r="O8" s="2">
        <v>110.3897</v>
      </c>
      <c r="P8" s="2">
        <v>34</v>
      </c>
      <c r="Q8" s="2">
        <v>89.302999999999997</v>
      </c>
      <c r="R8" s="2">
        <v>9</v>
      </c>
      <c r="S8" s="2">
        <v>88.356099999999998</v>
      </c>
      <c r="T8" s="2">
        <v>6</v>
      </c>
      <c r="U8" s="2">
        <v>0.92826799999999998</v>
      </c>
      <c r="V8" s="2">
        <v>7</v>
      </c>
      <c r="W8" s="2">
        <v>2013</v>
      </c>
    </row>
    <row r="9" spans="1:23" ht="15.75" customHeight="1" x14ac:dyDescent="0.4">
      <c r="A9" s="2" t="s">
        <v>46</v>
      </c>
      <c r="B9" s="2">
        <v>8</v>
      </c>
      <c r="C9" s="2"/>
      <c r="D9" s="2"/>
      <c r="E9" s="2"/>
      <c r="F9" s="2"/>
      <c r="G9" s="2"/>
      <c r="H9" s="2"/>
      <c r="I9" s="2">
        <v>60.202500000000001</v>
      </c>
      <c r="J9" s="2">
        <v>342</v>
      </c>
      <c r="K9" s="2">
        <v>60.187199999999997</v>
      </c>
      <c r="L9" s="2">
        <v>339</v>
      </c>
      <c r="M9" s="2">
        <v>114.7007</v>
      </c>
      <c r="N9" s="2">
        <v>6</v>
      </c>
      <c r="O9" s="2">
        <v>113.6168</v>
      </c>
      <c r="P9" s="2">
        <v>10</v>
      </c>
      <c r="Q9" s="2">
        <v>91.251000000000005</v>
      </c>
      <c r="R9" s="2">
        <v>17</v>
      </c>
      <c r="S9" s="2">
        <v>90.956900000000005</v>
      </c>
      <c r="T9" s="2">
        <v>18</v>
      </c>
      <c r="U9" s="2">
        <v>0.928118</v>
      </c>
      <c r="V9" s="2">
        <v>8</v>
      </c>
      <c r="W9" s="2">
        <v>2013</v>
      </c>
    </row>
    <row r="10" spans="1:23" ht="15.75" customHeight="1" x14ac:dyDescent="0.4">
      <c r="A10" s="2" t="s">
        <v>62</v>
      </c>
      <c r="B10" s="2">
        <v>2</v>
      </c>
      <c r="C10" s="2"/>
      <c r="D10" s="2"/>
      <c r="E10" s="2"/>
      <c r="F10" s="2"/>
      <c r="G10" s="2"/>
      <c r="H10" s="2"/>
      <c r="I10" s="2">
        <v>62.041600000000003</v>
      </c>
      <c r="J10" s="2">
        <v>311</v>
      </c>
      <c r="K10" s="2">
        <v>61.879100000000001</v>
      </c>
      <c r="L10" s="2">
        <v>313</v>
      </c>
      <c r="M10" s="2">
        <v>102.31489999999999</v>
      </c>
      <c r="N10" s="2">
        <v>140</v>
      </c>
      <c r="O10" s="2">
        <v>105.971</v>
      </c>
      <c r="P10" s="2">
        <v>74</v>
      </c>
      <c r="Q10" s="2">
        <v>88.490600000000001</v>
      </c>
      <c r="R10" s="2">
        <v>6</v>
      </c>
      <c r="S10" s="2">
        <v>85.314400000000006</v>
      </c>
      <c r="T10" s="2">
        <v>2</v>
      </c>
      <c r="U10" s="2">
        <v>0.923682</v>
      </c>
      <c r="V10" s="2">
        <v>9</v>
      </c>
      <c r="W10" s="2">
        <v>2013</v>
      </c>
    </row>
    <row r="11" spans="1:23" ht="15.75" customHeight="1" x14ac:dyDescent="0.4">
      <c r="A11" s="2" t="s">
        <v>58</v>
      </c>
      <c r="B11" s="2">
        <v>3</v>
      </c>
      <c r="C11" s="3" t="s">
        <v>33</v>
      </c>
      <c r="D11" s="3" t="s">
        <v>33</v>
      </c>
      <c r="E11" s="2"/>
      <c r="F11" s="2"/>
      <c r="G11" s="2"/>
      <c r="H11" s="2"/>
      <c r="I11" s="2">
        <v>64.110500000000002</v>
      </c>
      <c r="J11" s="2">
        <v>251</v>
      </c>
      <c r="K11" s="2">
        <v>64.399900000000002</v>
      </c>
      <c r="L11" s="2">
        <v>244</v>
      </c>
      <c r="M11" s="2">
        <v>105.28189999999999</v>
      </c>
      <c r="N11" s="2">
        <v>87</v>
      </c>
      <c r="O11" s="2">
        <v>110.50660000000001</v>
      </c>
      <c r="P11" s="2">
        <v>32</v>
      </c>
      <c r="Q11" s="2">
        <v>92.829899999999995</v>
      </c>
      <c r="R11" s="2">
        <v>35</v>
      </c>
      <c r="S11" s="2">
        <v>89.680199999999999</v>
      </c>
      <c r="T11" s="2">
        <v>12</v>
      </c>
      <c r="U11" s="2">
        <v>0.91694200000000003</v>
      </c>
      <c r="V11" s="2">
        <v>10</v>
      </c>
      <c r="W11" s="2">
        <v>2013</v>
      </c>
    </row>
    <row r="12" spans="1:23" ht="15.75" customHeight="1" x14ac:dyDescent="0.4">
      <c r="A12" s="2" t="s">
        <v>154</v>
      </c>
      <c r="B12" s="2">
        <v>4</v>
      </c>
      <c r="C12" s="3" t="s">
        <v>33</v>
      </c>
      <c r="D12" s="3" t="s">
        <v>33</v>
      </c>
      <c r="E12" s="3" t="s">
        <v>33</v>
      </c>
      <c r="F12" s="3" t="s">
        <v>33</v>
      </c>
      <c r="G12" s="3" t="s">
        <v>33</v>
      </c>
      <c r="H12" s="2"/>
      <c r="I12" s="2">
        <v>63.828800000000001</v>
      </c>
      <c r="J12" s="2">
        <v>266</v>
      </c>
      <c r="K12" s="2">
        <v>64.980900000000005</v>
      </c>
      <c r="L12" s="2">
        <v>215</v>
      </c>
      <c r="M12" s="2">
        <v>115.60250000000001</v>
      </c>
      <c r="N12" s="2">
        <v>4</v>
      </c>
      <c r="O12" s="2">
        <v>118.0446</v>
      </c>
      <c r="P12" s="2">
        <v>3</v>
      </c>
      <c r="Q12" s="2">
        <v>97.597300000000004</v>
      </c>
      <c r="R12" s="2">
        <v>100</v>
      </c>
      <c r="S12" s="2">
        <v>96.465000000000003</v>
      </c>
      <c r="T12" s="2">
        <v>84</v>
      </c>
      <c r="U12" s="2">
        <v>0.91065300000000005</v>
      </c>
      <c r="V12" s="2">
        <v>11</v>
      </c>
      <c r="W12" s="2">
        <v>2013</v>
      </c>
    </row>
    <row r="13" spans="1:23" ht="15.75" customHeight="1" x14ac:dyDescent="0.4">
      <c r="A13" s="2" t="s">
        <v>115</v>
      </c>
      <c r="B13" s="2">
        <v>3</v>
      </c>
      <c r="C13" s="2"/>
      <c r="D13" s="2"/>
      <c r="E13" s="2"/>
      <c r="F13" s="2"/>
      <c r="G13" s="2"/>
      <c r="H13" s="2"/>
      <c r="I13" s="2">
        <v>64.753699999999995</v>
      </c>
      <c r="J13" s="2">
        <v>228</v>
      </c>
      <c r="K13" s="2">
        <v>64.845699999999994</v>
      </c>
      <c r="L13" s="2">
        <v>220</v>
      </c>
      <c r="M13" s="2">
        <v>103.4442</v>
      </c>
      <c r="N13" s="2">
        <v>116</v>
      </c>
      <c r="O13" s="2">
        <v>108.9021</v>
      </c>
      <c r="P13" s="2">
        <v>43</v>
      </c>
      <c r="Q13" s="2">
        <v>92.597999999999999</v>
      </c>
      <c r="R13" s="2">
        <v>33</v>
      </c>
      <c r="S13" s="2">
        <v>89.253699999999995</v>
      </c>
      <c r="T13" s="2">
        <v>9</v>
      </c>
      <c r="U13" s="2">
        <v>0.90788800000000003</v>
      </c>
      <c r="V13" s="2">
        <v>12</v>
      </c>
      <c r="W13" s="2">
        <v>2013</v>
      </c>
    </row>
    <row r="14" spans="1:23" ht="15.75" customHeight="1" x14ac:dyDescent="0.4">
      <c r="A14" s="2" t="s">
        <v>76</v>
      </c>
      <c r="B14" s="2">
        <v>5</v>
      </c>
      <c r="C14" s="2"/>
      <c r="D14" s="2"/>
      <c r="E14" s="2"/>
      <c r="F14" s="2"/>
      <c r="G14" s="2"/>
      <c r="H14" s="2"/>
      <c r="I14" s="2">
        <v>61.407600000000002</v>
      </c>
      <c r="J14" s="2">
        <v>327</v>
      </c>
      <c r="K14" s="2">
        <v>61.951599999999999</v>
      </c>
      <c r="L14" s="2">
        <v>310</v>
      </c>
      <c r="M14" s="2">
        <v>105.0175</v>
      </c>
      <c r="N14" s="2">
        <v>91</v>
      </c>
      <c r="O14" s="2">
        <v>104.9075</v>
      </c>
      <c r="P14" s="2">
        <v>94</v>
      </c>
      <c r="Q14" s="2">
        <v>89.877099999999999</v>
      </c>
      <c r="R14" s="2">
        <v>11</v>
      </c>
      <c r="S14" s="2">
        <v>86.222999999999999</v>
      </c>
      <c r="T14" s="2">
        <v>3</v>
      </c>
      <c r="U14" s="2">
        <v>0.90513600000000005</v>
      </c>
      <c r="V14" s="2">
        <v>13</v>
      </c>
      <c r="W14" s="2">
        <v>2013</v>
      </c>
    </row>
    <row r="15" spans="1:23" ht="15.75" customHeight="1" x14ac:dyDescent="0.4">
      <c r="A15" s="2" t="s">
        <v>60</v>
      </c>
      <c r="B15" s="2">
        <v>2</v>
      </c>
      <c r="C15" s="3" t="s">
        <v>33</v>
      </c>
      <c r="D15" s="3" t="s">
        <v>33</v>
      </c>
      <c r="E15" s="2"/>
      <c r="F15" s="2"/>
      <c r="G15" s="2"/>
      <c r="H15" s="2"/>
      <c r="I15" s="2">
        <v>64.337800000000001</v>
      </c>
      <c r="J15" s="2">
        <v>241</v>
      </c>
      <c r="K15" s="2">
        <v>63.254399999999997</v>
      </c>
      <c r="L15" s="2">
        <v>282</v>
      </c>
      <c r="M15" s="2">
        <v>108.20869999999999</v>
      </c>
      <c r="N15" s="2">
        <v>37</v>
      </c>
      <c r="O15" s="2">
        <v>111.20359999999999</v>
      </c>
      <c r="P15" s="2">
        <v>26</v>
      </c>
      <c r="Q15" s="2">
        <v>93.923699999999997</v>
      </c>
      <c r="R15" s="2">
        <v>41</v>
      </c>
      <c r="S15" s="2">
        <v>91.599000000000004</v>
      </c>
      <c r="T15" s="2">
        <v>23</v>
      </c>
      <c r="U15" s="2">
        <v>0.90294099999999999</v>
      </c>
      <c r="V15" s="2">
        <v>14</v>
      </c>
      <c r="W15" s="2">
        <v>2013</v>
      </c>
    </row>
    <row r="16" spans="1:23" ht="15.75" customHeight="1" x14ac:dyDescent="0.4">
      <c r="A16" s="2" t="s">
        <v>23</v>
      </c>
      <c r="B16" s="2">
        <v>4</v>
      </c>
      <c r="C16" s="3" t="s">
        <v>33</v>
      </c>
      <c r="D16" s="3" t="s">
        <v>33</v>
      </c>
      <c r="E16" s="3" t="s">
        <v>33</v>
      </c>
      <c r="F16" s="3" t="s">
        <v>33</v>
      </c>
      <c r="G16" s="2"/>
      <c r="H16" s="2"/>
      <c r="I16" s="2">
        <v>65.621300000000005</v>
      </c>
      <c r="J16" s="2">
        <v>189</v>
      </c>
      <c r="K16" s="2">
        <v>64.518799999999999</v>
      </c>
      <c r="L16" s="2">
        <v>235</v>
      </c>
      <c r="M16" s="2">
        <v>107.71420000000001</v>
      </c>
      <c r="N16" s="2">
        <v>42</v>
      </c>
      <c r="O16" s="2">
        <v>113.0001</v>
      </c>
      <c r="P16" s="2">
        <v>12</v>
      </c>
      <c r="Q16" s="2">
        <v>92.013599999999997</v>
      </c>
      <c r="R16" s="2">
        <v>25</v>
      </c>
      <c r="S16" s="2">
        <v>93.122500000000002</v>
      </c>
      <c r="T16" s="2">
        <v>36</v>
      </c>
      <c r="U16" s="2">
        <v>0.90246599999999999</v>
      </c>
      <c r="V16" s="2">
        <v>15</v>
      </c>
      <c r="W16" s="2">
        <v>2013</v>
      </c>
    </row>
    <row r="17" spans="1:23" ht="15.75" customHeight="1" x14ac:dyDescent="0.4">
      <c r="A17" s="2" t="s">
        <v>116</v>
      </c>
      <c r="B17" s="2">
        <v>4</v>
      </c>
      <c r="C17" s="3" t="s">
        <v>33</v>
      </c>
      <c r="D17" s="2"/>
      <c r="E17" s="2"/>
      <c r="F17" s="2"/>
      <c r="G17" s="2"/>
      <c r="H17" s="2"/>
      <c r="I17" s="2">
        <v>64.612499999999997</v>
      </c>
      <c r="J17" s="2">
        <v>233</v>
      </c>
      <c r="K17" s="2">
        <v>65.117800000000003</v>
      </c>
      <c r="L17" s="2">
        <v>207</v>
      </c>
      <c r="M17" s="2">
        <v>106.0539</v>
      </c>
      <c r="N17" s="2">
        <v>73</v>
      </c>
      <c r="O17" s="2">
        <v>106.3669</v>
      </c>
      <c r="P17" s="2">
        <v>69</v>
      </c>
      <c r="Q17" s="2">
        <v>89.410399999999996</v>
      </c>
      <c r="R17" s="2">
        <v>10</v>
      </c>
      <c r="S17" s="2">
        <v>87.958500000000001</v>
      </c>
      <c r="T17" s="2">
        <v>5</v>
      </c>
      <c r="U17" s="2">
        <v>0.89892499999999997</v>
      </c>
      <c r="V17" s="2">
        <v>16</v>
      </c>
      <c r="W17" s="2">
        <v>2013</v>
      </c>
    </row>
    <row r="18" spans="1:23" ht="15.75" customHeight="1" x14ac:dyDescent="0.4">
      <c r="A18" s="2" t="s">
        <v>90</v>
      </c>
      <c r="B18" s="2">
        <v>7</v>
      </c>
      <c r="C18" s="3" t="s">
        <v>33</v>
      </c>
      <c r="D18" s="2"/>
      <c r="E18" s="2"/>
      <c r="F18" s="2"/>
      <c r="G18" s="2"/>
      <c r="H18" s="2"/>
      <c r="I18" s="2">
        <v>65.093400000000003</v>
      </c>
      <c r="J18" s="2">
        <v>213</v>
      </c>
      <c r="K18" s="2">
        <v>64.997399999999999</v>
      </c>
      <c r="L18" s="2">
        <v>213</v>
      </c>
      <c r="M18" s="2">
        <v>115.80500000000001</v>
      </c>
      <c r="N18" s="2">
        <v>3</v>
      </c>
      <c r="O18" s="2">
        <v>116.5534</v>
      </c>
      <c r="P18" s="2">
        <v>6</v>
      </c>
      <c r="Q18" s="2">
        <v>97.019900000000007</v>
      </c>
      <c r="R18" s="2">
        <v>87</v>
      </c>
      <c r="S18" s="2">
        <v>97.229299999999995</v>
      </c>
      <c r="T18" s="2">
        <v>98</v>
      </c>
      <c r="U18" s="2">
        <v>0.88940600000000003</v>
      </c>
      <c r="V18" s="2">
        <v>17</v>
      </c>
      <c r="W18" s="2">
        <v>2013</v>
      </c>
    </row>
    <row r="19" spans="1:23" ht="15.75" customHeight="1" x14ac:dyDescent="0.4">
      <c r="A19" s="2" t="s">
        <v>72</v>
      </c>
      <c r="B19" s="2">
        <v>5</v>
      </c>
      <c r="C19" s="2"/>
      <c r="D19" s="2"/>
      <c r="E19" s="2"/>
      <c r="F19" s="2"/>
      <c r="G19" s="2"/>
      <c r="H19" s="2"/>
      <c r="I19" s="2">
        <v>67.301400000000001</v>
      </c>
      <c r="J19" s="2">
        <v>111</v>
      </c>
      <c r="K19" s="2">
        <v>67.6554</v>
      </c>
      <c r="L19" s="2">
        <v>94</v>
      </c>
      <c r="M19" s="2">
        <v>105.7822</v>
      </c>
      <c r="N19" s="2">
        <v>77</v>
      </c>
      <c r="O19" s="2">
        <v>107.66370000000001</v>
      </c>
      <c r="P19" s="2">
        <v>55</v>
      </c>
      <c r="Q19" s="2">
        <v>91.588700000000003</v>
      </c>
      <c r="R19" s="2">
        <v>22</v>
      </c>
      <c r="S19" s="2">
        <v>90.312200000000004</v>
      </c>
      <c r="T19" s="2">
        <v>16</v>
      </c>
      <c r="U19" s="2">
        <v>0.88298600000000005</v>
      </c>
      <c r="V19" s="2">
        <v>18</v>
      </c>
      <c r="W19" s="2">
        <v>2013</v>
      </c>
    </row>
    <row r="20" spans="1:23" ht="15.75" customHeight="1" x14ac:dyDescent="0.4">
      <c r="A20" s="2" t="s">
        <v>39</v>
      </c>
      <c r="B20" s="2">
        <v>3</v>
      </c>
      <c r="C20" s="3" t="s">
        <v>33</v>
      </c>
      <c r="D20" s="3" t="s">
        <v>33</v>
      </c>
      <c r="E20" s="3" t="s">
        <v>33</v>
      </c>
      <c r="F20" s="2"/>
      <c r="G20" s="2"/>
      <c r="H20" s="2"/>
      <c r="I20" s="2">
        <v>63.733199999999997</v>
      </c>
      <c r="J20" s="2">
        <v>271</v>
      </c>
      <c r="K20" s="2">
        <v>64.944500000000005</v>
      </c>
      <c r="L20" s="2">
        <v>217</v>
      </c>
      <c r="M20" s="2">
        <v>106.2915</v>
      </c>
      <c r="N20" s="2">
        <v>69</v>
      </c>
      <c r="O20" s="2">
        <v>112.1973</v>
      </c>
      <c r="P20" s="2">
        <v>17</v>
      </c>
      <c r="Q20" s="2">
        <v>96.963399999999993</v>
      </c>
      <c r="R20" s="2">
        <v>85</v>
      </c>
      <c r="S20" s="2">
        <v>94.3506</v>
      </c>
      <c r="T20" s="2">
        <v>45</v>
      </c>
      <c r="U20" s="2">
        <v>0.87998299999999996</v>
      </c>
      <c r="V20" s="2">
        <v>19</v>
      </c>
      <c r="W20" s="2">
        <v>2013</v>
      </c>
    </row>
    <row r="21" spans="1:23" ht="15.75" customHeight="1" x14ac:dyDescent="0.4">
      <c r="A21" s="2" t="s">
        <v>157</v>
      </c>
      <c r="B21" s="2">
        <v>8</v>
      </c>
      <c r="C21" s="3" t="s">
        <v>33</v>
      </c>
      <c r="D21" s="2"/>
      <c r="E21" s="2"/>
      <c r="F21" s="2"/>
      <c r="G21" s="2"/>
      <c r="H21" s="2"/>
      <c r="I21" s="2">
        <v>64.034199999999998</v>
      </c>
      <c r="J21" s="2">
        <v>256</v>
      </c>
      <c r="K21" s="2">
        <v>64.991600000000005</v>
      </c>
      <c r="L21" s="2">
        <v>214</v>
      </c>
      <c r="M21" s="2">
        <v>112.5949</v>
      </c>
      <c r="N21" s="2">
        <v>10</v>
      </c>
      <c r="O21" s="2">
        <v>116.8317</v>
      </c>
      <c r="P21" s="2">
        <v>5</v>
      </c>
      <c r="Q21" s="2">
        <v>98.687600000000003</v>
      </c>
      <c r="R21" s="2">
        <v>136</v>
      </c>
      <c r="S21" s="2">
        <v>98.522400000000005</v>
      </c>
      <c r="T21" s="2">
        <v>119</v>
      </c>
      <c r="U21" s="2">
        <v>0.87655300000000003</v>
      </c>
      <c r="V21" s="2">
        <v>20</v>
      </c>
      <c r="W21" s="2">
        <v>2013</v>
      </c>
    </row>
    <row r="22" spans="1:23" ht="15.75" customHeight="1" x14ac:dyDescent="0.4">
      <c r="A22" s="2" t="s">
        <v>148</v>
      </c>
      <c r="B22" s="2">
        <v>4</v>
      </c>
      <c r="C22" s="2"/>
      <c r="D22" s="2"/>
      <c r="E22" s="2"/>
      <c r="F22" s="2"/>
      <c r="G22" s="2"/>
      <c r="H22" s="2"/>
      <c r="I22" s="2">
        <v>63.688600000000001</v>
      </c>
      <c r="J22" s="2">
        <v>272</v>
      </c>
      <c r="K22" s="2">
        <v>62.7742</v>
      </c>
      <c r="L22" s="2">
        <v>293</v>
      </c>
      <c r="M22" s="2">
        <v>107.8689</v>
      </c>
      <c r="N22" s="2">
        <v>38</v>
      </c>
      <c r="O22" s="2">
        <v>112.351</v>
      </c>
      <c r="P22" s="2">
        <v>16</v>
      </c>
      <c r="Q22" s="2">
        <v>96.643600000000006</v>
      </c>
      <c r="R22" s="2">
        <v>82</v>
      </c>
      <c r="S22" s="2">
        <v>94.763499999999993</v>
      </c>
      <c r="T22" s="2">
        <v>54</v>
      </c>
      <c r="U22" s="2">
        <v>0.87629400000000002</v>
      </c>
      <c r="V22" s="2">
        <v>21</v>
      </c>
      <c r="W22" s="2">
        <v>2013</v>
      </c>
    </row>
    <row r="23" spans="1:23" ht="15.75" customHeight="1" x14ac:dyDescent="0.4">
      <c r="A23" s="2" t="s">
        <v>43</v>
      </c>
      <c r="B23" s="2">
        <v>6</v>
      </c>
      <c r="C23" s="3" t="s">
        <v>33</v>
      </c>
      <c r="D23" s="3" t="s">
        <v>33</v>
      </c>
      <c r="E23" s="2"/>
      <c r="F23" s="2"/>
      <c r="G23" s="2"/>
      <c r="H23" s="2"/>
      <c r="I23" s="2">
        <v>67.035700000000006</v>
      </c>
      <c r="J23" s="2">
        <v>123</v>
      </c>
      <c r="K23" s="2">
        <v>66.9529</v>
      </c>
      <c r="L23" s="2">
        <v>123</v>
      </c>
      <c r="M23" s="2">
        <v>108.9482</v>
      </c>
      <c r="N23" s="2">
        <v>28</v>
      </c>
      <c r="O23" s="2">
        <v>111.8518</v>
      </c>
      <c r="P23" s="2">
        <v>19</v>
      </c>
      <c r="Q23" s="2">
        <v>94.747200000000007</v>
      </c>
      <c r="R23" s="2">
        <v>53</v>
      </c>
      <c r="S23" s="2">
        <v>94.458600000000004</v>
      </c>
      <c r="T23" s="2">
        <v>49</v>
      </c>
      <c r="U23" s="2">
        <v>0.87475199999999997</v>
      </c>
      <c r="V23" s="2">
        <v>22</v>
      </c>
      <c r="W23" s="2">
        <v>2013</v>
      </c>
    </row>
    <row r="24" spans="1:23" ht="15.75" customHeight="1" x14ac:dyDescent="0.4">
      <c r="A24" s="2" t="s">
        <v>73</v>
      </c>
      <c r="B24" s="2">
        <v>9</v>
      </c>
      <c r="C24" s="2"/>
      <c r="D24" s="2"/>
      <c r="E24" s="2"/>
      <c r="F24" s="2"/>
      <c r="G24" s="2"/>
      <c r="H24" s="2"/>
      <c r="I24" s="2">
        <v>68.204999999999998</v>
      </c>
      <c r="J24" s="2">
        <v>81</v>
      </c>
      <c r="K24" s="2">
        <v>67.415300000000002</v>
      </c>
      <c r="L24" s="2">
        <v>103</v>
      </c>
      <c r="M24" s="2">
        <v>111.01439999999999</v>
      </c>
      <c r="N24" s="2">
        <v>20</v>
      </c>
      <c r="O24" s="2">
        <v>112.3819</v>
      </c>
      <c r="P24" s="2">
        <v>15</v>
      </c>
      <c r="Q24" s="2">
        <v>96.079700000000003</v>
      </c>
      <c r="R24" s="2">
        <v>73</v>
      </c>
      <c r="S24" s="2">
        <v>95.164599999999993</v>
      </c>
      <c r="T24" s="2">
        <v>64</v>
      </c>
      <c r="U24" s="2">
        <v>0.871286</v>
      </c>
      <c r="V24" s="2">
        <v>23</v>
      </c>
      <c r="W24" s="2">
        <v>2013</v>
      </c>
    </row>
    <row r="25" spans="1:23" ht="15.75" customHeight="1" x14ac:dyDescent="0.4">
      <c r="A25" s="2" t="s">
        <v>97</v>
      </c>
      <c r="B25" s="2">
        <v>7</v>
      </c>
      <c r="C25" s="3" t="s">
        <v>33</v>
      </c>
      <c r="D25" s="2"/>
      <c r="E25" s="2"/>
      <c r="F25" s="2"/>
      <c r="G25" s="2"/>
      <c r="H25" s="2"/>
      <c r="I25" s="2">
        <v>66.385300000000001</v>
      </c>
      <c r="J25" s="2">
        <v>153</v>
      </c>
      <c r="K25" s="2">
        <v>66.836699999999993</v>
      </c>
      <c r="L25" s="2">
        <v>126</v>
      </c>
      <c r="M25" s="2">
        <v>102.5206</v>
      </c>
      <c r="N25" s="2">
        <v>133</v>
      </c>
      <c r="O25" s="2">
        <v>104.77370000000001</v>
      </c>
      <c r="P25" s="2">
        <v>97</v>
      </c>
      <c r="Q25" s="2">
        <v>91.876499999999993</v>
      </c>
      <c r="R25" s="2">
        <v>23</v>
      </c>
      <c r="S25" s="2">
        <v>88.876300000000001</v>
      </c>
      <c r="T25" s="2">
        <v>7</v>
      </c>
      <c r="U25" s="2">
        <v>0.86902999999999997</v>
      </c>
      <c r="V25" s="2">
        <v>24</v>
      </c>
      <c r="W25" s="2">
        <v>2013</v>
      </c>
    </row>
    <row r="26" spans="1:23" ht="15.75" customHeight="1" x14ac:dyDescent="0.4">
      <c r="A26" s="2" t="s">
        <v>71</v>
      </c>
      <c r="B26" s="2">
        <v>6</v>
      </c>
      <c r="C26" s="3" t="s">
        <v>33</v>
      </c>
      <c r="D26" s="2"/>
      <c r="E26" s="2"/>
      <c r="F26" s="2"/>
      <c r="G26" s="2"/>
      <c r="H26" s="2"/>
      <c r="I26" s="2">
        <v>69.816400000000002</v>
      </c>
      <c r="J26" s="2">
        <v>31</v>
      </c>
      <c r="K26" s="2">
        <v>69.665999999999997</v>
      </c>
      <c r="L26" s="2">
        <v>28</v>
      </c>
      <c r="M26" s="2">
        <v>107.77970000000001</v>
      </c>
      <c r="N26" s="2">
        <v>41</v>
      </c>
      <c r="O26" s="2">
        <v>107.0489</v>
      </c>
      <c r="P26" s="2">
        <v>61</v>
      </c>
      <c r="Q26" s="2">
        <v>92.528899999999993</v>
      </c>
      <c r="R26" s="2">
        <v>32</v>
      </c>
      <c r="S26" s="2">
        <v>90.975899999999996</v>
      </c>
      <c r="T26" s="2">
        <v>19</v>
      </c>
      <c r="U26" s="2">
        <v>0.86656699999999998</v>
      </c>
      <c r="V26" s="2">
        <v>25</v>
      </c>
      <c r="W26" s="2">
        <v>2013</v>
      </c>
    </row>
    <row r="27" spans="1:23" ht="15.75" customHeight="1" x14ac:dyDescent="0.4">
      <c r="A27" s="2" t="s">
        <v>137</v>
      </c>
      <c r="B27" s="2">
        <v>5</v>
      </c>
      <c r="C27" s="3" t="s">
        <v>33</v>
      </c>
      <c r="D27" s="2"/>
      <c r="E27" s="2"/>
      <c r="F27" s="2"/>
      <c r="G27" s="2"/>
      <c r="H27" s="2"/>
      <c r="I27" s="2">
        <v>68.803799999999995</v>
      </c>
      <c r="J27" s="2">
        <v>62</v>
      </c>
      <c r="K27" s="2">
        <v>68.423199999999994</v>
      </c>
      <c r="L27" s="2">
        <v>63</v>
      </c>
      <c r="M27" s="2">
        <v>111.348</v>
      </c>
      <c r="N27" s="2">
        <v>19</v>
      </c>
      <c r="O27" s="2">
        <v>111.49420000000001</v>
      </c>
      <c r="P27" s="2">
        <v>23</v>
      </c>
      <c r="Q27" s="2">
        <v>94.093000000000004</v>
      </c>
      <c r="R27" s="2">
        <v>42</v>
      </c>
      <c r="S27" s="2">
        <v>94.857100000000003</v>
      </c>
      <c r="T27" s="2">
        <v>57</v>
      </c>
      <c r="U27" s="2">
        <v>0.86511199999999999</v>
      </c>
      <c r="V27" s="2">
        <v>26</v>
      </c>
      <c r="W27" s="2">
        <v>2013</v>
      </c>
    </row>
    <row r="28" spans="1:23" ht="15.75" customHeight="1" x14ac:dyDescent="0.4">
      <c r="A28" s="2" t="s">
        <v>262</v>
      </c>
      <c r="B28" s="2">
        <v>11</v>
      </c>
      <c r="C28" s="2"/>
      <c r="D28" s="2"/>
      <c r="E28" s="2"/>
      <c r="F28" s="2"/>
      <c r="G28" s="2"/>
      <c r="H28" s="2"/>
      <c r="I28" s="2">
        <v>64.517399999999995</v>
      </c>
      <c r="J28" s="2">
        <v>237</v>
      </c>
      <c r="K28" s="2">
        <v>64.808899999999994</v>
      </c>
      <c r="L28" s="2">
        <v>223</v>
      </c>
      <c r="M28" s="2">
        <v>115.5519</v>
      </c>
      <c r="N28" s="2">
        <v>5</v>
      </c>
      <c r="O28" s="2">
        <v>113.3361</v>
      </c>
      <c r="P28" s="2">
        <v>11</v>
      </c>
      <c r="Q28" s="2">
        <v>98.0809</v>
      </c>
      <c r="R28" s="2">
        <v>115</v>
      </c>
      <c r="S28" s="2">
        <v>96.688900000000004</v>
      </c>
      <c r="T28" s="2">
        <v>88</v>
      </c>
      <c r="U28" s="2">
        <v>0.86138899999999996</v>
      </c>
      <c r="V28" s="2">
        <v>27</v>
      </c>
      <c r="W28" s="2">
        <v>2013</v>
      </c>
    </row>
    <row r="29" spans="1:23" ht="12.3" x14ac:dyDescent="0.4">
      <c r="A29" s="2" t="s">
        <v>56</v>
      </c>
      <c r="B29" s="2">
        <v>7</v>
      </c>
      <c r="C29" s="2"/>
      <c r="D29" s="2"/>
      <c r="E29" s="2"/>
      <c r="F29" s="2"/>
      <c r="G29" s="2"/>
      <c r="H29" s="2"/>
      <c r="I29" s="2">
        <v>61.932600000000001</v>
      </c>
      <c r="J29" s="2">
        <v>314</v>
      </c>
      <c r="K29" s="2">
        <v>61.559600000000003</v>
      </c>
      <c r="L29" s="2">
        <v>320</v>
      </c>
      <c r="M29" s="2">
        <v>110.3295</v>
      </c>
      <c r="N29" s="2">
        <v>22</v>
      </c>
      <c r="O29" s="2">
        <v>112.95699999999999</v>
      </c>
      <c r="P29" s="2">
        <v>13</v>
      </c>
      <c r="Q29" s="2">
        <v>99.173400000000001</v>
      </c>
      <c r="R29" s="2">
        <v>143</v>
      </c>
      <c r="S29" s="2">
        <v>96.5989</v>
      </c>
      <c r="T29" s="2">
        <v>87</v>
      </c>
      <c r="U29" s="2">
        <v>0.85803399999999996</v>
      </c>
      <c r="V29" s="2">
        <v>28</v>
      </c>
      <c r="W29" s="2">
        <v>2013</v>
      </c>
    </row>
    <row r="30" spans="1:23" ht="12.3" x14ac:dyDescent="0.4">
      <c r="A30" s="2" t="s">
        <v>168</v>
      </c>
      <c r="B30" s="2">
        <v>8</v>
      </c>
      <c r="C30" s="3" t="s">
        <v>33</v>
      </c>
      <c r="D30" s="2"/>
      <c r="E30" s="2"/>
      <c r="F30" s="2"/>
      <c r="G30" s="2"/>
      <c r="H30" s="2"/>
      <c r="I30" s="2">
        <v>71.533000000000001</v>
      </c>
      <c r="J30" s="2">
        <v>6</v>
      </c>
      <c r="K30" s="2">
        <v>70.614999999999995</v>
      </c>
      <c r="L30" s="2">
        <v>16</v>
      </c>
      <c r="M30" s="2">
        <v>106.1302</v>
      </c>
      <c r="N30" s="2">
        <v>71</v>
      </c>
      <c r="O30" s="2">
        <v>111.35299999999999</v>
      </c>
      <c r="P30" s="2">
        <v>25</v>
      </c>
      <c r="Q30" s="2">
        <v>96.849900000000005</v>
      </c>
      <c r="R30" s="2">
        <v>84</v>
      </c>
      <c r="S30" s="2">
        <v>95.372500000000002</v>
      </c>
      <c r="T30" s="2">
        <v>68</v>
      </c>
      <c r="U30" s="2">
        <v>0.85588500000000001</v>
      </c>
      <c r="V30" s="2">
        <v>29</v>
      </c>
      <c r="W30" s="2">
        <v>2013</v>
      </c>
    </row>
    <row r="31" spans="1:23" ht="12.3" x14ac:dyDescent="0.4">
      <c r="A31" s="2" t="s">
        <v>55</v>
      </c>
      <c r="B31" s="2">
        <v>8</v>
      </c>
      <c r="C31" s="2"/>
      <c r="D31" s="2"/>
      <c r="E31" s="2"/>
      <c r="F31" s="2"/>
      <c r="G31" s="2"/>
      <c r="H31" s="2"/>
      <c r="I31" s="2">
        <v>68.692999999999998</v>
      </c>
      <c r="J31" s="2">
        <v>66</v>
      </c>
      <c r="K31" s="2">
        <v>68.151799999999994</v>
      </c>
      <c r="L31" s="2">
        <v>74</v>
      </c>
      <c r="M31" s="2">
        <v>112.277</v>
      </c>
      <c r="N31" s="2">
        <v>14</v>
      </c>
      <c r="O31" s="2">
        <v>114.0926</v>
      </c>
      <c r="P31" s="2">
        <v>8</v>
      </c>
      <c r="Q31" s="2">
        <v>101.67359999999999</v>
      </c>
      <c r="R31" s="2">
        <v>191</v>
      </c>
      <c r="S31" s="2">
        <v>98.010400000000004</v>
      </c>
      <c r="T31" s="2">
        <v>110</v>
      </c>
      <c r="U31" s="2">
        <v>0.851607</v>
      </c>
      <c r="V31" s="2">
        <v>30</v>
      </c>
      <c r="W31" s="2">
        <v>2013</v>
      </c>
    </row>
    <row r="32" spans="1:23" ht="12.3" x14ac:dyDescent="0.4">
      <c r="A32" s="2" t="s">
        <v>109</v>
      </c>
      <c r="B32" s="2">
        <v>5</v>
      </c>
      <c r="C32" s="2"/>
      <c r="D32" s="2"/>
      <c r="E32" s="2"/>
      <c r="F32" s="2"/>
      <c r="G32" s="2"/>
      <c r="H32" s="2"/>
      <c r="I32" s="2">
        <v>68.944500000000005</v>
      </c>
      <c r="J32" s="2">
        <v>51</v>
      </c>
      <c r="K32" s="2">
        <v>68.770200000000003</v>
      </c>
      <c r="L32" s="2">
        <v>53</v>
      </c>
      <c r="M32" s="2">
        <v>102.6943</v>
      </c>
      <c r="N32" s="2">
        <v>128</v>
      </c>
      <c r="O32" s="2">
        <v>103.9361</v>
      </c>
      <c r="P32" s="2">
        <v>113</v>
      </c>
      <c r="Q32" s="2">
        <v>92.055400000000006</v>
      </c>
      <c r="R32" s="2">
        <v>27</v>
      </c>
      <c r="S32" s="2">
        <v>89.317700000000002</v>
      </c>
      <c r="T32" s="2">
        <v>11</v>
      </c>
      <c r="U32" s="2">
        <v>0.85108300000000003</v>
      </c>
      <c r="V32" s="2">
        <v>31</v>
      </c>
      <c r="W32" s="2">
        <v>2013</v>
      </c>
    </row>
    <row r="33" spans="1:23" ht="12.3" x14ac:dyDescent="0.4">
      <c r="A33" s="2" t="s">
        <v>75</v>
      </c>
      <c r="B33" s="2">
        <v>11</v>
      </c>
      <c r="C33" s="3" t="s">
        <v>33</v>
      </c>
      <c r="D33" s="2"/>
      <c r="E33" s="2"/>
      <c r="F33" s="2"/>
      <c r="G33" s="2"/>
      <c r="H33" s="2"/>
      <c r="I33" s="2">
        <v>63.1783</v>
      </c>
      <c r="J33" s="2">
        <v>289</v>
      </c>
      <c r="K33" s="2">
        <v>63.0456</v>
      </c>
      <c r="L33" s="2">
        <v>288</v>
      </c>
      <c r="M33" s="2">
        <v>107.6562</v>
      </c>
      <c r="N33" s="2">
        <v>44</v>
      </c>
      <c r="O33" s="2">
        <v>110.6366</v>
      </c>
      <c r="P33" s="2">
        <v>31</v>
      </c>
      <c r="Q33" s="2">
        <v>97.274000000000001</v>
      </c>
      <c r="R33" s="2">
        <v>95</v>
      </c>
      <c r="S33" s="2">
        <v>95.184200000000004</v>
      </c>
      <c r="T33" s="2">
        <v>65</v>
      </c>
      <c r="U33" s="2">
        <v>0.84941500000000003</v>
      </c>
      <c r="V33" s="2">
        <v>32</v>
      </c>
      <c r="W33" s="2">
        <v>2013</v>
      </c>
    </row>
    <row r="34" spans="1:23" ht="12.3" x14ac:dyDescent="0.4">
      <c r="A34" s="2" t="s">
        <v>84</v>
      </c>
      <c r="B34" s="2"/>
      <c r="C34" s="2"/>
      <c r="D34" s="2"/>
      <c r="E34" s="2"/>
      <c r="F34" s="2"/>
      <c r="G34" s="2"/>
      <c r="H34" s="2"/>
      <c r="I34" s="2"/>
      <c r="J34" s="2">
        <v>128</v>
      </c>
      <c r="K34" s="2">
        <v>67.759799999999998</v>
      </c>
      <c r="L34" s="2">
        <v>88</v>
      </c>
      <c r="M34" s="2">
        <v>104.25279999999999</v>
      </c>
      <c r="N34" s="2">
        <v>99</v>
      </c>
      <c r="O34" s="2">
        <v>106.1994</v>
      </c>
      <c r="P34" s="2">
        <v>70</v>
      </c>
      <c r="Q34" s="2">
        <v>93.127799999999993</v>
      </c>
      <c r="R34" s="2">
        <v>36</v>
      </c>
      <c r="S34" s="2">
        <v>91.556100000000001</v>
      </c>
      <c r="T34" s="2">
        <v>22</v>
      </c>
      <c r="U34" s="2">
        <v>0.84634600000000004</v>
      </c>
      <c r="V34" s="2">
        <v>33</v>
      </c>
      <c r="W34" s="2">
        <v>2013</v>
      </c>
    </row>
    <row r="35" spans="1:23" ht="12.3" x14ac:dyDescent="0.4">
      <c r="A35" s="2" t="s">
        <v>146</v>
      </c>
      <c r="B35" s="2">
        <v>10</v>
      </c>
      <c r="C35" s="3" t="s">
        <v>33</v>
      </c>
      <c r="D35" s="2"/>
      <c r="E35" s="2"/>
      <c r="F35" s="2"/>
      <c r="G35" s="2"/>
      <c r="H35" s="2"/>
      <c r="I35" s="2">
        <v>70.2898</v>
      </c>
      <c r="J35" s="2">
        <v>25</v>
      </c>
      <c r="K35" s="2">
        <v>69.328900000000004</v>
      </c>
      <c r="L35" s="2">
        <v>34</v>
      </c>
      <c r="M35" s="2">
        <v>111.8972</v>
      </c>
      <c r="N35" s="2">
        <v>16</v>
      </c>
      <c r="O35" s="2">
        <v>115.6354</v>
      </c>
      <c r="P35" s="2">
        <v>7</v>
      </c>
      <c r="Q35" s="2">
        <v>99.802000000000007</v>
      </c>
      <c r="R35" s="2">
        <v>152</v>
      </c>
      <c r="S35" s="2">
        <v>100.0209</v>
      </c>
      <c r="T35" s="2">
        <v>148</v>
      </c>
      <c r="U35" s="2">
        <v>0.84133899999999995</v>
      </c>
      <c r="V35" s="2">
        <v>34</v>
      </c>
      <c r="W35" s="2">
        <v>2013</v>
      </c>
    </row>
    <row r="36" spans="1:23" ht="12.3" x14ac:dyDescent="0.4">
      <c r="A36" s="2" t="s">
        <v>192</v>
      </c>
      <c r="B36" s="2">
        <v>9</v>
      </c>
      <c r="C36" s="3" t="s">
        <v>33</v>
      </c>
      <c r="D36" s="3" t="s">
        <v>33</v>
      </c>
      <c r="E36" s="3" t="s">
        <v>33</v>
      </c>
      <c r="F36" s="3" t="s">
        <v>33</v>
      </c>
      <c r="G36" s="3"/>
      <c r="H36" s="2"/>
      <c r="I36" s="2">
        <v>64.769499999999994</v>
      </c>
      <c r="J36" s="2">
        <v>226</v>
      </c>
      <c r="K36" s="2">
        <v>64.558999999999997</v>
      </c>
      <c r="L36" s="2">
        <v>233</v>
      </c>
      <c r="M36" s="2">
        <v>107.13930000000001</v>
      </c>
      <c r="N36" s="2">
        <v>53</v>
      </c>
      <c r="O36" s="2">
        <v>107.2784</v>
      </c>
      <c r="P36" s="2">
        <v>59</v>
      </c>
      <c r="Q36" s="2">
        <v>93.690299999999993</v>
      </c>
      <c r="R36" s="2">
        <v>39</v>
      </c>
      <c r="S36" s="2">
        <v>92.891499999999994</v>
      </c>
      <c r="T36" s="2">
        <v>34</v>
      </c>
      <c r="U36" s="2">
        <v>0.83969400000000005</v>
      </c>
      <c r="V36" s="2">
        <v>35</v>
      </c>
      <c r="W36" s="2">
        <v>2013</v>
      </c>
    </row>
    <row r="37" spans="1:23" ht="12.3" x14ac:dyDescent="0.4">
      <c r="A37" s="2" t="s">
        <v>87</v>
      </c>
      <c r="B37" s="2"/>
      <c r="C37" s="2"/>
      <c r="D37" s="2"/>
      <c r="E37" s="2"/>
      <c r="F37" s="2"/>
      <c r="G37" s="2"/>
      <c r="H37" s="2"/>
      <c r="I37" s="2"/>
      <c r="J37" s="2">
        <v>334</v>
      </c>
      <c r="K37" s="2">
        <v>60.4756</v>
      </c>
      <c r="L37" s="2">
        <v>338</v>
      </c>
      <c r="M37" s="2">
        <v>104.52030000000001</v>
      </c>
      <c r="N37" s="2">
        <v>95</v>
      </c>
      <c r="O37" s="2">
        <v>105.0716</v>
      </c>
      <c r="P37" s="2">
        <v>90</v>
      </c>
      <c r="Q37" s="2">
        <v>90.180199999999999</v>
      </c>
      <c r="R37" s="2">
        <v>12</v>
      </c>
      <c r="S37" s="2">
        <v>91.007400000000004</v>
      </c>
      <c r="T37" s="2">
        <v>20</v>
      </c>
      <c r="U37" s="2">
        <v>0.83923800000000004</v>
      </c>
      <c r="V37" s="2">
        <v>36</v>
      </c>
      <c r="W37" s="2">
        <v>2013</v>
      </c>
    </row>
    <row r="38" spans="1:23" ht="12.3" x14ac:dyDescent="0.4">
      <c r="A38" s="2" t="s">
        <v>51</v>
      </c>
      <c r="B38" s="2">
        <v>12</v>
      </c>
      <c r="C38" s="3" t="s">
        <v>33</v>
      </c>
      <c r="D38" s="2"/>
      <c r="E38" s="2"/>
      <c r="F38" s="2"/>
      <c r="G38" s="2"/>
      <c r="H38" s="2"/>
      <c r="I38" s="2">
        <v>70.938699999999997</v>
      </c>
      <c r="J38" s="2">
        <v>14</v>
      </c>
      <c r="K38" s="2">
        <v>70.771900000000002</v>
      </c>
      <c r="L38" s="2">
        <v>12</v>
      </c>
      <c r="M38" s="2">
        <v>108.4528</v>
      </c>
      <c r="N38" s="2">
        <v>35</v>
      </c>
      <c r="O38" s="2">
        <v>110.43049999999999</v>
      </c>
      <c r="P38" s="2">
        <v>33</v>
      </c>
      <c r="Q38" s="2">
        <v>94.122500000000002</v>
      </c>
      <c r="R38" s="2">
        <v>43</v>
      </c>
      <c r="S38" s="2">
        <v>95.956199999999995</v>
      </c>
      <c r="T38" s="2">
        <v>77</v>
      </c>
      <c r="U38" s="2">
        <v>0.83419900000000002</v>
      </c>
      <c r="V38" s="2">
        <v>37</v>
      </c>
      <c r="W38" s="2">
        <v>2013</v>
      </c>
    </row>
    <row r="39" spans="1:23" ht="12.3" x14ac:dyDescent="0.4">
      <c r="A39" s="2" t="s">
        <v>158</v>
      </c>
      <c r="B39" s="2"/>
      <c r="C39" s="2"/>
      <c r="D39" s="2"/>
      <c r="E39" s="2"/>
      <c r="F39" s="2"/>
      <c r="G39" s="2"/>
      <c r="H39" s="2"/>
      <c r="I39" s="2"/>
      <c r="J39" s="2">
        <v>94</v>
      </c>
      <c r="K39" s="2">
        <v>67.088200000000001</v>
      </c>
      <c r="L39" s="2">
        <v>118</v>
      </c>
      <c r="M39" s="2">
        <v>107.49339999999999</v>
      </c>
      <c r="N39" s="2">
        <v>46</v>
      </c>
      <c r="O39" s="2">
        <v>110.7432</v>
      </c>
      <c r="P39" s="2">
        <v>30</v>
      </c>
      <c r="Q39" s="2">
        <v>97.897499999999994</v>
      </c>
      <c r="R39" s="2">
        <v>112</v>
      </c>
      <c r="S39" s="2">
        <v>96.338099999999997</v>
      </c>
      <c r="T39" s="2">
        <v>83</v>
      </c>
      <c r="U39" s="2">
        <v>0.83237099999999997</v>
      </c>
      <c r="V39" s="2">
        <v>38</v>
      </c>
      <c r="W39" s="2">
        <v>2013</v>
      </c>
    </row>
    <row r="40" spans="1:23" ht="12.3" x14ac:dyDescent="0.4">
      <c r="A40" s="2" t="s">
        <v>34</v>
      </c>
      <c r="B40" s="2">
        <v>10</v>
      </c>
      <c r="C40" s="2"/>
      <c r="D40" s="2"/>
      <c r="E40" s="2"/>
      <c r="F40" s="2"/>
      <c r="G40" s="2"/>
      <c r="H40" s="2"/>
      <c r="I40" s="2">
        <v>65.024900000000002</v>
      </c>
      <c r="J40" s="2">
        <v>216</v>
      </c>
      <c r="K40" s="2">
        <v>64.290499999999994</v>
      </c>
      <c r="L40" s="2">
        <v>250</v>
      </c>
      <c r="M40" s="2">
        <v>100.7256</v>
      </c>
      <c r="N40" s="2">
        <v>171</v>
      </c>
      <c r="O40" s="2">
        <v>103.2159</v>
      </c>
      <c r="P40" s="2">
        <v>130</v>
      </c>
      <c r="Q40" s="2">
        <v>90.708600000000004</v>
      </c>
      <c r="R40" s="2">
        <v>15</v>
      </c>
      <c r="S40" s="2">
        <v>89.848799999999997</v>
      </c>
      <c r="T40" s="2">
        <v>13</v>
      </c>
      <c r="U40" s="2">
        <v>0.83131699999999997</v>
      </c>
      <c r="V40" s="2">
        <v>39</v>
      </c>
      <c r="W40" s="2">
        <v>2013</v>
      </c>
    </row>
    <row r="41" spans="1:23" ht="12.3" x14ac:dyDescent="0.4">
      <c r="A41" s="2" t="s">
        <v>228</v>
      </c>
      <c r="B41" s="2">
        <v>11</v>
      </c>
      <c r="C41" s="2"/>
      <c r="D41" s="2"/>
      <c r="E41" s="2"/>
      <c r="F41" s="2"/>
      <c r="G41" s="2"/>
      <c r="H41" s="2"/>
      <c r="I41" s="2">
        <v>65.809299999999993</v>
      </c>
      <c r="J41" s="2">
        <v>183</v>
      </c>
      <c r="K41" s="2">
        <v>65.082800000000006</v>
      </c>
      <c r="L41" s="2">
        <v>210</v>
      </c>
      <c r="M41" s="2">
        <v>107.4502</v>
      </c>
      <c r="N41" s="2">
        <v>47</v>
      </c>
      <c r="O41" s="2">
        <v>104.2118</v>
      </c>
      <c r="P41" s="2">
        <v>106</v>
      </c>
      <c r="Q41" s="2">
        <v>87.394599999999997</v>
      </c>
      <c r="R41" s="2">
        <v>5</v>
      </c>
      <c r="S41" s="2">
        <v>90.932100000000005</v>
      </c>
      <c r="T41" s="2">
        <v>17</v>
      </c>
      <c r="U41" s="2">
        <v>0.82743900000000004</v>
      </c>
      <c r="V41" s="2">
        <v>40</v>
      </c>
      <c r="W41" s="2">
        <v>2013</v>
      </c>
    </row>
    <row r="42" spans="1:23" ht="12.3" x14ac:dyDescent="0.4">
      <c r="A42" s="2" t="s">
        <v>212</v>
      </c>
      <c r="B42" s="2">
        <v>13</v>
      </c>
      <c r="C42" s="2"/>
      <c r="D42" s="2"/>
      <c r="E42" s="2"/>
      <c r="F42" s="2"/>
      <c r="G42" s="2"/>
      <c r="H42" s="2"/>
      <c r="I42" s="2">
        <v>66.293499999999995</v>
      </c>
      <c r="J42" s="2">
        <v>159</v>
      </c>
      <c r="K42" s="2">
        <v>66.363100000000003</v>
      </c>
      <c r="L42" s="2">
        <v>153</v>
      </c>
      <c r="M42" s="2">
        <v>107.06619999999999</v>
      </c>
      <c r="N42" s="2">
        <v>54</v>
      </c>
      <c r="O42" s="2">
        <v>111.3948</v>
      </c>
      <c r="P42" s="2">
        <v>24</v>
      </c>
      <c r="Q42" s="2">
        <v>100.0296</v>
      </c>
      <c r="R42" s="2">
        <v>155</v>
      </c>
      <c r="S42" s="2">
        <v>97.304199999999994</v>
      </c>
      <c r="T42" s="2">
        <v>100</v>
      </c>
      <c r="U42" s="2">
        <v>0.82567000000000002</v>
      </c>
      <c r="V42" s="2">
        <v>41</v>
      </c>
      <c r="W42" s="2">
        <v>2013</v>
      </c>
    </row>
    <row r="43" spans="1:23" ht="12.3" x14ac:dyDescent="0.4">
      <c r="A43" s="2" t="s">
        <v>286</v>
      </c>
      <c r="B43" s="2"/>
      <c r="C43" s="2"/>
      <c r="D43" s="2"/>
      <c r="E43" s="2"/>
      <c r="F43" s="2"/>
      <c r="G43" s="2"/>
      <c r="H43" s="2"/>
      <c r="I43" s="2"/>
      <c r="J43" s="2">
        <v>345</v>
      </c>
      <c r="K43" s="2">
        <v>58.799799999999998</v>
      </c>
      <c r="L43" s="2">
        <v>346</v>
      </c>
      <c r="M43" s="2">
        <v>109.5668</v>
      </c>
      <c r="N43" s="2">
        <v>25</v>
      </c>
      <c r="O43" s="2">
        <v>109.46420000000001</v>
      </c>
      <c r="P43" s="2">
        <v>40</v>
      </c>
      <c r="Q43" s="2">
        <v>93.138800000000003</v>
      </c>
      <c r="R43" s="2">
        <v>37</v>
      </c>
      <c r="S43" s="2">
        <v>95.679500000000004</v>
      </c>
      <c r="T43" s="2">
        <v>72</v>
      </c>
      <c r="U43" s="2">
        <v>0.82459899999999997</v>
      </c>
      <c r="V43" s="2">
        <v>42</v>
      </c>
      <c r="W43" s="2">
        <v>2013</v>
      </c>
    </row>
    <row r="44" spans="1:23" ht="12.3" x14ac:dyDescent="0.4">
      <c r="A44" s="2" t="s">
        <v>18</v>
      </c>
      <c r="B44" s="2">
        <v>6</v>
      </c>
      <c r="C44" s="3" t="s">
        <v>33</v>
      </c>
      <c r="D44" s="2"/>
      <c r="E44" s="2"/>
      <c r="F44" s="2"/>
      <c r="G44" s="2"/>
      <c r="H44" s="2"/>
      <c r="I44" s="2">
        <v>64.573099999999997</v>
      </c>
      <c r="J44" s="2">
        <v>234</v>
      </c>
      <c r="K44" s="2">
        <v>64.419799999999995</v>
      </c>
      <c r="L44" s="2">
        <v>242</v>
      </c>
      <c r="M44" s="2">
        <v>105.58499999999999</v>
      </c>
      <c r="N44" s="2">
        <v>79</v>
      </c>
      <c r="O44" s="2">
        <v>107.7735</v>
      </c>
      <c r="P44" s="2">
        <v>54</v>
      </c>
      <c r="Q44" s="2">
        <v>97.834900000000005</v>
      </c>
      <c r="R44" s="2">
        <v>108</v>
      </c>
      <c r="S44" s="2">
        <v>94.360299999999995</v>
      </c>
      <c r="T44" s="2">
        <v>46</v>
      </c>
      <c r="U44" s="2">
        <v>0.82178300000000004</v>
      </c>
      <c r="V44" s="2">
        <v>43</v>
      </c>
      <c r="W44" s="2">
        <v>2013</v>
      </c>
    </row>
    <row r="45" spans="1:23" ht="12.3" x14ac:dyDescent="0.4">
      <c r="A45" s="2" t="s">
        <v>41</v>
      </c>
      <c r="B45" s="2">
        <v>12</v>
      </c>
      <c r="C45" s="3" t="s">
        <v>33</v>
      </c>
      <c r="D45" s="3" t="s">
        <v>33</v>
      </c>
      <c r="E45" s="2"/>
      <c r="F45" s="2"/>
      <c r="G45" s="2"/>
      <c r="H45" s="2"/>
      <c r="I45" s="2">
        <v>68.858900000000006</v>
      </c>
      <c r="J45" s="2">
        <v>58</v>
      </c>
      <c r="K45" s="2">
        <v>68.899900000000002</v>
      </c>
      <c r="L45" s="2">
        <v>46</v>
      </c>
      <c r="M45" s="2">
        <v>102.319</v>
      </c>
      <c r="N45" s="2">
        <v>139</v>
      </c>
      <c r="O45" s="2">
        <v>102.9085</v>
      </c>
      <c r="P45" s="2">
        <v>132</v>
      </c>
      <c r="Q45" s="2">
        <v>90.329700000000003</v>
      </c>
      <c r="R45" s="2">
        <v>13</v>
      </c>
      <c r="S45" s="2">
        <v>90.257300000000001</v>
      </c>
      <c r="T45" s="2">
        <v>15</v>
      </c>
      <c r="U45" s="2">
        <v>0.81884199999999996</v>
      </c>
      <c r="V45" s="2">
        <v>44</v>
      </c>
      <c r="W45" s="2">
        <v>2013</v>
      </c>
    </row>
    <row r="46" spans="1:23" ht="12.3" x14ac:dyDescent="0.4">
      <c r="A46" s="2" t="s">
        <v>52</v>
      </c>
      <c r="B46" s="2"/>
      <c r="C46" s="2"/>
      <c r="D46" s="2"/>
      <c r="E46" s="2"/>
      <c r="F46" s="2"/>
      <c r="G46" s="2"/>
      <c r="H46" s="2"/>
      <c r="I46" s="2"/>
      <c r="J46" s="2">
        <v>70</v>
      </c>
      <c r="K46" s="2">
        <v>68.162199999999999</v>
      </c>
      <c r="L46" s="2">
        <v>73</v>
      </c>
      <c r="M46" s="2">
        <v>103.9511</v>
      </c>
      <c r="N46" s="2">
        <v>104</v>
      </c>
      <c r="O46" s="2">
        <v>109.0925</v>
      </c>
      <c r="P46" s="2">
        <v>41</v>
      </c>
      <c r="Q46" s="2">
        <v>97.151200000000003</v>
      </c>
      <c r="R46" s="2">
        <v>89</v>
      </c>
      <c r="S46" s="2">
        <v>95.769400000000005</v>
      </c>
      <c r="T46" s="2">
        <v>74</v>
      </c>
      <c r="U46" s="2">
        <v>0.81726299999999996</v>
      </c>
      <c r="V46" s="2">
        <v>45</v>
      </c>
      <c r="W46" s="2">
        <v>2013</v>
      </c>
    </row>
    <row r="47" spans="1:23" ht="12.3" x14ac:dyDescent="0.4">
      <c r="A47" s="2" t="s">
        <v>244</v>
      </c>
      <c r="B47" s="2">
        <v>11</v>
      </c>
      <c r="C47" s="2"/>
      <c r="D47" s="2"/>
      <c r="E47" s="2"/>
      <c r="F47" s="2"/>
      <c r="G47" s="2"/>
      <c r="H47" s="2"/>
      <c r="I47" s="2">
        <v>68.227099999999993</v>
      </c>
      <c r="J47" s="2">
        <v>79</v>
      </c>
      <c r="K47" s="2">
        <v>67.317999999999998</v>
      </c>
      <c r="L47" s="2">
        <v>107</v>
      </c>
      <c r="M47" s="2">
        <v>112.44970000000001</v>
      </c>
      <c r="N47" s="2">
        <v>11</v>
      </c>
      <c r="O47" s="2">
        <v>108.77200000000001</v>
      </c>
      <c r="P47" s="2">
        <v>45</v>
      </c>
      <c r="Q47" s="2">
        <v>94.444699999999997</v>
      </c>
      <c r="R47" s="2">
        <v>49</v>
      </c>
      <c r="S47" s="2">
        <v>95.517600000000002</v>
      </c>
      <c r="T47" s="2">
        <v>71</v>
      </c>
      <c r="U47" s="2">
        <v>0.81672999999999996</v>
      </c>
      <c r="V47" s="2">
        <v>46</v>
      </c>
      <c r="W47" s="2">
        <v>2013</v>
      </c>
    </row>
    <row r="48" spans="1:23" ht="12.3" x14ac:dyDescent="0.4">
      <c r="A48" s="2" t="s">
        <v>65</v>
      </c>
      <c r="B48" s="2">
        <v>6</v>
      </c>
      <c r="C48" s="2"/>
      <c r="D48" s="2"/>
      <c r="E48" s="2"/>
      <c r="F48" s="2"/>
      <c r="G48" s="2"/>
      <c r="H48" s="2"/>
      <c r="I48" s="2">
        <v>69.538899999999998</v>
      </c>
      <c r="J48" s="2">
        <v>37</v>
      </c>
      <c r="K48" s="2">
        <v>69.321899999999999</v>
      </c>
      <c r="L48" s="2">
        <v>35</v>
      </c>
      <c r="M48" s="2">
        <v>105.8964</v>
      </c>
      <c r="N48" s="2">
        <v>75</v>
      </c>
      <c r="O48" s="2">
        <v>108.45350000000001</v>
      </c>
      <c r="P48" s="2">
        <v>48</v>
      </c>
      <c r="Q48" s="2">
        <v>97.799899999999994</v>
      </c>
      <c r="R48" s="2">
        <v>106</v>
      </c>
      <c r="S48" s="2">
        <v>95.399799999999999</v>
      </c>
      <c r="T48" s="2">
        <v>69</v>
      </c>
      <c r="U48" s="2">
        <v>0.81378899999999998</v>
      </c>
      <c r="V48" s="2">
        <v>47</v>
      </c>
      <c r="W48" s="2">
        <v>2013</v>
      </c>
    </row>
    <row r="49" spans="1:23" ht="12.3" x14ac:dyDescent="0.4">
      <c r="A49" s="2" t="s">
        <v>289</v>
      </c>
      <c r="B49" s="2">
        <v>11</v>
      </c>
      <c r="C49" s="2"/>
      <c r="D49" s="2"/>
      <c r="E49" s="2"/>
      <c r="F49" s="2"/>
      <c r="G49" s="2"/>
      <c r="H49" s="2"/>
      <c r="I49" s="2">
        <v>62.507399999999997</v>
      </c>
      <c r="J49" s="2">
        <v>303</v>
      </c>
      <c r="K49" s="2">
        <v>63.210900000000002</v>
      </c>
      <c r="L49" s="2">
        <v>285</v>
      </c>
      <c r="M49" s="2">
        <v>107.66500000000001</v>
      </c>
      <c r="N49" s="2">
        <v>43</v>
      </c>
      <c r="O49" s="2">
        <v>105.3449</v>
      </c>
      <c r="P49" s="2">
        <v>84</v>
      </c>
      <c r="Q49" s="2">
        <v>92.264300000000006</v>
      </c>
      <c r="R49" s="2">
        <v>29</v>
      </c>
      <c r="S49" s="2">
        <v>92.672600000000003</v>
      </c>
      <c r="T49" s="2">
        <v>32</v>
      </c>
      <c r="U49" s="2">
        <v>0.81365100000000001</v>
      </c>
      <c r="V49" s="2">
        <v>48</v>
      </c>
      <c r="W49" s="2">
        <v>2013</v>
      </c>
    </row>
    <row r="50" spans="1:23" ht="12.3" x14ac:dyDescent="0.4">
      <c r="A50" s="2" t="s">
        <v>44</v>
      </c>
      <c r="B50" s="2">
        <v>7</v>
      </c>
      <c r="C50" s="3" t="s">
        <v>33</v>
      </c>
      <c r="D50" s="2"/>
      <c r="E50" s="2"/>
      <c r="F50" s="2"/>
      <c r="G50" s="2"/>
      <c r="H50" s="2"/>
      <c r="I50" s="2">
        <v>65.616200000000006</v>
      </c>
      <c r="J50" s="2">
        <v>190</v>
      </c>
      <c r="K50" s="2">
        <v>65.989599999999996</v>
      </c>
      <c r="L50" s="2">
        <v>166</v>
      </c>
      <c r="M50" s="2">
        <v>104.0076</v>
      </c>
      <c r="N50" s="2">
        <v>103</v>
      </c>
      <c r="O50" s="2">
        <v>107.5025</v>
      </c>
      <c r="P50" s="2">
        <v>57</v>
      </c>
      <c r="Q50" s="2">
        <v>99.375299999999996</v>
      </c>
      <c r="R50" s="2">
        <v>147</v>
      </c>
      <c r="S50" s="2">
        <v>94.662000000000006</v>
      </c>
      <c r="T50" s="2">
        <v>53</v>
      </c>
      <c r="U50" s="2">
        <v>0.81196199999999996</v>
      </c>
      <c r="V50" s="2">
        <v>49</v>
      </c>
      <c r="W50" s="2">
        <v>2013</v>
      </c>
    </row>
    <row r="51" spans="1:23" ht="12.3" x14ac:dyDescent="0.4">
      <c r="A51" s="2" t="s">
        <v>38</v>
      </c>
      <c r="B51" s="2">
        <v>10</v>
      </c>
      <c r="C51" s="2"/>
      <c r="D51" s="2"/>
      <c r="E51" s="2"/>
      <c r="F51" s="2"/>
      <c r="G51" s="2"/>
      <c r="H51" s="2"/>
      <c r="I51" s="2">
        <v>66.770899999999997</v>
      </c>
      <c r="J51" s="2">
        <v>134</v>
      </c>
      <c r="K51" s="2">
        <v>66.814499999999995</v>
      </c>
      <c r="L51" s="2">
        <v>129</v>
      </c>
      <c r="M51" s="2">
        <v>105.52889999999999</v>
      </c>
      <c r="N51" s="2">
        <v>81</v>
      </c>
      <c r="O51" s="2">
        <v>109.8045</v>
      </c>
      <c r="P51" s="2">
        <v>36</v>
      </c>
      <c r="Q51" s="2">
        <v>98.341099999999997</v>
      </c>
      <c r="R51" s="2">
        <v>124</v>
      </c>
      <c r="S51" s="2">
        <v>96.762699999999995</v>
      </c>
      <c r="T51" s="2">
        <v>90</v>
      </c>
      <c r="U51" s="2">
        <v>0.81062100000000004</v>
      </c>
      <c r="V51" s="2">
        <v>50</v>
      </c>
      <c r="W51" s="2">
        <v>2013</v>
      </c>
    </row>
    <row r="52" spans="1:23" ht="12.3" x14ac:dyDescent="0.4">
      <c r="A52" s="2" t="s">
        <v>78</v>
      </c>
      <c r="B52" s="2">
        <v>9</v>
      </c>
      <c r="C52" s="2"/>
      <c r="D52" s="2"/>
      <c r="E52" s="2"/>
      <c r="F52" s="2"/>
      <c r="G52" s="2"/>
      <c r="H52" s="2"/>
      <c r="I52" s="2">
        <v>66.939599999999999</v>
      </c>
      <c r="J52" s="2">
        <v>126</v>
      </c>
      <c r="K52" s="2">
        <v>67.676299999999998</v>
      </c>
      <c r="L52" s="2">
        <v>93</v>
      </c>
      <c r="M52" s="2">
        <v>98.729600000000005</v>
      </c>
      <c r="N52" s="2">
        <v>213</v>
      </c>
      <c r="O52" s="2">
        <v>103.59139999999999</v>
      </c>
      <c r="P52" s="2">
        <v>121</v>
      </c>
      <c r="Q52" s="2">
        <v>95.161199999999994</v>
      </c>
      <c r="R52" s="2">
        <v>60</v>
      </c>
      <c r="S52" s="2">
        <v>91.355099999999993</v>
      </c>
      <c r="T52" s="2">
        <v>21</v>
      </c>
      <c r="U52" s="2">
        <v>0.80931200000000003</v>
      </c>
      <c r="V52" s="2">
        <v>51</v>
      </c>
      <c r="W52" s="2">
        <v>2013</v>
      </c>
    </row>
    <row r="53" spans="1:23" ht="12.3" x14ac:dyDescent="0.4">
      <c r="A53" s="2" t="s">
        <v>129</v>
      </c>
      <c r="B53" s="2">
        <v>10</v>
      </c>
      <c r="C53" s="2"/>
      <c r="D53" s="2"/>
      <c r="E53" s="2"/>
      <c r="F53" s="2"/>
      <c r="G53" s="2"/>
      <c r="H53" s="2"/>
      <c r="I53" s="2">
        <v>65.714699999999993</v>
      </c>
      <c r="J53" s="2">
        <v>186</v>
      </c>
      <c r="K53" s="2">
        <v>64.976600000000005</v>
      </c>
      <c r="L53" s="2">
        <v>216</v>
      </c>
      <c r="M53" s="2">
        <v>101.7469</v>
      </c>
      <c r="N53" s="2">
        <v>154</v>
      </c>
      <c r="O53" s="2">
        <v>104.03449999999999</v>
      </c>
      <c r="P53" s="2">
        <v>112</v>
      </c>
      <c r="Q53" s="2">
        <v>95.493700000000004</v>
      </c>
      <c r="R53" s="2">
        <v>62</v>
      </c>
      <c r="S53" s="2">
        <v>91.778300000000002</v>
      </c>
      <c r="T53" s="2">
        <v>25</v>
      </c>
      <c r="U53" s="2">
        <v>0.80868499999999999</v>
      </c>
      <c r="V53" s="2">
        <v>52</v>
      </c>
      <c r="W53" s="2">
        <v>2013</v>
      </c>
    </row>
    <row r="54" spans="1:23" ht="12.3" x14ac:dyDescent="0.4">
      <c r="A54" s="2" t="s">
        <v>256</v>
      </c>
      <c r="B54" s="2">
        <v>12</v>
      </c>
      <c r="C54" s="2"/>
      <c r="D54" s="2"/>
      <c r="E54" s="2"/>
      <c r="F54" s="2"/>
      <c r="G54" s="2"/>
      <c r="H54" s="2"/>
      <c r="I54" s="2">
        <v>66.381200000000007</v>
      </c>
      <c r="J54" s="2">
        <v>154</v>
      </c>
      <c r="K54" s="2">
        <v>66.623800000000003</v>
      </c>
      <c r="L54" s="2">
        <v>135</v>
      </c>
      <c r="M54" s="2">
        <v>106.6609</v>
      </c>
      <c r="N54" s="2">
        <v>62</v>
      </c>
      <c r="O54" s="2">
        <v>105.1566</v>
      </c>
      <c r="P54" s="2">
        <v>87</v>
      </c>
      <c r="Q54" s="2">
        <v>92.332300000000004</v>
      </c>
      <c r="R54" s="2">
        <v>31</v>
      </c>
      <c r="S54" s="2">
        <v>92.875900000000001</v>
      </c>
      <c r="T54" s="2">
        <v>33</v>
      </c>
      <c r="U54" s="2">
        <v>0.806612</v>
      </c>
      <c r="V54" s="2">
        <v>53</v>
      </c>
      <c r="W54" s="2">
        <v>2013</v>
      </c>
    </row>
    <row r="55" spans="1:23" ht="12.3" x14ac:dyDescent="0.4">
      <c r="A55" s="2" t="s">
        <v>54</v>
      </c>
      <c r="B55" s="2"/>
      <c r="C55" s="2"/>
      <c r="D55" s="2"/>
      <c r="E55" s="2"/>
      <c r="F55" s="2"/>
      <c r="G55" s="2"/>
      <c r="H55" s="2"/>
      <c r="I55" s="2"/>
      <c r="J55" s="2">
        <v>223</v>
      </c>
      <c r="K55" s="2">
        <v>65.434100000000001</v>
      </c>
      <c r="L55" s="2">
        <v>191</v>
      </c>
      <c r="M55" s="2">
        <v>103.7974</v>
      </c>
      <c r="N55" s="2">
        <v>107</v>
      </c>
      <c r="O55" s="2">
        <v>107.3912</v>
      </c>
      <c r="P55" s="2">
        <v>58</v>
      </c>
      <c r="Q55" s="2">
        <v>97.261600000000001</v>
      </c>
      <c r="R55" s="2">
        <v>93</v>
      </c>
      <c r="S55" s="2">
        <v>95.048599999999993</v>
      </c>
      <c r="T55" s="2">
        <v>62</v>
      </c>
      <c r="U55" s="2">
        <v>0.80282299999999995</v>
      </c>
      <c r="V55" s="2">
        <v>54</v>
      </c>
      <c r="W55" s="2">
        <v>2013</v>
      </c>
    </row>
    <row r="56" spans="1:23" ht="12.3" x14ac:dyDescent="0.4">
      <c r="A56" s="2" t="s">
        <v>36</v>
      </c>
      <c r="B56" s="2"/>
      <c r="C56" s="2"/>
      <c r="D56" s="2"/>
      <c r="E56" s="2"/>
      <c r="F56" s="2"/>
      <c r="G56" s="2"/>
      <c r="H56" s="2"/>
      <c r="I56" s="2"/>
      <c r="J56" s="2">
        <v>97</v>
      </c>
      <c r="K56" s="2">
        <v>67.484899999999996</v>
      </c>
      <c r="L56" s="2">
        <v>100</v>
      </c>
      <c r="M56" s="2">
        <v>104.9978</v>
      </c>
      <c r="N56" s="2">
        <v>92</v>
      </c>
      <c r="O56" s="2">
        <v>104.4483</v>
      </c>
      <c r="P56" s="2">
        <v>103</v>
      </c>
      <c r="Q56" s="2">
        <v>94.637</v>
      </c>
      <c r="R56" s="2">
        <v>50</v>
      </c>
      <c r="S56" s="2">
        <v>92.921599999999998</v>
      </c>
      <c r="T56" s="2">
        <v>35</v>
      </c>
      <c r="U56" s="2">
        <v>0.79327300000000001</v>
      </c>
      <c r="V56" s="2">
        <v>55</v>
      </c>
      <c r="W56" s="2">
        <v>2013</v>
      </c>
    </row>
    <row r="57" spans="1:23" ht="12.3" x14ac:dyDescent="0.4">
      <c r="A57" s="2" t="s">
        <v>336</v>
      </c>
      <c r="B57" s="2"/>
      <c r="C57" s="2"/>
      <c r="D57" s="2"/>
      <c r="E57" s="2"/>
      <c r="F57" s="2"/>
      <c r="G57" s="2"/>
      <c r="H57" s="2"/>
      <c r="I57" s="2"/>
      <c r="J57" s="2">
        <v>253</v>
      </c>
      <c r="K57" s="2">
        <v>64.277000000000001</v>
      </c>
      <c r="L57" s="2">
        <v>251</v>
      </c>
      <c r="M57" s="2">
        <v>105.0624</v>
      </c>
      <c r="N57" s="2">
        <v>90</v>
      </c>
      <c r="O57" s="2">
        <v>105.3686</v>
      </c>
      <c r="P57" s="2">
        <v>83</v>
      </c>
      <c r="Q57" s="2">
        <v>89.053899999999999</v>
      </c>
      <c r="R57" s="2">
        <v>8</v>
      </c>
      <c r="S57" s="2">
        <v>93.766199999999998</v>
      </c>
      <c r="T57" s="2">
        <v>40</v>
      </c>
      <c r="U57" s="2">
        <v>0.79275300000000004</v>
      </c>
      <c r="V57" s="2">
        <v>56</v>
      </c>
      <c r="W57" s="2">
        <v>2013</v>
      </c>
    </row>
    <row r="58" spans="1:23" ht="12.3" x14ac:dyDescent="0.4">
      <c r="A58" s="2" t="s">
        <v>169</v>
      </c>
      <c r="B58" s="2">
        <v>13</v>
      </c>
      <c r="C58" s="3" t="s">
        <v>33</v>
      </c>
      <c r="D58" s="3" t="s">
        <v>33</v>
      </c>
      <c r="E58" s="2"/>
      <c r="F58" s="2"/>
      <c r="G58" s="2"/>
      <c r="H58" s="2"/>
      <c r="I58" s="2">
        <v>67.051900000000003</v>
      </c>
      <c r="J58" s="2">
        <v>122</v>
      </c>
      <c r="K58" s="2">
        <v>66.489199999999997</v>
      </c>
      <c r="L58" s="2">
        <v>141</v>
      </c>
      <c r="M58" s="2">
        <v>107.3454</v>
      </c>
      <c r="N58" s="2">
        <v>51</v>
      </c>
      <c r="O58" s="2">
        <v>107.9554</v>
      </c>
      <c r="P58" s="2">
        <v>52</v>
      </c>
      <c r="Q58" s="2">
        <v>97.857100000000003</v>
      </c>
      <c r="R58" s="2">
        <v>110</v>
      </c>
      <c r="S58" s="2">
        <v>96.515500000000003</v>
      </c>
      <c r="T58" s="2">
        <v>86</v>
      </c>
      <c r="U58" s="2">
        <v>0.78383800000000003</v>
      </c>
      <c r="V58" s="2">
        <v>57</v>
      </c>
      <c r="W58" s="2">
        <v>2013</v>
      </c>
    </row>
    <row r="59" spans="1:23" ht="12.3" x14ac:dyDescent="0.4">
      <c r="A59" s="2" t="s">
        <v>175</v>
      </c>
      <c r="B59" s="2"/>
      <c r="C59" s="2"/>
      <c r="D59" s="2"/>
      <c r="E59" s="2"/>
      <c r="F59" s="2"/>
      <c r="G59" s="2"/>
      <c r="H59" s="2"/>
      <c r="I59" s="2"/>
      <c r="J59" s="2">
        <v>201</v>
      </c>
      <c r="K59" s="2">
        <v>64.806600000000003</v>
      </c>
      <c r="L59" s="2">
        <v>225</v>
      </c>
      <c r="M59" s="2">
        <v>108.5616</v>
      </c>
      <c r="N59" s="2">
        <v>33</v>
      </c>
      <c r="O59" s="2">
        <v>109.6391</v>
      </c>
      <c r="P59" s="2">
        <v>38</v>
      </c>
      <c r="Q59" s="2">
        <v>96.149100000000004</v>
      </c>
      <c r="R59" s="2">
        <v>74</v>
      </c>
      <c r="S59" s="2">
        <v>98.072199999999995</v>
      </c>
      <c r="T59" s="2">
        <v>111</v>
      </c>
      <c r="U59" s="2">
        <v>0.78281199999999995</v>
      </c>
      <c r="V59" s="2">
        <v>58</v>
      </c>
      <c r="W59" s="2">
        <v>2013</v>
      </c>
    </row>
    <row r="60" spans="1:23" ht="12.3" x14ac:dyDescent="0.4">
      <c r="A60" s="2" t="s">
        <v>88</v>
      </c>
      <c r="B60" s="2">
        <v>9</v>
      </c>
      <c r="C60" s="3" t="s">
        <v>33</v>
      </c>
      <c r="D60" s="2"/>
      <c r="E60" s="2"/>
      <c r="F60" s="2"/>
      <c r="G60" s="2"/>
      <c r="H60" s="2"/>
      <c r="I60" s="2">
        <v>67.862499999999997</v>
      </c>
      <c r="J60" s="2">
        <v>90</v>
      </c>
      <c r="K60" s="2">
        <v>67.017799999999994</v>
      </c>
      <c r="L60" s="2">
        <v>120</v>
      </c>
      <c r="M60" s="2">
        <v>107.0557</v>
      </c>
      <c r="N60" s="2">
        <v>55</v>
      </c>
      <c r="O60" s="2">
        <v>110.16540000000001</v>
      </c>
      <c r="P60" s="2">
        <v>35</v>
      </c>
      <c r="Q60" s="2">
        <v>100.22499999999999</v>
      </c>
      <c r="R60" s="2">
        <v>158</v>
      </c>
      <c r="S60" s="2">
        <v>99.000500000000002</v>
      </c>
      <c r="T60" s="2">
        <v>129</v>
      </c>
      <c r="U60" s="2">
        <v>0.77361999999999997</v>
      </c>
      <c r="V60" s="2">
        <v>59</v>
      </c>
      <c r="W60" s="2">
        <v>2013</v>
      </c>
    </row>
    <row r="61" spans="1:23" ht="12.3" x14ac:dyDescent="0.4">
      <c r="A61" s="2" t="s">
        <v>57</v>
      </c>
      <c r="B61" s="2">
        <v>12</v>
      </c>
      <c r="C61" s="3" t="s">
        <v>33</v>
      </c>
      <c r="D61" s="2"/>
      <c r="E61" s="2"/>
      <c r="F61" s="2"/>
      <c r="G61" s="2"/>
      <c r="H61" s="2"/>
      <c r="I61" s="2">
        <v>66.351799999999997</v>
      </c>
      <c r="J61" s="2">
        <v>156</v>
      </c>
      <c r="K61" s="2">
        <v>65.881699999999995</v>
      </c>
      <c r="L61" s="2">
        <v>175</v>
      </c>
      <c r="M61" s="2">
        <v>101.4592</v>
      </c>
      <c r="N61" s="2">
        <v>161</v>
      </c>
      <c r="O61" s="2">
        <v>104.48</v>
      </c>
      <c r="P61" s="2">
        <v>102</v>
      </c>
      <c r="Q61" s="2">
        <v>96.589100000000002</v>
      </c>
      <c r="R61" s="2">
        <v>79</v>
      </c>
      <c r="S61" s="2">
        <v>93.914100000000005</v>
      </c>
      <c r="T61" s="2">
        <v>42</v>
      </c>
      <c r="U61" s="2">
        <v>0.77312999999999998</v>
      </c>
      <c r="V61" s="2">
        <v>60</v>
      </c>
      <c r="W61" s="2">
        <v>2013</v>
      </c>
    </row>
    <row r="62" spans="1:23" ht="12.3" x14ac:dyDescent="0.4">
      <c r="A62" s="2" t="s">
        <v>74</v>
      </c>
      <c r="B62" s="2">
        <v>14</v>
      </c>
      <c r="C62" s="2"/>
      <c r="D62" s="2"/>
      <c r="E62" s="2"/>
      <c r="F62" s="2"/>
      <c r="G62" s="2"/>
      <c r="H62" s="2"/>
      <c r="I62" s="2">
        <v>65.0779</v>
      </c>
      <c r="J62" s="2">
        <v>214</v>
      </c>
      <c r="K62" s="2">
        <v>65.926400000000001</v>
      </c>
      <c r="L62" s="2">
        <v>170</v>
      </c>
      <c r="M62" s="2">
        <v>109.3647</v>
      </c>
      <c r="N62" s="2">
        <v>27</v>
      </c>
      <c r="O62" s="2">
        <v>109.6939</v>
      </c>
      <c r="P62" s="2">
        <v>37</v>
      </c>
      <c r="Q62" s="2">
        <v>95.505300000000005</v>
      </c>
      <c r="R62" s="2">
        <v>63</v>
      </c>
      <c r="S62" s="2">
        <v>98.748900000000006</v>
      </c>
      <c r="T62" s="2">
        <v>126</v>
      </c>
      <c r="U62" s="2">
        <v>0.77008799999999999</v>
      </c>
      <c r="V62" s="2">
        <v>61</v>
      </c>
      <c r="W62" s="2">
        <v>2013</v>
      </c>
    </row>
    <row r="63" spans="1:23" ht="12.3" x14ac:dyDescent="0.4">
      <c r="A63" s="2" t="s">
        <v>45</v>
      </c>
      <c r="B63" s="2"/>
      <c r="C63" s="2"/>
      <c r="D63" s="2"/>
      <c r="E63" s="2"/>
      <c r="F63" s="2"/>
      <c r="G63" s="2"/>
      <c r="H63" s="2"/>
      <c r="I63" s="2"/>
      <c r="J63" s="2">
        <v>114</v>
      </c>
      <c r="K63" s="2">
        <v>67.338099999999997</v>
      </c>
      <c r="L63" s="2">
        <v>105</v>
      </c>
      <c r="M63" s="2">
        <v>107.38679999999999</v>
      </c>
      <c r="N63" s="2">
        <v>49</v>
      </c>
      <c r="O63" s="2">
        <v>108.97239999999999</v>
      </c>
      <c r="P63" s="2">
        <v>42</v>
      </c>
      <c r="Q63" s="2">
        <v>96.418099999999995</v>
      </c>
      <c r="R63" s="2">
        <v>77</v>
      </c>
      <c r="S63" s="2">
        <v>98.665899999999993</v>
      </c>
      <c r="T63" s="2">
        <v>122</v>
      </c>
      <c r="U63" s="2">
        <v>0.75815500000000002</v>
      </c>
      <c r="V63" s="2">
        <v>62</v>
      </c>
      <c r="W63" s="2">
        <v>2013</v>
      </c>
    </row>
    <row r="64" spans="1:23" ht="12.3" x14ac:dyDescent="0.4">
      <c r="A64" s="2" t="s">
        <v>282</v>
      </c>
      <c r="B64" s="2"/>
      <c r="C64" s="2"/>
      <c r="D64" s="2"/>
      <c r="E64" s="2"/>
      <c r="F64" s="2"/>
      <c r="G64" s="2"/>
      <c r="H64" s="2"/>
      <c r="I64" s="2"/>
      <c r="J64" s="2">
        <v>317</v>
      </c>
      <c r="K64" s="2">
        <v>60.661200000000001</v>
      </c>
      <c r="L64" s="2">
        <v>335</v>
      </c>
      <c r="M64" s="2">
        <v>102.19450000000001</v>
      </c>
      <c r="N64" s="2">
        <v>143</v>
      </c>
      <c r="O64" s="2">
        <v>98.247600000000006</v>
      </c>
      <c r="P64" s="2">
        <v>222</v>
      </c>
      <c r="Q64" s="2">
        <v>83.877899999999997</v>
      </c>
      <c r="R64" s="2">
        <v>1</v>
      </c>
      <c r="S64" s="2">
        <v>88.974299999999999</v>
      </c>
      <c r="T64" s="2">
        <v>8</v>
      </c>
      <c r="U64" s="2">
        <v>0.75770700000000002</v>
      </c>
      <c r="V64" s="2">
        <v>63</v>
      </c>
      <c r="W64" s="2">
        <v>2013</v>
      </c>
    </row>
    <row r="65" spans="1:23" ht="12.3" x14ac:dyDescent="0.4">
      <c r="A65" s="2" t="s">
        <v>49</v>
      </c>
      <c r="B65" s="2"/>
      <c r="C65" s="2"/>
      <c r="D65" s="2"/>
      <c r="E65" s="2"/>
      <c r="F65" s="2"/>
      <c r="G65" s="2"/>
      <c r="H65" s="2"/>
      <c r="I65" s="2"/>
      <c r="J65" s="2">
        <v>312</v>
      </c>
      <c r="K65" s="2">
        <v>61.636099999999999</v>
      </c>
      <c r="L65" s="2">
        <v>319</v>
      </c>
      <c r="M65" s="2">
        <v>99.407499999999999</v>
      </c>
      <c r="N65" s="2">
        <v>190</v>
      </c>
      <c r="O65" s="2">
        <v>101.80540000000001</v>
      </c>
      <c r="P65" s="2">
        <v>148</v>
      </c>
      <c r="Q65" s="2">
        <v>94.253100000000003</v>
      </c>
      <c r="R65" s="2">
        <v>46</v>
      </c>
      <c r="S65" s="2">
        <v>92.269599999999997</v>
      </c>
      <c r="T65" s="2">
        <v>28</v>
      </c>
      <c r="U65" s="2">
        <v>0.75602499999999995</v>
      </c>
      <c r="V65" s="2">
        <v>64</v>
      </c>
      <c r="W65" s="2">
        <v>2013</v>
      </c>
    </row>
    <row r="66" spans="1:23" ht="12.3" x14ac:dyDescent="0.4">
      <c r="A66" s="2" t="s">
        <v>134</v>
      </c>
      <c r="B66" s="2">
        <v>14</v>
      </c>
      <c r="C66" s="2"/>
      <c r="D66" s="2"/>
      <c r="E66" s="2"/>
      <c r="F66" s="2"/>
      <c r="G66" s="2"/>
      <c r="H66" s="2"/>
      <c r="I66" s="2">
        <v>64.570300000000003</v>
      </c>
      <c r="J66" s="2">
        <v>235</v>
      </c>
      <c r="K66" s="2">
        <v>65.201400000000007</v>
      </c>
      <c r="L66" s="2">
        <v>205</v>
      </c>
      <c r="M66" s="2">
        <v>112.7877</v>
      </c>
      <c r="N66" s="2">
        <v>9</v>
      </c>
      <c r="O66" s="2">
        <v>111.00790000000001</v>
      </c>
      <c r="P66" s="2">
        <v>28</v>
      </c>
      <c r="Q66" s="2">
        <v>95.8001</v>
      </c>
      <c r="R66" s="2">
        <v>67</v>
      </c>
      <c r="S66" s="2">
        <v>100.73569999999999</v>
      </c>
      <c r="T66" s="2">
        <v>164</v>
      </c>
      <c r="U66" s="2">
        <v>0.75336700000000001</v>
      </c>
      <c r="V66" s="2">
        <v>65</v>
      </c>
      <c r="W66" s="2">
        <v>2013</v>
      </c>
    </row>
    <row r="67" spans="1:23" ht="12.3" x14ac:dyDescent="0.4">
      <c r="A67" s="2" t="s">
        <v>81</v>
      </c>
      <c r="B67" s="2"/>
      <c r="C67" s="2"/>
      <c r="D67" s="2"/>
      <c r="E67" s="2"/>
      <c r="F67" s="2"/>
      <c r="G67" s="2"/>
      <c r="H67" s="2"/>
      <c r="I67" s="2"/>
      <c r="J67" s="2">
        <v>283</v>
      </c>
      <c r="K67" s="2">
        <v>63.500900000000001</v>
      </c>
      <c r="L67" s="2">
        <v>274</v>
      </c>
      <c r="M67" s="2">
        <v>103.08799999999999</v>
      </c>
      <c r="N67" s="2">
        <v>124</v>
      </c>
      <c r="O67" s="2">
        <v>106.9592</v>
      </c>
      <c r="P67" s="2">
        <v>63</v>
      </c>
      <c r="Q67" s="2">
        <v>97.8506</v>
      </c>
      <c r="R67" s="2">
        <v>109</v>
      </c>
      <c r="S67" s="2">
        <v>97.138599999999997</v>
      </c>
      <c r="T67" s="2">
        <v>95</v>
      </c>
      <c r="U67" s="2">
        <v>0.75167099999999998</v>
      </c>
      <c r="V67" s="2">
        <v>66</v>
      </c>
      <c r="W67" s="2">
        <v>2013</v>
      </c>
    </row>
    <row r="68" spans="1:23" ht="12.3" x14ac:dyDescent="0.4">
      <c r="A68" s="2" t="s">
        <v>121</v>
      </c>
      <c r="B68" s="2"/>
      <c r="C68" s="2"/>
      <c r="D68" s="2"/>
      <c r="E68" s="2"/>
      <c r="F68" s="2"/>
      <c r="G68" s="2"/>
      <c r="H68" s="2"/>
      <c r="I68" s="2"/>
      <c r="J68" s="2">
        <v>200</v>
      </c>
      <c r="K68" s="2">
        <v>66.386099999999999</v>
      </c>
      <c r="L68" s="2">
        <v>151</v>
      </c>
      <c r="M68" s="2">
        <v>98.972200000000001</v>
      </c>
      <c r="N68" s="2">
        <v>200</v>
      </c>
      <c r="O68" s="2">
        <v>104.0604</v>
      </c>
      <c r="P68" s="2">
        <v>111</v>
      </c>
      <c r="Q68" s="2">
        <v>97.448400000000007</v>
      </c>
      <c r="R68" s="2">
        <v>98</v>
      </c>
      <c r="S68" s="2">
        <v>94.616500000000002</v>
      </c>
      <c r="T68" s="2">
        <v>52</v>
      </c>
      <c r="U68" s="2">
        <v>0.74915399999999999</v>
      </c>
      <c r="V68" s="2">
        <v>67</v>
      </c>
      <c r="W68" s="2">
        <v>2013</v>
      </c>
    </row>
    <row r="69" spans="1:23" ht="12.3" x14ac:dyDescent="0.4">
      <c r="A69" s="2" t="s">
        <v>120</v>
      </c>
      <c r="B69" s="2"/>
      <c r="C69" s="2"/>
      <c r="D69" s="2"/>
      <c r="E69" s="2"/>
      <c r="F69" s="2"/>
      <c r="G69" s="2"/>
      <c r="H69" s="2"/>
      <c r="I69" s="2"/>
      <c r="J69" s="2">
        <v>180</v>
      </c>
      <c r="K69" s="2">
        <v>66.405100000000004</v>
      </c>
      <c r="L69" s="2">
        <v>148</v>
      </c>
      <c r="M69" s="2">
        <v>100.9349</v>
      </c>
      <c r="N69" s="2">
        <v>167</v>
      </c>
      <c r="O69" s="2">
        <v>104.4376</v>
      </c>
      <c r="P69" s="2">
        <v>104</v>
      </c>
      <c r="Q69" s="2">
        <v>96.561800000000005</v>
      </c>
      <c r="R69" s="2">
        <v>78</v>
      </c>
      <c r="S69" s="2">
        <v>94.995699999999999</v>
      </c>
      <c r="T69" s="2">
        <v>61</v>
      </c>
      <c r="U69" s="2">
        <v>0.74832699999999996</v>
      </c>
      <c r="V69" s="2">
        <v>68</v>
      </c>
      <c r="W69" s="2">
        <v>2013</v>
      </c>
    </row>
    <row r="70" spans="1:23" ht="12.3" x14ac:dyDescent="0.4">
      <c r="A70" s="2" t="s">
        <v>64</v>
      </c>
      <c r="B70" s="2"/>
      <c r="C70" s="2"/>
      <c r="D70" s="2"/>
      <c r="E70" s="2"/>
      <c r="F70" s="2"/>
      <c r="G70" s="2"/>
      <c r="H70" s="2"/>
      <c r="I70" s="2"/>
      <c r="J70" s="2">
        <v>155</v>
      </c>
      <c r="K70" s="2">
        <v>65.964200000000005</v>
      </c>
      <c r="L70" s="2">
        <v>168</v>
      </c>
      <c r="M70" s="2">
        <v>107.78570000000001</v>
      </c>
      <c r="N70" s="2">
        <v>40</v>
      </c>
      <c r="O70" s="2">
        <v>110.7886</v>
      </c>
      <c r="P70" s="2">
        <v>29</v>
      </c>
      <c r="Q70" s="2">
        <v>100.0686</v>
      </c>
      <c r="R70" s="2">
        <v>157</v>
      </c>
      <c r="S70" s="2">
        <v>100.782</v>
      </c>
      <c r="T70" s="2">
        <v>165</v>
      </c>
      <c r="U70" s="2">
        <v>0.74812400000000001</v>
      </c>
      <c r="V70" s="2">
        <v>69</v>
      </c>
      <c r="W70" s="2">
        <v>2013</v>
      </c>
    </row>
    <row r="71" spans="1:23" ht="12.3" x14ac:dyDescent="0.4">
      <c r="A71" s="2" t="s">
        <v>216</v>
      </c>
      <c r="B71" s="2"/>
      <c r="C71" s="2"/>
      <c r="D71" s="2"/>
      <c r="E71" s="2"/>
      <c r="F71" s="2"/>
      <c r="G71" s="2"/>
      <c r="H71" s="2"/>
      <c r="I71" s="2"/>
      <c r="J71" s="2">
        <v>292</v>
      </c>
      <c r="K71" s="2">
        <v>62.680500000000002</v>
      </c>
      <c r="L71" s="2">
        <v>294</v>
      </c>
      <c r="M71" s="2">
        <v>101.48990000000001</v>
      </c>
      <c r="N71" s="2">
        <v>160</v>
      </c>
      <c r="O71" s="2">
        <v>103.62609999999999</v>
      </c>
      <c r="P71" s="2">
        <v>120</v>
      </c>
      <c r="Q71" s="2">
        <v>97.264799999999994</v>
      </c>
      <c r="R71" s="2">
        <v>94</v>
      </c>
      <c r="S71" s="2">
        <v>94.575599999999994</v>
      </c>
      <c r="T71" s="2">
        <v>51</v>
      </c>
      <c r="U71" s="2">
        <v>0.74096200000000001</v>
      </c>
      <c r="V71" s="2">
        <v>70</v>
      </c>
      <c r="W71" s="2">
        <v>2013</v>
      </c>
    </row>
    <row r="72" spans="1:23" ht="12.3" x14ac:dyDescent="0.4">
      <c r="A72" s="2" t="s">
        <v>132</v>
      </c>
      <c r="B72" s="2"/>
      <c r="C72" s="2"/>
      <c r="D72" s="2"/>
      <c r="E72" s="2"/>
      <c r="F72" s="2"/>
      <c r="G72" s="2"/>
      <c r="H72" s="2"/>
      <c r="I72" s="2"/>
      <c r="J72" s="2">
        <v>32</v>
      </c>
      <c r="K72" s="2">
        <v>70.346699999999998</v>
      </c>
      <c r="L72" s="2">
        <v>22</v>
      </c>
      <c r="M72" s="2">
        <v>110.07080000000001</v>
      </c>
      <c r="N72" s="2">
        <v>23</v>
      </c>
      <c r="O72" s="2">
        <v>111.8206</v>
      </c>
      <c r="P72" s="2">
        <v>20</v>
      </c>
      <c r="Q72" s="2">
        <v>102.27419999999999</v>
      </c>
      <c r="R72" s="2">
        <v>204</v>
      </c>
      <c r="S72" s="2">
        <v>102.5591</v>
      </c>
      <c r="T72" s="2">
        <v>207</v>
      </c>
      <c r="U72" s="2">
        <v>0.72992699999999999</v>
      </c>
      <c r="V72" s="2">
        <v>71</v>
      </c>
      <c r="W72" s="2">
        <v>2013</v>
      </c>
    </row>
    <row r="73" spans="1:23" ht="12.3" x14ac:dyDescent="0.4">
      <c r="A73" s="2" t="s">
        <v>96</v>
      </c>
      <c r="B73" s="2"/>
      <c r="C73" s="2"/>
      <c r="D73" s="2"/>
      <c r="E73" s="2"/>
      <c r="F73" s="2"/>
      <c r="G73" s="2"/>
      <c r="H73" s="2"/>
      <c r="I73" s="2"/>
      <c r="J73" s="2">
        <v>13</v>
      </c>
      <c r="K73" s="2">
        <v>71.298699999999997</v>
      </c>
      <c r="L73" s="2">
        <v>7</v>
      </c>
      <c r="M73" s="2">
        <v>106.8853</v>
      </c>
      <c r="N73" s="2">
        <v>58</v>
      </c>
      <c r="O73" s="2">
        <v>106.04049999999999</v>
      </c>
      <c r="P73" s="2">
        <v>73</v>
      </c>
      <c r="Q73" s="2">
        <v>97.985699999999994</v>
      </c>
      <c r="R73" s="2">
        <v>113</v>
      </c>
      <c r="S73" s="2">
        <v>97.3095</v>
      </c>
      <c r="T73" s="2">
        <v>101</v>
      </c>
      <c r="U73" s="2">
        <v>0.72871900000000001</v>
      </c>
      <c r="V73" s="2">
        <v>72</v>
      </c>
      <c r="W73" s="2">
        <v>2013</v>
      </c>
    </row>
    <row r="74" spans="1:23" ht="12.3" x14ac:dyDescent="0.4">
      <c r="A74" s="2" t="s">
        <v>164</v>
      </c>
      <c r="B74" s="2"/>
      <c r="C74" s="2"/>
      <c r="D74" s="2"/>
      <c r="E74" s="2"/>
      <c r="F74" s="2"/>
      <c r="G74" s="2"/>
      <c r="H74" s="2"/>
      <c r="I74" s="2"/>
      <c r="J74" s="2">
        <v>42</v>
      </c>
      <c r="K74" s="2">
        <v>70.332300000000004</v>
      </c>
      <c r="L74" s="2">
        <v>23</v>
      </c>
      <c r="M74" s="2">
        <v>106.8999</v>
      </c>
      <c r="N74" s="2">
        <v>57</v>
      </c>
      <c r="O74" s="2">
        <v>106.4085</v>
      </c>
      <c r="P74" s="2">
        <v>68</v>
      </c>
      <c r="Q74" s="2">
        <v>98.325500000000005</v>
      </c>
      <c r="R74" s="2">
        <v>123</v>
      </c>
      <c r="S74" s="2">
        <v>97.7286</v>
      </c>
      <c r="T74" s="2">
        <v>107</v>
      </c>
      <c r="U74" s="2">
        <v>0.72682000000000002</v>
      </c>
      <c r="V74" s="2">
        <v>73</v>
      </c>
      <c r="W74" s="2">
        <v>2013</v>
      </c>
    </row>
    <row r="75" spans="1:23" ht="12.3" x14ac:dyDescent="0.4">
      <c r="A75" s="2" t="s">
        <v>118</v>
      </c>
      <c r="B75" s="2">
        <v>13</v>
      </c>
      <c r="C75" s="2"/>
      <c r="D75" s="2"/>
      <c r="E75" s="2"/>
      <c r="F75" s="2"/>
      <c r="G75" s="2"/>
      <c r="H75" s="2"/>
      <c r="I75" s="2">
        <v>65.263499999999993</v>
      </c>
      <c r="J75" s="2">
        <v>204</v>
      </c>
      <c r="K75" s="2">
        <v>65.110600000000005</v>
      </c>
      <c r="L75" s="2">
        <v>208</v>
      </c>
      <c r="M75" s="2">
        <v>103.3711</v>
      </c>
      <c r="N75" s="2">
        <v>118</v>
      </c>
      <c r="O75" s="2">
        <v>103.28660000000001</v>
      </c>
      <c r="P75" s="2">
        <v>126</v>
      </c>
      <c r="Q75" s="2">
        <v>95.627799999999993</v>
      </c>
      <c r="R75" s="2">
        <v>65</v>
      </c>
      <c r="S75" s="2">
        <v>94.922799999999995</v>
      </c>
      <c r="T75" s="2">
        <v>59</v>
      </c>
      <c r="U75" s="2">
        <v>0.72533800000000004</v>
      </c>
      <c r="V75" s="2">
        <v>74</v>
      </c>
      <c r="W75" s="2">
        <v>2013</v>
      </c>
    </row>
    <row r="76" spans="1:23" ht="12.3" x14ac:dyDescent="0.4">
      <c r="A76" s="2" t="s">
        <v>50</v>
      </c>
      <c r="B76" s="2"/>
      <c r="C76" s="2"/>
      <c r="D76" s="2"/>
      <c r="E76" s="2"/>
      <c r="F76" s="2"/>
      <c r="G76" s="2"/>
      <c r="H76" s="2"/>
      <c r="I76" s="2"/>
      <c r="J76" s="2">
        <v>285</v>
      </c>
      <c r="K76" s="2">
        <v>63.297699999999999</v>
      </c>
      <c r="L76" s="2">
        <v>280</v>
      </c>
      <c r="M76" s="2">
        <v>102.6557</v>
      </c>
      <c r="N76" s="2">
        <v>130</v>
      </c>
      <c r="O76" s="2">
        <v>103.2261</v>
      </c>
      <c r="P76" s="2">
        <v>129</v>
      </c>
      <c r="Q76" s="2">
        <v>98.437200000000004</v>
      </c>
      <c r="R76" s="2">
        <v>129</v>
      </c>
      <c r="S76" s="2">
        <v>95.129000000000005</v>
      </c>
      <c r="T76" s="2">
        <v>63</v>
      </c>
      <c r="U76" s="2">
        <v>0.71898099999999998</v>
      </c>
      <c r="V76" s="2">
        <v>75</v>
      </c>
      <c r="W76" s="2">
        <v>2013</v>
      </c>
    </row>
    <row r="77" spans="1:23" ht="12.3" x14ac:dyDescent="0.4">
      <c r="A77" s="2" t="s">
        <v>99</v>
      </c>
      <c r="B77" s="2"/>
      <c r="C77" s="2"/>
      <c r="D77" s="2"/>
      <c r="E77" s="2"/>
      <c r="F77" s="2"/>
      <c r="G77" s="2"/>
      <c r="H77" s="2"/>
      <c r="I77" s="2"/>
      <c r="J77" s="2">
        <v>115</v>
      </c>
      <c r="K77" s="2">
        <v>65.332300000000004</v>
      </c>
      <c r="L77" s="2">
        <v>196</v>
      </c>
      <c r="M77" s="2">
        <v>103.53189999999999</v>
      </c>
      <c r="N77" s="2">
        <v>114</v>
      </c>
      <c r="O77" s="2">
        <v>105.6918</v>
      </c>
      <c r="P77" s="2">
        <v>79</v>
      </c>
      <c r="Q77" s="2">
        <v>97.740300000000005</v>
      </c>
      <c r="R77" s="2">
        <v>105</v>
      </c>
      <c r="S77" s="2">
        <v>97.593500000000006</v>
      </c>
      <c r="T77" s="2">
        <v>105</v>
      </c>
      <c r="U77" s="2">
        <v>0.71437799999999996</v>
      </c>
      <c r="V77" s="2">
        <v>76</v>
      </c>
      <c r="W77" s="2">
        <v>2013</v>
      </c>
    </row>
    <row r="78" spans="1:23" ht="12.3" x14ac:dyDescent="0.4">
      <c r="A78" s="2" t="s">
        <v>360</v>
      </c>
      <c r="B78" s="2"/>
      <c r="C78" s="2"/>
      <c r="D78" s="2"/>
      <c r="E78" s="2"/>
      <c r="F78" s="2"/>
      <c r="G78" s="2"/>
      <c r="H78" s="2"/>
      <c r="I78" s="2"/>
      <c r="J78" s="2">
        <v>333</v>
      </c>
      <c r="K78" s="2">
        <v>60.857999999999997</v>
      </c>
      <c r="L78" s="2">
        <v>331</v>
      </c>
      <c r="M78" s="2">
        <v>107.7933</v>
      </c>
      <c r="N78" s="2">
        <v>39</v>
      </c>
      <c r="O78" s="2">
        <v>102.1139</v>
      </c>
      <c r="P78" s="2">
        <v>144</v>
      </c>
      <c r="Q78" s="2">
        <v>92.0792</v>
      </c>
      <c r="R78" s="2">
        <v>28</v>
      </c>
      <c r="S78" s="2">
        <v>94.385900000000007</v>
      </c>
      <c r="T78" s="2">
        <v>47</v>
      </c>
      <c r="U78" s="2">
        <v>0.71197900000000003</v>
      </c>
      <c r="V78" s="2">
        <v>77</v>
      </c>
      <c r="W78" s="2">
        <v>2013</v>
      </c>
    </row>
    <row r="79" spans="1:23" ht="12.3" x14ac:dyDescent="0.4">
      <c r="A79" s="2" t="s">
        <v>151</v>
      </c>
      <c r="B79" s="2"/>
      <c r="C79" s="2"/>
      <c r="D79" s="2"/>
      <c r="E79" s="2"/>
      <c r="F79" s="2"/>
      <c r="G79" s="2"/>
      <c r="H79" s="2"/>
      <c r="I79" s="2"/>
      <c r="J79" s="2">
        <v>87</v>
      </c>
      <c r="K79" s="2">
        <v>67.889399999999995</v>
      </c>
      <c r="L79" s="2">
        <v>83</v>
      </c>
      <c r="M79" s="2">
        <v>106.5119</v>
      </c>
      <c r="N79" s="2">
        <v>66</v>
      </c>
      <c r="O79" s="2">
        <v>104.0656</v>
      </c>
      <c r="P79" s="2">
        <v>110</v>
      </c>
      <c r="Q79" s="2">
        <v>94.150899999999993</v>
      </c>
      <c r="R79" s="2">
        <v>44</v>
      </c>
      <c r="S79" s="2">
        <v>96.237300000000005</v>
      </c>
      <c r="T79" s="2">
        <v>80</v>
      </c>
      <c r="U79" s="2">
        <v>0.71081499999999997</v>
      </c>
      <c r="V79" s="2">
        <v>78</v>
      </c>
      <c r="W79" s="2">
        <v>2013</v>
      </c>
    </row>
    <row r="80" spans="1:23" ht="12.3" x14ac:dyDescent="0.4">
      <c r="A80" s="2" t="s">
        <v>204</v>
      </c>
      <c r="B80" s="2"/>
      <c r="C80" s="2"/>
      <c r="D80" s="2"/>
      <c r="E80" s="2"/>
      <c r="F80" s="2"/>
      <c r="G80" s="2"/>
      <c r="H80" s="2"/>
      <c r="I80" s="2"/>
      <c r="J80" s="2">
        <v>243</v>
      </c>
      <c r="K80" s="2">
        <v>64.400700000000001</v>
      </c>
      <c r="L80" s="2">
        <v>243</v>
      </c>
      <c r="M80" s="2">
        <v>106.6559</v>
      </c>
      <c r="N80" s="2">
        <v>63</v>
      </c>
      <c r="O80" s="2">
        <v>111.6489</v>
      </c>
      <c r="P80" s="2">
        <v>22</v>
      </c>
      <c r="Q80" s="2">
        <v>105.7435</v>
      </c>
      <c r="R80" s="2">
        <v>280</v>
      </c>
      <c r="S80" s="2">
        <v>103.2503</v>
      </c>
      <c r="T80" s="2">
        <v>216</v>
      </c>
      <c r="U80" s="2">
        <v>0.71081300000000003</v>
      </c>
      <c r="V80" s="2">
        <v>79</v>
      </c>
      <c r="W80" s="2">
        <v>2013</v>
      </c>
    </row>
    <row r="81" spans="1:23" ht="12.3" x14ac:dyDescent="0.4">
      <c r="A81" s="2" t="s">
        <v>155</v>
      </c>
      <c r="B81" s="2"/>
      <c r="C81" s="2"/>
      <c r="D81" s="2"/>
      <c r="E81" s="2"/>
      <c r="F81" s="2"/>
      <c r="G81" s="2"/>
      <c r="H81" s="2"/>
      <c r="I81" s="2"/>
      <c r="J81" s="2">
        <v>18</v>
      </c>
      <c r="K81" s="2">
        <v>70.5989</v>
      </c>
      <c r="L81" s="2">
        <v>18</v>
      </c>
      <c r="M81" s="2">
        <v>103.5458</v>
      </c>
      <c r="N81" s="2">
        <v>113</v>
      </c>
      <c r="O81" s="2">
        <v>106.5967</v>
      </c>
      <c r="P81" s="2">
        <v>66</v>
      </c>
      <c r="Q81" s="2">
        <v>100.83320000000001</v>
      </c>
      <c r="R81" s="2">
        <v>171</v>
      </c>
      <c r="S81" s="2">
        <v>98.625</v>
      </c>
      <c r="T81" s="2">
        <v>121</v>
      </c>
      <c r="U81" s="2">
        <v>0.70968799999999999</v>
      </c>
      <c r="V81" s="2">
        <v>80</v>
      </c>
      <c r="W81" s="2">
        <v>2013</v>
      </c>
    </row>
    <row r="82" spans="1:23" ht="12.3" x14ac:dyDescent="0.4">
      <c r="A82" s="2" t="s">
        <v>91</v>
      </c>
      <c r="B82" s="2"/>
      <c r="C82" s="2"/>
      <c r="D82" s="2"/>
      <c r="E82" s="2"/>
      <c r="F82" s="2"/>
      <c r="G82" s="2"/>
      <c r="H82" s="2"/>
      <c r="I82" s="2"/>
      <c r="J82" s="2">
        <v>284</v>
      </c>
      <c r="K82" s="2">
        <v>62.881</v>
      </c>
      <c r="L82" s="2">
        <v>291</v>
      </c>
      <c r="M82" s="2">
        <v>105.5527</v>
      </c>
      <c r="N82" s="2">
        <v>80</v>
      </c>
      <c r="O82" s="2">
        <v>106.4776</v>
      </c>
      <c r="P82" s="2">
        <v>67</v>
      </c>
      <c r="Q82" s="2">
        <v>100.26560000000001</v>
      </c>
      <c r="R82" s="2">
        <v>160</v>
      </c>
      <c r="S82" s="2">
        <v>98.528199999999998</v>
      </c>
      <c r="T82" s="2">
        <v>120</v>
      </c>
      <c r="U82" s="2">
        <v>0.70936600000000005</v>
      </c>
      <c r="V82" s="2">
        <v>81</v>
      </c>
      <c r="W82" s="2">
        <v>2013</v>
      </c>
    </row>
    <row r="83" spans="1:23" ht="12.3" x14ac:dyDescent="0.4">
      <c r="A83" s="2" t="s">
        <v>292</v>
      </c>
      <c r="B83" s="2"/>
      <c r="C83" s="2"/>
      <c r="D83" s="2"/>
      <c r="E83" s="2"/>
      <c r="F83" s="2"/>
      <c r="G83" s="2"/>
      <c r="H83" s="2"/>
      <c r="I83" s="2"/>
      <c r="J83" s="2">
        <v>229</v>
      </c>
      <c r="K83" s="2">
        <v>65.718000000000004</v>
      </c>
      <c r="L83" s="2">
        <v>180</v>
      </c>
      <c r="M83" s="2">
        <v>102.2092</v>
      </c>
      <c r="N83" s="2">
        <v>141</v>
      </c>
      <c r="O83" s="2">
        <v>103.3715</v>
      </c>
      <c r="P83" s="2">
        <v>125</v>
      </c>
      <c r="Q83" s="2">
        <v>98.139600000000002</v>
      </c>
      <c r="R83" s="2">
        <v>116</v>
      </c>
      <c r="S83" s="2">
        <v>95.713499999999996</v>
      </c>
      <c r="T83" s="2">
        <v>73</v>
      </c>
      <c r="U83" s="2">
        <v>0.70788799999999996</v>
      </c>
      <c r="V83" s="2">
        <v>82</v>
      </c>
      <c r="W83" s="2">
        <v>2013</v>
      </c>
    </row>
    <row r="84" spans="1:23" ht="12.3" x14ac:dyDescent="0.4">
      <c r="A84" s="2" t="s">
        <v>131</v>
      </c>
      <c r="B84" s="2"/>
      <c r="C84" s="2"/>
      <c r="D84" s="2"/>
      <c r="E84" s="2"/>
      <c r="F84" s="2"/>
      <c r="G84" s="2"/>
      <c r="H84" s="2"/>
      <c r="I84" s="2"/>
      <c r="J84" s="2">
        <v>184</v>
      </c>
      <c r="K84" s="2">
        <v>65.477000000000004</v>
      </c>
      <c r="L84" s="2">
        <v>189</v>
      </c>
      <c r="M84" s="2">
        <v>102.0509</v>
      </c>
      <c r="N84" s="2">
        <v>145</v>
      </c>
      <c r="O84" s="2">
        <v>104.7072</v>
      </c>
      <c r="P84" s="2">
        <v>99</v>
      </c>
      <c r="Q84" s="2">
        <v>100.4306</v>
      </c>
      <c r="R84" s="2">
        <v>165</v>
      </c>
      <c r="S84" s="2">
        <v>96.963200000000001</v>
      </c>
      <c r="T84" s="2">
        <v>93</v>
      </c>
      <c r="U84" s="2">
        <v>0.707569</v>
      </c>
      <c r="V84" s="2">
        <v>83</v>
      </c>
      <c r="W84" s="2">
        <v>2013</v>
      </c>
    </row>
    <row r="85" spans="1:23" ht="12.3" x14ac:dyDescent="0.4">
      <c r="A85" s="2" t="s">
        <v>217</v>
      </c>
      <c r="B85" s="2"/>
      <c r="C85" s="2"/>
      <c r="D85" s="2"/>
      <c r="E85" s="2"/>
      <c r="F85" s="2"/>
      <c r="G85" s="2"/>
      <c r="H85" s="2"/>
      <c r="I85" s="2"/>
      <c r="J85" s="2">
        <v>124</v>
      </c>
      <c r="K85" s="2">
        <v>67.185100000000006</v>
      </c>
      <c r="L85" s="2">
        <v>115</v>
      </c>
      <c r="M85" s="2">
        <v>107.1434</v>
      </c>
      <c r="N85" s="2">
        <v>52</v>
      </c>
      <c r="O85" s="2">
        <v>107.59520000000001</v>
      </c>
      <c r="P85" s="2">
        <v>56</v>
      </c>
      <c r="Q85" s="2">
        <v>99.890299999999996</v>
      </c>
      <c r="R85" s="2">
        <v>154</v>
      </c>
      <c r="S85" s="2">
        <v>99.738399999999999</v>
      </c>
      <c r="T85" s="2">
        <v>141</v>
      </c>
      <c r="U85" s="2">
        <v>0.70515799999999995</v>
      </c>
      <c r="V85" s="2">
        <v>84</v>
      </c>
      <c r="W85" s="2">
        <v>2013</v>
      </c>
    </row>
    <row r="86" spans="1:23" ht="12.3" x14ac:dyDescent="0.4">
      <c r="A86" s="2" t="s">
        <v>80</v>
      </c>
      <c r="B86" s="2"/>
      <c r="C86" s="2"/>
      <c r="D86" s="2"/>
      <c r="E86" s="2"/>
      <c r="F86" s="2"/>
      <c r="G86" s="2"/>
      <c r="H86" s="2"/>
      <c r="I86" s="2"/>
      <c r="J86" s="2">
        <v>22</v>
      </c>
      <c r="K86" s="2">
        <v>71.037999999999997</v>
      </c>
      <c r="L86" s="2">
        <v>9</v>
      </c>
      <c r="M86" s="2">
        <v>103.17270000000001</v>
      </c>
      <c r="N86" s="2">
        <v>121</v>
      </c>
      <c r="O86" s="2">
        <v>103.2495</v>
      </c>
      <c r="P86" s="2">
        <v>127</v>
      </c>
      <c r="Q86" s="2">
        <v>97.164699999999996</v>
      </c>
      <c r="R86" s="2">
        <v>90</v>
      </c>
      <c r="S86" s="2">
        <v>95.904300000000006</v>
      </c>
      <c r="T86" s="2">
        <v>75</v>
      </c>
      <c r="U86" s="2">
        <v>0.70028900000000005</v>
      </c>
      <c r="V86" s="2">
        <v>85</v>
      </c>
      <c r="W86" s="2">
        <v>2013</v>
      </c>
    </row>
    <row r="87" spans="1:23" ht="12.3" x14ac:dyDescent="0.4">
      <c r="A87" s="2" t="s">
        <v>94</v>
      </c>
      <c r="B87" s="2"/>
      <c r="C87" s="2"/>
      <c r="D87" s="2"/>
      <c r="E87" s="2"/>
      <c r="F87" s="2"/>
      <c r="G87" s="2"/>
      <c r="H87" s="2"/>
      <c r="I87" s="2"/>
      <c r="J87" s="2">
        <v>23</v>
      </c>
      <c r="K87" s="2">
        <v>70.585899999999995</v>
      </c>
      <c r="L87" s="2">
        <v>19</v>
      </c>
      <c r="M87" s="2">
        <v>101.917</v>
      </c>
      <c r="N87" s="2">
        <v>149</v>
      </c>
      <c r="O87" s="2">
        <v>99.572599999999994</v>
      </c>
      <c r="P87" s="2">
        <v>195</v>
      </c>
      <c r="Q87" s="2">
        <v>90.683899999999994</v>
      </c>
      <c r="R87" s="2">
        <v>14</v>
      </c>
      <c r="S87" s="2">
        <v>92.667299999999997</v>
      </c>
      <c r="T87" s="2">
        <v>31</v>
      </c>
      <c r="U87" s="2">
        <v>0.69561700000000004</v>
      </c>
      <c r="V87" s="2">
        <v>86</v>
      </c>
      <c r="W87" s="2">
        <v>2013</v>
      </c>
    </row>
    <row r="88" spans="1:23" ht="12.3" x14ac:dyDescent="0.4">
      <c r="A88" s="2" t="s">
        <v>170</v>
      </c>
      <c r="B88" s="2"/>
      <c r="C88" s="2"/>
      <c r="D88" s="2"/>
      <c r="E88" s="2"/>
      <c r="F88" s="2"/>
      <c r="G88" s="2"/>
      <c r="H88" s="2"/>
      <c r="I88" s="2"/>
      <c r="J88" s="2">
        <v>218</v>
      </c>
      <c r="K88" s="2">
        <v>64.8215</v>
      </c>
      <c r="L88" s="2">
        <v>222</v>
      </c>
      <c r="M88" s="2">
        <v>111.5958</v>
      </c>
      <c r="N88" s="2">
        <v>18</v>
      </c>
      <c r="O88" s="2">
        <v>106.6241</v>
      </c>
      <c r="P88" s="2">
        <v>65</v>
      </c>
      <c r="Q88" s="2">
        <v>94.861699999999999</v>
      </c>
      <c r="R88" s="2">
        <v>55</v>
      </c>
      <c r="S88" s="2">
        <v>99.428299999999993</v>
      </c>
      <c r="T88" s="2">
        <v>136</v>
      </c>
      <c r="U88" s="2">
        <v>0.69073099999999998</v>
      </c>
      <c r="V88" s="2">
        <v>87</v>
      </c>
      <c r="W88" s="2">
        <v>2013</v>
      </c>
    </row>
    <row r="89" spans="1:23" ht="12.3" x14ac:dyDescent="0.4">
      <c r="A89" s="2" t="s">
        <v>176</v>
      </c>
      <c r="B89" s="2"/>
      <c r="C89" s="2"/>
      <c r="D89" s="2"/>
      <c r="E89" s="2"/>
      <c r="F89" s="2"/>
      <c r="G89" s="2"/>
      <c r="H89" s="2"/>
      <c r="I89" s="2"/>
      <c r="J89" s="2">
        <v>341</v>
      </c>
      <c r="K89" s="2">
        <v>60.8429</v>
      </c>
      <c r="L89" s="2">
        <v>332</v>
      </c>
      <c r="M89" s="2">
        <v>106.7184</v>
      </c>
      <c r="N89" s="2">
        <v>60</v>
      </c>
      <c r="O89" s="2">
        <v>107.0194</v>
      </c>
      <c r="P89" s="2">
        <v>62</v>
      </c>
      <c r="Q89" s="2">
        <v>98.363100000000003</v>
      </c>
      <c r="R89" s="2">
        <v>125</v>
      </c>
      <c r="S89" s="2">
        <v>99.844499999999996</v>
      </c>
      <c r="T89" s="2">
        <v>142</v>
      </c>
      <c r="U89" s="2">
        <v>0.68955900000000003</v>
      </c>
      <c r="V89" s="2">
        <v>88</v>
      </c>
      <c r="W89" s="2">
        <v>2013</v>
      </c>
    </row>
    <row r="90" spans="1:23" ht="12.3" x14ac:dyDescent="0.4">
      <c r="A90" s="2" t="s">
        <v>241</v>
      </c>
      <c r="B90" s="2">
        <v>15</v>
      </c>
      <c r="C90" s="2"/>
      <c r="D90" s="2"/>
      <c r="E90" s="2"/>
      <c r="F90" s="2"/>
      <c r="G90" s="2"/>
      <c r="H90" s="2"/>
      <c r="I90" s="2">
        <v>70.231099999999998</v>
      </c>
      <c r="J90" s="2">
        <v>26</v>
      </c>
      <c r="K90" s="2">
        <v>70.605500000000006</v>
      </c>
      <c r="L90" s="2">
        <v>17</v>
      </c>
      <c r="M90" s="2">
        <v>112.0595</v>
      </c>
      <c r="N90" s="2">
        <v>15</v>
      </c>
      <c r="O90" s="2">
        <v>112.7653</v>
      </c>
      <c r="P90" s="2">
        <v>14</v>
      </c>
      <c r="Q90" s="2">
        <v>104.87350000000001</v>
      </c>
      <c r="R90" s="2">
        <v>266</v>
      </c>
      <c r="S90" s="2">
        <v>105.4032</v>
      </c>
      <c r="T90" s="2">
        <v>263</v>
      </c>
      <c r="U90" s="2">
        <v>0.68491000000000002</v>
      </c>
      <c r="V90" s="2">
        <v>89</v>
      </c>
      <c r="W90" s="2">
        <v>2013</v>
      </c>
    </row>
    <row r="91" spans="1:23" ht="12.3" x14ac:dyDescent="0.4">
      <c r="A91" s="2" t="s">
        <v>100</v>
      </c>
      <c r="B91" s="2"/>
      <c r="C91" s="2"/>
      <c r="D91" s="2"/>
      <c r="E91" s="2"/>
      <c r="F91" s="2"/>
      <c r="G91" s="2"/>
      <c r="H91" s="2"/>
      <c r="I91" s="2"/>
      <c r="J91" s="2">
        <v>244</v>
      </c>
      <c r="K91" s="2">
        <v>63.519199999999998</v>
      </c>
      <c r="L91" s="2">
        <v>272</v>
      </c>
      <c r="M91" s="2">
        <v>107.3686</v>
      </c>
      <c r="N91" s="2">
        <v>50</v>
      </c>
      <c r="O91" s="2">
        <v>108.2931</v>
      </c>
      <c r="P91" s="2">
        <v>50</v>
      </c>
      <c r="Q91" s="2">
        <v>102.1559</v>
      </c>
      <c r="R91" s="2">
        <v>201</v>
      </c>
      <c r="S91" s="2">
        <v>101.3665</v>
      </c>
      <c r="T91" s="2">
        <v>181</v>
      </c>
      <c r="U91" s="2">
        <v>0.68138200000000004</v>
      </c>
      <c r="V91" s="2">
        <v>90</v>
      </c>
      <c r="W91" s="2">
        <v>2013</v>
      </c>
    </row>
    <row r="92" spans="1:23" ht="12.3" x14ac:dyDescent="0.4">
      <c r="A92" s="2" t="s">
        <v>362</v>
      </c>
      <c r="B92" s="2">
        <v>13</v>
      </c>
      <c r="C92" s="2"/>
      <c r="D92" s="2"/>
      <c r="E92" s="2"/>
      <c r="F92" s="2"/>
      <c r="G92" s="2"/>
      <c r="H92" s="2"/>
      <c r="I92" s="2">
        <v>63.785800000000002</v>
      </c>
      <c r="J92" s="2">
        <v>267</v>
      </c>
      <c r="K92" s="2">
        <v>64.112799999999993</v>
      </c>
      <c r="L92" s="2">
        <v>258</v>
      </c>
      <c r="M92" s="2">
        <v>112.4359</v>
      </c>
      <c r="N92" s="2">
        <v>12</v>
      </c>
      <c r="O92" s="2">
        <v>111.1901</v>
      </c>
      <c r="P92" s="2">
        <v>27</v>
      </c>
      <c r="Q92" s="2">
        <v>102.55289999999999</v>
      </c>
      <c r="R92" s="2">
        <v>211</v>
      </c>
      <c r="S92" s="2">
        <v>104.0986</v>
      </c>
      <c r="T92" s="2">
        <v>242</v>
      </c>
      <c r="U92" s="2">
        <v>0.680894</v>
      </c>
      <c r="V92" s="2">
        <v>91</v>
      </c>
      <c r="W92" s="2">
        <v>2013</v>
      </c>
    </row>
    <row r="93" spans="1:23" ht="12.3" x14ac:dyDescent="0.4">
      <c r="A93" s="2" t="s">
        <v>112</v>
      </c>
      <c r="B93" s="2"/>
      <c r="C93" s="2"/>
      <c r="D93" s="2"/>
      <c r="E93" s="2"/>
      <c r="F93" s="2"/>
      <c r="G93" s="2"/>
      <c r="H93" s="2"/>
      <c r="I93" s="2"/>
      <c r="J93" s="2">
        <v>323</v>
      </c>
      <c r="K93" s="2">
        <v>61.953699999999998</v>
      </c>
      <c r="L93" s="2">
        <v>309</v>
      </c>
      <c r="M93" s="2">
        <v>93.447400000000002</v>
      </c>
      <c r="N93" s="2">
        <v>299</v>
      </c>
      <c r="O93" s="2">
        <v>98.359899999999996</v>
      </c>
      <c r="P93" s="2">
        <v>214</v>
      </c>
      <c r="Q93" s="2">
        <v>98.245099999999994</v>
      </c>
      <c r="R93" s="2">
        <v>121</v>
      </c>
      <c r="S93" s="2">
        <v>92.334400000000002</v>
      </c>
      <c r="T93" s="2">
        <v>29</v>
      </c>
      <c r="U93" s="2">
        <v>0.67414499999999999</v>
      </c>
      <c r="V93" s="2">
        <v>92</v>
      </c>
      <c r="W93" s="2">
        <v>2013</v>
      </c>
    </row>
    <row r="94" spans="1:23" ht="12.3" x14ac:dyDescent="0.4">
      <c r="A94" s="2" t="s">
        <v>67</v>
      </c>
      <c r="B94" s="2"/>
      <c r="C94" s="2"/>
      <c r="D94" s="2"/>
      <c r="E94" s="2"/>
      <c r="F94" s="2"/>
      <c r="G94" s="2"/>
      <c r="H94" s="2"/>
      <c r="I94" s="2"/>
      <c r="J94" s="2">
        <v>163</v>
      </c>
      <c r="K94" s="2">
        <v>65.700299999999999</v>
      </c>
      <c r="L94" s="2">
        <v>181</v>
      </c>
      <c r="M94" s="2">
        <v>96.035499999999999</v>
      </c>
      <c r="N94" s="2">
        <v>261</v>
      </c>
      <c r="O94" s="2">
        <v>101.4622</v>
      </c>
      <c r="P94" s="2">
        <v>157</v>
      </c>
      <c r="Q94" s="2">
        <v>95.554100000000005</v>
      </c>
      <c r="R94" s="2">
        <v>64</v>
      </c>
      <c r="S94" s="2">
        <v>95.278199999999998</v>
      </c>
      <c r="T94" s="2">
        <v>67</v>
      </c>
      <c r="U94" s="2">
        <v>0.67330800000000002</v>
      </c>
      <c r="V94" s="2">
        <v>93</v>
      </c>
      <c r="W94" s="2">
        <v>2013</v>
      </c>
    </row>
    <row r="95" spans="1:23" ht="12.3" x14ac:dyDescent="0.4">
      <c r="A95" s="2" t="s">
        <v>239</v>
      </c>
      <c r="B95" s="2"/>
      <c r="C95" s="2"/>
      <c r="D95" s="2"/>
      <c r="E95" s="2"/>
      <c r="F95" s="2"/>
      <c r="G95" s="2"/>
      <c r="H95" s="2"/>
      <c r="I95" s="2"/>
      <c r="J95" s="2">
        <v>307</v>
      </c>
      <c r="K95" s="2">
        <v>61.943100000000001</v>
      </c>
      <c r="L95" s="2">
        <v>311</v>
      </c>
      <c r="M95" s="2">
        <v>102.5714</v>
      </c>
      <c r="N95" s="2">
        <v>132</v>
      </c>
      <c r="O95" s="2">
        <v>105.9525</v>
      </c>
      <c r="P95" s="2">
        <v>75</v>
      </c>
      <c r="Q95" s="2">
        <v>100.0527</v>
      </c>
      <c r="R95" s="2">
        <v>156</v>
      </c>
      <c r="S95" s="2">
        <v>99.5822</v>
      </c>
      <c r="T95" s="2">
        <v>138</v>
      </c>
      <c r="U95" s="2">
        <v>0.67108400000000001</v>
      </c>
      <c r="V95" s="2">
        <v>94</v>
      </c>
      <c r="W95" s="2">
        <v>2013</v>
      </c>
    </row>
    <row r="96" spans="1:23" ht="12.3" x14ac:dyDescent="0.4">
      <c r="A96" s="2" t="s">
        <v>111</v>
      </c>
      <c r="B96" s="2"/>
      <c r="C96" s="2"/>
      <c r="D96" s="2"/>
      <c r="E96" s="2"/>
      <c r="F96" s="2"/>
      <c r="G96" s="2"/>
      <c r="H96" s="2"/>
      <c r="I96" s="2"/>
      <c r="J96" s="2">
        <v>325</v>
      </c>
      <c r="K96" s="2">
        <v>60.706600000000002</v>
      </c>
      <c r="L96" s="2">
        <v>334</v>
      </c>
      <c r="M96" s="2">
        <v>97.739400000000003</v>
      </c>
      <c r="N96" s="2">
        <v>233</v>
      </c>
      <c r="O96" s="2">
        <v>100.5838</v>
      </c>
      <c r="P96" s="2">
        <v>175</v>
      </c>
      <c r="Q96" s="2">
        <v>97.008899999999997</v>
      </c>
      <c r="R96" s="2">
        <v>86</v>
      </c>
      <c r="S96" s="2">
        <v>94.540099999999995</v>
      </c>
      <c r="T96" s="2">
        <v>50</v>
      </c>
      <c r="U96" s="2">
        <v>0.67098100000000005</v>
      </c>
      <c r="V96" s="2">
        <v>95</v>
      </c>
      <c r="W96" s="2">
        <v>2013</v>
      </c>
    </row>
    <row r="97" spans="1:23" ht="12.3" x14ac:dyDescent="0.4">
      <c r="A97" s="2" t="s">
        <v>93</v>
      </c>
      <c r="B97" s="2"/>
      <c r="C97" s="2"/>
      <c r="D97" s="2"/>
      <c r="E97" s="2"/>
      <c r="F97" s="2"/>
      <c r="G97" s="2"/>
      <c r="H97" s="2"/>
      <c r="I97" s="2"/>
      <c r="J97" s="2">
        <v>337</v>
      </c>
      <c r="K97" s="2">
        <v>60.654299999999999</v>
      </c>
      <c r="L97" s="2">
        <v>336</v>
      </c>
      <c r="M97" s="2">
        <v>98.7821</v>
      </c>
      <c r="N97" s="2">
        <v>209</v>
      </c>
      <c r="O97" s="2">
        <v>100.9029</v>
      </c>
      <c r="P97" s="2">
        <v>170</v>
      </c>
      <c r="Q97" s="2">
        <v>97.426699999999997</v>
      </c>
      <c r="R97" s="2">
        <v>97</v>
      </c>
      <c r="S97" s="2">
        <v>94.915899999999993</v>
      </c>
      <c r="T97" s="2">
        <v>58</v>
      </c>
      <c r="U97" s="2">
        <v>0.66894799999999999</v>
      </c>
      <c r="V97" s="2">
        <v>96</v>
      </c>
      <c r="W97" s="2">
        <v>2013</v>
      </c>
    </row>
    <row r="98" spans="1:23" ht="12.3" x14ac:dyDescent="0.4">
      <c r="A98" s="2" t="s">
        <v>255</v>
      </c>
      <c r="B98" s="2">
        <v>14</v>
      </c>
      <c r="C98" s="3" t="s">
        <v>33</v>
      </c>
      <c r="D98" s="2"/>
      <c r="E98" s="2"/>
      <c r="F98" s="2"/>
      <c r="G98" s="2"/>
      <c r="H98" s="2"/>
      <c r="I98" s="2">
        <v>63.860999999999997</v>
      </c>
      <c r="J98" s="2">
        <v>265</v>
      </c>
      <c r="K98" s="2">
        <v>64.396699999999996</v>
      </c>
      <c r="L98" s="2">
        <v>245</v>
      </c>
      <c r="M98" s="2">
        <v>106.62350000000001</v>
      </c>
      <c r="N98" s="2">
        <v>65</v>
      </c>
      <c r="O98" s="2">
        <v>106.119</v>
      </c>
      <c r="P98" s="2">
        <v>72</v>
      </c>
      <c r="Q98" s="2">
        <v>99.3506</v>
      </c>
      <c r="R98" s="2">
        <v>145</v>
      </c>
      <c r="S98" s="2">
        <v>99.987099999999998</v>
      </c>
      <c r="T98" s="2">
        <v>147</v>
      </c>
      <c r="U98" s="2">
        <v>0.66474</v>
      </c>
      <c r="V98" s="2">
        <v>97</v>
      </c>
      <c r="W98" s="2">
        <v>2013</v>
      </c>
    </row>
    <row r="99" spans="1:23" ht="12.3" x14ac:dyDescent="0.4">
      <c r="A99" s="2" t="s">
        <v>267</v>
      </c>
      <c r="B99" s="2"/>
      <c r="C99" s="2"/>
      <c r="D99" s="2"/>
      <c r="E99" s="2"/>
      <c r="F99" s="2"/>
      <c r="G99" s="2"/>
      <c r="H99" s="2"/>
      <c r="I99" s="2"/>
      <c r="J99" s="2">
        <v>195</v>
      </c>
      <c r="K99" s="2">
        <v>65.443299999999994</v>
      </c>
      <c r="L99" s="2">
        <v>190</v>
      </c>
      <c r="M99" s="2">
        <v>99.187600000000003</v>
      </c>
      <c r="N99" s="2">
        <v>195</v>
      </c>
      <c r="O99" s="2">
        <v>100.60339999999999</v>
      </c>
      <c r="P99" s="2">
        <v>174</v>
      </c>
      <c r="Q99" s="2">
        <v>98.872</v>
      </c>
      <c r="R99" s="2">
        <v>137</v>
      </c>
      <c r="S99" s="2">
        <v>94.802599999999998</v>
      </c>
      <c r="T99" s="2">
        <v>55</v>
      </c>
      <c r="U99" s="2">
        <v>0.66440200000000005</v>
      </c>
      <c r="V99" s="2">
        <v>98</v>
      </c>
      <c r="W99" s="2">
        <v>2013</v>
      </c>
    </row>
    <row r="100" spans="1:23" ht="12.3" x14ac:dyDescent="0.4">
      <c r="A100" s="2" t="s">
        <v>95</v>
      </c>
      <c r="B100" s="2"/>
      <c r="C100" s="2"/>
      <c r="D100" s="2"/>
      <c r="E100" s="2"/>
      <c r="F100" s="2"/>
      <c r="G100" s="2"/>
      <c r="H100" s="2"/>
      <c r="I100" s="2"/>
      <c r="J100" s="2">
        <v>252</v>
      </c>
      <c r="K100" s="2">
        <v>63.939300000000003</v>
      </c>
      <c r="L100" s="2">
        <v>262</v>
      </c>
      <c r="M100" s="2">
        <v>104.21510000000001</v>
      </c>
      <c r="N100" s="2">
        <v>100</v>
      </c>
      <c r="O100" s="2">
        <v>108.479</v>
      </c>
      <c r="P100" s="2">
        <v>47</v>
      </c>
      <c r="Q100" s="2">
        <v>106.0196</v>
      </c>
      <c r="R100" s="2">
        <v>287</v>
      </c>
      <c r="S100" s="2">
        <v>102.22790000000001</v>
      </c>
      <c r="T100" s="2">
        <v>198</v>
      </c>
      <c r="U100" s="2">
        <v>0.66430800000000001</v>
      </c>
      <c r="V100" s="2">
        <v>99</v>
      </c>
      <c r="W100" s="2">
        <v>2013</v>
      </c>
    </row>
    <row r="101" spans="1:23" ht="12.3" x14ac:dyDescent="0.4">
      <c r="A101" s="2" t="s">
        <v>85</v>
      </c>
      <c r="B101" s="2"/>
      <c r="C101" s="2"/>
      <c r="D101" s="2"/>
      <c r="E101" s="2"/>
      <c r="F101" s="2"/>
      <c r="G101" s="2"/>
      <c r="H101" s="2"/>
      <c r="I101" s="2"/>
      <c r="J101" s="2">
        <v>49</v>
      </c>
      <c r="K101" s="2">
        <v>68.602999999999994</v>
      </c>
      <c r="L101" s="2">
        <v>57</v>
      </c>
      <c r="M101" s="2">
        <v>100.8702</v>
      </c>
      <c r="N101" s="2">
        <v>170</v>
      </c>
      <c r="O101" s="2">
        <v>104.1802</v>
      </c>
      <c r="P101" s="2">
        <v>107</v>
      </c>
      <c r="Q101" s="2">
        <v>98.418000000000006</v>
      </c>
      <c r="R101" s="2">
        <v>127</v>
      </c>
      <c r="S101" s="2">
        <v>98.295299999999997</v>
      </c>
      <c r="T101" s="2">
        <v>114</v>
      </c>
      <c r="U101" s="2">
        <v>0.66120599999999996</v>
      </c>
      <c r="V101" s="2">
        <v>100</v>
      </c>
      <c r="W101" s="2">
        <v>2013</v>
      </c>
    </row>
    <row r="102" spans="1:23" ht="12.3" x14ac:dyDescent="0.4">
      <c r="A102" s="2" t="s">
        <v>326</v>
      </c>
      <c r="B102" s="2"/>
      <c r="C102" s="2"/>
      <c r="D102" s="2"/>
      <c r="E102" s="2"/>
      <c r="F102" s="2"/>
      <c r="G102" s="2"/>
      <c r="H102" s="2"/>
      <c r="I102" s="2"/>
      <c r="J102" s="2">
        <v>139</v>
      </c>
      <c r="K102" s="2">
        <v>66.894300000000001</v>
      </c>
      <c r="L102" s="2">
        <v>125</v>
      </c>
      <c r="M102" s="2">
        <v>109.5599</v>
      </c>
      <c r="N102" s="2">
        <v>26</v>
      </c>
      <c r="O102" s="2">
        <v>105.4246</v>
      </c>
      <c r="P102" s="2">
        <v>82</v>
      </c>
      <c r="Q102" s="2">
        <v>98.581199999999995</v>
      </c>
      <c r="R102" s="2">
        <v>131</v>
      </c>
      <c r="S102" s="2">
        <v>99.896799999999999</v>
      </c>
      <c r="T102" s="2">
        <v>145</v>
      </c>
      <c r="U102" s="2">
        <v>0.65007700000000002</v>
      </c>
      <c r="V102" s="2">
        <v>101</v>
      </c>
      <c r="W102" s="2">
        <v>2013</v>
      </c>
    </row>
    <row r="103" spans="1:23" ht="12.3" x14ac:dyDescent="0.4">
      <c r="A103" s="2" t="s">
        <v>149</v>
      </c>
      <c r="B103" s="2"/>
      <c r="C103" s="2"/>
      <c r="D103" s="2"/>
      <c r="E103" s="2"/>
      <c r="F103" s="2"/>
      <c r="G103" s="2"/>
      <c r="H103" s="2"/>
      <c r="I103" s="2"/>
      <c r="J103" s="2">
        <v>71</v>
      </c>
      <c r="K103" s="2">
        <v>68.506399999999999</v>
      </c>
      <c r="L103" s="2">
        <v>59</v>
      </c>
      <c r="M103" s="2">
        <v>104.4816</v>
      </c>
      <c r="N103" s="2">
        <v>96</v>
      </c>
      <c r="O103" s="2">
        <v>106.90730000000001</v>
      </c>
      <c r="P103" s="2">
        <v>64</v>
      </c>
      <c r="Q103" s="2">
        <v>102.0911</v>
      </c>
      <c r="R103" s="2">
        <v>199</v>
      </c>
      <c r="S103" s="2">
        <v>101.3173</v>
      </c>
      <c r="T103" s="2">
        <v>177</v>
      </c>
      <c r="U103" s="2">
        <v>0.649675</v>
      </c>
      <c r="V103" s="2">
        <v>102</v>
      </c>
      <c r="W103" s="2">
        <v>2013</v>
      </c>
    </row>
    <row r="104" spans="1:23" ht="12.3" x14ac:dyDescent="0.4">
      <c r="A104" s="2" t="s">
        <v>248</v>
      </c>
      <c r="B104" s="2"/>
      <c r="C104" s="2"/>
      <c r="D104" s="2"/>
      <c r="E104" s="2"/>
      <c r="F104" s="2"/>
      <c r="G104" s="2"/>
      <c r="H104" s="2"/>
      <c r="I104" s="2"/>
      <c r="J104" s="2">
        <v>320</v>
      </c>
      <c r="K104" s="2">
        <v>61.2956</v>
      </c>
      <c r="L104" s="2">
        <v>321</v>
      </c>
      <c r="M104" s="2">
        <v>101.1397</v>
      </c>
      <c r="N104" s="2">
        <v>166</v>
      </c>
      <c r="O104" s="2">
        <v>102.10209999999999</v>
      </c>
      <c r="P104" s="2">
        <v>146</v>
      </c>
      <c r="Q104" s="2">
        <v>98.431100000000001</v>
      </c>
      <c r="R104" s="2">
        <v>128</v>
      </c>
      <c r="S104" s="2">
        <v>96.961399999999998</v>
      </c>
      <c r="T104" s="2">
        <v>92</v>
      </c>
      <c r="U104" s="2">
        <v>0.64430399999999999</v>
      </c>
      <c r="V104" s="2">
        <v>103</v>
      </c>
      <c r="W104" s="2">
        <v>2013</v>
      </c>
    </row>
    <row r="105" spans="1:23" ht="12.3" x14ac:dyDescent="0.4">
      <c r="A105" s="2" t="s">
        <v>19</v>
      </c>
      <c r="B105" s="2"/>
      <c r="C105" s="2"/>
      <c r="D105" s="2"/>
      <c r="E105" s="2"/>
      <c r="F105" s="2"/>
      <c r="G105" s="2"/>
      <c r="H105" s="2"/>
      <c r="I105" s="2"/>
      <c r="J105" s="2">
        <v>304</v>
      </c>
      <c r="K105" s="2">
        <v>62.2699</v>
      </c>
      <c r="L105" s="2">
        <v>304</v>
      </c>
      <c r="M105" s="2">
        <v>96.071299999999994</v>
      </c>
      <c r="N105" s="2">
        <v>259</v>
      </c>
      <c r="O105" s="2">
        <v>100.52679999999999</v>
      </c>
      <c r="P105" s="2">
        <v>177</v>
      </c>
      <c r="Q105" s="2">
        <v>97.416499999999999</v>
      </c>
      <c r="R105" s="2">
        <v>96</v>
      </c>
      <c r="S105" s="2">
        <v>95.465999999999994</v>
      </c>
      <c r="T105" s="2">
        <v>70</v>
      </c>
      <c r="U105" s="2">
        <v>0.64428700000000005</v>
      </c>
      <c r="V105" s="2">
        <v>104</v>
      </c>
      <c r="W105" s="2">
        <v>2013</v>
      </c>
    </row>
    <row r="106" spans="1:23" ht="12.3" x14ac:dyDescent="0.4">
      <c r="A106" s="2" t="s">
        <v>92</v>
      </c>
      <c r="B106" s="2"/>
      <c r="C106" s="2"/>
      <c r="D106" s="2"/>
      <c r="E106" s="2"/>
      <c r="F106" s="2"/>
      <c r="G106" s="2"/>
      <c r="H106" s="2"/>
      <c r="I106" s="2"/>
      <c r="J106" s="2">
        <v>160</v>
      </c>
      <c r="K106" s="2">
        <v>66.6755</v>
      </c>
      <c r="L106" s="2">
        <v>132</v>
      </c>
      <c r="M106" s="2">
        <v>96.855400000000003</v>
      </c>
      <c r="N106" s="2">
        <v>244</v>
      </c>
      <c r="O106" s="2">
        <v>98.279300000000006</v>
      </c>
      <c r="P106" s="2">
        <v>220</v>
      </c>
      <c r="Q106" s="2">
        <v>93.697599999999994</v>
      </c>
      <c r="R106" s="2">
        <v>40</v>
      </c>
      <c r="S106" s="2">
        <v>93.432100000000005</v>
      </c>
      <c r="T106" s="2">
        <v>38</v>
      </c>
      <c r="U106" s="2">
        <v>0.64144900000000005</v>
      </c>
      <c r="V106" s="2">
        <v>105</v>
      </c>
      <c r="W106" s="2">
        <v>2013</v>
      </c>
    </row>
    <row r="107" spans="1:23" ht="12.3" x14ac:dyDescent="0.4">
      <c r="A107" s="2" t="s">
        <v>102</v>
      </c>
      <c r="B107" s="2"/>
      <c r="C107" s="2"/>
      <c r="D107" s="2"/>
      <c r="E107" s="2"/>
      <c r="F107" s="2"/>
      <c r="G107" s="2"/>
      <c r="H107" s="2"/>
      <c r="I107" s="2"/>
      <c r="J107" s="2">
        <v>96</v>
      </c>
      <c r="K107" s="2">
        <v>67.703199999999995</v>
      </c>
      <c r="L107" s="2">
        <v>90</v>
      </c>
      <c r="M107" s="2">
        <v>95.375100000000003</v>
      </c>
      <c r="N107" s="2">
        <v>270</v>
      </c>
      <c r="O107" s="2">
        <v>97.1113</v>
      </c>
      <c r="P107" s="2">
        <v>242</v>
      </c>
      <c r="Q107" s="2">
        <v>96.771699999999996</v>
      </c>
      <c r="R107" s="2">
        <v>83</v>
      </c>
      <c r="S107" s="2">
        <v>92.484800000000007</v>
      </c>
      <c r="T107" s="2">
        <v>30</v>
      </c>
      <c r="U107" s="2">
        <v>0.63676500000000003</v>
      </c>
      <c r="V107" s="2">
        <v>106</v>
      </c>
      <c r="W107" s="2">
        <v>2013</v>
      </c>
    </row>
    <row r="108" spans="1:23" ht="12.3" x14ac:dyDescent="0.4">
      <c r="A108" s="2" t="s">
        <v>42</v>
      </c>
      <c r="B108" s="2"/>
      <c r="C108" s="2"/>
      <c r="D108" s="2"/>
      <c r="E108" s="2"/>
      <c r="F108" s="2"/>
      <c r="G108" s="2"/>
      <c r="H108" s="2"/>
      <c r="I108" s="2"/>
      <c r="J108" s="2">
        <v>121</v>
      </c>
      <c r="K108" s="2">
        <v>67.534800000000004</v>
      </c>
      <c r="L108" s="2">
        <v>98</v>
      </c>
      <c r="M108" s="2">
        <v>96.456000000000003</v>
      </c>
      <c r="N108" s="2">
        <v>252</v>
      </c>
      <c r="O108" s="2">
        <v>100.7123</v>
      </c>
      <c r="P108" s="2">
        <v>173</v>
      </c>
      <c r="Q108" s="2">
        <v>99.084000000000003</v>
      </c>
      <c r="R108" s="2">
        <v>141</v>
      </c>
      <c r="S108" s="2">
        <v>95.917400000000001</v>
      </c>
      <c r="T108" s="2">
        <v>76</v>
      </c>
      <c r="U108" s="2">
        <v>0.63667899999999999</v>
      </c>
      <c r="V108" s="2">
        <v>107</v>
      </c>
      <c r="W108" s="2">
        <v>2013</v>
      </c>
    </row>
    <row r="109" spans="1:23" ht="12.3" x14ac:dyDescent="0.4">
      <c r="A109" s="2" t="s">
        <v>53</v>
      </c>
      <c r="B109" s="2"/>
      <c r="C109" s="2"/>
      <c r="D109" s="2"/>
      <c r="E109" s="2"/>
      <c r="F109" s="2"/>
      <c r="G109" s="2"/>
      <c r="H109" s="2"/>
      <c r="I109" s="2"/>
      <c r="J109" s="2">
        <v>185</v>
      </c>
      <c r="K109" s="2">
        <v>66.585899999999995</v>
      </c>
      <c r="L109" s="2">
        <v>139</v>
      </c>
      <c r="M109" s="2">
        <v>106.4845</v>
      </c>
      <c r="N109" s="2">
        <v>68</v>
      </c>
      <c r="O109" s="2">
        <v>105.852</v>
      </c>
      <c r="P109" s="2">
        <v>76</v>
      </c>
      <c r="Q109" s="2">
        <v>100.44880000000001</v>
      </c>
      <c r="R109" s="2">
        <v>166</v>
      </c>
      <c r="S109" s="2">
        <v>100.9258</v>
      </c>
      <c r="T109" s="2">
        <v>168</v>
      </c>
      <c r="U109" s="2">
        <v>0.633683</v>
      </c>
      <c r="V109" s="2">
        <v>108</v>
      </c>
      <c r="W109" s="2">
        <v>2013</v>
      </c>
    </row>
    <row r="110" spans="1:23" ht="12.3" x14ac:dyDescent="0.4">
      <c r="A110" s="2" t="s">
        <v>123</v>
      </c>
      <c r="B110" s="2"/>
      <c r="C110" s="2"/>
      <c r="D110" s="2"/>
      <c r="E110" s="2"/>
      <c r="F110" s="2"/>
      <c r="G110" s="2"/>
      <c r="H110" s="2"/>
      <c r="I110" s="2"/>
      <c r="J110" s="2">
        <v>230</v>
      </c>
      <c r="K110" s="2">
        <v>64.104299999999995</v>
      </c>
      <c r="L110" s="2">
        <v>260</v>
      </c>
      <c r="M110" s="2">
        <v>101.2439</v>
      </c>
      <c r="N110" s="2">
        <v>164</v>
      </c>
      <c r="O110" s="2">
        <v>105.06959999999999</v>
      </c>
      <c r="P110" s="2">
        <v>91</v>
      </c>
      <c r="Q110" s="2">
        <v>102.6862</v>
      </c>
      <c r="R110" s="2">
        <v>214</v>
      </c>
      <c r="S110" s="2">
        <v>100.19070000000001</v>
      </c>
      <c r="T110" s="2">
        <v>152</v>
      </c>
      <c r="U110" s="2">
        <v>0.63339299999999998</v>
      </c>
      <c r="V110" s="2">
        <v>109</v>
      </c>
      <c r="W110" s="2">
        <v>2013</v>
      </c>
    </row>
    <row r="111" spans="1:23" ht="12.3" x14ac:dyDescent="0.4">
      <c r="A111" s="2" t="s">
        <v>98</v>
      </c>
      <c r="B111" s="2"/>
      <c r="C111" s="2"/>
      <c r="D111" s="2"/>
      <c r="E111" s="2"/>
      <c r="F111" s="2"/>
      <c r="G111" s="2"/>
      <c r="H111" s="2"/>
      <c r="I111" s="2"/>
      <c r="J111" s="2">
        <v>310</v>
      </c>
      <c r="K111" s="2">
        <v>62.043999999999997</v>
      </c>
      <c r="L111" s="2">
        <v>307</v>
      </c>
      <c r="M111" s="2">
        <v>108.6367</v>
      </c>
      <c r="N111" s="2">
        <v>30</v>
      </c>
      <c r="O111" s="2">
        <v>107.241</v>
      </c>
      <c r="P111" s="2">
        <v>60</v>
      </c>
      <c r="Q111" s="2">
        <v>101.626</v>
      </c>
      <c r="R111" s="2">
        <v>188</v>
      </c>
      <c r="S111" s="2">
        <v>102.49209999999999</v>
      </c>
      <c r="T111" s="2">
        <v>204</v>
      </c>
      <c r="U111" s="2">
        <v>0.62735200000000002</v>
      </c>
      <c r="V111" s="2">
        <v>110</v>
      </c>
      <c r="W111" s="2">
        <v>2013</v>
      </c>
    </row>
    <row r="112" spans="1:23" ht="12.3" x14ac:dyDescent="0.4">
      <c r="A112" s="2" t="s">
        <v>126</v>
      </c>
      <c r="B112" s="2">
        <v>15</v>
      </c>
      <c r="C112" s="2"/>
      <c r="D112" s="2"/>
      <c r="E112" s="2"/>
      <c r="F112" s="2"/>
      <c r="G112" s="2"/>
      <c r="H112" s="2"/>
      <c r="I112" s="2">
        <v>63.195399999999999</v>
      </c>
      <c r="J112" s="2">
        <v>287</v>
      </c>
      <c r="K112" s="2">
        <v>63.2361</v>
      </c>
      <c r="L112" s="2">
        <v>283</v>
      </c>
      <c r="M112" s="2">
        <v>105.76949999999999</v>
      </c>
      <c r="N112" s="2">
        <v>78</v>
      </c>
      <c r="O112" s="2">
        <v>104.839</v>
      </c>
      <c r="P112" s="2">
        <v>96</v>
      </c>
      <c r="Q112" s="2">
        <v>102.67189999999999</v>
      </c>
      <c r="R112" s="2">
        <v>213</v>
      </c>
      <c r="S112" s="2">
        <v>100.2427</v>
      </c>
      <c r="T112" s="2">
        <v>154</v>
      </c>
      <c r="U112" s="2">
        <v>0.62610900000000003</v>
      </c>
      <c r="V112" s="2">
        <v>111</v>
      </c>
      <c r="W112" s="2">
        <v>2013</v>
      </c>
    </row>
    <row r="113" spans="1:23" ht="12.3" x14ac:dyDescent="0.4">
      <c r="A113" s="2" t="s">
        <v>324</v>
      </c>
      <c r="B113" s="2"/>
      <c r="C113" s="2"/>
      <c r="D113" s="2"/>
      <c r="E113" s="2"/>
      <c r="F113" s="2"/>
      <c r="G113" s="2"/>
      <c r="H113" s="2"/>
      <c r="I113" s="2"/>
      <c r="J113" s="2">
        <v>220</v>
      </c>
      <c r="K113" s="2">
        <v>64.736699999999999</v>
      </c>
      <c r="L113" s="2">
        <v>226</v>
      </c>
      <c r="M113" s="2">
        <v>111.6523</v>
      </c>
      <c r="N113" s="2">
        <v>17</v>
      </c>
      <c r="O113" s="2">
        <v>108.7175</v>
      </c>
      <c r="P113" s="2">
        <v>46</v>
      </c>
      <c r="Q113" s="2">
        <v>101.7497</v>
      </c>
      <c r="R113" s="2">
        <v>193</v>
      </c>
      <c r="S113" s="2">
        <v>103.9532</v>
      </c>
      <c r="T113" s="2">
        <v>240</v>
      </c>
      <c r="U113" s="2">
        <v>0.62605500000000003</v>
      </c>
      <c r="V113" s="2">
        <v>112</v>
      </c>
      <c r="W113" s="2">
        <v>2013</v>
      </c>
    </row>
    <row r="114" spans="1:23" ht="12.3" x14ac:dyDescent="0.4">
      <c r="A114" s="2" t="s">
        <v>340</v>
      </c>
      <c r="B114" s="2"/>
      <c r="C114" s="2"/>
      <c r="D114" s="2"/>
      <c r="E114" s="2"/>
      <c r="F114" s="2"/>
      <c r="G114" s="2"/>
      <c r="H114" s="2"/>
      <c r="I114" s="2"/>
      <c r="J114" s="2">
        <v>269</v>
      </c>
      <c r="K114" s="2">
        <v>63.862299999999998</v>
      </c>
      <c r="L114" s="2">
        <v>263</v>
      </c>
      <c r="M114" s="2">
        <v>103.41240000000001</v>
      </c>
      <c r="N114" s="2">
        <v>117</v>
      </c>
      <c r="O114" s="2">
        <v>103.854</v>
      </c>
      <c r="P114" s="2">
        <v>115</v>
      </c>
      <c r="Q114" s="2">
        <v>97.603999999999999</v>
      </c>
      <c r="R114" s="2">
        <v>102</v>
      </c>
      <c r="S114" s="2">
        <v>99.333100000000002</v>
      </c>
      <c r="T114" s="2">
        <v>135</v>
      </c>
      <c r="U114" s="2">
        <v>0.62523799999999996</v>
      </c>
      <c r="V114" s="2">
        <v>113</v>
      </c>
      <c r="W114" s="2">
        <v>2013</v>
      </c>
    </row>
    <row r="115" spans="1:23" ht="12.3" x14ac:dyDescent="0.4">
      <c r="A115" s="2" t="s">
        <v>219</v>
      </c>
      <c r="B115" s="2"/>
      <c r="C115" s="2"/>
      <c r="D115" s="2"/>
      <c r="E115" s="2"/>
      <c r="F115" s="2"/>
      <c r="G115" s="2"/>
      <c r="H115" s="2"/>
      <c r="I115" s="2"/>
      <c r="J115" s="2">
        <v>319</v>
      </c>
      <c r="K115" s="2">
        <v>61.234000000000002</v>
      </c>
      <c r="L115" s="2">
        <v>323</v>
      </c>
      <c r="M115" s="2">
        <v>101.67400000000001</v>
      </c>
      <c r="N115" s="2">
        <v>156</v>
      </c>
      <c r="O115" s="2">
        <v>101.59569999999999</v>
      </c>
      <c r="P115" s="2">
        <v>152</v>
      </c>
      <c r="Q115" s="2">
        <v>98.316800000000001</v>
      </c>
      <c r="R115" s="2">
        <v>122</v>
      </c>
      <c r="S115" s="2">
        <v>97.379000000000005</v>
      </c>
      <c r="T115" s="2">
        <v>103</v>
      </c>
      <c r="U115" s="2">
        <v>0.61951500000000004</v>
      </c>
      <c r="V115" s="2">
        <v>114</v>
      </c>
      <c r="W115" s="2">
        <v>2013</v>
      </c>
    </row>
    <row r="116" spans="1:23" ht="12.3" x14ac:dyDescent="0.4">
      <c r="A116" s="2" t="s">
        <v>236</v>
      </c>
      <c r="B116" s="2"/>
      <c r="C116" s="2"/>
      <c r="D116" s="2"/>
      <c r="E116" s="2"/>
      <c r="F116" s="2"/>
      <c r="G116" s="2"/>
      <c r="H116" s="2"/>
      <c r="I116" s="2"/>
      <c r="J116" s="2">
        <v>273</v>
      </c>
      <c r="K116" s="2">
        <v>63.390300000000003</v>
      </c>
      <c r="L116" s="2">
        <v>277</v>
      </c>
      <c r="M116" s="2">
        <v>102.5095</v>
      </c>
      <c r="N116" s="2">
        <v>134</v>
      </c>
      <c r="O116" s="2">
        <v>102.83540000000001</v>
      </c>
      <c r="P116" s="2">
        <v>135</v>
      </c>
      <c r="Q116" s="2">
        <v>98.989500000000007</v>
      </c>
      <c r="R116" s="2">
        <v>140</v>
      </c>
      <c r="S116" s="2">
        <v>98.687399999999997</v>
      </c>
      <c r="T116" s="2">
        <v>123</v>
      </c>
      <c r="U116" s="2">
        <v>0.61620600000000003</v>
      </c>
      <c r="V116" s="2">
        <v>115</v>
      </c>
      <c r="W116" s="2">
        <v>2013</v>
      </c>
    </row>
    <row r="117" spans="1:23" ht="12.3" x14ac:dyDescent="0.4">
      <c r="A117" s="2" t="s">
        <v>232</v>
      </c>
      <c r="B117" s="2"/>
      <c r="C117" s="2"/>
      <c r="D117" s="2"/>
      <c r="E117" s="2"/>
      <c r="F117" s="2"/>
      <c r="G117" s="2"/>
      <c r="H117" s="2"/>
      <c r="I117" s="2"/>
      <c r="J117" s="2">
        <v>85</v>
      </c>
      <c r="K117" s="2">
        <v>67.917400000000001</v>
      </c>
      <c r="L117" s="2">
        <v>80</v>
      </c>
      <c r="M117" s="2">
        <v>96.997100000000003</v>
      </c>
      <c r="N117" s="2">
        <v>242</v>
      </c>
      <c r="O117" s="2">
        <v>98.294799999999995</v>
      </c>
      <c r="P117" s="2">
        <v>219</v>
      </c>
      <c r="Q117" s="2">
        <v>96.009799999999998</v>
      </c>
      <c r="R117" s="2">
        <v>70</v>
      </c>
      <c r="S117" s="2">
        <v>94.454700000000003</v>
      </c>
      <c r="T117" s="2">
        <v>48</v>
      </c>
      <c r="U117" s="2">
        <v>0.61260599999999998</v>
      </c>
      <c r="V117" s="2">
        <v>116</v>
      </c>
      <c r="W117" s="2">
        <v>2013</v>
      </c>
    </row>
    <row r="118" spans="1:23" ht="12.3" x14ac:dyDescent="0.4">
      <c r="A118" s="2" t="s">
        <v>283</v>
      </c>
      <c r="B118" s="2"/>
      <c r="C118" s="2"/>
      <c r="D118" s="2"/>
      <c r="E118" s="2"/>
      <c r="F118" s="2"/>
      <c r="G118" s="2"/>
      <c r="H118" s="2"/>
      <c r="I118" s="2"/>
      <c r="J118" s="2">
        <v>142</v>
      </c>
      <c r="K118" s="2">
        <v>66.042299999999997</v>
      </c>
      <c r="L118" s="2">
        <v>165</v>
      </c>
      <c r="M118" s="2">
        <v>108.9228</v>
      </c>
      <c r="N118" s="2">
        <v>29</v>
      </c>
      <c r="O118" s="2">
        <v>108.81910000000001</v>
      </c>
      <c r="P118" s="2">
        <v>44</v>
      </c>
      <c r="Q118" s="2">
        <v>104.2068</v>
      </c>
      <c r="R118" s="2">
        <v>249</v>
      </c>
      <c r="S118" s="2">
        <v>104.60120000000001</v>
      </c>
      <c r="T118" s="2">
        <v>252</v>
      </c>
      <c r="U118" s="2">
        <v>0.61173599999999995</v>
      </c>
      <c r="V118" s="2">
        <v>117</v>
      </c>
      <c r="W118" s="2">
        <v>2013</v>
      </c>
    </row>
    <row r="119" spans="1:23" ht="12.3" x14ac:dyDescent="0.4">
      <c r="A119" s="2" t="s">
        <v>70</v>
      </c>
      <c r="B119" s="2"/>
      <c r="C119" s="2"/>
      <c r="D119" s="2"/>
      <c r="E119" s="2"/>
      <c r="F119" s="2"/>
      <c r="G119" s="2"/>
      <c r="H119" s="2"/>
      <c r="I119" s="2"/>
      <c r="J119" s="2">
        <v>293</v>
      </c>
      <c r="K119" s="2">
        <v>62.291899999999998</v>
      </c>
      <c r="L119" s="2">
        <v>303</v>
      </c>
      <c r="M119" s="2">
        <v>98.823800000000006</v>
      </c>
      <c r="N119" s="2">
        <v>207</v>
      </c>
      <c r="O119" s="2">
        <v>102.88249999999999</v>
      </c>
      <c r="P119" s="2">
        <v>133</v>
      </c>
      <c r="Q119" s="2">
        <v>101.3824</v>
      </c>
      <c r="R119" s="2">
        <v>182</v>
      </c>
      <c r="S119" s="2">
        <v>99.061400000000006</v>
      </c>
      <c r="T119" s="2">
        <v>131</v>
      </c>
      <c r="U119" s="2">
        <v>0.60712699999999997</v>
      </c>
      <c r="V119" s="2">
        <v>118</v>
      </c>
      <c r="W119" s="2">
        <v>2013</v>
      </c>
    </row>
    <row r="120" spans="1:23" ht="12.3" x14ac:dyDescent="0.4">
      <c r="A120" s="2" t="s">
        <v>171</v>
      </c>
      <c r="B120" s="2"/>
      <c r="C120" s="2"/>
      <c r="D120" s="2"/>
      <c r="E120" s="2"/>
      <c r="F120" s="2"/>
      <c r="G120" s="2"/>
      <c r="H120" s="2"/>
      <c r="I120" s="2"/>
      <c r="J120" s="2">
        <v>295</v>
      </c>
      <c r="K120" s="2">
        <v>63.0289</v>
      </c>
      <c r="L120" s="2">
        <v>289</v>
      </c>
      <c r="M120" s="2">
        <v>97.319100000000006</v>
      </c>
      <c r="N120" s="2">
        <v>238</v>
      </c>
      <c r="O120" s="2">
        <v>95.136399999999995</v>
      </c>
      <c r="P120" s="2">
        <v>279</v>
      </c>
      <c r="Q120" s="2">
        <v>92.026899999999998</v>
      </c>
      <c r="R120" s="2">
        <v>26</v>
      </c>
      <c r="S120" s="2">
        <v>91.622</v>
      </c>
      <c r="T120" s="2">
        <v>24</v>
      </c>
      <c r="U120" s="2">
        <v>0.60655700000000001</v>
      </c>
      <c r="V120" s="2">
        <v>119</v>
      </c>
      <c r="W120" s="2">
        <v>2013</v>
      </c>
    </row>
    <row r="121" spans="1:23" ht="12.3" x14ac:dyDescent="0.4">
      <c r="A121" s="2" t="s">
        <v>20</v>
      </c>
      <c r="B121" s="2"/>
      <c r="C121" s="2"/>
      <c r="D121" s="2"/>
      <c r="E121" s="2"/>
      <c r="F121" s="2"/>
      <c r="G121" s="2"/>
      <c r="H121" s="2"/>
      <c r="I121" s="2"/>
      <c r="J121" s="2">
        <v>150</v>
      </c>
      <c r="K121" s="2">
        <v>65.317599999999999</v>
      </c>
      <c r="L121" s="2">
        <v>197</v>
      </c>
      <c r="M121" s="2">
        <v>100.64279999999999</v>
      </c>
      <c r="N121" s="2">
        <v>174</v>
      </c>
      <c r="O121" s="2">
        <v>105.1444</v>
      </c>
      <c r="P121" s="2">
        <v>88</v>
      </c>
      <c r="Q121" s="2">
        <v>103.56570000000001</v>
      </c>
      <c r="R121" s="2">
        <v>231</v>
      </c>
      <c r="S121" s="2">
        <v>101.30070000000001</v>
      </c>
      <c r="T121" s="2">
        <v>176</v>
      </c>
      <c r="U121" s="2">
        <v>0.60546199999999994</v>
      </c>
      <c r="V121" s="2">
        <v>120</v>
      </c>
      <c r="W121" s="2">
        <v>2013</v>
      </c>
    </row>
    <row r="122" spans="1:23" ht="12.3" x14ac:dyDescent="0.4">
      <c r="A122" s="2" t="s">
        <v>205</v>
      </c>
      <c r="B122" s="2"/>
      <c r="C122" s="2"/>
      <c r="D122" s="2"/>
      <c r="E122" s="2"/>
      <c r="F122" s="2"/>
      <c r="G122" s="2"/>
      <c r="H122" s="2"/>
      <c r="I122" s="2"/>
      <c r="J122" s="2">
        <v>78</v>
      </c>
      <c r="K122" s="2">
        <v>68.509699999999995</v>
      </c>
      <c r="L122" s="2">
        <v>58</v>
      </c>
      <c r="M122" s="2">
        <v>102.9721</v>
      </c>
      <c r="N122" s="2">
        <v>125</v>
      </c>
      <c r="O122" s="2">
        <v>105.20480000000001</v>
      </c>
      <c r="P122" s="2">
        <v>86</v>
      </c>
      <c r="Q122" s="2">
        <v>105.32340000000001</v>
      </c>
      <c r="R122" s="2">
        <v>273</v>
      </c>
      <c r="S122" s="2">
        <v>101.5549</v>
      </c>
      <c r="T122" s="2">
        <v>183</v>
      </c>
      <c r="U122" s="2">
        <v>0.60014400000000001</v>
      </c>
      <c r="V122" s="2">
        <v>121</v>
      </c>
      <c r="W122" s="2">
        <v>2013</v>
      </c>
    </row>
    <row r="123" spans="1:23" ht="12.3" x14ac:dyDescent="0.4">
      <c r="A123" s="2" t="s">
        <v>119</v>
      </c>
      <c r="B123" s="2"/>
      <c r="C123" s="2"/>
      <c r="D123" s="2"/>
      <c r="E123" s="2"/>
      <c r="F123" s="2"/>
      <c r="G123" s="2"/>
      <c r="H123" s="2"/>
      <c r="I123" s="2"/>
      <c r="J123" s="2">
        <v>217</v>
      </c>
      <c r="K123" s="2">
        <v>64.602699999999999</v>
      </c>
      <c r="L123" s="2">
        <v>232</v>
      </c>
      <c r="M123" s="2">
        <v>98.776700000000005</v>
      </c>
      <c r="N123" s="2">
        <v>211</v>
      </c>
      <c r="O123" s="2">
        <v>101.1675</v>
      </c>
      <c r="P123" s="2">
        <v>164</v>
      </c>
      <c r="Q123" s="2">
        <v>99.8596</v>
      </c>
      <c r="R123" s="2">
        <v>153</v>
      </c>
      <c r="S123" s="2">
        <v>97.828100000000006</v>
      </c>
      <c r="T123" s="2">
        <v>109</v>
      </c>
      <c r="U123" s="2">
        <v>0.59531999999999996</v>
      </c>
      <c r="V123" s="2">
        <v>122</v>
      </c>
      <c r="W123" s="2">
        <v>2013</v>
      </c>
    </row>
    <row r="124" spans="1:23" ht="12.3" x14ac:dyDescent="0.4">
      <c r="A124" s="2" t="s">
        <v>106</v>
      </c>
      <c r="B124" s="2"/>
      <c r="C124" s="2"/>
      <c r="D124" s="2"/>
      <c r="E124" s="2"/>
      <c r="F124" s="2"/>
      <c r="G124" s="2"/>
      <c r="H124" s="2"/>
      <c r="I124" s="2"/>
      <c r="J124" s="2">
        <v>112</v>
      </c>
      <c r="K124" s="2">
        <v>66.64</v>
      </c>
      <c r="L124" s="2">
        <v>134</v>
      </c>
      <c r="M124" s="2">
        <v>107.4195</v>
      </c>
      <c r="N124" s="2">
        <v>48</v>
      </c>
      <c r="O124" s="2">
        <v>107.7805</v>
      </c>
      <c r="P124" s="2">
        <v>53</v>
      </c>
      <c r="Q124" s="2">
        <v>106.1951</v>
      </c>
      <c r="R124" s="2">
        <v>290</v>
      </c>
      <c r="S124" s="2">
        <v>104.2371</v>
      </c>
      <c r="T124" s="2">
        <v>245</v>
      </c>
      <c r="U124" s="2">
        <v>0.59494199999999997</v>
      </c>
      <c r="V124" s="2">
        <v>123</v>
      </c>
      <c r="W124" s="2">
        <v>2013</v>
      </c>
    </row>
    <row r="125" spans="1:23" ht="12.3" x14ac:dyDescent="0.4">
      <c r="A125" s="2" t="s">
        <v>24</v>
      </c>
      <c r="B125" s="2"/>
      <c r="C125" s="2"/>
      <c r="D125" s="2"/>
      <c r="E125" s="2"/>
      <c r="F125" s="2"/>
      <c r="G125" s="2"/>
      <c r="H125" s="2"/>
      <c r="I125" s="2"/>
      <c r="J125" s="2">
        <v>309</v>
      </c>
      <c r="K125" s="2">
        <v>62.526400000000002</v>
      </c>
      <c r="L125" s="2">
        <v>297</v>
      </c>
      <c r="M125" s="2">
        <v>98.839500000000001</v>
      </c>
      <c r="N125" s="2">
        <v>205</v>
      </c>
      <c r="O125" s="2">
        <v>98.051900000000003</v>
      </c>
      <c r="P125" s="2">
        <v>224</v>
      </c>
      <c r="Q125" s="2">
        <v>96.602800000000002</v>
      </c>
      <c r="R125" s="2">
        <v>81</v>
      </c>
      <c r="S125" s="2">
        <v>94.9452</v>
      </c>
      <c r="T125" s="2">
        <v>60</v>
      </c>
      <c r="U125" s="2">
        <v>0.59152300000000002</v>
      </c>
      <c r="V125" s="2">
        <v>124</v>
      </c>
      <c r="W125" s="2">
        <v>2013</v>
      </c>
    </row>
    <row r="126" spans="1:23" ht="12.3" x14ac:dyDescent="0.4">
      <c r="A126" s="2" t="s">
        <v>220</v>
      </c>
      <c r="B126" s="2"/>
      <c r="C126" s="2"/>
      <c r="D126" s="2"/>
      <c r="E126" s="2"/>
      <c r="F126" s="2"/>
      <c r="G126" s="2"/>
      <c r="H126" s="2"/>
      <c r="I126" s="2"/>
      <c r="J126" s="2">
        <v>318</v>
      </c>
      <c r="K126" s="2">
        <v>61.742400000000004</v>
      </c>
      <c r="L126" s="2">
        <v>317</v>
      </c>
      <c r="M126" s="2">
        <v>102.4038</v>
      </c>
      <c r="N126" s="2">
        <v>138</v>
      </c>
      <c r="O126" s="2">
        <v>101.6511</v>
      </c>
      <c r="P126" s="2">
        <v>151</v>
      </c>
      <c r="Q126" s="2">
        <v>94.697699999999998</v>
      </c>
      <c r="R126" s="2">
        <v>52</v>
      </c>
      <c r="S126" s="2">
        <v>98.466300000000004</v>
      </c>
      <c r="T126" s="2">
        <v>117</v>
      </c>
      <c r="U126" s="2">
        <v>0.59050899999999995</v>
      </c>
      <c r="V126" s="2">
        <v>125</v>
      </c>
      <c r="W126" s="2">
        <v>2013</v>
      </c>
    </row>
    <row r="127" spans="1:23" ht="12.3" x14ac:dyDescent="0.4">
      <c r="A127" s="2" t="s">
        <v>194</v>
      </c>
      <c r="B127" s="2"/>
      <c r="C127" s="2"/>
      <c r="D127" s="2"/>
      <c r="E127" s="2"/>
      <c r="F127" s="2"/>
      <c r="G127" s="2"/>
      <c r="H127" s="2"/>
      <c r="I127" s="2"/>
      <c r="J127" s="2">
        <v>57</v>
      </c>
      <c r="K127" s="2">
        <v>68.989699999999999</v>
      </c>
      <c r="L127" s="2">
        <v>45</v>
      </c>
      <c r="M127" s="2">
        <v>105.8905</v>
      </c>
      <c r="N127" s="2">
        <v>76</v>
      </c>
      <c r="O127" s="2">
        <v>104.1063</v>
      </c>
      <c r="P127" s="2">
        <v>108</v>
      </c>
      <c r="Q127" s="2">
        <v>102.3049</v>
      </c>
      <c r="R127" s="2">
        <v>205</v>
      </c>
      <c r="S127" s="2">
        <v>100.9644</v>
      </c>
      <c r="T127" s="2">
        <v>169</v>
      </c>
      <c r="U127" s="2">
        <v>0.58720000000000006</v>
      </c>
      <c r="V127" s="2">
        <v>126</v>
      </c>
      <c r="W127" s="2">
        <v>2013</v>
      </c>
    </row>
    <row r="128" spans="1:23" ht="12.3" x14ac:dyDescent="0.4">
      <c r="A128" s="2" t="s">
        <v>234</v>
      </c>
      <c r="B128" s="2">
        <v>13</v>
      </c>
      <c r="C128" s="2"/>
      <c r="D128" s="2"/>
      <c r="E128" s="2"/>
      <c r="F128" s="2"/>
      <c r="G128" s="2"/>
      <c r="H128" s="2"/>
      <c r="I128" s="2">
        <v>63.773600000000002</v>
      </c>
      <c r="J128" s="2">
        <v>268</v>
      </c>
      <c r="K128" s="2">
        <v>63.840899999999998</v>
      </c>
      <c r="L128" s="2">
        <v>266</v>
      </c>
      <c r="M128" s="2">
        <v>108.5586</v>
      </c>
      <c r="N128" s="2">
        <v>34</v>
      </c>
      <c r="O128" s="2">
        <v>103.8571</v>
      </c>
      <c r="P128" s="2">
        <v>114</v>
      </c>
      <c r="Q128" s="2">
        <v>100.8193</v>
      </c>
      <c r="R128" s="2">
        <v>170</v>
      </c>
      <c r="S128" s="2">
        <v>100.7899</v>
      </c>
      <c r="T128" s="2">
        <v>166</v>
      </c>
      <c r="U128" s="2">
        <v>0.585341</v>
      </c>
      <c r="V128" s="2">
        <v>127</v>
      </c>
      <c r="W128" s="2">
        <v>2013</v>
      </c>
    </row>
    <row r="129" spans="1:23" ht="12.3" x14ac:dyDescent="0.4">
      <c r="A129" s="2" t="s">
        <v>63</v>
      </c>
      <c r="B129" s="2"/>
      <c r="C129" s="2"/>
      <c r="D129" s="2"/>
      <c r="E129" s="2"/>
      <c r="F129" s="2"/>
      <c r="G129" s="2"/>
      <c r="H129" s="2"/>
      <c r="I129" s="2"/>
      <c r="J129" s="2">
        <v>80</v>
      </c>
      <c r="K129" s="2">
        <v>67.8339</v>
      </c>
      <c r="L129" s="2">
        <v>84</v>
      </c>
      <c r="M129" s="2">
        <v>98.427199999999999</v>
      </c>
      <c r="N129" s="2">
        <v>220</v>
      </c>
      <c r="O129" s="2">
        <v>99.021299999999997</v>
      </c>
      <c r="P129" s="2">
        <v>201</v>
      </c>
      <c r="Q129" s="2">
        <v>97.820099999999996</v>
      </c>
      <c r="R129" s="2">
        <v>107</v>
      </c>
      <c r="S129" s="2">
        <v>96.158500000000004</v>
      </c>
      <c r="T129" s="2">
        <v>78</v>
      </c>
      <c r="U129" s="2">
        <v>0.58355400000000002</v>
      </c>
      <c r="V129" s="2">
        <v>128</v>
      </c>
      <c r="W129" s="2">
        <v>2013</v>
      </c>
    </row>
    <row r="130" spans="1:23" ht="12.3" x14ac:dyDescent="0.4">
      <c r="A130" s="2" t="s">
        <v>229</v>
      </c>
      <c r="B130" s="2"/>
      <c r="C130" s="2"/>
      <c r="D130" s="2"/>
      <c r="E130" s="2"/>
      <c r="F130" s="2"/>
      <c r="G130" s="2"/>
      <c r="H130" s="2"/>
      <c r="I130" s="2"/>
      <c r="J130" s="2">
        <v>194</v>
      </c>
      <c r="K130" s="2">
        <v>64.523200000000003</v>
      </c>
      <c r="L130" s="2">
        <v>234</v>
      </c>
      <c r="M130" s="2">
        <v>100.66540000000001</v>
      </c>
      <c r="N130" s="2">
        <v>173</v>
      </c>
      <c r="O130" s="2">
        <v>102.4579</v>
      </c>
      <c r="P130" s="2">
        <v>139</v>
      </c>
      <c r="Q130" s="2">
        <v>103.70050000000001</v>
      </c>
      <c r="R130" s="2">
        <v>236</v>
      </c>
      <c r="S130" s="2">
        <v>99.603399999999993</v>
      </c>
      <c r="T130" s="2">
        <v>139</v>
      </c>
      <c r="U130" s="2">
        <v>0.58052800000000004</v>
      </c>
      <c r="V130" s="2">
        <v>129</v>
      </c>
      <c r="W130" s="2">
        <v>2013</v>
      </c>
    </row>
    <row r="131" spans="1:23" ht="12.3" x14ac:dyDescent="0.4">
      <c r="A131" s="2" t="s">
        <v>189</v>
      </c>
      <c r="B131" s="2"/>
      <c r="C131" s="2"/>
      <c r="D131" s="2"/>
      <c r="E131" s="2"/>
      <c r="F131" s="2"/>
      <c r="G131" s="2"/>
      <c r="H131" s="2"/>
      <c r="I131" s="2"/>
      <c r="J131" s="2">
        <v>344</v>
      </c>
      <c r="K131" s="2">
        <v>59.465899999999998</v>
      </c>
      <c r="L131" s="2">
        <v>345</v>
      </c>
      <c r="M131" s="2">
        <v>106.9858</v>
      </c>
      <c r="N131" s="2">
        <v>56</v>
      </c>
      <c r="O131" s="2">
        <v>105.06010000000001</v>
      </c>
      <c r="P131" s="2">
        <v>92</v>
      </c>
      <c r="Q131" s="2">
        <v>104.38209999999999</v>
      </c>
      <c r="R131" s="2">
        <v>252</v>
      </c>
      <c r="S131" s="2">
        <v>102.2201</v>
      </c>
      <c r="T131" s="2">
        <v>197</v>
      </c>
      <c r="U131" s="2">
        <v>0.57814200000000004</v>
      </c>
      <c r="V131" s="2">
        <v>130</v>
      </c>
      <c r="W131" s="2">
        <v>2013</v>
      </c>
    </row>
    <row r="132" spans="1:23" ht="12.3" x14ac:dyDescent="0.4">
      <c r="A132" s="2" t="s">
        <v>369</v>
      </c>
      <c r="B132" s="2">
        <v>15</v>
      </c>
      <c r="C132" s="3" t="s">
        <v>33</v>
      </c>
      <c r="D132" s="3" t="s">
        <v>33</v>
      </c>
      <c r="E132" s="2"/>
      <c r="F132" s="2"/>
      <c r="G132" s="2"/>
      <c r="H132" s="2"/>
      <c r="I132" s="2">
        <v>69.197299999999998</v>
      </c>
      <c r="J132" s="2">
        <v>45</v>
      </c>
      <c r="K132" s="2">
        <v>68.687100000000001</v>
      </c>
      <c r="L132" s="2">
        <v>54</v>
      </c>
      <c r="M132" s="2">
        <v>103.5861</v>
      </c>
      <c r="N132" s="2">
        <v>110</v>
      </c>
      <c r="O132" s="2">
        <v>102.1036</v>
      </c>
      <c r="P132" s="2">
        <v>145</v>
      </c>
      <c r="Q132" s="2">
        <v>95.832499999999996</v>
      </c>
      <c r="R132" s="2">
        <v>69</v>
      </c>
      <c r="S132" s="2">
        <v>99.472300000000004</v>
      </c>
      <c r="T132" s="2">
        <v>137</v>
      </c>
      <c r="U132" s="2">
        <v>0.57450400000000001</v>
      </c>
      <c r="V132" s="2">
        <v>131</v>
      </c>
      <c r="W132" s="2">
        <v>2013</v>
      </c>
    </row>
    <row r="133" spans="1:23" ht="12.3" x14ac:dyDescent="0.4">
      <c r="A133" s="2" t="s">
        <v>110</v>
      </c>
      <c r="B133" s="2"/>
      <c r="C133" s="2"/>
      <c r="D133" s="2"/>
      <c r="E133" s="2"/>
      <c r="F133" s="2"/>
      <c r="G133" s="2"/>
      <c r="H133" s="2"/>
      <c r="I133" s="2"/>
      <c r="J133" s="2">
        <v>175</v>
      </c>
      <c r="K133" s="2">
        <v>65.905699999999996</v>
      </c>
      <c r="L133" s="2">
        <v>173</v>
      </c>
      <c r="M133" s="2">
        <v>100.3377</v>
      </c>
      <c r="N133" s="2">
        <v>179</v>
      </c>
      <c r="O133" s="2">
        <v>100.0086</v>
      </c>
      <c r="P133" s="2">
        <v>187</v>
      </c>
      <c r="Q133" s="2">
        <v>98.984200000000001</v>
      </c>
      <c r="R133" s="2">
        <v>139</v>
      </c>
      <c r="S133" s="2">
        <v>97.504900000000006</v>
      </c>
      <c r="T133" s="2">
        <v>104</v>
      </c>
      <c r="U133" s="2">
        <v>0.57238199999999995</v>
      </c>
      <c r="V133" s="2">
        <v>132</v>
      </c>
      <c r="W133" s="2">
        <v>2013</v>
      </c>
    </row>
    <row r="134" spans="1:23" ht="12.3" x14ac:dyDescent="0.4">
      <c r="A134" s="2" t="s">
        <v>139</v>
      </c>
      <c r="B134" s="2"/>
      <c r="C134" s="2"/>
      <c r="D134" s="2"/>
      <c r="E134" s="2"/>
      <c r="F134" s="2"/>
      <c r="G134" s="2"/>
      <c r="H134" s="2"/>
      <c r="I134" s="2"/>
      <c r="J134" s="2">
        <v>302</v>
      </c>
      <c r="K134" s="2">
        <v>61.831899999999997</v>
      </c>
      <c r="L134" s="2">
        <v>315</v>
      </c>
      <c r="M134" s="2">
        <v>92.728399999999993</v>
      </c>
      <c r="N134" s="2">
        <v>305</v>
      </c>
      <c r="O134" s="2">
        <v>94.344200000000001</v>
      </c>
      <c r="P134" s="2">
        <v>288</v>
      </c>
      <c r="Q134" s="2">
        <v>94.819900000000004</v>
      </c>
      <c r="R134" s="2">
        <v>54</v>
      </c>
      <c r="S134" s="2">
        <v>92.006399999999999</v>
      </c>
      <c r="T134" s="2">
        <v>27</v>
      </c>
      <c r="U134" s="2">
        <v>0.57164099999999995</v>
      </c>
      <c r="V134" s="2">
        <v>133</v>
      </c>
      <c r="W134" s="2">
        <v>2013</v>
      </c>
    </row>
    <row r="135" spans="1:23" ht="12.3" x14ac:dyDescent="0.4">
      <c r="A135" s="2" t="s">
        <v>259</v>
      </c>
      <c r="B135" s="2">
        <v>14</v>
      </c>
      <c r="C135" s="2"/>
      <c r="D135" s="2"/>
      <c r="E135" s="2"/>
      <c r="F135" s="2"/>
      <c r="G135" s="2"/>
      <c r="H135" s="2"/>
      <c r="I135" s="2">
        <v>73.539400000000001</v>
      </c>
      <c r="J135" s="2">
        <v>1</v>
      </c>
      <c r="K135" s="2">
        <v>72.896699999999996</v>
      </c>
      <c r="L135" s="2">
        <v>1</v>
      </c>
      <c r="M135" s="2">
        <v>105.92319999999999</v>
      </c>
      <c r="N135" s="2">
        <v>74</v>
      </c>
      <c r="O135" s="2">
        <v>105.7153</v>
      </c>
      <c r="P135" s="2">
        <v>78</v>
      </c>
      <c r="Q135" s="2">
        <v>98.618499999999997</v>
      </c>
      <c r="R135" s="2">
        <v>133</v>
      </c>
      <c r="S135" s="2">
        <v>103.1156</v>
      </c>
      <c r="T135" s="2">
        <v>214</v>
      </c>
      <c r="U135" s="2">
        <v>0.57109799999999999</v>
      </c>
      <c r="V135" s="2">
        <v>134</v>
      </c>
      <c r="W135" s="2">
        <v>2013</v>
      </c>
    </row>
    <row r="136" spans="1:23" ht="12.3" x14ac:dyDescent="0.4">
      <c r="A136" s="2" t="s">
        <v>61</v>
      </c>
      <c r="B136" s="2"/>
      <c r="C136" s="2"/>
      <c r="D136" s="2"/>
      <c r="E136" s="2"/>
      <c r="F136" s="2"/>
      <c r="G136" s="2"/>
      <c r="H136" s="2"/>
      <c r="I136" s="2"/>
      <c r="J136" s="2">
        <v>43</v>
      </c>
      <c r="K136" s="2">
        <v>69.289299999999997</v>
      </c>
      <c r="L136" s="2">
        <v>37</v>
      </c>
      <c r="M136" s="2">
        <v>97.503900000000002</v>
      </c>
      <c r="N136" s="2">
        <v>234</v>
      </c>
      <c r="O136" s="2">
        <v>99.065100000000001</v>
      </c>
      <c r="P136" s="2">
        <v>199</v>
      </c>
      <c r="Q136" s="2">
        <v>101.27509999999999</v>
      </c>
      <c r="R136" s="2">
        <v>180</v>
      </c>
      <c r="S136" s="2">
        <v>96.712400000000002</v>
      </c>
      <c r="T136" s="2">
        <v>89</v>
      </c>
      <c r="U136" s="2">
        <v>0.568666</v>
      </c>
      <c r="V136" s="2">
        <v>135</v>
      </c>
      <c r="W136" s="2">
        <v>2013</v>
      </c>
    </row>
    <row r="137" spans="1:23" ht="12.3" x14ac:dyDescent="0.4">
      <c r="A137" s="2" t="s">
        <v>181</v>
      </c>
      <c r="B137" s="2"/>
      <c r="C137" s="2"/>
      <c r="D137" s="2"/>
      <c r="E137" s="2"/>
      <c r="F137" s="2"/>
      <c r="G137" s="2"/>
      <c r="H137" s="2"/>
      <c r="I137" s="2"/>
      <c r="J137" s="2">
        <v>133</v>
      </c>
      <c r="K137" s="2">
        <v>65.902900000000002</v>
      </c>
      <c r="L137" s="2">
        <v>174</v>
      </c>
      <c r="M137" s="2">
        <v>106.49979999999999</v>
      </c>
      <c r="N137" s="2">
        <v>67</v>
      </c>
      <c r="O137" s="2">
        <v>103.4421</v>
      </c>
      <c r="P137" s="2">
        <v>124</v>
      </c>
      <c r="Q137" s="2">
        <v>100.2291</v>
      </c>
      <c r="R137" s="2">
        <v>159</v>
      </c>
      <c r="S137" s="2">
        <v>101.19880000000001</v>
      </c>
      <c r="T137" s="2">
        <v>174</v>
      </c>
      <c r="U137" s="2">
        <v>0.56270200000000004</v>
      </c>
      <c r="V137" s="2">
        <v>136</v>
      </c>
      <c r="W137" s="2">
        <v>2013</v>
      </c>
    </row>
    <row r="138" spans="1:23" ht="12.3" x14ac:dyDescent="0.4">
      <c r="A138" s="2" t="s">
        <v>173</v>
      </c>
      <c r="B138" s="2"/>
      <c r="C138" s="2"/>
      <c r="D138" s="2"/>
      <c r="E138" s="2"/>
      <c r="F138" s="2"/>
      <c r="G138" s="2"/>
      <c r="H138" s="2"/>
      <c r="I138" s="2"/>
      <c r="J138" s="2">
        <v>165</v>
      </c>
      <c r="K138" s="2">
        <v>66.928899999999999</v>
      </c>
      <c r="L138" s="2">
        <v>124</v>
      </c>
      <c r="M138" s="2">
        <v>103.4671</v>
      </c>
      <c r="N138" s="2">
        <v>115</v>
      </c>
      <c r="O138" s="2">
        <v>105.42489999999999</v>
      </c>
      <c r="P138" s="2">
        <v>81</v>
      </c>
      <c r="Q138" s="2">
        <v>103.9562</v>
      </c>
      <c r="R138" s="2">
        <v>243</v>
      </c>
      <c r="S138" s="2">
        <v>103.2741</v>
      </c>
      <c r="T138" s="2">
        <v>218</v>
      </c>
      <c r="U138" s="2">
        <v>0.55898300000000001</v>
      </c>
      <c r="V138" s="2">
        <v>137</v>
      </c>
      <c r="W138" s="2">
        <v>2013</v>
      </c>
    </row>
    <row r="139" spans="1:23" ht="12.3" x14ac:dyDescent="0.4">
      <c r="A139" s="2" t="s">
        <v>136</v>
      </c>
      <c r="B139" s="2"/>
      <c r="C139" s="2"/>
      <c r="D139" s="2"/>
      <c r="E139" s="2"/>
      <c r="F139" s="2"/>
      <c r="G139" s="2"/>
      <c r="H139" s="2"/>
      <c r="I139" s="2"/>
      <c r="J139" s="2">
        <v>321</v>
      </c>
      <c r="K139" s="2">
        <v>61.8643</v>
      </c>
      <c r="L139" s="2">
        <v>314</v>
      </c>
      <c r="M139" s="2">
        <v>94.438999999999993</v>
      </c>
      <c r="N139" s="2">
        <v>287</v>
      </c>
      <c r="O139" s="2">
        <v>100.2869</v>
      </c>
      <c r="P139" s="2">
        <v>181</v>
      </c>
      <c r="Q139" s="2">
        <v>103.20189999999999</v>
      </c>
      <c r="R139" s="2">
        <v>226</v>
      </c>
      <c r="S139" s="2">
        <v>98.268500000000003</v>
      </c>
      <c r="T139" s="2">
        <v>113</v>
      </c>
      <c r="U139" s="2">
        <v>0.55818900000000005</v>
      </c>
      <c r="V139" s="2">
        <v>138</v>
      </c>
      <c r="W139" s="2">
        <v>2013</v>
      </c>
    </row>
    <row r="140" spans="1:23" ht="12.3" x14ac:dyDescent="0.4">
      <c r="A140" s="2" t="s">
        <v>318</v>
      </c>
      <c r="B140" s="2"/>
      <c r="C140" s="2"/>
      <c r="D140" s="2"/>
      <c r="E140" s="2"/>
      <c r="F140" s="2"/>
      <c r="G140" s="2"/>
      <c r="H140" s="2"/>
      <c r="I140" s="2"/>
      <c r="J140" s="2">
        <v>297</v>
      </c>
      <c r="K140" s="2">
        <v>62.4285</v>
      </c>
      <c r="L140" s="2">
        <v>301</v>
      </c>
      <c r="M140" s="2">
        <v>102.86920000000001</v>
      </c>
      <c r="N140" s="2">
        <v>126</v>
      </c>
      <c r="O140" s="2">
        <v>100.9819</v>
      </c>
      <c r="P140" s="2">
        <v>166</v>
      </c>
      <c r="Q140" s="2">
        <v>94.2684</v>
      </c>
      <c r="R140" s="2">
        <v>47</v>
      </c>
      <c r="S140" s="2">
        <v>99.054000000000002</v>
      </c>
      <c r="T140" s="2">
        <v>130</v>
      </c>
      <c r="U140" s="2">
        <v>0.55519399999999997</v>
      </c>
      <c r="V140" s="2">
        <v>139</v>
      </c>
      <c r="W140" s="2">
        <v>2013</v>
      </c>
    </row>
    <row r="141" spans="1:23" ht="12.3" x14ac:dyDescent="0.4">
      <c r="A141" s="2" t="s">
        <v>177</v>
      </c>
      <c r="B141" s="2"/>
      <c r="C141" s="2"/>
      <c r="D141" s="2"/>
      <c r="E141" s="2"/>
      <c r="F141" s="2"/>
      <c r="G141" s="2"/>
      <c r="H141" s="2"/>
      <c r="I141" s="2"/>
      <c r="J141" s="2">
        <v>164</v>
      </c>
      <c r="K141" s="2">
        <v>66.067700000000002</v>
      </c>
      <c r="L141" s="2">
        <v>163</v>
      </c>
      <c r="M141" s="2">
        <v>105.1121</v>
      </c>
      <c r="N141" s="2">
        <v>89</v>
      </c>
      <c r="O141" s="2">
        <v>103.6597</v>
      </c>
      <c r="P141" s="2">
        <v>119</v>
      </c>
      <c r="Q141" s="2">
        <v>101.4331</v>
      </c>
      <c r="R141" s="2">
        <v>184</v>
      </c>
      <c r="S141" s="2">
        <v>101.7817</v>
      </c>
      <c r="T141" s="2">
        <v>189</v>
      </c>
      <c r="U141" s="2">
        <v>0.55237000000000003</v>
      </c>
      <c r="V141" s="2">
        <v>140</v>
      </c>
      <c r="W141" s="2">
        <v>2013</v>
      </c>
    </row>
    <row r="142" spans="1:23" ht="12.3" x14ac:dyDescent="0.4">
      <c r="A142" s="2" t="s">
        <v>203</v>
      </c>
      <c r="B142" s="2"/>
      <c r="C142" s="2"/>
      <c r="D142" s="2"/>
      <c r="E142" s="2"/>
      <c r="F142" s="2"/>
      <c r="G142" s="2"/>
      <c r="H142" s="2"/>
      <c r="I142" s="2"/>
      <c r="J142" s="2">
        <v>199</v>
      </c>
      <c r="K142" s="2">
        <v>65.949600000000004</v>
      </c>
      <c r="L142" s="2">
        <v>169</v>
      </c>
      <c r="M142" s="2">
        <v>103.2925</v>
      </c>
      <c r="N142" s="2">
        <v>119</v>
      </c>
      <c r="O142" s="2">
        <v>103.76860000000001</v>
      </c>
      <c r="P142" s="2">
        <v>117</v>
      </c>
      <c r="Q142" s="2">
        <v>97.626300000000001</v>
      </c>
      <c r="R142" s="2">
        <v>103</v>
      </c>
      <c r="S142" s="2">
        <v>101.9151</v>
      </c>
      <c r="T142" s="2">
        <v>192</v>
      </c>
      <c r="U142" s="2">
        <v>0.55163200000000001</v>
      </c>
      <c r="V142" s="2">
        <v>141</v>
      </c>
      <c r="W142" s="2">
        <v>2013</v>
      </c>
    </row>
    <row r="143" spans="1:23" ht="12.3" x14ac:dyDescent="0.4">
      <c r="A143" s="2" t="s">
        <v>339</v>
      </c>
      <c r="B143" s="2">
        <v>15</v>
      </c>
      <c r="C143" s="2"/>
      <c r="D143" s="2"/>
      <c r="E143" s="2"/>
      <c r="F143" s="2"/>
      <c r="G143" s="2"/>
      <c r="H143" s="2"/>
      <c r="I143" s="2">
        <v>62.784399999999998</v>
      </c>
      <c r="J143" s="2">
        <v>299</v>
      </c>
      <c r="K143" s="2">
        <v>63.126199999999997</v>
      </c>
      <c r="L143" s="2">
        <v>287</v>
      </c>
      <c r="M143" s="2">
        <v>102.0149</v>
      </c>
      <c r="N143" s="2">
        <v>147</v>
      </c>
      <c r="O143" s="2">
        <v>100.0872</v>
      </c>
      <c r="P143" s="2">
        <v>185</v>
      </c>
      <c r="Q143" s="2">
        <v>95.779399999999995</v>
      </c>
      <c r="R143" s="2">
        <v>66</v>
      </c>
      <c r="S143" s="2">
        <v>98.314300000000003</v>
      </c>
      <c r="T143" s="2">
        <v>115</v>
      </c>
      <c r="U143" s="2">
        <v>0.551203</v>
      </c>
      <c r="V143" s="2">
        <v>142</v>
      </c>
      <c r="W143" s="2">
        <v>2013</v>
      </c>
    </row>
    <row r="144" spans="1:23" ht="12.3" x14ac:dyDescent="0.4">
      <c r="A144" s="2" t="s">
        <v>270</v>
      </c>
      <c r="B144" s="2"/>
      <c r="C144" s="2"/>
      <c r="D144" s="2"/>
      <c r="E144" s="2"/>
      <c r="F144" s="2"/>
      <c r="G144" s="2"/>
      <c r="H144" s="2"/>
      <c r="I144" s="2"/>
      <c r="J144" s="2">
        <v>162</v>
      </c>
      <c r="K144" s="2">
        <v>66.502399999999994</v>
      </c>
      <c r="L144" s="2">
        <v>140</v>
      </c>
      <c r="M144" s="2">
        <v>96.683999999999997</v>
      </c>
      <c r="N144" s="2">
        <v>247</v>
      </c>
      <c r="O144" s="2">
        <v>97.853499999999997</v>
      </c>
      <c r="P144" s="2">
        <v>229</v>
      </c>
      <c r="Q144" s="2">
        <v>94.381799999999998</v>
      </c>
      <c r="R144" s="2">
        <v>48</v>
      </c>
      <c r="S144" s="2">
        <v>96.292199999999994</v>
      </c>
      <c r="T144" s="2">
        <v>81</v>
      </c>
      <c r="U144" s="2">
        <v>0.54611100000000001</v>
      </c>
      <c r="V144" s="2">
        <v>143</v>
      </c>
      <c r="W144" s="2">
        <v>2013</v>
      </c>
    </row>
    <row r="145" spans="1:23" ht="12.3" x14ac:dyDescent="0.4">
      <c r="A145" s="2" t="s">
        <v>124</v>
      </c>
      <c r="B145" s="2"/>
      <c r="C145" s="2"/>
      <c r="D145" s="2"/>
      <c r="E145" s="2"/>
      <c r="F145" s="2"/>
      <c r="G145" s="2"/>
      <c r="H145" s="2"/>
      <c r="I145" s="2"/>
      <c r="J145" s="2">
        <v>326</v>
      </c>
      <c r="K145" s="2">
        <v>61.1676</v>
      </c>
      <c r="L145" s="2">
        <v>325</v>
      </c>
      <c r="M145" s="2">
        <v>98.435599999999994</v>
      </c>
      <c r="N145" s="2">
        <v>219</v>
      </c>
      <c r="O145" s="2">
        <v>101.5038</v>
      </c>
      <c r="P145" s="2">
        <v>153</v>
      </c>
      <c r="Q145" s="2">
        <v>103.5566</v>
      </c>
      <c r="R145" s="2">
        <v>230</v>
      </c>
      <c r="S145" s="2">
        <v>99.891099999999994</v>
      </c>
      <c r="T145" s="2">
        <v>143</v>
      </c>
      <c r="U145" s="2">
        <v>0.54591500000000004</v>
      </c>
      <c r="V145" s="2">
        <v>144</v>
      </c>
      <c r="W145" s="2">
        <v>2013</v>
      </c>
    </row>
    <row r="146" spans="1:23" ht="12.3" x14ac:dyDescent="0.4">
      <c r="A146" s="2" t="s">
        <v>307</v>
      </c>
      <c r="B146" s="2"/>
      <c r="C146" s="2"/>
      <c r="D146" s="2"/>
      <c r="E146" s="2"/>
      <c r="F146" s="2"/>
      <c r="G146" s="2"/>
      <c r="H146" s="2"/>
      <c r="I146" s="2"/>
      <c r="J146" s="2">
        <v>137</v>
      </c>
      <c r="K146" s="2">
        <v>65.059100000000001</v>
      </c>
      <c r="L146" s="2">
        <v>212</v>
      </c>
      <c r="M146" s="2">
        <v>106.852</v>
      </c>
      <c r="N146" s="2">
        <v>59</v>
      </c>
      <c r="O146" s="2">
        <v>102.1726</v>
      </c>
      <c r="P146" s="2">
        <v>143</v>
      </c>
      <c r="Q146" s="2">
        <v>98.192300000000003</v>
      </c>
      <c r="R146" s="2">
        <v>118</v>
      </c>
      <c r="S146" s="2">
        <v>100.57940000000001</v>
      </c>
      <c r="T146" s="2">
        <v>162</v>
      </c>
      <c r="U146" s="2">
        <v>0.54505899999999996</v>
      </c>
      <c r="V146" s="2">
        <v>145</v>
      </c>
      <c r="W146" s="2">
        <v>2013</v>
      </c>
    </row>
    <row r="147" spans="1:23" ht="12.3" x14ac:dyDescent="0.4">
      <c r="A147" s="2" t="s">
        <v>188</v>
      </c>
      <c r="B147" s="2"/>
      <c r="C147" s="2"/>
      <c r="D147" s="2"/>
      <c r="E147" s="2"/>
      <c r="F147" s="2"/>
      <c r="G147" s="2"/>
      <c r="H147" s="2"/>
      <c r="I147" s="2"/>
      <c r="J147" s="2">
        <v>120</v>
      </c>
      <c r="K147" s="2">
        <v>66.831999999999994</v>
      </c>
      <c r="L147" s="2">
        <v>128</v>
      </c>
      <c r="M147" s="2">
        <v>102.6935</v>
      </c>
      <c r="N147" s="2">
        <v>129</v>
      </c>
      <c r="O147" s="2">
        <v>104.3077</v>
      </c>
      <c r="P147" s="2">
        <v>105</v>
      </c>
      <c r="Q147" s="2">
        <v>104.58580000000001</v>
      </c>
      <c r="R147" s="2">
        <v>259</v>
      </c>
      <c r="S147" s="2">
        <v>102.8327</v>
      </c>
      <c r="T147" s="2">
        <v>208</v>
      </c>
      <c r="U147" s="2">
        <v>0.54085399999999995</v>
      </c>
      <c r="V147" s="2">
        <v>146</v>
      </c>
      <c r="W147" s="2">
        <v>2013</v>
      </c>
    </row>
    <row r="148" spans="1:23" ht="12.3" x14ac:dyDescent="0.4">
      <c r="A148" s="2" t="s">
        <v>172</v>
      </c>
      <c r="B148" s="2"/>
      <c r="C148" s="2"/>
      <c r="D148" s="2"/>
      <c r="E148" s="2"/>
      <c r="F148" s="2"/>
      <c r="G148" s="2"/>
      <c r="H148" s="2"/>
      <c r="I148" s="2"/>
      <c r="J148" s="2">
        <v>152</v>
      </c>
      <c r="K148" s="2">
        <v>65.75</v>
      </c>
      <c r="L148" s="2">
        <v>177</v>
      </c>
      <c r="M148" s="2">
        <v>100.4128</v>
      </c>
      <c r="N148" s="2">
        <v>177</v>
      </c>
      <c r="O148" s="2">
        <v>96.174300000000002</v>
      </c>
      <c r="P148" s="2">
        <v>256</v>
      </c>
      <c r="Q148" s="2">
        <v>92.758799999999994</v>
      </c>
      <c r="R148" s="2">
        <v>34</v>
      </c>
      <c r="S148" s="2">
        <v>94.828400000000002</v>
      </c>
      <c r="T148" s="2">
        <v>56</v>
      </c>
      <c r="U148" s="2">
        <v>0.54043099999999999</v>
      </c>
      <c r="V148" s="2">
        <v>147</v>
      </c>
      <c r="W148" s="2">
        <v>2013</v>
      </c>
    </row>
    <row r="149" spans="1:23" ht="12.3" x14ac:dyDescent="0.4">
      <c r="A149" s="2" t="s">
        <v>162</v>
      </c>
      <c r="B149" s="2"/>
      <c r="C149" s="2"/>
      <c r="D149" s="2"/>
      <c r="E149" s="2"/>
      <c r="F149" s="2"/>
      <c r="G149" s="2"/>
      <c r="H149" s="2"/>
      <c r="I149" s="2"/>
      <c r="J149" s="2">
        <v>210</v>
      </c>
      <c r="K149" s="2">
        <v>65.477099999999993</v>
      </c>
      <c r="L149" s="2">
        <v>188</v>
      </c>
      <c r="M149" s="2">
        <v>101.9842</v>
      </c>
      <c r="N149" s="2">
        <v>148</v>
      </c>
      <c r="O149" s="2">
        <v>101.476</v>
      </c>
      <c r="P149" s="2">
        <v>154</v>
      </c>
      <c r="Q149" s="2">
        <v>98.535300000000007</v>
      </c>
      <c r="R149" s="2">
        <v>130</v>
      </c>
      <c r="S149" s="2">
        <v>100.0616</v>
      </c>
      <c r="T149" s="2">
        <v>149</v>
      </c>
      <c r="U149" s="2">
        <v>0.54026600000000002</v>
      </c>
      <c r="V149" s="2">
        <v>148</v>
      </c>
      <c r="W149" s="2">
        <v>2013</v>
      </c>
    </row>
    <row r="150" spans="1:23" ht="12.3" x14ac:dyDescent="0.4">
      <c r="A150" s="2" t="s">
        <v>105</v>
      </c>
      <c r="B150" s="2"/>
      <c r="C150" s="2"/>
      <c r="D150" s="2"/>
      <c r="E150" s="2"/>
      <c r="F150" s="2"/>
      <c r="G150" s="2"/>
      <c r="H150" s="2"/>
      <c r="I150" s="2"/>
      <c r="J150" s="2">
        <v>249</v>
      </c>
      <c r="K150" s="2">
        <v>64.727800000000002</v>
      </c>
      <c r="L150" s="2">
        <v>228</v>
      </c>
      <c r="M150" s="2">
        <v>102.42359999999999</v>
      </c>
      <c r="N150" s="2">
        <v>137</v>
      </c>
      <c r="O150" s="2">
        <v>99.695599999999999</v>
      </c>
      <c r="P150" s="2">
        <v>192</v>
      </c>
      <c r="Q150" s="2">
        <v>96.067599999999999</v>
      </c>
      <c r="R150" s="2">
        <v>72</v>
      </c>
      <c r="S150" s="2">
        <v>98.378900000000002</v>
      </c>
      <c r="T150" s="2">
        <v>116</v>
      </c>
      <c r="U150" s="2">
        <v>0.53815000000000002</v>
      </c>
      <c r="V150" s="2">
        <v>149</v>
      </c>
      <c r="W150" s="2">
        <v>2013</v>
      </c>
    </row>
    <row r="151" spans="1:23" ht="12.3" x14ac:dyDescent="0.4">
      <c r="A151" s="2" t="s">
        <v>273</v>
      </c>
      <c r="B151" s="2"/>
      <c r="C151" s="2"/>
      <c r="D151" s="2"/>
      <c r="E151" s="2"/>
      <c r="F151" s="2"/>
      <c r="G151" s="2"/>
      <c r="H151" s="2"/>
      <c r="I151" s="2"/>
      <c r="J151" s="2">
        <v>188</v>
      </c>
      <c r="K151" s="2">
        <v>65.580200000000005</v>
      </c>
      <c r="L151" s="2">
        <v>186</v>
      </c>
      <c r="M151" s="2">
        <v>104.3634</v>
      </c>
      <c r="N151" s="2">
        <v>98</v>
      </c>
      <c r="O151" s="2">
        <v>105.6302</v>
      </c>
      <c r="P151" s="2">
        <v>80</v>
      </c>
      <c r="Q151" s="2">
        <v>104.5164</v>
      </c>
      <c r="R151" s="2">
        <v>256</v>
      </c>
      <c r="S151" s="2">
        <v>104.3068</v>
      </c>
      <c r="T151" s="2">
        <v>246</v>
      </c>
      <c r="U151" s="2">
        <v>0.53618399999999999</v>
      </c>
      <c r="V151" s="2">
        <v>150</v>
      </c>
      <c r="W151" s="2">
        <v>2013</v>
      </c>
    </row>
    <row r="152" spans="1:23" ht="12.3" x14ac:dyDescent="0.4">
      <c r="A152" s="2" t="s">
        <v>147</v>
      </c>
      <c r="B152" s="2"/>
      <c r="C152" s="2"/>
      <c r="D152" s="2"/>
      <c r="E152" s="2"/>
      <c r="F152" s="2"/>
      <c r="G152" s="2"/>
      <c r="H152" s="2"/>
      <c r="I152" s="2"/>
      <c r="J152" s="2">
        <v>219</v>
      </c>
      <c r="K152" s="2">
        <v>66.176500000000004</v>
      </c>
      <c r="L152" s="2">
        <v>158</v>
      </c>
      <c r="M152" s="2">
        <v>101.8712</v>
      </c>
      <c r="N152" s="2">
        <v>150</v>
      </c>
      <c r="O152" s="2">
        <v>101.7377</v>
      </c>
      <c r="P152" s="2">
        <v>149</v>
      </c>
      <c r="Q152" s="2">
        <v>98.371200000000002</v>
      </c>
      <c r="R152" s="2">
        <v>126</v>
      </c>
      <c r="S152" s="2">
        <v>100.51390000000001</v>
      </c>
      <c r="T152" s="2">
        <v>161</v>
      </c>
      <c r="U152" s="2">
        <v>0.53473700000000002</v>
      </c>
      <c r="V152" s="2">
        <v>151</v>
      </c>
      <c r="W152" s="2">
        <v>2013</v>
      </c>
    </row>
    <row r="153" spans="1:23" ht="12.3" x14ac:dyDescent="0.4">
      <c r="A153" s="2" t="s">
        <v>103</v>
      </c>
      <c r="B153" s="2"/>
      <c r="C153" s="2"/>
      <c r="D153" s="2"/>
      <c r="E153" s="2"/>
      <c r="F153" s="2"/>
      <c r="G153" s="2"/>
      <c r="H153" s="2"/>
      <c r="I153" s="2"/>
      <c r="J153" s="2">
        <v>343</v>
      </c>
      <c r="K153" s="2">
        <v>60.014499999999998</v>
      </c>
      <c r="L153" s="2">
        <v>342</v>
      </c>
      <c r="M153" s="2">
        <v>95.31</v>
      </c>
      <c r="N153" s="2">
        <v>277</v>
      </c>
      <c r="O153" s="2">
        <v>99.890199999999993</v>
      </c>
      <c r="P153" s="2">
        <v>188</v>
      </c>
      <c r="Q153" s="2">
        <v>101.2574</v>
      </c>
      <c r="R153" s="2">
        <v>179</v>
      </c>
      <c r="S153" s="2">
        <v>98.713300000000004</v>
      </c>
      <c r="T153" s="2">
        <v>124</v>
      </c>
      <c r="U153" s="2">
        <v>0.53401900000000002</v>
      </c>
      <c r="V153" s="2">
        <v>152</v>
      </c>
      <c r="W153" s="2">
        <v>2013</v>
      </c>
    </row>
    <row r="154" spans="1:23" ht="12.3" x14ac:dyDescent="0.4">
      <c r="A154" s="2" t="s">
        <v>182</v>
      </c>
      <c r="B154" s="2"/>
      <c r="C154" s="2"/>
      <c r="D154" s="2"/>
      <c r="E154" s="2"/>
      <c r="F154" s="2"/>
      <c r="G154" s="2"/>
      <c r="H154" s="2"/>
      <c r="I154" s="2"/>
      <c r="J154" s="2">
        <v>171</v>
      </c>
      <c r="K154" s="2">
        <v>65.728700000000003</v>
      </c>
      <c r="L154" s="2">
        <v>179</v>
      </c>
      <c r="M154" s="2">
        <v>97.143100000000004</v>
      </c>
      <c r="N154" s="2">
        <v>241</v>
      </c>
      <c r="O154" s="2">
        <v>97.238799999999998</v>
      </c>
      <c r="P154" s="2">
        <v>241</v>
      </c>
      <c r="Q154" s="2">
        <v>96.1661</v>
      </c>
      <c r="R154" s="2">
        <v>75</v>
      </c>
      <c r="S154" s="2">
        <v>96.292299999999997</v>
      </c>
      <c r="T154" s="2">
        <v>82</v>
      </c>
      <c r="U154" s="2">
        <v>0.52809200000000001</v>
      </c>
      <c r="V154" s="2">
        <v>153</v>
      </c>
      <c r="W154" s="2">
        <v>2013</v>
      </c>
    </row>
    <row r="155" spans="1:23" ht="12.3" x14ac:dyDescent="0.4">
      <c r="A155" s="2" t="s">
        <v>285</v>
      </c>
      <c r="B155" s="2"/>
      <c r="C155" s="2"/>
      <c r="D155" s="2"/>
      <c r="E155" s="2"/>
      <c r="F155" s="2"/>
      <c r="G155" s="2"/>
      <c r="H155" s="2"/>
      <c r="I155" s="2"/>
      <c r="J155" s="2">
        <v>347</v>
      </c>
      <c r="K155" s="2">
        <v>57.782600000000002</v>
      </c>
      <c r="L155" s="2">
        <v>347</v>
      </c>
      <c r="M155" s="2">
        <v>98.797200000000004</v>
      </c>
      <c r="N155" s="2">
        <v>208</v>
      </c>
      <c r="O155" s="2">
        <v>94.210599999999999</v>
      </c>
      <c r="P155" s="2">
        <v>292</v>
      </c>
      <c r="Q155" s="2">
        <v>91.940299999999993</v>
      </c>
      <c r="R155" s="2">
        <v>24</v>
      </c>
      <c r="S155" s="2">
        <v>93.335999999999999</v>
      </c>
      <c r="T155" s="2">
        <v>37</v>
      </c>
      <c r="U155" s="2">
        <v>0.52678899999999995</v>
      </c>
      <c r="V155" s="2">
        <v>154</v>
      </c>
      <c r="W155" s="2">
        <v>2013</v>
      </c>
    </row>
    <row r="156" spans="1:23" ht="12.3" x14ac:dyDescent="0.4">
      <c r="A156" s="2" t="s">
        <v>314</v>
      </c>
      <c r="B156" s="2"/>
      <c r="C156" s="2"/>
      <c r="D156" s="2"/>
      <c r="E156" s="2"/>
      <c r="F156" s="2"/>
      <c r="G156" s="2"/>
      <c r="H156" s="2"/>
      <c r="I156" s="2"/>
      <c r="J156" s="2">
        <v>105</v>
      </c>
      <c r="K156" s="2">
        <v>68.341999999999999</v>
      </c>
      <c r="L156" s="2">
        <v>66</v>
      </c>
      <c r="M156" s="2">
        <v>105.43510000000001</v>
      </c>
      <c r="N156" s="2">
        <v>83</v>
      </c>
      <c r="O156" s="2">
        <v>103.8258</v>
      </c>
      <c r="P156" s="2">
        <v>116</v>
      </c>
      <c r="Q156" s="2">
        <v>101.136</v>
      </c>
      <c r="R156" s="2">
        <v>176</v>
      </c>
      <c r="S156" s="2">
        <v>103.07089999999999</v>
      </c>
      <c r="T156" s="2">
        <v>213</v>
      </c>
      <c r="U156" s="2">
        <v>0.52096799999999999</v>
      </c>
      <c r="V156" s="2">
        <v>155</v>
      </c>
      <c r="W156" s="2">
        <v>2013</v>
      </c>
    </row>
    <row r="157" spans="1:23" ht="12.3" x14ac:dyDescent="0.4">
      <c r="A157" s="2" t="s">
        <v>206</v>
      </c>
      <c r="B157" s="2"/>
      <c r="C157" s="2"/>
      <c r="D157" s="2"/>
      <c r="E157" s="2"/>
      <c r="F157" s="2"/>
      <c r="G157" s="2"/>
      <c r="H157" s="2"/>
      <c r="I157" s="2"/>
      <c r="J157" s="2">
        <v>27</v>
      </c>
      <c r="K157" s="2">
        <v>68.816599999999994</v>
      </c>
      <c r="L157" s="2">
        <v>51</v>
      </c>
      <c r="M157" s="2">
        <v>105.33620000000001</v>
      </c>
      <c r="N157" s="2">
        <v>86</v>
      </c>
      <c r="O157" s="2">
        <v>105.82470000000001</v>
      </c>
      <c r="P157" s="2">
        <v>77</v>
      </c>
      <c r="Q157" s="2">
        <v>105.6092</v>
      </c>
      <c r="R157" s="2">
        <v>279</v>
      </c>
      <c r="S157" s="2">
        <v>105.2919</v>
      </c>
      <c r="T157" s="2">
        <v>260</v>
      </c>
      <c r="U157" s="2">
        <v>0.51450700000000005</v>
      </c>
      <c r="V157" s="2">
        <v>156</v>
      </c>
      <c r="W157" s="2">
        <v>2013</v>
      </c>
    </row>
    <row r="158" spans="1:23" ht="12.3" x14ac:dyDescent="0.4">
      <c r="A158" s="2" t="s">
        <v>161</v>
      </c>
      <c r="B158" s="2"/>
      <c r="C158" s="2"/>
      <c r="D158" s="2"/>
      <c r="E158" s="2"/>
      <c r="F158" s="2"/>
      <c r="G158" s="2"/>
      <c r="H158" s="2"/>
      <c r="I158" s="2"/>
      <c r="J158" s="2">
        <v>224</v>
      </c>
      <c r="K158" s="2">
        <v>65.377600000000001</v>
      </c>
      <c r="L158" s="2">
        <v>193</v>
      </c>
      <c r="M158" s="2">
        <v>106.0774</v>
      </c>
      <c r="N158" s="2">
        <v>72</v>
      </c>
      <c r="O158" s="2">
        <v>104.84099999999999</v>
      </c>
      <c r="P158" s="2">
        <v>95</v>
      </c>
      <c r="Q158" s="2">
        <v>100.3554</v>
      </c>
      <c r="R158" s="2">
        <v>163</v>
      </c>
      <c r="S158" s="2">
        <v>104.41419999999999</v>
      </c>
      <c r="T158" s="2">
        <v>248</v>
      </c>
      <c r="U158" s="2">
        <v>0.51172600000000001</v>
      </c>
      <c r="V158" s="2">
        <v>157</v>
      </c>
      <c r="W158" s="2">
        <v>2013</v>
      </c>
    </row>
    <row r="159" spans="1:23" ht="12.3" x14ac:dyDescent="0.4">
      <c r="A159" s="2" t="s">
        <v>221</v>
      </c>
      <c r="B159" s="2"/>
      <c r="C159" s="2"/>
      <c r="D159" s="2"/>
      <c r="E159" s="2"/>
      <c r="F159" s="2"/>
      <c r="G159" s="2"/>
      <c r="H159" s="2"/>
      <c r="I159" s="2"/>
      <c r="J159" s="2">
        <v>315</v>
      </c>
      <c r="K159" s="2">
        <v>61.709800000000001</v>
      </c>
      <c r="L159" s="2">
        <v>318</v>
      </c>
      <c r="M159" s="2">
        <v>96.73</v>
      </c>
      <c r="N159" s="2">
        <v>245</v>
      </c>
      <c r="O159" s="2">
        <v>94.282899999999998</v>
      </c>
      <c r="P159" s="2">
        <v>289</v>
      </c>
      <c r="Q159" s="2">
        <v>94.186099999999996</v>
      </c>
      <c r="R159" s="2">
        <v>45</v>
      </c>
      <c r="S159" s="2">
        <v>94.077299999999994</v>
      </c>
      <c r="T159" s="2">
        <v>43</v>
      </c>
      <c r="U159" s="2">
        <v>0.50627500000000003</v>
      </c>
      <c r="V159" s="2">
        <v>158</v>
      </c>
      <c r="W159" s="2">
        <v>2013</v>
      </c>
    </row>
    <row r="160" spans="1:23" ht="12.3" x14ac:dyDescent="0.4">
      <c r="A160" s="2" t="s">
        <v>268</v>
      </c>
      <c r="B160" s="2"/>
      <c r="C160" s="2"/>
      <c r="D160" s="2"/>
      <c r="E160" s="2"/>
      <c r="F160" s="2"/>
      <c r="G160" s="2"/>
      <c r="H160" s="2"/>
      <c r="I160" s="2"/>
      <c r="J160" s="2">
        <v>75</v>
      </c>
      <c r="K160" s="2">
        <v>67.911500000000004</v>
      </c>
      <c r="L160" s="2">
        <v>82</v>
      </c>
      <c r="M160" s="2">
        <v>102.4589</v>
      </c>
      <c r="N160" s="2">
        <v>136</v>
      </c>
      <c r="O160" s="2">
        <v>104.09990000000001</v>
      </c>
      <c r="P160" s="2">
        <v>109</v>
      </c>
      <c r="Q160" s="2">
        <v>103.1665</v>
      </c>
      <c r="R160" s="2">
        <v>225</v>
      </c>
      <c r="S160" s="2">
        <v>103.88930000000001</v>
      </c>
      <c r="T160" s="2">
        <v>236</v>
      </c>
      <c r="U160" s="2">
        <v>0.50582099999999997</v>
      </c>
      <c r="V160" s="2">
        <v>159</v>
      </c>
      <c r="W160" s="2">
        <v>2013</v>
      </c>
    </row>
    <row r="161" spans="1:23" ht="12.3" x14ac:dyDescent="0.4">
      <c r="A161" s="2" t="s">
        <v>325</v>
      </c>
      <c r="B161" s="2"/>
      <c r="C161" s="2"/>
      <c r="D161" s="2"/>
      <c r="E161" s="2"/>
      <c r="F161" s="2"/>
      <c r="G161" s="2"/>
      <c r="H161" s="2"/>
      <c r="I161" s="2"/>
      <c r="J161" s="2">
        <v>207</v>
      </c>
      <c r="K161" s="2">
        <v>64.140600000000006</v>
      </c>
      <c r="L161" s="2">
        <v>257</v>
      </c>
      <c r="M161" s="2">
        <v>106.6349</v>
      </c>
      <c r="N161" s="2">
        <v>64</v>
      </c>
      <c r="O161" s="2">
        <v>102.4443</v>
      </c>
      <c r="P161" s="2">
        <v>140</v>
      </c>
      <c r="Q161" s="2">
        <v>98.183000000000007</v>
      </c>
      <c r="R161" s="2">
        <v>117</v>
      </c>
      <c r="S161" s="2">
        <v>102.2775</v>
      </c>
      <c r="T161" s="2">
        <v>199</v>
      </c>
      <c r="U161" s="2">
        <v>0.50468500000000005</v>
      </c>
      <c r="V161" s="2">
        <v>160</v>
      </c>
      <c r="W161" s="2">
        <v>2013</v>
      </c>
    </row>
    <row r="162" spans="1:23" ht="12.3" x14ac:dyDescent="0.4">
      <c r="A162" s="2" t="s">
        <v>145</v>
      </c>
      <c r="B162" s="2"/>
      <c r="C162" s="2"/>
      <c r="D162" s="2"/>
      <c r="E162" s="2"/>
      <c r="F162" s="2"/>
      <c r="G162" s="2"/>
      <c r="H162" s="2"/>
      <c r="I162" s="2"/>
      <c r="J162" s="2">
        <v>148</v>
      </c>
      <c r="K162" s="2">
        <v>66.985699999999994</v>
      </c>
      <c r="L162" s="2">
        <v>121</v>
      </c>
      <c r="M162" s="2">
        <v>99.613500000000002</v>
      </c>
      <c r="N162" s="2">
        <v>185</v>
      </c>
      <c r="O162" s="2">
        <v>103.551</v>
      </c>
      <c r="P162" s="2">
        <v>122</v>
      </c>
      <c r="Q162" s="2">
        <v>107.31140000000001</v>
      </c>
      <c r="R162" s="2">
        <v>310</v>
      </c>
      <c r="S162" s="2">
        <v>103.4823</v>
      </c>
      <c r="T162" s="2">
        <v>225</v>
      </c>
      <c r="U162" s="2">
        <v>0.50190800000000002</v>
      </c>
      <c r="V162" s="2">
        <v>161</v>
      </c>
      <c r="W162" s="2">
        <v>2013</v>
      </c>
    </row>
    <row r="163" spans="1:23" ht="12.3" x14ac:dyDescent="0.4">
      <c r="A163" s="2" t="s">
        <v>138</v>
      </c>
      <c r="B163" s="2"/>
      <c r="C163" s="2"/>
      <c r="D163" s="2"/>
      <c r="E163" s="2"/>
      <c r="F163" s="2"/>
      <c r="G163" s="2"/>
      <c r="H163" s="2"/>
      <c r="I163" s="2"/>
      <c r="J163" s="2">
        <v>174</v>
      </c>
      <c r="K163" s="2">
        <v>65.245900000000006</v>
      </c>
      <c r="L163" s="2">
        <v>201</v>
      </c>
      <c r="M163" s="2">
        <v>104.73860000000001</v>
      </c>
      <c r="N163" s="2">
        <v>93</v>
      </c>
      <c r="O163" s="2">
        <v>103.18600000000001</v>
      </c>
      <c r="P163" s="2">
        <v>131</v>
      </c>
      <c r="Q163" s="2">
        <v>100.87439999999999</v>
      </c>
      <c r="R163" s="2">
        <v>172</v>
      </c>
      <c r="S163" s="2">
        <v>103.2196</v>
      </c>
      <c r="T163" s="2">
        <v>215</v>
      </c>
      <c r="U163" s="2">
        <v>0.49906600000000001</v>
      </c>
      <c r="V163" s="2">
        <v>162</v>
      </c>
      <c r="W163" s="2">
        <v>2013</v>
      </c>
    </row>
    <row r="164" spans="1:23" ht="12.3" x14ac:dyDescent="0.4">
      <c r="A164" s="2" t="s">
        <v>230</v>
      </c>
      <c r="B164" s="2"/>
      <c r="C164" s="2"/>
      <c r="D164" s="2"/>
      <c r="E164" s="2"/>
      <c r="F164" s="2"/>
      <c r="G164" s="2"/>
      <c r="H164" s="2"/>
      <c r="I164" s="2"/>
      <c r="J164" s="2">
        <v>239</v>
      </c>
      <c r="K164" s="2">
        <v>65.553700000000006</v>
      </c>
      <c r="L164" s="2">
        <v>187</v>
      </c>
      <c r="M164" s="2">
        <v>94.626000000000005</v>
      </c>
      <c r="N164" s="2">
        <v>285</v>
      </c>
      <c r="O164" s="2">
        <v>100.23690000000001</v>
      </c>
      <c r="P164" s="2">
        <v>183</v>
      </c>
      <c r="Q164" s="2">
        <v>105.1748</v>
      </c>
      <c r="R164" s="2">
        <v>270</v>
      </c>
      <c r="S164" s="2">
        <v>100.30759999999999</v>
      </c>
      <c r="T164" s="2">
        <v>156</v>
      </c>
      <c r="U164" s="2">
        <v>0.49797200000000003</v>
      </c>
      <c r="V164" s="2">
        <v>163</v>
      </c>
      <c r="W164" s="2">
        <v>2013</v>
      </c>
    </row>
    <row r="165" spans="1:23" ht="12.3" x14ac:dyDescent="0.4">
      <c r="A165" s="2" t="s">
        <v>159</v>
      </c>
      <c r="B165" s="2"/>
      <c r="C165" s="2"/>
      <c r="D165" s="2"/>
      <c r="E165" s="2"/>
      <c r="F165" s="2"/>
      <c r="G165" s="2"/>
      <c r="H165" s="2"/>
      <c r="I165" s="2"/>
      <c r="J165" s="2">
        <v>88</v>
      </c>
      <c r="K165" s="2">
        <v>66.6036</v>
      </c>
      <c r="L165" s="2">
        <v>137</v>
      </c>
      <c r="M165" s="2">
        <v>101.64360000000001</v>
      </c>
      <c r="N165" s="2">
        <v>158</v>
      </c>
      <c r="O165" s="2">
        <v>105.2696</v>
      </c>
      <c r="P165" s="2">
        <v>85</v>
      </c>
      <c r="Q165" s="2">
        <v>109.16419999999999</v>
      </c>
      <c r="R165" s="2">
        <v>329</v>
      </c>
      <c r="S165" s="2">
        <v>105.4196</v>
      </c>
      <c r="T165" s="2">
        <v>264</v>
      </c>
      <c r="U165" s="2">
        <v>0.49590800000000002</v>
      </c>
      <c r="V165" s="2">
        <v>164</v>
      </c>
      <c r="W165" s="2">
        <v>2013</v>
      </c>
    </row>
    <row r="166" spans="1:23" ht="12.3" x14ac:dyDescent="0.4">
      <c r="A166" s="2" t="s">
        <v>128</v>
      </c>
      <c r="B166" s="2"/>
      <c r="C166" s="2"/>
      <c r="D166" s="2"/>
      <c r="E166" s="2"/>
      <c r="F166" s="2"/>
      <c r="G166" s="2"/>
      <c r="H166" s="2"/>
      <c r="I166" s="2"/>
      <c r="J166" s="2">
        <v>12</v>
      </c>
      <c r="K166" s="2">
        <v>70.171599999999998</v>
      </c>
      <c r="L166" s="2">
        <v>24</v>
      </c>
      <c r="M166" s="2">
        <v>98.956000000000003</v>
      </c>
      <c r="N166" s="2">
        <v>201</v>
      </c>
      <c r="O166" s="2">
        <v>98.551299999999998</v>
      </c>
      <c r="P166" s="2">
        <v>210</v>
      </c>
      <c r="Q166" s="2">
        <v>100.48990000000001</v>
      </c>
      <c r="R166" s="2">
        <v>167</v>
      </c>
      <c r="S166" s="2">
        <v>98.724400000000003</v>
      </c>
      <c r="T166" s="2">
        <v>125</v>
      </c>
      <c r="U166" s="2">
        <v>0.49495400000000001</v>
      </c>
      <c r="V166" s="2">
        <v>165</v>
      </c>
      <c r="W166" s="2">
        <v>2013</v>
      </c>
    </row>
    <row r="167" spans="1:23" ht="12.3" x14ac:dyDescent="0.4">
      <c r="A167" s="2" t="s">
        <v>371</v>
      </c>
      <c r="B167" s="2"/>
      <c r="C167" s="2"/>
      <c r="D167" s="2"/>
      <c r="E167" s="2"/>
      <c r="F167" s="2"/>
      <c r="G167" s="2"/>
      <c r="H167" s="2"/>
      <c r="I167" s="2"/>
      <c r="J167" s="2">
        <v>255</v>
      </c>
      <c r="K167" s="2">
        <v>64.209999999999994</v>
      </c>
      <c r="L167" s="2">
        <v>254</v>
      </c>
      <c r="M167" s="2">
        <v>99.197400000000002</v>
      </c>
      <c r="N167" s="2">
        <v>194</v>
      </c>
      <c r="O167" s="2">
        <v>95.994600000000005</v>
      </c>
      <c r="P167" s="2">
        <v>262</v>
      </c>
      <c r="Q167" s="2">
        <v>91.492400000000004</v>
      </c>
      <c r="R167" s="2">
        <v>20</v>
      </c>
      <c r="S167" s="2">
        <v>96.191100000000006</v>
      </c>
      <c r="T167" s="2">
        <v>79</v>
      </c>
      <c r="U167" s="2">
        <v>0.49412099999999998</v>
      </c>
      <c r="V167" s="2">
        <v>166</v>
      </c>
      <c r="W167" s="2">
        <v>2013</v>
      </c>
    </row>
    <row r="168" spans="1:23" ht="12.3" x14ac:dyDescent="0.4">
      <c r="A168" s="2" t="s">
        <v>150</v>
      </c>
      <c r="B168" s="2"/>
      <c r="C168" s="2"/>
      <c r="D168" s="2"/>
      <c r="E168" s="2"/>
      <c r="F168" s="2"/>
      <c r="G168" s="2"/>
      <c r="H168" s="2"/>
      <c r="I168" s="2"/>
      <c r="J168" s="2">
        <v>290</v>
      </c>
      <c r="K168" s="2">
        <v>63.457000000000001</v>
      </c>
      <c r="L168" s="2">
        <v>275</v>
      </c>
      <c r="M168" s="2">
        <v>101.6493</v>
      </c>
      <c r="N168" s="2">
        <v>157</v>
      </c>
      <c r="O168" s="2">
        <v>100.995</v>
      </c>
      <c r="P168" s="2">
        <v>165</v>
      </c>
      <c r="Q168" s="2">
        <v>99.359800000000007</v>
      </c>
      <c r="R168" s="2">
        <v>146</v>
      </c>
      <c r="S168" s="2">
        <v>101.32680000000001</v>
      </c>
      <c r="T168" s="2">
        <v>178</v>
      </c>
      <c r="U168" s="2">
        <v>0.49057299999999998</v>
      </c>
      <c r="V168" s="2">
        <v>167</v>
      </c>
      <c r="W168" s="2">
        <v>2013</v>
      </c>
    </row>
    <row r="169" spans="1:23" ht="12.3" x14ac:dyDescent="0.4">
      <c r="A169" s="2" t="s">
        <v>174</v>
      </c>
      <c r="B169" s="2"/>
      <c r="C169" s="2"/>
      <c r="D169" s="2"/>
      <c r="E169" s="2"/>
      <c r="F169" s="2"/>
      <c r="G169" s="2"/>
      <c r="H169" s="2"/>
      <c r="I169" s="2"/>
      <c r="J169" s="2">
        <v>136</v>
      </c>
      <c r="K169" s="2">
        <v>67.263400000000004</v>
      </c>
      <c r="L169" s="2">
        <v>110</v>
      </c>
      <c r="M169" s="2">
        <v>102.0325</v>
      </c>
      <c r="N169" s="2">
        <v>146</v>
      </c>
      <c r="O169" s="2">
        <v>102.5052</v>
      </c>
      <c r="P169" s="2">
        <v>138</v>
      </c>
      <c r="Q169" s="2">
        <v>102.15479999999999</v>
      </c>
      <c r="R169" s="2">
        <v>200</v>
      </c>
      <c r="S169" s="2">
        <v>102.9295</v>
      </c>
      <c r="T169" s="2">
        <v>211</v>
      </c>
      <c r="U169" s="2">
        <v>0.48812499999999998</v>
      </c>
      <c r="V169" s="2">
        <v>168</v>
      </c>
      <c r="W169" s="2">
        <v>2013</v>
      </c>
    </row>
    <row r="170" spans="1:23" ht="12.3" x14ac:dyDescent="0.4">
      <c r="A170" s="2" t="s">
        <v>210</v>
      </c>
      <c r="B170" s="2"/>
      <c r="C170" s="2"/>
      <c r="D170" s="2"/>
      <c r="E170" s="2"/>
      <c r="F170" s="2"/>
      <c r="G170" s="2"/>
      <c r="H170" s="2"/>
      <c r="I170" s="2"/>
      <c r="J170" s="2">
        <v>329</v>
      </c>
      <c r="K170" s="2">
        <v>61.798999999999999</v>
      </c>
      <c r="L170" s="2">
        <v>316</v>
      </c>
      <c r="M170" s="2">
        <v>100.92910000000001</v>
      </c>
      <c r="N170" s="2">
        <v>168</v>
      </c>
      <c r="O170" s="2">
        <v>99.627799999999993</v>
      </c>
      <c r="P170" s="2">
        <v>194</v>
      </c>
      <c r="Q170" s="2">
        <v>100.636</v>
      </c>
      <c r="R170" s="2">
        <v>168</v>
      </c>
      <c r="S170" s="2">
        <v>100.1914</v>
      </c>
      <c r="T170" s="2">
        <v>153</v>
      </c>
      <c r="U170" s="2">
        <v>0.48378700000000002</v>
      </c>
      <c r="V170" s="2">
        <v>169</v>
      </c>
      <c r="W170" s="2">
        <v>2013</v>
      </c>
    </row>
    <row r="171" spans="1:23" ht="12.3" x14ac:dyDescent="0.4">
      <c r="A171" s="2" t="s">
        <v>338</v>
      </c>
      <c r="B171" s="2">
        <v>16</v>
      </c>
      <c r="C171" s="2"/>
      <c r="D171" s="2"/>
      <c r="E171" s="2"/>
      <c r="F171" s="2"/>
      <c r="G171" s="2"/>
      <c r="H171" s="2"/>
      <c r="I171" s="2">
        <v>65.389700000000005</v>
      </c>
      <c r="J171" s="2">
        <v>197</v>
      </c>
      <c r="K171" s="2">
        <v>64.886600000000001</v>
      </c>
      <c r="L171" s="2">
        <v>219</v>
      </c>
      <c r="M171" s="2">
        <v>101.7422</v>
      </c>
      <c r="N171" s="2">
        <v>155</v>
      </c>
      <c r="O171" s="2">
        <v>96.258499999999998</v>
      </c>
      <c r="P171" s="2">
        <v>253</v>
      </c>
      <c r="Q171" s="2">
        <v>89.014799999999994</v>
      </c>
      <c r="R171" s="2">
        <v>7</v>
      </c>
      <c r="S171" s="2">
        <v>96.880799999999994</v>
      </c>
      <c r="T171" s="2">
        <v>91</v>
      </c>
      <c r="U171" s="2">
        <v>0.48148299999999999</v>
      </c>
      <c r="V171" s="2">
        <v>170</v>
      </c>
      <c r="W171" s="2">
        <v>2013</v>
      </c>
    </row>
    <row r="172" spans="1:23" ht="12.3" x14ac:dyDescent="0.4">
      <c r="A172" s="2" t="s">
        <v>245</v>
      </c>
      <c r="B172" s="2"/>
      <c r="C172" s="2"/>
      <c r="D172" s="2"/>
      <c r="E172" s="2"/>
      <c r="F172" s="2"/>
      <c r="G172" s="2"/>
      <c r="H172" s="2"/>
      <c r="I172" s="2"/>
      <c r="J172" s="2">
        <v>172</v>
      </c>
      <c r="K172" s="2">
        <v>66.414699999999996</v>
      </c>
      <c r="L172" s="2">
        <v>144</v>
      </c>
      <c r="M172" s="2">
        <v>100.36969999999999</v>
      </c>
      <c r="N172" s="2">
        <v>178</v>
      </c>
      <c r="O172" s="2">
        <v>100.8091</v>
      </c>
      <c r="P172" s="2">
        <v>171</v>
      </c>
      <c r="Q172" s="2">
        <v>102.0613</v>
      </c>
      <c r="R172" s="2">
        <v>198</v>
      </c>
      <c r="S172" s="2">
        <v>101.5998</v>
      </c>
      <c r="T172" s="2">
        <v>184</v>
      </c>
      <c r="U172" s="2">
        <v>0.47755300000000001</v>
      </c>
      <c r="V172" s="2">
        <v>171</v>
      </c>
      <c r="W172" s="2">
        <v>2013</v>
      </c>
    </row>
    <row r="173" spans="1:23" ht="12.3" x14ac:dyDescent="0.4">
      <c r="A173" s="2" t="s">
        <v>343</v>
      </c>
      <c r="B173" s="2">
        <v>16</v>
      </c>
      <c r="C173" s="2"/>
      <c r="D173" s="2"/>
      <c r="E173" s="2"/>
      <c r="F173" s="2"/>
      <c r="G173" s="2"/>
      <c r="H173" s="2"/>
      <c r="I173" s="2">
        <v>70.312799999999996</v>
      </c>
      <c r="J173" s="2">
        <v>24</v>
      </c>
      <c r="K173" s="2">
        <v>69.648899999999998</v>
      </c>
      <c r="L173" s="2">
        <v>29</v>
      </c>
      <c r="M173" s="2">
        <v>112.36409999999999</v>
      </c>
      <c r="N173" s="2">
        <v>13</v>
      </c>
      <c r="O173" s="2">
        <v>109.61150000000001</v>
      </c>
      <c r="P173" s="2">
        <v>39</v>
      </c>
      <c r="Q173" s="2">
        <v>107.89400000000001</v>
      </c>
      <c r="R173" s="2">
        <v>317</v>
      </c>
      <c r="S173" s="2">
        <v>110.50830000000001</v>
      </c>
      <c r="T173" s="2">
        <v>325</v>
      </c>
      <c r="U173" s="2">
        <v>0.47658899999999998</v>
      </c>
      <c r="V173" s="2">
        <v>172</v>
      </c>
      <c r="W173" s="2">
        <v>2013</v>
      </c>
    </row>
    <row r="174" spans="1:23" ht="12.3" x14ac:dyDescent="0.4">
      <c r="A174" s="2" t="s">
        <v>293</v>
      </c>
      <c r="B174" s="2"/>
      <c r="C174" s="2"/>
      <c r="D174" s="2"/>
      <c r="E174" s="2"/>
      <c r="F174" s="2"/>
      <c r="G174" s="2"/>
      <c r="H174" s="2"/>
      <c r="I174" s="2"/>
      <c r="J174" s="2">
        <v>198</v>
      </c>
      <c r="K174" s="2">
        <v>66.332899999999995</v>
      </c>
      <c r="L174" s="2">
        <v>154</v>
      </c>
      <c r="M174" s="2">
        <v>101.3981</v>
      </c>
      <c r="N174" s="2">
        <v>163</v>
      </c>
      <c r="O174" s="2">
        <v>101.4706</v>
      </c>
      <c r="P174" s="2">
        <v>155</v>
      </c>
      <c r="Q174" s="2">
        <v>100.8989</v>
      </c>
      <c r="R174" s="2">
        <v>174</v>
      </c>
      <c r="S174" s="2">
        <v>102.31440000000001</v>
      </c>
      <c r="T174" s="2">
        <v>201</v>
      </c>
      <c r="U174" s="2">
        <v>0.47620800000000002</v>
      </c>
      <c r="V174" s="2">
        <v>173</v>
      </c>
      <c r="W174" s="2">
        <v>2013</v>
      </c>
    </row>
    <row r="175" spans="1:23" ht="12.3" x14ac:dyDescent="0.4">
      <c r="A175" s="2" t="s">
        <v>69</v>
      </c>
      <c r="B175" s="2"/>
      <c r="C175" s="2"/>
      <c r="D175" s="2"/>
      <c r="E175" s="2"/>
      <c r="F175" s="2"/>
      <c r="G175" s="2"/>
      <c r="H175" s="2"/>
      <c r="I175" s="2"/>
      <c r="J175" s="2">
        <v>102</v>
      </c>
      <c r="K175" s="2">
        <v>67.699700000000007</v>
      </c>
      <c r="L175" s="2">
        <v>92</v>
      </c>
      <c r="M175" s="2">
        <v>97.933400000000006</v>
      </c>
      <c r="N175" s="2">
        <v>229</v>
      </c>
      <c r="O175" s="2">
        <v>98.021699999999996</v>
      </c>
      <c r="P175" s="2">
        <v>226</v>
      </c>
      <c r="Q175" s="2">
        <v>99.619299999999996</v>
      </c>
      <c r="R175" s="2">
        <v>151</v>
      </c>
      <c r="S175" s="2">
        <v>98.840199999999996</v>
      </c>
      <c r="T175" s="2">
        <v>128</v>
      </c>
      <c r="U175" s="2">
        <v>0.47610999999999998</v>
      </c>
      <c r="V175" s="2">
        <v>174</v>
      </c>
      <c r="W175" s="2">
        <v>2013</v>
      </c>
    </row>
    <row r="176" spans="1:23" ht="12.3" x14ac:dyDescent="0.4">
      <c r="A176" s="2" t="s">
        <v>82</v>
      </c>
      <c r="B176" s="2"/>
      <c r="C176" s="2"/>
      <c r="D176" s="2"/>
      <c r="E176" s="2"/>
      <c r="F176" s="2"/>
      <c r="G176" s="2"/>
      <c r="H176" s="2"/>
      <c r="I176" s="2"/>
      <c r="J176" s="2">
        <v>296</v>
      </c>
      <c r="K176" s="2">
        <v>62.859000000000002</v>
      </c>
      <c r="L176" s="2">
        <v>292</v>
      </c>
      <c r="M176" s="2">
        <v>98.442400000000006</v>
      </c>
      <c r="N176" s="2">
        <v>218</v>
      </c>
      <c r="O176" s="2">
        <v>100.78149999999999</v>
      </c>
      <c r="P176" s="2">
        <v>172</v>
      </c>
      <c r="Q176" s="2">
        <v>104.00279999999999</v>
      </c>
      <c r="R176" s="2">
        <v>244</v>
      </c>
      <c r="S176" s="2">
        <v>101.66670000000001</v>
      </c>
      <c r="T176" s="2">
        <v>186</v>
      </c>
      <c r="U176" s="2">
        <v>0.47487699999999999</v>
      </c>
      <c r="V176" s="2">
        <v>175</v>
      </c>
      <c r="W176" s="2">
        <v>2013</v>
      </c>
    </row>
    <row r="177" spans="1:23" ht="12.3" x14ac:dyDescent="0.4">
      <c r="A177" s="2" t="s">
        <v>375</v>
      </c>
      <c r="B177" s="2"/>
      <c r="C177" s="2"/>
      <c r="D177" s="2"/>
      <c r="E177" s="2"/>
      <c r="F177" s="2"/>
      <c r="G177" s="2"/>
      <c r="H177" s="2"/>
      <c r="I177" s="2"/>
      <c r="J177" s="2">
        <v>127</v>
      </c>
      <c r="K177" s="2">
        <v>65.9101</v>
      </c>
      <c r="L177" s="2">
        <v>172</v>
      </c>
      <c r="M177" s="2">
        <v>110.5184</v>
      </c>
      <c r="N177" s="2">
        <v>21</v>
      </c>
      <c r="O177" s="2">
        <v>108.2677</v>
      </c>
      <c r="P177" s="2">
        <v>51</v>
      </c>
      <c r="Q177" s="2">
        <v>106.10250000000001</v>
      </c>
      <c r="R177" s="2">
        <v>289</v>
      </c>
      <c r="S177" s="2">
        <v>109.2238</v>
      </c>
      <c r="T177" s="2">
        <v>314</v>
      </c>
      <c r="U177" s="2">
        <v>0.474744</v>
      </c>
      <c r="V177" s="2">
        <v>176</v>
      </c>
      <c r="W177" s="2">
        <v>2013</v>
      </c>
    </row>
    <row r="178" spans="1:23" ht="12.3" x14ac:dyDescent="0.4">
      <c r="A178" s="2" t="s">
        <v>213</v>
      </c>
      <c r="B178" s="2"/>
      <c r="C178" s="2"/>
      <c r="D178" s="2"/>
      <c r="E178" s="2"/>
      <c r="F178" s="2"/>
      <c r="G178" s="2"/>
      <c r="H178" s="2"/>
      <c r="I178" s="2"/>
      <c r="J178" s="2">
        <v>225</v>
      </c>
      <c r="K178" s="2">
        <v>65.274199999999993</v>
      </c>
      <c r="L178" s="2">
        <v>199</v>
      </c>
      <c r="M178" s="2">
        <v>100.90689999999999</v>
      </c>
      <c r="N178" s="2">
        <v>169</v>
      </c>
      <c r="O178" s="2">
        <v>102.6571</v>
      </c>
      <c r="P178" s="2">
        <v>137</v>
      </c>
      <c r="Q178" s="2">
        <v>103.41200000000001</v>
      </c>
      <c r="R178" s="2">
        <v>228</v>
      </c>
      <c r="S178" s="2">
        <v>103.58750000000001</v>
      </c>
      <c r="T178" s="2">
        <v>228</v>
      </c>
      <c r="U178" s="2">
        <v>0.47408299999999998</v>
      </c>
      <c r="V178" s="2">
        <v>177</v>
      </c>
      <c r="W178" s="2">
        <v>2013</v>
      </c>
    </row>
    <row r="179" spans="1:23" ht="12.3" x14ac:dyDescent="0.4">
      <c r="A179" s="2" t="s">
        <v>207</v>
      </c>
      <c r="B179" s="2"/>
      <c r="C179" s="2"/>
      <c r="D179" s="2"/>
      <c r="E179" s="2"/>
      <c r="F179" s="2"/>
      <c r="G179" s="2"/>
      <c r="H179" s="2"/>
      <c r="I179" s="2"/>
      <c r="J179" s="2">
        <v>8</v>
      </c>
      <c r="K179" s="2">
        <v>72.251300000000001</v>
      </c>
      <c r="L179" s="2">
        <v>4</v>
      </c>
      <c r="M179" s="2">
        <v>98.9435</v>
      </c>
      <c r="N179" s="2">
        <v>202</v>
      </c>
      <c r="O179" s="2">
        <v>103.7097</v>
      </c>
      <c r="P179" s="2">
        <v>118</v>
      </c>
      <c r="Q179" s="2">
        <v>105.0701</v>
      </c>
      <c r="R179" s="2">
        <v>268</v>
      </c>
      <c r="S179" s="2">
        <v>104.71850000000001</v>
      </c>
      <c r="T179" s="2">
        <v>253</v>
      </c>
      <c r="U179" s="2">
        <v>0.47220000000000001</v>
      </c>
      <c r="V179" s="2">
        <v>178</v>
      </c>
      <c r="W179" s="2">
        <v>2013</v>
      </c>
    </row>
    <row r="180" spans="1:23" ht="12.3" x14ac:dyDescent="0.4">
      <c r="A180" s="2" t="s">
        <v>133</v>
      </c>
      <c r="B180" s="2"/>
      <c r="C180" s="2"/>
      <c r="D180" s="2"/>
      <c r="E180" s="2"/>
      <c r="F180" s="2"/>
      <c r="G180" s="2"/>
      <c r="H180" s="2"/>
      <c r="I180" s="2"/>
      <c r="J180" s="2">
        <v>254</v>
      </c>
      <c r="K180" s="2">
        <v>63.82</v>
      </c>
      <c r="L180" s="2">
        <v>267</v>
      </c>
      <c r="M180" s="2">
        <v>98.825100000000006</v>
      </c>
      <c r="N180" s="2">
        <v>206</v>
      </c>
      <c r="O180" s="2">
        <v>100.9191</v>
      </c>
      <c r="P180" s="2">
        <v>169</v>
      </c>
      <c r="Q180" s="2">
        <v>103.6572</v>
      </c>
      <c r="R180" s="2">
        <v>235</v>
      </c>
      <c r="S180" s="2">
        <v>101.9106</v>
      </c>
      <c r="T180" s="2">
        <v>191</v>
      </c>
      <c r="U180" s="2">
        <v>0.47192000000000001</v>
      </c>
      <c r="V180" s="2">
        <v>179</v>
      </c>
      <c r="W180" s="2">
        <v>2013</v>
      </c>
    </row>
    <row r="181" spans="1:23" ht="12.3" x14ac:dyDescent="0.4">
      <c r="A181" s="2" t="s">
        <v>215</v>
      </c>
      <c r="B181" s="2"/>
      <c r="C181" s="2"/>
      <c r="D181" s="2"/>
      <c r="E181" s="2"/>
      <c r="F181" s="2"/>
      <c r="G181" s="2"/>
      <c r="H181" s="2"/>
      <c r="I181" s="2"/>
      <c r="J181" s="2">
        <v>86</v>
      </c>
      <c r="K181" s="2">
        <v>67.365099999999998</v>
      </c>
      <c r="L181" s="2">
        <v>104</v>
      </c>
      <c r="M181" s="2">
        <v>98.719899999999996</v>
      </c>
      <c r="N181" s="2">
        <v>214</v>
      </c>
      <c r="O181" s="2">
        <v>96.226699999999994</v>
      </c>
      <c r="P181" s="2">
        <v>255</v>
      </c>
      <c r="Q181" s="2">
        <v>95.816999999999993</v>
      </c>
      <c r="R181" s="2">
        <v>68</v>
      </c>
      <c r="S181" s="2">
        <v>97.223399999999998</v>
      </c>
      <c r="T181" s="2">
        <v>97</v>
      </c>
      <c r="U181" s="2">
        <v>0.47040799999999999</v>
      </c>
      <c r="V181" s="2">
        <v>180</v>
      </c>
      <c r="W181" s="2">
        <v>2013</v>
      </c>
    </row>
    <row r="182" spans="1:23" ht="12.3" x14ac:dyDescent="0.4">
      <c r="A182" s="2" t="s">
        <v>308</v>
      </c>
      <c r="B182" s="2"/>
      <c r="C182" s="2"/>
      <c r="D182" s="2"/>
      <c r="E182" s="2"/>
      <c r="F182" s="2"/>
      <c r="G182" s="2"/>
      <c r="H182" s="2"/>
      <c r="I182" s="2"/>
      <c r="J182" s="2">
        <v>261</v>
      </c>
      <c r="K182" s="2">
        <v>64.2654</v>
      </c>
      <c r="L182" s="2">
        <v>252</v>
      </c>
      <c r="M182" s="2">
        <v>106.6755</v>
      </c>
      <c r="N182" s="2">
        <v>61</v>
      </c>
      <c r="O182" s="2">
        <v>104.715</v>
      </c>
      <c r="P182" s="2">
        <v>98</v>
      </c>
      <c r="Q182" s="2">
        <v>104.6718</v>
      </c>
      <c r="R182" s="2">
        <v>261</v>
      </c>
      <c r="S182" s="2">
        <v>105.8411</v>
      </c>
      <c r="T182" s="2">
        <v>269</v>
      </c>
      <c r="U182" s="2">
        <v>0.46928799999999998</v>
      </c>
      <c r="V182" s="2">
        <v>181</v>
      </c>
      <c r="W182" s="2">
        <v>2013</v>
      </c>
    </row>
    <row r="183" spans="1:23" ht="12.3" x14ac:dyDescent="0.4">
      <c r="A183" s="2" t="s">
        <v>152</v>
      </c>
      <c r="B183" s="2"/>
      <c r="C183" s="2"/>
      <c r="D183" s="2"/>
      <c r="E183" s="2"/>
      <c r="F183" s="2"/>
      <c r="G183" s="2"/>
      <c r="H183" s="2"/>
      <c r="I183" s="2"/>
      <c r="J183" s="2">
        <v>262</v>
      </c>
      <c r="K183" s="2">
        <v>64.148600000000002</v>
      </c>
      <c r="L183" s="2">
        <v>256</v>
      </c>
      <c r="M183" s="2">
        <v>104.5812</v>
      </c>
      <c r="N183" s="2">
        <v>94</v>
      </c>
      <c r="O183" s="2">
        <v>104.57559999999999</v>
      </c>
      <c r="P183" s="2">
        <v>101</v>
      </c>
      <c r="Q183" s="2">
        <v>103.7803</v>
      </c>
      <c r="R183" s="2">
        <v>238</v>
      </c>
      <c r="S183" s="2">
        <v>105.715</v>
      </c>
      <c r="T183" s="2">
        <v>266</v>
      </c>
      <c r="U183" s="2">
        <v>0.46888800000000003</v>
      </c>
      <c r="V183" s="2">
        <v>182</v>
      </c>
      <c r="W183" s="2">
        <v>2013</v>
      </c>
    </row>
    <row r="184" spans="1:23" ht="12.3" x14ac:dyDescent="0.4">
      <c r="A184" s="2" t="s">
        <v>144</v>
      </c>
      <c r="B184" s="2"/>
      <c r="C184" s="2"/>
      <c r="D184" s="2"/>
      <c r="E184" s="2"/>
      <c r="F184" s="2"/>
      <c r="G184" s="2"/>
      <c r="H184" s="2"/>
      <c r="I184" s="2"/>
      <c r="J184" s="2">
        <v>277</v>
      </c>
      <c r="K184" s="2">
        <v>64.382800000000003</v>
      </c>
      <c r="L184" s="2">
        <v>246</v>
      </c>
      <c r="M184" s="2">
        <v>96.592600000000004</v>
      </c>
      <c r="N184" s="2">
        <v>249</v>
      </c>
      <c r="O184" s="2">
        <v>96.967500000000001</v>
      </c>
      <c r="P184" s="2">
        <v>243</v>
      </c>
      <c r="Q184" s="2">
        <v>98.080699999999993</v>
      </c>
      <c r="R184" s="2">
        <v>114</v>
      </c>
      <c r="S184" s="2">
        <v>98.165400000000005</v>
      </c>
      <c r="T184" s="2">
        <v>112</v>
      </c>
      <c r="U184" s="2">
        <v>0.46476000000000001</v>
      </c>
      <c r="V184" s="2">
        <v>183</v>
      </c>
      <c r="W184" s="2">
        <v>2013</v>
      </c>
    </row>
    <row r="185" spans="1:23" ht="12.3" x14ac:dyDescent="0.4">
      <c r="A185" s="2" t="s">
        <v>200</v>
      </c>
      <c r="B185" s="2">
        <v>16</v>
      </c>
      <c r="C185" s="2"/>
      <c r="D185" s="2"/>
      <c r="E185" s="2"/>
      <c r="F185" s="2"/>
      <c r="G185" s="2"/>
      <c r="H185" s="2"/>
      <c r="I185" s="2">
        <v>64.328999999999994</v>
      </c>
      <c r="J185" s="2">
        <v>242</v>
      </c>
      <c r="K185" s="2">
        <v>64.4803</v>
      </c>
      <c r="L185" s="2">
        <v>239</v>
      </c>
      <c r="M185" s="2">
        <v>100.4855</v>
      </c>
      <c r="N185" s="2">
        <v>176</v>
      </c>
      <c r="O185" s="2">
        <v>97.496600000000001</v>
      </c>
      <c r="P185" s="2">
        <v>236</v>
      </c>
      <c r="Q185" s="2">
        <v>98.979200000000006</v>
      </c>
      <c r="R185" s="2">
        <v>138</v>
      </c>
      <c r="S185" s="2">
        <v>98.770499999999998</v>
      </c>
      <c r="T185" s="2">
        <v>127</v>
      </c>
      <c r="U185" s="2">
        <v>0.46274500000000002</v>
      </c>
      <c r="V185" s="2">
        <v>184</v>
      </c>
      <c r="W185" s="2">
        <v>2013</v>
      </c>
    </row>
    <row r="186" spans="1:23" ht="12.3" x14ac:dyDescent="0.4">
      <c r="A186" s="2" t="s">
        <v>260</v>
      </c>
      <c r="B186" s="2"/>
      <c r="C186" s="2"/>
      <c r="D186" s="2"/>
      <c r="E186" s="2"/>
      <c r="F186" s="2"/>
      <c r="G186" s="2"/>
      <c r="H186" s="2"/>
      <c r="I186" s="2"/>
      <c r="J186" s="2">
        <v>36</v>
      </c>
      <c r="K186" s="2">
        <v>68.866900000000001</v>
      </c>
      <c r="L186" s="2">
        <v>47</v>
      </c>
      <c r="M186" s="2">
        <v>99.253200000000007</v>
      </c>
      <c r="N186" s="2">
        <v>192</v>
      </c>
      <c r="O186" s="2">
        <v>99.811499999999995</v>
      </c>
      <c r="P186" s="2">
        <v>189</v>
      </c>
      <c r="Q186" s="2">
        <v>99.535600000000002</v>
      </c>
      <c r="R186" s="2">
        <v>149</v>
      </c>
      <c r="S186" s="2">
        <v>101.1696</v>
      </c>
      <c r="T186" s="2">
        <v>173</v>
      </c>
      <c r="U186" s="2">
        <v>0.46122400000000002</v>
      </c>
      <c r="V186" s="2">
        <v>185</v>
      </c>
      <c r="W186" s="2">
        <v>2013</v>
      </c>
    </row>
    <row r="187" spans="1:23" ht="12.3" x14ac:dyDescent="0.4">
      <c r="A187" s="2" t="s">
        <v>211</v>
      </c>
      <c r="B187" s="2"/>
      <c r="C187" s="2"/>
      <c r="D187" s="2"/>
      <c r="E187" s="2"/>
      <c r="F187" s="2"/>
      <c r="G187" s="2"/>
      <c r="H187" s="2"/>
      <c r="I187" s="2"/>
      <c r="J187" s="2">
        <v>278</v>
      </c>
      <c r="K187" s="2">
        <v>62.218499999999999</v>
      </c>
      <c r="L187" s="2">
        <v>306</v>
      </c>
      <c r="M187" s="2">
        <v>100.1653</v>
      </c>
      <c r="N187" s="2">
        <v>180</v>
      </c>
      <c r="O187" s="2">
        <v>97.727400000000003</v>
      </c>
      <c r="P187" s="2">
        <v>231</v>
      </c>
      <c r="Q187" s="2">
        <v>94.995500000000007</v>
      </c>
      <c r="R187" s="2">
        <v>57</v>
      </c>
      <c r="S187" s="2">
        <v>99.065399999999997</v>
      </c>
      <c r="T187" s="2">
        <v>132</v>
      </c>
      <c r="U187" s="2">
        <v>0.46098299999999998</v>
      </c>
      <c r="V187" s="2">
        <v>186</v>
      </c>
      <c r="W187" s="2">
        <v>2013</v>
      </c>
    </row>
    <row r="188" spans="1:23" ht="12.3" x14ac:dyDescent="0.4">
      <c r="A188" s="2" t="s">
        <v>68</v>
      </c>
      <c r="B188" s="2">
        <v>16</v>
      </c>
      <c r="C188" s="2"/>
      <c r="D188" s="2"/>
      <c r="E188" s="2"/>
      <c r="F188" s="2"/>
      <c r="G188" s="2"/>
      <c r="H188" s="2"/>
      <c r="I188" s="2">
        <v>66.854699999999994</v>
      </c>
      <c r="J188" s="2">
        <v>129</v>
      </c>
      <c r="K188" s="2">
        <v>65.674400000000006</v>
      </c>
      <c r="L188" s="2">
        <v>182</v>
      </c>
      <c r="M188" s="2">
        <v>100.071</v>
      </c>
      <c r="N188" s="2">
        <v>181</v>
      </c>
      <c r="O188" s="2">
        <v>100.47620000000001</v>
      </c>
      <c r="P188" s="2">
        <v>178</v>
      </c>
      <c r="Q188" s="2">
        <v>99.092600000000004</v>
      </c>
      <c r="R188" s="2">
        <v>142</v>
      </c>
      <c r="S188" s="2">
        <v>101.946</v>
      </c>
      <c r="T188" s="2">
        <v>193</v>
      </c>
      <c r="U188" s="2">
        <v>0.458345</v>
      </c>
      <c r="V188" s="2">
        <v>187</v>
      </c>
      <c r="W188" s="2">
        <v>2013</v>
      </c>
    </row>
    <row r="189" spans="1:23" ht="12.3" x14ac:dyDescent="0.4">
      <c r="A189" s="2" t="s">
        <v>186</v>
      </c>
      <c r="B189" s="2"/>
      <c r="C189" s="2"/>
      <c r="D189" s="2"/>
      <c r="E189" s="2"/>
      <c r="F189" s="2"/>
      <c r="G189" s="2"/>
      <c r="H189" s="2"/>
      <c r="I189" s="2"/>
      <c r="J189" s="2">
        <v>149</v>
      </c>
      <c r="K189" s="2">
        <v>68.034000000000006</v>
      </c>
      <c r="L189" s="2">
        <v>77</v>
      </c>
      <c r="M189" s="2">
        <v>102.8526</v>
      </c>
      <c r="N189" s="2">
        <v>127</v>
      </c>
      <c r="O189" s="2">
        <v>102.2107</v>
      </c>
      <c r="P189" s="2">
        <v>142</v>
      </c>
      <c r="Q189" s="2">
        <v>101.7238</v>
      </c>
      <c r="R189" s="2">
        <v>192</v>
      </c>
      <c r="S189" s="2">
        <v>103.7971</v>
      </c>
      <c r="T189" s="2">
        <v>233</v>
      </c>
      <c r="U189" s="2">
        <v>0.45583600000000002</v>
      </c>
      <c r="V189" s="2">
        <v>188</v>
      </c>
      <c r="W189" s="2">
        <v>2013</v>
      </c>
    </row>
    <row r="190" spans="1:23" ht="12.3" x14ac:dyDescent="0.4">
      <c r="A190" s="2" t="s">
        <v>271</v>
      </c>
      <c r="B190" s="2"/>
      <c r="C190" s="2"/>
      <c r="D190" s="2"/>
      <c r="E190" s="2"/>
      <c r="F190" s="2"/>
      <c r="G190" s="2"/>
      <c r="H190" s="2"/>
      <c r="I190" s="2"/>
      <c r="J190" s="2">
        <v>331</v>
      </c>
      <c r="K190" s="2">
        <v>61.228400000000001</v>
      </c>
      <c r="L190" s="2">
        <v>324</v>
      </c>
      <c r="M190" s="2">
        <v>100.60469999999999</v>
      </c>
      <c r="N190" s="2">
        <v>175</v>
      </c>
      <c r="O190" s="2">
        <v>99.6571</v>
      </c>
      <c r="P190" s="2">
        <v>193</v>
      </c>
      <c r="Q190" s="2">
        <v>100.3319</v>
      </c>
      <c r="R190" s="2">
        <v>162</v>
      </c>
      <c r="S190" s="2">
        <v>101.4876</v>
      </c>
      <c r="T190" s="2">
        <v>182</v>
      </c>
      <c r="U190" s="2">
        <v>0.44786199999999998</v>
      </c>
      <c r="V190" s="2">
        <v>189</v>
      </c>
      <c r="W190" s="2">
        <v>2013</v>
      </c>
    </row>
    <row r="191" spans="1:23" ht="12.3" x14ac:dyDescent="0.4">
      <c r="A191" s="2" t="s">
        <v>140</v>
      </c>
      <c r="B191" s="2"/>
      <c r="C191" s="2"/>
      <c r="D191" s="2"/>
      <c r="E191" s="2"/>
      <c r="F191" s="2"/>
      <c r="G191" s="2"/>
      <c r="H191" s="2"/>
      <c r="I191" s="2"/>
      <c r="J191" s="2">
        <v>263</v>
      </c>
      <c r="K191" s="2">
        <v>63.787799999999997</v>
      </c>
      <c r="L191" s="2">
        <v>268</v>
      </c>
      <c r="M191" s="2">
        <v>99.600899999999996</v>
      </c>
      <c r="N191" s="2">
        <v>186</v>
      </c>
      <c r="O191" s="2">
        <v>98.342100000000002</v>
      </c>
      <c r="P191" s="2">
        <v>215</v>
      </c>
      <c r="Q191" s="2">
        <v>98.586699999999993</v>
      </c>
      <c r="R191" s="2">
        <v>132</v>
      </c>
      <c r="S191" s="2">
        <v>100.1514</v>
      </c>
      <c r="T191" s="2">
        <v>150</v>
      </c>
      <c r="U191" s="2">
        <v>0.44777800000000001</v>
      </c>
      <c r="V191" s="2">
        <v>190</v>
      </c>
      <c r="W191" s="2">
        <v>2013</v>
      </c>
    </row>
    <row r="192" spans="1:23" ht="12.3" x14ac:dyDescent="0.4">
      <c r="A192" s="2" t="s">
        <v>130</v>
      </c>
      <c r="B192" s="2"/>
      <c r="C192" s="2"/>
      <c r="D192" s="2"/>
      <c r="E192" s="2"/>
      <c r="F192" s="2"/>
      <c r="G192" s="2"/>
      <c r="H192" s="2"/>
      <c r="I192" s="2"/>
      <c r="J192" s="2">
        <v>35</v>
      </c>
      <c r="K192" s="2">
        <v>70.418700000000001</v>
      </c>
      <c r="L192" s="2">
        <v>21</v>
      </c>
      <c r="M192" s="2">
        <v>108.4097</v>
      </c>
      <c r="N192" s="2">
        <v>36</v>
      </c>
      <c r="O192" s="2">
        <v>106.1901</v>
      </c>
      <c r="P192" s="2">
        <v>71</v>
      </c>
      <c r="Q192" s="2">
        <v>102.9045</v>
      </c>
      <c r="R192" s="2">
        <v>223</v>
      </c>
      <c r="S192" s="2">
        <v>108.2974</v>
      </c>
      <c r="T192" s="2">
        <v>300</v>
      </c>
      <c r="U192" s="2">
        <v>0.443745</v>
      </c>
      <c r="V192" s="2">
        <v>191</v>
      </c>
      <c r="W192" s="2">
        <v>2013</v>
      </c>
    </row>
    <row r="193" spans="1:23" ht="12.3" x14ac:dyDescent="0.4">
      <c r="A193" s="2" t="s">
        <v>287</v>
      </c>
      <c r="B193" s="2"/>
      <c r="C193" s="2"/>
      <c r="D193" s="2"/>
      <c r="E193" s="2"/>
      <c r="F193" s="2"/>
      <c r="G193" s="2"/>
      <c r="H193" s="2"/>
      <c r="I193" s="2"/>
      <c r="J193" s="2">
        <v>54</v>
      </c>
      <c r="K193" s="2">
        <v>68.418899999999994</v>
      </c>
      <c r="L193" s="2">
        <v>64</v>
      </c>
      <c r="M193" s="2">
        <v>97.942899999999995</v>
      </c>
      <c r="N193" s="2">
        <v>228</v>
      </c>
      <c r="O193" s="2">
        <v>96.580299999999994</v>
      </c>
      <c r="P193" s="2">
        <v>249</v>
      </c>
      <c r="Q193" s="2">
        <v>97.036799999999999</v>
      </c>
      <c r="R193" s="2">
        <v>88</v>
      </c>
      <c r="S193" s="2">
        <v>98.516599999999997</v>
      </c>
      <c r="T193" s="2">
        <v>118</v>
      </c>
      <c r="U193" s="2">
        <v>0.44317899999999999</v>
      </c>
      <c r="V193" s="2">
        <v>192</v>
      </c>
      <c r="W193" s="2">
        <v>2013</v>
      </c>
    </row>
    <row r="194" spans="1:23" ht="12.3" x14ac:dyDescent="0.4">
      <c r="A194" s="2" t="s">
        <v>349</v>
      </c>
      <c r="B194" s="2"/>
      <c r="C194" s="2"/>
      <c r="D194" s="2"/>
      <c r="E194" s="2"/>
      <c r="F194" s="2"/>
      <c r="G194" s="2"/>
      <c r="H194" s="2"/>
      <c r="I194" s="2"/>
      <c r="J194" s="2">
        <v>98</v>
      </c>
      <c r="K194" s="2">
        <v>67.333600000000004</v>
      </c>
      <c r="L194" s="2">
        <v>106</v>
      </c>
      <c r="M194" s="2">
        <v>102.49460000000001</v>
      </c>
      <c r="N194" s="2">
        <v>135</v>
      </c>
      <c r="O194" s="2">
        <v>101.22280000000001</v>
      </c>
      <c r="P194" s="2">
        <v>163</v>
      </c>
      <c r="Q194" s="2">
        <v>105.5518</v>
      </c>
      <c r="R194" s="2">
        <v>277</v>
      </c>
      <c r="S194" s="2">
        <v>103.25409999999999</v>
      </c>
      <c r="T194" s="2">
        <v>217</v>
      </c>
      <c r="U194" s="2">
        <v>0.44312299999999999</v>
      </c>
      <c r="V194" s="2">
        <v>193</v>
      </c>
      <c r="W194" s="2">
        <v>2013</v>
      </c>
    </row>
    <row r="195" spans="1:23" ht="12.3" x14ac:dyDescent="0.4">
      <c r="A195" s="2" t="s">
        <v>305</v>
      </c>
      <c r="B195" s="2"/>
      <c r="C195" s="2"/>
      <c r="D195" s="2"/>
      <c r="E195" s="2"/>
      <c r="F195" s="2"/>
      <c r="G195" s="2"/>
      <c r="H195" s="2"/>
      <c r="I195" s="2"/>
      <c r="J195" s="2">
        <v>116</v>
      </c>
      <c r="K195" s="2">
        <v>67.798699999999997</v>
      </c>
      <c r="L195" s="2">
        <v>85</v>
      </c>
      <c r="M195" s="2">
        <v>104.4208</v>
      </c>
      <c r="N195" s="2">
        <v>97</v>
      </c>
      <c r="O195" s="2">
        <v>99.087500000000006</v>
      </c>
      <c r="P195" s="2">
        <v>197</v>
      </c>
      <c r="Q195" s="2">
        <v>98.618799999999993</v>
      </c>
      <c r="R195" s="2">
        <v>134</v>
      </c>
      <c r="S195" s="2">
        <v>101.1152</v>
      </c>
      <c r="T195" s="2">
        <v>172</v>
      </c>
      <c r="U195" s="2">
        <v>0.442023</v>
      </c>
      <c r="V195" s="2">
        <v>194</v>
      </c>
      <c r="W195" s="2">
        <v>2013</v>
      </c>
    </row>
    <row r="196" spans="1:23" ht="12.3" x14ac:dyDescent="0.4">
      <c r="A196" s="2" t="s">
        <v>160</v>
      </c>
      <c r="B196" s="2"/>
      <c r="C196" s="2"/>
      <c r="D196" s="2"/>
      <c r="E196" s="2"/>
      <c r="F196" s="2"/>
      <c r="G196" s="2"/>
      <c r="H196" s="2"/>
      <c r="I196" s="2"/>
      <c r="J196" s="2">
        <v>276</v>
      </c>
      <c r="K196" s="2">
        <v>64.734300000000005</v>
      </c>
      <c r="L196" s="2">
        <v>227</v>
      </c>
      <c r="M196" s="2">
        <v>99.462199999999996</v>
      </c>
      <c r="N196" s="2">
        <v>188</v>
      </c>
      <c r="O196" s="2">
        <v>101.46299999999999</v>
      </c>
      <c r="P196" s="2">
        <v>156</v>
      </c>
      <c r="Q196" s="2">
        <v>104.6957</v>
      </c>
      <c r="R196" s="2">
        <v>263</v>
      </c>
      <c r="S196" s="2">
        <v>103.8716</v>
      </c>
      <c r="T196" s="2">
        <v>235</v>
      </c>
      <c r="U196" s="2">
        <v>0.43295400000000001</v>
      </c>
      <c r="V196" s="2">
        <v>195</v>
      </c>
      <c r="W196" s="2">
        <v>2013</v>
      </c>
    </row>
    <row r="197" spans="1:23" ht="12.3" x14ac:dyDescent="0.4">
      <c r="A197" s="2" t="s">
        <v>258</v>
      </c>
      <c r="B197" s="2"/>
      <c r="C197" s="2"/>
      <c r="D197" s="2"/>
      <c r="E197" s="2"/>
      <c r="F197" s="2"/>
      <c r="G197" s="2"/>
      <c r="H197" s="2"/>
      <c r="I197" s="2"/>
      <c r="J197" s="2">
        <v>282</v>
      </c>
      <c r="K197" s="2">
        <v>63.5169</v>
      </c>
      <c r="L197" s="2">
        <v>273</v>
      </c>
      <c r="M197" s="2">
        <v>95.715199999999996</v>
      </c>
      <c r="N197" s="2">
        <v>265</v>
      </c>
      <c r="O197" s="2">
        <v>98.514600000000002</v>
      </c>
      <c r="P197" s="2">
        <v>211</v>
      </c>
      <c r="Q197" s="2">
        <v>104.4966</v>
      </c>
      <c r="R197" s="2">
        <v>254</v>
      </c>
      <c r="S197" s="2">
        <v>100.902</v>
      </c>
      <c r="T197" s="2">
        <v>167</v>
      </c>
      <c r="U197" s="2">
        <v>0.43158999999999997</v>
      </c>
      <c r="V197" s="2">
        <v>196</v>
      </c>
      <c r="W197" s="2">
        <v>2013</v>
      </c>
    </row>
    <row r="198" spans="1:23" ht="12.3" x14ac:dyDescent="0.4">
      <c r="A198" s="2" t="s">
        <v>274</v>
      </c>
      <c r="B198" s="2"/>
      <c r="C198" s="2"/>
      <c r="D198" s="2"/>
      <c r="E198" s="2"/>
      <c r="F198" s="2"/>
      <c r="G198" s="2"/>
      <c r="H198" s="2"/>
      <c r="I198" s="2"/>
      <c r="J198" s="2">
        <v>99</v>
      </c>
      <c r="K198" s="2">
        <v>66.409400000000005</v>
      </c>
      <c r="L198" s="2">
        <v>147</v>
      </c>
      <c r="M198" s="2">
        <v>104.0673</v>
      </c>
      <c r="N198" s="2">
        <v>101</v>
      </c>
      <c r="O198" s="2">
        <v>101.2235</v>
      </c>
      <c r="P198" s="2">
        <v>162</v>
      </c>
      <c r="Q198" s="2">
        <v>103.55589999999999</v>
      </c>
      <c r="R198" s="2">
        <v>229</v>
      </c>
      <c r="S198" s="2">
        <v>103.7289</v>
      </c>
      <c r="T198" s="2">
        <v>231</v>
      </c>
      <c r="U198" s="2">
        <v>0.43016599999999999</v>
      </c>
      <c r="V198" s="2">
        <v>197</v>
      </c>
      <c r="W198" s="2">
        <v>2013</v>
      </c>
    </row>
    <row r="199" spans="1:23" ht="12.3" x14ac:dyDescent="0.4">
      <c r="A199" s="2" t="s">
        <v>317</v>
      </c>
      <c r="B199" s="2"/>
      <c r="C199" s="2"/>
      <c r="D199" s="2"/>
      <c r="E199" s="2"/>
      <c r="F199" s="2"/>
      <c r="G199" s="2"/>
      <c r="H199" s="2"/>
      <c r="I199" s="2"/>
      <c r="J199" s="2">
        <v>118</v>
      </c>
      <c r="K199" s="2">
        <v>67.794600000000003</v>
      </c>
      <c r="L199" s="2">
        <v>87</v>
      </c>
      <c r="M199" s="2">
        <v>99.922700000000006</v>
      </c>
      <c r="N199" s="2">
        <v>182</v>
      </c>
      <c r="O199" s="2">
        <v>100.2403</v>
      </c>
      <c r="P199" s="2">
        <v>182</v>
      </c>
      <c r="Q199" s="2">
        <v>102.42359999999999</v>
      </c>
      <c r="R199" s="2">
        <v>207</v>
      </c>
      <c r="S199" s="2">
        <v>102.9034</v>
      </c>
      <c r="T199" s="2">
        <v>210</v>
      </c>
      <c r="U199" s="2">
        <v>0.42518400000000001</v>
      </c>
      <c r="V199" s="2">
        <v>198</v>
      </c>
      <c r="W199" s="2">
        <v>2013</v>
      </c>
    </row>
    <row r="200" spans="1:23" ht="12.3" x14ac:dyDescent="0.4">
      <c r="A200" s="2" t="s">
        <v>345</v>
      </c>
      <c r="B200" s="2"/>
      <c r="C200" s="2"/>
      <c r="D200" s="2"/>
      <c r="E200" s="2"/>
      <c r="F200" s="2"/>
      <c r="G200" s="2"/>
      <c r="H200" s="2"/>
      <c r="I200" s="2"/>
      <c r="J200" s="2">
        <v>109</v>
      </c>
      <c r="K200" s="2">
        <v>66.953400000000002</v>
      </c>
      <c r="L200" s="2">
        <v>122</v>
      </c>
      <c r="M200" s="2">
        <v>98.845600000000005</v>
      </c>
      <c r="N200" s="2">
        <v>204</v>
      </c>
      <c r="O200" s="2">
        <v>98.1785</v>
      </c>
      <c r="P200" s="2">
        <v>223</v>
      </c>
      <c r="Q200" s="2">
        <v>95.422499999999999</v>
      </c>
      <c r="R200" s="2">
        <v>61</v>
      </c>
      <c r="S200" s="2">
        <v>101.08669999999999</v>
      </c>
      <c r="T200" s="2">
        <v>170</v>
      </c>
      <c r="U200" s="2">
        <v>0.41685299999999997</v>
      </c>
      <c r="V200" s="2">
        <v>199</v>
      </c>
      <c r="W200" s="2">
        <v>2013</v>
      </c>
    </row>
    <row r="201" spans="1:23" ht="12.3" x14ac:dyDescent="0.4">
      <c r="A201" s="2" t="s">
        <v>304</v>
      </c>
      <c r="B201" s="2"/>
      <c r="C201" s="2"/>
      <c r="D201" s="2"/>
      <c r="E201" s="2"/>
      <c r="F201" s="2"/>
      <c r="G201" s="2"/>
      <c r="H201" s="2"/>
      <c r="I201" s="2"/>
      <c r="J201" s="2">
        <v>294</v>
      </c>
      <c r="K201" s="2">
        <v>63.331699999999998</v>
      </c>
      <c r="L201" s="2">
        <v>278</v>
      </c>
      <c r="M201" s="2">
        <v>106.2414</v>
      </c>
      <c r="N201" s="2">
        <v>70</v>
      </c>
      <c r="O201" s="2">
        <v>108.35550000000001</v>
      </c>
      <c r="P201" s="2">
        <v>49</v>
      </c>
      <c r="Q201" s="2">
        <v>110.5295</v>
      </c>
      <c r="R201" s="2">
        <v>333</v>
      </c>
      <c r="S201" s="2">
        <v>111.6724</v>
      </c>
      <c r="T201" s="2">
        <v>334</v>
      </c>
      <c r="U201" s="2">
        <v>0.41417199999999998</v>
      </c>
      <c r="V201" s="2">
        <v>200</v>
      </c>
      <c r="W201" s="2">
        <v>2013</v>
      </c>
    </row>
    <row r="202" spans="1:23" ht="12.3" x14ac:dyDescent="0.4">
      <c r="A202" s="2" t="s">
        <v>275</v>
      </c>
      <c r="B202" s="2"/>
      <c r="C202" s="2"/>
      <c r="D202" s="2"/>
      <c r="E202" s="2"/>
      <c r="F202" s="2"/>
      <c r="G202" s="2"/>
      <c r="H202" s="2"/>
      <c r="I202" s="2"/>
      <c r="J202" s="2">
        <v>281</v>
      </c>
      <c r="K202" s="2">
        <v>62.6526</v>
      </c>
      <c r="L202" s="2">
        <v>295</v>
      </c>
      <c r="M202" s="2">
        <v>101.4071</v>
      </c>
      <c r="N202" s="2">
        <v>162</v>
      </c>
      <c r="O202" s="2">
        <v>101.2638</v>
      </c>
      <c r="P202" s="2">
        <v>160</v>
      </c>
      <c r="Q202" s="2">
        <v>101.8347</v>
      </c>
      <c r="R202" s="2">
        <v>194</v>
      </c>
      <c r="S202" s="2">
        <v>104.4555</v>
      </c>
      <c r="T202" s="2">
        <v>249</v>
      </c>
      <c r="U202" s="2">
        <v>0.41171600000000003</v>
      </c>
      <c r="V202" s="2">
        <v>201</v>
      </c>
      <c r="W202" s="2">
        <v>2013</v>
      </c>
    </row>
    <row r="203" spans="1:23" ht="12.3" x14ac:dyDescent="0.4">
      <c r="A203" s="2" t="s">
        <v>311</v>
      </c>
      <c r="B203" s="2"/>
      <c r="C203" s="2"/>
      <c r="D203" s="2"/>
      <c r="E203" s="2"/>
      <c r="F203" s="2"/>
      <c r="G203" s="2"/>
      <c r="H203" s="2"/>
      <c r="I203" s="2"/>
      <c r="J203" s="2">
        <v>29</v>
      </c>
      <c r="K203" s="2">
        <v>69.133799999999994</v>
      </c>
      <c r="L203" s="2">
        <v>42</v>
      </c>
      <c r="M203" s="2">
        <v>107.6144</v>
      </c>
      <c r="N203" s="2">
        <v>45</v>
      </c>
      <c r="O203" s="2">
        <v>105.1327</v>
      </c>
      <c r="P203" s="2">
        <v>89</v>
      </c>
      <c r="Q203" s="2">
        <v>107.7607</v>
      </c>
      <c r="R203" s="2">
        <v>316</v>
      </c>
      <c r="S203" s="2">
        <v>108.5324</v>
      </c>
      <c r="T203" s="2">
        <v>307</v>
      </c>
      <c r="U203" s="2">
        <v>0.40950999999999999</v>
      </c>
      <c r="V203" s="2">
        <v>202</v>
      </c>
      <c r="W203" s="2">
        <v>2013</v>
      </c>
    </row>
    <row r="204" spans="1:23" ht="12.3" x14ac:dyDescent="0.4">
      <c r="A204" s="2" t="s">
        <v>306</v>
      </c>
      <c r="B204" s="2"/>
      <c r="C204" s="2"/>
      <c r="D204" s="2"/>
      <c r="E204" s="2"/>
      <c r="F204" s="2"/>
      <c r="G204" s="2"/>
      <c r="H204" s="2"/>
      <c r="I204" s="2"/>
      <c r="J204" s="2">
        <v>167</v>
      </c>
      <c r="K204" s="2">
        <v>65.741</v>
      </c>
      <c r="L204" s="2">
        <v>178</v>
      </c>
      <c r="M204" s="2">
        <v>101.8656</v>
      </c>
      <c r="N204" s="2">
        <v>151</v>
      </c>
      <c r="O204" s="2">
        <v>98.324700000000007</v>
      </c>
      <c r="P204" s="2">
        <v>217</v>
      </c>
      <c r="Q204" s="2">
        <v>98.677899999999994</v>
      </c>
      <c r="R204" s="2">
        <v>135</v>
      </c>
      <c r="S204" s="2">
        <v>101.8057</v>
      </c>
      <c r="T204" s="2">
        <v>190</v>
      </c>
      <c r="U204" s="2">
        <v>0.40128900000000001</v>
      </c>
      <c r="V204" s="2">
        <v>203</v>
      </c>
      <c r="W204" s="2">
        <v>2013</v>
      </c>
    </row>
    <row r="205" spans="1:23" ht="12.3" x14ac:dyDescent="0.4">
      <c r="A205" s="2" t="s">
        <v>66</v>
      </c>
      <c r="B205" s="2"/>
      <c r="C205" s="2"/>
      <c r="D205" s="2"/>
      <c r="E205" s="2"/>
      <c r="F205" s="2"/>
      <c r="G205" s="2"/>
      <c r="H205" s="2"/>
      <c r="I205" s="2"/>
      <c r="J205" s="2">
        <v>34</v>
      </c>
      <c r="K205" s="2">
        <v>69.347700000000003</v>
      </c>
      <c r="L205" s="2">
        <v>33</v>
      </c>
      <c r="M205" s="2">
        <v>103.27630000000001</v>
      </c>
      <c r="N205" s="2">
        <v>120</v>
      </c>
      <c r="O205" s="2">
        <v>101.6926</v>
      </c>
      <c r="P205" s="2">
        <v>150</v>
      </c>
      <c r="Q205" s="2">
        <v>102.73090000000001</v>
      </c>
      <c r="R205" s="2">
        <v>217</v>
      </c>
      <c r="S205" s="2">
        <v>105.33920000000001</v>
      </c>
      <c r="T205" s="2">
        <v>261</v>
      </c>
      <c r="U205" s="2">
        <v>0.40007500000000001</v>
      </c>
      <c r="V205" s="2">
        <v>204</v>
      </c>
      <c r="W205" s="2">
        <v>2013</v>
      </c>
    </row>
    <row r="206" spans="1:23" ht="12.3" x14ac:dyDescent="0.4">
      <c r="A206" s="2" t="s">
        <v>320</v>
      </c>
      <c r="B206" s="2"/>
      <c r="C206" s="2"/>
      <c r="D206" s="2"/>
      <c r="E206" s="2"/>
      <c r="F206" s="2"/>
      <c r="G206" s="2"/>
      <c r="H206" s="2"/>
      <c r="I206" s="2"/>
      <c r="J206" s="2">
        <v>67</v>
      </c>
      <c r="K206" s="2">
        <v>68.632199999999997</v>
      </c>
      <c r="L206" s="2">
        <v>56</v>
      </c>
      <c r="M206" s="2">
        <v>96.6982</v>
      </c>
      <c r="N206" s="2">
        <v>246</v>
      </c>
      <c r="O206" s="2">
        <v>93.937200000000004</v>
      </c>
      <c r="P206" s="2">
        <v>296</v>
      </c>
      <c r="Q206" s="2">
        <v>95.088499999999996</v>
      </c>
      <c r="R206" s="2">
        <v>58</v>
      </c>
      <c r="S206" s="2">
        <v>97.358599999999996</v>
      </c>
      <c r="T206" s="2">
        <v>102</v>
      </c>
      <c r="U206" s="2">
        <v>0.39857399999999998</v>
      </c>
      <c r="V206" s="2">
        <v>205</v>
      </c>
      <c r="W206" s="2">
        <v>2013</v>
      </c>
    </row>
    <row r="207" spans="1:23" ht="12.3" x14ac:dyDescent="0.4">
      <c r="A207" s="2" t="s">
        <v>22</v>
      </c>
      <c r="B207" s="2"/>
      <c r="C207" s="2"/>
      <c r="D207" s="2"/>
      <c r="E207" s="2"/>
      <c r="F207" s="2"/>
      <c r="G207" s="2"/>
      <c r="H207" s="2"/>
      <c r="I207" s="2"/>
      <c r="J207" s="2">
        <v>332</v>
      </c>
      <c r="K207" s="2">
        <v>60.882800000000003</v>
      </c>
      <c r="L207" s="2">
        <v>328</v>
      </c>
      <c r="M207" s="2">
        <v>94.648300000000006</v>
      </c>
      <c r="N207" s="2">
        <v>284</v>
      </c>
      <c r="O207" s="2">
        <v>100.0712</v>
      </c>
      <c r="P207" s="2">
        <v>186</v>
      </c>
      <c r="Q207" s="2">
        <v>106.51390000000001</v>
      </c>
      <c r="R207" s="2">
        <v>299</v>
      </c>
      <c r="S207" s="2">
        <v>103.7658</v>
      </c>
      <c r="T207" s="2">
        <v>232</v>
      </c>
      <c r="U207" s="2">
        <v>0.39725300000000002</v>
      </c>
      <c r="V207" s="2">
        <v>206</v>
      </c>
      <c r="W207" s="2">
        <v>2013</v>
      </c>
    </row>
    <row r="208" spans="1:23" ht="12.3" x14ac:dyDescent="0.4">
      <c r="A208" s="2" t="s">
        <v>165</v>
      </c>
      <c r="B208" s="2"/>
      <c r="C208" s="2"/>
      <c r="D208" s="2"/>
      <c r="E208" s="2"/>
      <c r="F208" s="2"/>
      <c r="G208" s="2"/>
      <c r="H208" s="2"/>
      <c r="I208" s="2"/>
      <c r="J208" s="2">
        <v>84</v>
      </c>
      <c r="K208" s="2">
        <v>69.354699999999994</v>
      </c>
      <c r="L208" s="2">
        <v>32</v>
      </c>
      <c r="M208" s="2">
        <v>105.41889999999999</v>
      </c>
      <c r="N208" s="2">
        <v>84</v>
      </c>
      <c r="O208" s="2">
        <v>104.69329999999999</v>
      </c>
      <c r="P208" s="2">
        <v>100</v>
      </c>
      <c r="Q208" s="2">
        <v>109.1502</v>
      </c>
      <c r="R208" s="2">
        <v>328</v>
      </c>
      <c r="S208" s="2">
        <v>108.6007</v>
      </c>
      <c r="T208" s="2">
        <v>309</v>
      </c>
      <c r="U208" s="2">
        <v>0.39618300000000001</v>
      </c>
      <c r="V208" s="2">
        <v>207</v>
      </c>
      <c r="W208" s="2">
        <v>2013</v>
      </c>
    </row>
    <row r="209" spans="1:23" ht="12.3" x14ac:dyDescent="0.4">
      <c r="A209" s="2" t="s">
        <v>303</v>
      </c>
      <c r="B209" s="2"/>
      <c r="C209" s="2"/>
      <c r="D209" s="2"/>
      <c r="E209" s="2"/>
      <c r="F209" s="2"/>
      <c r="G209" s="2"/>
      <c r="H209" s="2"/>
      <c r="I209" s="2"/>
      <c r="J209" s="2">
        <v>61</v>
      </c>
      <c r="K209" s="2">
        <v>68.8523</v>
      </c>
      <c r="L209" s="2">
        <v>48</v>
      </c>
      <c r="M209" s="2">
        <v>105.4584</v>
      </c>
      <c r="N209" s="2">
        <v>82</v>
      </c>
      <c r="O209" s="2">
        <v>102.86409999999999</v>
      </c>
      <c r="P209" s="2">
        <v>134</v>
      </c>
      <c r="Q209" s="2">
        <v>104.62820000000001</v>
      </c>
      <c r="R209" s="2">
        <v>260</v>
      </c>
      <c r="S209" s="2">
        <v>106.7787</v>
      </c>
      <c r="T209" s="2">
        <v>284</v>
      </c>
      <c r="U209" s="2">
        <v>0.39424100000000001</v>
      </c>
      <c r="V209" s="2">
        <v>208</v>
      </c>
      <c r="W209" s="2">
        <v>2013</v>
      </c>
    </row>
    <row r="210" spans="1:23" ht="12.3" x14ac:dyDescent="0.4">
      <c r="A210" s="2" t="s">
        <v>197</v>
      </c>
      <c r="B210" s="2"/>
      <c r="C210" s="2"/>
      <c r="D210" s="2"/>
      <c r="E210" s="2"/>
      <c r="F210" s="2"/>
      <c r="G210" s="2"/>
      <c r="H210" s="2"/>
      <c r="I210" s="2"/>
      <c r="J210" s="2">
        <v>64</v>
      </c>
      <c r="K210" s="2">
        <v>67.966700000000003</v>
      </c>
      <c r="L210" s="2">
        <v>79</v>
      </c>
      <c r="M210" s="2">
        <v>99.146900000000002</v>
      </c>
      <c r="N210" s="2">
        <v>197</v>
      </c>
      <c r="O210" s="2">
        <v>100.57680000000001</v>
      </c>
      <c r="P210" s="2">
        <v>176</v>
      </c>
      <c r="Q210" s="2">
        <v>105.4962</v>
      </c>
      <c r="R210" s="2">
        <v>275</v>
      </c>
      <c r="S210" s="2">
        <v>104.4059</v>
      </c>
      <c r="T210" s="2">
        <v>247</v>
      </c>
      <c r="U210" s="2">
        <v>0.39419999999999999</v>
      </c>
      <c r="V210" s="2">
        <v>209</v>
      </c>
      <c r="W210" s="2">
        <v>2013</v>
      </c>
    </row>
    <row r="211" spans="1:23" ht="12.3" x14ac:dyDescent="0.4">
      <c r="A211" s="2" t="s">
        <v>367</v>
      </c>
      <c r="B211" s="2"/>
      <c r="C211" s="2"/>
      <c r="D211" s="2"/>
      <c r="E211" s="2"/>
      <c r="F211" s="2"/>
      <c r="G211" s="2"/>
      <c r="H211" s="2"/>
      <c r="I211" s="2"/>
      <c r="J211" s="2">
        <v>141</v>
      </c>
      <c r="K211" s="2">
        <v>66.448400000000007</v>
      </c>
      <c r="L211" s="2">
        <v>143</v>
      </c>
      <c r="M211" s="2">
        <v>103.5585</v>
      </c>
      <c r="N211" s="2">
        <v>112</v>
      </c>
      <c r="O211" s="2">
        <v>100.33920000000001</v>
      </c>
      <c r="P211" s="2">
        <v>180</v>
      </c>
      <c r="Q211" s="2">
        <v>101.88249999999999</v>
      </c>
      <c r="R211" s="2">
        <v>195</v>
      </c>
      <c r="S211" s="2">
        <v>104.2159</v>
      </c>
      <c r="T211" s="2">
        <v>244</v>
      </c>
      <c r="U211" s="2">
        <v>0.39270500000000003</v>
      </c>
      <c r="V211" s="2">
        <v>210</v>
      </c>
      <c r="W211" s="2">
        <v>2013</v>
      </c>
    </row>
    <row r="212" spans="1:23" ht="12.3" x14ac:dyDescent="0.4">
      <c r="A212" s="2" t="s">
        <v>104</v>
      </c>
      <c r="B212" s="2"/>
      <c r="C212" s="2"/>
      <c r="D212" s="2"/>
      <c r="E212" s="2"/>
      <c r="F212" s="2"/>
      <c r="G212" s="2"/>
      <c r="H212" s="2"/>
      <c r="I212" s="2"/>
      <c r="J212" s="2">
        <v>257</v>
      </c>
      <c r="K212" s="2">
        <v>64.107900000000001</v>
      </c>
      <c r="L212" s="2">
        <v>259</v>
      </c>
      <c r="M212" s="2">
        <v>97.326099999999997</v>
      </c>
      <c r="N212" s="2">
        <v>237</v>
      </c>
      <c r="O212" s="2">
        <v>96.703299999999999</v>
      </c>
      <c r="P212" s="2">
        <v>245</v>
      </c>
      <c r="Q212" s="2">
        <v>104.4743</v>
      </c>
      <c r="R212" s="2">
        <v>253</v>
      </c>
      <c r="S212" s="2">
        <v>100.50279999999999</v>
      </c>
      <c r="T212" s="2">
        <v>160</v>
      </c>
      <c r="U212" s="2">
        <v>0.39097999999999999</v>
      </c>
      <c r="V212" s="2">
        <v>211</v>
      </c>
      <c r="W212" s="2">
        <v>2013</v>
      </c>
    </row>
    <row r="213" spans="1:23" ht="12.3" x14ac:dyDescent="0.4">
      <c r="A213" s="2" t="s">
        <v>352</v>
      </c>
      <c r="B213" s="2"/>
      <c r="C213" s="2"/>
      <c r="D213" s="2"/>
      <c r="E213" s="2"/>
      <c r="F213" s="2"/>
      <c r="G213" s="2"/>
      <c r="H213" s="2"/>
      <c r="I213" s="2"/>
      <c r="J213" s="2">
        <v>298</v>
      </c>
      <c r="K213" s="2">
        <v>63.298299999999998</v>
      </c>
      <c r="L213" s="2">
        <v>279</v>
      </c>
      <c r="M213" s="2">
        <v>85.690100000000001</v>
      </c>
      <c r="N213" s="2">
        <v>341</v>
      </c>
      <c r="O213" s="2">
        <v>86.462400000000002</v>
      </c>
      <c r="P213" s="2">
        <v>340</v>
      </c>
      <c r="Q213" s="2">
        <v>86.220299999999995</v>
      </c>
      <c r="R213" s="2">
        <v>4</v>
      </c>
      <c r="S213" s="2">
        <v>89.972300000000004</v>
      </c>
      <c r="T213" s="2">
        <v>14</v>
      </c>
      <c r="U213" s="2">
        <v>0.38755099999999998</v>
      </c>
      <c r="V213" s="2">
        <v>212</v>
      </c>
      <c r="W213" s="2">
        <v>2013</v>
      </c>
    </row>
    <row r="214" spans="1:23" ht="12.3" x14ac:dyDescent="0.4">
      <c r="A214" s="2" t="s">
        <v>113</v>
      </c>
      <c r="B214" s="2"/>
      <c r="C214" s="2"/>
      <c r="D214" s="2"/>
      <c r="E214" s="2"/>
      <c r="F214" s="2"/>
      <c r="G214" s="2"/>
      <c r="H214" s="2"/>
      <c r="I214" s="2"/>
      <c r="J214" s="2">
        <v>146</v>
      </c>
      <c r="K214" s="2">
        <v>67.281999999999996</v>
      </c>
      <c r="L214" s="2">
        <v>108</v>
      </c>
      <c r="M214" s="2">
        <v>95.318399999999997</v>
      </c>
      <c r="N214" s="2">
        <v>275</v>
      </c>
      <c r="O214" s="2">
        <v>96.248900000000006</v>
      </c>
      <c r="P214" s="2">
        <v>254</v>
      </c>
      <c r="Q214" s="2">
        <v>101.1803</v>
      </c>
      <c r="R214" s="2">
        <v>178</v>
      </c>
      <c r="S214" s="2">
        <v>100.1575</v>
      </c>
      <c r="T214" s="2">
        <v>151</v>
      </c>
      <c r="U214" s="2">
        <v>0.38751200000000002</v>
      </c>
      <c r="V214" s="2">
        <v>213</v>
      </c>
      <c r="W214" s="2">
        <v>2013</v>
      </c>
    </row>
    <row r="215" spans="1:23" ht="12.3" x14ac:dyDescent="0.4">
      <c r="A215" s="2" t="s">
        <v>357</v>
      </c>
      <c r="B215" s="2"/>
      <c r="C215" s="2"/>
      <c r="D215" s="2"/>
      <c r="E215" s="2"/>
      <c r="F215" s="2"/>
      <c r="G215" s="2"/>
      <c r="H215" s="2"/>
      <c r="I215" s="2"/>
      <c r="J215" s="2">
        <v>110</v>
      </c>
      <c r="K215" s="2">
        <v>67.281000000000006</v>
      </c>
      <c r="L215" s="2">
        <v>109</v>
      </c>
      <c r="M215" s="2">
        <v>105.26949999999999</v>
      </c>
      <c r="N215" s="2">
        <v>88</v>
      </c>
      <c r="O215" s="2">
        <v>102.6794</v>
      </c>
      <c r="P215" s="2">
        <v>136</v>
      </c>
      <c r="Q215" s="2">
        <v>107.0287</v>
      </c>
      <c r="R215" s="2">
        <v>303</v>
      </c>
      <c r="S215" s="2">
        <v>106.8664</v>
      </c>
      <c r="T215" s="2">
        <v>286</v>
      </c>
      <c r="U215" s="2">
        <v>0.387073</v>
      </c>
      <c r="V215" s="2">
        <v>214</v>
      </c>
      <c r="W215" s="2">
        <v>2013</v>
      </c>
    </row>
    <row r="216" spans="1:23" ht="12.3" x14ac:dyDescent="0.4">
      <c r="A216" s="2" t="s">
        <v>291</v>
      </c>
      <c r="B216" s="2"/>
      <c r="C216" s="2"/>
      <c r="D216" s="2"/>
      <c r="E216" s="2"/>
      <c r="F216" s="2"/>
      <c r="G216" s="2"/>
      <c r="H216" s="2"/>
      <c r="I216" s="2"/>
      <c r="J216" s="2">
        <v>203</v>
      </c>
      <c r="K216" s="2">
        <v>64.658500000000004</v>
      </c>
      <c r="L216" s="2">
        <v>229</v>
      </c>
      <c r="M216" s="2">
        <v>95.321200000000005</v>
      </c>
      <c r="N216" s="2">
        <v>274</v>
      </c>
      <c r="O216" s="2">
        <v>95.938100000000006</v>
      </c>
      <c r="P216" s="2">
        <v>264</v>
      </c>
      <c r="Q216" s="2">
        <v>104.54510000000001</v>
      </c>
      <c r="R216" s="2">
        <v>257</v>
      </c>
      <c r="S216" s="2">
        <v>99.891499999999994</v>
      </c>
      <c r="T216" s="2">
        <v>144</v>
      </c>
      <c r="U216" s="2">
        <v>0.38594800000000001</v>
      </c>
      <c r="V216" s="2">
        <v>215</v>
      </c>
      <c r="W216" s="2">
        <v>2013</v>
      </c>
    </row>
    <row r="217" spans="1:23" ht="12.3" x14ac:dyDescent="0.4">
      <c r="A217" s="2" t="s">
        <v>295</v>
      </c>
      <c r="B217" s="2"/>
      <c r="C217" s="2"/>
      <c r="D217" s="2"/>
      <c r="E217" s="2"/>
      <c r="F217" s="2"/>
      <c r="G217" s="2"/>
      <c r="H217" s="2"/>
      <c r="I217" s="2"/>
      <c r="J217" s="2">
        <v>240</v>
      </c>
      <c r="K217" s="2">
        <v>64.231499999999997</v>
      </c>
      <c r="L217" s="2">
        <v>253</v>
      </c>
      <c r="M217" s="2">
        <v>93.752399999999994</v>
      </c>
      <c r="N217" s="2">
        <v>296</v>
      </c>
      <c r="O217" s="2">
        <v>92.656099999999995</v>
      </c>
      <c r="P217" s="2">
        <v>304</v>
      </c>
      <c r="Q217" s="2">
        <v>94.6768</v>
      </c>
      <c r="R217" s="2">
        <v>51</v>
      </c>
      <c r="S217" s="2">
        <v>96.484700000000004</v>
      </c>
      <c r="T217" s="2">
        <v>85</v>
      </c>
      <c r="U217" s="2">
        <v>0.38565199999999999</v>
      </c>
      <c r="V217" s="2">
        <v>216</v>
      </c>
      <c r="W217" s="2">
        <v>2013</v>
      </c>
    </row>
    <row r="218" spans="1:23" ht="12.3" x14ac:dyDescent="0.4">
      <c r="A218" s="2" t="s">
        <v>17</v>
      </c>
      <c r="B218" s="2"/>
      <c r="C218" s="2"/>
      <c r="D218" s="2"/>
      <c r="E218" s="2"/>
      <c r="F218" s="2"/>
      <c r="G218" s="2"/>
      <c r="H218" s="2"/>
      <c r="I218" s="2"/>
      <c r="J218" s="2">
        <v>157</v>
      </c>
      <c r="K218" s="2">
        <v>66.405000000000001</v>
      </c>
      <c r="L218" s="2">
        <v>149</v>
      </c>
      <c r="M218" s="2">
        <v>97.835899999999995</v>
      </c>
      <c r="N218" s="2">
        <v>232</v>
      </c>
      <c r="O218" s="2">
        <v>99.361800000000002</v>
      </c>
      <c r="P218" s="2">
        <v>196</v>
      </c>
      <c r="Q218" s="2">
        <v>102.81699999999999</v>
      </c>
      <c r="R218" s="2">
        <v>221</v>
      </c>
      <c r="S218" s="2">
        <v>103.5502</v>
      </c>
      <c r="T218" s="2">
        <v>227</v>
      </c>
      <c r="U218" s="2">
        <v>0.38347500000000001</v>
      </c>
      <c r="V218" s="2">
        <v>217</v>
      </c>
      <c r="W218" s="2">
        <v>2013</v>
      </c>
    </row>
    <row r="219" spans="1:23" ht="12.3" x14ac:dyDescent="0.4">
      <c r="A219" s="2" t="s">
        <v>89</v>
      </c>
      <c r="B219" s="2"/>
      <c r="C219" s="2"/>
      <c r="D219" s="2"/>
      <c r="E219" s="2"/>
      <c r="F219" s="2"/>
      <c r="G219" s="2"/>
      <c r="H219" s="2"/>
      <c r="I219" s="2"/>
      <c r="J219" s="2">
        <v>258</v>
      </c>
      <c r="K219" s="2">
        <v>64.482900000000001</v>
      </c>
      <c r="L219" s="2">
        <v>238</v>
      </c>
      <c r="M219" s="2">
        <v>96.184799999999996</v>
      </c>
      <c r="N219" s="2">
        <v>256</v>
      </c>
      <c r="O219" s="2">
        <v>95.075100000000006</v>
      </c>
      <c r="P219" s="2">
        <v>280</v>
      </c>
      <c r="Q219" s="2">
        <v>98.210899999999995</v>
      </c>
      <c r="R219" s="2">
        <v>120</v>
      </c>
      <c r="S219" s="2">
        <v>99.1023</v>
      </c>
      <c r="T219" s="2">
        <v>133</v>
      </c>
      <c r="U219" s="2">
        <v>0.38293899999999997</v>
      </c>
      <c r="V219" s="2">
        <v>218</v>
      </c>
      <c r="W219" s="2">
        <v>2013</v>
      </c>
    </row>
    <row r="220" spans="1:23" ht="12.3" x14ac:dyDescent="0.4">
      <c r="A220" s="2" t="s">
        <v>296</v>
      </c>
      <c r="B220" s="2">
        <v>16</v>
      </c>
      <c r="C220" s="2"/>
      <c r="D220" s="2"/>
      <c r="E220" s="2"/>
      <c r="F220" s="2"/>
      <c r="G220" s="2"/>
      <c r="H220" s="2"/>
      <c r="I220" s="2">
        <v>66.788399999999996</v>
      </c>
      <c r="J220" s="2">
        <v>131</v>
      </c>
      <c r="K220" s="2">
        <v>66.834199999999996</v>
      </c>
      <c r="L220" s="2">
        <v>127</v>
      </c>
      <c r="M220" s="2">
        <v>92.000100000000003</v>
      </c>
      <c r="N220" s="2">
        <v>313</v>
      </c>
      <c r="O220" s="2">
        <v>91.118799999999993</v>
      </c>
      <c r="P220" s="2">
        <v>318</v>
      </c>
      <c r="Q220" s="2">
        <v>91.288200000000003</v>
      </c>
      <c r="R220" s="2">
        <v>19</v>
      </c>
      <c r="S220" s="2">
        <v>95.227800000000002</v>
      </c>
      <c r="T220" s="2">
        <v>66</v>
      </c>
      <c r="U220" s="2">
        <v>0.37583899999999998</v>
      </c>
      <c r="V220" s="2">
        <v>219</v>
      </c>
      <c r="W220" s="2">
        <v>2013</v>
      </c>
    </row>
    <row r="221" spans="1:23" ht="12.3" x14ac:dyDescent="0.4">
      <c r="A221" s="2" t="s">
        <v>281</v>
      </c>
      <c r="B221" s="2"/>
      <c r="C221" s="2"/>
      <c r="D221" s="2"/>
      <c r="E221" s="2"/>
      <c r="F221" s="2"/>
      <c r="G221" s="2"/>
      <c r="H221" s="2"/>
      <c r="I221" s="2"/>
      <c r="J221" s="2">
        <v>40</v>
      </c>
      <c r="K221" s="2">
        <v>69.285799999999995</v>
      </c>
      <c r="L221" s="2">
        <v>38</v>
      </c>
      <c r="M221" s="2">
        <v>102.0694</v>
      </c>
      <c r="N221" s="2">
        <v>144</v>
      </c>
      <c r="O221" s="2">
        <v>98.936000000000007</v>
      </c>
      <c r="P221" s="2">
        <v>203</v>
      </c>
      <c r="Q221" s="2">
        <v>101.1716</v>
      </c>
      <c r="R221" s="2">
        <v>177</v>
      </c>
      <c r="S221" s="2">
        <v>103.3976</v>
      </c>
      <c r="T221" s="2">
        <v>222</v>
      </c>
      <c r="U221" s="2">
        <v>0.37583899999999998</v>
      </c>
      <c r="V221" s="2">
        <v>220</v>
      </c>
      <c r="W221" s="2">
        <v>2013</v>
      </c>
    </row>
    <row r="222" spans="1:23" ht="12.3" x14ac:dyDescent="0.4">
      <c r="A222" s="2" t="s">
        <v>277</v>
      </c>
      <c r="B222" s="2"/>
      <c r="C222" s="2"/>
      <c r="D222" s="2"/>
      <c r="E222" s="2"/>
      <c r="F222" s="2"/>
      <c r="G222" s="2"/>
      <c r="H222" s="2"/>
      <c r="I222" s="2"/>
      <c r="J222" s="2">
        <v>100</v>
      </c>
      <c r="K222" s="2">
        <v>66.221000000000004</v>
      </c>
      <c r="L222" s="2">
        <v>157</v>
      </c>
      <c r="M222" s="2">
        <v>103.7189</v>
      </c>
      <c r="N222" s="2">
        <v>109</v>
      </c>
      <c r="O222" s="2">
        <v>101.4495</v>
      </c>
      <c r="P222" s="2">
        <v>158</v>
      </c>
      <c r="Q222" s="2">
        <v>105.1777</v>
      </c>
      <c r="R222" s="2">
        <v>271</v>
      </c>
      <c r="S222" s="2">
        <v>106.07640000000001</v>
      </c>
      <c r="T222" s="2">
        <v>274</v>
      </c>
      <c r="U222" s="2">
        <v>0.37451899999999999</v>
      </c>
      <c r="V222" s="2">
        <v>221</v>
      </c>
      <c r="W222" s="2">
        <v>2013</v>
      </c>
    </row>
    <row r="223" spans="1:23" ht="12.3" x14ac:dyDescent="0.4">
      <c r="A223" s="2" t="s">
        <v>257</v>
      </c>
      <c r="B223" s="2"/>
      <c r="C223" s="2"/>
      <c r="D223" s="2"/>
      <c r="E223" s="2"/>
      <c r="F223" s="2"/>
      <c r="G223" s="2"/>
      <c r="H223" s="2"/>
      <c r="I223" s="2"/>
      <c r="J223" s="2">
        <v>288</v>
      </c>
      <c r="K223" s="2">
        <v>63.421599999999998</v>
      </c>
      <c r="L223" s="2">
        <v>276</v>
      </c>
      <c r="M223" s="2">
        <v>105.3967</v>
      </c>
      <c r="N223" s="2">
        <v>85</v>
      </c>
      <c r="O223" s="2">
        <v>104.9384</v>
      </c>
      <c r="P223" s="2">
        <v>93</v>
      </c>
      <c r="Q223" s="2">
        <v>106.33110000000001</v>
      </c>
      <c r="R223" s="2">
        <v>294</v>
      </c>
      <c r="S223" s="2">
        <v>109.73220000000001</v>
      </c>
      <c r="T223" s="2">
        <v>320</v>
      </c>
      <c r="U223" s="2">
        <v>0.37432599999999999</v>
      </c>
      <c r="V223" s="2">
        <v>222</v>
      </c>
      <c r="W223" s="2">
        <v>2013</v>
      </c>
    </row>
    <row r="224" spans="1:23" ht="12.3" x14ac:dyDescent="0.4">
      <c r="A224" s="2" t="s">
        <v>330</v>
      </c>
      <c r="B224" s="2"/>
      <c r="C224" s="2"/>
      <c r="D224" s="2"/>
      <c r="E224" s="2"/>
      <c r="F224" s="2"/>
      <c r="G224" s="2"/>
      <c r="H224" s="2"/>
      <c r="I224" s="2"/>
      <c r="J224" s="2">
        <v>130</v>
      </c>
      <c r="K224" s="2">
        <v>65.367999999999995</v>
      </c>
      <c r="L224" s="2">
        <v>194</v>
      </c>
      <c r="M224" s="2">
        <v>103.8708</v>
      </c>
      <c r="N224" s="2">
        <v>106</v>
      </c>
      <c r="O224" s="2">
        <v>97.871300000000005</v>
      </c>
      <c r="P224" s="2">
        <v>228</v>
      </c>
      <c r="Q224" s="2">
        <v>99.566699999999997</v>
      </c>
      <c r="R224" s="2">
        <v>150</v>
      </c>
      <c r="S224" s="2">
        <v>102.36669999999999</v>
      </c>
      <c r="T224" s="2">
        <v>202</v>
      </c>
      <c r="U224" s="2">
        <v>0.37368600000000002</v>
      </c>
      <c r="V224" s="2">
        <v>223</v>
      </c>
      <c r="W224" s="2">
        <v>2013</v>
      </c>
    </row>
    <row r="225" spans="1:23" ht="12.3" x14ac:dyDescent="0.4">
      <c r="A225" s="2" t="s">
        <v>198</v>
      </c>
      <c r="B225" s="2"/>
      <c r="C225" s="2"/>
      <c r="D225" s="2"/>
      <c r="E225" s="2"/>
      <c r="F225" s="2"/>
      <c r="G225" s="2"/>
      <c r="H225" s="2"/>
      <c r="I225" s="2"/>
      <c r="J225" s="2">
        <v>15</v>
      </c>
      <c r="K225" s="2">
        <v>70.655000000000001</v>
      </c>
      <c r="L225" s="2">
        <v>14</v>
      </c>
      <c r="M225" s="2">
        <v>103.1401</v>
      </c>
      <c r="N225" s="2">
        <v>123</v>
      </c>
      <c r="O225" s="2">
        <v>102.3357</v>
      </c>
      <c r="P225" s="2">
        <v>141</v>
      </c>
      <c r="Q225" s="2">
        <v>105.93219999999999</v>
      </c>
      <c r="R225" s="2">
        <v>284</v>
      </c>
      <c r="S225" s="2">
        <v>107.2727</v>
      </c>
      <c r="T225" s="2">
        <v>291</v>
      </c>
      <c r="U225" s="2">
        <v>0.36776199999999998</v>
      </c>
      <c r="V225" s="2">
        <v>224</v>
      </c>
      <c r="W225" s="2">
        <v>2013</v>
      </c>
    </row>
    <row r="226" spans="1:23" ht="12.3" x14ac:dyDescent="0.4">
      <c r="A226" s="2" t="s">
        <v>233</v>
      </c>
      <c r="B226" s="2"/>
      <c r="C226" s="2"/>
      <c r="D226" s="2"/>
      <c r="E226" s="2"/>
      <c r="F226" s="2"/>
      <c r="G226" s="2"/>
      <c r="H226" s="2"/>
      <c r="I226" s="2"/>
      <c r="J226" s="2">
        <v>270</v>
      </c>
      <c r="K226" s="2">
        <v>64.840500000000006</v>
      </c>
      <c r="L226" s="2">
        <v>221</v>
      </c>
      <c r="M226" s="2">
        <v>95.363900000000001</v>
      </c>
      <c r="N226" s="2">
        <v>271</v>
      </c>
      <c r="O226" s="2">
        <v>94.5291</v>
      </c>
      <c r="P226" s="2">
        <v>284</v>
      </c>
      <c r="Q226" s="2">
        <v>100.35939999999999</v>
      </c>
      <c r="R226" s="2">
        <v>164</v>
      </c>
      <c r="S226" s="2">
        <v>99.120699999999999</v>
      </c>
      <c r="T226" s="2">
        <v>134</v>
      </c>
      <c r="U226" s="2">
        <v>0.366919</v>
      </c>
      <c r="V226" s="2">
        <v>225</v>
      </c>
      <c r="W226" s="2">
        <v>2013</v>
      </c>
    </row>
    <row r="227" spans="1:23" ht="12.3" x14ac:dyDescent="0.4">
      <c r="A227" s="2" t="s">
        <v>201</v>
      </c>
      <c r="B227" s="2"/>
      <c r="C227" s="2"/>
      <c r="D227" s="2"/>
      <c r="E227" s="2"/>
      <c r="F227" s="2"/>
      <c r="G227" s="2"/>
      <c r="H227" s="2"/>
      <c r="I227" s="2"/>
      <c r="J227" s="2">
        <v>30</v>
      </c>
      <c r="K227" s="2">
        <v>69.421099999999996</v>
      </c>
      <c r="L227" s="2">
        <v>31</v>
      </c>
      <c r="M227" s="2">
        <v>98.650199999999998</v>
      </c>
      <c r="N227" s="2">
        <v>215</v>
      </c>
      <c r="O227" s="2">
        <v>98.497100000000003</v>
      </c>
      <c r="P227" s="2">
        <v>212</v>
      </c>
      <c r="Q227" s="2">
        <v>103.87569999999999</v>
      </c>
      <c r="R227" s="2">
        <v>241</v>
      </c>
      <c r="S227" s="2">
        <v>103.29300000000001</v>
      </c>
      <c r="T227" s="2">
        <v>219</v>
      </c>
      <c r="U227" s="2">
        <v>0.366622</v>
      </c>
      <c r="V227" s="2">
        <v>226</v>
      </c>
      <c r="W227" s="2">
        <v>2013</v>
      </c>
    </row>
    <row r="228" spans="1:23" ht="12.3" x14ac:dyDescent="0.4">
      <c r="A228" s="2" t="s">
        <v>125</v>
      </c>
      <c r="B228" s="2"/>
      <c r="C228" s="2"/>
      <c r="D228" s="2"/>
      <c r="E228" s="2"/>
      <c r="F228" s="2"/>
      <c r="G228" s="2"/>
      <c r="H228" s="2"/>
      <c r="I228" s="2"/>
      <c r="J228" s="2">
        <v>46</v>
      </c>
      <c r="K228" s="2">
        <v>68.226100000000002</v>
      </c>
      <c r="L228" s="2">
        <v>70</v>
      </c>
      <c r="M228" s="2">
        <v>95.325199999999995</v>
      </c>
      <c r="N228" s="2">
        <v>273</v>
      </c>
      <c r="O228" s="2">
        <v>95.542100000000005</v>
      </c>
      <c r="P228" s="2">
        <v>270</v>
      </c>
      <c r="Q228" s="2">
        <v>97.863200000000006</v>
      </c>
      <c r="R228" s="2">
        <v>111</v>
      </c>
      <c r="S228" s="2">
        <v>100.2971</v>
      </c>
      <c r="T228" s="2">
        <v>155</v>
      </c>
      <c r="U228" s="2">
        <v>0.36388100000000001</v>
      </c>
      <c r="V228" s="2">
        <v>227</v>
      </c>
      <c r="W228" s="2">
        <v>2013</v>
      </c>
    </row>
    <row r="229" spans="1:23" ht="12.3" x14ac:dyDescent="0.4">
      <c r="A229" s="2" t="s">
        <v>79</v>
      </c>
      <c r="B229" s="2"/>
      <c r="C229" s="2"/>
      <c r="D229" s="2"/>
      <c r="E229" s="2"/>
      <c r="F229" s="2"/>
      <c r="G229" s="2"/>
      <c r="H229" s="2"/>
      <c r="I229" s="2"/>
      <c r="J229" s="2">
        <v>260</v>
      </c>
      <c r="K229" s="2">
        <v>63.8566</v>
      </c>
      <c r="L229" s="2">
        <v>264</v>
      </c>
      <c r="M229" s="2">
        <v>96.620699999999999</v>
      </c>
      <c r="N229" s="2">
        <v>248</v>
      </c>
      <c r="O229" s="2">
        <v>96.280299999999997</v>
      </c>
      <c r="P229" s="2">
        <v>251</v>
      </c>
      <c r="Q229" s="2">
        <v>104.117</v>
      </c>
      <c r="R229" s="2">
        <v>247</v>
      </c>
      <c r="S229" s="2">
        <v>101.3421</v>
      </c>
      <c r="T229" s="2">
        <v>179</v>
      </c>
      <c r="U229" s="2">
        <v>0.35681099999999999</v>
      </c>
      <c r="V229" s="2">
        <v>228</v>
      </c>
      <c r="W229" s="2">
        <v>2013</v>
      </c>
    </row>
    <row r="230" spans="1:23" ht="12.3" x14ac:dyDescent="0.4">
      <c r="A230" s="2" t="s">
        <v>376</v>
      </c>
      <c r="B230" s="2"/>
      <c r="C230" s="2"/>
      <c r="D230" s="2"/>
      <c r="E230" s="2"/>
      <c r="F230" s="2"/>
      <c r="G230" s="2"/>
      <c r="H230" s="2"/>
      <c r="I230" s="2"/>
      <c r="J230" s="2">
        <v>28</v>
      </c>
      <c r="K230" s="2">
        <v>69.038399999999996</v>
      </c>
      <c r="L230" s="2">
        <v>43</v>
      </c>
      <c r="M230" s="2">
        <v>93.030100000000004</v>
      </c>
      <c r="N230" s="2">
        <v>303</v>
      </c>
      <c r="O230" s="2">
        <v>92.304100000000005</v>
      </c>
      <c r="P230" s="2">
        <v>307</v>
      </c>
      <c r="Q230" s="2">
        <v>97.593100000000007</v>
      </c>
      <c r="R230" s="2">
        <v>99</v>
      </c>
      <c r="S230" s="2">
        <v>97.289199999999994</v>
      </c>
      <c r="T230" s="2">
        <v>99</v>
      </c>
      <c r="U230" s="2">
        <v>0.35322599999999998</v>
      </c>
      <c r="V230" s="2">
        <v>229</v>
      </c>
      <c r="W230" s="2">
        <v>2013</v>
      </c>
    </row>
    <row r="231" spans="1:23" ht="12.3" x14ac:dyDescent="0.4">
      <c r="A231" s="2" t="s">
        <v>225</v>
      </c>
      <c r="B231" s="2"/>
      <c r="C231" s="2"/>
      <c r="D231" s="2"/>
      <c r="E231" s="2"/>
      <c r="F231" s="2"/>
      <c r="G231" s="2"/>
      <c r="H231" s="2"/>
      <c r="I231" s="2"/>
      <c r="J231" s="2">
        <v>245</v>
      </c>
      <c r="K231" s="2">
        <v>62.496699999999997</v>
      </c>
      <c r="L231" s="2">
        <v>298</v>
      </c>
      <c r="M231" s="2">
        <v>94.430599999999998</v>
      </c>
      <c r="N231" s="2">
        <v>288</v>
      </c>
      <c r="O231" s="2">
        <v>92.554100000000005</v>
      </c>
      <c r="P231" s="2">
        <v>305</v>
      </c>
      <c r="Q231" s="2">
        <v>96.196600000000004</v>
      </c>
      <c r="R231" s="2">
        <v>76</v>
      </c>
      <c r="S231" s="2">
        <v>97.668000000000006</v>
      </c>
      <c r="T231" s="2">
        <v>106</v>
      </c>
      <c r="U231" s="2">
        <v>0.35012799999999999</v>
      </c>
      <c r="V231" s="2">
        <v>230</v>
      </c>
      <c r="W231" s="2">
        <v>2013</v>
      </c>
    </row>
    <row r="232" spans="1:23" ht="12.3" x14ac:dyDescent="0.4">
      <c r="A232" s="2" t="s">
        <v>331</v>
      </c>
      <c r="B232" s="2"/>
      <c r="C232" s="2"/>
      <c r="D232" s="2"/>
      <c r="E232" s="2"/>
      <c r="F232" s="2"/>
      <c r="G232" s="2"/>
      <c r="H232" s="2"/>
      <c r="I232" s="2"/>
      <c r="J232" s="2">
        <v>335</v>
      </c>
      <c r="K232" s="2">
        <v>60.517600000000002</v>
      </c>
      <c r="L232" s="2">
        <v>337</v>
      </c>
      <c r="M232" s="2">
        <v>90.986699999999999</v>
      </c>
      <c r="N232" s="2">
        <v>321</v>
      </c>
      <c r="O232" s="2">
        <v>91.940399999999997</v>
      </c>
      <c r="P232" s="2">
        <v>310</v>
      </c>
      <c r="Q232" s="2">
        <v>97.175299999999993</v>
      </c>
      <c r="R232" s="2">
        <v>91</v>
      </c>
      <c r="S232" s="2">
        <v>97.111999999999995</v>
      </c>
      <c r="T232" s="2">
        <v>94</v>
      </c>
      <c r="U232" s="2">
        <v>0.347661</v>
      </c>
      <c r="V232" s="2">
        <v>231</v>
      </c>
      <c r="W232" s="2">
        <v>2013</v>
      </c>
    </row>
    <row r="233" spans="1:23" ht="12.3" x14ac:dyDescent="0.4">
      <c r="A233" s="2" t="s">
        <v>218</v>
      </c>
      <c r="B233" s="2"/>
      <c r="C233" s="2"/>
      <c r="D233" s="2"/>
      <c r="E233" s="2"/>
      <c r="F233" s="2"/>
      <c r="G233" s="2"/>
      <c r="H233" s="2"/>
      <c r="I233" s="2"/>
      <c r="J233" s="2">
        <v>166</v>
      </c>
      <c r="K233" s="2">
        <v>65.219899999999996</v>
      </c>
      <c r="L233" s="2">
        <v>203</v>
      </c>
      <c r="M233" s="2">
        <v>96.978200000000001</v>
      </c>
      <c r="N233" s="2">
        <v>243</v>
      </c>
      <c r="O233" s="2">
        <v>98.321799999999996</v>
      </c>
      <c r="P233" s="2">
        <v>218</v>
      </c>
      <c r="Q233" s="2">
        <v>101.6339</v>
      </c>
      <c r="R233" s="2">
        <v>189</v>
      </c>
      <c r="S233" s="2">
        <v>103.9162</v>
      </c>
      <c r="T233" s="2">
        <v>238</v>
      </c>
      <c r="U233" s="2">
        <v>0.34605999999999998</v>
      </c>
      <c r="V233" s="2">
        <v>232</v>
      </c>
      <c r="W233" s="2">
        <v>2013</v>
      </c>
    </row>
    <row r="234" spans="1:23" ht="12.3" x14ac:dyDescent="0.4">
      <c r="A234" s="2" t="s">
        <v>143</v>
      </c>
      <c r="B234" s="2"/>
      <c r="C234" s="2"/>
      <c r="D234" s="2"/>
      <c r="E234" s="2"/>
      <c r="F234" s="2"/>
      <c r="G234" s="2"/>
      <c r="H234" s="2"/>
      <c r="I234" s="2"/>
      <c r="J234" s="2">
        <v>92</v>
      </c>
      <c r="K234" s="2">
        <v>68.288700000000006</v>
      </c>
      <c r="L234" s="2">
        <v>68</v>
      </c>
      <c r="M234" s="2">
        <v>95.414199999999994</v>
      </c>
      <c r="N234" s="2">
        <v>269</v>
      </c>
      <c r="O234" s="2">
        <v>97.651399999999995</v>
      </c>
      <c r="P234" s="2">
        <v>235</v>
      </c>
      <c r="Q234" s="2">
        <v>102.97320000000001</v>
      </c>
      <c r="R234" s="2">
        <v>224</v>
      </c>
      <c r="S234" s="2">
        <v>103.3575</v>
      </c>
      <c r="T234" s="2">
        <v>220</v>
      </c>
      <c r="U234" s="2">
        <v>0.34229700000000002</v>
      </c>
      <c r="V234" s="2">
        <v>233</v>
      </c>
      <c r="W234" s="2">
        <v>2013</v>
      </c>
    </row>
    <row r="235" spans="1:23" ht="12.3" x14ac:dyDescent="0.4">
      <c r="A235" s="2" t="s">
        <v>178</v>
      </c>
      <c r="B235" s="2"/>
      <c r="C235" s="2"/>
      <c r="D235" s="2"/>
      <c r="E235" s="2"/>
      <c r="F235" s="2"/>
      <c r="G235" s="2"/>
      <c r="H235" s="2"/>
      <c r="I235" s="2"/>
      <c r="J235" s="2">
        <v>305</v>
      </c>
      <c r="K235" s="2">
        <v>63.226500000000001</v>
      </c>
      <c r="L235" s="2">
        <v>284</v>
      </c>
      <c r="M235" s="2">
        <v>97.501199999999997</v>
      </c>
      <c r="N235" s="2">
        <v>235</v>
      </c>
      <c r="O235" s="2">
        <v>97.4298</v>
      </c>
      <c r="P235" s="2">
        <v>237</v>
      </c>
      <c r="Q235" s="2">
        <v>102.70229999999999</v>
      </c>
      <c r="R235" s="2">
        <v>215</v>
      </c>
      <c r="S235" s="2">
        <v>103.3733</v>
      </c>
      <c r="T235" s="2">
        <v>221</v>
      </c>
      <c r="U235" s="2">
        <v>0.33604699999999998</v>
      </c>
      <c r="V235" s="2">
        <v>234</v>
      </c>
      <c r="W235" s="2">
        <v>2013</v>
      </c>
    </row>
    <row r="236" spans="1:23" ht="12.3" x14ac:dyDescent="0.4">
      <c r="A236" s="2" t="s">
        <v>334</v>
      </c>
      <c r="B236" s="2"/>
      <c r="C236" s="2"/>
      <c r="D236" s="2"/>
      <c r="E236" s="2"/>
      <c r="F236" s="2"/>
      <c r="G236" s="2"/>
      <c r="H236" s="2"/>
      <c r="I236" s="2"/>
      <c r="J236" s="2">
        <v>205</v>
      </c>
      <c r="K236" s="2">
        <v>65.102500000000006</v>
      </c>
      <c r="L236" s="2">
        <v>209</v>
      </c>
      <c r="M236" s="2">
        <v>99.173000000000002</v>
      </c>
      <c r="N236" s="2">
        <v>196</v>
      </c>
      <c r="O236" s="2">
        <v>96.026700000000005</v>
      </c>
      <c r="P236" s="2">
        <v>260</v>
      </c>
      <c r="Q236" s="2">
        <v>99.319500000000005</v>
      </c>
      <c r="R236" s="2">
        <v>144</v>
      </c>
      <c r="S236" s="2">
        <v>102.0964</v>
      </c>
      <c r="T236" s="2">
        <v>195</v>
      </c>
      <c r="U236" s="2">
        <v>0.33073999999999998</v>
      </c>
      <c r="V236" s="2">
        <v>235</v>
      </c>
      <c r="W236" s="2">
        <v>2013</v>
      </c>
    </row>
    <row r="237" spans="1:23" ht="12.3" x14ac:dyDescent="0.4">
      <c r="A237" s="2" t="s">
        <v>117</v>
      </c>
      <c r="B237" s="2"/>
      <c r="C237" s="2"/>
      <c r="D237" s="2"/>
      <c r="E237" s="2"/>
      <c r="F237" s="2"/>
      <c r="G237" s="2"/>
      <c r="H237" s="2"/>
      <c r="I237" s="2"/>
      <c r="J237" s="2">
        <v>21</v>
      </c>
      <c r="K237" s="2">
        <v>69.946899999999999</v>
      </c>
      <c r="L237" s="2">
        <v>27</v>
      </c>
      <c r="M237" s="2">
        <v>98.781300000000002</v>
      </c>
      <c r="N237" s="2">
        <v>210</v>
      </c>
      <c r="O237" s="2">
        <v>98.698899999999995</v>
      </c>
      <c r="P237" s="2">
        <v>208</v>
      </c>
      <c r="Q237" s="2">
        <v>102.7722</v>
      </c>
      <c r="R237" s="2">
        <v>219</v>
      </c>
      <c r="S237" s="2">
        <v>104.9435</v>
      </c>
      <c r="T237" s="2">
        <v>254</v>
      </c>
      <c r="U237" s="2">
        <v>0.330592</v>
      </c>
      <c r="V237" s="2">
        <v>236</v>
      </c>
      <c r="W237" s="2">
        <v>2013</v>
      </c>
    </row>
    <row r="238" spans="1:23" ht="12.3" x14ac:dyDescent="0.4">
      <c r="A238" s="2" t="s">
        <v>298</v>
      </c>
      <c r="B238" s="2"/>
      <c r="C238" s="2"/>
      <c r="D238" s="2"/>
      <c r="E238" s="2"/>
      <c r="F238" s="2"/>
      <c r="G238" s="2"/>
      <c r="H238" s="2"/>
      <c r="I238" s="2"/>
      <c r="J238" s="2">
        <v>63</v>
      </c>
      <c r="K238" s="2">
        <v>68.836799999999997</v>
      </c>
      <c r="L238" s="2">
        <v>49</v>
      </c>
      <c r="M238" s="2">
        <v>101.8336</v>
      </c>
      <c r="N238" s="2">
        <v>153</v>
      </c>
      <c r="O238" s="2">
        <v>98.265199999999993</v>
      </c>
      <c r="P238" s="2">
        <v>221</v>
      </c>
      <c r="Q238" s="2">
        <v>104.4979</v>
      </c>
      <c r="R238" s="2">
        <v>255</v>
      </c>
      <c r="S238" s="2">
        <v>104.4961</v>
      </c>
      <c r="T238" s="2">
        <v>250</v>
      </c>
      <c r="U238" s="2">
        <v>0.33025900000000002</v>
      </c>
      <c r="V238" s="2">
        <v>237</v>
      </c>
      <c r="W238" s="2">
        <v>2013</v>
      </c>
    </row>
    <row r="239" spans="1:23" ht="12.3" x14ac:dyDescent="0.4">
      <c r="A239" s="2" t="s">
        <v>322</v>
      </c>
      <c r="B239" s="2"/>
      <c r="C239" s="2"/>
      <c r="D239" s="2"/>
      <c r="E239" s="2"/>
      <c r="F239" s="2"/>
      <c r="G239" s="2"/>
      <c r="H239" s="2"/>
      <c r="I239" s="2"/>
      <c r="J239" s="2">
        <v>212</v>
      </c>
      <c r="K239" s="2">
        <v>65.880300000000005</v>
      </c>
      <c r="L239" s="2">
        <v>176</v>
      </c>
      <c r="M239" s="2">
        <v>99.482200000000006</v>
      </c>
      <c r="N239" s="2">
        <v>187</v>
      </c>
      <c r="O239" s="2">
        <v>97.296999999999997</v>
      </c>
      <c r="P239" s="2">
        <v>240</v>
      </c>
      <c r="Q239" s="2">
        <v>102.4766</v>
      </c>
      <c r="R239" s="2">
        <v>210</v>
      </c>
      <c r="S239" s="2">
        <v>103.60760000000001</v>
      </c>
      <c r="T239" s="2">
        <v>229</v>
      </c>
      <c r="U239" s="2">
        <v>0.32680100000000001</v>
      </c>
      <c r="V239" s="2">
        <v>238</v>
      </c>
      <c r="W239" s="2">
        <v>2013</v>
      </c>
    </row>
    <row r="240" spans="1:23" ht="12.3" x14ac:dyDescent="0.4">
      <c r="A240" s="2" t="s">
        <v>370</v>
      </c>
      <c r="B240" s="2"/>
      <c r="C240" s="2"/>
      <c r="D240" s="2"/>
      <c r="E240" s="2"/>
      <c r="F240" s="2"/>
      <c r="G240" s="2"/>
      <c r="H240" s="2"/>
      <c r="I240" s="2"/>
      <c r="J240" s="2">
        <v>144</v>
      </c>
      <c r="K240" s="2">
        <v>66.290000000000006</v>
      </c>
      <c r="L240" s="2">
        <v>156</v>
      </c>
      <c r="M240" s="2">
        <v>96.4148</v>
      </c>
      <c r="N240" s="2">
        <v>253</v>
      </c>
      <c r="O240" s="2">
        <v>96.159599999999998</v>
      </c>
      <c r="P240" s="2">
        <v>257</v>
      </c>
      <c r="Q240" s="2">
        <v>102.7848</v>
      </c>
      <c r="R240" s="2">
        <v>220</v>
      </c>
      <c r="S240" s="2">
        <v>102.5519</v>
      </c>
      <c r="T240" s="2">
        <v>205</v>
      </c>
      <c r="U240" s="2">
        <v>0.32297500000000001</v>
      </c>
      <c r="V240" s="2">
        <v>239</v>
      </c>
      <c r="W240" s="2">
        <v>2013</v>
      </c>
    </row>
    <row r="241" spans="1:23" ht="12.3" x14ac:dyDescent="0.4">
      <c r="A241" s="2" t="s">
        <v>59</v>
      </c>
      <c r="B241" s="2"/>
      <c r="C241" s="2"/>
      <c r="D241" s="2"/>
      <c r="E241" s="2"/>
      <c r="F241" s="2"/>
      <c r="G241" s="2"/>
      <c r="H241" s="2"/>
      <c r="I241" s="2"/>
      <c r="J241" s="2">
        <v>77</v>
      </c>
      <c r="K241" s="2">
        <v>67.638000000000005</v>
      </c>
      <c r="L241" s="2">
        <v>96</v>
      </c>
      <c r="M241" s="2">
        <v>95.261499999999998</v>
      </c>
      <c r="N241" s="2">
        <v>278</v>
      </c>
      <c r="O241" s="2">
        <v>98.460899999999995</v>
      </c>
      <c r="P241" s="2">
        <v>213</v>
      </c>
      <c r="Q241" s="2">
        <v>106.7234</v>
      </c>
      <c r="R241" s="2">
        <v>301</v>
      </c>
      <c r="S241" s="2">
        <v>105.0979</v>
      </c>
      <c r="T241" s="2">
        <v>256</v>
      </c>
      <c r="U241" s="2">
        <v>0.32078299999999998</v>
      </c>
      <c r="V241" s="2">
        <v>240</v>
      </c>
      <c r="W241" s="2">
        <v>2013</v>
      </c>
    </row>
    <row r="242" spans="1:23" ht="12.3" x14ac:dyDescent="0.4">
      <c r="A242" s="2" t="s">
        <v>358</v>
      </c>
      <c r="B242" s="2"/>
      <c r="C242" s="2"/>
      <c r="D242" s="2"/>
      <c r="E242" s="2"/>
      <c r="F242" s="2"/>
      <c r="G242" s="2"/>
      <c r="H242" s="2"/>
      <c r="I242" s="2"/>
      <c r="J242" s="2">
        <v>193</v>
      </c>
      <c r="K242" s="2">
        <v>66.088800000000006</v>
      </c>
      <c r="L242" s="2">
        <v>162</v>
      </c>
      <c r="M242" s="2">
        <v>103.5716</v>
      </c>
      <c r="N242" s="2">
        <v>111</v>
      </c>
      <c r="O242" s="2">
        <v>101.38630000000001</v>
      </c>
      <c r="P242" s="2">
        <v>159</v>
      </c>
      <c r="Q242" s="2">
        <v>107.1448</v>
      </c>
      <c r="R242" s="2">
        <v>306</v>
      </c>
      <c r="S242" s="2">
        <v>108.443</v>
      </c>
      <c r="T242" s="2">
        <v>305</v>
      </c>
      <c r="U242" s="2">
        <v>0.31565700000000002</v>
      </c>
      <c r="V242" s="2">
        <v>241</v>
      </c>
      <c r="W242" s="2">
        <v>2013</v>
      </c>
    </row>
    <row r="243" spans="1:23" ht="12.3" x14ac:dyDescent="0.4">
      <c r="A243" s="2" t="s">
        <v>101</v>
      </c>
      <c r="B243" s="2"/>
      <c r="C243" s="2"/>
      <c r="D243" s="2"/>
      <c r="E243" s="2"/>
      <c r="F243" s="2"/>
      <c r="G243" s="2"/>
      <c r="H243" s="2"/>
      <c r="I243" s="2"/>
      <c r="J243" s="2">
        <v>181</v>
      </c>
      <c r="K243" s="2">
        <v>66.323599999999999</v>
      </c>
      <c r="L243" s="2">
        <v>155</v>
      </c>
      <c r="M243" s="2">
        <v>98.299499999999995</v>
      </c>
      <c r="N243" s="2">
        <v>222</v>
      </c>
      <c r="O243" s="2">
        <v>99.0321</v>
      </c>
      <c r="P243" s="2">
        <v>200</v>
      </c>
      <c r="Q243" s="2">
        <v>103.6003</v>
      </c>
      <c r="R243" s="2">
        <v>232</v>
      </c>
      <c r="S243" s="2">
        <v>105.99209999999999</v>
      </c>
      <c r="T243" s="2">
        <v>272</v>
      </c>
      <c r="U243" s="2">
        <v>0.314085</v>
      </c>
      <c r="V243" s="2">
        <v>242</v>
      </c>
      <c r="W243" s="2">
        <v>2013</v>
      </c>
    </row>
    <row r="244" spans="1:23" ht="12.3" x14ac:dyDescent="0.4">
      <c r="A244" s="2" t="s">
        <v>354</v>
      </c>
      <c r="B244" s="2"/>
      <c r="C244" s="2"/>
      <c r="D244" s="2"/>
      <c r="E244" s="2"/>
      <c r="F244" s="2"/>
      <c r="G244" s="2"/>
      <c r="H244" s="2"/>
      <c r="I244" s="2"/>
      <c r="J244" s="2">
        <v>7</v>
      </c>
      <c r="K244" s="2">
        <v>71.663799999999995</v>
      </c>
      <c r="L244" s="2">
        <v>5</v>
      </c>
      <c r="M244" s="2">
        <v>98.182000000000002</v>
      </c>
      <c r="N244" s="2">
        <v>224</v>
      </c>
      <c r="O244" s="2">
        <v>100.467</v>
      </c>
      <c r="P244" s="2">
        <v>179</v>
      </c>
      <c r="Q244" s="2">
        <v>105.90900000000001</v>
      </c>
      <c r="R244" s="2">
        <v>283</v>
      </c>
      <c r="S244" s="2">
        <v>107.6588</v>
      </c>
      <c r="T244" s="2">
        <v>296</v>
      </c>
      <c r="U244" s="2">
        <v>0.31107899999999999</v>
      </c>
      <c r="V244" s="2">
        <v>243</v>
      </c>
      <c r="W244" s="2">
        <v>2013</v>
      </c>
    </row>
    <row r="245" spans="1:23" ht="12.3" x14ac:dyDescent="0.4">
      <c r="A245" s="2" t="s">
        <v>378</v>
      </c>
      <c r="B245" s="2"/>
      <c r="C245" s="2"/>
      <c r="D245" s="2"/>
      <c r="E245" s="2"/>
      <c r="F245" s="2"/>
      <c r="G245" s="2"/>
      <c r="H245" s="2"/>
      <c r="I245" s="2"/>
      <c r="J245" s="2">
        <v>117</v>
      </c>
      <c r="K245" s="2">
        <v>67.439499999999995</v>
      </c>
      <c r="L245" s="2">
        <v>101</v>
      </c>
      <c r="M245" s="2">
        <v>98.632400000000004</v>
      </c>
      <c r="N245" s="2">
        <v>216</v>
      </c>
      <c r="O245" s="2">
        <v>95.513999999999996</v>
      </c>
      <c r="P245" s="2">
        <v>271</v>
      </c>
      <c r="Q245" s="2">
        <v>102.7103</v>
      </c>
      <c r="R245" s="2">
        <v>216</v>
      </c>
      <c r="S245" s="2">
        <v>102.5549</v>
      </c>
      <c r="T245" s="2">
        <v>206</v>
      </c>
      <c r="U245" s="2">
        <v>0.30620000000000003</v>
      </c>
      <c r="V245" s="2">
        <v>244</v>
      </c>
      <c r="W245" s="2">
        <v>2013</v>
      </c>
    </row>
    <row r="246" spans="1:23" ht="12.3" x14ac:dyDescent="0.4">
      <c r="A246" s="2" t="s">
        <v>167</v>
      </c>
      <c r="B246" s="2"/>
      <c r="C246" s="2"/>
      <c r="D246" s="2"/>
      <c r="E246" s="2"/>
      <c r="F246" s="2"/>
      <c r="G246" s="2"/>
      <c r="H246" s="2"/>
      <c r="I246" s="2"/>
      <c r="J246" s="2">
        <v>209</v>
      </c>
      <c r="K246" s="2">
        <v>65.213399999999993</v>
      </c>
      <c r="L246" s="2">
        <v>204</v>
      </c>
      <c r="M246" s="2">
        <v>95.312899999999999</v>
      </c>
      <c r="N246" s="2">
        <v>276</v>
      </c>
      <c r="O246" s="2">
        <v>96.700100000000006</v>
      </c>
      <c r="P246" s="2">
        <v>246</v>
      </c>
      <c r="Q246" s="2">
        <v>105.0214</v>
      </c>
      <c r="R246" s="2">
        <v>267</v>
      </c>
      <c r="S246" s="2">
        <v>103.84310000000001</v>
      </c>
      <c r="T246" s="2">
        <v>234</v>
      </c>
      <c r="U246" s="2">
        <v>0.30585499999999999</v>
      </c>
      <c r="V246" s="2">
        <v>245</v>
      </c>
      <c r="W246" s="2">
        <v>2013</v>
      </c>
    </row>
    <row r="247" spans="1:23" ht="12.3" x14ac:dyDescent="0.4">
      <c r="A247" s="2" t="s">
        <v>77</v>
      </c>
      <c r="B247" s="2"/>
      <c r="C247" s="2"/>
      <c r="D247" s="2"/>
      <c r="E247" s="2"/>
      <c r="F247" s="2"/>
      <c r="G247" s="2"/>
      <c r="H247" s="2"/>
      <c r="I247" s="2"/>
      <c r="J247" s="2">
        <v>104</v>
      </c>
      <c r="K247" s="2">
        <v>68.222499999999997</v>
      </c>
      <c r="L247" s="2">
        <v>71</v>
      </c>
      <c r="M247" s="2">
        <v>92.679900000000004</v>
      </c>
      <c r="N247" s="2">
        <v>306</v>
      </c>
      <c r="O247" s="2">
        <v>93.5886</v>
      </c>
      <c r="P247" s="2">
        <v>298</v>
      </c>
      <c r="Q247" s="2">
        <v>100.8877</v>
      </c>
      <c r="R247" s="2">
        <v>173</v>
      </c>
      <c r="S247" s="2">
        <v>100.5877</v>
      </c>
      <c r="T247" s="2">
        <v>163</v>
      </c>
      <c r="U247" s="2">
        <v>0.30377300000000002</v>
      </c>
      <c r="V247" s="2">
        <v>246</v>
      </c>
      <c r="W247" s="2">
        <v>2013</v>
      </c>
    </row>
    <row r="248" spans="1:23" ht="12.3" x14ac:dyDescent="0.4">
      <c r="A248" s="2" t="s">
        <v>249</v>
      </c>
      <c r="B248" s="2"/>
      <c r="C248" s="2"/>
      <c r="D248" s="2"/>
      <c r="E248" s="2"/>
      <c r="F248" s="2"/>
      <c r="G248" s="2"/>
      <c r="H248" s="2"/>
      <c r="I248" s="2"/>
      <c r="J248" s="2">
        <v>59</v>
      </c>
      <c r="K248" s="2">
        <v>68.669899999999998</v>
      </c>
      <c r="L248" s="2">
        <v>55</v>
      </c>
      <c r="M248" s="2">
        <v>93.780199999999994</v>
      </c>
      <c r="N248" s="2">
        <v>295</v>
      </c>
      <c r="O248" s="2">
        <v>97.879300000000001</v>
      </c>
      <c r="P248" s="2">
        <v>227</v>
      </c>
      <c r="Q248" s="2">
        <v>110.7174</v>
      </c>
      <c r="R248" s="2">
        <v>335</v>
      </c>
      <c r="S248" s="2">
        <v>105.2015</v>
      </c>
      <c r="T248" s="2">
        <v>259</v>
      </c>
      <c r="U248" s="2">
        <v>0.30372100000000002</v>
      </c>
      <c r="V248" s="2">
        <v>247</v>
      </c>
      <c r="W248" s="2">
        <v>2013</v>
      </c>
    </row>
    <row r="249" spans="1:23" ht="12.3" x14ac:dyDescent="0.4">
      <c r="A249" s="2" t="s">
        <v>222</v>
      </c>
      <c r="B249" s="2"/>
      <c r="C249" s="2"/>
      <c r="D249" s="2"/>
      <c r="E249" s="2"/>
      <c r="F249" s="2"/>
      <c r="G249" s="2"/>
      <c r="H249" s="2"/>
      <c r="I249" s="2"/>
      <c r="J249" s="2">
        <v>222</v>
      </c>
      <c r="K249" s="2">
        <v>65.066999999999993</v>
      </c>
      <c r="L249" s="2">
        <v>211</v>
      </c>
      <c r="M249" s="2">
        <v>96.568799999999996</v>
      </c>
      <c r="N249" s="2">
        <v>250</v>
      </c>
      <c r="O249" s="2">
        <v>98.697299999999998</v>
      </c>
      <c r="P249" s="2">
        <v>209</v>
      </c>
      <c r="Q249" s="2">
        <v>107.4973</v>
      </c>
      <c r="R249" s="2">
        <v>313</v>
      </c>
      <c r="S249" s="2">
        <v>106.09910000000001</v>
      </c>
      <c r="T249" s="2">
        <v>275</v>
      </c>
      <c r="U249" s="2">
        <v>0.30330000000000001</v>
      </c>
      <c r="V249" s="2">
        <v>248</v>
      </c>
      <c r="W249" s="2">
        <v>2013</v>
      </c>
    </row>
    <row r="250" spans="1:23" ht="12.3" x14ac:dyDescent="0.4">
      <c r="A250" s="2" t="s">
        <v>377</v>
      </c>
      <c r="B250" s="2"/>
      <c r="C250" s="2"/>
      <c r="D250" s="2"/>
      <c r="E250" s="2"/>
      <c r="F250" s="2"/>
      <c r="G250" s="2"/>
      <c r="H250" s="2"/>
      <c r="I250" s="2"/>
      <c r="J250" s="2">
        <v>132</v>
      </c>
      <c r="K250" s="2">
        <v>67.429500000000004</v>
      </c>
      <c r="L250" s="2">
        <v>102</v>
      </c>
      <c r="M250" s="2">
        <v>103.76649999999999</v>
      </c>
      <c r="N250" s="2">
        <v>108</v>
      </c>
      <c r="O250" s="2">
        <v>103.51519999999999</v>
      </c>
      <c r="P250" s="2">
        <v>123</v>
      </c>
      <c r="Q250" s="2">
        <v>111.25490000000001</v>
      </c>
      <c r="R250" s="2">
        <v>337</v>
      </c>
      <c r="S250" s="2">
        <v>111.3939</v>
      </c>
      <c r="T250" s="2">
        <v>331</v>
      </c>
      <c r="U250" s="2">
        <v>0.30078300000000002</v>
      </c>
      <c r="V250" s="2">
        <v>249</v>
      </c>
      <c r="W250" s="2">
        <v>2013</v>
      </c>
    </row>
    <row r="251" spans="1:23" ht="12.3" x14ac:dyDescent="0.4">
      <c r="A251" s="2" t="s">
        <v>156</v>
      </c>
      <c r="B251" s="2"/>
      <c r="C251" s="2"/>
      <c r="D251" s="2"/>
      <c r="E251" s="2"/>
      <c r="F251" s="2"/>
      <c r="G251" s="2"/>
      <c r="H251" s="2"/>
      <c r="I251" s="2"/>
      <c r="J251" s="2">
        <v>17</v>
      </c>
      <c r="K251" s="2">
        <v>70.159899999999993</v>
      </c>
      <c r="L251" s="2">
        <v>25</v>
      </c>
      <c r="M251" s="2">
        <v>101.5835</v>
      </c>
      <c r="N251" s="2">
        <v>159</v>
      </c>
      <c r="O251" s="2">
        <v>100.113</v>
      </c>
      <c r="P251" s="2">
        <v>184</v>
      </c>
      <c r="Q251" s="2">
        <v>107.1872</v>
      </c>
      <c r="R251" s="2">
        <v>307</v>
      </c>
      <c r="S251" s="2">
        <v>107.8253</v>
      </c>
      <c r="T251" s="2">
        <v>298</v>
      </c>
      <c r="U251" s="2">
        <v>0.29870999999999998</v>
      </c>
      <c r="V251" s="2">
        <v>250</v>
      </c>
      <c r="W251" s="2">
        <v>2013</v>
      </c>
    </row>
    <row r="252" spans="1:23" ht="12.3" x14ac:dyDescent="0.4">
      <c r="A252" s="2" t="s">
        <v>185</v>
      </c>
      <c r="B252" s="2"/>
      <c r="C252" s="2"/>
      <c r="D252" s="2"/>
      <c r="E252" s="2"/>
      <c r="F252" s="2"/>
      <c r="G252" s="2"/>
      <c r="H252" s="2"/>
      <c r="I252" s="2"/>
      <c r="J252" s="2">
        <v>206</v>
      </c>
      <c r="K252" s="2">
        <v>64.002600000000001</v>
      </c>
      <c r="L252" s="2">
        <v>261</v>
      </c>
      <c r="M252" s="2">
        <v>98.035700000000006</v>
      </c>
      <c r="N252" s="2">
        <v>226</v>
      </c>
      <c r="O252" s="2">
        <v>99.075400000000002</v>
      </c>
      <c r="P252" s="2">
        <v>198</v>
      </c>
      <c r="Q252" s="2">
        <v>106.3437</v>
      </c>
      <c r="R252" s="2">
        <v>295</v>
      </c>
      <c r="S252" s="2">
        <v>106.7538</v>
      </c>
      <c r="T252" s="2">
        <v>282</v>
      </c>
      <c r="U252" s="2">
        <v>0.29767399999999999</v>
      </c>
      <c r="V252" s="2">
        <v>251</v>
      </c>
      <c r="W252" s="2">
        <v>2013</v>
      </c>
    </row>
    <row r="253" spans="1:23" ht="12.3" x14ac:dyDescent="0.4">
      <c r="A253" s="2" t="s">
        <v>309</v>
      </c>
      <c r="B253" s="2"/>
      <c r="C253" s="2"/>
      <c r="D253" s="2"/>
      <c r="E253" s="2"/>
      <c r="F253" s="2"/>
      <c r="G253" s="2"/>
      <c r="H253" s="2"/>
      <c r="I253" s="2"/>
      <c r="J253" s="2">
        <v>53</v>
      </c>
      <c r="K253" s="2">
        <v>69.257199999999997</v>
      </c>
      <c r="L253" s="2">
        <v>39</v>
      </c>
      <c r="M253" s="2">
        <v>94.831599999999995</v>
      </c>
      <c r="N253" s="2">
        <v>283</v>
      </c>
      <c r="O253" s="2">
        <v>95.997600000000006</v>
      </c>
      <c r="P253" s="2">
        <v>261</v>
      </c>
      <c r="Q253" s="2">
        <v>102.386</v>
      </c>
      <c r="R253" s="2">
        <v>206</v>
      </c>
      <c r="S253" s="2">
        <v>103.46729999999999</v>
      </c>
      <c r="T253" s="2">
        <v>224</v>
      </c>
      <c r="U253" s="2">
        <v>0.29697899999999999</v>
      </c>
      <c r="V253" s="2">
        <v>252</v>
      </c>
      <c r="W253" s="2">
        <v>2013</v>
      </c>
    </row>
    <row r="254" spans="1:23" ht="12.3" x14ac:dyDescent="0.4">
      <c r="A254" s="2" t="s">
        <v>235</v>
      </c>
      <c r="B254" s="2"/>
      <c r="C254" s="2"/>
      <c r="D254" s="2"/>
      <c r="E254" s="2"/>
      <c r="F254" s="2"/>
      <c r="G254" s="2"/>
      <c r="H254" s="2"/>
      <c r="I254" s="2"/>
      <c r="J254" s="2">
        <v>208</v>
      </c>
      <c r="K254" s="2">
        <v>65.589500000000001</v>
      </c>
      <c r="L254" s="2">
        <v>185</v>
      </c>
      <c r="M254" s="2">
        <v>102.2085</v>
      </c>
      <c r="N254" s="2">
        <v>142</v>
      </c>
      <c r="O254" s="2">
        <v>103.2488</v>
      </c>
      <c r="P254" s="2">
        <v>128</v>
      </c>
      <c r="Q254" s="2">
        <v>109.3837</v>
      </c>
      <c r="R254" s="2">
        <v>330</v>
      </c>
      <c r="S254" s="2">
        <v>111.32040000000001</v>
      </c>
      <c r="T254" s="2">
        <v>329</v>
      </c>
      <c r="U254" s="2">
        <v>0.29616599999999998</v>
      </c>
      <c r="V254" s="2">
        <v>253</v>
      </c>
      <c r="W254" s="2">
        <v>2013</v>
      </c>
    </row>
    <row r="255" spans="1:23" ht="12.3" x14ac:dyDescent="0.4">
      <c r="A255" s="2" t="s">
        <v>250</v>
      </c>
      <c r="B255" s="2"/>
      <c r="C255" s="2"/>
      <c r="D255" s="2"/>
      <c r="E255" s="2"/>
      <c r="F255" s="2"/>
      <c r="G255" s="2"/>
      <c r="H255" s="2"/>
      <c r="I255" s="2"/>
      <c r="J255" s="2">
        <v>41</v>
      </c>
      <c r="K255" s="2">
        <v>69.249899999999997</v>
      </c>
      <c r="L255" s="2">
        <v>40</v>
      </c>
      <c r="M255" s="2">
        <v>96.225399999999993</v>
      </c>
      <c r="N255" s="2">
        <v>254</v>
      </c>
      <c r="O255" s="2">
        <v>98.029600000000002</v>
      </c>
      <c r="P255" s="2">
        <v>225</v>
      </c>
      <c r="Q255" s="2">
        <v>108.2758</v>
      </c>
      <c r="R255" s="2">
        <v>319</v>
      </c>
      <c r="S255" s="2">
        <v>105.7072</v>
      </c>
      <c r="T255" s="2">
        <v>265</v>
      </c>
      <c r="U255" s="2">
        <v>0.29585099999999998</v>
      </c>
      <c r="V255" s="2">
        <v>254</v>
      </c>
      <c r="W255" s="2">
        <v>2013</v>
      </c>
    </row>
    <row r="256" spans="1:23" ht="12.3" x14ac:dyDescent="0.4">
      <c r="A256" s="2" t="s">
        <v>246</v>
      </c>
      <c r="B256" s="2"/>
      <c r="C256" s="2"/>
      <c r="D256" s="2"/>
      <c r="E256" s="2"/>
      <c r="F256" s="2"/>
      <c r="G256" s="2"/>
      <c r="H256" s="2"/>
      <c r="I256" s="2"/>
      <c r="J256" s="2">
        <v>168</v>
      </c>
      <c r="K256" s="2">
        <v>66.384600000000006</v>
      </c>
      <c r="L256" s="2">
        <v>152</v>
      </c>
      <c r="M256" s="2">
        <v>102.64870000000001</v>
      </c>
      <c r="N256" s="2">
        <v>131</v>
      </c>
      <c r="O256" s="2">
        <v>99.737700000000004</v>
      </c>
      <c r="P256" s="2">
        <v>191</v>
      </c>
      <c r="Q256" s="2">
        <v>105.5381</v>
      </c>
      <c r="R256" s="2">
        <v>276</v>
      </c>
      <c r="S256" s="2">
        <v>107.5675</v>
      </c>
      <c r="T256" s="2">
        <v>293</v>
      </c>
      <c r="U256" s="2">
        <v>0.29544100000000001</v>
      </c>
      <c r="V256" s="2">
        <v>255</v>
      </c>
      <c r="W256" s="2">
        <v>2013</v>
      </c>
    </row>
    <row r="257" spans="1:23" ht="12.3" x14ac:dyDescent="0.4">
      <c r="A257" s="2" t="s">
        <v>346</v>
      </c>
      <c r="B257" s="2">
        <v>16</v>
      </c>
      <c r="C257" s="2"/>
      <c r="D257" s="2"/>
      <c r="E257" s="2"/>
      <c r="F257" s="2"/>
      <c r="G257" s="2"/>
      <c r="H257" s="2"/>
      <c r="I257" s="2">
        <v>66.046000000000006</v>
      </c>
      <c r="J257" s="2">
        <v>170</v>
      </c>
      <c r="K257" s="2">
        <v>65.912099999999995</v>
      </c>
      <c r="L257" s="2">
        <v>171</v>
      </c>
      <c r="M257" s="2">
        <v>100.69329999999999</v>
      </c>
      <c r="N257" s="2">
        <v>172</v>
      </c>
      <c r="O257" s="2">
        <v>100.9509</v>
      </c>
      <c r="P257" s="2">
        <v>167</v>
      </c>
      <c r="Q257" s="2">
        <v>105.9028</v>
      </c>
      <c r="R257" s="2">
        <v>282</v>
      </c>
      <c r="S257" s="2">
        <v>108.9177</v>
      </c>
      <c r="T257" s="2">
        <v>313</v>
      </c>
      <c r="U257" s="2">
        <v>0.29452400000000001</v>
      </c>
      <c r="V257" s="2">
        <v>256</v>
      </c>
      <c r="W257" s="2">
        <v>2013</v>
      </c>
    </row>
    <row r="258" spans="1:23" ht="12.3" x14ac:dyDescent="0.4">
      <c r="A258" s="2" t="s">
        <v>380</v>
      </c>
      <c r="B258" s="2"/>
      <c r="C258" s="2"/>
      <c r="D258" s="2"/>
      <c r="E258" s="2"/>
      <c r="F258" s="2"/>
      <c r="G258" s="2"/>
      <c r="H258" s="2"/>
      <c r="I258" s="2"/>
      <c r="J258" s="2">
        <v>338</v>
      </c>
      <c r="K258" s="2">
        <v>59.582599999999999</v>
      </c>
      <c r="L258" s="2">
        <v>344</v>
      </c>
      <c r="M258" s="2">
        <v>97.38</v>
      </c>
      <c r="N258" s="2">
        <v>236</v>
      </c>
      <c r="O258" s="2">
        <v>95.488699999999994</v>
      </c>
      <c r="P258" s="2">
        <v>272</v>
      </c>
      <c r="Q258" s="2">
        <v>100.68089999999999</v>
      </c>
      <c r="R258" s="2">
        <v>169</v>
      </c>
      <c r="S258" s="2">
        <v>103.0626</v>
      </c>
      <c r="T258" s="2">
        <v>212</v>
      </c>
      <c r="U258" s="2">
        <v>0.29363800000000001</v>
      </c>
      <c r="V258" s="2">
        <v>257</v>
      </c>
      <c r="W258" s="2">
        <v>2013</v>
      </c>
    </row>
    <row r="259" spans="1:23" ht="12.3" x14ac:dyDescent="0.4">
      <c r="A259" s="2" t="s">
        <v>48</v>
      </c>
      <c r="B259" s="2"/>
      <c r="C259" s="2"/>
      <c r="D259" s="2"/>
      <c r="E259" s="2"/>
      <c r="F259" s="2"/>
      <c r="G259" s="2"/>
      <c r="H259" s="2"/>
      <c r="I259" s="2"/>
      <c r="J259" s="2">
        <v>76</v>
      </c>
      <c r="K259" s="2">
        <v>68.114500000000007</v>
      </c>
      <c r="L259" s="2">
        <v>76</v>
      </c>
      <c r="M259" s="2">
        <v>87.605400000000003</v>
      </c>
      <c r="N259" s="2">
        <v>337</v>
      </c>
      <c r="O259" s="2">
        <v>90.002300000000005</v>
      </c>
      <c r="P259" s="2">
        <v>325</v>
      </c>
      <c r="Q259" s="2">
        <v>101.5719</v>
      </c>
      <c r="R259" s="2">
        <v>187</v>
      </c>
      <c r="S259" s="2">
        <v>97.144300000000001</v>
      </c>
      <c r="T259" s="2">
        <v>96</v>
      </c>
      <c r="U259" s="2">
        <v>0.29355700000000001</v>
      </c>
      <c r="V259" s="2">
        <v>258</v>
      </c>
      <c r="W259" s="2">
        <v>2013</v>
      </c>
    </row>
    <row r="260" spans="1:23" ht="12.3" x14ac:dyDescent="0.4">
      <c r="A260" s="2" t="s">
        <v>279</v>
      </c>
      <c r="B260" s="2"/>
      <c r="C260" s="2"/>
      <c r="D260" s="2"/>
      <c r="E260" s="2"/>
      <c r="F260" s="2"/>
      <c r="G260" s="2"/>
      <c r="H260" s="2"/>
      <c r="I260" s="2"/>
      <c r="J260" s="2">
        <v>280</v>
      </c>
      <c r="K260" s="2">
        <v>63.721600000000002</v>
      </c>
      <c r="L260" s="2">
        <v>270</v>
      </c>
      <c r="M260" s="2">
        <v>90.181799999999996</v>
      </c>
      <c r="N260" s="2">
        <v>324</v>
      </c>
      <c r="O260" s="2">
        <v>86.908100000000005</v>
      </c>
      <c r="P260" s="2">
        <v>338</v>
      </c>
      <c r="Q260" s="2">
        <v>93.570400000000006</v>
      </c>
      <c r="R260" s="2">
        <v>38</v>
      </c>
      <c r="S260" s="2">
        <v>93.867099999999994</v>
      </c>
      <c r="T260" s="2">
        <v>41</v>
      </c>
      <c r="U260" s="2">
        <v>0.29197299999999998</v>
      </c>
      <c r="V260" s="2">
        <v>259</v>
      </c>
      <c r="W260" s="2">
        <v>2013</v>
      </c>
    </row>
    <row r="261" spans="1:23" ht="12.3" x14ac:dyDescent="0.4">
      <c r="A261" s="2" t="s">
        <v>253</v>
      </c>
      <c r="B261" s="2"/>
      <c r="C261" s="2"/>
      <c r="D261" s="2"/>
      <c r="E261" s="2"/>
      <c r="F261" s="2"/>
      <c r="G261" s="2"/>
      <c r="H261" s="2"/>
      <c r="I261" s="2"/>
      <c r="J261" s="2">
        <v>89</v>
      </c>
      <c r="K261" s="2">
        <v>67.648200000000003</v>
      </c>
      <c r="L261" s="2">
        <v>95</v>
      </c>
      <c r="M261" s="2">
        <v>101.8396</v>
      </c>
      <c r="N261" s="2">
        <v>152</v>
      </c>
      <c r="O261" s="2">
        <v>97.7864</v>
      </c>
      <c r="P261" s="2">
        <v>230</v>
      </c>
      <c r="Q261" s="2">
        <v>104.779</v>
      </c>
      <c r="R261" s="2">
        <v>264</v>
      </c>
      <c r="S261" s="2">
        <v>105.8403</v>
      </c>
      <c r="T261" s="2">
        <v>268</v>
      </c>
      <c r="U261" s="2">
        <v>0.286964</v>
      </c>
      <c r="V261" s="2">
        <v>260</v>
      </c>
      <c r="W261" s="2">
        <v>2013</v>
      </c>
    </row>
    <row r="262" spans="1:23" ht="12.3" x14ac:dyDescent="0.4">
      <c r="A262" s="2" t="s">
        <v>184</v>
      </c>
      <c r="B262" s="2"/>
      <c r="C262" s="2"/>
      <c r="D262" s="2"/>
      <c r="E262" s="2"/>
      <c r="F262" s="2"/>
      <c r="G262" s="2"/>
      <c r="H262" s="2"/>
      <c r="I262" s="2"/>
      <c r="J262" s="2">
        <v>107</v>
      </c>
      <c r="K262" s="2">
        <v>66.613799999999998</v>
      </c>
      <c r="L262" s="2">
        <v>136</v>
      </c>
      <c r="M262" s="2">
        <v>95.969899999999996</v>
      </c>
      <c r="N262" s="2">
        <v>262</v>
      </c>
      <c r="O262" s="2">
        <v>95.330399999999997</v>
      </c>
      <c r="P262" s="2">
        <v>276</v>
      </c>
      <c r="Q262" s="2">
        <v>101.38500000000001</v>
      </c>
      <c r="R262" s="2">
        <v>183</v>
      </c>
      <c r="S262" s="2">
        <v>103.5407</v>
      </c>
      <c r="T262" s="2">
        <v>226</v>
      </c>
      <c r="U262" s="2">
        <v>0.278868</v>
      </c>
      <c r="V262" s="2">
        <v>261</v>
      </c>
      <c r="W262" s="2">
        <v>2013</v>
      </c>
    </row>
    <row r="263" spans="1:23" ht="12.3" x14ac:dyDescent="0.4">
      <c r="A263" s="2" t="s">
        <v>363</v>
      </c>
      <c r="B263" s="2"/>
      <c r="C263" s="2"/>
      <c r="D263" s="2"/>
      <c r="E263" s="2"/>
      <c r="F263" s="2"/>
      <c r="G263" s="2"/>
      <c r="H263" s="2"/>
      <c r="I263" s="2"/>
      <c r="J263" s="2">
        <v>158</v>
      </c>
      <c r="K263" s="2">
        <v>66.110100000000003</v>
      </c>
      <c r="L263" s="2">
        <v>160</v>
      </c>
      <c r="M263" s="2">
        <v>98.863399999999999</v>
      </c>
      <c r="N263" s="2">
        <v>203</v>
      </c>
      <c r="O263" s="2">
        <v>98.776700000000005</v>
      </c>
      <c r="P263" s="2">
        <v>206</v>
      </c>
      <c r="Q263" s="2">
        <v>105.88630000000001</v>
      </c>
      <c r="R263" s="2">
        <v>281</v>
      </c>
      <c r="S263" s="2">
        <v>107.3172</v>
      </c>
      <c r="T263" s="2">
        <v>292</v>
      </c>
      <c r="U263" s="2">
        <v>0.27815000000000001</v>
      </c>
      <c r="V263" s="2">
        <v>262</v>
      </c>
      <c r="W263" s="2">
        <v>2013</v>
      </c>
    </row>
    <row r="264" spans="1:23" ht="12.3" x14ac:dyDescent="0.4">
      <c r="A264" s="2" t="s">
        <v>366</v>
      </c>
      <c r="B264" s="2"/>
      <c r="C264" s="2"/>
      <c r="D264" s="2"/>
      <c r="E264" s="2"/>
      <c r="F264" s="2"/>
      <c r="G264" s="2"/>
      <c r="H264" s="2"/>
      <c r="I264" s="2"/>
      <c r="J264" s="2">
        <v>74</v>
      </c>
      <c r="K264" s="2">
        <v>67.234999999999999</v>
      </c>
      <c r="L264" s="2">
        <v>111</v>
      </c>
      <c r="M264" s="2">
        <v>95.914400000000001</v>
      </c>
      <c r="N264" s="2">
        <v>263</v>
      </c>
      <c r="O264" s="2">
        <v>93.571799999999996</v>
      </c>
      <c r="P264" s="2">
        <v>299</v>
      </c>
      <c r="Q264" s="2">
        <v>94.949200000000005</v>
      </c>
      <c r="R264" s="2">
        <v>56</v>
      </c>
      <c r="S264" s="2">
        <v>101.7041</v>
      </c>
      <c r="T264" s="2">
        <v>188</v>
      </c>
      <c r="U264" s="2">
        <v>0.277202</v>
      </c>
      <c r="V264" s="2">
        <v>263</v>
      </c>
      <c r="W264" s="2">
        <v>2013</v>
      </c>
    </row>
    <row r="265" spans="1:23" ht="12.3" x14ac:dyDescent="0.4">
      <c r="A265" s="2" t="s">
        <v>264</v>
      </c>
      <c r="B265" s="2"/>
      <c r="C265" s="2"/>
      <c r="D265" s="2"/>
      <c r="E265" s="2"/>
      <c r="F265" s="2"/>
      <c r="G265" s="2"/>
      <c r="H265" s="2"/>
      <c r="I265" s="2"/>
      <c r="J265" s="2">
        <v>336</v>
      </c>
      <c r="K265" s="2">
        <v>59.9116</v>
      </c>
      <c r="L265" s="2">
        <v>343</v>
      </c>
      <c r="M265" s="2">
        <v>99.246499999999997</v>
      </c>
      <c r="N265" s="2">
        <v>193</v>
      </c>
      <c r="O265" s="2">
        <v>98.985600000000005</v>
      </c>
      <c r="P265" s="2">
        <v>202</v>
      </c>
      <c r="Q265" s="2">
        <v>105.95180000000001</v>
      </c>
      <c r="R265" s="2">
        <v>285</v>
      </c>
      <c r="S265" s="2">
        <v>107.6913</v>
      </c>
      <c r="T265" s="2">
        <v>297</v>
      </c>
      <c r="U265" s="2">
        <v>0.27500200000000002</v>
      </c>
      <c r="V265" s="2">
        <v>264</v>
      </c>
      <c r="W265" s="2">
        <v>2013</v>
      </c>
    </row>
    <row r="266" spans="1:23" ht="12.3" x14ac:dyDescent="0.4">
      <c r="A266" s="2" t="s">
        <v>316</v>
      </c>
      <c r="B266" s="2"/>
      <c r="C266" s="2"/>
      <c r="D266" s="2"/>
      <c r="E266" s="2"/>
      <c r="F266" s="2"/>
      <c r="G266" s="2"/>
      <c r="H266" s="2"/>
      <c r="I266" s="2"/>
      <c r="J266" s="2">
        <v>56</v>
      </c>
      <c r="K266" s="2">
        <v>68.441400000000002</v>
      </c>
      <c r="L266" s="2">
        <v>62</v>
      </c>
      <c r="M266" s="2">
        <v>101.2032</v>
      </c>
      <c r="N266" s="2">
        <v>165</v>
      </c>
      <c r="O266" s="2">
        <v>99.756600000000006</v>
      </c>
      <c r="P266" s="2">
        <v>190</v>
      </c>
      <c r="Q266" s="2">
        <v>109.79349999999999</v>
      </c>
      <c r="R266" s="2">
        <v>331</v>
      </c>
      <c r="S266" s="2">
        <v>108.9032</v>
      </c>
      <c r="T266" s="2">
        <v>312</v>
      </c>
      <c r="U266" s="2">
        <v>0.26720500000000003</v>
      </c>
      <c r="V266" s="2">
        <v>265</v>
      </c>
      <c r="W266" s="2">
        <v>2013</v>
      </c>
    </row>
    <row r="267" spans="1:23" ht="12.3" x14ac:dyDescent="0.4">
      <c r="A267" s="2" t="s">
        <v>290</v>
      </c>
      <c r="B267" s="2"/>
      <c r="C267" s="2"/>
      <c r="D267" s="2"/>
      <c r="E267" s="2"/>
      <c r="F267" s="2"/>
      <c r="G267" s="2"/>
      <c r="H267" s="2"/>
      <c r="I267" s="2"/>
      <c r="J267" s="2">
        <v>202</v>
      </c>
      <c r="K267" s="2">
        <v>65.261200000000002</v>
      </c>
      <c r="L267" s="2">
        <v>200</v>
      </c>
      <c r="M267" s="2">
        <v>90.753799999999998</v>
      </c>
      <c r="N267" s="2">
        <v>322</v>
      </c>
      <c r="O267" s="2">
        <v>94.174800000000005</v>
      </c>
      <c r="P267" s="2">
        <v>293</v>
      </c>
      <c r="Q267" s="2">
        <v>104.2222</v>
      </c>
      <c r="R267" s="2">
        <v>250</v>
      </c>
      <c r="S267" s="2">
        <v>102.8942</v>
      </c>
      <c r="T267" s="2">
        <v>209</v>
      </c>
      <c r="U267" s="2">
        <v>0.26535599999999998</v>
      </c>
      <c r="V267" s="2">
        <v>266</v>
      </c>
      <c r="W267" s="2">
        <v>2013</v>
      </c>
    </row>
    <row r="268" spans="1:23" ht="12.3" x14ac:dyDescent="0.4">
      <c r="A268" s="2" t="s">
        <v>114</v>
      </c>
      <c r="B268" s="2"/>
      <c r="C268" s="2"/>
      <c r="D268" s="2"/>
      <c r="E268" s="2"/>
      <c r="F268" s="2"/>
      <c r="G268" s="2"/>
      <c r="H268" s="2"/>
      <c r="I268" s="2"/>
      <c r="J268" s="2">
        <v>182</v>
      </c>
      <c r="K268" s="2">
        <v>65.662300000000002</v>
      </c>
      <c r="L268" s="2">
        <v>183</v>
      </c>
      <c r="M268" s="2">
        <v>96.172700000000006</v>
      </c>
      <c r="N268" s="2">
        <v>258</v>
      </c>
      <c r="O268" s="2">
        <v>95.248500000000007</v>
      </c>
      <c r="P268" s="2">
        <v>278</v>
      </c>
      <c r="Q268" s="2">
        <v>105.5911</v>
      </c>
      <c r="R268" s="2">
        <v>278</v>
      </c>
      <c r="S268" s="2">
        <v>104.10980000000001</v>
      </c>
      <c r="T268" s="2">
        <v>243</v>
      </c>
      <c r="U268" s="2">
        <v>0.26444099999999998</v>
      </c>
      <c r="V268" s="2">
        <v>267</v>
      </c>
      <c r="W268" s="2">
        <v>2013</v>
      </c>
    </row>
    <row r="269" spans="1:23" ht="12.3" x14ac:dyDescent="0.4">
      <c r="A269" s="2" t="s">
        <v>356</v>
      </c>
      <c r="B269" s="2"/>
      <c r="C269" s="2"/>
      <c r="D269" s="2"/>
      <c r="E269" s="2"/>
      <c r="F269" s="2"/>
      <c r="G269" s="2"/>
      <c r="H269" s="2"/>
      <c r="I269" s="2"/>
      <c r="J269" s="2">
        <v>316</v>
      </c>
      <c r="K269" s="2">
        <v>60.9407</v>
      </c>
      <c r="L269" s="2">
        <v>327</v>
      </c>
      <c r="M269" s="2">
        <v>97.864999999999995</v>
      </c>
      <c r="N269" s="2">
        <v>231</v>
      </c>
      <c r="O269" s="2">
        <v>97.661699999999996</v>
      </c>
      <c r="P269" s="2">
        <v>234</v>
      </c>
      <c r="Q269" s="2">
        <v>105.2358</v>
      </c>
      <c r="R269" s="2">
        <v>272</v>
      </c>
      <c r="S269" s="2">
        <v>106.88849999999999</v>
      </c>
      <c r="T269" s="2">
        <v>287</v>
      </c>
      <c r="U269" s="2">
        <v>0.26150099999999998</v>
      </c>
      <c r="V269" s="2">
        <v>268</v>
      </c>
      <c r="W269" s="2">
        <v>2013</v>
      </c>
    </row>
    <row r="270" spans="1:23" ht="12.3" x14ac:dyDescent="0.4">
      <c r="A270" s="2" t="s">
        <v>333</v>
      </c>
      <c r="B270" s="2"/>
      <c r="C270" s="2"/>
      <c r="D270" s="2"/>
      <c r="E270" s="2"/>
      <c r="F270" s="2"/>
      <c r="G270" s="2"/>
      <c r="H270" s="2"/>
      <c r="I270" s="2"/>
      <c r="J270" s="2">
        <v>140</v>
      </c>
      <c r="K270" s="2">
        <v>67.581000000000003</v>
      </c>
      <c r="L270" s="2">
        <v>97</v>
      </c>
      <c r="M270" s="2">
        <v>97.175399999999996</v>
      </c>
      <c r="N270" s="2">
        <v>239</v>
      </c>
      <c r="O270" s="2">
        <v>98.898300000000006</v>
      </c>
      <c r="P270" s="2">
        <v>204</v>
      </c>
      <c r="Q270" s="2">
        <v>104.6846</v>
      </c>
      <c r="R270" s="2">
        <v>262</v>
      </c>
      <c r="S270" s="2">
        <v>108.3002</v>
      </c>
      <c r="T270" s="2">
        <v>301</v>
      </c>
      <c r="U270" s="2">
        <v>0.26030700000000001</v>
      </c>
      <c r="V270" s="2">
        <v>269</v>
      </c>
      <c r="W270" s="2">
        <v>2013</v>
      </c>
    </row>
    <row r="271" spans="1:23" ht="12.3" x14ac:dyDescent="0.4">
      <c r="A271" s="2" t="s">
        <v>351</v>
      </c>
      <c r="B271" s="2"/>
      <c r="C271" s="2"/>
      <c r="D271" s="2"/>
      <c r="E271" s="2"/>
      <c r="F271" s="2"/>
      <c r="G271" s="2"/>
      <c r="H271" s="2"/>
      <c r="I271" s="2"/>
      <c r="J271" s="2">
        <v>65</v>
      </c>
      <c r="K271" s="2">
        <v>68.186300000000003</v>
      </c>
      <c r="L271" s="2">
        <v>72</v>
      </c>
      <c r="M271" s="2">
        <v>90.721299999999999</v>
      </c>
      <c r="N271" s="2">
        <v>323</v>
      </c>
      <c r="O271" s="2">
        <v>92.267600000000002</v>
      </c>
      <c r="P271" s="2">
        <v>308</v>
      </c>
      <c r="Q271" s="2">
        <v>96.589200000000005</v>
      </c>
      <c r="R271" s="2">
        <v>80</v>
      </c>
      <c r="S271" s="2">
        <v>101.11069999999999</v>
      </c>
      <c r="T271" s="2">
        <v>171</v>
      </c>
      <c r="U271" s="2">
        <v>0.258743</v>
      </c>
      <c r="V271" s="2">
        <v>270</v>
      </c>
      <c r="W271" s="2">
        <v>2013</v>
      </c>
    </row>
    <row r="272" spans="1:23" ht="12.3" x14ac:dyDescent="0.4">
      <c r="A272" s="2" t="s">
        <v>142</v>
      </c>
      <c r="B272" s="2"/>
      <c r="C272" s="2"/>
      <c r="D272" s="2"/>
      <c r="E272" s="2"/>
      <c r="F272" s="2"/>
      <c r="G272" s="2"/>
      <c r="H272" s="2"/>
      <c r="I272" s="2"/>
      <c r="J272" s="2">
        <v>324</v>
      </c>
      <c r="K272" s="2">
        <v>61.255600000000001</v>
      </c>
      <c r="L272" s="2">
        <v>322</v>
      </c>
      <c r="M272" s="2">
        <v>88.426199999999994</v>
      </c>
      <c r="N272" s="2">
        <v>333</v>
      </c>
      <c r="O272" s="2">
        <v>92.448400000000007</v>
      </c>
      <c r="P272" s="2">
        <v>306</v>
      </c>
      <c r="Q272" s="2">
        <v>102.4541</v>
      </c>
      <c r="R272" s="2">
        <v>209</v>
      </c>
      <c r="S272" s="2">
        <v>101.36579999999999</v>
      </c>
      <c r="T272" s="2">
        <v>180</v>
      </c>
      <c r="U272" s="2">
        <v>0.25750400000000001</v>
      </c>
      <c r="V272" s="2">
        <v>271</v>
      </c>
      <c r="W272" s="2">
        <v>2013</v>
      </c>
    </row>
    <row r="273" spans="1:23" ht="12.3" x14ac:dyDescent="0.4">
      <c r="A273" s="2" t="s">
        <v>247</v>
      </c>
      <c r="B273" s="2"/>
      <c r="C273" s="2"/>
      <c r="D273" s="2"/>
      <c r="E273" s="2"/>
      <c r="F273" s="2"/>
      <c r="G273" s="2"/>
      <c r="H273" s="2"/>
      <c r="I273" s="2"/>
      <c r="J273" s="2">
        <v>145</v>
      </c>
      <c r="K273" s="2">
        <v>67.073400000000007</v>
      </c>
      <c r="L273" s="2">
        <v>119</v>
      </c>
      <c r="M273" s="2">
        <v>95.357399999999998</v>
      </c>
      <c r="N273" s="2">
        <v>272</v>
      </c>
      <c r="O273" s="2">
        <v>96.042000000000002</v>
      </c>
      <c r="P273" s="2">
        <v>259</v>
      </c>
      <c r="Q273" s="2">
        <v>104.8015</v>
      </c>
      <c r="R273" s="2">
        <v>265</v>
      </c>
      <c r="S273" s="2">
        <v>105.352</v>
      </c>
      <c r="T273" s="2">
        <v>262</v>
      </c>
      <c r="U273" s="2">
        <v>0.25654399999999999</v>
      </c>
      <c r="V273" s="2">
        <v>272</v>
      </c>
      <c r="W273" s="2">
        <v>2013</v>
      </c>
    </row>
    <row r="274" spans="1:23" ht="12.3" x14ac:dyDescent="0.4">
      <c r="A274" s="2" t="s">
        <v>190</v>
      </c>
      <c r="B274" s="2"/>
      <c r="C274" s="2"/>
      <c r="D274" s="2"/>
      <c r="E274" s="2"/>
      <c r="F274" s="2"/>
      <c r="G274" s="2"/>
      <c r="H274" s="2"/>
      <c r="I274" s="2"/>
      <c r="J274" s="2">
        <v>178</v>
      </c>
      <c r="K274" s="2">
        <v>67.187399999999997</v>
      </c>
      <c r="L274" s="2">
        <v>114</v>
      </c>
      <c r="M274" s="2">
        <v>98.020600000000002</v>
      </c>
      <c r="N274" s="2">
        <v>227</v>
      </c>
      <c r="O274" s="2">
        <v>97.687200000000004</v>
      </c>
      <c r="P274" s="2">
        <v>232</v>
      </c>
      <c r="Q274" s="2">
        <v>107.2363</v>
      </c>
      <c r="R274" s="2">
        <v>308</v>
      </c>
      <c r="S274" s="2">
        <v>107.2109</v>
      </c>
      <c r="T274" s="2">
        <v>290</v>
      </c>
      <c r="U274" s="2">
        <v>0.255438</v>
      </c>
      <c r="V274" s="2">
        <v>273</v>
      </c>
      <c r="W274" s="2">
        <v>2013</v>
      </c>
    </row>
    <row r="275" spans="1:23" ht="12.3" x14ac:dyDescent="0.4">
      <c r="A275" s="2" t="s">
        <v>327</v>
      </c>
      <c r="B275" s="2"/>
      <c r="C275" s="2"/>
      <c r="D275" s="2"/>
      <c r="E275" s="2"/>
      <c r="F275" s="2"/>
      <c r="G275" s="2"/>
      <c r="H275" s="2"/>
      <c r="I275" s="2"/>
      <c r="J275" s="2">
        <v>259</v>
      </c>
      <c r="K275" s="2">
        <v>64.435599999999994</v>
      </c>
      <c r="L275" s="2">
        <v>241</v>
      </c>
      <c r="M275" s="2">
        <v>94.835300000000004</v>
      </c>
      <c r="N275" s="2">
        <v>282</v>
      </c>
      <c r="O275" s="2">
        <v>95.647599999999997</v>
      </c>
      <c r="P275" s="2">
        <v>268</v>
      </c>
      <c r="Q275" s="2">
        <v>104.16200000000001</v>
      </c>
      <c r="R275" s="2">
        <v>248</v>
      </c>
      <c r="S275" s="2">
        <v>105.1143</v>
      </c>
      <c r="T275" s="2">
        <v>257</v>
      </c>
      <c r="U275" s="2">
        <v>0.252496</v>
      </c>
      <c r="V275" s="2">
        <v>274</v>
      </c>
      <c r="W275" s="2">
        <v>2013</v>
      </c>
    </row>
    <row r="276" spans="1:23" ht="12.3" x14ac:dyDescent="0.4">
      <c r="A276" s="2" t="s">
        <v>313</v>
      </c>
      <c r="B276" s="2"/>
      <c r="C276" s="2"/>
      <c r="D276" s="2"/>
      <c r="E276" s="2"/>
      <c r="F276" s="2"/>
      <c r="G276" s="2"/>
      <c r="H276" s="2"/>
      <c r="I276" s="2"/>
      <c r="J276" s="2">
        <v>135</v>
      </c>
      <c r="K276" s="2">
        <v>66.6006</v>
      </c>
      <c r="L276" s="2">
        <v>138</v>
      </c>
      <c r="M276" s="2">
        <v>97.161699999999996</v>
      </c>
      <c r="N276" s="2">
        <v>240</v>
      </c>
      <c r="O276" s="2">
        <v>96.5732</v>
      </c>
      <c r="P276" s="2">
        <v>250</v>
      </c>
      <c r="Q276" s="2">
        <v>102.4312</v>
      </c>
      <c r="R276" s="2">
        <v>208</v>
      </c>
      <c r="S276" s="2">
        <v>106.16249999999999</v>
      </c>
      <c r="T276" s="2">
        <v>276</v>
      </c>
      <c r="U276" s="2">
        <v>0.251863</v>
      </c>
      <c r="V276" s="2">
        <v>275</v>
      </c>
      <c r="W276" s="2">
        <v>2013</v>
      </c>
    </row>
    <row r="277" spans="1:23" ht="12.3" x14ac:dyDescent="0.4">
      <c r="A277" s="2" t="s">
        <v>328</v>
      </c>
      <c r="B277" s="2"/>
      <c r="C277" s="2"/>
      <c r="D277" s="2"/>
      <c r="E277" s="2"/>
      <c r="F277" s="2"/>
      <c r="G277" s="2"/>
      <c r="H277" s="2"/>
      <c r="I277" s="2"/>
      <c r="J277" s="2">
        <v>161</v>
      </c>
      <c r="K277" s="2">
        <v>66.396699999999996</v>
      </c>
      <c r="L277" s="2">
        <v>150</v>
      </c>
      <c r="M277" s="2">
        <v>93.309200000000004</v>
      </c>
      <c r="N277" s="2">
        <v>301</v>
      </c>
      <c r="O277" s="2">
        <v>94.412300000000002</v>
      </c>
      <c r="P277" s="2">
        <v>287</v>
      </c>
      <c r="Q277" s="2">
        <v>103.70829999999999</v>
      </c>
      <c r="R277" s="2">
        <v>237</v>
      </c>
      <c r="S277" s="2">
        <v>103.9804</v>
      </c>
      <c r="T277" s="2">
        <v>241</v>
      </c>
      <c r="U277" s="2">
        <v>0.24785099999999999</v>
      </c>
      <c r="V277" s="2">
        <v>276</v>
      </c>
      <c r="W277" s="2">
        <v>2013</v>
      </c>
    </row>
    <row r="278" spans="1:23" ht="12.3" x14ac:dyDescent="0.4">
      <c r="A278" s="2" t="s">
        <v>226</v>
      </c>
      <c r="B278" s="2"/>
      <c r="C278" s="2"/>
      <c r="D278" s="2"/>
      <c r="E278" s="2"/>
      <c r="F278" s="2"/>
      <c r="G278" s="2"/>
      <c r="H278" s="2"/>
      <c r="I278" s="2"/>
      <c r="J278" s="2">
        <v>346</v>
      </c>
      <c r="K278" s="2">
        <v>60.123399999999997</v>
      </c>
      <c r="L278" s="2">
        <v>341</v>
      </c>
      <c r="M278" s="2">
        <v>96.043599999999998</v>
      </c>
      <c r="N278" s="2">
        <v>260</v>
      </c>
      <c r="O278" s="2">
        <v>95.944199999999995</v>
      </c>
      <c r="P278" s="2">
        <v>263</v>
      </c>
      <c r="Q278" s="2">
        <v>106.27070000000001</v>
      </c>
      <c r="R278" s="2">
        <v>291</v>
      </c>
      <c r="S278" s="2">
        <v>105.85120000000001</v>
      </c>
      <c r="T278" s="2">
        <v>270</v>
      </c>
      <c r="U278" s="2">
        <v>0.244147</v>
      </c>
      <c r="V278" s="2">
        <v>277</v>
      </c>
      <c r="W278" s="2">
        <v>2013</v>
      </c>
    </row>
    <row r="279" spans="1:23" ht="12.3" x14ac:dyDescent="0.4">
      <c r="A279" s="2" t="s">
        <v>310</v>
      </c>
      <c r="B279" s="2"/>
      <c r="C279" s="2"/>
      <c r="D279" s="2"/>
      <c r="E279" s="2"/>
      <c r="F279" s="2"/>
      <c r="G279" s="2"/>
      <c r="H279" s="2"/>
      <c r="I279" s="2"/>
      <c r="J279" s="2">
        <v>264</v>
      </c>
      <c r="K279" s="2">
        <v>63.749200000000002</v>
      </c>
      <c r="L279" s="2">
        <v>269</v>
      </c>
      <c r="M279" s="2">
        <v>91.140600000000006</v>
      </c>
      <c r="N279" s="2">
        <v>320</v>
      </c>
      <c r="O279" s="2">
        <v>91.041799999999995</v>
      </c>
      <c r="P279" s="2">
        <v>319</v>
      </c>
      <c r="Q279" s="2">
        <v>98.203100000000006</v>
      </c>
      <c r="R279" s="2">
        <v>119</v>
      </c>
      <c r="S279" s="2">
        <v>100.459</v>
      </c>
      <c r="T279" s="2">
        <v>158</v>
      </c>
      <c r="U279" s="2">
        <v>0.24379899999999999</v>
      </c>
      <c r="V279" s="2">
        <v>278</v>
      </c>
      <c r="W279" s="2">
        <v>2013</v>
      </c>
    </row>
    <row r="280" spans="1:23" ht="12.3" x14ac:dyDescent="0.4">
      <c r="A280" s="2" t="s">
        <v>263</v>
      </c>
      <c r="B280" s="2"/>
      <c r="C280" s="2"/>
      <c r="D280" s="2"/>
      <c r="E280" s="2"/>
      <c r="F280" s="2"/>
      <c r="G280" s="2"/>
      <c r="H280" s="2"/>
      <c r="I280" s="2"/>
      <c r="J280" s="2">
        <v>3</v>
      </c>
      <c r="K280" s="2">
        <v>71.109899999999996</v>
      </c>
      <c r="L280" s="2">
        <v>8</v>
      </c>
      <c r="M280" s="2">
        <v>103.8811</v>
      </c>
      <c r="N280" s="2">
        <v>105</v>
      </c>
      <c r="O280" s="2">
        <v>100.9241</v>
      </c>
      <c r="P280" s="2">
        <v>168</v>
      </c>
      <c r="Q280" s="2">
        <v>109.0215</v>
      </c>
      <c r="R280" s="2">
        <v>326</v>
      </c>
      <c r="S280" s="2">
        <v>111.3916</v>
      </c>
      <c r="T280" s="2">
        <v>330</v>
      </c>
      <c r="U280" s="2">
        <v>0.24326600000000001</v>
      </c>
      <c r="V280" s="2">
        <v>279</v>
      </c>
      <c r="W280" s="2">
        <v>2013</v>
      </c>
    </row>
    <row r="281" spans="1:23" ht="12.3" x14ac:dyDescent="0.4">
      <c r="A281" s="2" t="s">
        <v>135</v>
      </c>
      <c r="B281" s="2"/>
      <c r="C281" s="2"/>
      <c r="D281" s="2"/>
      <c r="E281" s="2"/>
      <c r="F281" s="2"/>
      <c r="G281" s="2"/>
      <c r="H281" s="2"/>
      <c r="I281" s="2"/>
      <c r="J281" s="2">
        <v>52</v>
      </c>
      <c r="K281" s="2">
        <v>70.050200000000004</v>
      </c>
      <c r="L281" s="2">
        <v>26</v>
      </c>
      <c r="M281" s="2">
        <v>89.115899999999996</v>
      </c>
      <c r="N281" s="2">
        <v>329</v>
      </c>
      <c r="O281" s="2">
        <v>88.6126</v>
      </c>
      <c r="P281" s="2">
        <v>333</v>
      </c>
      <c r="Q281" s="2">
        <v>91.255300000000005</v>
      </c>
      <c r="R281" s="2">
        <v>18</v>
      </c>
      <c r="S281" s="2">
        <v>97.813699999999997</v>
      </c>
      <c r="T281" s="2">
        <v>108</v>
      </c>
      <c r="U281" s="2">
        <v>0.24303900000000001</v>
      </c>
      <c r="V281" s="2">
        <v>280</v>
      </c>
      <c r="W281" s="2">
        <v>2013</v>
      </c>
    </row>
    <row r="282" spans="1:23" ht="12.3" x14ac:dyDescent="0.4">
      <c r="A282" s="2" t="s">
        <v>265</v>
      </c>
      <c r="B282" s="2"/>
      <c r="C282" s="2"/>
      <c r="D282" s="2"/>
      <c r="E282" s="2"/>
      <c r="F282" s="2"/>
      <c r="G282" s="2"/>
      <c r="H282" s="2"/>
      <c r="I282" s="2"/>
      <c r="J282" s="2">
        <v>328</v>
      </c>
      <c r="K282" s="2">
        <v>60.868899999999996</v>
      </c>
      <c r="L282" s="2">
        <v>329</v>
      </c>
      <c r="M282" s="2">
        <v>93.966200000000001</v>
      </c>
      <c r="N282" s="2">
        <v>294</v>
      </c>
      <c r="O282" s="2">
        <v>96.2637</v>
      </c>
      <c r="P282" s="2">
        <v>252</v>
      </c>
      <c r="Q282" s="2">
        <v>102.65389999999999</v>
      </c>
      <c r="R282" s="2">
        <v>212</v>
      </c>
      <c r="S282" s="2">
        <v>106.40940000000001</v>
      </c>
      <c r="T282" s="2">
        <v>278</v>
      </c>
      <c r="U282" s="2">
        <v>0.240062</v>
      </c>
      <c r="V282" s="2">
        <v>281</v>
      </c>
      <c r="W282" s="2">
        <v>2013</v>
      </c>
    </row>
    <row r="283" spans="1:23" ht="12.3" x14ac:dyDescent="0.4">
      <c r="A283" s="2" t="s">
        <v>153</v>
      </c>
      <c r="B283" s="2"/>
      <c r="C283" s="2"/>
      <c r="D283" s="2"/>
      <c r="E283" s="2"/>
      <c r="F283" s="2"/>
      <c r="G283" s="2"/>
      <c r="H283" s="2"/>
      <c r="I283" s="2"/>
      <c r="J283" s="2">
        <v>306</v>
      </c>
      <c r="K283" s="2">
        <v>62.6267</v>
      </c>
      <c r="L283" s="2">
        <v>296</v>
      </c>
      <c r="M283" s="2">
        <v>96.181899999999999</v>
      </c>
      <c r="N283" s="2">
        <v>257</v>
      </c>
      <c r="O283" s="2">
        <v>94.99</v>
      </c>
      <c r="P283" s="2">
        <v>281</v>
      </c>
      <c r="Q283" s="2">
        <v>103.6097</v>
      </c>
      <c r="R283" s="2">
        <v>233</v>
      </c>
      <c r="S283" s="2">
        <v>105.0046</v>
      </c>
      <c r="T283" s="2">
        <v>255</v>
      </c>
      <c r="U283" s="2">
        <v>0.24000099999999999</v>
      </c>
      <c r="V283" s="2">
        <v>282</v>
      </c>
      <c r="W283" s="2">
        <v>2013</v>
      </c>
    </row>
    <row r="284" spans="1:23" ht="12.3" x14ac:dyDescent="0.4">
      <c r="A284" s="2" t="s">
        <v>240</v>
      </c>
      <c r="B284" s="2"/>
      <c r="C284" s="2"/>
      <c r="D284" s="2"/>
      <c r="E284" s="2"/>
      <c r="F284" s="2"/>
      <c r="G284" s="2"/>
      <c r="H284" s="2"/>
      <c r="I284" s="2"/>
      <c r="J284" s="2">
        <v>322</v>
      </c>
      <c r="K284" s="2">
        <v>61.073399999999999</v>
      </c>
      <c r="L284" s="2">
        <v>326</v>
      </c>
      <c r="M284" s="2">
        <v>94.969099999999997</v>
      </c>
      <c r="N284" s="2">
        <v>280</v>
      </c>
      <c r="O284" s="2">
        <v>93.535600000000002</v>
      </c>
      <c r="P284" s="2">
        <v>300</v>
      </c>
      <c r="Q284" s="2">
        <v>101.91589999999999</v>
      </c>
      <c r="R284" s="2">
        <v>196</v>
      </c>
      <c r="S284" s="2">
        <v>103.6835</v>
      </c>
      <c r="T284" s="2">
        <v>230</v>
      </c>
      <c r="U284" s="2">
        <v>0.23424300000000001</v>
      </c>
      <c r="V284" s="2">
        <v>283</v>
      </c>
      <c r="W284" s="2">
        <v>2013</v>
      </c>
    </row>
    <row r="285" spans="1:23" ht="12.3" x14ac:dyDescent="0.4">
      <c r="A285" s="2" t="s">
        <v>348</v>
      </c>
      <c r="B285" s="2"/>
      <c r="C285" s="2"/>
      <c r="D285" s="2"/>
      <c r="E285" s="2"/>
      <c r="F285" s="2"/>
      <c r="G285" s="2"/>
      <c r="H285" s="2"/>
      <c r="I285" s="2"/>
      <c r="J285" s="2">
        <v>103</v>
      </c>
      <c r="K285" s="2">
        <v>66.664699999999996</v>
      </c>
      <c r="L285" s="2">
        <v>133</v>
      </c>
      <c r="M285" s="2">
        <v>91.204400000000007</v>
      </c>
      <c r="N285" s="2">
        <v>318</v>
      </c>
      <c r="O285" s="2">
        <v>90.007400000000004</v>
      </c>
      <c r="P285" s="2">
        <v>324</v>
      </c>
      <c r="Q285" s="2">
        <v>101.0886</v>
      </c>
      <c r="R285" s="2">
        <v>175</v>
      </c>
      <c r="S285" s="2">
        <v>100.5017</v>
      </c>
      <c r="T285" s="2">
        <v>159</v>
      </c>
      <c r="U285" s="2">
        <v>0.219558</v>
      </c>
      <c r="V285" s="2">
        <v>284</v>
      </c>
      <c r="W285" s="2">
        <v>2013</v>
      </c>
    </row>
    <row r="286" spans="1:23" ht="12.3" x14ac:dyDescent="0.4">
      <c r="A286" s="2" t="s">
        <v>127</v>
      </c>
      <c r="B286" s="2"/>
      <c r="C286" s="2"/>
      <c r="D286" s="2"/>
      <c r="E286" s="2"/>
      <c r="F286" s="2"/>
      <c r="G286" s="2"/>
      <c r="H286" s="2"/>
      <c r="I286" s="2"/>
      <c r="J286" s="2">
        <v>5</v>
      </c>
      <c r="K286" s="2">
        <v>71.614199999999997</v>
      </c>
      <c r="L286" s="2">
        <v>6</v>
      </c>
      <c r="M286" s="2">
        <v>99.043899999999994</v>
      </c>
      <c r="N286" s="2">
        <v>199</v>
      </c>
      <c r="O286" s="2">
        <v>95.279300000000006</v>
      </c>
      <c r="P286" s="2">
        <v>277</v>
      </c>
      <c r="Q286" s="2">
        <v>104.563</v>
      </c>
      <c r="R286" s="2">
        <v>258</v>
      </c>
      <c r="S286" s="2">
        <v>106.4396</v>
      </c>
      <c r="T286" s="2">
        <v>279</v>
      </c>
      <c r="U286" s="2">
        <v>0.218607</v>
      </c>
      <c r="V286" s="2">
        <v>285</v>
      </c>
      <c r="W286" s="2">
        <v>2013</v>
      </c>
    </row>
    <row r="287" spans="1:23" ht="12.3" x14ac:dyDescent="0.4">
      <c r="A287" s="2" t="s">
        <v>83</v>
      </c>
      <c r="B287" s="2"/>
      <c r="C287" s="2"/>
      <c r="D287" s="2"/>
      <c r="E287" s="2"/>
      <c r="F287" s="2"/>
      <c r="G287" s="2"/>
      <c r="H287" s="2"/>
      <c r="I287" s="2"/>
      <c r="J287" s="2">
        <v>147</v>
      </c>
      <c r="K287" s="2">
        <v>66.69</v>
      </c>
      <c r="L287" s="2">
        <v>131</v>
      </c>
      <c r="M287" s="2">
        <v>95.166499999999999</v>
      </c>
      <c r="N287" s="2">
        <v>279</v>
      </c>
      <c r="O287" s="2">
        <v>95.829800000000006</v>
      </c>
      <c r="P287" s="2">
        <v>265</v>
      </c>
      <c r="Q287" s="2">
        <v>107.0177</v>
      </c>
      <c r="R287" s="2">
        <v>302</v>
      </c>
      <c r="S287" s="2">
        <v>107.0715</v>
      </c>
      <c r="T287" s="2">
        <v>288</v>
      </c>
      <c r="U287" s="2">
        <v>0.21829699999999999</v>
      </c>
      <c r="V287" s="2">
        <v>286</v>
      </c>
      <c r="W287" s="2">
        <v>2013</v>
      </c>
    </row>
    <row r="288" spans="1:23" ht="12.3" x14ac:dyDescent="0.4">
      <c r="A288" s="2" t="s">
        <v>335</v>
      </c>
      <c r="B288" s="2"/>
      <c r="C288" s="2"/>
      <c r="D288" s="2"/>
      <c r="E288" s="2"/>
      <c r="F288" s="2"/>
      <c r="G288" s="2"/>
      <c r="H288" s="2"/>
      <c r="I288" s="2"/>
      <c r="J288" s="2">
        <v>250</v>
      </c>
      <c r="K288" s="2">
        <v>63.665500000000002</v>
      </c>
      <c r="L288" s="2">
        <v>271</v>
      </c>
      <c r="M288" s="2">
        <v>92.075999999999993</v>
      </c>
      <c r="N288" s="2">
        <v>312</v>
      </c>
      <c r="O288" s="2">
        <v>91.291300000000007</v>
      </c>
      <c r="P288" s="2">
        <v>316</v>
      </c>
      <c r="Q288" s="2">
        <v>101.9883</v>
      </c>
      <c r="R288" s="2">
        <v>197</v>
      </c>
      <c r="S288" s="2">
        <v>102.13500000000001</v>
      </c>
      <c r="T288" s="2">
        <v>196</v>
      </c>
      <c r="U288" s="2">
        <v>0.215724</v>
      </c>
      <c r="V288" s="2">
        <v>287</v>
      </c>
      <c r="W288" s="2">
        <v>2013</v>
      </c>
    </row>
    <row r="289" spans="1:23" ht="12.3" x14ac:dyDescent="0.4">
      <c r="A289" s="2" t="s">
        <v>208</v>
      </c>
      <c r="B289" s="2"/>
      <c r="C289" s="2"/>
      <c r="D289" s="2"/>
      <c r="E289" s="2"/>
      <c r="F289" s="2"/>
      <c r="G289" s="2"/>
      <c r="H289" s="2"/>
      <c r="I289" s="2"/>
      <c r="J289" s="2">
        <v>330</v>
      </c>
      <c r="K289" s="2">
        <v>60.177999999999997</v>
      </c>
      <c r="L289" s="2">
        <v>340</v>
      </c>
      <c r="M289" s="2">
        <v>98.248500000000007</v>
      </c>
      <c r="N289" s="2">
        <v>223</v>
      </c>
      <c r="O289" s="2">
        <v>95.712199999999996</v>
      </c>
      <c r="P289" s="2">
        <v>267</v>
      </c>
      <c r="Q289" s="2">
        <v>107.0543</v>
      </c>
      <c r="R289" s="2">
        <v>304</v>
      </c>
      <c r="S289" s="2">
        <v>107.09139999999999</v>
      </c>
      <c r="T289" s="2">
        <v>289</v>
      </c>
      <c r="U289" s="2">
        <v>0.21553600000000001</v>
      </c>
      <c r="V289" s="2">
        <v>288</v>
      </c>
      <c r="W289" s="2">
        <v>2013</v>
      </c>
    </row>
    <row r="290" spans="1:23" ht="12.3" x14ac:dyDescent="0.4">
      <c r="A290" s="2" t="s">
        <v>302</v>
      </c>
      <c r="B290" s="2"/>
      <c r="C290" s="2"/>
      <c r="D290" s="2"/>
      <c r="E290" s="2"/>
      <c r="F290" s="2"/>
      <c r="G290" s="2"/>
      <c r="H290" s="2"/>
      <c r="I290" s="2"/>
      <c r="J290" s="2">
        <v>286</v>
      </c>
      <c r="K290" s="2">
        <v>62.485700000000001</v>
      </c>
      <c r="L290" s="2">
        <v>300</v>
      </c>
      <c r="M290" s="2">
        <v>99.917000000000002</v>
      </c>
      <c r="N290" s="2">
        <v>183</v>
      </c>
      <c r="O290" s="2">
        <v>94.561199999999999</v>
      </c>
      <c r="P290" s="2">
        <v>283</v>
      </c>
      <c r="Q290" s="2">
        <v>103.9511</v>
      </c>
      <c r="R290" s="2">
        <v>242</v>
      </c>
      <c r="S290" s="2">
        <v>105.8364</v>
      </c>
      <c r="T290" s="2">
        <v>267</v>
      </c>
      <c r="U290" s="2">
        <v>0.21493100000000001</v>
      </c>
      <c r="V290" s="2">
        <v>289</v>
      </c>
      <c r="W290" s="2">
        <v>2013</v>
      </c>
    </row>
    <row r="291" spans="1:23" ht="12.3" x14ac:dyDescent="0.4">
      <c r="A291" s="2" t="s">
        <v>347</v>
      </c>
      <c r="B291" s="2"/>
      <c r="C291" s="2"/>
      <c r="D291" s="2"/>
      <c r="E291" s="2"/>
      <c r="F291" s="2"/>
      <c r="G291" s="2"/>
      <c r="H291" s="2"/>
      <c r="I291" s="2"/>
      <c r="J291" s="2">
        <v>108</v>
      </c>
      <c r="K291" s="2">
        <v>67.176199999999994</v>
      </c>
      <c r="L291" s="2">
        <v>116</v>
      </c>
      <c r="M291" s="2">
        <v>98.058000000000007</v>
      </c>
      <c r="N291" s="2">
        <v>225</v>
      </c>
      <c r="O291" s="2">
        <v>96.836699999999993</v>
      </c>
      <c r="P291" s="2">
        <v>244</v>
      </c>
      <c r="Q291" s="2">
        <v>107.25279999999999</v>
      </c>
      <c r="R291" s="2">
        <v>309</v>
      </c>
      <c r="S291" s="2">
        <v>108.4735</v>
      </c>
      <c r="T291" s="2">
        <v>306</v>
      </c>
      <c r="U291" s="2">
        <v>0.21332300000000001</v>
      </c>
      <c r="V291" s="2">
        <v>290</v>
      </c>
      <c r="W291" s="2">
        <v>2013</v>
      </c>
    </row>
    <row r="292" spans="1:23" ht="12.3" x14ac:dyDescent="0.4">
      <c r="A292" s="2" t="s">
        <v>337</v>
      </c>
      <c r="B292" s="2"/>
      <c r="C292" s="2"/>
      <c r="D292" s="2"/>
      <c r="E292" s="2"/>
      <c r="F292" s="2"/>
      <c r="G292" s="2"/>
      <c r="H292" s="2"/>
      <c r="I292" s="2"/>
      <c r="J292" s="2">
        <v>11</v>
      </c>
      <c r="K292" s="2">
        <v>70.626599999999996</v>
      </c>
      <c r="L292" s="2">
        <v>15</v>
      </c>
      <c r="M292" s="2">
        <v>96.189400000000006</v>
      </c>
      <c r="N292" s="2">
        <v>255</v>
      </c>
      <c r="O292" s="2">
        <v>96.603499999999997</v>
      </c>
      <c r="P292" s="2">
        <v>247</v>
      </c>
      <c r="Q292" s="2">
        <v>108.03740000000001</v>
      </c>
      <c r="R292" s="2">
        <v>318</v>
      </c>
      <c r="S292" s="2">
        <v>108.3811</v>
      </c>
      <c r="T292" s="2">
        <v>304</v>
      </c>
      <c r="U292" s="2">
        <v>0.21032799999999999</v>
      </c>
      <c r="V292" s="2">
        <v>291</v>
      </c>
      <c r="W292" s="2">
        <v>2013</v>
      </c>
    </row>
    <row r="293" spans="1:23" ht="12.3" x14ac:dyDescent="0.4">
      <c r="A293" s="2" t="s">
        <v>372</v>
      </c>
      <c r="B293" s="2"/>
      <c r="C293" s="2"/>
      <c r="D293" s="2"/>
      <c r="E293" s="2"/>
      <c r="F293" s="2"/>
      <c r="G293" s="2"/>
      <c r="H293" s="2"/>
      <c r="I293" s="2"/>
      <c r="J293" s="2">
        <v>246</v>
      </c>
      <c r="K293" s="2">
        <v>64.513000000000005</v>
      </c>
      <c r="L293" s="2">
        <v>237</v>
      </c>
      <c r="M293" s="2">
        <v>98.503799999999998</v>
      </c>
      <c r="N293" s="2">
        <v>217</v>
      </c>
      <c r="O293" s="2">
        <v>97.4148</v>
      </c>
      <c r="P293" s="2">
        <v>238</v>
      </c>
      <c r="Q293" s="2">
        <v>105.43470000000001</v>
      </c>
      <c r="R293" s="2">
        <v>274</v>
      </c>
      <c r="S293" s="2">
        <v>109.5213</v>
      </c>
      <c r="T293" s="2">
        <v>318</v>
      </c>
      <c r="U293" s="2">
        <v>0.206341</v>
      </c>
      <c r="V293" s="2">
        <v>292</v>
      </c>
      <c r="W293" s="2">
        <v>2013</v>
      </c>
    </row>
    <row r="294" spans="1:23" ht="12.3" x14ac:dyDescent="0.4">
      <c r="A294" s="2" t="s">
        <v>196</v>
      </c>
      <c r="B294" s="2"/>
      <c r="C294" s="2"/>
      <c r="D294" s="2"/>
      <c r="E294" s="2"/>
      <c r="F294" s="2"/>
      <c r="G294" s="2"/>
      <c r="H294" s="2"/>
      <c r="I294" s="2"/>
      <c r="J294" s="2">
        <v>247</v>
      </c>
      <c r="K294" s="2">
        <v>64.445899999999995</v>
      </c>
      <c r="L294" s="2">
        <v>240</v>
      </c>
      <c r="M294" s="2">
        <v>92.892700000000005</v>
      </c>
      <c r="N294" s="2">
        <v>304</v>
      </c>
      <c r="O294" s="2">
        <v>94.480500000000006</v>
      </c>
      <c r="P294" s="2">
        <v>286</v>
      </c>
      <c r="Q294" s="2">
        <v>106.0612</v>
      </c>
      <c r="R294" s="2">
        <v>288</v>
      </c>
      <c r="S294" s="2">
        <v>106.2423</v>
      </c>
      <c r="T294" s="2">
        <v>277</v>
      </c>
      <c r="U294" s="2">
        <v>0.205986</v>
      </c>
      <c r="V294" s="2">
        <v>293</v>
      </c>
      <c r="W294" s="2">
        <v>2013</v>
      </c>
    </row>
    <row r="295" spans="1:23" ht="12.3" x14ac:dyDescent="0.4">
      <c r="A295" s="2" t="s">
        <v>254</v>
      </c>
      <c r="B295" s="2"/>
      <c r="C295" s="2"/>
      <c r="D295" s="2"/>
      <c r="E295" s="2"/>
      <c r="F295" s="2"/>
      <c r="G295" s="2"/>
      <c r="H295" s="2"/>
      <c r="I295" s="2"/>
      <c r="J295" s="2">
        <v>69</v>
      </c>
      <c r="K295" s="2">
        <v>68.249799999999993</v>
      </c>
      <c r="L295" s="2">
        <v>69</v>
      </c>
      <c r="M295" s="2">
        <v>95.881</v>
      </c>
      <c r="N295" s="2">
        <v>264</v>
      </c>
      <c r="O295" s="2">
        <v>95.374399999999994</v>
      </c>
      <c r="P295" s="2">
        <v>274</v>
      </c>
      <c r="Q295" s="2">
        <v>107.3616</v>
      </c>
      <c r="R295" s="2">
        <v>311</v>
      </c>
      <c r="S295" s="2">
        <v>107.62439999999999</v>
      </c>
      <c r="T295" s="2">
        <v>295</v>
      </c>
      <c r="U295" s="2">
        <v>0.19946800000000001</v>
      </c>
      <c r="V295" s="2">
        <v>294</v>
      </c>
      <c r="W295" s="2">
        <v>2013</v>
      </c>
    </row>
    <row r="296" spans="1:23" ht="12.3" x14ac:dyDescent="0.4">
      <c r="A296" s="2" t="s">
        <v>122</v>
      </c>
      <c r="B296" s="2"/>
      <c r="C296" s="2"/>
      <c r="D296" s="2"/>
      <c r="E296" s="2"/>
      <c r="F296" s="2"/>
      <c r="G296" s="2"/>
      <c r="H296" s="2"/>
      <c r="I296" s="2"/>
      <c r="J296" s="2">
        <v>192</v>
      </c>
      <c r="K296" s="2">
        <v>65.985399999999998</v>
      </c>
      <c r="L296" s="2">
        <v>167</v>
      </c>
      <c r="M296" s="2">
        <v>91.418899999999994</v>
      </c>
      <c r="N296" s="2">
        <v>316</v>
      </c>
      <c r="O296" s="2">
        <v>93.968900000000005</v>
      </c>
      <c r="P296" s="2">
        <v>294</v>
      </c>
      <c r="Q296" s="2">
        <v>107.1314</v>
      </c>
      <c r="R296" s="2">
        <v>305</v>
      </c>
      <c r="S296" s="2">
        <v>106.06100000000001</v>
      </c>
      <c r="T296" s="2">
        <v>273</v>
      </c>
      <c r="U296" s="2">
        <v>0.199077</v>
      </c>
      <c r="V296" s="2">
        <v>295</v>
      </c>
      <c r="W296" s="2">
        <v>2013</v>
      </c>
    </row>
    <row r="297" spans="1:23" ht="12.3" x14ac:dyDescent="0.4">
      <c r="A297" s="2" t="s">
        <v>187</v>
      </c>
      <c r="B297" s="2"/>
      <c r="C297" s="2"/>
      <c r="D297" s="2"/>
      <c r="E297" s="2"/>
      <c r="F297" s="2"/>
      <c r="G297" s="2"/>
      <c r="H297" s="2"/>
      <c r="I297" s="2"/>
      <c r="J297" s="2">
        <v>73</v>
      </c>
      <c r="K297" s="2">
        <v>68.4636</v>
      </c>
      <c r="L297" s="2">
        <v>60</v>
      </c>
      <c r="M297" s="2">
        <v>99.410200000000003</v>
      </c>
      <c r="N297" s="2">
        <v>189</v>
      </c>
      <c r="O297" s="2">
        <v>95.749700000000004</v>
      </c>
      <c r="P297" s="2">
        <v>266</v>
      </c>
      <c r="Q297" s="2">
        <v>107.3754</v>
      </c>
      <c r="R297" s="2">
        <v>312</v>
      </c>
      <c r="S297" s="2">
        <v>108.30840000000001</v>
      </c>
      <c r="T297" s="2">
        <v>302</v>
      </c>
      <c r="U297" s="2">
        <v>0.19508200000000001</v>
      </c>
      <c r="V297" s="2">
        <v>296</v>
      </c>
      <c r="W297" s="2">
        <v>2013</v>
      </c>
    </row>
    <row r="298" spans="1:23" ht="12.3" x14ac:dyDescent="0.4">
      <c r="A298" s="2" t="s">
        <v>223</v>
      </c>
      <c r="B298" s="2"/>
      <c r="C298" s="2"/>
      <c r="D298" s="2"/>
      <c r="E298" s="2"/>
      <c r="F298" s="2"/>
      <c r="G298" s="2"/>
      <c r="H298" s="2"/>
      <c r="I298" s="2"/>
      <c r="J298" s="2">
        <v>83</v>
      </c>
      <c r="K298" s="2">
        <v>67.188299999999998</v>
      </c>
      <c r="L298" s="2">
        <v>113</v>
      </c>
      <c r="M298" s="2">
        <v>94.113500000000002</v>
      </c>
      <c r="N298" s="2">
        <v>291</v>
      </c>
      <c r="O298" s="2">
        <v>89.810699999999997</v>
      </c>
      <c r="P298" s="2">
        <v>327</v>
      </c>
      <c r="Q298" s="2">
        <v>99.471199999999996</v>
      </c>
      <c r="R298" s="2">
        <v>148</v>
      </c>
      <c r="S298" s="2">
        <v>101.6807</v>
      </c>
      <c r="T298" s="2">
        <v>187</v>
      </c>
      <c r="U298" s="2">
        <v>0.19348399999999999</v>
      </c>
      <c r="V298" s="2">
        <v>297</v>
      </c>
      <c r="W298" s="2">
        <v>2013</v>
      </c>
    </row>
    <row r="299" spans="1:23" ht="12.3" x14ac:dyDescent="0.4">
      <c r="A299" s="2" t="s">
        <v>364</v>
      </c>
      <c r="B299" s="2"/>
      <c r="C299" s="2"/>
      <c r="D299" s="2"/>
      <c r="E299" s="2"/>
      <c r="F299" s="2"/>
      <c r="G299" s="2"/>
      <c r="H299" s="2"/>
      <c r="I299" s="2"/>
      <c r="J299" s="2">
        <v>2</v>
      </c>
      <c r="K299" s="2">
        <v>72.788200000000003</v>
      </c>
      <c r="L299" s="2">
        <v>3</v>
      </c>
      <c r="M299" s="2">
        <v>99.614000000000004</v>
      </c>
      <c r="N299" s="2">
        <v>184</v>
      </c>
      <c r="O299" s="2">
        <v>98.873199999999997</v>
      </c>
      <c r="P299" s="2">
        <v>205</v>
      </c>
      <c r="Q299" s="2">
        <v>106.2881</v>
      </c>
      <c r="R299" s="2">
        <v>292</v>
      </c>
      <c r="S299" s="2">
        <v>111.9799</v>
      </c>
      <c r="T299" s="2">
        <v>337</v>
      </c>
      <c r="U299" s="2">
        <v>0.192859</v>
      </c>
      <c r="V299" s="2">
        <v>298</v>
      </c>
      <c r="W299" s="2">
        <v>2013</v>
      </c>
    </row>
    <row r="300" spans="1:23" ht="12.3" x14ac:dyDescent="0.4">
      <c r="A300" s="2" t="s">
        <v>214</v>
      </c>
      <c r="B300" s="2"/>
      <c r="C300" s="2"/>
      <c r="D300" s="2"/>
      <c r="E300" s="2"/>
      <c r="F300" s="2"/>
      <c r="G300" s="2"/>
      <c r="H300" s="2"/>
      <c r="I300" s="2"/>
      <c r="J300" s="2">
        <v>50</v>
      </c>
      <c r="K300" s="2">
        <v>68.991699999999994</v>
      </c>
      <c r="L300" s="2">
        <v>44</v>
      </c>
      <c r="M300" s="2">
        <v>95.643900000000002</v>
      </c>
      <c r="N300" s="2">
        <v>266</v>
      </c>
      <c r="O300" s="2">
        <v>93.957599999999999</v>
      </c>
      <c r="P300" s="2">
        <v>295</v>
      </c>
      <c r="Q300" s="2">
        <v>103.82299999999999</v>
      </c>
      <c r="R300" s="2">
        <v>239</v>
      </c>
      <c r="S300" s="2">
        <v>106.6559</v>
      </c>
      <c r="T300" s="2">
        <v>280</v>
      </c>
      <c r="U300" s="2">
        <v>0.188805</v>
      </c>
      <c r="V300" s="2">
        <v>299</v>
      </c>
      <c r="W300" s="2">
        <v>2013</v>
      </c>
    </row>
    <row r="301" spans="1:23" ht="12.3" x14ac:dyDescent="0.4">
      <c r="A301" s="2" t="s">
        <v>252</v>
      </c>
      <c r="B301" s="2"/>
      <c r="C301" s="2"/>
      <c r="D301" s="2"/>
      <c r="E301" s="2"/>
      <c r="F301" s="2"/>
      <c r="G301" s="2"/>
      <c r="H301" s="2"/>
      <c r="I301" s="2"/>
      <c r="J301" s="2">
        <v>106</v>
      </c>
      <c r="K301" s="2">
        <v>67.523399999999995</v>
      </c>
      <c r="L301" s="2">
        <v>99</v>
      </c>
      <c r="M301" s="2">
        <v>92.544600000000003</v>
      </c>
      <c r="N301" s="2">
        <v>309</v>
      </c>
      <c r="O301" s="2">
        <v>95.388900000000007</v>
      </c>
      <c r="P301" s="2">
        <v>273</v>
      </c>
      <c r="Q301" s="2">
        <v>105.10720000000001</v>
      </c>
      <c r="R301" s="2">
        <v>269</v>
      </c>
      <c r="S301" s="2">
        <v>108.3098</v>
      </c>
      <c r="T301" s="2">
        <v>303</v>
      </c>
      <c r="U301" s="2">
        <v>0.188331</v>
      </c>
      <c r="V301" s="2">
        <v>300</v>
      </c>
      <c r="W301" s="2">
        <v>2013</v>
      </c>
    </row>
    <row r="302" spans="1:23" ht="12.3" x14ac:dyDescent="0.4">
      <c r="A302" s="2" t="s">
        <v>319</v>
      </c>
      <c r="B302" s="2"/>
      <c r="C302" s="2"/>
      <c r="D302" s="2"/>
      <c r="E302" s="2"/>
      <c r="F302" s="2"/>
      <c r="G302" s="2"/>
      <c r="H302" s="2"/>
      <c r="I302" s="2"/>
      <c r="J302" s="2">
        <v>113</v>
      </c>
      <c r="K302" s="2">
        <v>66.410499999999999</v>
      </c>
      <c r="L302" s="2">
        <v>146</v>
      </c>
      <c r="M302" s="2">
        <v>99.057699999999997</v>
      </c>
      <c r="N302" s="2">
        <v>198</v>
      </c>
      <c r="O302" s="2">
        <v>96.0488</v>
      </c>
      <c r="P302" s="2">
        <v>258</v>
      </c>
      <c r="Q302" s="2">
        <v>106.31570000000001</v>
      </c>
      <c r="R302" s="2">
        <v>293</v>
      </c>
      <c r="S302" s="2">
        <v>109.23560000000001</v>
      </c>
      <c r="T302" s="2">
        <v>315</v>
      </c>
      <c r="U302" s="2">
        <v>0.185506</v>
      </c>
      <c r="V302" s="2">
        <v>301</v>
      </c>
      <c r="W302" s="2">
        <v>2013</v>
      </c>
    </row>
    <row r="303" spans="1:23" ht="12.3" x14ac:dyDescent="0.4">
      <c r="A303" s="2" t="s">
        <v>107</v>
      </c>
      <c r="B303" s="2"/>
      <c r="C303" s="2"/>
      <c r="D303" s="2"/>
      <c r="E303" s="2"/>
      <c r="F303" s="2"/>
      <c r="G303" s="2"/>
      <c r="H303" s="2"/>
      <c r="I303" s="2"/>
      <c r="J303" s="2">
        <v>176</v>
      </c>
      <c r="K303" s="2">
        <v>64.171899999999994</v>
      </c>
      <c r="L303" s="2">
        <v>255</v>
      </c>
      <c r="M303" s="2">
        <v>95.585999999999999</v>
      </c>
      <c r="N303" s="2">
        <v>267</v>
      </c>
      <c r="O303" s="2">
        <v>95.334400000000002</v>
      </c>
      <c r="P303" s="2">
        <v>275</v>
      </c>
      <c r="Q303" s="2">
        <v>106.0168</v>
      </c>
      <c r="R303" s="2">
        <v>286</v>
      </c>
      <c r="S303" s="2">
        <v>108.5493</v>
      </c>
      <c r="T303" s="2">
        <v>308</v>
      </c>
      <c r="U303" s="2">
        <v>0.18349299999999999</v>
      </c>
      <c r="V303" s="2">
        <v>302</v>
      </c>
      <c r="W303" s="2">
        <v>2013</v>
      </c>
    </row>
    <row r="304" spans="1:23" ht="12.3" x14ac:dyDescent="0.4">
      <c r="A304" s="2" t="s">
        <v>227</v>
      </c>
      <c r="B304" s="2"/>
      <c r="C304" s="2"/>
      <c r="D304" s="2"/>
      <c r="E304" s="2"/>
      <c r="F304" s="2"/>
      <c r="G304" s="2"/>
      <c r="H304" s="2"/>
      <c r="I304" s="2"/>
      <c r="J304" s="2">
        <v>38</v>
      </c>
      <c r="K304" s="2">
        <v>69.153999999999996</v>
      </c>
      <c r="L304" s="2">
        <v>41</v>
      </c>
      <c r="M304" s="2">
        <v>98.398399999999995</v>
      </c>
      <c r="N304" s="2">
        <v>221</v>
      </c>
      <c r="O304" s="2">
        <v>97.669300000000007</v>
      </c>
      <c r="P304" s="2">
        <v>233</v>
      </c>
      <c r="Q304" s="2">
        <v>109.8963</v>
      </c>
      <c r="R304" s="2">
        <v>332</v>
      </c>
      <c r="S304" s="2">
        <v>111.2085</v>
      </c>
      <c r="T304" s="2">
        <v>328</v>
      </c>
      <c r="U304" s="2">
        <v>0.18348300000000001</v>
      </c>
      <c r="V304" s="2">
        <v>303</v>
      </c>
      <c r="W304" s="2">
        <v>2013</v>
      </c>
    </row>
    <row r="305" spans="1:23" ht="12.3" x14ac:dyDescent="0.4">
      <c r="A305" s="2" t="s">
        <v>284</v>
      </c>
      <c r="B305" s="2"/>
      <c r="C305" s="2"/>
      <c r="D305" s="2"/>
      <c r="E305" s="2"/>
      <c r="F305" s="2"/>
      <c r="G305" s="2"/>
      <c r="H305" s="2"/>
      <c r="I305" s="2"/>
      <c r="J305" s="2">
        <v>274</v>
      </c>
      <c r="K305" s="2">
        <v>63.143900000000002</v>
      </c>
      <c r="L305" s="2">
        <v>286</v>
      </c>
      <c r="M305" s="2">
        <v>88.423100000000005</v>
      </c>
      <c r="N305" s="2">
        <v>334</v>
      </c>
      <c r="O305" s="2">
        <v>88.87</v>
      </c>
      <c r="P305" s="2">
        <v>331</v>
      </c>
      <c r="Q305" s="2">
        <v>104.0104</v>
      </c>
      <c r="R305" s="2">
        <v>246</v>
      </c>
      <c r="S305" s="2">
        <v>101.2372</v>
      </c>
      <c r="T305" s="2">
        <v>175</v>
      </c>
      <c r="U305" s="2">
        <v>0.182671</v>
      </c>
      <c r="V305" s="2">
        <v>304</v>
      </c>
      <c r="W305" s="2">
        <v>2013</v>
      </c>
    </row>
    <row r="306" spans="1:23" ht="12.3" x14ac:dyDescent="0.4">
      <c r="A306" s="2" t="s">
        <v>163</v>
      </c>
      <c r="B306" s="2"/>
      <c r="C306" s="2"/>
      <c r="D306" s="2"/>
      <c r="E306" s="2"/>
      <c r="F306" s="2"/>
      <c r="G306" s="2"/>
      <c r="H306" s="2"/>
      <c r="I306" s="2"/>
      <c r="J306" s="2">
        <v>151</v>
      </c>
      <c r="K306" s="2">
        <v>65.596000000000004</v>
      </c>
      <c r="L306" s="2">
        <v>184</v>
      </c>
      <c r="M306" s="2">
        <v>103.166</v>
      </c>
      <c r="N306" s="2">
        <v>122</v>
      </c>
      <c r="O306" s="2">
        <v>98.749399999999994</v>
      </c>
      <c r="P306" s="2">
        <v>207</v>
      </c>
      <c r="Q306" s="2">
        <v>109.12350000000001</v>
      </c>
      <c r="R306" s="2">
        <v>327</v>
      </c>
      <c r="S306" s="2">
        <v>112.6481</v>
      </c>
      <c r="T306" s="2">
        <v>339</v>
      </c>
      <c r="U306" s="2">
        <v>0.18029300000000001</v>
      </c>
      <c r="V306" s="2">
        <v>305</v>
      </c>
      <c r="W306" s="2">
        <v>2013</v>
      </c>
    </row>
    <row r="307" spans="1:23" ht="12.3" x14ac:dyDescent="0.4">
      <c r="A307" s="2" t="s">
        <v>243</v>
      </c>
      <c r="B307" s="2"/>
      <c r="C307" s="2"/>
      <c r="D307" s="2"/>
      <c r="E307" s="2"/>
      <c r="F307" s="2"/>
      <c r="G307" s="2"/>
      <c r="H307" s="2"/>
      <c r="I307" s="2"/>
      <c r="J307" s="2">
        <v>232</v>
      </c>
      <c r="K307" s="2">
        <v>64.513499999999993</v>
      </c>
      <c r="L307" s="2">
        <v>236</v>
      </c>
      <c r="M307" s="2">
        <v>89.009399999999999</v>
      </c>
      <c r="N307" s="2">
        <v>330</v>
      </c>
      <c r="O307" s="2">
        <v>87.560299999999998</v>
      </c>
      <c r="P307" s="2">
        <v>335</v>
      </c>
      <c r="Q307" s="2">
        <v>102.25539999999999</v>
      </c>
      <c r="R307" s="2">
        <v>202</v>
      </c>
      <c r="S307" s="2">
        <v>99.926000000000002</v>
      </c>
      <c r="T307" s="2">
        <v>146</v>
      </c>
      <c r="U307" s="2">
        <v>0.17958199999999999</v>
      </c>
      <c r="V307" s="2">
        <v>306</v>
      </c>
      <c r="W307" s="2">
        <v>2013</v>
      </c>
    </row>
    <row r="308" spans="1:23" ht="12.3" x14ac:dyDescent="0.4">
      <c r="A308" s="2" t="s">
        <v>373</v>
      </c>
      <c r="B308" s="2"/>
      <c r="C308" s="2"/>
      <c r="D308" s="2"/>
      <c r="E308" s="2"/>
      <c r="F308" s="2"/>
      <c r="G308" s="2"/>
      <c r="H308" s="2"/>
      <c r="I308" s="2"/>
      <c r="J308" s="2">
        <v>179</v>
      </c>
      <c r="K308" s="2">
        <v>66.046199999999999</v>
      </c>
      <c r="L308" s="2">
        <v>164</v>
      </c>
      <c r="M308" s="2">
        <v>93.265900000000002</v>
      </c>
      <c r="N308" s="2">
        <v>302</v>
      </c>
      <c r="O308" s="2">
        <v>91.514099999999999</v>
      </c>
      <c r="P308" s="2">
        <v>315</v>
      </c>
      <c r="Q308" s="2">
        <v>103.2114</v>
      </c>
      <c r="R308" s="2">
        <v>227</v>
      </c>
      <c r="S308" s="2">
        <v>104.5581</v>
      </c>
      <c r="T308" s="2">
        <v>251</v>
      </c>
      <c r="U308" s="2">
        <v>0.177647</v>
      </c>
      <c r="V308" s="2">
        <v>307</v>
      </c>
      <c r="W308" s="2">
        <v>2013</v>
      </c>
    </row>
    <row r="309" spans="1:23" ht="12.3" x14ac:dyDescent="0.4">
      <c r="A309" s="2" t="s">
        <v>237</v>
      </c>
      <c r="B309" s="2"/>
      <c r="C309" s="2"/>
      <c r="D309" s="2"/>
      <c r="E309" s="2"/>
      <c r="F309" s="2"/>
      <c r="G309" s="2"/>
      <c r="H309" s="2"/>
      <c r="I309" s="2"/>
      <c r="J309" s="2">
        <v>44</v>
      </c>
      <c r="K309" s="2">
        <v>69.310199999999995</v>
      </c>
      <c r="L309" s="2">
        <v>36</v>
      </c>
      <c r="M309" s="2">
        <v>93.984899999999996</v>
      </c>
      <c r="N309" s="2">
        <v>293</v>
      </c>
      <c r="O309" s="2">
        <v>90.959299999999999</v>
      </c>
      <c r="P309" s="2">
        <v>321</v>
      </c>
      <c r="Q309" s="2">
        <v>103.61790000000001</v>
      </c>
      <c r="R309" s="2">
        <v>234</v>
      </c>
      <c r="S309" s="2">
        <v>103.93940000000001</v>
      </c>
      <c r="T309" s="2">
        <v>239</v>
      </c>
      <c r="U309" s="2">
        <v>0.17740300000000001</v>
      </c>
      <c r="V309" s="2">
        <v>308</v>
      </c>
      <c r="W309" s="2">
        <v>2013</v>
      </c>
    </row>
    <row r="310" spans="1:23" ht="12.3" x14ac:dyDescent="0.4">
      <c r="A310" s="2" t="s">
        <v>269</v>
      </c>
      <c r="B310" s="2"/>
      <c r="C310" s="2"/>
      <c r="D310" s="2"/>
      <c r="E310" s="2"/>
      <c r="F310" s="2"/>
      <c r="G310" s="2"/>
      <c r="H310" s="2"/>
      <c r="I310" s="2"/>
      <c r="J310" s="2">
        <v>211</v>
      </c>
      <c r="K310" s="2">
        <v>65.245599999999996</v>
      </c>
      <c r="L310" s="2">
        <v>202</v>
      </c>
      <c r="M310" s="2">
        <v>104.04859999999999</v>
      </c>
      <c r="N310" s="2">
        <v>102</v>
      </c>
      <c r="O310" s="2">
        <v>101.87130000000001</v>
      </c>
      <c r="P310" s="2">
        <v>147</v>
      </c>
      <c r="Q310" s="2">
        <v>112.0425</v>
      </c>
      <c r="R310" s="2">
        <v>340</v>
      </c>
      <c r="S310" s="2">
        <v>116.5454</v>
      </c>
      <c r="T310" s="2">
        <v>345</v>
      </c>
      <c r="U310" s="2">
        <v>0.17543900000000001</v>
      </c>
      <c r="V310" s="2">
        <v>309</v>
      </c>
      <c r="W310" s="2">
        <v>2013</v>
      </c>
    </row>
    <row r="311" spans="1:23" ht="12.3" x14ac:dyDescent="0.4">
      <c r="A311" s="2" t="s">
        <v>379</v>
      </c>
      <c r="B311" s="2"/>
      <c r="C311" s="2"/>
      <c r="D311" s="2"/>
      <c r="E311" s="2"/>
      <c r="F311" s="2"/>
      <c r="G311" s="2"/>
      <c r="H311" s="2"/>
      <c r="I311" s="2"/>
      <c r="J311" s="2">
        <v>10</v>
      </c>
      <c r="K311" s="2">
        <v>72.828599999999994</v>
      </c>
      <c r="L311" s="2">
        <v>2</v>
      </c>
      <c r="M311" s="2">
        <v>99.3</v>
      </c>
      <c r="N311" s="2">
        <v>191</v>
      </c>
      <c r="O311" s="2">
        <v>101.2313</v>
      </c>
      <c r="P311" s="2">
        <v>161</v>
      </c>
      <c r="Q311" s="2">
        <v>115.67359999999999</v>
      </c>
      <c r="R311" s="2">
        <v>345</v>
      </c>
      <c r="S311" s="2">
        <v>115.9517</v>
      </c>
      <c r="T311" s="2">
        <v>344</v>
      </c>
      <c r="U311" s="2">
        <v>0.17346</v>
      </c>
      <c r="V311" s="2">
        <v>310</v>
      </c>
      <c r="W311" s="2">
        <v>2013</v>
      </c>
    </row>
    <row r="312" spans="1:23" ht="12.3" x14ac:dyDescent="0.4">
      <c r="A312" s="2" t="s">
        <v>166</v>
      </c>
      <c r="B312" s="2"/>
      <c r="C312" s="2"/>
      <c r="D312" s="2"/>
      <c r="E312" s="2"/>
      <c r="F312" s="2"/>
      <c r="G312" s="2"/>
      <c r="H312" s="2"/>
      <c r="I312" s="2"/>
      <c r="J312" s="2">
        <v>93</v>
      </c>
      <c r="K312" s="2">
        <v>67.710999999999999</v>
      </c>
      <c r="L312" s="2">
        <v>89</v>
      </c>
      <c r="M312" s="2">
        <v>98.760999999999996</v>
      </c>
      <c r="N312" s="2">
        <v>212</v>
      </c>
      <c r="O312" s="2">
        <v>97.308300000000003</v>
      </c>
      <c r="P312" s="2">
        <v>239</v>
      </c>
      <c r="Q312" s="2">
        <v>106.66030000000001</v>
      </c>
      <c r="R312" s="2">
        <v>300</v>
      </c>
      <c r="S312" s="2">
        <v>111.52119999999999</v>
      </c>
      <c r="T312" s="2">
        <v>333</v>
      </c>
      <c r="U312" s="2">
        <v>0.17253099999999999</v>
      </c>
      <c r="V312" s="2">
        <v>311</v>
      </c>
      <c r="W312" s="2">
        <v>2013</v>
      </c>
    </row>
    <row r="313" spans="1:23" ht="12.3" x14ac:dyDescent="0.4">
      <c r="A313" s="2" t="s">
        <v>202</v>
      </c>
      <c r="B313" s="2"/>
      <c r="C313" s="2"/>
      <c r="D313" s="2"/>
      <c r="E313" s="2"/>
      <c r="F313" s="2"/>
      <c r="G313" s="2"/>
      <c r="H313" s="2"/>
      <c r="I313" s="2"/>
      <c r="J313" s="2">
        <v>196</v>
      </c>
      <c r="K313" s="2">
        <v>63.851199999999999</v>
      </c>
      <c r="L313" s="2">
        <v>265</v>
      </c>
      <c r="M313" s="2">
        <v>93.539100000000005</v>
      </c>
      <c r="N313" s="2">
        <v>298</v>
      </c>
      <c r="O313" s="2">
        <v>91.756299999999996</v>
      </c>
      <c r="P313" s="2">
        <v>313</v>
      </c>
      <c r="Q313" s="2">
        <v>101.65049999999999</v>
      </c>
      <c r="R313" s="2">
        <v>190</v>
      </c>
      <c r="S313" s="2">
        <v>105.1885</v>
      </c>
      <c r="T313" s="2">
        <v>258</v>
      </c>
      <c r="U313" s="2">
        <v>0.17205899999999999</v>
      </c>
      <c r="V313" s="2">
        <v>312</v>
      </c>
      <c r="W313" s="2">
        <v>2013</v>
      </c>
    </row>
    <row r="314" spans="1:23" ht="12.3" x14ac:dyDescent="0.4">
      <c r="A314" s="2" t="s">
        <v>251</v>
      </c>
      <c r="B314" s="2"/>
      <c r="C314" s="2"/>
      <c r="D314" s="2"/>
      <c r="E314" s="2"/>
      <c r="F314" s="2"/>
      <c r="G314" s="2"/>
      <c r="H314" s="2"/>
      <c r="I314" s="2"/>
      <c r="J314" s="2">
        <v>16</v>
      </c>
      <c r="K314" s="2">
        <v>69.539199999999994</v>
      </c>
      <c r="L314" s="2">
        <v>30</v>
      </c>
      <c r="M314" s="2">
        <v>91.681799999999996</v>
      </c>
      <c r="N314" s="2">
        <v>315</v>
      </c>
      <c r="O314" s="2">
        <v>90.644300000000001</v>
      </c>
      <c r="P314" s="2">
        <v>323</v>
      </c>
      <c r="Q314" s="2">
        <v>102.8695</v>
      </c>
      <c r="R314" s="2">
        <v>222</v>
      </c>
      <c r="S314" s="2">
        <v>103.9151</v>
      </c>
      <c r="T314" s="2">
        <v>237</v>
      </c>
      <c r="U314" s="2">
        <v>0.172037</v>
      </c>
      <c r="V314" s="2">
        <v>313</v>
      </c>
      <c r="W314" s="2">
        <v>2013</v>
      </c>
    </row>
    <row r="315" spans="1:23" ht="12.3" x14ac:dyDescent="0.4">
      <c r="A315" s="2" t="s">
        <v>278</v>
      </c>
      <c r="B315" s="2"/>
      <c r="C315" s="2"/>
      <c r="D315" s="2"/>
      <c r="E315" s="2"/>
      <c r="F315" s="2"/>
      <c r="G315" s="2"/>
      <c r="H315" s="2"/>
      <c r="I315" s="2"/>
      <c r="J315" s="2">
        <v>91</v>
      </c>
      <c r="K315" s="2">
        <v>67.097200000000001</v>
      </c>
      <c r="L315" s="2">
        <v>117</v>
      </c>
      <c r="M315" s="2">
        <v>89.231200000000001</v>
      </c>
      <c r="N315" s="2">
        <v>328</v>
      </c>
      <c r="O315" s="2">
        <v>89.179199999999994</v>
      </c>
      <c r="P315" s="2">
        <v>330</v>
      </c>
      <c r="Q315" s="2">
        <v>102.7336</v>
      </c>
      <c r="R315" s="2">
        <v>218</v>
      </c>
      <c r="S315" s="2">
        <v>102.3115</v>
      </c>
      <c r="T315" s="2">
        <v>200</v>
      </c>
      <c r="U315" s="2">
        <v>0.170822</v>
      </c>
      <c r="V315" s="2">
        <v>314</v>
      </c>
      <c r="W315" s="2">
        <v>2013</v>
      </c>
    </row>
    <row r="316" spans="1:23" ht="12.3" x14ac:dyDescent="0.4">
      <c r="A316" s="2" t="s">
        <v>191</v>
      </c>
      <c r="B316" s="2"/>
      <c r="C316" s="2"/>
      <c r="D316" s="2"/>
      <c r="E316" s="2"/>
      <c r="F316" s="2"/>
      <c r="G316" s="2"/>
      <c r="H316" s="2"/>
      <c r="I316" s="2"/>
      <c r="J316" s="2">
        <v>221</v>
      </c>
      <c r="K316" s="2">
        <v>64.935299999999998</v>
      </c>
      <c r="L316" s="2">
        <v>218</v>
      </c>
      <c r="M316" s="2">
        <v>92.253399999999999</v>
      </c>
      <c r="N316" s="2">
        <v>311</v>
      </c>
      <c r="O316" s="2">
        <v>92.747100000000003</v>
      </c>
      <c r="P316" s="2">
        <v>303</v>
      </c>
      <c r="Q316" s="2">
        <v>108.5039</v>
      </c>
      <c r="R316" s="2">
        <v>322</v>
      </c>
      <c r="S316" s="2">
        <v>106.7016</v>
      </c>
      <c r="T316" s="2">
        <v>281</v>
      </c>
      <c r="U316" s="2">
        <v>0.16633300000000001</v>
      </c>
      <c r="V316" s="2">
        <v>315</v>
      </c>
      <c r="W316" s="2">
        <v>2013</v>
      </c>
    </row>
    <row r="317" spans="1:23" ht="12.3" x14ac:dyDescent="0.4">
      <c r="A317" s="2" t="s">
        <v>312</v>
      </c>
      <c r="B317" s="2"/>
      <c r="C317" s="2"/>
      <c r="D317" s="2"/>
      <c r="E317" s="2"/>
      <c r="F317" s="2"/>
      <c r="G317" s="2"/>
      <c r="H317" s="2"/>
      <c r="I317" s="2"/>
      <c r="J317" s="2">
        <v>39</v>
      </c>
      <c r="K317" s="2">
        <v>68.021600000000007</v>
      </c>
      <c r="L317" s="2">
        <v>78</v>
      </c>
      <c r="M317" s="2">
        <v>94.252399999999994</v>
      </c>
      <c r="N317" s="2">
        <v>289</v>
      </c>
      <c r="O317" s="2">
        <v>93.767799999999994</v>
      </c>
      <c r="P317" s="2">
        <v>297</v>
      </c>
      <c r="Q317" s="2">
        <v>101.3507</v>
      </c>
      <c r="R317" s="2">
        <v>181</v>
      </c>
      <c r="S317" s="2">
        <v>107.9541</v>
      </c>
      <c r="T317" s="2">
        <v>299</v>
      </c>
      <c r="U317" s="2">
        <v>0.16517999999999999</v>
      </c>
      <c r="V317" s="2">
        <v>316</v>
      </c>
      <c r="W317" s="2">
        <v>2013</v>
      </c>
    </row>
    <row r="318" spans="1:23" ht="12.3" x14ac:dyDescent="0.4">
      <c r="A318" s="2" t="s">
        <v>276</v>
      </c>
      <c r="B318" s="2"/>
      <c r="C318" s="2"/>
      <c r="D318" s="2"/>
      <c r="E318" s="2"/>
      <c r="F318" s="2"/>
      <c r="G318" s="2"/>
      <c r="H318" s="2"/>
      <c r="I318" s="2"/>
      <c r="J318" s="2">
        <v>291</v>
      </c>
      <c r="K318" s="2">
        <v>61.897199999999998</v>
      </c>
      <c r="L318" s="2">
        <v>312</v>
      </c>
      <c r="M318" s="2">
        <v>95.539400000000001</v>
      </c>
      <c r="N318" s="2">
        <v>268</v>
      </c>
      <c r="O318" s="2">
        <v>94.601699999999994</v>
      </c>
      <c r="P318" s="2">
        <v>282</v>
      </c>
      <c r="Q318" s="2">
        <v>108.4289</v>
      </c>
      <c r="R318" s="2">
        <v>320</v>
      </c>
      <c r="S318" s="2">
        <v>109.4055</v>
      </c>
      <c r="T318" s="2">
        <v>317</v>
      </c>
      <c r="U318" s="2">
        <v>0.158166</v>
      </c>
      <c r="V318" s="2">
        <v>317</v>
      </c>
      <c r="W318" s="2">
        <v>2013</v>
      </c>
    </row>
    <row r="319" spans="1:23" ht="12.3" x14ac:dyDescent="0.4">
      <c r="A319" s="2" t="s">
        <v>300</v>
      </c>
      <c r="B319" s="2"/>
      <c r="C319" s="2"/>
      <c r="D319" s="2"/>
      <c r="E319" s="2"/>
      <c r="F319" s="2"/>
      <c r="G319" s="2"/>
      <c r="H319" s="2"/>
      <c r="I319" s="2"/>
      <c r="J319" s="2">
        <v>339</v>
      </c>
      <c r="K319" s="2">
        <v>60.771999999999998</v>
      </c>
      <c r="L319" s="2">
        <v>333</v>
      </c>
      <c r="M319" s="2">
        <v>89.596000000000004</v>
      </c>
      <c r="N319" s="2">
        <v>326</v>
      </c>
      <c r="O319" s="2">
        <v>88.380300000000005</v>
      </c>
      <c r="P319" s="2">
        <v>334</v>
      </c>
      <c r="Q319" s="2">
        <v>101.4837</v>
      </c>
      <c r="R319" s="2">
        <v>186</v>
      </c>
      <c r="S319" s="2">
        <v>102.41679999999999</v>
      </c>
      <c r="T319" s="2">
        <v>203</v>
      </c>
      <c r="U319" s="2">
        <v>0.15510299999999999</v>
      </c>
      <c r="V319" s="2">
        <v>318</v>
      </c>
      <c r="W319" s="2">
        <v>2013</v>
      </c>
    </row>
    <row r="320" spans="1:23" ht="12.3" x14ac:dyDescent="0.4">
      <c r="A320" s="2" t="s">
        <v>341</v>
      </c>
      <c r="B320" s="2"/>
      <c r="C320" s="2"/>
      <c r="D320" s="2"/>
      <c r="E320" s="2"/>
      <c r="F320" s="2"/>
      <c r="G320" s="2"/>
      <c r="H320" s="2"/>
      <c r="I320" s="2"/>
      <c r="J320" s="2">
        <v>55</v>
      </c>
      <c r="K320" s="2">
        <v>68.320999999999998</v>
      </c>
      <c r="L320" s="2">
        <v>67</v>
      </c>
      <c r="M320" s="2">
        <v>89.630399999999995</v>
      </c>
      <c r="N320" s="2">
        <v>325</v>
      </c>
      <c r="O320" s="2">
        <v>91.876800000000003</v>
      </c>
      <c r="P320" s="2">
        <v>311</v>
      </c>
      <c r="Q320" s="2">
        <v>101.47799999999999</v>
      </c>
      <c r="R320" s="2">
        <v>185</v>
      </c>
      <c r="S320" s="2">
        <v>106.76949999999999</v>
      </c>
      <c r="T320" s="2">
        <v>283</v>
      </c>
      <c r="U320" s="2">
        <v>0.150898</v>
      </c>
      <c r="V320" s="2">
        <v>319</v>
      </c>
      <c r="W320" s="2">
        <v>2013</v>
      </c>
    </row>
    <row r="321" spans="1:23" ht="12.3" x14ac:dyDescent="0.4">
      <c r="A321" s="2" t="s">
        <v>374</v>
      </c>
      <c r="B321" s="2"/>
      <c r="C321" s="2"/>
      <c r="D321" s="2"/>
      <c r="E321" s="2"/>
      <c r="F321" s="2"/>
      <c r="G321" s="2"/>
      <c r="H321" s="2"/>
      <c r="I321" s="2"/>
      <c r="J321" s="2">
        <v>60</v>
      </c>
      <c r="K321" s="2">
        <v>68.414400000000001</v>
      </c>
      <c r="L321" s="2">
        <v>65</v>
      </c>
      <c r="M321" s="2">
        <v>87.345799999999997</v>
      </c>
      <c r="N321" s="2">
        <v>338</v>
      </c>
      <c r="O321" s="2">
        <v>87.388199999999998</v>
      </c>
      <c r="P321" s="2">
        <v>336</v>
      </c>
      <c r="Q321" s="2">
        <v>97.2483</v>
      </c>
      <c r="R321" s="2">
        <v>92</v>
      </c>
      <c r="S321" s="2">
        <v>102.07129999999999</v>
      </c>
      <c r="T321" s="2">
        <v>194</v>
      </c>
      <c r="U321" s="2">
        <v>0.14355399999999999</v>
      </c>
      <c r="V321" s="2">
        <v>320</v>
      </c>
      <c r="W321" s="2">
        <v>2013</v>
      </c>
    </row>
    <row r="322" spans="1:23" ht="12.3" x14ac:dyDescent="0.4">
      <c r="A322" s="2" t="s">
        <v>108</v>
      </c>
      <c r="B322" s="2"/>
      <c r="C322" s="2"/>
      <c r="D322" s="2"/>
      <c r="E322" s="2"/>
      <c r="F322" s="2"/>
      <c r="G322" s="2"/>
      <c r="H322" s="2"/>
      <c r="I322" s="2"/>
      <c r="J322" s="2">
        <v>169</v>
      </c>
      <c r="K322" s="2">
        <v>65.297200000000004</v>
      </c>
      <c r="L322" s="2">
        <v>198</v>
      </c>
      <c r="M322" s="2">
        <v>92.587699999999998</v>
      </c>
      <c r="N322" s="2">
        <v>308</v>
      </c>
      <c r="O322" s="2">
        <v>94.2239</v>
      </c>
      <c r="P322" s="2">
        <v>291</v>
      </c>
      <c r="Q322" s="2">
        <v>108.47920000000001</v>
      </c>
      <c r="R322" s="2">
        <v>321</v>
      </c>
      <c r="S322" s="2">
        <v>110.3236</v>
      </c>
      <c r="T322" s="2">
        <v>322</v>
      </c>
      <c r="U322" s="2">
        <v>0.140149</v>
      </c>
      <c r="V322" s="2">
        <v>321</v>
      </c>
      <c r="W322" s="2">
        <v>2013</v>
      </c>
    </row>
    <row r="323" spans="1:23" ht="12.3" x14ac:dyDescent="0.4">
      <c r="A323" s="2" t="s">
        <v>294</v>
      </c>
      <c r="B323" s="2"/>
      <c r="C323" s="2"/>
      <c r="D323" s="2"/>
      <c r="E323" s="2"/>
      <c r="F323" s="2"/>
      <c r="G323" s="2"/>
      <c r="H323" s="2"/>
      <c r="I323" s="2"/>
      <c r="J323" s="2">
        <v>340</v>
      </c>
      <c r="K323" s="2">
        <v>60.861800000000002</v>
      </c>
      <c r="L323" s="2">
        <v>330</v>
      </c>
      <c r="M323" s="2">
        <v>92.592100000000002</v>
      </c>
      <c r="N323" s="2">
        <v>307</v>
      </c>
      <c r="O323" s="2">
        <v>90.991299999999995</v>
      </c>
      <c r="P323" s="2">
        <v>320</v>
      </c>
      <c r="Q323" s="2">
        <v>106.5132</v>
      </c>
      <c r="R323" s="2">
        <v>298</v>
      </c>
      <c r="S323" s="2">
        <v>106.8165</v>
      </c>
      <c r="T323" s="2">
        <v>285</v>
      </c>
      <c r="U323" s="2">
        <v>0.136578</v>
      </c>
      <c r="V323" s="2">
        <v>322</v>
      </c>
      <c r="W323" s="2">
        <v>2013</v>
      </c>
    </row>
    <row r="324" spans="1:23" ht="12.3" x14ac:dyDescent="0.4">
      <c r="A324" s="2" t="s">
        <v>231</v>
      </c>
      <c r="B324" s="2"/>
      <c r="C324" s="2"/>
      <c r="D324" s="2"/>
      <c r="E324" s="2"/>
      <c r="F324" s="2"/>
      <c r="G324" s="2"/>
      <c r="H324" s="2"/>
      <c r="I324" s="2"/>
      <c r="J324" s="2">
        <v>279</v>
      </c>
      <c r="K324" s="2">
        <v>62.979100000000003</v>
      </c>
      <c r="L324" s="2">
        <v>290</v>
      </c>
      <c r="M324" s="2">
        <v>94.088099999999997</v>
      </c>
      <c r="N324" s="2">
        <v>292</v>
      </c>
      <c r="O324" s="2">
        <v>94.513400000000004</v>
      </c>
      <c r="P324" s="2">
        <v>285</v>
      </c>
      <c r="Q324" s="2">
        <v>111.81399999999999</v>
      </c>
      <c r="R324" s="2">
        <v>338</v>
      </c>
      <c r="S324" s="2">
        <v>111.48560000000001</v>
      </c>
      <c r="T324" s="2">
        <v>332</v>
      </c>
      <c r="U324" s="2">
        <v>0.130191</v>
      </c>
      <c r="V324" s="2">
        <v>323</v>
      </c>
      <c r="W324" s="2">
        <v>2013</v>
      </c>
    </row>
    <row r="325" spans="1:23" ht="12.3" x14ac:dyDescent="0.4">
      <c r="A325" s="2" t="s">
        <v>209</v>
      </c>
      <c r="B325" s="2"/>
      <c r="C325" s="2"/>
      <c r="D325" s="2"/>
      <c r="E325" s="2"/>
      <c r="F325" s="2"/>
      <c r="G325" s="2"/>
      <c r="H325" s="2"/>
      <c r="I325" s="2"/>
      <c r="J325" s="2">
        <v>301</v>
      </c>
      <c r="K325" s="2">
        <v>61.975000000000001</v>
      </c>
      <c r="L325" s="2">
        <v>308</v>
      </c>
      <c r="M325" s="2">
        <v>84.337000000000003</v>
      </c>
      <c r="N325" s="2">
        <v>342</v>
      </c>
      <c r="O325" s="2">
        <v>84.9161</v>
      </c>
      <c r="P325" s="2">
        <v>342</v>
      </c>
      <c r="Q325" s="2">
        <v>100.2683</v>
      </c>
      <c r="R325" s="2">
        <v>161</v>
      </c>
      <c r="S325" s="2">
        <v>100.4132</v>
      </c>
      <c r="T325" s="2">
        <v>157</v>
      </c>
      <c r="U325" s="2">
        <v>0.127</v>
      </c>
      <c r="V325" s="2">
        <v>324</v>
      </c>
      <c r="W325" s="2">
        <v>2013</v>
      </c>
    </row>
    <row r="326" spans="1:23" ht="12.3" x14ac:dyDescent="0.4">
      <c r="A326" s="2" t="s">
        <v>193</v>
      </c>
      <c r="B326" s="2"/>
      <c r="C326" s="2"/>
      <c r="D326" s="2"/>
      <c r="E326" s="2"/>
      <c r="F326" s="2"/>
      <c r="G326" s="2"/>
      <c r="H326" s="2"/>
      <c r="I326" s="2"/>
      <c r="J326" s="2">
        <v>125</v>
      </c>
      <c r="K326" s="2">
        <v>66.157700000000006</v>
      </c>
      <c r="L326" s="2">
        <v>159</v>
      </c>
      <c r="M326" s="2">
        <v>88.695099999999996</v>
      </c>
      <c r="N326" s="2">
        <v>332</v>
      </c>
      <c r="O326" s="2">
        <v>91.810900000000004</v>
      </c>
      <c r="P326" s="2">
        <v>312</v>
      </c>
      <c r="Q326" s="2">
        <v>107.5959</v>
      </c>
      <c r="R326" s="2">
        <v>315</v>
      </c>
      <c r="S326" s="2">
        <v>108.8763</v>
      </c>
      <c r="T326" s="2">
        <v>311</v>
      </c>
      <c r="U326" s="2">
        <v>0.123409</v>
      </c>
      <c r="V326" s="2">
        <v>325</v>
      </c>
      <c r="W326" s="2">
        <v>2013</v>
      </c>
    </row>
    <row r="327" spans="1:23" ht="12.3" x14ac:dyDescent="0.4">
      <c r="A327" s="2" t="s">
        <v>342</v>
      </c>
      <c r="B327" s="2"/>
      <c r="C327" s="2"/>
      <c r="D327" s="2"/>
      <c r="E327" s="2"/>
      <c r="F327" s="2"/>
      <c r="G327" s="2"/>
      <c r="H327" s="2"/>
      <c r="I327" s="2"/>
      <c r="J327" s="2">
        <v>82</v>
      </c>
      <c r="K327" s="2">
        <v>66.751000000000005</v>
      </c>
      <c r="L327" s="2">
        <v>130</v>
      </c>
      <c r="M327" s="2">
        <v>89.5565</v>
      </c>
      <c r="N327" s="2">
        <v>327</v>
      </c>
      <c r="O327" s="2">
        <v>87.1584</v>
      </c>
      <c r="P327" s="2">
        <v>337</v>
      </c>
      <c r="Q327" s="2">
        <v>97.698300000000003</v>
      </c>
      <c r="R327" s="2">
        <v>104</v>
      </c>
      <c r="S327" s="2">
        <v>103.4483</v>
      </c>
      <c r="T327" s="2">
        <v>223</v>
      </c>
      <c r="U327" s="2">
        <v>0.122339</v>
      </c>
      <c r="V327" s="2">
        <v>326</v>
      </c>
      <c r="W327" s="2">
        <v>2013</v>
      </c>
    </row>
    <row r="328" spans="1:23" ht="12.3" x14ac:dyDescent="0.4">
      <c r="A328" s="2" t="s">
        <v>332</v>
      </c>
      <c r="B328" s="2"/>
      <c r="C328" s="2"/>
      <c r="D328" s="2"/>
      <c r="E328" s="2"/>
      <c r="F328" s="2"/>
      <c r="G328" s="2"/>
      <c r="H328" s="2"/>
      <c r="I328" s="2"/>
      <c r="J328" s="2">
        <v>236</v>
      </c>
      <c r="K328" s="2">
        <v>63.280500000000004</v>
      </c>
      <c r="L328" s="2">
        <v>281</v>
      </c>
      <c r="M328" s="2">
        <v>94.8733</v>
      </c>
      <c r="N328" s="2">
        <v>281</v>
      </c>
      <c r="O328" s="2">
        <v>92.211100000000002</v>
      </c>
      <c r="P328" s="2">
        <v>309</v>
      </c>
      <c r="Q328" s="2">
        <v>111.9044</v>
      </c>
      <c r="R328" s="2">
        <v>339</v>
      </c>
      <c r="S328" s="2">
        <v>109.7556</v>
      </c>
      <c r="T328" s="2">
        <v>321</v>
      </c>
      <c r="U328" s="2">
        <v>0.11888600000000001</v>
      </c>
      <c r="V328" s="2">
        <v>327</v>
      </c>
      <c r="W328" s="2">
        <v>2013</v>
      </c>
    </row>
    <row r="329" spans="1:23" ht="12.3" x14ac:dyDescent="0.4">
      <c r="A329" s="2" t="s">
        <v>179</v>
      </c>
      <c r="B329" s="2"/>
      <c r="C329" s="2"/>
      <c r="D329" s="2"/>
      <c r="E329" s="2"/>
      <c r="F329" s="2"/>
      <c r="G329" s="2"/>
      <c r="H329" s="2"/>
      <c r="I329" s="2"/>
      <c r="J329" s="2">
        <v>227</v>
      </c>
      <c r="K329" s="2">
        <v>65.364000000000004</v>
      </c>
      <c r="L329" s="2">
        <v>195</v>
      </c>
      <c r="M329" s="2">
        <v>97.906800000000004</v>
      </c>
      <c r="N329" s="2">
        <v>230</v>
      </c>
      <c r="O329" s="2">
        <v>98.331999999999994</v>
      </c>
      <c r="P329" s="2">
        <v>216</v>
      </c>
      <c r="Q329" s="2">
        <v>115.5164</v>
      </c>
      <c r="R329" s="2">
        <v>344</v>
      </c>
      <c r="S329" s="2">
        <v>117.12269999999999</v>
      </c>
      <c r="T329" s="2">
        <v>346</v>
      </c>
      <c r="U329" s="2">
        <v>0.118049</v>
      </c>
      <c r="V329" s="2">
        <v>328</v>
      </c>
      <c r="W329" s="2">
        <v>2013</v>
      </c>
    </row>
    <row r="330" spans="1:23" ht="12.3" x14ac:dyDescent="0.4">
      <c r="A330" s="2" t="s">
        <v>359</v>
      </c>
      <c r="B330" s="2"/>
      <c r="C330" s="2"/>
      <c r="D330" s="2"/>
      <c r="E330" s="2"/>
      <c r="F330" s="2"/>
      <c r="G330" s="2"/>
      <c r="H330" s="2"/>
      <c r="I330" s="2"/>
      <c r="J330" s="2">
        <v>4</v>
      </c>
      <c r="K330" s="2">
        <v>70.663600000000002</v>
      </c>
      <c r="L330" s="2">
        <v>13</v>
      </c>
      <c r="M330" s="2">
        <v>93.671999999999997</v>
      </c>
      <c r="N330" s="2">
        <v>297</v>
      </c>
      <c r="O330" s="2">
        <v>95.557699999999997</v>
      </c>
      <c r="P330" s="2">
        <v>269</v>
      </c>
      <c r="Q330" s="2">
        <v>113.44119999999999</v>
      </c>
      <c r="R330" s="2">
        <v>342</v>
      </c>
      <c r="S330" s="2">
        <v>113.9789</v>
      </c>
      <c r="T330" s="2">
        <v>341</v>
      </c>
      <c r="U330" s="2">
        <v>0.116371</v>
      </c>
      <c r="V330" s="2">
        <v>329</v>
      </c>
      <c r="W330" s="2">
        <v>2013</v>
      </c>
    </row>
    <row r="331" spans="1:23" ht="12.3" x14ac:dyDescent="0.4">
      <c r="A331" s="2" t="s">
        <v>301</v>
      </c>
      <c r="B331" s="2"/>
      <c r="C331" s="2"/>
      <c r="D331" s="2"/>
      <c r="E331" s="2"/>
      <c r="F331" s="2"/>
      <c r="G331" s="2"/>
      <c r="H331" s="2"/>
      <c r="I331" s="2"/>
      <c r="J331" s="2">
        <v>33</v>
      </c>
      <c r="K331" s="2">
        <v>68.821200000000005</v>
      </c>
      <c r="L331" s="2">
        <v>50</v>
      </c>
      <c r="M331" s="2">
        <v>88.296199999999999</v>
      </c>
      <c r="N331" s="2">
        <v>335</v>
      </c>
      <c r="O331" s="2">
        <v>88.779899999999998</v>
      </c>
      <c r="P331" s="2">
        <v>332</v>
      </c>
      <c r="Q331" s="2">
        <v>102.2645</v>
      </c>
      <c r="R331" s="2">
        <v>203</v>
      </c>
      <c r="S331" s="2">
        <v>105.9494</v>
      </c>
      <c r="T331" s="2">
        <v>271</v>
      </c>
      <c r="U331" s="2">
        <v>0.11576</v>
      </c>
      <c r="V331" s="2">
        <v>330</v>
      </c>
      <c r="W331" s="2">
        <v>2013</v>
      </c>
    </row>
    <row r="332" spans="1:23" ht="12.3" x14ac:dyDescent="0.4">
      <c r="A332" s="2" t="s">
        <v>199</v>
      </c>
      <c r="B332" s="2"/>
      <c r="C332" s="2"/>
      <c r="D332" s="2"/>
      <c r="E332" s="2"/>
      <c r="F332" s="2"/>
      <c r="G332" s="2"/>
      <c r="H332" s="2"/>
      <c r="I332" s="2"/>
      <c r="J332" s="2">
        <v>177</v>
      </c>
      <c r="K332" s="2">
        <v>65.402100000000004</v>
      </c>
      <c r="L332" s="2">
        <v>192</v>
      </c>
      <c r="M332" s="2">
        <v>96.487799999999993</v>
      </c>
      <c r="N332" s="2">
        <v>251</v>
      </c>
      <c r="O332" s="2">
        <v>96.587599999999995</v>
      </c>
      <c r="P332" s="2">
        <v>248</v>
      </c>
      <c r="Q332" s="2">
        <v>116.68129999999999</v>
      </c>
      <c r="R332" s="2">
        <v>347</v>
      </c>
      <c r="S332" s="2">
        <v>115.518</v>
      </c>
      <c r="T332" s="2">
        <v>343</v>
      </c>
      <c r="U332" s="2">
        <v>0.11322400000000001</v>
      </c>
      <c r="V332" s="2">
        <v>331</v>
      </c>
      <c r="W332" s="2">
        <v>2013</v>
      </c>
    </row>
    <row r="333" spans="1:23" ht="12.3" x14ac:dyDescent="0.4">
      <c r="A333" s="2" t="s">
        <v>280</v>
      </c>
      <c r="B333" s="2"/>
      <c r="C333" s="2"/>
      <c r="D333" s="2"/>
      <c r="E333" s="2"/>
      <c r="F333" s="2"/>
      <c r="G333" s="2"/>
      <c r="H333" s="2"/>
      <c r="I333" s="2"/>
      <c r="J333" s="2">
        <v>48</v>
      </c>
      <c r="K333" s="2">
        <v>68.448499999999996</v>
      </c>
      <c r="L333" s="2">
        <v>61</v>
      </c>
      <c r="M333" s="2">
        <v>93.386799999999994</v>
      </c>
      <c r="N333" s="2">
        <v>300</v>
      </c>
      <c r="O333" s="2">
        <v>93.255899999999997</v>
      </c>
      <c r="P333" s="2">
        <v>301</v>
      </c>
      <c r="Q333" s="2">
        <v>110.8199</v>
      </c>
      <c r="R333" s="2">
        <v>336</v>
      </c>
      <c r="S333" s="2">
        <v>111.7886</v>
      </c>
      <c r="T333" s="2">
        <v>335</v>
      </c>
      <c r="U333" s="2">
        <v>0.110611</v>
      </c>
      <c r="V333" s="2">
        <v>332</v>
      </c>
      <c r="W333" s="2">
        <v>2013</v>
      </c>
    </row>
    <row r="334" spans="1:23" ht="12.3" x14ac:dyDescent="0.4">
      <c r="A334" s="2" t="s">
        <v>261</v>
      </c>
      <c r="B334" s="2"/>
      <c r="C334" s="2"/>
      <c r="D334" s="2"/>
      <c r="E334" s="2"/>
      <c r="F334" s="2"/>
      <c r="G334" s="2"/>
      <c r="H334" s="2"/>
      <c r="I334" s="2"/>
      <c r="J334" s="2">
        <v>72</v>
      </c>
      <c r="K334" s="2">
        <v>68.150400000000005</v>
      </c>
      <c r="L334" s="2">
        <v>75</v>
      </c>
      <c r="M334" s="2">
        <v>85.906800000000004</v>
      </c>
      <c r="N334" s="2">
        <v>340</v>
      </c>
      <c r="O334" s="2">
        <v>84.4255</v>
      </c>
      <c r="P334" s="2">
        <v>345</v>
      </c>
      <c r="Q334" s="2">
        <v>96.057100000000005</v>
      </c>
      <c r="R334" s="2">
        <v>71</v>
      </c>
      <c r="S334" s="2">
        <v>101.6347</v>
      </c>
      <c r="T334" s="2">
        <v>185</v>
      </c>
      <c r="U334" s="2">
        <v>0.105889</v>
      </c>
      <c r="V334" s="2">
        <v>333</v>
      </c>
      <c r="W334" s="2">
        <v>2013</v>
      </c>
    </row>
    <row r="335" spans="1:23" ht="12.3" x14ac:dyDescent="0.4">
      <c r="A335" s="2" t="s">
        <v>344</v>
      </c>
      <c r="B335" s="2"/>
      <c r="C335" s="2"/>
      <c r="D335" s="2"/>
      <c r="E335" s="2"/>
      <c r="F335" s="2"/>
      <c r="G335" s="2"/>
      <c r="H335" s="2"/>
      <c r="I335" s="2"/>
      <c r="J335" s="2">
        <v>47</v>
      </c>
      <c r="K335" s="2">
        <v>68.785300000000007</v>
      </c>
      <c r="L335" s="2">
        <v>52</v>
      </c>
      <c r="M335" s="2">
        <v>94.230099999999993</v>
      </c>
      <c r="N335" s="2">
        <v>290</v>
      </c>
      <c r="O335" s="2">
        <v>92.819400000000002</v>
      </c>
      <c r="P335" s="2">
        <v>302</v>
      </c>
      <c r="Q335" s="2">
        <v>113.3644</v>
      </c>
      <c r="R335" s="2">
        <v>341</v>
      </c>
      <c r="S335" s="2">
        <v>111.79600000000001</v>
      </c>
      <c r="T335" s="2">
        <v>336</v>
      </c>
      <c r="U335" s="2">
        <v>0.10534200000000001</v>
      </c>
      <c r="V335" s="2">
        <v>334</v>
      </c>
      <c r="W335" s="2">
        <v>2013</v>
      </c>
    </row>
    <row r="336" spans="1:23" ht="12.3" x14ac:dyDescent="0.4">
      <c r="A336" s="2" t="s">
        <v>242</v>
      </c>
      <c r="B336" s="2"/>
      <c r="C336" s="2"/>
      <c r="D336" s="2"/>
      <c r="E336" s="2"/>
      <c r="F336" s="2"/>
      <c r="G336" s="2"/>
      <c r="H336" s="2"/>
      <c r="I336" s="2"/>
      <c r="J336" s="2">
        <v>313</v>
      </c>
      <c r="K336" s="2">
        <v>62.361699999999999</v>
      </c>
      <c r="L336" s="2">
        <v>302</v>
      </c>
      <c r="M336" s="2">
        <v>82.930899999999994</v>
      </c>
      <c r="N336" s="2">
        <v>346</v>
      </c>
      <c r="O336" s="2">
        <v>82.482600000000005</v>
      </c>
      <c r="P336" s="2">
        <v>346</v>
      </c>
      <c r="Q336" s="2">
        <v>97.597300000000004</v>
      </c>
      <c r="R336" s="2">
        <v>101</v>
      </c>
      <c r="S336" s="2">
        <v>99.613699999999994</v>
      </c>
      <c r="T336" s="2">
        <v>140</v>
      </c>
      <c r="U336" s="2">
        <v>0.10246</v>
      </c>
      <c r="V336" s="2">
        <v>335</v>
      </c>
      <c r="W336" s="2">
        <v>2013</v>
      </c>
    </row>
    <row r="337" spans="1:23" ht="12.3" x14ac:dyDescent="0.4">
      <c r="A337" s="2" t="s">
        <v>297</v>
      </c>
      <c r="B337" s="2"/>
      <c r="C337" s="2"/>
      <c r="D337" s="2"/>
      <c r="E337" s="2"/>
      <c r="F337" s="2"/>
      <c r="G337" s="2"/>
      <c r="H337" s="2"/>
      <c r="I337" s="2"/>
      <c r="J337" s="2">
        <v>119</v>
      </c>
      <c r="K337" s="2">
        <v>66.462800000000001</v>
      </c>
      <c r="L337" s="2">
        <v>142</v>
      </c>
      <c r="M337" s="2">
        <v>91.188100000000006</v>
      </c>
      <c r="N337" s="2">
        <v>319</v>
      </c>
      <c r="O337" s="2">
        <v>91.203100000000006</v>
      </c>
      <c r="P337" s="2">
        <v>317</v>
      </c>
      <c r="Q337" s="2">
        <v>103.8682</v>
      </c>
      <c r="R337" s="2">
        <v>240</v>
      </c>
      <c r="S337" s="2">
        <v>110.4173</v>
      </c>
      <c r="T337" s="2">
        <v>324</v>
      </c>
      <c r="U337" s="2">
        <v>9.9880999999999998E-2</v>
      </c>
      <c r="V337" s="2">
        <v>336</v>
      </c>
      <c r="W337" s="2">
        <v>2013</v>
      </c>
    </row>
    <row r="338" spans="1:23" ht="12.3" x14ac:dyDescent="0.4">
      <c r="A338" s="2" t="s">
        <v>272</v>
      </c>
      <c r="B338" s="2"/>
      <c r="C338" s="2"/>
      <c r="D338" s="2"/>
      <c r="E338" s="2"/>
      <c r="F338" s="2"/>
      <c r="G338" s="2"/>
      <c r="H338" s="2"/>
      <c r="I338" s="2"/>
      <c r="J338" s="2">
        <v>143</v>
      </c>
      <c r="K338" s="2">
        <v>66.093299999999999</v>
      </c>
      <c r="L338" s="2">
        <v>161</v>
      </c>
      <c r="M338" s="2">
        <v>91.412700000000001</v>
      </c>
      <c r="N338" s="2">
        <v>317</v>
      </c>
      <c r="O338" s="2">
        <v>89.769099999999995</v>
      </c>
      <c r="P338" s="2">
        <v>328</v>
      </c>
      <c r="Q338" s="2">
        <v>104.00620000000001</v>
      </c>
      <c r="R338" s="2">
        <v>245</v>
      </c>
      <c r="S338" s="2">
        <v>109.25879999999999</v>
      </c>
      <c r="T338" s="2">
        <v>316</v>
      </c>
      <c r="U338" s="2">
        <v>9.4532000000000005E-2</v>
      </c>
      <c r="V338" s="2">
        <v>337</v>
      </c>
      <c r="W338" s="2">
        <v>2013</v>
      </c>
    </row>
    <row r="339" spans="1:23" ht="12.3" x14ac:dyDescent="0.4">
      <c r="A339" s="2" t="s">
        <v>368</v>
      </c>
      <c r="B339" s="2"/>
      <c r="C339" s="2"/>
      <c r="D339" s="2"/>
      <c r="E339" s="2"/>
      <c r="F339" s="2"/>
      <c r="G339" s="2"/>
      <c r="H339" s="2"/>
      <c r="I339" s="2"/>
      <c r="J339" s="2">
        <v>308</v>
      </c>
      <c r="K339" s="2">
        <v>62.266399999999997</v>
      </c>
      <c r="L339" s="2">
        <v>305</v>
      </c>
      <c r="M339" s="2">
        <v>94.541300000000007</v>
      </c>
      <c r="N339" s="2">
        <v>286</v>
      </c>
      <c r="O339" s="2">
        <v>94.276399999999995</v>
      </c>
      <c r="P339" s="2">
        <v>290</v>
      </c>
      <c r="Q339" s="2">
        <v>115.0553</v>
      </c>
      <c r="R339" s="2">
        <v>343</v>
      </c>
      <c r="S339" s="2">
        <v>115.3544</v>
      </c>
      <c r="T339" s="2">
        <v>342</v>
      </c>
      <c r="U339" s="2">
        <v>8.9442999999999995E-2</v>
      </c>
      <c r="V339" s="2">
        <v>338</v>
      </c>
      <c r="W339" s="2">
        <v>2013</v>
      </c>
    </row>
    <row r="340" spans="1:23" ht="12.3" x14ac:dyDescent="0.4">
      <c r="A340" s="2" t="s">
        <v>361</v>
      </c>
      <c r="B340" s="2"/>
      <c r="C340" s="2"/>
      <c r="D340" s="2"/>
      <c r="E340" s="2"/>
      <c r="F340" s="2"/>
      <c r="G340" s="2"/>
      <c r="H340" s="2"/>
      <c r="I340" s="2"/>
      <c r="J340" s="2">
        <v>238</v>
      </c>
      <c r="K340" s="2">
        <v>64.807199999999995</v>
      </c>
      <c r="L340" s="2">
        <v>224</v>
      </c>
      <c r="M340" s="2">
        <v>92.332099999999997</v>
      </c>
      <c r="N340" s="2">
        <v>310</v>
      </c>
      <c r="O340" s="2">
        <v>89.836699999999993</v>
      </c>
      <c r="P340" s="2">
        <v>326</v>
      </c>
      <c r="Q340" s="2">
        <v>108.9599</v>
      </c>
      <c r="R340" s="2">
        <v>325</v>
      </c>
      <c r="S340" s="2">
        <v>110.8629</v>
      </c>
      <c r="T340" s="2">
        <v>326</v>
      </c>
      <c r="U340" s="2">
        <v>8.1776000000000001E-2</v>
      </c>
      <c r="V340" s="2">
        <v>339</v>
      </c>
      <c r="W340" s="2">
        <v>2013</v>
      </c>
    </row>
    <row r="341" spans="1:23" ht="12.3" x14ac:dyDescent="0.4">
      <c r="A341" s="2" t="s">
        <v>195</v>
      </c>
      <c r="B341" s="2"/>
      <c r="C341" s="2"/>
      <c r="D341" s="2"/>
      <c r="E341" s="2"/>
      <c r="F341" s="2"/>
      <c r="G341" s="2"/>
      <c r="H341" s="2"/>
      <c r="I341" s="2"/>
      <c r="J341" s="2">
        <v>248</v>
      </c>
      <c r="K341" s="2">
        <v>64.640299999999996</v>
      </c>
      <c r="L341" s="2">
        <v>230</v>
      </c>
      <c r="M341" s="2">
        <v>91.690299999999993</v>
      </c>
      <c r="N341" s="2">
        <v>314</v>
      </c>
      <c r="O341" s="2">
        <v>91.651399999999995</v>
      </c>
      <c r="P341" s="2">
        <v>314</v>
      </c>
      <c r="Q341" s="2">
        <v>110.6529</v>
      </c>
      <c r="R341" s="2">
        <v>334</v>
      </c>
      <c r="S341" s="2">
        <v>113.6559</v>
      </c>
      <c r="T341" s="2">
        <v>340</v>
      </c>
      <c r="U341" s="2">
        <v>7.7658000000000005E-2</v>
      </c>
      <c r="V341" s="2">
        <v>340</v>
      </c>
      <c r="W341" s="2">
        <v>2013</v>
      </c>
    </row>
    <row r="342" spans="1:23" ht="12.3" x14ac:dyDescent="0.4">
      <c r="A342" s="2" t="s">
        <v>299</v>
      </c>
      <c r="B342" s="2"/>
      <c r="C342" s="2"/>
      <c r="D342" s="2"/>
      <c r="E342" s="2"/>
      <c r="F342" s="2"/>
      <c r="G342" s="2"/>
      <c r="H342" s="2"/>
      <c r="I342" s="2"/>
      <c r="J342" s="2">
        <v>19</v>
      </c>
      <c r="K342" s="2">
        <v>70.790499999999994</v>
      </c>
      <c r="L342" s="2">
        <v>11</v>
      </c>
      <c r="M342" s="2">
        <v>88.805899999999994</v>
      </c>
      <c r="N342" s="2">
        <v>331</v>
      </c>
      <c r="O342" s="2">
        <v>89.608800000000002</v>
      </c>
      <c r="P342" s="2">
        <v>329</v>
      </c>
      <c r="Q342" s="2">
        <v>104.2324</v>
      </c>
      <c r="R342" s="2">
        <v>251</v>
      </c>
      <c r="S342" s="2">
        <v>111.1639</v>
      </c>
      <c r="T342" s="2">
        <v>327</v>
      </c>
      <c r="U342" s="2">
        <v>7.7354999999999993E-2</v>
      </c>
      <c r="V342" s="2">
        <v>341</v>
      </c>
      <c r="W342" s="2">
        <v>2013</v>
      </c>
    </row>
    <row r="343" spans="1:23" ht="12.3" x14ac:dyDescent="0.4">
      <c r="A343" s="2" t="s">
        <v>288</v>
      </c>
      <c r="B343" s="2"/>
      <c r="C343" s="2"/>
      <c r="D343" s="2"/>
      <c r="E343" s="2"/>
      <c r="F343" s="2"/>
      <c r="G343" s="2"/>
      <c r="H343" s="2"/>
      <c r="I343" s="2"/>
      <c r="J343" s="2">
        <v>187</v>
      </c>
      <c r="K343" s="2">
        <v>65.1691</v>
      </c>
      <c r="L343" s="2">
        <v>206</v>
      </c>
      <c r="M343" s="2">
        <v>87.900800000000004</v>
      </c>
      <c r="N343" s="2">
        <v>336</v>
      </c>
      <c r="O343" s="2">
        <v>90.745099999999994</v>
      </c>
      <c r="P343" s="2">
        <v>322</v>
      </c>
      <c r="Q343" s="2">
        <v>107.5886</v>
      </c>
      <c r="R343" s="2">
        <v>314</v>
      </c>
      <c r="S343" s="2">
        <v>112.6386</v>
      </c>
      <c r="T343" s="2">
        <v>338</v>
      </c>
      <c r="U343" s="2">
        <v>7.6881000000000005E-2</v>
      </c>
      <c r="V343" s="2">
        <v>342</v>
      </c>
      <c r="W343" s="2">
        <v>2013</v>
      </c>
    </row>
    <row r="344" spans="1:23" ht="12.3" x14ac:dyDescent="0.4">
      <c r="A344" s="2" t="s">
        <v>315</v>
      </c>
      <c r="B344" s="2"/>
      <c r="C344" s="2"/>
      <c r="D344" s="2"/>
      <c r="E344" s="2"/>
      <c r="F344" s="2"/>
      <c r="G344" s="2"/>
      <c r="H344" s="2"/>
      <c r="I344" s="2"/>
      <c r="J344" s="2">
        <v>173</v>
      </c>
      <c r="K344" s="2">
        <v>66.413899999999998</v>
      </c>
      <c r="L344" s="2">
        <v>145</v>
      </c>
      <c r="M344" s="2">
        <v>83.459400000000002</v>
      </c>
      <c r="N344" s="2">
        <v>345</v>
      </c>
      <c r="O344" s="2">
        <v>84.665599999999998</v>
      </c>
      <c r="P344" s="2">
        <v>344</v>
      </c>
      <c r="Q344" s="2">
        <v>106.3896</v>
      </c>
      <c r="R344" s="2">
        <v>296</v>
      </c>
      <c r="S344" s="2">
        <v>107.5941</v>
      </c>
      <c r="T344" s="2">
        <v>294</v>
      </c>
      <c r="U344" s="2">
        <v>5.9746E-2</v>
      </c>
      <c r="V344" s="2">
        <v>343</v>
      </c>
      <c r="W344" s="2">
        <v>2013</v>
      </c>
    </row>
    <row r="345" spans="1:23" ht="12.3" x14ac:dyDescent="0.4">
      <c r="A345" s="2" t="s">
        <v>183</v>
      </c>
      <c r="B345" s="2"/>
      <c r="C345" s="2"/>
      <c r="D345" s="2"/>
      <c r="E345" s="2"/>
      <c r="F345" s="2"/>
      <c r="G345" s="2"/>
      <c r="H345" s="2"/>
      <c r="I345" s="2"/>
      <c r="J345" s="2">
        <v>9</v>
      </c>
      <c r="K345" s="2">
        <v>70.936499999999995</v>
      </c>
      <c r="L345" s="2">
        <v>10</v>
      </c>
      <c r="M345" s="2">
        <v>87.203900000000004</v>
      </c>
      <c r="N345" s="2">
        <v>339</v>
      </c>
      <c r="O345" s="2">
        <v>86.499899999999997</v>
      </c>
      <c r="P345" s="2">
        <v>339</v>
      </c>
      <c r="Q345" s="2">
        <v>108.5976</v>
      </c>
      <c r="R345" s="2">
        <v>324</v>
      </c>
      <c r="S345" s="2">
        <v>110.3771</v>
      </c>
      <c r="T345" s="2">
        <v>323</v>
      </c>
      <c r="U345" s="2">
        <v>5.7149999999999999E-2</v>
      </c>
      <c r="V345" s="2">
        <v>344</v>
      </c>
      <c r="W345" s="2">
        <v>2013</v>
      </c>
    </row>
    <row r="346" spans="1:23" ht="12.3" x14ac:dyDescent="0.4">
      <c r="A346" s="2" t="s">
        <v>321</v>
      </c>
      <c r="B346" s="2"/>
      <c r="C346" s="2"/>
      <c r="D346" s="2"/>
      <c r="E346" s="2"/>
      <c r="F346" s="2"/>
      <c r="G346" s="2"/>
      <c r="H346" s="2"/>
      <c r="I346" s="2"/>
      <c r="J346" s="2">
        <v>231</v>
      </c>
      <c r="K346" s="2">
        <v>64.301699999999997</v>
      </c>
      <c r="L346" s="2">
        <v>249</v>
      </c>
      <c r="M346" s="2">
        <v>84.2697</v>
      </c>
      <c r="N346" s="2">
        <v>343</v>
      </c>
      <c r="O346" s="2">
        <v>84.881600000000006</v>
      </c>
      <c r="P346" s="2">
        <v>343</v>
      </c>
      <c r="Q346" s="2">
        <v>106.4365</v>
      </c>
      <c r="R346" s="2">
        <v>297</v>
      </c>
      <c r="S346" s="2">
        <v>108.8133</v>
      </c>
      <c r="T346" s="2">
        <v>310</v>
      </c>
      <c r="U346" s="2">
        <v>5.4356000000000002E-2</v>
      </c>
      <c r="V346" s="2">
        <v>345</v>
      </c>
      <c r="W346" s="2">
        <v>2013</v>
      </c>
    </row>
    <row r="347" spans="1:23" ht="12.3" x14ac:dyDescent="0.4">
      <c r="A347" s="2" t="s">
        <v>266</v>
      </c>
      <c r="B347" s="2"/>
      <c r="C347" s="2"/>
      <c r="D347" s="2"/>
      <c r="E347" s="2"/>
      <c r="F347" s="2"/>
      <c r="G347" s="2"/>
      <c r="H347" s="2"/>
      <c r="I347" s="2"/>
      <c r="J347" s="2">
        <v>20</v>
      </c>
      <c r="K347" s="2">
        <v>70.434100000000001</v>
      </c>
      <c r="L347" s="2">
        <v>20</v>
      </c>
      <c r="M347" s="2">
        <v>84.0398</v>
      </c>
      <c r="N347" s="2">
        <v>344</v>
      </c>
      <c r="O347" s="2">
        <v>84.927800000000005</v>
      </c>
      <c r="P347" s="2">
        <v>341</v>
      </c>
      <c r="Q347" s="2">
        <v>108.5712</v>
      </c>
      <c r="R347" s="2">
        <v>323</v>
      </c>
      <c r="S347" s="2">
        <v>109.5826</v>
      </c>
      <c r="T347" s="2">
        <v>319</v>
      </c>
      <c r="U347" s="2">
        <v>5.0638000000000002E-2</v>
      </c>
      <c r="V347" s="2">
        <v>346</v>
      </c>
      <c r="W347" s="2">
        <v>2013</v>
      </c>
    </row>
    <row r="348" spans="1:23" ht="12.3" x14ac:dyDescent="0.4">
      <c r="A348" s="2" t="s">
        <v>329</v>
      </c>
      <c r="B348" s="2"/>
      <c r="C348" s="2"/>
      <c r="D348" s="2"/>
      <c r="E348" s="2"/>
      <c r="F348" s="2"/>
      <c r="G348" s="2"/>
      <c r="H348" s="2"/>
      <c r="I348" s="2"/>
      <c r="J348" s="2">
        <v>191</v>
      </c>
      <c r="K348" s="2">
        <v>64.328199999999995</v>
      </c>
      <c r="L348" s="2">
        <v>247</v>
      </c>
      <c r="M348" s="2">
        <v>75.882099999999994</v>
      </c>
      <c r="N348" s="2">
        <v>347</v>
      </c>
      <c r="O348" s="2">
        <v>76.144300000000001</v>
      </c>
      <c r="P348" s="2">
        <v>347</v>
      </c>
      <c r="Q348" s="2">
        <v>116.46550000000001</v>
      </c>
      <c r="R348" s="2">
        <v>346</v>
      </c>
      <c r="S348" s="2">
        <v>120.6883</v>
      </c>
      <c r="T348" s="2">
        <v>347</v>
      </c>
      <c r="U348" s="2">
        <v>4.9829999999999996E-3</v>
      </c>
      <c r="V348" s="2">
        <v>347</v>
      </c>
      <c r="W348" s="2">
        <v>2013</v>
      </c>
    </row>
  </sheetData>
  <autoFilter ref="A1:V348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W352"/>
  <sheetViews>
    <sheetView workbookViewId="0"/>
  </sheetViews>
  <sheetFormatPr defaultColWidth="14.44140625" defaultRowHeight="15.75" customHeight="1" x14ac:dyDescent="0.4"/>
  <cols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3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43</v>
      </c>
      <c r="B2" s="2">
        <v>1</v>
      </c>
      <c r="C2" s="3" t="s">
        <v>33</v>
      </c>
      <c r="D2" s="3" t="s">
        <v>33</v>
      </c>
      <c r="E2" s="3" t="s">
        <v>33</v>
      </c>
      <c r="F2" s="2"/>
      <c r="G2" s="2"/>
      <c r="H2" s="2"/>
      <c r="I2" s="2">
        <v>64.520899999999997</v>
      </c>
      <c r="J2" s="2">
        <v>275</v>
      </c>
      <c r="K2" s="2">
        <v>64.381100000000004</v>
      </c>
      <c r="L2" s="2">
        <v>273</v>
      </c>
      <c r="M2" s="2">
        <v>112.26730000000001</v>
      </c>
      <c r="N2" s="2">
        <v>37</v>
      </c>
      <c r="O2" s="2">
        <v>113.1181</v>
      </c>
      <c r="P2" s="2">
        <v>35</v>
      </c>
      <c r="Q2" s="2">
        <v>88.812899999999999</v>
      </c>
      <c r="R2" s="2">
        <v>2</v>
      </c>
      <c r="S2" s="2">
        <v>86.900400000000005</v>
      </c>
      <c r="T2" s="2">
        <v>1</v>
      </c>
      <c r="U2" s="2">
        <v>0.95400799999999997</v>
      </c>
      <c r="V2" s="2">
        <v>1</v>
      </c>
      <c r="W2" s="2">
        <v>2014</v>
      </c>
    </row>
    <row r="3" spans="1:23" ht="15.75" customHeight="1" x14ac:dyDescent="0.4">
      <c r="A3" s="2" t="s">
        <v>86</v>
      </c>
      <c r="B3" s="2">
        <v>4</v>
      </c>
      <c r="C3" s="3" t="s">
        <v>33</v>
      </c>
      <c r="D3" s="3" t="s">
        <v>33</v>
      </c>
      <c r="E3" s="2"/>
      <c r="F3" s="2"/>
      <c r="G3" s="2"/>
      <c r="H3" s="2"/>
      <c r="I3" s="2">
        <v>69.148899999999998</v>
      </c>
      <c r="J3" s="2">
        <v>63</v>
      </c>
      <c r="K3" s="2">
        <v>68.9392</v>
      </c>
      <c r="L3" s="2">
        <v>58</v>
      </c>
      <c r="M3" s="2">
        <v>118.6927</v>
      </c>
      <c r="N3" s="2">
        <v>3</v>
      </c>
      <c r="O3" s="2">
        <v>117.3621</v>
      </c>
      <c r="P3" s="2">
        <v>10</v>
      </c>
      <c r="Q3" s="2">
        <v>88.088899999999995</v>
      </c>
      <c r="R3" s="2">
        <v>1</v>
      </c>
      <c r="S3" s="2">
        <v>90.595500000000001</v>
      </c>
      <c r="T3" s="2">
        <v>6</v>
      </c>
      <c r="U3" s="2">
        <v>0.951519</v>
      </c>
      <c r="V3" s="2">
        <v>2</v>
      </c>
      <c r="W3" s="2">
        <v>2014</v>
      </c>
    </row>
    <row r="4" spans="1:23" ht="15.75" customHeight="1" x14ac:dyDescent="0.4">
      <c r="A4" s="2" t="s">
        <v>37</v>
      </c>
      <c r="B4" s="2">
        <v>1</v>
      </c>
      <c r="C4" s="3" t="s">
        <v>33</v>
      </c>
      <c r="D4" s="3" t="s">
        <v>33</v>
      </c>
      <c r="E4" s="3" t="s">
        <v>33</v>
      </c>
      <c r="F4" s="3" t="s">
        <v>33</v>
      </c>
      <c r="G4" s="2"/>
      <c r="H4" s="2"/>
      <c r="I4" s="2">
        <v>63.069400000000002</v>
      </c>
      <c r="J4" s="2">
        <v>325</v>
      </c>
      <c r="K4" s="2">
        <v>63.179600000000001</v>
      </c>
      <c r="L4" s="2">
        <v>316</v>
      </c>
      <c r="M4" s="2">
        <v>111.6412</v>
      </c>
      <c r="N4" s="2">
        <v>46</v>
      </c>
      <c r="O4" s="2">
        <v>115.753</v>
      </c>
      <c r="P4" s="2">
        <v>17</v>
      </c>
      <c r="Q4" s="2">
        <v>91.525800000000004</v>
      </c>
      <c r="R4" s="2">
        <v>10</v>
      </c>
      <c r="S4" s="2">
        <v>89.994299999999996</v>
      </c>
      <c r="T4" s="2">
        <v>5</v>
      </c>
      <c r="U4" s="2">
        <v>0.94758399999999998</v>
      </c>
      <c r="V4" s="2">
        <v>3</v>
      </c>
      <c r="W4" s="2">
        <v>2014</v>
      </c>
    </row>
    <row r="5" spans="1:23" ht="15.75" customHeight="1" x14ac:dyDescent="0.4">
      <c r="A5" s="2" t="s">
        <v>87</v>
      </c>
      <c r="B5" s="2">
        <v>1</v>
      </c>
      <c r="C5" s="3" t="s">
        <v>33</v>
      </c>
      <c r="D5" s="3" t="s">
        <v>33</v>
      </c>
      <c r="E5" s="2"/>
      <c r="F5" s="2"/>
      <c r="G5" s="2"/>
      <c r="H5" s="2"/>
      <c r="I5" s="2">
        <v>60.501100000000001</v>
      </c>
      <c r="J5" s="2">
        <v>346</v>
      </c>
      <c r="K5" s="2">
        <v>60.966299999999997</v>
      </c>
      <c r="L5" s="2">
        <v>345</v>
      </c>
      <c r="M5" s="2">
        <v>108.67140000000001</v>
      </c>
      <c r="N5" s="2">
        <v>80</v>
      </c>
      <c r="O5" s="2">
        <v>113.9682</v>
      </c>
      <c r="P5" s="2">
        <v>25</v>
      </c>
      <c r="Q5" s="2">
        <v>91.097399999999993</v>
      </c>
      <c r="R5" s="2">
        <v>6</v>
      </c>
      <c r="S5" s="2">
        <v>89.458100000000002</v>
      </c>
      <c r="T5" s="2">
        <v>3</v>
      </c>
      <c r="U5" s="2">
        <v>0.94184400000000001</v>
      </c>
      <c r="V5" s="2">
        <v>4</v>
      </c>
      <c r="W5" s="2">
        <v>2014</v>
      </c>
    </row>
    <row r="6" spans="1:23" ht="15.75" customHeight="1" x14ac:dyDescent="0.4">
      <c r="A6" s="2" t="s">
        <v>192</v>
      </c>
      <c r="B6" s="2">
        <v>1</v>
      </c>
      <c r="C6" s="3" t="s">
        <v>33</v>
      </c>
      <c r="D6" s="2"/>
      <c r="E6" s="2"/>
      <c r="F6" s="2"/>
      <c r="G6" s="2"/>
      <c r="H6" s="2"/>
      <c r="I6" s="2">
        <v>64.4923</v>
      </c>
      <c r="J6" s="2">
        <v>276</v>
      </c>
      <c r="K6" s="2">
        <v>65.020200000000003</v>
      </c>
      <c r="L6" s="2">
        <v>245</v>
      </c>
      <c r="M6" s="2">
        <v>115.962</v>
      </c>
      <c r="N6" s="2">
        <v>9</v>
      </c>
      <c r="O6" s="2">
        <v>117.733</v>
      </c>
      <c r="P6" s="2">
        <v>8</v>
      </c>
      <c r="Q6" s="2">
        <v>92.409400000000005</v>
      </c>
      <c r="R6" s="2">
        <v>12</v>
      </c>
      <c r="S6" s="2">
        <v>92.69</v>
      </c>
      <c r="T6" s="2">
        <v>10</v>
      </c>
      <c r="U6" s="2">
        <v>0.93993199999999999</v>
      </c>
      <c r="V6" s="2">
        <v>5</v>
      </c>
      <c r="W6" s="2">
        <v>2014</v>
      </c>
    </row>
    <row r="7" spans="1:23" ht="15.75" customHeight="1" x14ac:dyDescent="0.4">
      <c r="A7" s="2" t="s">
        <v>78</v>
      </c>
      <c r="B7" s="2">
        <v>2</v>
      </c>
      <c r="C7" s="3" t="s">
        <v>33</v>
      </c>
      <c r="D7" s="2"/>
      <c r="E7" s="2"/>
      <c r="F7" s="2"/>
      <c r="G7" s="2"/>
      <c r="H7" s="2"/>
      <c r="I7" s="2">
        <v>67.5107</v>
      </c>
      <c r="J7" s="2">
        <v>125</v>
      </c>
      <c r="K7" s="2">
        <v>67.148399999999995</v>
      </c>
      <c r="L7" s="2">
        <v>132</v>
      </c>
      <c r="M7" s="2">
        <v>114.1827</v>
      </c>
      <c r="N7" s="2">
        <v>18</v>
      </c>
      <c r="O7" s="2">
        <v>115.84480000000001</v>
      </c>
      <c r="P7" s="2">
        <v>16</v>
      </c>
      <c r="Q7" s="2">
        <v>96.731800000000007</v>
      </c>
      <c r="R7" s="2">
        <v>27</v>
      </c>
      <c r="S7" s="2">
        <v>93.724900000000005</v>
      </c>
      <c r="T7" s="2">
        <v>14</v>
      </c>
      <c r="U7" s="2">
        <v>0.91958399999999996</v>
      </c>
      <c r="V7" s="2">
        <v>6</v>
      </c>
      <c r="W7" s="2">
        <v>2014</v>
      </c>
    </row>
    <row r="8" spans="1:23" ht="15.75" customHeight="1" x14ac:dyDescent="0.4">
      <c r="A8" s="2" t="s">
        <v>32</v>
      </c>
      <c r="B8" s="2">
        <v>3</v>
      </c>
      <c r="C8" s="2"/>
      <c r="D8" s="2"/>
      <c r="E8" s="2"/>
      <c r="F8" s="2"/>
      <c r="G8" s="2"/>
      <c r="H8" s="2"/>
      <c r="I8" s="2">
        <v>65.403999999999996</v>
      </c>
      <c r="J8" s="2">
        <v>230</v>
      </c>
      <c r="K8" s="2">
        <v>66.016099999999994</v>
      </c>
      <c r="L8" s="2">
        <v>196</v>
      </c>
      <c r="M8" s="2">
        <v>119.9164</v>
      </c>
      <c r="N8" s="2">
        <v>2</v>
      </c>
      <c r="O8" s="2">
        <v>124.3884</v>
      </c>
      <c r="P8" s="2">
        <v>2</v>
      </c>
      <c r="Q8" s="2">
        <v>102.42910000000001</v>
      </c>
      <c r="R8" s="2">
        <v>111</v>
      </c>
      <c r="S8" s="2">
        <v>101.43259999999999</v>
      </c>
      <c r="T8" s="2">
        <v>102</v>
      </c>
      <c r="U8" s="2">
        <v>0.91262900000000002</v>
      </c>
      <c r="V8" s="2">
        <v>7</v>
      </c>
      <c r="W8" s="2">
        <v>2014</v>
      </c>
    </row>
    <row r="9" spans="1:23" ht="15.75" customHeight="1" x14ac:dyDescent="0.4">
      <c r="A9" s="2" t="s">
        <v>90</v>
      </c>
      <c r="B9" s="2">
        <v>3</v>
      </c>
      <c r="C9" s="3" t="s">
        <v>33</v>
      </c>
      <c r="D9" s="2"/>
      <c r="E9" s="2"/>
      <c r="F9" s="2"/>
      <c r="G9" s="2"/>
      <c r="H9" s="2"/>
      <c r="I9" s="2">
        <v>65.492800000000003</v>
      </c>
      <c r="J9" s="2">
        <v>226</v>
      </c>
      <c r="K9" s="2">
        <v>65.133499999999998</v>
      </c>
      <c r="L9" s="2">
        <v>241</v>
      </c>
      <c r="M9" s="2">
        <v>121.4365</v>
      </c>
      <c r="N9" s="2">
        <v>1</v>
      </c>
      <c r="O9" s="2">
        <v>125.6888</v>
      </c>
      <c r="P9" s="2">
        <v>1</v>
      </c>
      <c r="Q9" s="2">
        <v>103.33499999999999</v>
      </c>
      <c r="R9" s="2">
        <v>131</v>
      </c>
      <c r="S9" s="2">
        <v>102.5492</v>
      </c>
      <c r="T9" s="2">
        <v>126</v>
      </c>
      <c r="U9" s="2">
        <v>0.91212499999999996</v>
      </c>
      <c r="V9" s="2">
        <v>8</v>
      </c>
      <c r="W9" s="2">
        <v>2014</v>
      </c>
    </row>
    <row r="10" spans="1:23" ht="15.75" customHeight="1" x14ac:dyDescent="0.4">
      <c r="A10" s="2" t="s">
        <v>35</v>
      </c>
      <c r="B10" s="2">
        <v>2</v>
      </c>
      <c r="C10" s="3" t="s">
        <v>33</v>
      </c>
      <c r="D10" s="2"/>
      <c r="E10" s="2"/>
      <c r="F10" s="2"/>
      <c r="G10" s="2"/>
      <c r="H10" s="2"/>
      <c r="I10" s="2">
        <v>68.748699999999999</v>
      </c>
      <c r="J10" s="2">
        <v>73</v>
      </c>
      <c r="K10" s="2">
        <v>68.212999999999994</v>
      </c>
      <c r="L10" s="2">
        <v>81</v>
      </c>
      <c r="M10" s="2">
        <v>115.1071</v>
      </c>
      <c r="N10" s="2">
        <v>13</v>
      </c>
      <c r="O10" s="2">
        <v>118.5993</v>
      </c>
      <c r="P10" s="2">
        <v>6</v>
      </c>
      <c r="Q10" s="2">
        <v>101.6079</v>
      </c>
      <c r="R10" s="2">
        <v>100</v>
      </c>
      <c r="S10" s="2">
        <v>96.899000000000001</v>
      </c>
      <c r="T10" s="2">
        <v>45</v>
      </c>
      <c r="U10" s="2">
        <v>0.91083999999999998</v>
      </c>
      <c r="V10" s="2">
        <v>9</v>
      </c>
      <c r="W10" s="2">
        <v>2014</v>
      </c>
    </row>
    <row r="11" spans="1:23" ht="15.75" customHeight="1" x14ac:dyDescent="0.4">
      <c r="A11" s="2" t="s">
        <v>58</v>
      </c>
      <c r="B11" s="2">
        <v>4</v>
      </c>
      <c r="C11" s="3" t="s">
        <v>33</v>
      </c>
      <c r="D11" s="3" t="s">
        <v>33</v>
      </c>
      <c r="E11" s="3" t="s">
        <v>33</v>
      </c>
      <c r="F11" s="2"/>
      <c r="G11" s="2"/>
      <c r="H11" s="2"/>
      <c r="I11" s="2">
        <v>66.066999999999993</v>
      </c>
      <c r="J11" s="2">
        <v>200</v>
      </c>
      <c r="K11" s="2">
        <v>65.619100000000003</v>
      </c>
      <c r="L11" s="2">
        <v>214</v>
      </c>
      <c r="M11" s="2">
        <v>113.38639999999999</v>
      </c>
      <c r="N11" s="2">
        <v>24</v>
      </c>
      <c r="O11" s="2">
        <v>117.2647</v>
      </c>
      <c r="P11" s="2">
        <v>11</v>
      </c>
      <c r="Q11" s="2">
        <v>97.999300000000005</v>
      </c>
      <c r="R11" s="2">
        <v>45</v>
      </c>
      <c r="S11" s="2">
        <v>96.511899999999997</v>
      </c>
      <c r="T11" s="2">
        <v>39</v>
      </c>
      <c r="U11" s="2">
        <v>0.90376900000000004</v>
      </c>
      <c r="V11" s="2">
        <v>10</v>
      </c>
      <c r="W11" s="2">
        <v>2014</v>
      </c>
    </row>
    <row r="12" spans="1:23" ht="15.75" customHeight="1" x14ac:dyDescent="0.4">
      <c r="A12" s="2" t="s">
        <v>76</v>
      </c>
      <c r="B12" s="2">
        <v>2</v>
      </c>
      <c r="C12" s="3" t="s">
        <v>33</v>
      </c>
      <c r="D12" s="3" t="s">
        <v>33</v>
      </c>
      <c r="E12" s="3" t="s">
        <v>33</v>
      </c>
      <c r="F12" s="3" t="s">
        <v>33</v>
      </c>
      <c r="G12" s="2"/>
      <c r="H12" s="2"/>
      <c r="I12" s="2">
        <v>63.820099999999996</v>
      </c>
      <c r="J12" s="2">
        <v>297</v>
      </c>
      <c r="K12" s="2">
        <v>64.356099999999998</v>
      </c>
      <c r="L12" s="2">
        <v>275</v>
      </c>
      <c r="M12" s="2">
        <v>115.2419</v>
      </c>
      <c r="N12" s="2">
        <v>12</v>
      </c>
      <c r="O12" s="2">
        <v>119.4575</v>
      </c>
      <c r="P12" s="2">
        <v>5</v>
      </c>
      <c r="Q12" s="2">
        <v>101.0851</v>
      </c>
      <c r="R12" s="2">
        <v>96</v>
      </c>
      <c r="S12" s="2">
        <v>98.677599999999998</v>
      </c>
      <c r="T12" s="2">
        <v>59</v>
      </c>
      <c r="U12" s="2">
        <v>0.90004099999999998</v>
      </c>
      <c r="V12" s="2">
        <v>11</v>
      </c>
      <c r="W12" s="2">
        <v>2014</v>
      </c>
    </row>
    <row r="13" spans="1:23" ht="15.75" customHeight="1" x14ac:dyDescent="0.4">
      <c r="A13" s="2" t="s">
        <v>137</v>
      </c>
      <c r="B13" s="2">
        <v>5</v>
      </c>
      <c r="C13" s="2"/>
      <c r="D13" s="2"/>
      <c r="E13" s="2"/>
      <c r="F13" s="2"/>
      <c r="G13" s="2"/>
      <c r="H13" s="2"/>
      <c r="I13" s="2">
        <v>70.567099999999996</v>
      </c>
      <c r="J13" s="2">
        <v>27</v>
      </c>
      <c r="K13" s="2">
        <v>70.643799999999999</v>
      </c>
      <c r="L13" s="2">
        <v>21</v>
      </c>
      <c r="M13" s="2">
        <v>105.33540000000001</v>
      </c>
      <c r="N13" s="2">
        <v>161</v>
      </c>
      <c r="O13" s="2">
        <v>107.895</v>
      </c>
      <c r="P13" s="2">
        <v>106</v>
      </c>
      <c r="Q13" s="2">
        <v>90.850499999999997</v>
      </c>
      <c r="R13" s="2">
        <v>4</v>
      </c>
      <c r="S13" s="2">
        <v>89.366100000000003</v>
      </c>
      <c r="T13" s="2">
        <v>2</v>
      </c>
      <c r="U13" s="2">
        <v>0.89722800000000003</v>
      </c>
      <c r="V13" s="2">
        <v>12</v>
      </c>
      <c r="W13" s="2">
        <v>2014</v>
      </c>
    </row>
    <row r="14" spans="1:23" ht="15.75" customHeight="1" x14ac:dyDescent="0.4">
      <c r="A14" s="2" t="s">
        <v>81</v>
      </c>
      <c r="B14" s="2">
        <v>11</v>
      </c>
      <c r="C14" s="3" t="s">
        <v>33</v>
      </c>
      <c r="D14" s="3" t="s">
        <v>33</v>
      </c>
      <c r="E14" s="2"/>
      <c r="F14" s="2"/>
      <c r="G14" s="2"/>
      <c r="H14" s="2"/>
      <c r="I14" s="2">
        <v>62.935000000000002</v>
      </c>
      <c r="J14" s="2">
        <v>328</v>
      </c>
      <c r="K14" s="2">
        <v>63.313400000000001</v>
      </c>
      <c r="L14" s="2">
        <v>312</v>
      </c>
      <c r="M14" s="2">
        <v>111.6884</v>
      </c>
      <c r="N14" s="2">
        <v>44</v>
      </c>
      <c r="O14" s="2">
        <v>113.5177</v>
      </c>
      <c r="P14" s="2">
        <v>29</v>
      </c>
      <c r="Q14" s="2">
        <v>97.049499999999995</v>
      </c>
      <c r="R14" s="2">
        <v>31</v>
      </c>
      <c r="S14" s="2">
        <v>94.061199999999999</v>
      </c>
      <c r="T14" s="2">
        <v>16</v>
      </c>
      <c r="U14" s="2">
        <v>0.89680000000000004</v>
      </c>
      <c r="V14" s="2">
        <v>13</v>
      </c>
      <c r="W14" s="2">
        <v>2014</v>
      </c>
    </row>
    <row r="15" spans="1:23" ht="15.75" customHeight="1" x14ac:dyDescent="0.4">
      <c r="A15" s="2" t="s">
        <v>154</v>
      </c>
      <c r="B15" s="2">
        <v>2</v>
      </c>
      <c r="C15" s="3" t="s">
        <v>33</v>
      </c>
      <c r="D15" s="3" t="s">
        <v>33</v>
      </c>
      <c r="E15" s="3" t="s">
        <v>33</v>
      </c>
      <c r="F15" s="2"/>
      <c r="G15" s="2"/>
      <c r="H15" s="2"/>
      <c r="I15" s="2">
        <v>63.059399999999997</v>
      </c>
      <c r="J15" s="2">
        <v>326</v>
      </c>
      <c r="K15" s="2">
        <v>62.821100000000001</v>
      </c>
      <c r="L15" s="2">
        <v>327</v>
      </c>
      <c r="M15" s="2">
        <v>117.1425</v>
      </c>
      <c r="N15" s="2">
        <v>5</v>
      </c>
      <c r="O15" s="2">
        <v>122.2637</v>
      </c>
      <c r="P15" s="2">
        <v>3</v>
      </c>
      <c r="Q15" s="2">
        <v>103.02379999999999</v>
      </c>
      <c r="R15" s="2">
        <v>121</v>
      </c>
      <c r="S15" s="2">
        <v>101.6228</v>
      </c>
      <c r="T15" s="2">
        <v>104</v>
      </c>
      <c r="U15" s="2">
        <v>0.89345200000000002</v>
      </c>
      <c r="V15" s="2">
        <v>14</v>
      </c>
      <c r="W15" s="2">
        <v>2014</v>
      </c>
    </row>
    <row r="16" spans="1:23" ht="15.75" customHeight="1" x14ac:dyDescent="0.4">
      <c r="A16" s="2" t="s">
        <v>23</v>
      </c>
      <c r="B16" s="2">
        <v>3</v>
      </c>
      <c r="C16" s="3" t="s">
        <v>33</v>
      </c>
      <c r="D16" s="2"/>
      <c r="E16" s="2"/>
      <c r="F16" s="2"/>
      <c r="G16" s="2"/>
      <c r="H16" s="2"/>
      <c r="I16" s="2">
        <v>60.447099999999999</v>
      </c>
      <c r="J16" s="2">
        <v>347</v>
      </c>
      <c r="K16" s="2">
        <v>61.332099999999997</v>
      </c>
      <c r="L16" s="2">
        <v>343</v>
      </c>
      <c r="M16" s="2">
        <v>111.7167</v>
      </c>
      <c r="N16" s="2">
        <v>43</v>
      </c>
      <c r="O16" s="2">
        <v>113.22410000000001</v>
      </c>
      <c r="P16" s="2">
        <v>34</v>
      </c>
      <c r="Q16" s="2">
        <v>97.7423</v>
      </c>
      <c r="R16" s="2">
        <v>41</v>
      </c>
      <c r="S16" s="2">
        <v>94.1875</v>
      </c>
      <c r="T16" s="2">
        <v>18</v>
      </c>
      <c r="U16" s="2">
        <v>0.89253800000000005</v>
      </c>
      <c r="V16" s="2">
        <v>15</v>
      </c>
      <c r="W16" s="2">
        <v>2014</v>
      </c>
    </row>
    <row r="17" spans="1:23" ht="15.75" customHeight="1" x14ac:dyDescent="0.4">
      <c r="A17" s="2" t="s">
        <v>65</v>
      </c>
      <c r="B17" s="2">
        <v>4</v>
      </c>
      <c r="C17" s="3" t="s">
        <v>33</v>
      </c>
      <c r="D17" s="3" t="s">
        <v>33</v>
      </c>
      <c r="E17" s="2"/>
      <c r="F17" s="2"/>
      <c r="G17" s="2"/>
      <c r="H17" s="2"/>
      <c r="I17" s="2">
        <v>70.405100000000004</v>
      </c>
      <c r="J17" s="2">
        <v>34</v>
      </c>
      <c r="K17" s="2">
        <v>70.0548</v>
      </c>
      <c r="L17" s="2">
        <v>32</v>
      </c>
      <c r="M17" s="2">
        <v>115.4258</v>
      </c>
      <c r="N17" s="2">
        <v>11</v>
      </c>
      <c r="O17" s="2">
        <v>116.7863</v>
      </c>
      <c r="P17" s="2">
        <v>14</v>
      </c>
      <c r="Q17" s="2">
        <v>99.958799999999997</v>
      </c>
      <c r="R17" s="2">
        <v>74</v>
      </c>
      <c r="S17" s="2">
        <v>97.504599999999996</v>
      </c>
      <c r="T17" s="2">
        <v>49</v>
      </c>
      <c r="U17" s="2">
        <v>0.88846199999999997</v>
      </c>
      <c r="V17" s="2">
        <v>16</v>
      </c>
      <c r="W17" s="2">
        <v>2014</v>
      </c>
    </row>
    <row r="18" spans="1:23" ht="15.75" customHeight="1" x14ac:dyDescent="0.4">
      <c r="A18" s="2" t="s">
        <v>45</v>
      </c>
      <c r="B18" s="2">
        <v>8</v>
      </c>
      <c r="C18" s="3" t="s">
        <v>33</v>
      </c>
      <c r="D18" s="3" t="s">
        <v>33</v>
      </c>
      <c r="E18" s="3" t="s">
        <v>33</v>
      </c>
      <c r="F18" s="3" t="s">
        <v>33</v>
      </c>
      <c r="G18" s="3" t="s">
        <v>33</v>
      </c>
      <c r="H18" s="2"/>
      <c r="I18" s="2">
        <v>66.825299999999999</v>
      </c>
      <c r="J18" s="2">
        <v>156</v>
      </c>
      <c r="K18" s="2">
        <v>66.044499999999999</v>
      </c>
      <c r="L18" s="2">
        <v>195</v>
      </c>
      <c r="M18" s="2">
        <v>112.29989999999999</v>
      </c>
      <c r="N18" s="2">
        <v>36</v>
      </c>
      <c r="O18" s="2">
        <v>114.94280000000001</v>
      </c>
      <c r="P18" s="2">
        <v>19</v>
      </c>
      <c r="Q18" s="2">
        <v>98.739199999999997</v>
      </c>
      <c r="R18" s="2">
        <v>57</v>
      </c>
      <c r="S18" s="2">
        <v>96.303100000000001</v>
      </c>
      <c r="T18" s="2">
        <v>35</v>
      </c>
      <c r="U18" s="2">
        <v>0.88439699999999999</v>
      </c>
      <c r="V18" s="2">
        <v>17</v>
      </c>
      <c r="W18" s="2">
        <v>2014</v>
      </c>
    </row>
    <row r="19" spans="1:23" ht="15.75" customHeight="1" x14ac:dyDescent="0.4">
      <c r="A19" s="2" t="s">
        <v>46</v>
      </c>
      <c r="B19" s="2">
        <v>9</v>
      </c>
      <c r="C19" s="3" t="s">
        <v>33</v>
      </c>
      <c r="D19" s="2"/>
      <c r="E19" s="2"/>
      <c r="F19" s="2"/>
      <c r="G19" s="2"/>
      <c r="H19" s="2"/>
      <c r="I19" s="2">
        <v>62.901899999999998</v>
      </c>
      <c r="J19" s="2">
        <v>329</v>
      </c>
      <c r="K19" s="2">
        <v>63.969499999999996</v>
      </c>
      <c r="L19" s="2">
        <v>291</v>
      </c>
      <c r="M19" s="2">
        <v>112.8605</v>
      </c>
      <c r="N19" s="2">
        <v>28</v>
      </c>
      <c r="O19" s="2">
        <v>115.09099999999999</v>
      </c>
      <c r="P19" s="2">
        <v>18</v>
      </c>
      <c r="Q19" s="2">
        <v>97.504499999999993</v>
      </c>
      <c r="R19" s="2">
        <v>38</v>
      </c>
      <c r="S19" s="2">
        <v>96.455200000000005</v>
      </c>
      <c r="T19" s="2">
        <v>37</v>
      </c>
      <c r="U19" s="2">
        <v>0.88405599999999995</v>
      </c>
      <c r="V19" s="2">
        <v>18</v>
      </c>
      <c r="W19" s="2">
        <v>2014</v>
      </c>
    </row>
    <row r="20" spans="1:23" ht="15.75" customHeight="1" x14ac:dyDescent="0.4">
      <c r="A20" s="2" t="s">
        <v>21</v>
      </c>
      <c r="B20" s="2">
        <v>6</v>
      </c>
      <c r="C20" s="2"/>
      <c r="D20" s="2"/>
      <c r="E20" s="2"/>
      <c r="F20" s="2"/>
      <c r="G20" s="2"/>
      <c r="H20" s="2"/>
      <c r="I20" s="2">
        <v>65.025199999999998</v>
      </c>
      <c r="J20" s="2">
        <v>249</v>
      </c>
      <c r="K20" s="2">
        <v>65.403000000000006</v>
      </c>
      <c r="L20" s="2">
        <v>224</v>
      </c>
      <c r="M20" s="2">
        <v>106.6784</v>
      </c>
      <c r="N20" s="2">
        <v>128</v>
      </c>
      <c r="O20" s="2">
        <v>107.1348</v>
      </c>
      <c r="P20" s="2">
        <v>122</v>
      </c>
      <c r="Q20" s="2">
        <v>91.108099999999993</v>
      </c>
      <c r="R20" s="2">
        <v>8</v>
      </c>
      <c r="S20" s="2">
        <v>89.884600000000006</v>
      </c>
      <c r="T20" s="2">
        <v>4</v>
      </c>
      <c r="U20" s="2">
        <v>0.88277300000000003</v>
      </c>
      <c r="V20" s="2">
        <v>19</v>
      </c>
      <c r="W20" s="2">
        <v>2014</v>
      </c>
    </row>
    <row r="21" spans="1:23" ht="15.75" customHeight="1" x14ac:dyDescent="0.4">
      <c r="A21" s="2" t="s">
        <v>47</v>
      </c>
      <c r="B21" s="2">
        <v>8</v>
      </c>
      <c r="C21" s="3" t="s">
        <v>33</v>
      </c>
      <c r="D21" s="2"/>
      <c r="E21" s="2"/>
      <c r="F21" s="2"/>
      <c r="G21" s="2"/>
      <c r="H21" s="2"/>
      <c r="I21" s="2">
        <v>66.503</v>
      </c>
      <c r="J21" s="2">
        <v>171</v>
      </c>
      <c r="K21" s="2">
        <v>66.134699999999995</v>
      </c>
      <c r="L21" s="2">
        <v>189</v>
      </c>
      <c r="M21" s="2">
        <v>113.90479999999999</v>
      </c>
      <c r="N21" s="2">
        <v>20</v>
      </c>
      <c r="O21" s="2">
        <v>111.4871</v>
      </c>
      <c r="P21" s="2">
        <v>49</v>
      </c>
      <c r="Q21" s="2">
        <v>97.0929</v>
      </c>
      <c r="R21" s="2">
        <v>32</v>
      </c>
      <c r="S21" s="2">
        <v>93.718900000000005</v>
      </c>
      <c r="T21" s="2">
        <v>13</v>
      </c>
      <c r="U21" s="2">
        <v>0.88043000000000005</v>
      </c>
      <c r="V21" s="2">
        <v>20</v>
      </c>
      <c r="W21" s="2">
        <v>2014</v>
      </c>
    </row>
    <row r="22" spans="1:23" ht="15.75" customHeight="1" x14ac:dyDescent="0.4">
      <c r="A22" s="2" t="s">
        <v>97</v>
      </c>
      <c r="B22" s="2">
        <v>4</v>
      </c>
      <c r="C22" s="3" t="s">
        <v>33</v>
      </c>
      <c r="D22" s="3" t="s">
        <v>33</v>
      </c>
      <c r="E22" s="2"/>
      <c r="F22" s="2"/>
      <c r="G22" s="2"/>
      <c r="H22" s="2"/>
      <c r="I22" s="2">
        <v>63.668100000000003</v>
      </c>
      <c r="J22" s="2">
        <v>302</v>
      </c>
      <c r="K22" s="2">
        <v>64.057699999999997</v>
      </c>
      <c r="L22" s="2">
        <v>285</v>
      </c>
      <c r="M22" s="2">
        <v>106.9316</v>
      </c>
      <c r="N22" s="2">
        <v>122</v>
      </c>
      <c r="O22" s="2">
        <v>108.01560000000001</v>
      </c>
      <c r="P22" s="2">
        <v>103</v>
      </c>
      <c r="Q22" s="2">
        <v>90.8125</v>
      </c>
      <c r="R22" s="2">
        <v>3</v>
      </c>
      <c r="S22" s="2">
        <v>90.926500000000004</v>
      </c>
      <c r="T22" s="2">
        <v>7</v>
      </c>
      <c r="U22" s="2">
        <v>0.87874200000000002</v>
      </c>
      <c r="V22" s="2">
        <v>21</v>
      </c>
      <c r="W22" s="2">
        <v>2014</v>
      </c>
    </row>
    <row r="23" spans="1:23" ht="15.75" customHeight="1" x14ac:dyDescent="0.4">
      <c r="A23" s="2" t="s">
        <v>72</v>
      </c>
      <c r="B23" s="2">
        <v>9</v>
      </c>
      <c r="C23" s="2"/>
      <c r="D23" s="2"/>
      <c r="E23" s="2"/>
      <c r="F23" s="2"/>
      <c r="G23" s="2"/>
      <c r="H23" s="2"/>
      <c r="I23" s="2">
        <v>69.436199999999999</v>
      </c>
      <c r="J23" s="2">
        <v>51</v>
      </c>
      <c r="K23" s="2">
        <v>68.496499999999997</v>
      </c>
      <c r="L23" s="2">
        <v>72</v>
      </c>
      <c r="M23" s="2">
        <v>113.29519999999999</v>
      </c>
      <c r="N23" s="2">
        <v>26</v>
      </c>
      <c r="O23" s="2">
        <v>113.9907</v>
      </c>
      <c r="P23" s="2">
        <v>24</v>
      </c>
      <c r="Q23" s="2">
        <v>97.392399999999995</v>
      </c>
      <c r="R23" s="2">
        <v>36</v>
      </c>
      <c r="S23" s="2">
        <v>96.0137</v>
      </c>
      <c r="T23" s="2">
        <v>29</v>
      </c>
      <c r="U23" s="2">
        <v>0.87800800000000001</v>
      </c>
      <c r="V23" s="2">
        <v>22</v>
      </c>
      <c r="W23" s="2">
        <v>2014</v>
      </c>
    </row>
    <row r="24" spans="1:23" ht="15.75" customHeight="1" x14ac:dyDescent="0.4">
      <c r="A24" s="2" t="s">
        <v>146</v>
      </c>
      <c r="B24" s="2">
        <v>3</v>
      </c>
      <c r="C24" s="3" t="s">
        <v>33</v>
      </c>
      <c r="D24" s="3" t="s">
        <v>33</v>
      </c>
      <c r="E24" s="2"/>
      <c r="F24" s="2"/>
      <c r="G24" s="2"/>
      <c r="H24" s="2"/>
      <c r="I24" s="2">
        <v>71.953000000000003</v>
      </c>
      <c r="J24" s="2">
        <v>12</v>
      </c>
      <c r="K24" s="2">
        <v>71.661100000000005</v>
      </c>
      <c r="L24" s="2">
        <v>13</v>
      </c>
      <c r="M24" s="2">
        <v>113.4576</v>
      </c>
      <c r="N24" s="2">
        <v>23</v>
      </c>
      <c r="O24" s="2">
        <v>115.92189999999999</v>
      </c>
      <c r="P24" s="2">
        <v>15</v>
      </c>
      <c r="Q24" s="2">
        <v>100.9743</v>
      </c>
      <c r="R24" s="2">
        <v>92</v>
      </c>
      <c r="S24" s="2">
        <v>97.816299999999998</v>
      </c>
      <c r="T24" s="2">
        <v>54</v>
      </c>
      <c r="U24" s="2">
        <v>0.87577300000000002</v>
      </c>
      <c r="V24" s="2">
        <v>23</v>
      </c>
      <c r="W24" s="2">
        <v>2014</v>
      </c>
    </row>
    <row r="25" spans="1:23" ht="15.75" customHeight="1" x14ac:dyDescent="0.4">
      <c r="A25" s="2" t="s">
        <v>34</v>
      </c>
      <c r="B25" s="2">
        <v>5</v>
      </c>
      <c r="C25" s="2"/>
      <c r="D25" s="2"/>
      <c r="E25" s="2"/>
      <c r="F25" s="2"/>
      <c r="G25" s="2"/>
      <c r="H25" s="2"/>
      <c r="I25" s="2">
        <v>63.7057</v>
      </c>
      <c r="J25" s="2">
        <v>299</v>
      </c>
      <c r="K25" s="2">
        <v>63.159100000000002</v>
      </c>
      <c r="L25" s="2">
        <v>317</v>
      </c>
      <c r="M25" s="2">
        <v>107.3402</v>
      </c>
      <c r="N25" s="2">
        <v>107</v>
      </c>
      <c r="O25" s="2">
        <v>107.85639999999999</v>
      </c>
      <c r="P25" s="2">
        <v>109</v>
      </c>
      <c r="Q25" s="2">
        <v>91.921099999999996</v>
      </c>
      <c r="R25" s="2">
        <v>11</v>
      </c>
      <c r="S25" s="2">
        <v>91.418999999999997</v>
      </c>
      <c r="T25" s="2">
        <v>9</v>
      </c>
      <c r="U25" s="2">
        <v>0.870062</v>
      </c>
      <c r="V25" s="2">
        <v>24</v>
      </c>
      <c r="W25" s="2">
        <v>2014</v>
      </c>
    </row>
    <row r="26" spans="1:23" ht="15.75" customHeight="1" x14ac:dyDescent="0.4">
      <c r="A26" s="2" t="s">
        <v>54</v>
      </c>
      <c r="B26" s="2">
        <v>7</v>
      </c>
      <c r="C26" s="3" t="s">
        <v>33</v>
      </c>
      <c r="D26" s="3" t="s">
        <v>33</v>
      </c>
      <c r="E26" s="3" t="s">
        <v>33</v>
      </c>
      <c r="F26" s="3" t="s">
        <v>33</v>
      </c>
      <c r="G26" s="3" t="s">
        <v>33</v>
      </c>
      <c r="H26" s="3" t="s">
        <v>33</v>
      </c>
      <c r="I26" s="2">
        <v>65.922899999999998</v>
      </c>
      <c r="J26" s="2">
        <v>207</v>
      </c>
      <c r="K26" s="2">
        <v>64.978899999999996</v>
      </c>
      <c r="L26" s="2">
        <v>247</v>
      </c>
      <c r="M26" s="2">
        <v>108.26909999999999</v>
      </c>
      <c r="N26" s="2">
        <v>85</v>
      </c>
      <c r="O26" s="2">
        <v>109.4778</v>
      </c>
      <c r="P26" s="2">
        <v>80</v>
      </c>
      <c r="Q26" s="2">
        <v>95.464399999999998</v>
      </c>
      <c r="R26" s="2">
        <v>20</v>
      </c>
      <c r="S26" s="2">
        <v>92.881500000000003</v>
      </c>
      <c r="T26" s="2">
        <v>11</v>
      </c>
      <c r="U26" s="2">
        <v>0.86882000000000004</v>
      </c>
      <c r="V26" s="2">
        <v>25</v>
      </c>
      <c r="W26" s="2">
        <v>2014</v>
      </c>
    </row>
    <row r="27" spans="1:23" ht="15.75" customHeight="1" x14ac:dyDescent="0.4">
      <c r="A27" s="2" t="s">
        <v>168</v>
      </c>
      <c r="B27" s="2">
        <v>6</v>
      </c>
      <c r="C27" s="3" t="s">
        <v>33</v>
      </c>
      <c r="D27" s="2"/>
      <c r="E27" s="2"/>
      <c r="F27" s="2"/>
      <c r="G27" s="2"/>
      <c r="H27" s="2"/>
      <c r="I27" s="2">
        <v>69.974000000000004</v>
      </c>
      <c r="J27" s="2">
        <v>44</v>
      </c>
      <c r="K27" s="2">
        <v>70.942499999999995</v>
      </c>
      <c r="L27" s="2">
        <v>18</v>
      </c>
      <c r="M27" s="2">
        <v>107.95959999999999</v>
      </c>
      <c r="N27" s="2">
        <v>93</v>
      </c>
      <c r="O27" s="2">
        <v>111.0116</v>
      </c>
      <c r="P27" s="2">
        <v>58</v>
      </c>
      <c r="Q27" s="2">
        <v>97.887600000000006</v>
      </c>
      <c r="R27" s="2">
        <v>44</v>
      </c>
      <c r="S27" s="2">
        <v>94.489000000000004</v>
      </c>
      <c r="T27" s="2">
        <v>22</v>
      </c>
      <c r="U27" s="2">
        <v>0.86450800000000005</v>
      </c>
      <c r="V27" s="2">
        <v>26</v>
      </c>
      <c r="W27" s="2">
        <v>2014</v>
      </c>
    </row>
    <row r="28" spans="1:23" ht="15.75" customHeight="1" x14ac:dyDescent="0.4">
      <c r="A28" s="2" t="s">
        <v>84</v>
      </c>
      <c r="B28" s="2">
        <v>11</v>
      </c>
      <c r="C28" s="2"/>
      <c r="D28" s="2"/>
      <c r="E28" s="2"/>
      <c r="F28" s="2"/>
      <c r="G28" s="2"/>
      <c r="H28" s="2"/>
      <c r="I28" s="2">
        <v>70.221599999999995</v>
      </c>
      <c r="J28" s="2">
        <v>37</v>
      </c>
      <c r="K28" s="2">
        <v>70.866399999999999</v>
      </c>
      <c r="L28" s="2">
        <v>19</v>
      </c>
      <c r="M28" s="2">
        <v>115.63160000000001</v>
      </c>
      <c r="N28" s="2">
        <v>10</v>
      </c>
      <c r="O28" s="2">
        <v>120.1418</v>
      </c>
      <c r="P28" s="2">
        <v>4</v>
      </c>
      <c r="Q28" s="2">
        <v>98.996600000000001</v>
      </c>
      <c r="R28" s="2">
        <v>60</v>
      </c>
      <c r="S28" s="2">
        <v>102.5341</v>
      </c>
      <c r="T28" s="2">
        <v>125</v>
      </c>
      <c r="U28" s="2">
        <v>0.86086399999999996</v>
      </c>
      <c r="V28" s="2">
        <v>27</v>
      </c>
      <c r="W28" s="2">
        <v>2014</v>
      </c>
    </row>
    <row r="29" spans="1:23" ht="12.3" x14ac:dyDescent="0.4">
      <c r="A29" s="2" t="s">
        <v>115</v>
      </c>
      <c r="B29" s="2">
        <v>7</v>
      </c>
      <c r="C29" s="2"/>
      <c r="D29" s="2"/>
      <c r="E29" s="2"/>
      <c r="F29" s="2"/>
      <c r="G29" s="2"/>
      <c r="H29" s="2"/>
      <c r="I29" s="2">
        <v>65.650199999999998</v>
      </c>
      <c r="J29" s="2">
        <v>219</v>
      </c>
      <c r="K29" s="2">
        <v>66.096400000000003</v>
      </c>
      <c r="L29" s="2">
        <v>192</v>
      </c>
      <c r="M29" s="2">
        <v>111.7988</v>
      </c>
      <c r="N29" s="2">
        <v>41</v>
      </c>
      <c r="O29" s="2">
        <v>112.7491</v>
      </c>
      <c r="P29" s="2">
        <v>38</v>
      </c>
      <c r="Q29" s="2">
        <v>99.343299999999999</v>
      </c>
      <c r="R29" s="2">
        <v>66</v>
      </c>
      <c r="S29" s="2">
        <v>96.492099999999994</v>
      </c>
      <c r="T29" s="2">
        <v>38</v>
      </c>
      <c r="U29" s="2">
        <v>0.85699999999999998</v>
      </c>
      <c r="V29" s="2">
        <v>28</v>
      </c>
      <c r="W29" s="2">
        <v>2014</v>
      </c>
    </row>
    <row r="30" spans="1:23" ht="12.3" x14ac:dyDescent="0.4">
      <c r="A30" s="2" t="s">
        <v>38</v>
      </c>
      <c r="B30" s="2">
        <v>5</v>
      </c>
      <c r="C30" s="2"/>
      <c r="D30" s="2"/>
      <c r="E30" s="2"/>
      <c r="F30" s="2"/>
      <c r="G30" s="2"/>
      <c r="H30" s="2"/>
      <c r="I30" s="2">
        <v>71.957599999999999</v>
      </c>
      <c r="J30" s="2">
        <v>11</v>
      </c>
      <c r="K30" s="2">
        <v>71.284300000000002</v>
      </c>
      <c r="L30" s="2">
        <v>17</v>
      </c>
      <c r="M30" s="2">
        <v>113.35290000000001</v>
      </c>
      <c r="N30" s="2">
        <v>25</v>
      </c>
      <c r="O30" s="2">
        <v>116.88290000000001</v>
      </c>
      <c r="P30" s="2">
        <v>13</v>
      </c>
      <c r="Q30" s="2">
        <v>104.5585</v>
      </c>
      <c r="R30" s="2">
        <v>165</v>
      </c>
      <c r="S30" s="2">
        <v>100.25360000000001</v>
      </c>
      <c r="T30" s="2">
        <v>81</v>
      </c>
      <c r="U30" s="2">
        <v>0.853823</v>
      </c>
      <c r="V30" s="2">
        <v>29</v>
      </c>
      <c r="W30" s="2">
        <v>2014</v>
      </c>
    </row>
    <row r="31" spans="1:23" ht="12.3" x14ac:dyDescent="0.4">
      <c r="A31" s="2" t="s">
        <v>41</v>
      </c>
      <c r="B31" s="2">
        <v>7</v>
      </c>
      <c r="C31" s="3" t="s">
        <v>33</v>
      </c>
      <c r="D31" s="2"/>
      <c r="E31" s="2"/>
      <c r="F31" s="2"/>
      <c r="G31" s="2"/>
      <c r="H31" s="2"/>
      <c r="I31" s="2">
        <v>69.992800000000003</v>
      </c>
      <c r="J31" s="2">
        <v>43</v>
      </c>
      <c r="K31" s="2">
        <v>68.8245</v>
      </c>
      <c r="L31" s="2">
        <v>63</v>
      </c>
      <c r="M31" s="2">
        <v>114.70569999999999</v>
      </c>
      <c r="N31" s="2">
        <v>15</v>
      </c>
      <c r="O31" s="2">
        <v>117.12269999999999</v>
      </c>
      <c r="P31" s="2">
        <v>12</v>
      </c>
      <c r="Q31" s="2">
        <v>103.3085</v>
      </c>
      <c r="R31" s="2">
        <v>130</v>
      </c>
      <c r="S31" s="2">
        <v>100.56059999999999</v>
      </c>
      <c r="T31" s="2">
        <v>90</v>
      </c>
      <c r="U31" s="2">
        <v>0.85236900000000004</v>
      </c>
      <c r="V31" s="2">
        <v>30</v>
      </c>
      <c r="W31" s="2">
        <v>2014</v>
      </c>
    </row>
    <row r="32" spans="1:23" ht="12.3" x14ac:dyDescent="0.4">
      <c r="A32" s="2" t="s">
        <v>158</v>
      </c>
      <c r="B32" s="2">
        <v>6</v>
      </c>
      <c r="C32" s="3" t="s">
        <v>33</v>
      </c>
      <c r="D32" s="3" t="s">
        <v>33</v>
      </c>
      <c r="E32" s="2"/>
      <c r="F32" s="2"/>
      <c r="G32" s="2"/>
      <c r="H32" s="2"/>
      <c r="I32" s="2">
        <v>63.902799999999999</v>
      </c>
      <c r="J32" s="2">
        <v>293</v>
      </c>
      <c r="K32" s="2">
        <v>62.571599999999997</v>
      </c>
      <c r="L32" s="2">
        <v>331</v>
      </c>
      <c r="M32" s="2">
        <v>114.1024</v>
      </c>
      <c r="N32" s="2">
        <v>19</v>
      </c>
      <c r="O32" s="2">
        <v>118.569</v>
      </c>
      <c r="P32" s="2">
        <v>7</v>
      </c>
      <c r="Q32" s="2">
        <v>105.6855</v>
      </c>
      <c r="R32" s="2">
        <v>195</v>
      </c>
      <c r="S32" s="2">
        <v>102.0226</v>
      </c>
      <c r="T32" s="2">
        <v>114</v>
      </c>
      <c r="U32" s="2">
        <v>0.84921500000000005</v>
      </c>
      <c r="V32" s="2">
        <v>31</v>
      </c>
      <c r="W32" s="2">
        <v>2014</v>
      </c>
    </row>
    <row r="33" spans="1:23" ht="12.3" x14ac:dyDescent="0.4">
      <c r="A33" s="2" t="s">
        <v>140</v>
      </c>
      <c r="B33" s="2"/>
      <c r="C33" s="2"/>
      <c r="D33" s="2"/>
      <c r="E33" s="2"/>
      <c r="F33" s="2"/>
      <c r="G33" s="2"/>
      <c r="H33" s="2"/>
      <c r="I33" s="2">
        <v>66.5535</v>
      </c>
      <c r="J33" s="2">
        <v>168</v>
      </c>
      <c r="K33" s="2">
        <v>66.466099999999997</v>
      </c>
      <c r="L33" s="2">
        <v>168</v>
      </c>
      <c r="M33" s="2">
        <v>107.2576</v>
      </c>
      <c r="N33" s="2">
        <v>109</v>
      </c>
      <c r="O33" s="2">
        <v>108.34050000000001</v>
      </c>
      <c r="P33" s="2">
        <v>96</v>
      </c>
      <c r="Q33" s="2">
        <v>93.513300000000001</v>
      </c>
      <c r="R33" s="2">
        <v>14</v>
      </c>
      <c r="S33" s="2">
        <v>93.455699999999993</v>
      </c>
      <c r="T33" s="2">
        <v>12</v>
      </c>
      <c r="U33" s="2">
        <v>0.84548100000000004</v>
      </c>
      <c r="V33" s="2">
        <v>32</v>
      </c>
      <c r="W33" s="2">
        <v>2014</v>
      </c>
    </row>
    <row r="34" spans="1:23" ht="12.3" x14ac:dyDescent="0.4">
      <c r="A34" s="2" t="s">
        <v>255</v>
      </c>
      <c r="B34" s="2">
        <v>12</v>
      </c>
      <c r="C34" s="3" t="s">
        <v>33</v>
      </c>
      <c r="D34" s="2"/>
      <c r="E34" s="2"/>
      <c r="F34" s="2"/>
      <c r="G34" s="2"/>
      <c r="H34" s="2"/>
      <c r="I34" s="2">
        <v>64.55</v>
      </c>
      <c r="J34" s="2">
        <v>273</v>
      </c>
      <c r="K34" s="2">
        <v>65.094999999999999</v>
      </c>
      <c r="L34" s="2">
        <v>242</v>
      </c>
      <c r="M34" s="2">
        <v>111.8338</v>
      </c>
      <c r="N34" s="2">
        <v>39</v>
      </c>
      <c r="O34" s="2">
        <v>111.1981</v>
      </c>
      <c r="P34" s="2">
        <v>55</v>
      </c>
      <c r="Q34" s="2">
        <v>92.823300000000003</v>
      </c>
      <c r="R34" s="2">
        <v>13</v>
      </c>
      <c r="S34" s="2">
        <v>96.254199999999997</v>
      </c>
      <c r="T34" s="2">
        <v>33</v>
      </c>
      <c r="U34" s="2">
        <v>0.84019600000000005</v>
      </c>
      <c r="V34" s="2">
        <v>33</v>
      </c>
      <c r="W34" s="2">
        <v>2014</v>
      </c>
    </row>
    <row r="35" spans="1:23" ht="12.3" x14ac:dyDescent="0.4">
      <c r="A35" s="2" t="s">
        <v>116</v>
      </c>
      <c r="B35" s="2">
        <v>5</v>
      </c>
      <c r="C35" s="3" t="s">
        <v>33</v>
      </c>
      <c r="D35" s="2"/>
      <c r="E35" s="2"/>
      <c r="F35" s="2"/>
      <c r="G35" s="2"/>
      <c r="H35" s="2"/>
      <c r="I35" s="2">
        <v>67.358000000000004</v>
      </c>
      <c r="J35" s="2">
        <v>132</v>
      </c>
      <c r="K35" s="2">
        <v>67.186700000000002</v>
      </c>
      <c r="L35" s="2">
        <v>130</v>
      </c>
      <c r="M35" s="2">
        <v>103.02809999999999</v>
      </c>
      <c r="N35" s="2">
        <v>208</v>
      </c>
      <c r="O35" s="2">
        <v>104.6245</v>
      </c>
      <c r="P35" s="2">
        <v>175</v>
      </c>
      <c r="Q35" s="2">
        <v>91.100200000000001</v>
      </c>
      <c r="R35" s="2">
        <v>7</v>
      </c>
      <c r="S35" s="2">
        <v>91.224299999999999</v>
      </c>
      <c r="T35" s="2">
        <v>8</v>
      </c>
      <c r="U35" s="2">
        <v>0.82865900000000003</v>
      </c>
      <c r="V35" s="2">
        <v>34</v>
      </c>
      <c r="W35" s="2">
        <v>2014</v>
      </c>
    </row>
    <row r="36" spans="1:23" ht="12.3" x14ac:dyDescent="0.4">
      <c r="A36" s="2" t="s">
        <v>94</v>
      </c>
      <c r="B36" s="2"/>
      <c r="C36" s="2"/>
      <c r="D36" s="2"/>
      <c r="E36" s="2"/>
      <c r="F36" s="2"/>
      <c r="G36" s="2"/>
      <c r="H36" s="2"/>
      <c r="I36" s="2">
        <v>71.823700000000002</v>
      </c>
      <c r="J36" s="2">
        <v>14</v>
      </c>
      <c r="K36" s="2">
        <v>70.593299999999999</v>
      </c>
      <c r="L36" s="2">
        <v>23</v>
      </c>
      <c r="M36" s="2">
        <v>110.9631</v>
      </c>
      <c r="N36" s="2">
        <v>48</v>
      </c>
      <c r="O36" s="2">
        <v>108.7033</v>
      </c>
      <c r="P36" s="2">
        <v>92</v>
      </c>
      <c r="Q36" s="2">
        <v>90.910799999999995</v>
      </c>
      <c r="R36" s="2">
        <v>5</v>
      </c>
      <c r="S36" s="2">
        <v>95.248900000000006</v>
      </c>
      <c r="T36" s="2">
        <v>23</v>
      </c>
      <c r="U36" s="2">
        <v>0.82046200000000002</v>
      </c>
      <c r="V36" s="2">
        <v>35</v>
      </c>
      <c r="W36" s="2">
        <v>2014</v>
      </c>
    </row>
    <row r="37" spans="1:23" ht="12.3" x14ac:dyDescent="0.4">
      <c r="A37" s="2" t="s">
        <v>70</v>
      </c>
      <c r="B37" s="2"/>
      <c r="C37" s="2"/>
      <c r="D37" s="2"/>
      <c r="E37" s="2"/>
      <c r="F37" s="2"/>
      <c r="G37" s="2"/>
      <c r="H37" s="2"/>
      <c r="I37" s="2">
        <v>65.754199999999997</v>
      </c>
      <c r="J37" s="2">
        <v>213</v>
      </c>
      <c r="K37" s="2">
        <v>64.921400000000006</v>
      </c>
      <c r="L37" s="2">
        <v>250</v>
      </c>
      <c r="M37" s="2">
        <v>108.39870000000001</v>
      </c>
      <c r="N37" s="2">
        <v>83</v>
      </c>
      <c r="O37" s="2">
        <v>110.1259</v>
      </c>
      <c r="P37" s="2">
        <v>69</v>
      </c>
      <c r="Q37" s="2">
        <v>98.550799999999995</v>
      </c>
      <c r="R37" s="2">
        <v>52</v>
      </c>
      <c r="S37" s="2">
        <v>96.622799999999998</v>
      </c>
      <c r="T37" s="2">
        <v>41</v>
      </c>
      <c r="U37" s="2">
        <v>0.81821600000000005</v>
      </c>
      <c r="V37" s="2">
        <v>36</v>
      </c>
      <c r="W37" s="2">
        <v>2014</v>
      </c>
    </row>
    <row r="38" spans="1:23" ht="12.3" x14ac:dyDescent="0.4">
      <c r="A38" s="2" t="s">
        <v>52</v>
      </c>
      <c r="B38" s="2">
        <v>10</v>
      </c>
      <c r="C38" s="3" t="s">
        <v>33</v>
      </c>
      <c r="D38" s="3" t="s">
        <v>33</v>
      </c>
      <c r="E38" s="2"/>
      <c r="F38" s="2"/>
      <c r="G38" s="2"/>
      <c r="H38" s="2"/>
      <c r="I38" s="2">
        <v>67.0989</v>
      </c>
      <c r="J38" s="2">
        <v>144</v>
      </c>
      <c r="K38" s="2">
        <v>66.475999999999999</v>
      </c>
      <c r="L38" s="2">
        <v>167</v>
      </c>
      <c r="M38" s="2">
        <v>108.9756</v>
      </c>
      <c r="N38" s="2">
        <v>74</v>
      </c>
      <c r="O38" s="2">
        <v>112.48099999999999</v>
      </c>
      <c r="P38" s="2">
        <v>39</v>
      </c>
      <c r="Q38" s="2">
        <v>101.7299</v>
      </c>
      <c r="R38" s="2">
        <v>103</v>
      </c>
      <c r="S38" s="2">
        <v>98.693600000000004</v>
      </c>
      <c r="T38" s="2">
        <v>60</v>
      </c>
      <c r="U38" s="2">
        <v>0.81813899999999995</v>
      </c>
      <c r="V38" s="2">
        <v>37</v>
      </c>
      <c r="W38" s="2">
        <v>2014</v>
      </c>
    </row>
    <row r="39" spans="1:23" ht="12.3" x14ac:dyDescent="0.4">
      <c r="A39" s="2" t="s">
        <v>102</v>
      </c>
      <c r="B39" s="2"/>
      <c r="C39" s="2"/>
      <c r="D39" s="2"/>
      <c r="E39" s="2"/>
      <c r="F39" s="2"/>
      <c r="G39" s="2"/>
      <c r="H39" s="2"/>
      <c r="I39" s="2">
        <v>67.134699999999995</v>
      </c>
      <c r="J39" s="2">
        <v>140</v>
      </c>
      <c r="K39" s="2">
        <v>68.144800000000004</v>
      </c>
      <c r="L39" s="2">
        <v>86</v>
      </c>
      <c r="M39" s="2">
        <v>106.14019999999999</v>
      </c>
      <c r="N39" s="2">
        <v>142</v>
      </c>
      <c r="O39" s="2">
        <v>107.5556</v>
      </c>
      <c r="P39" s="2">
        <v>115</v>
      </c>
      <c r="Q39" s="2">
        <v>97.7333</v>
      </c>
      <c r="R39" s="2">
        <v>40</v>
      </c>
      <c r="S39" s="2">
        <v>94.474999999999994</v>
      </c>
      <c r="T39" s="2">
        <v>21</v>
      </c>
      <c r="U39" s="2">
        <v>0.81626399999999999</v>
      </c>
      <c r="V39" s="2">
        <v>38</v>
      </c>
      <c r="W39" s="2">
        <v>2014</v>
      </c>
    </row>
    <row r="40" spans="1:23" ht="12.3" x14ac:dyDescent="0.4">
      <c r="A40" s="2" t="s">
        <v>67</v>
      </c>
      <c r="B40" s="2">
        <v>7</v>
      </c>
      <c r="C40" s="3" t="s">
        <v>33</v>
      </c>
      <c r="D40" s="2"/>
      <c r="E40" s="2"/>
      <c r="F40" s="2"/>
      <c r="G40" s="2"/>
      <c r="H40" s="2"/>
      <c r="I40" s="2">
        <v>69.421800000000005</v>
      </c>
      <c r="J40" s="2">
        <v>52</v>
      </c>
      <c r="K40" s="2">
        <v>68.166300000000007</v>
      </c>
      <c r="L40" s="2">
        <v>83</v>
      </c>
      <c r="M40" s="2">
        <v>106.3702</v>
      </c>
      <c r="N40" s="2">
        <v>134</v>
      </c>
      <c r="O40" s="2">
        <v>109.49890000000001</v>
      </c>
      <c r="P40" s="2">
        <v>78</v>
      </c>
      <c r="Q40" s="2">
        <v>100.59829999999999</v>
      </c>
      <c r="R40" s="2">
        <v>85</v>
      </c>
      <c r="S40" s="2">
        <v>96.326899999999995</v>
      </c>
      <c r="T40" s="2">
        <v>36</v>
      </c>
      <c r="U40" s="2">
        <v>0.81365399999999999</v>
      </c>
      <c r="V40" s="2">
        <v>39</v>
      </c>
      <c r="W40" s="2">
        <v>2014</v>
      </c>
    </row>
    <row r="41" spans="1:23" ht="12.3" x14ac:dyDescent="0.4">
      <c r="A41" s="2" t="s">
        <v>120</v>
      </c>
      <c r="B41" s="2">
        <v>11</v>
      </c>
      <c r="C41" s="2"/>
      <c r="D41" s="2"/>
      <c r="E41" s="2"/>
      <c r="F41" s="2"/>
      <c r="G41" s="2"/>
      <c r="H41" s="2"/>
      <c r="I41" s="2">
        <v>64.903899999999993</v>
      </c>
      <c r="J41" s="2">
        <v>252</v>
      </c>
      <c r="K41" s="2">
        <v>64.921099999999996</v>
      </c>
      <c r="L41" s="2">
        <v>251</v>
      </c>
      <c r="M41" s="2">
        <v>109.0643</v>
      </c>
      <c r="N41" s="2">
        <v>73</v>
      </c>
      <c r="O41" s="2">
        <v>114.267</v>
      </c>
      <c r="P41" s="2">
        <v>22</v>
      </c>
      <c r="Q41" s="2">
        <v>103.5057</v>
      </c>
      <c r="R41" s="2">
        <v>139</v>
      </c>
      <c r="S41" s="2">
        <v>100.631</v>
      </c>
      <c r="T41" s="2">
        <v>92</v>
      </c>
      <c r="U41" s="2">
        <v>0.81174599999999997</v>
      </c>
      <c r="V41" s="2">
        <v>40</v>
      </c>
      <c r="W41" s="2">
        <v>2014</v>
      </c>
    </row>
    <row r="42" spans="1:23" ht="12.3" x14ac:dyDescent="0.4">
      <c r="A42" s="2" t="s">
        <v>20</v>
      </c>
      <c r="B42" s="2"/>
      <c r="C42" s="2"/>
      <c r="D42" s="2"/>
      <c r="E42" s="2"/>
      <c r="F42" s="2"/>
      <c r="G42" s="2"/>
      <c r="H42" s="2"/>
      <c r="I42" s="2">
        <v>65.9238</v>
      </c>
      <c r="J42" s="2">
        <v>206</v>
      </c>
      <c r="K42" s="2">
        <v>66.612499999999997</v>
      </c>
      <c r="L42" s="2">
        <v>165</v>
      </c>
      <c r="M42" s="2">
        <v>106.3278</v>
      </c>
      <c r="N42" s="2">
        <v>135</v>
      </c>
      <c r="O42" s="2">
        <v>111.6427</v>
      </c>
      <c r="P42" s="2">
        <v>46</v>
      </c>
      <c r="Q42" s="2">
        <v>100.25149999999999</v>
      </c>
      <c r="R42" s="2">
        <v>81</v>
      </c>
      <c r="S42" s="2">
        <v>98.438800000000001</v>
      </c>
      <c r="T42" s="2">
        <v>56</v>
      </c>
      <c r="U42" s="2">
        <v>0.80961099999999997</v>
      </c>
      <c r="V42" s="2">
        <v>41</v>
      </c>
      <c r="W42" s="2">
        <v>2014</v>
      </c>
    </row>
    <row r="43" spans="1:23" ht="12.3" x14ac:dyDescent="0.4">
      <c r="A43" s="2" t="s">
        <v>50</v>
      </c>
      <c r="B43" s="2">
        <v>12</v>
      </c>
      <c r="C43" s="2"/>
      <c r="D43" s="2"/>
      <c r="E43" s="2"/>
      <c r="F43" s="2"/>
      <c r="G43" s="2"/>
      <c r="H43" s="2"/>
      <c r="I43" s="2">
        <v>65.754900000000006</v>
      </c>
      <c r="J43" s="2">
        <v>212</v>
      </c>
      <c r="K43" s="2">
        <v>65.830500000000001</v>
      </c>
      <c r="L43" s="2">
        <v>204</v>
      </c>
      <c r="M43" s="2">
        <v>109.08669999999999</v>
      </c>
      <c r="N43" s="2">
        <v>72</v>
      </c>
      <c r="O43" s="2">
        <v>112.79389999999999</v>
      </c>
      <c r="P43" s="2">
        <v>37</v>
      </c>
      <c r="Q43" s="2">
        <v>102.8081</v>
      </c>
      <c r="R43" s="2">
        <v>117</v>
      </c>
      <c r="S43" s="2">
        <v>99.576599999999999</v>
      </c>
      <c r="T43" s="2">
        <v>69</v>
      </c>
      <c r="U43" s="2">
        <v>0.80741499999999999</v>
      </c>
      <c r="V43" s="2">
        <v>42</v>
      </c>
      <c r="W43" s="2">
        <v>2014</v>
      </c>
    </row>
    <row r="44" spans="1:23" ht="12.3" x14ac:dyDescent="0.4">
      <c r="A44" s="2" t="s">
        <v>36</v>
      </c>
      <c r="B44" s="2"/>
      <c r="C44" s="2"/>
      <c r="D44" s="2"/>
      <c r="E44" s="2"/>
      <c r="F44" s="2"/>
      <c r="G44" s="2"/>
      <c r="H44" s="2"/>
      <c r="I44" s="2">
        <v>67.712999999999994</v>
      </c>
      <c r="J44" s="2">
        <v>115</v>
      </c>
      <c r="K44" s="2">
        <v>69.156000000000006</v>
      </c>
      <c r="L44" s="2">
        <v>55</v>
      </c>
      <c r="M44" s="2">
        <v>103.75060000000001</v>
      </c>
      <c r="N44" s="2">
        <v>194</v>
      </c>
      <c r="O44" s="2">
        <v>107.8867</v>
      </c>
      <c r="P44" s="2">
        <v>108</v>
      </c>
      <c r="Q44" s="2">
        <v>98.655699999999996</v>
      </c>
      <c r="R44" s="2">
        <v>56</v>
      </c>
      <c r="S44" s="2">
        <v>95.404499999999999</v>
      </c>
      <c r="T44" s="2">
        <v>24</v>
      </c>
      <c r="U44" s="2">
        <v>0.80439499999999997</v>
      </c>
      <c r="V44" s="2">
        <v>43</v>
      </c>
      <c r="W44" s="2">
        <v>2014</v>
      </c>
    </row>
    <row r="45" spans="1:23" ht="12.3" x14ac:dyDescent="0.4">
      <c r="A45" s="2" t="s">
        <v>148</v>
      </c>
      <c r="B45" s="2">
        <v>9</v>
      </c>
      <c r="C45" s="2"/>
      <c r="D45" s="2"/>
      <c r="E45" s="2"/>
      <c r="F45" s="2"/>
      <c r="G45" s="2"/>
      <c r="H45" s="2"/>
      <c r="I45" s="2">
        <v>65.726600000000005</v>
      </c>
      <c r="J45" s="2">
        <v>216</v>
      </c>
      <c r="K45" s="2">
        <v>65.354100000000003</v>
      </c>
      <c r="L45" s="2">
        <v>230</v>
      </c>
      <c r="M45" s="2">
        <v>105.0928</v>
      </c>
      <c r="N45" s="2">
        <v>167</v>
      </c>
      <c r="O45" s="2">
        <v>107.9999</v>
      </c>
      <c r="P45" s="2">
        <v>104</v>
      </c>
      <c r="Q45" s="2">
        <v>98.371499999999997</v>
      </c>
      <c r="R45" s="2">
        <v>50</v>
      </c>
      <c r="S45" s="2">
        <v>95.519800000000004</v>
      </c>
      <c r="T45" s="2">
        <v>25</v>
      </c>
      <c r="U45" s="2">
        <v>0.80410700000000002</v>
      </c>
      <c r="V45" s="2">
        <v>44</v>
      </c>
      <c r="W45" s="2">
        <v>2014</v>
      </c>
    </row>
    <row r="46" spans="1:23" ht="12.3" x14ac:dyDescent="0.4">
      <c r="A46" s="2" t="s">
        <v>71</v>
      </c>
      <c r="B46" s="2">
        <v>8</v>
      </c>
      <c r="C46" s="3" t="s">
        <v>33</v>
      </c>
      <c r="D46" s="2"/>
      <c r="E46" s="2"/>
      <c r="F46" s="2"/>
      <c r="G46" s="2"/>
      <c r="H46" s="2"/>
      <c r="I46" s="2">
        <v>70.584299999999999</v>
      </c>
      <c r="J46" s="2">
        <v>26</v>
      </c>
      <c r="K46" s="2">
        <v>69.403700000000001</v>
      </c>
      <c r="L46" s="2">
        <v>50</v>
      </c>
      <c r="M46" s="2">
        <v>107.8849</v>
      </c>
      <c r="N46" s="2">
        <v>94</v>
      </c>
      <c r="O46" s="2">
        <v>110.429</v>
      </c>
      <c r="P46" s="2">
        <v>66</v>
      </c>
      <c r="Q46" s="2">
        <v>98.781300000000002</v>
      </c>
      <c r="R46" s="2">
        <v>59</v>
      </c>
      <c r="S46" s="2">
        <v>97.782700000000006</v>
      </c>
      <c r="T46" s="2">
        <v>53</v>
      </c>
      <c r="U46" s="2">
        <v>0.80197399999999996</v>
      </c>
      <c r="V46" s="2">
        <v>45</v>
      </c>
      <c r="W46" s="2">
        <v>2014</v>
      </c>
    </row>
    <row r="47" spans="1:23" ht="12.3" x14ac:dyDescent="0.4">
      <c r="A47" s="2" t="s">
        <v>232</v>
      </c>
      <c r="B47" s="2">
        <v>9</v>
      </c>
      <c r="C47" s="2"/>
      <c r="D47" s="2"/>
      <c r="E47" s="2"/>
      <c r="F47" s="2"/>
      <c r="G47" s="2"/>
      <c r="H47" s="2"/>
      <c r="I47" s="2">
        <v>68.220200000000006</v>
      </c>
      <c r="J47" s="2">
        <v>101</v>
      </c>
      <c r="K47" s="2">
        <v>67.334100000000007</v>
      </c>
      <c r="L47" s="2">
        <v>121</v>
      </c>
      <c r="M47" s="2">
        <v>107.2343</v>
      </c>
      <c r="N47" s="2">
        <v>110</v>
      </c>
      <c r="O47" s="2">
        <v>109.3604</v>
      </c>
      <c r="P47" s="2">
        <v>81</v>
      </c>
      <c r="Q47" s="2">
        <v>97.760900000000007</v>
      </c>
      <c r="R47" s="2">
        <v>42</v>
      </c>
      <c r="S47" s="2">
        <v>96.850099999999998</v>
      </c>
      <c r="T47" s="2">
        <v>44</v>
      </c>
      <c r="U47" s="2">
        <v>0.80171700000000001</v>
      </c>
      <c r="V47" s="2">
        <v>46</v>
      </c>
      <c r="W47" s="2">
        <v>2014</v>
      </c>
    </row>
    <row r="48" spans="1:23" ht="12.3" x14ac:dyDescent="0.4">
      <c r="A48" s="2" t="s">
        <v>99</v>
      </c>
      <c r="B48" s="2">
        <v>10</v>
      </c>
      <c r="C48" s="2"/>
      <c r="D48" s="2"/>
      <c r="E48" s="2"/>
      <c r="F48" s="2"/>
      <c r="G48" s="2"/>
      <c r="H48" s="2"/>
      <c r="I48" s="2">
        <v>69.012600000000006</v>
      </c>
      <c r="J48" s="2">
        <v>68</v>
      </c>
      <c r="K48" s="2">
        <v>69.271799999999999</v>
      </c>
      <c r="L48" s="2">
        <v>53</v>
      </c>
      <c r="M48" s="2">
        <v>107.01909999999999</v>
      </c>
      <c r="N48" s="2">
        <v>119</v>
      </c>
      <c r="O48" s="2">
        <v>108.3383</v>
      </c>
      <c r="P48" s="2">
        <v>97</v>
      </c>
      <c r="Q48" s="2">
        <v>98.0732</v>
      </c>
      <c r="R48" s="2">
        <v>47</v>
      </c>
      <c r="S48" s="2">
        <v>95.988799999999998</v>
      </c>
      <c r="T48" s="2">
        <v>27</v>
      </c>
      <c r="U48" s="2">
        <v>0.80088099999999995</v>
      </c>
      <c r="V48" s="2">
        <v>47</v>
      </c>
      <c r="W48" s="2">
        <v>2014</v>
      </c>
    </row>
    <row r="49" spans="1:23" ht="12.3" x14ac:dyDescent="0.4">
      <c r="A49" s="2" t="s">
        <v>136</v>
      </c>
      <c r="B49" s="2">
        <v>11</v>
      </c>
      <c r="C49" s="2"/>
      <c r="D49" s="2"/>
      <c r="E49" s="2"/>
      <c r="F49" s="2"/>
      <c r="G49" s="2"/>
      <c r="H49" s="2"/>
      <c r="I49" s="2">
        <v>65.2851</v>
      </c>
      <c r="J49" s="2">
        <v>236</v>
      </c>
      <c r="K49" s="2">
        <v>66.154700000000005</v>
      </c>
      <c r="L49" s="2">
        <v>188</v>
      </c>
      <c r="M49" s="2">
        <v>102.4522</v>
      </c>
      <c r="N49" s="2">
        <v>221</v>
      </c>
      <c r="O49" s="2">
        <v>108.20010000000001</v>
      </c>
      <c r="P49" s="2">
        <v>99</v>
      </c>
      <c r="Q49" s="2">
        <v>99.193600000000004</v>
      </c>
      <c r="R49" s="2">
        <v>64</v>
      </c>
      <c r="S49" s="2">
        <v>96.030100000000004</v>
      </c>
      <c r="T49" s="2">
        <v>30</v>
      </c>
      <c r="U49" s="2">
        <v>0.797732</v>
      </c>
      <c r="V49" s="2">
        <v>48</v>
      </c>
      <c r="W49" s="2">
        <v>2014</v>
      </c>
    </row>
    <row r="50" spans="1:23" ht="12.3" x14ac:dyDescent="0.4">
      <c r="A50" s="2" t="s">
        <v>91</v>
      </c>
      <c r="B50" s="2">
        <v>10</v>
      </c>
      <c r="C50" s="2"/>
      <c r="D50" s="2"/>
      <c r="E50" s="2"/>
      <c r="F50" s="2"/>
      <c r="G50" s="2"/>
      <c r="H50" s="2"/>
      <c r="I50" s="2">
        <v>66.108000000000004</v>
      </c>
      <c r="J50" s="2">
        <v>194</v>
      </c>
      <c r="K50" s="2">
        <v>65.716700000000003</v>
      </c>
      <c r="L50" s="2">
        <v>209</v>
      </c>
      <c r="M50" s="2">
        <v>107.72969999999999</v>
      </c>
      <c r="N50" s="2">
        <v>97</v>
      </c>
      <c r="O50" s="2">
        <v>110.32299999999999</v>
      </c>
      <c r="P50" s="2">
        <v>68</v>
      </c>
      <c r="Q50" s="2">
        <v>101.02979999999999</v>
      </c>
      <c r="R50" s="2">
        <v>94</v>
      </c>
      <c r="S50" s="2">
        <v>98.136499999999998</v>
      </c>
      <c r="T50" s="2">
        <v>55</v>
      </c>
      <c r="U50" s="2">
        <v>0.79349400000000003</v>
      </c>
      <c r="V50" s="2">
        <v>49</v>
      </c>
      <c r="W50" s="2">
        <v>2014</v>
      </c>
    </row>
    <row r="51" spans="1:23" ht="12.3" x14ac:dyDescent="0.4">
      <c r="A51" s="2" t="s">
        <v>96</v>
      </c>
      <c r="B51" s="2">
        <v>10</v>
      </c>
      <c r="C51" s="2"/>
      <c r="D51" s="2"/>
      <c r="E51" s="2"/>
      <c r="F51" s="2"/>
      <c r="G51" s="2"/>
      <c r="H51" s="2"/>
      <c r="I51" s="2">
        <v>73.511499999999998</v>
      </c>
      <c r="J51" s="2">
        <v>6</v>
      </c>
      <c r="K51" s="2">
        <v>72.194900000000004</v>
      </c>
      <c r="L51" s="2">
        <v>8</v>
      </c>
      <c r="M51" s="2">
        <v>112.5551</v>
      </c>
      <c r="N51" s="2">
        <v>32</v>
      </c>
      <c r="O51" s="2">
        <v>113.7187</v>
      </c>
      <c r="P51" s="2">
        <v>27</v>
      </c>
      <c r="Q51" s="2">
        <v>103.54170000000001</v>
      </c>
      <c r="R51" s="2">
        <v>140</v>
      </c>
      <c r="S51" s="2">
        <v>101.2405</v>
      </c>
      <c r="T51" s="2">
        <v>100</v>
      </c>
      <c r="U51" s="2">
        <v>0.79193500000000006</v>
      </c>
      <c r="V51" s="2">
        <v>50</v>
      </c>
      <c r="W51" s="2">
        <v>2014</v>
      </c>
    </row>
    <row r="52" spans="1:23" ht="12.3" x14ac:dyDescent="0.4">
      <c r="A52" s="2" t="s">
        <v>24</v>
      </c>
      <c r="B52" s="2"/>
      <c r="C52" s="2"/>
      <c r="D52" s="2"/>
      <c r="E52" s="2"/>
      <c r="F52" s="2"/>
      <c r="G52" s="2"/>
      <c r="H52" s="2"/>
      <c r="I52" s="2">
        <v>59.698500000000003</v>
      </c>
      <c r="J52" s="2">
        <v>349</v>
      </c>
      <c r="K52" s="2">
        <v>59.829900000000002</v>
      </c>
      <c r="L52" s="2">
        <v>349</v>
      </c>
      <c r="M52" s="2">
        <v>103.7396</v>
      </c>
      <c r="N52" s="2">
        <v>195</v>
      </c>
      <c r="O52" s="2">
        <v>105.65860000000001</v>
      </c>
      <c r="P52" s="2">
        <v>149</v>
      </c>
      <c r="Q52" s="2">
        <v>95.1999</v>
      </c>
      <c r="R52" s="2">
        <v>18</v>
      </c>
      <c r="S52" s="2">
        <v>94.341700000000003</v>
      </c>
      <c r="T52" s="2">
        <v>20</v>
      </c>
      <c r="U52" s="2">
        <v>0.78631200000000001</v>
      </c>
      <c r="V52" s="2">
        <v>51</v>
      </c>
      <c r="W52" s="2">
        <v>2014</v>
      </c>
    </row>
    <row r="53" spans="1:23" ht="12.3" x14ac:dyDescent="0.4">
      <c r="A53" s="2" t="s">
        <v>155</v>
      </c>
      <c r="B53" s="2">
        <v>6</v>
      </c>
      <c r="C53" s="2"/>
      <c r="D53" s="2"/>
      <c r="E53" s="2"/>
      <c r="F53" s="2"/>
      <c r="G53" s="2"/>
      <c r="H53" s="2"/>
      <c r="I53" s="2">
        <v>71.696399999999997</v>
      </c>
      <c r="J53" s="2">
        <v>15</v>
      </c>
      <c r="K53" s="2">
        <v>71.607100000000003</v>
      </c>
      <c r="L53" s="2">
        <v>14</v>
      </c>
      <c r="M53" s="2">
        <v>105.68380000000001</v>
      </c>
      <c r="N53" s="2">
        <v>155</v>
      </c>
      <c r="O53" s="2">
        <v>108.3801</v>
      </c>
      <c r="P53" s="2">
        <v>94</v>
      </c>
      <c r="Q53" s="2">
        <v>98.097700000000003</v>
      </c>
      <c r="R53" s="2">
        <v>48</v>
      </c>
      <c r="S53" s="2">
        <v>96.788899999999998</v>
      </c>
      <c r="T53" s="2">
        <v>43</v>
      </c>
      <c r="U53" s="2">
        <v>0.785968</v>
      </c>
      <c r="V53" s="2">
        <v>52</v>
      </c>
      <c r="W53" s="2">
        <v>2014</v>
      </c>
    </row>
    <row r="54" spans="1:23" ht="12.3" x14ac:dyDescent="0.4">
      <c r="A54" s="2" t="s">
        <v>64</v>
      </c>
      <c r="B54" s="2">
        <v>11</v>
      </c>
      <c r="C54" s="3" t="s">
        <v>33</v>
      </c>
      <c r="D54" s="3" t="s">
        <v>33</v>
      </c>
      <c r="E54" s="3" t="s">
        <v>33</v>
      </c>
      <c r="F54" s="2"/>
      <c r="G54" s="2"/>
      <c r="H54" s="2"/>
      <c r="I54" s="2">
        <v>65.725399999999993</v>
      </c>
      <c r="J54" s="2">
        <v>217</v>
      </c>
      <c r="K54" s="2">
        <v>65.236699999999999</v>
      </c>
      <c r="L54" s="2">
        <v>236</v>
      </c>
      <c r="M54" s="2">
        <v>110.7795</v>
      </c>
      <c r="N54" s="2">
        <v>51</v>
      </c>
      <c r="O54" s="2">
        <v>113.3938</v>
      </c>
      <c r="P54" s="2">
        <v>30</v>
      </c>
      <c r="Q54" s="2">
        <v>101.9537</v>
      </c>
      <c r="R54" s="2">
        <v>105</v>
      </c>
      <c r="S54" s="2">
        <v>101.3973</v>
      </c>
      <c r="T54" s="2">
        <v>101</v>
      </c>
      <c r="U54" s="2">
        <v>0.78345799999999999</v>
      </c>
      <c r="V54" s="2">
        <v>53</v>
      </c>
      <c r="W54" s="2">
        <v>2014</v>
      </c>
    </row>
    <row r="55" spans="1:23" ht="12.3" x14ac:dyDescent="0.4">
      <c r="A55" s="2" t="s">
        <v>62</v>
      </c>
      <c r="B55" s="2"/>
      <c r="C55" s="2"/>
      <c r="D55" s="2"/>
      <c r="E55" s="2"/>
      <c r="F55" s="2"/>
      <c r="G55" s="2"/>
      <c r="H55" s="2"/>
      <c r="I55" s="2">
        <v>64.811300000000003</v>
      </c>
      <c r="J55" s="2">
        <v>255</v>
      </c>
      <c r="K55" s="2">
        <v>64.369</v>
      </c>
      <c r="L55" s="2">
        <v>274</v>
      </c>
      <c r="M55" s="2">
        <v>107.69540000000001</v>
      </c>
      <c r="N55" s="2">
        <v>99</v>
      </c>
      <c r="O55" s="2">
        <v>111.4025</v>
      </c>
      <c r="P55" s="2">
        <v>51</v>
      </c>
      <c r="Q55" s="2">
        <v>103.37739999999999</v>
      </c>
      <c r="R55" s="2">
        <v>134</v>
      </c>
      <c r="S55" s="2">
        <v>100.17059999999999</v>
      </c>
      <c r="T55" s="2">
        <v>77</v>
      </c>
      <c r="U55" s="2">
        <v>0.77244400000000002</v>
      </c>
      <c r="V55" s="2">
        <v>54</v>
      </c>
      <c r="W55" s="2">
        <v>2014</v>
      </c>
    </row>
    <row r="56" spans="1:23" ht="12.3" x14ac:dyDescent="0.4">
      <c r="A56" s="2" t="s">
        <v>360</v>
      </c>
      <c r="B56" s="2">
        <v>12</v>
      </c>
      <c r="C56" s="3" t="s">
        <v>33</v>
      </c>
      <c r="D56" s="2"/>
      <c r="E56" s="2"/>
      <c r="F56" s="2"/>
      <c r="G56" s="2"/>
      <c r="H56" s="2"/>
      <c r="I56" s="2">
        <v>64.088399999999993</v>
      </c>
      <c r="J56" s="2">
        <v>289</v>
      </c>
      <c r="K56" s="2">
        <v>64.244500000000002</v>
      </c>
      <c r="L56" s="2">
        <v>278</v>
      </c>
      <c r="M56" s="2">
        <v>116.8623</v>
      </c>
      <c r="N56" s="2">
        <v>6</v>
      </c>
      <c r="O56" s="2">
        <v>114.6785</v>
      </c>
      <c r="P56" s="2">
        <v>20</v>
      </c>
      <c r="Q56" s="2">
        <v>105.22029999999999</v>
      </c>
      <c r="R56" s="2">
        <v>183</v>
      </c>
      <c r="S56" s="2">
        <v>103.1756</v>
      </c>
      <c r="T56" s="2">
        <v>140</v>
      </c>
      <c r="U56" s="2">
        <v>0.77127900000000005</v>
      </c>
      <c r="V56" s="2">
        <v>55</v>
      </c>
      <c r="W56" s="2">
        <v>2014</v>
      </c>
    </row>
    <row r="57" spans="1:23" ht="12.3" x14ac:dyDescent="0.4">
      <c r="A57" s="2" t="s">
        <v>44</v>
      </c>
      <c r="B57" s="2"/>
      <c r="C57" s="2"/>
      <c r="D57" s="2"/>
      <c r="E57" s="2"/>
      <c r="F57" s="2"/>
      <c r="G57" s="2"/>
      <c r="H57" s="2"/>
      <c r="I57" s="2">
        <v>62.901899999999998</v>
      </c>
      <c r="J57" s="2">
        <v>330</v>
      </c>
      <c r="K57" s="2">
        <v>62.619700000000002</v>
      </c>
      <c r="L57" s="2">
        <v>329</v>
      </c>
      <c r="M57" s="2">
        <v>102.254</v>
      </c>
      <c r="N57" s="2">
        <v>227</v>
      </c>
      <c r="O57" s="2">
        <v>104.0478</v>
      </c>
      <c r="P57" s="2">
        <v>181</v>
      </c>
      <c r="Q57" s="2">
        <v>98.763900000000007</v>
      </c>
      <c r="R57" s="2">
        <v>58</v>
      </c>
      <c r="S57" s="2">
        <v>93.738600000000005</v>
      </c>
      <c r="T57" s="2">
        <v>15</v>
      </c>
      <c r="U57" s="2">
        <v>0.76851000000000003</v>
      </c>
      <c r="V57" s="2">
        <v>56</v>
      </c>
      <c r="W57" s="2">
        <v>2014</v>
      </c>
    </row>
    <row r="58" spans="1:23" ht="12.3" x14ac:dyDescent="0.4">
      <c r="A58" s="2" t="s">
        <v>75</v>
      </c>
      <c r="B58" s="2"/>
      <c r="C58" s="2"/>
      <c r="D58" s="2"/>
      <c r="E58" s="2"/>
      <c r="F58" s="2"/>
      <c r="G58" s="2"/>
      <c r="H58" s="2"/>
      <c r="I58" s="2">
        <v>64.538899999999998</v>
      </c>
      <c r="J58" s="2">
        <v>274</v>
      </c>
      <c r="K58" s="2">
        <v>64.664699999999996</v>
      </c>
      <c r="L58" s="2">
        <v>263</v>
      </c>
      <c r="M58" s="2">
        <v>108.07040000000001</v>
      </c>
      <c r="N58" s="2">
        <v>91</v>
      </c>
      <c r="O58" s="2">
        <v>111.402</v>
      </c>
      <c r="P58" s="2">
        <v>52</v>
      </c>
      <c r="Q58" s="2">
        <v>103.4327</v>
      </c>
      <c r="R58" s="2">
        <v>136</v>
      </c>
      <c r="S58" s="2">
        <v>100.4586</v>
      </c>
      <c r="T58" s="2">
        <v>87</v>
      </c>
      <c r="U58" s="2">
        <v>0.76658099999999996</v>
      </c>
      <c r="V58" s="2">
        <v>57</v>
      </c>
      <c r="W58" s="2">
        <v>2014</v>
      </c>
    </row>
    <row r="59" spans="1:23" ht="12.3" x14ac:dyDescent="0.4">
      <c r="A59" s="2" t="s">
        <v>80</v>
      </c>
      <c r="B59" s="2"/>
      <c r="C59" s="2"/>
      <c r="D59" s="2"/>
      <c r="E59" s="2"/>
      <c r="F59" s="2"/>
      <c r="G59" s="2"/>
      <c r="H59" s="2"/>
      <c r="I59" s="2">
        <v>72.241600000000005</v>
      </c>
      <c r="J59" s="2">
        <v>9</v>
      </c>
      <c r="K59" s="2">
        <v>72.588399999999993</v>
      </c>
      <c r="L59" s="2">
        <v>6</v>
      </c>
      <c r="M59" s="2">
        <v>109.0997</v>
      </c>
      <c r="N59" s="2">
        <v>71</v>
      </c>
      <c r="O59" s="2">
        <v>109.34310000000001</v>
      </c>
      <c r="P59" s="2">
        <v>82</v>
      </c>
      <c r="Q59" s="2">
        <v>97.479100000000003</v>
      </c>
      <c r="R59" s="2">
        <v>37</v>
      </c>
      <c r="S59" s="2">
        <v>98.654499999999999</v>
      </c>
      <c r="T59" s="2">
        <v>58</v>
      </c>
      <c r="U59" s="2">
        <v>0.76548000000000005</v>
      </c>
      <c r="V59" s="2">
        <v>58</v>
      </c>
      <c r="W59" s="2">
        <v>2014</v>
      </c>
    </row>
    <row r="60" spans="1:23" ht="12.3" x14ac:dyDescent="0.4">
      <c r="A60" s="2" t="s">
        <v>282</v>
      </c>
      <c r="B60" s="2">
        <v>12</v>
      </c>
      <c r="C60" s="3" t="s">
        <v>33</v>
      </c>
      <c r="D60" s="2"/>
      <c r="E60" s="2"/>
      <c r="F60" s="2"/>
      <c r="G60" s="2"/>
      <c r="H60" s="2"/>
      <c r="I60" s="2">
        <v>65.1297</v>
      </c>
      <c r="J60" s="2">
        <v>244</v>
      </c>
      <c r="K60" s="2">
        <v>63.607199999999999</v>
      </c>
      <c r="L60" s="2">
        <v>304</v>
      </c>
      <c r="M60" s="2">
        <v>116.0776</v>
      </c>
      <c r="N60" s="2">
        <v>8</v>
      </c>
      <c r="O60" s="2">
        <v>111.6118</v>
      </c>
      <c r="P60" s="2">
        <v>47</v>
      </c>
      <c r="Q60" s="2">
        <v>96.742800000000003</v>
      </c>
      <c r="R60" s="2">
        <v>28</v>
      </c>
      <c r="S60" s="2">
        <v>100.76139999999999</v>
      </c>
      <c r="T60" s="2">
        <v>95</v>
      </c>
      <c r="U60" s="2">
        <v>0.76424999999999998</v>
      </c>
      <c r="V60" s="2">
        <v>59</v>
      </c>
      <c r="W60" s="2">
        <v>2014</v>
      </c>
    </row>
    <row r="61" spans="1:23" ht="12.3" x14ac:dyDescent="0.4">
      <c r="A61" s="2" t="s">
        <v>152</v>
      </c>
      <c r="B61" s="2"/>
      <c r="C61" s="2"/>
      <c r="D61" s="2"/>
      <c r="E61" s="2"/>
      <c r="F61" s="2"/>
      <c r="G61" s="2"/>
      <c r="H61" s="2"/>
      <c r="I61" s="2">
        <v>65.728200000000001</v>
      </c>
      <c r="J61" s="2">
        <v>215</v>
      </c>
      <c r="K61" s="2">
        <v>65.391900000000007</v>
      </c>
      <c r="L61" s="2">
        <v>226</v>
      </c>
      <c r="M61" s="2">
        <v>116.4341</v>
      </c>
      <c r="N61" s="2">
        <v>7</v>
      </c>
      <c r="O61" s="2">
        <v>113.857</v>
      </c>
      <c r="P61" s="2">
        <v>26</v>
      </c>
      <c r="Q61" s="2">
        <v>102.0605</v>
      </c>
      <c r="R61" s="2">
        <v>106</v>
      </c>
      <c r="S61" s="2">
        <v>102.8219</v>
      </c>
      <c r="T61" s="2">
        <v>132</v>
      </c>
      <c r="U61" s="2">
        <v>0.76357200000000003</v>
      </c>
      <c r="V61" s="2">
        <v>60</v>
      </c>
      <c r="W61" s="2">
        <v>2014</v>
      </c>
    </row>
    <row r="62" spans="1:23" ht="12.3" x14ac:dyDescent="0.4">
      <c r="A62" s="2" t="s">
        <v>236</v>
      </c>
      <c r="B62" s="2"/>
      <c r="C62" s="2"/>
      <c r="D62" s="2"/>
      <c r="E62" s="2"/>
      <c r="F62" s="2"/>
      <c r="G62" s="2"/>
      <c r="H62" s="2"/>
      <c r="I62" s="2">
        <v>67.146600000000007</v>
      </c>
      <c r="J62" s="2">
        <v>139</v>
      </c>
      <c r="K62" s="2">
        <v>66.701800000000006</v>
      </c>
      <c r="L62" s="2">
        <v>157</v>
      </c>
      <c r="M62" s="2">
        <v>108.4337</v>
      </c>
      <c r="N62" s="2">
        <v>82</v>
      </c>
      <c r="O62" s="2">
        <v>108.11620000000001</v>
      </c>
      <c r="P62" s="2">
        <v>101</v>
      </c>
      <c r="Q62" s="2">
        <v>96.719099999999997</v>
      </c>
      <c r="R62" s="2">
        <v>26</v>
      </c>
      <c r="S62" s="2">
        <v>97.77</v>
      </c>
      <c r="T62" s="2">
        <v>52</v>
      </c>
      <c r="U62" s="2">
        <v>0.76074600000000003</v>
      </c>
      <c r="V62" s="2">
        <v>61</v>
      </c>
      <c r="W62" s="2">
        <v>2014</v>
      </c>
    </row>
    <row r="63" spans="1:23" ht="12.3" x14ac:dyDescent="0.4">
      <c r="A63" s="2" t="s">
        <v>39</v>
      </c>
      <c r="B63" s="2"/>
      <c r="C63" s="2"/>
      <c r="D63" s="2"/>
      <c r="E63" s="2"/>
      <c r="F63" s="2"/>
      <c r="G63" s="2"/>
      <c r="H63" s="2"/>
      <c r="I63" s="2">
        <v>66.285799999999995</v>
      </c>
      <c r="J63" s="2">
        <v>189</v>
      </c>
      <c r="K63" s="2">
        <v>66.631299999999996</v>
      </c>
      <c r="L63" s="2">
        <v>162</v>
      </c>
      <c r="M63" s="2">
        <v>105.36839999999999</v>
      </c>
      <c r="N63" s="2">
        <v>159</v>
      </c>
      <c r="O63" s="2">
        <v>109.7927</v>
      </c>
      <c r="P63" s="2">
        <v>75</v>
      </c>
      <c r="Q63" s="2">
        <v>100.66119999999999</v>
      </c>
      <c r="R63" s="2">
        <v>86</v>
      </c>
      <c r="S63" s="2">
        <v>99.394300000000001</v>
      </c>
      <c r="T63" s="2">
        <v>66</v>
      </c>
      <c r="U63" s="2">
        <v>0.75845799999999997</v>
      </c>
      <c r="V63" s="2">
        <v>62</v>
      </c>
      <c r="W63" s="2">
        <v>2014</v>
      </c>
    </row>
    <row r="64" spans="1:23" ht="12.3" x14ac:dyDescent="0.4">
      <c r="A64" s="2" t="s">
        <v>175</v>
      </c>
      <c r="B64" s="2"/>
      <c r="C64" s="2"/>
      <c r="D64" s="2"/>
      <c r="E64" s="2"/>
      <c r="F64" s="2"/>
      <c r="G64" s="2"/>
      <c r="H64" s="2"/>
      <c r="I64" s="2">
        <v>64.723299999999995</v>
      </c>
      <c r="J64" s="2">
        <v>264</v>
      </c>
      <c r="K64" s="2">
        <v>64.631299999999996</v>
      </c>
      <c r="L64" s="2">
        <v>264</v>
      </c>
      <c r="M64" s="2">
        <v>108.84520000000001</v>
      </c>
      <c r="N64" s="2">
        <v>78</v>
      </c>
      <c r="O64" s="2">
        <v>110.7675</v>
      </c>
      <c r="P64" s="2">
        <v>62</v>
      </c>
      <c r="Q64" s="2">
        <v>97.616</v>
      </c>
      <c r="R64" s="2">
        <v>39</v>
      </c>
      <c r="S64" s="2">
        <v>100.5051</v>
      </c>
      <c r="T64" s="2">
        <v>88</v>
      </c>
      <c r="U64" s="2">
        <v>0.75363400000000003</v>
      </c>
      <c r="V64" s="2">
        <v>63</v>
      </c>
      <c r="W64" s="2">
        <v>2014</v>
      </c>
    </row>
    <row r="65" spans="1:23" ht="12.3" x14ac:dyDescent="0.4">
      <c r="A65" s="2" t="s">
        <v>129</v>
      </c>
      <c r="B65" s="2">
        <v>8</v>
      </c>
      <c r="C65" s="2"/>
      <c r="D65" s="2"/>
      <c r="E65" s="2"/>
      <c r="F65" s="2"/>
      <c r="G65" s="2"/>
      <c r="H65" s="2"/>
      <c r="I65" s="2">
        <v>67.252700000000004</v>
      </c>
      <c r="J65" s="2">
        <v>136</v>
      </c>
      <c r="K65" s="2">
        <v>66.445599999999999</v>
      </c>
      <c r="L65" s="2">
        <v>171</v>
      </c>
      <c r="M65" s="2">
        <v>103.7381</v>
      </c>
      <c r="N65" s="2">
        <v>196</v>
      </c>
      <c r="O65" s="2">
        <v>105.8999</v>
      </c>
      <c r="P65" s="2">
        <v>141</v>
      </c>
      <c r="Q65" s="2">
        <v>100.1348</v>
      </c>
      <c r="R65" s="2">
        <v>79</v>
      </c>
      <c r="S65" s="2">
        <v>96.240799999999993</v>
      </c>
      <c r="T65" s="2">
        <v>32</v>
      </c>
      <c r="U65" s="2">
        <v>0.75023600000000001</v>
      </c>
      <c r="V65" s="2">
        <v>64</v>
      </c>
      <c r="W65" s="2">
        <v>2014</v>
      </c>
    </row>
    <row r="66" spans="1:23" ht="12.3" x14ac:dyDescent="0.4">
      <c r="A66" s="2" t="s">
        <v>229</v>
      </c>
      <c r="B66" s="2"/>
      <c r="C66" s="2"/>
      <c r="D66" s="2"/>
      <c r="E66" s="2"/>
      <c r="F66" s="2"/>
      <c r="G66" s="2"/>
      <c r="H66" s="2"/>
      <c r="I66" s="2">
        <v>68.641400000000004</v>
      </c>
      <c r="J66" s="2">
        <v>77</v>
      </c>
      <c r="K66" s="2">
        <v>68.083600000000004</v>
      </c>
      <c r="L66" s="2">
        <v>92</v>
      </c>
      <c r="M66" s="2">
        <v>112.2163</v>
      </c>
      <c r="N66" s="2">
        <v>38</v>
      </c>
      <c r="O66" s="2">
        <v>114.251</v>
      </c>
      <c r="P66" s="2">
        <v>23</v>
      </c>
      <c r="Q66" s="2">
        <v>106.1508</v>
      </c>
      <c r="R66" s="2">
        <v>209</v>
      </c>
      <c r="S66" s="2">
        <v>103.9585</v>
      </c>
      <c r="T66" s="2">
        <v>153</v>
      </c>
      <c r="U66" s="2">
        <v>0.74756599999999995</v>
      </c>
      <c r="V66" s="2">
        <v>65</v>
      </c>
      <c r="W66" s="2">
        <v>2014</v>
      </c>
    </row>
    <row r="67" spans="1:23" ht="12.3" x14ac:dyDescent="0.4">
      <c r="A67" s="2" t="s">
        <v>55</v>
      </c>
      <c r="B67" s="2">
        <v>12</v>
      </c>
      <c r="C67" s="2"/>
      <c r="D67" s="2"/>
      <c r="E67" s="2"/>
      <c r="F67" s="2"/>
      <c r="G67" s="2"/>
      <c r="H67" s="2"/>
      <c r="I67" s="2">
        <v>64.783500000000004</v>
      </c>
      <c r="J67" s="2">
        <v>258</v>
      </c>
      <c r="K67" s="2">
        <v>66.093900000000005</v>
      </c>
      <c r="L67" s="2">
        <v>193</v>
      </c>
      <c r="M67" s="2">
        <v>108.169</v>
      </c>
      <c r="N67" s="2">
        <v>88</v>
      </c>
      <c r="O67" s="2">
        <v>113.5673</v>
      </c>
      <c r="P67" s="2">
        <v>28</v>
      </c>
      <c r="Q67" s="2">
        <v>106.2332</v>
      </c>
      <c r="R67" s="2">
        <v>211</v>
      </c>
      <c r="S67" s="2">
        <v>103.4021</v>
      </c>
      <c r="T67" s="2">
        <v>144</v>
      </c>
      <c r="U67" s="2">
        <v>0.74618399999999996</v>
      </c>
      <c r="V67" s="2">
        <v>66</v>
      </c>
      <c r="W67" s="2">
        <v>2014</v>
      </c>
    </row>
    <row r="68" spans="1:23" ht="12.3" x14ac:dyDescent="0.4">
      <c r="A68" s="2" t="s">
        <v>139</v>
      </c>
      <c r="B68" s="2">
        <v>13</v>
      </c>
      <c r="C68" s="2"/>
      <c r="D68" s="2"/>
      <c r="E68" s="2"/>
      <c r="F68" s="2"/>
      <c r="G68" s="2"/>
      <c r="H68" s="2"/>
      <c r="I68" s="2">
        <v>70.364400000000003</v>
      </c>
      <c r="J68" s="2">
        <v>35</v>
      </c>
      <c r="K68" s="2">
        <v>69.528899999999993</v>
      </c>
      <c r="L68" s="2">
        <v>44</v>
      </c>
      <c r="M68" s="2">
        <v>107.5398</v>
      </c>
      <c r="N68" s="2">
        <v>103</v>
      </c>
      <c r="O68" s="2">
        <v>106.01430000000001</v>
      </c>
      <c r="P68" s="2">
        <v>139</v>
      </c>
      <c r="Q68" s="2">
        <v>97.279399999999995</v>
      </c>
      <c r="R68" s="2">
        <v>34</v>
      </c>
      <c r="S68" s="2">
        <v>96.653700000000001</v>
      </c>
      <c r="T68" s="2">
        <v>42</v>
      </c>
      <c r="U68" s="2">
        <v>0.74327500000000002</v>
      </c>
      <c r="V68" s="2">
        <v>67</v>
      </c>
      <c r="W68" s="2">
        <v>2014</v>
      </c>
    </row>
    <row r="69" spans="1:23" ht="12.3" x14ac:dyDescent="0.4">
      <c r="A69" s="2" t="s">
        <v>69</v>
      </c>
      <c r="B69" s="2">
        <v>13</v>
      </c>
      <c r="C69" s="2"/>
      <c r="D69" s="2"/>
      <c r="E69" s="2"/>
      <c r="F69" s="2"/>
      <c r="G69" s="2"/>
      <c r="H69" s="2"/>
      <c r="I69" s="2">
        <v>68.751599999999996</v>
      </c>
      <c r="J69" s="2">
        <v>72</v>
      </c>
      <c r="K69" s="2">
        <v>68.467799999999997</v>
      </c>
      <c r="L69" s="2">
        <v>73</v>
      </c>
      <c r="M69" s="2">
        <v>105.6648</v>
      </c>
      <c r="N69" s="2">
        <v>156</v>
      </c>
      <c r="O69" s="2">
        <v>105.2906</v>
      </c>
      <c r="P69" s="2">
        <v>162</v>
      </c>
      <c r="Q69" s="2">
        <v>96.901899999999998</v>
      </c>
      <c r="R69" s="2">
        <v>29</v>
      </c>
      <c r="S69" s="2">
        <v>96.005300000000005</v>
      </c>
      <c r="T69" s="2">
        <v>28</v>
      </c>
      <c r="U69" s="2">
        <v>0.74301399999999995</v>
      </c>
      <c r="V69" s="2">
        <v>68</v>
      </c>
      <c r="W69" s="2">
        <v>2014</v>
      </c>
    </row>
    <row r="70" spans="1:23" ht="12.3" x14ac:dyDescent="0.4">
      <c r="A70" s="2" t="s">
        <v>85</v>
      </c>
      <c r="B70" s="2"/>
      <c r="C70" s="2"/>
      <c r="D70" s="2"/>
      <c r="E70" s="2"/>
      <c r="F70" s="2"/>
      <c r="G70" s="2"/>
      <c r="H70" s="2"/>
      <c r="I70" s="2">
        <v>70.515799999999999</v>
      </c>
      <c r="J70" s="2">
        <v>32</v>
      </c>
      <c r="K70" s="2">
        <v>70.215900000000005</v>
      </c>
      <c r="L70" s="2">
        <v>28</v>
      </c>
      <c r="M70" s="2">
        <v>105.28489999999999</v>
      </c>
      <c r="N70" s="2">
        <v>163</v>
      </c>
      <c r="O70" s="2">
        <v>109.0894</v>
      </c>
      <c r="P70" s="2">
        <v>86</v>
      </c>
      <c r="Q70" s="2">
        <v>99.944000000000003</v>
      </c>
      <c r="R70" s="2">
        <v>73</v>
      </c>
      <c r="S70" s="2">
        <v>99.584400000000002</v>
      </c>
      <c r="T70" s="2">
        <v>70</v>
      </c>
      <c r="U70" s="2">
        <v>0.74046000000000001</v>
      </c>
      <c r="V70" s="2">
        <v>69</v>
      </c>
      <c r="W70" s="2">
        <v>2014</v>
      </c>
    </row>
    <row r="71" spans="1:23" ht="12.3" x14ac:dyDescent="0.4">
      <c r="A71" s="2" t="s">
        <v>220</v>
      </c>
      <c r="B71" s="2"/>
      <c r="C71" s="2"/>
      <c r="D71" s="2"/>
      <c r="E71" s="2"/>
      <c r="F71" s="2"/>
      <c r="G71" s="2"/>
      <c r="H71" s="2"/>
      <c r="I71" s="2">
        <v>63.591299999999997</v>
      </c>
      <c r="J71" s="2">
        <v>308</v>
      </c>
      <c r="K71" s="2">
        <v>63.967399999999998</v>
      </c>
      <c r="L71" s="2">
        <v>292</v>
      </c>
      <c r="M71" s="2">
        <v>110.5526</v>
      </c>
      <c r="N71" s="2">
        <v>55</v>
      </c>
      <c r="O71" s="2">
        <v>109.023</v>
      </c>
      <c r="P71" s="2">
        <v>87</v>
      </c>
      <c r="Q71" s="2">
        <v>95.130099999999999</v>
      </c>
      <c r="R71" s="2">
        <v>17</v>
      </c>
      <c r="S71" s="2">
        <v>99.761799999999994</v>
      </c>
      <c r="T71" s="2">
        <v>72</v>
      </c>
      <c r="U71" s="2">
        <v>0.73514699999999999</v>
      </c>
      <c r="V71" s="2">
        <v>70</v>
      </c>
      <c r="W71" s="2">
        <v>2014</v>
      </c>
    </row>
    <row r="72" spans="1:23" ht="12.3" x14ac:dyDescent="0.4">
      <c r="A72" s="2" t="s">
        <v>118</v>
      </c>
      <c r="B72" s="2">
        <v>13</v>
      </c>
      <c r="C72" s="2"/>
      <c r="D72" s="2"/>
      <c r="E72" s="2"/>
      <c r="F72" s="2"/>
      <c r="G72" s="2"/>
      <c r="H72" s="2"/>
      <c r="I72" s="2">
        <v>66.914199999999994</v>
      </c>
      <c r="J72" s="2">
        <v>152</v>
      </c>
      <c r="K72" s="2">
        <v>66.460099999999997</v>
      </c>
      <c r="L72" s="2">
        <v>170</v>
      </c>
      <c r="M72" s="2">
        <v>113.90260000000001</v>
      </c>
      <c r="N72" s="2">
        <v>21</v>
      </c>
      <c r="O72" s="2">
        <v>112.07340000000001</v>
      </c>
      <c r="P72" s="2">
        <v>42</v>
      </c>
      <c r="Q72" s="2">
        <v>100.00960000000001</v>
      </c>
      <c r="R72" s="2">
        <v>77</v>
      </c>
      <c r="S72" s="2">
        <v>102.6728</v>
      </c>
      <c r="T72" s="2">
        <v>129</v>
      </c>
      <c r="U72" s="2">
        <v>0.73252700000000004</v>
      </c>
      <c r="V72" s="2">
        <v>71</v>
      </c>
      <c r="W72" s="2">
        <v>2014</v>
      </c>
    </row>
    <row r="73" spans="1:23" ht="12.3" x14ac:dyDescent="0.4">
      <c r="A73" s="2" t="s">
        <v>60</v>
      </c>
      <c r="B73" s="2"/>
      <c r="C73" s="2"/>
      <c r="D73" s="2"/>
      <c r="E73" s="2"/>
      <c r="F73" s="2"/>
      <c r="G73" s="2"/>
      <c r="H73" s="2"/>
      <c r="I73" s="2">
        <v>57.925800000000002</v>
      </c>
      <c r="J73" s="2">
        <v>351</v>
      </c>
      <c r="K73" s="2">
        <v>58.579300000000003</v>
      </c>
      <c r="L73" s="2">
        <v>351</v>
      </c>
      <c r="M73" s="2">
        <v>104.3051</v>
      </c>
      <c r="N73" s="2">
        <v>179</v>
      </c>
      <c r="O73" s="2">
        <v>108.98350000000001</v>
      </c>
      <c r="P73" s="2">
        <v>89</v>
      </c>
      <c r="Q73" s="2">
        <v>101.0599</v>
      </c>
      <c r="R73" s="2">
        <v>95</v>
      </c>
      <c r="S73" s="2">
        <v>99.844999999999999</v>
      </c>
      <c r="T73" s="2">
        <v>73</v>
      </c>
      <c r="U73" s="2">
        <v>0.73246100000000003</v>
      </c>
      <c r="V73" s="2">
        <v>72</v>
      </c>
      <c r="W73" s="2">
        <v>2014</v>
      </c>
    </row>
    <row r="74" spans="1:23" ht="12.3" x14ac:dyDescent="0.4">
      <c r="A74" s="2" t="s">
        <v>57</v>
      </c>
      <c r="B74" s="2"/>
      <c r="C74" s="2"/>
      <c r="D74" s="2"/>
      <c r="E74" s="2"/>
      <c r="F74" s="2"/>
      <c r="G74" s="2"/>
      <c r="H74" s="2"/>
      <c r="I74" s="2">
        <v>66.696399999999997</v>
      </c>
      <c r="J74" s="2">
        <v>162</v>
      </c>
      <c r="K74" s="2">
        <v>66.310100000000006</v>
      </c>
      <c r="L74" s="2">
        <v>179</v>
      </c>
      <c r="M74" s="2">
        <v>107.3531</v>
      </c>
      <c r="N74" s="2">
        <v>106</v>
      </c>
      <c r="O74" s="2">
        <v>109.34139999999999</v>
      </c>
      <c r="P74" s="2">
        <v>83</v>
      </c>
      <c r="Q74" s="2">
        <v>103.09010000000001</v>
      </c>
      <c r="R74" s="2">
        <v>123</v>
      </c>
      <c r="S74" s="2">
        <v>100.1972</v>
      </c>
      <c r="T74" s="2">
        <v>80</v>
      </c>
      <c r="U74" s="2">
        <v>0.73191399999999995</v>
      </c>
      <c r="V74" s="2">
        <v>73</v>
      </c>
      <c r="W74" s="2">
        <v>2014</v>
      </c>
    </row>
    <row r="75" spans="1:23" ht="12.3" x14ac:dyDescent="0.4">
      <c r="A75" s="2" t="s">
        <v>40</v>
      </c>
      <c r="B75" s="2"/>
      <c r="C75" s="2"/>
      <c r="D75" s="2"/>
      <c r="E75" s="2"/>
      <c r="F75" s="2"/>
      <c r="G75" s="2"/>
      <c r="H75" s="2"/>
      <c r="I75" s="2">
        <v>68.677000000000007</v>
      </c>
      <c r="J75" s="2">
        <v>74</v>
      </c>
      <c r="K75" s="2">
        <v>68.779600000000002</v>
      </c>
      <c r="L75" s="2">
        <v>64</v>
      </c>
      <c r="M75" s="2">
        <v>104.0902</v>
      </c>
      <c r="N75" s="2">
        <v>185</v>
      </c>
      <c r="O75" s="2">
        <v>106.3432</v>
      </c>
      <c r="P75" s="2">
        <v>132</v>
      </c>
      <c r="Q75" s="2">
        <v>98.619299999999996</v>
      </c>
      <c r="R75" s="2">
        <v>54</v>
      </c>
      <c r="S75" s="2">
        <v>97.575699999999998</v>
      </c>
      <c r="T75" s="2">
        <v>50</v>
      </c>
      <c r="U75" s="2">
        <v>0.72898799999999997</v>
      </c>
      <c r="V75" s="2">
        <v>74</v>
      </c>
      <c r="W75" s="2">
        <v>2014</v>
      </c>
    </row>
    <row r="76" spans="1:23" ht="12.3" x14ac:dyDescent="0.4">
      <c r="A76" s="2" t="s">
        <v>19</v>
      </c>
      <c r="B76" s="2"/>
      <c r="C76" s="2"/>
      <c r="D76" s="2"/>
      <c r="E76" s="2"/>
      <c r="F76" s="2"/>
      <c r="G76" s="2"/>
      <c r="H76" s="2"/>
      <c r="I76" s="2">
        <v>65.081699999999998</v>
      </c>
      <c r="J76" s="2">
        <v>246</v>
      </c>
      <c r="K76" s="2">
        <v>64.158500000000004</v>
      </c>
      <c r="L76" s="2">
        <v>281</v>
      </c>
      <c r="M76" s="2">
        <v>105.0941</v>
      </c>
      <c r="N76" s="2">
        <v>166</v>
      </c>
      <c r="O76" s="2">
        <v>107.8944</v>
      </c>
      <c r="P76" s="2">
        <v>107</v>
      </c>
      <c r="Q76" s="2">
        <v>101.8694</v>
      </c>
      <c r="R76" s="2">
        <v>104</v>
      </c>
      <c r="S76" s="2">
        <v>99.178299999999993</v>
      </c>
      <c r="T76" s="2">
        <v>65</v>
      </c>
      <c r="U76" s="2">
        <v>0.724858</v>
      </c>
      <c r="V76" s="2">
        <v>75</v>
      </c>
      <c r="W76" s="2">
        <v>2014</v>
      </c>
    </row>
    <row r="77" spans="1:23" ht="12.3" x14ac:dyDescent="0.4">
      <c r="A77" s="2" t="s">
        <v>241</v>
      </c>
      <c r="B77" s="2"/>
      <c r="C77" s="2"/>
      <c r="D77" s="2"/>
      <c r="E77" s="2"/>
      <c r="F77" s="2"/>
      <c r="G77" s="2"/>
      <c r="H77" s="2"/>
      <c r="I77" s="2">
        <v>70.885199999999998</v>
      </c>
      <c r="J77" s="2">
        <v>24</v>
      </c>
      <c r="K77" s="2">
        <v>69.800600000000003</v>
      </c>
      <c r="L77" s="2">
        <v>39</v>
      </c>
      <c r="M77" s="2">
        <v>117.4524</v>
      </c>
      <c r="N77" s="2">
        <v>4</v>
      </c>
      <c r="O77" s="2">
        <v>117.5363</v>
      </c>
      <c r="P77" s="2">
        <v>9</v>
      </c>
      <c r="Q77" s="2">
        <v>108.6371</v>
      </c>
      <c r="R77" s="2">
        <v>268</v>
      </c>
      <c r="S77" s="2">
        <v>108.0444</v>
      </c>
      <c r="T77" s="2">
        <v>235</v>
      </c>
      <c r="U77" s="2">
        <v>0.72479099999999996</v>
      </c>
      <c r="V77" s="2">
        <v>76</v>
      </c>
      <c r="W77" s="2">
        <v>2014</v>
      </c>
    </row>
    <row r="78" spans="1:23" ht="12.3" x14ac:dyDescent="0.4">
      <c r="A78" s="2" t="s">
        <v>73</v>
      </c>
      <c r="B78" s="2"/>
      <c r="C78" s="2"/>
      <c r="D78" s="2"/>
      <c r="E78" s="2"/>
      <c r="F78" s="2"/>
      <c r="G78" s="2"/>
      <c r="H78" s="2"/>
      <c r="I78" s="2">
        <v>65.741799999999998</v>
      </c>
      <c r="J78" s="2">
        <v>214</v>
      </c>
      <c r="K78" s="2">
        <v>66.069900000000004</v>
      </c>
      <c r="L78" s="2">
        <v>194</v>
      </c>
      <c r="M78" s="2">
        <v>109.47920000000001</v>
      </c>
      <c r="N78" s="2">
        <v>64</v>
      </c>
      <c r="O78" s="2">
        <v>113.3664</v>
      </c>
      <c r="P78" s="2">
        <v>31</v>
      </c>
      <c r="Q78" s="2">
        <v>104.5964</v>
      </c>
      <c r="R78" s="2">
        <v>166</v>
      </c>
      <c r="S78" s="2">
        <v>104.2397</v>
      </c>
      <c r="T78" s="2">
        <v>160</v>
      </c>
      <c r="U78" s="2">
        <v>0.72416400000000003</v>
      </c>
      <c r="V78" s="2">
        <v>77</v>
      </c>
      <c r="W78" s="2">
        <v>2014</v>
      </c>
    </row>
    <row r="79" spans="1:23" ht="12.3" x14ac:dyDescent="0.4">
      <c r="A79" s="2" t="s">
        <v>371</v>
      </c>
      <c r="B79" s="2">
        <v>14</v>
      </c>
      <c r="C79" s="2"/>
      <c r="D79" s="2"/>
      <c r="E79" s="2"/>
      <c r="F79" s="2"/>
      <c r="G79" s="2"/>
      <c r="H79" s="2"/>
      <c r="I79" s="2">
        <v>64.286000000000001</v>
      </c>
      <c r="J79" s="2">
        <v>280</v>
      </c>
      <c r="K79" s="2">
        <v>64.249899999999997</v>
      </c>
      <c r="L79" s="2">
        <v>277</v>
      </c>
      <c r="M79" s="2">
        <v>110.8021</v>
      </c>
      <c r="N79" s="2">
        <v>50</v>
      </c>
      <c r="O79" s="2">
        <v>107.4579</v>
      </c>
      <c r="P79" s="2">
        <v>117</v>
      </c>
      <c r="Q79" s="2">
        <v>91.150300000000001</v>
      </c>
      <c r="R79" s="2">
        <v>9</v>
      </c>
      <c r="S79" s="2">
        <v>99.037400000000005</v>
      </c>
      <c r="T79" s="2">
        <v>63</v>
      </c>
      <c r="U79" s="2">
        <v>0.71877899999999995</v>
      </c>
      <c r="V79" s="2">
        <v>78</v>
      </c>
      <c r="W79" s="2">
        <v>2014</v>
      </c>
    </row>
    <row r="80" spans="1:23" ht="12.3" x14ac:dyDescent="0.4">
      <c r="A80" s="2" t="s">
        <v>262</v>
      </c>
      <c r="B80" s="2"/>
      <c r="C80" s="2"/>
      <c r="D80" s="2"/>
      <c r="E80" s="2"/>
      <c r="F80" s="2"/>
      <c r="G80" s="2"/>
      <c r="H80" s="2"/>
      <c r="I80" s="2">
        <v>63.476900000000001</v>
      </c>
      <c r="J80" s="2">
        <v>314</v>
      </c>
      <c r="K80" s="2">
        <v>63.063899999999997</v>
      </c>
      <c r="L80" s="2">
        <v>321</v>
      </c>
      <c r="M80" s="2">
        <v>112.3813</v>
      </c>
      <c r="N80" s="2">
        <v>33</v>
      </c>
      <c r="O80" s="2">
        <v>110.881</v>
      </c>
      <c r="P80" s="2">
        <v>61</v>
      </c>
      <c r="Q80" s="2">
        <v>104.45350000000001</v>
      </c>
      <c r="R80" s="2">
        <v>162</v>
      </c>
      <c r="S80" s="2">
        <v>102.20229999999999</v>
      </c>
      <c r="T80" s="2">
        <v>115</v>
      </c>
      <c r="U80" s="2">
        <v>0.71855199999999997</v>
      </c>
      <c r="V80" s="2">
        <v>79</v>
      </c>
      <c r="W80" s="2">
        <v>2014</v>
      </c>
    </row>
    <row r="81" spans="1:23" ht="12.3" x14ac:dyDescent="0.4">
      <c r="A81" s="2" t="s">
        <v>212</v>
      </c>
      <c r="B81" s="2"/>
      <c r="C81" s="2"/>
      <c r="D81" s="2"/>
      <c r="E81" s="2"/>
      <c r="F81" s="2"/>
      <c r="G81" s="2"/>
      <c r="H81" s="2"/>
      <c r="I81" s="2">
        <v>65.392899999999997</v>
      </c>
      <c r="J81" s="2">
        <v>231</v>
      </c>
      <c r="K81" s="2">
        <v>65.33</v>
      </c>
      <c r="L81" s="2">
        <v>233</v>
      </c>
      <c r="M81" s="2">
        <v>112.7548</v>
      </c>
      <c r="N81" s="2">
        <v>30</v>
      </c>
      <c r="O81" s="2">
        <v>113.358</v>
      </c>
      <c r="P81" s="2">
        <v>32</v>
      </c>
      <c r="Q81" s="2">
        <v>105.7337</v>
      </c>
      <c r="R81" s="2">
        <v>197</v>
      </c>
      <c r="S81" s="2">
        <v>104.5234</v>
      </c>
      <c r="T81" s="2">
        <v>167</v>
      </c>
      <c r="U81" s="2">
        <v>0.71770500000000004</v>
      </c>
      <c r="V81" s="2">
        <v>80</v>
      </c>
      <c r="W81" s="2">
        <v>2014</v>
      </c>
    </row>
    <row r="82" spans="1:23" ht="12.3" x14ac:dyDescent="0.4">
      <c r="A82" s="2" t="s">
        <v>173</v>
      </c>
      <c r="B82" s="2"/>
      <c r="C82" s="2"/>
      <c r="D82" s="2"/>
      <c r="E82" s="2"/>
      <c r="F82" s="2"/>
      <c r="G82" s="2"/>
      <c r="H82" s="2"/>
      <c r="I82" s="2">
        <v>65.821399999999997</v>
      </c>
      <c r="J82" s="2">
        <v>210</v>
      </c>
      <c r="K82" s="2">
        <v>65.444900000000004</v>
      </c>
      <c r="L82" s="2">
        <v>221</v>
      </c>
      <c r="M82" s="2">
        <v>110.7397</v>
      </c>
      <c r="N82" s="2">
        <v>53</v>
      </c>
      <c r="O82" s="2">
        <v>111.80029999999999</v>
      </c>
      <c r="P82" s="2">
        <v>45</v>
      </c>
      <c r="Q82" s="2">
        <v>107.2088</v>
      </c>
      <c r="R82" s="2">
        <v>237</v>
      </c>
      <c r="S82" s="2">
        <v>103.4768</v>
      </c>
      <c r="T82" s="2">
        <v>145</v>
      </c>
      <c r="U82" s="2">
        <v>0.70883300000000005</v>
      </c>
      <c r="V82" s="2">
        <v>81</v>
      </c>
      <c r="W82" s="2">
        <v>2014</v>
      </c>
    </row>
    <row r="83" spans="1:23" ht="12.3" x14ac:dyDescent="0.4">
      <c r="A83" s="2" t="s">
        <v>230</v>
      </c>
      <c r="B83" s="2"/>
      <c r="C83" s="2"/>
      <c r="D83" s="2"/>
      <c r="E83" s="2"/>
      <c r="F83" s="2"/>
      <c r="G83" s="2"/>
      <c r="H83" s="2"/>
      <c r="I83" s="2">
        <v>66.562100000000001</v>
      </c>
      <c r="J83" s="2">
        <v>166</v>
      </c>
      <c r="K83" s="2">
        <v>66.288899999999998</v>
      </c>
      <c r="L83" s="2">
        <v>181</v>
      </c>
      <c r="M83" s="2">
        <v>106.0998</v>
      </c>
      <c r="N83" s="2">
        <v>143</v>
      </c>
      <c r="O83" s="2">
        <v>109.2221</v>
      </c>
      <c r="P83" s="2">
        <v>85</v>
      </c>
      <c r="Q83" s="2">
        <v>105.18</v>
      </c>
      <c r="R83" s="2">
        <v>182</v>
      </c>
      <c r="S83" s="2">
        <v>101.12779999999999</v>
      </c>
      <c r="T83" s="2">
        <v>97</v>
      </c>
      <c r="U83" s="2">
        <v>0.70795699999999995</v>
      </c>
      <c r="V83" s="2">
        <v>82</v>
      </c>
      <c r="W83" s="2">
        <v>2014</v>
      </c>
    </row>
    <row r="84" spans="1:23" ht="12.3" x14ac:dyDescent="0.4">
      <c r="A84" s="2" t="s">
        <v>228</v>
      </c>
      <c r="B84" s="2"/>
      <c r="C84" s="2"/>
      <c r="D84" s="2"/>
      <c r="E84" s="2"/>
      <c r="F84" s="2"/>
      <c r="G84" s="2"/>
      <c r="H84" s="2"/>
      <c r="I84" s="2">
        <v>64.994399999999999</v>
      </c>
      <c r="J84" s="2">
        <v>250</v>
      </c>
      <c r="K84" s="2">
        <v>64.205299999999994</v>
      </c>
      <c r="L84" s="2">
        <v>279</v>
      </c>
      <c r="M84" s="2">
        <v>104.2638</v>
      </c>
      <c r="N84" s="2">
        <v>180</v>
      </c>
      <c r="O84" s="2">
        <v>103.8747</v>
      </c>
      <c r="P84" s="2">
        <v>184</v>
      </c>
      <c r="Q84" s="2">
        <v>95.450100000000006</v>
      </c>
      <c r="R84" s="2">
        <v>19</v>
      </c>
      <c r="S84" s="2">
        <v>96.283100000000005</v>
      </c>
      <c r="T84" s="2">
        <v>34</v>
      </c>
      <c r="U84" s="2">
        <v>0.70532099999999998</v>
      </c>
      <c r="V84" s="2">
        <v>83</v>
      </c>
      <c r="W84" s="2">
        <v>2014</v>
      </c>
    </row>
    <row r="85" spans="1:23" ht="12.3" x14ac:dyDescent="0.4">
      <c r="A85" s="2" t="s">
        <v>59</v>
      </c>
      <c r="B85" s="2"/>
      <c r="C85" s="2"/>
      <c r="D85" s="2"/>
      <c r="E85" s="2"/>
      <c r="F85" s="2"/>
      <c r="G85" s="2"/>
      <c r="H85" s="2"/>
      <c r="I85" s="2">
        <v>63.567100000000003</v>
      </c>
      <c r="J85" s="2">
        <v>310</v>
      </c>
      <c r="K85" s="2">
        <v>61.939799999999998</v>
      </c>
      <c r="L85" s="2">
        <v>340</v>
      </c>
      <c r="M85" s="2">
        <v>107.009</v>
      </c>
      <c r="N85" s="2">
        <v>120</v>
      </c>
      <c r="O85" s="2">
        <v>109.7304</v>
      </c>
      <c r="P85" s="2">
        <v>77</v>
      </c>
      <c r="Q85" s="2">
        <v>107.52079999999999</v>
      </c>
      <c r="R85" s="2">
        <v>243</v>
      </c>
      <c r="S85" s="2">
        <v>102.01949999999999</v>
      </c>
      <c r="T85" s="2">
        <v>113</v>
      </c>
      <c r="U85" s="2">
        <v>0.69802600000000004</v>
      </c>
      <c r="V85" s="2">
        <v>84</v>
      </c>
      <c r="W85" s="2">
        <v>2014</v>
      </c>
    </row>
    <row r="86" spans="1:23" ht="12.3" x14ac:dyDescent="0.4">
      <c r="A86" s="2" t="s">
        <v>222</v>
      </c>
      <c r="B86" s="2"/>
      <c r="C86" s="2"/>
      <c r="D86" s="2"/>
      <c r="E86" s="2"/>
      <c r="F86" s="2"/>
      <c r="G86" s="2"/>
      <c r="H86" s="2"/>
      <c r="I86" s="2">
        <v>64.5535</v>
      </c>
      <c r="J86" s="2">
        <v>272</v>
      </c>
      <c r="K86" s="2">
        <v>63.7423</v>
      </c>
      <c r="L86" s="2">
        <v>299</v>
      </c>
      <c r="M86" s="2">
        <v>110.05589999999999</v>
      </c>
      <c r="N86" s="2">
        <v>59</v>
      </c>
      <c r="O86" s="2">
        <v>110.4346</v>
      </c>
      <c r="P86" s="2">
        <v>65</v>
      </c>
      <c r="Q86" s="2">
        <v>102.06610000000001</v>
      </c>
      <c r="R86" s="2">
        <v>107</v>
      </c>
      <c r="S86" s="2">
        <v>102.69459999999999</v>
      </c>
      <c r="T86" s="2">
        <v>130</v>
      </c>
      <c r="U86" s="2">
        <v>0.69754400000000005</v>
      </c>
      <c r="V86" s="2">
        <v>85</v>
      </c>
      <c r="W86" s="2">
        <v>2014</v>
      </c>
    </row>
    <row r="87" spans="1:23" ht="12.3" x14ac:dyDescent="0.4">
      <c r="A87" s="2" t="s">
        <v>110</v>
      </c>
      <c r="B87" s="2"/>
      <c r="C87" s="2"/>
      <c r="D87" s="2"/>
      <c r="E87" s="2"/>
      <c r="F87" s="2"/>
      <c r="G87" s="2"/>
      <c r="H87" s="2"/>
      <c r="I87" s="2">
        <v>64.900599999999997</v>
      </c>
      <c r="J87" s="2">
        <v>253</v>
      </c>
      <c r="K87" s="2">
        <v>63.9358</v>
      </c>
      <c r="L87" s="2">
        <v>293</v>
      </c>
      <c r="M87" s="2">
        <v>105.6281</v>
      </c>
      <c r="N87" s="2">
        <v>157</v>
      </c>
      <c r="O87" s="2">
        <v>102.76779999999999</v>
      </c>
      <c r="P87" s="2">
        <v>206</v>
      </c>
      <c r="Q87" s="2">
        <v>96.106099999999998</v>
      </c>
      <c r="R87" s="2">
        <v>22</v>
      </c>
      <c r="S87" s="2">
        <v>95.598600000000005</v>
      </c>
      <c r="T87" s="2">
        <v>26</v>
      </c>
      <c r="U87" s="2">
        <v>0.69669599999999998</v>
      </c>
      <c r="V87" s="2">
        <v>86</v>
      </c>
      <c r="W87" s="2">
        <v>2014</v>
      </c>
    </row>
    <row r="88" spans="1:23" ht="12.3" x14ac:dyDescent="0.4">
      <c r="A88" s="2" t="s">
        <v>119</v>
      </c>
      <c r="B88" s="2"/>
      <c r="C88" s="2"/>
      <c r="D88" s="2"/>
      <c r="E88" s="2"/>
      <c r="F88" s="2"/>
      <c r="G88" s="2"/>
      <c r="H88" s="2"/>
      <c r="I88" s="2">
        <v>66.099299999999999</v>
      </c>
      <c r="J88" s="2">
        <v>195</v>
      </c>
      <c r="K88" s="2">
        <v>65.868499999999997</v>
      </c>
      <c r="L88" s="2">
        <v>202</v>
      </c>
      <c r="M88" s="2">
        <v>106.6026</v>
      </c>
      <c r="N88" s="2">
        <v>129</v>
      </c>
      <c r="O88" s="2">
        <v>107.8325</v>
      </c>
      <c r="P88" s="2">
        <v>110</v>
      </c>
      <c r="Q88" s="2">
        <v>104.0539</v>
      </c>
      <c r="R88" s="2">
        <v>155</v>
      </c>
      <c r="S88" s="2">
        <v>100.376</v>
      </c>
      <c r="T88" s="2">
        <v>84</v>
      </c>
      <c r="U88" s="2">
        <v>0.69509399999999999</v>
      </c>
      <c r="V88" s="2">
        <v>87</v>
      </c>
      <c r="W88" s="2">
        <v>2014</v>
      </c>
    </row>
    <row r="89" spans="1:23" ht="12.3" x14ac:dyDescent="0.4">
      <c r="A89" s="2" t="s">
        <v>106</v>
      </c>
      <c r="B89" s="2"/>
      <c r="C89" s="2"/>
      <c r="D89" s="2"/>
      <c r="E89" s="2"/>
      <c r="F89" s="2"/>
      <c r="G89" s="2"/>
      <c r="H89" s="2"/>
      <c r="I89" s="2">
        <v>68.251099999999994</v>
      </c>
      <c r="J89" s="2">
        <v>97</v>
      </c>
      <c r="K89" s="2">
        <v>67.419499999999999</v>
      </c>
      <c r="L89" s="2">
        <v>114</v>
      </c>
      <c r="M89" s="2">
        <v>107.74120000000001</v>
      </c>
      <c r="N89" s="2">
        <v>96</v>
      </c>
      <c r="O89" s="2">
        <v>111.19070000000001</v>
      </c>
      <c r="P89" s="2">
        <v>56</v>
      </c>
      <c r="Q89" s="2">
        <v>102.652</v>
      </c>
      <c r="R89" s="2">
        <v>112</v>
      </c>
      <c r="S89" s="2">
        <v>103.5664</v>
      </c>
      <c r="T89" s="2">
        <v>146</v>
      </c>
      <c r="U89" s="2">
        <v>0.69357500000000005</v>
      </c>
      <c r="V89" s="2">
        <v>88</v>
      </c>
      <c r="W89" s="2">
        <v>2014</v>
      </c>
    </row>
    <row r="90" spans="1:23" ht="12.3" x14ac:dyDescent="0.4">
      <c r="A90" s="2" t="s">
        <v>109</v>
      </c>
      <c r="B90" s="2"/>
      <c r="C90" s="2"/>
      <c r="D90" s="2"/>
      <c r="E90" s="2"/>
      <c r="F90" s="2"/>
      <c r="G90" s="2"/>
      <c r="H90" s="2"/>
      <c r="I90" s="2">
        <v>66.547899999999998</v>
      </c>
      <c r="J90" s="2">
        <v>169</v>
      </c>
      <c r="K90" s="2">
        <v>66.806700000000006</v>
      </c>
      <c r="L90" s="2">
        <v>149</v>
      </c>
      <c r="M90" s="2">
        <v>106.43689999999999</v>
      </c>
      <c r="N90" s="2">
        <v>133</v>
      </c>
      <c r="O90" s="2">
        <v>107.3074</v>
      </c>
      <c r="P90" s="2">
        <v>120</v>
      </c>
      <c r="Q90" s="2">
        <v>98.063699999999997</v>
      </c>
      <c r="R90" s="2">
        <v>46</v>
      </c>
      <c r="S90" s="2">
        <v>100.5201</v>
      </c>
      <c r="T90" s="2">
        <v>89</v>
      </c>
      <c r="U90" s="2">
        <v>0.67948600000000003</v>
      </c>
      <c r="V90" s="2">
        <v>89</v>
      </c>
      <c r="W90" s="2">
        <v>2014</v>
      </c>
    </row>
    <row r="91" spans="1:23" ht="12.3" x14ac:dyDescent="0.4">
      <c r="A91" s="2" t="s">
        <v>51</v>
      </c>
      <c r="B91" s="2"/>
      <c r="C91" s="2"/>
      <c r="D91" s="2"/>
      <c r="E91" s="2"/>
      <c r="F91" s="2"/>
      <c r="G91" s="2"/>
      <c r="H91" s="2"/>
      <c r="I91" s="2">
        <v>69.396100000000004</v>
      </c>
      <c r="J91" s="2">
        <v>53</v>
      </c>
      <c r="K91" s="2">
        <v>69.732399999999998</v>
      </c>
      <c r="L91" s="2">
        <v>40</v>
      </c>
      <c r="M91" s="2">
        <v>107.00230000000001</v>
      </c>
      <c r="N91" s="2">
        <v>121</v>
      </c>
      <c r="O91" s="2">
        <v>109.73990000000001</v>
      </c>
      <c r="P91" s="2">
        <v>76</v>
      </c>
      <c r="Q91" s="2">
        <v>103.3519</v>
      </c>
      <c r="R91" s="2">
        <v>132</v>
      </c>
      <c r="S91" s="2">
        <v>102.8779</v>
      </c>
      <c r="T91" s="2">
        <v>134</v>
      </c>
      <c r="U91" s="2">
        <v>0.67755600000000005</v>
      </c>
      <c r="V91" s="2">
        <v>90</v>
      </c>
      <c r="W91" s="2">
        <v>2014</v>
      </c>
    </row>
    <row r="92" spans="1:23" ht="12.3" x14ac:dyDescent="0.4">
      <c r="A92" s="2" t="s">
        <v>219</v>
      </c>
      <c r="B92" s="2"/>
      <c r="C92" s="2"/>
      <c r="D92" s="2"/>
      <c r="E92" s="2"/>
      <c r="F92" s="2"/>
      <c r="G92" s="2"/>
      <c r="H92" s="2"/>
      <c r="I92" s="2">
        <v>64.926000000000002</v>
      </c>
      <c r="J92" s="2">
        <v>251</v>
      </c>
      <c r="K92" s="2">
        <v>64.686700000000002</v>
      </c>
      <c r="L92" s="2">
        <v>261</v>
      </c>
      <c r="M92" s="2">
        <v>105.74930000000001</v>
      </c>
      <c r="N92" s="2">
        <v>152</v>
      </c>
      <c r="O92" s="2">
        <v>105.4777</v>
      </c>
      <c r="P92" s="2">
        <v>154</v>
      </c>
      <c r="Q92" s="2">
        <v>98.537800000000004</v>
      </c>
      <c r="R92" s="2">
        <v>51</v>
      </c>
      <c r="S92" s="2">
        <v>98.983900000000006</v>
      </c>
      <c r="T92" s="2">
        <v>62</v>
      </c>
      <c r="U92" s="2">
        <v>0.67496500000000004</v>
      </c>
      <c r="V92" s="2">
        <v>91</v>
      </c>
      <c r="W92" s="2">
        <v>2014</v>
      </c>
    </row>
    <row r="93" spans="1:23" ht="12.3" x14ac:dyDescent="0.4">
      <c r="A93" s="2" t="s">
        <v>100</v>
      </c>
      <c r="B93" s="2"/>
      <c r="C93" s="2"/>
      <c r="D93" s="2"/>
      <c r="E93" s="2"/>
      <c r="F93" s="2"/>
      <c r="G93" s="2"/>
      <c r="H93" s="2"/>
      <c r="I93" s="2">
        <v>64.720200000000006</v>
      </c>
      <c r="J93" s="2">
        <v>265</v>
      </c>
      <c r="K93" s="2">
        <v>63.644799999999996</v>
      </c>
      <c r="L93" s="2">
        <v>301</v>
      </c>
      <c r="M93" s="2">
        <v>101.6832</v>
      </c>
      <c r="N93" s="2">
        <v>236</v>
      </c>
      <c r="O93" s="2">
        <v>103.68980000000001</v>
      </c>
      <c r="P93" s="2">
        <v>191</v>
      </c>
      <c r="Q93" s="2">
        <v>99.150599999999997</v>
      </c>
      <c r="R93" s="2">
        <v>63</v>
      </c>
      <c r="S93" s="2">
        <v>97.388300000000001</v>
      </c>
      <c r="T93" s="2">
        <v>48</v>
      </c>
      <c r="U93" s="2">
        <v>0.67283300000000001</v>
      </c>
      <c r="V93" s="2">
        <v>92</v>
      </c>
      <c r="W93" s="2">
        <v>2014</v>
      </c>
    </row>
    <row r="94" spans="1:23" ht="12.3" x14ac:dyDescent="0.4">
      <c r="A94" s="2" t="s">
        <v>18</v>
      </c>
      <c r="B94" s="2"/>
      <c r="C94" s="2"/>
      <c r="D94" s="2"/>
      <c r="E94" s="2"/>
      <c r="F94" s="2"/>
      <c r="G94" s="2"/>
      <c r="H94" s="2"/>
      <c r="I94" s="2">
        <v>63.933199999999999</v>
      </c>
      <c r="J94" s="2">
        <v>292</v>
      </c>
      <c r="K94" s="2">
        <v>63.492199999999997</v>
      </c>
      <c r="L94" s="2">
        <v>308</v>
      </c>
      <c r="M94" s="2">
        <v>102.3411</v>
      </c>
      <c r="N94" s="2">
        <v>224</v>
      </c>
      <c r="O94" s="2">
        <v>104.9876</v>
      </c>
      <c r="P94" s="2">
        <v>168</v>
      </c>
      <c r="Q94" s="2">
        <v>102.8995</v>
      </c>
      <c r="R94" s="2">
        <v>120</v>
      </c>
      <c r="S94" s="2">
        <v>98.629199999999997</v>
      </c>
      <c r="T94" s="2">
        <v>57</v>
      </c>
      <c r="U94" s="2">
        <v>0.67226699999999995</v>
      </c>
      <c r="V94" s="2">
        <v>93</v>
      </c>
      <c r="W94" s="2">
        <v>2014</v>
      </c>
    </row>
    <row r="95" spans="1:23" ht="12.3" x14ac:dyDescent="0.4">
      <c r="A95" s="2" t="s">
        <v>216</v>
      </c>
      <c r="B95" s="2"/>
      <c r="C95" s="2"/>
      <c r="D95" s="2"/>
      <c r="E95" s="2"/>
      <c r="F95" s="2"/>
      <c r="G95" s="2"/>
      <c r="H95" s="2"/>
      <c r="I95" s="2">
        <v>65.439400000000006</v>
      </c>
      <c r="J95" s="2">
        <v>229</v>
      </c>
      <c r="K95" s="2">
        <v>65.870800000000003</v>
      </c>
      <c r="L95" s="2">
        <v>201</v>
      </c>
      <c r="M95" s="2">
        <v>109.71250000000001</v>
      </c>
      <c r="N95" s="2">
        <v>63</v>
      </c>
      <c r="O95" s="2">
        <v>112.07</v>
      </c>
      <c r="P95" s="2">
        <v>43</v>
      </c>
      <c r="Q95" s="2">
        <v>105.5886</v>
      </c>
      <c r="R95" s="2">
        <v>191</v>
      </c>
      <c r="S95" s="2">
        <v>105.3027</v>
      </c>
      <c r="T95" s="2">
        <v>180</v>
      </c>
      <c r="U95" s="2">
        <v>0.67178700000000002</v>
      </c>
      <c r="V95" s="2">
        <v>94</v>
      </c>
      <c r="W95" s="2">
        <v>2014</v>
      </c>
    </row>
    <row r="96" spans="1:23" ht="12.3" x14ac:dyDescent="0.4">
      <c r="A96" s="2" t="s">
        <v>131</v>
      </c>
      <c r="B96" s="2"/>
      <c r="C96" s="2"/>
      <c r="D96" s="2"/>
      <c r="E96" s="2"/>
      <c r="F96" s="2"/>
      <c r="G96" s="2"/>
      <c r="H96" s="2"/>
      <c r="I96" s="2">
        <v>68.664500000000004</v>
      </c>
      <c r="J96" s="2">
        <v>75</v>
      </c>
      <c r="K96" s="2">
        <v>68.537199999999999</v>
      </c>
      <c r="L96" s="2">
        <v>70</v>
      </c>
      <c r="M96" s="2">
        <v>107.76900000000001</v>
      </c>
      <c r="N96" s="2">
        <v>95</v>
      </c>
      <c r="O96" s="2">
        <v>110.67359999999999</v>
      </c>
      <c r="P96" s="2">
        <v>63</v>
      </c>
      <c r="Q96" s="2">
        <v>108.0334</v>
      </c>
      <c r="R96" s="2">
        <v>252</v>
      </c>
      <c r="S96" s="2">
        <v>104.2109</v>
      </c>
      <c r="T96" s="2">
        <v>159</v>
      </c>
      <c r="U96" s="2">
        <v>0.66639899999999996</v>
      </c>
      <c r="V96" s="2">
        <v>95</v>
      </c>
      <c r="W96" s="2">
        <v>2014</v>
      </c>
    </row>
    <row r="97" spans="1:23" ht="12.3" x14ac:dyDescent="0.4">
      <c r="A97" s="2" t="s">
        <v>176</v>
      </c>
      <c r="B97" s="2"/>
      <c r="C97" s="2"/>
      <c r="D97" s="2"/>
      <c r="E97" s="2"/>
      <c r="F97" s="2"/>
      <c r="G97" s="2"/>
      <c r="H97" s="2"/>
      <c r="I97" s="2">
        <v>64.368700000000004</v>
      </c>
      <c r="J97" s="2">
        <v>277</v>
      </c>
      <c r="K97" s="2">
        <v>64.843299999999999</v>
      </c>
      <c r="L97" s="2">
        <v>255</v>
      </c>
      <c r="M97" s="2">
        <v>108.74250000000001</v>
      </c>
      <c r="N97" s="2">
        <v>79</v>
      </c>
      <c r="O97" s="2">
        <v>106.4635</v>
      </c>
      <c r="P97" s="2">
        <v>131</v>
      </c>
      <c r="Q97" s="2">
        <v>98.644199999999998</v>
      </c>
      <c r="R97" s="2">
        <v>55</v>
      </c>
      <c r="S97" s="2">
        <v>100.28870000000001</v>
      </c>
      <c r="T97" s="2">
        <v>82</v>
      </c>
      <c r="U97" s="2">
        <v>0.66532500000000006</v>
      </c>
      <c r="V97" s="2">
        <v>96</v>
      </c>
      <c r="W97" s="2">
        <v>2014</v>
      </c>
    </row>
    <row r="98" spans="1:23" ht="12.3" x14ac:dyDescent="0.4">
      <c r="A98" s="2" t="s">
        <v>49</v>
      </c>
      <c r="B98" s="2"/>
      <c r="C98" s="2"/>
      <c r="D98" s="2"/>
      <c r="E98" s="2"/>
      <c r="F98" s="2"/>
      <c r="G98" s="2"/>
      <c r="H98" s="2"/>
      <c r="I98" s="2">
        <v>64.108500000000006</v>
      </c>
      <c r="J98" s="2">
        <v>288</v>
      </c>
      <c r="K98" s="2">
        <v>63.547800000000002</v>
      </c>
      <c r="L98" s="2">
        <v>306</v>
      </c>
      <c r="M98" s="2">
        <v>102.8532</v>
      </c>
      <c r="N98" s="2">
        <v>212</v>
      </c>
      <c r="O98" s="2">
        <v>106.1298</v>
      </c>
      <c r="P98" s="2">
        <v>137</v>
      </c>
      <c r="Q98" s="2">
        <v>103.94450000000001</v>
      </c>
      <c r="R98" s="2">
        <v>149</v>
      </c>
      <c r="S98" s="2">
        <v>100.1322</v>
      </c>
      <c r="T98" s="2">
        <v>76</v>
      </c>
      <c r="U98" s="2">
        <v>0.66127199999999997</v>
      </c>
      <c r="V98" s="2">
        <v>97</v>
      </c>
      <c r="W98" s="2">
        <v>2014</v>
      </c>
    </row>
    <row r="99" spans="1:23" ht="12.3" x14ac:dyDescent="0.4">
      <c r="A99" s="2" t="s">
        <v>226</v>
      </c>
      <c r="B99" s="2">
        <v>15</v>
      </c>
      <c r="C99" s="2"/>
      <c r="D99" s="2"/>
      <c r="E99" s="2"/>
      <c r="F99" s="2"/>
      <c r="G99" s="2"/>
      <c r="H99" s="2"/>
      <c r="I99" s="2">
        <v>60.779000000000003</v>
      </c>
      <c r="J99" s="2">
        <v>343</v>
      </c>
      <c r="K99" s="2">
        <v>61.406500000000001</v>
      </c>
      <c r="L99" s="2">
        <v>342</v>
      </c>
      <c r="M99" s="2">
        <v>104.9603</v>
      </c>
      <c r="N99" s="2">
        <v>169</v>
      </c>
      <c r="O99" s="2">
        <v>103.1066</v>
      </c>
      <c r="P99" s="2">
        <v>199</v>
      </c>
      <c r="Q99" s="2">
        <v>96.497900000000001</v>
      </c>
      <c r="R99" s="2">
        <v>25</v>
      </c>
      <c r="S99" s="2">
        <v>97.296000000000006</v>
      </c>
      <c r="T99" s="2">
        <v>46</v>
      </c>
      <c r="U99" s="2">
        <v>0.66084600000000004</v>
      </c>
      <c r="V99" s="2">
        <v>98</v>
      </c>
      <c r="W99" s="2">
        <v>2014</v>
      </c>
    </row>
    <row r="100" spans="1:23" ht="12.3" x14ac:dyDescent="0.4">
      <c r="A100" s="2" t="s">
        <v>318</v>
      </c>
      <c r="B100" s="2">
        <v>14</v>
      </c>
      <c r="C100" s="3" t="s">
        <v>33</v>
      </c>
      <c r="D100" s="2"/>
      <c r="E100" s="2"/>
      <c r="F100" s="2"/>
      <c r="G100" s="2"/>
      <c r="H100" s="2"/>
      <c r="I100" s="2">
        <v>65.979799999999997</v>
      </c>
      <c r="J100" s="2">
        <v>203</v>
      </c>
      <c r="K100" s="2">
        <v>65.008300000000006</v>
      </c>
      <c r="L100" s="2">
        <v>246</v>
      </c>
      <c r="M100" s="2">
        <v>113.1045</v>
      </c>
      <c r="N100" s="2">
        <v>27</v>
      </c>
      <c r="O100" s="2">
        <v>107.54340000000001</v>
      </c>
      <c r="P100" s="2">
        <v>116</v>
      </c>
      <c r="Q100" s="2">
        <v>97.877099999999999</v>
      </c>
      <c r="R100" s="2">
        <v>43</v>
      </c>
      <c r="S100" s="2">
        <v>101.5988</v>
      </c>
      <c r="T100" s="2">
        <v>103</v>
      </c>
      <c r="U100" s="2">
        <v>0.65789399999999998</v>
      </c>
      <c r="V100" s="2">
        <v>99</v>
      </c>
      <c r="W100" s="2">
        <v>2014</v>
      </c>
    </row>
    <row r="101" spans="1:23" ht="12.3" x14ac:dyDescent="0.4">
      <c r="A101" s="2" t="s">
        <v>213</v>
      </c>
      <c r="B101" s="2"/>
      <c r="C101" s="2"/>
      <c r="D101" s="2"/>
      <c r="E101" s="2"/>
      <c r="F101" s="2"/>
      <c r="G101" s="2"/>
      <c r="H101" s="2"/>
      <c r="I101" s="2">
        <v>67.664599999999993</v>
      </c>
      <c r="J101" s="2">
        <v>120</v>
      </c>
      <c r="K101" s="2">
        <v>68.140699999999995</v>
      </c>
      <c r="L101" s="2">
        <v>87</v>
      </c>
      <c r="M101" s="2">
        <v>107.9813</v>
      </c>
      <c r="N101" s="2">
        <v>92</v>
      </c>
      <c r="O101" s="2">
        <v>110.099</v>
      </c>
      <c r="P101" s="2">
        <v>70</v>
      </c>
      <c r="Q101" s="2">
        <v>99.233400000000003</v>
      </c>
      <c r="R101" s="2">
        <v>65</v>
      </c>
      <c r="S101" s="2">
        <v>104.0256</v>
      </c>
      <c r="T101" s="2">
        <v>154</v>
      </c>
      <c r="U101" s="2">
        <v>0.65758300000000003</v>
      </c>
      <c r="V101" s="2">
        <v>100</v>
      </c>
      <c r="W101" s="2">
        <v>2014</v>
      </c>
    </row>
    <row r="102" spans="1:23" ht="12.3" x14ac:dyDescent="0.4">
      <c r="A102" s="2" t="s">
        <v>56</v>
      </c>
      <c r="B102" s="2"/>
      <c r="C102" s="2"/>
      <c r="D102" s="2"/>
      <c r="E102" s="2"/>
      <c r="F102" s="2"/>
      <c r="G102" s="2"/>
      <c r="H102" s="2"/>
      <c r="I102" s="2">
        <v>64.116699999999994</v>
      </c>
      <c r="J102" s="2">
        <v>286</v>
      </c>
      <c r="K102" s="2">
        <v>64.117500000000007</v>
      </c>
      <c r="L102" s="2">
        <v>283</v>
      </c>
      <c r="M102" s="2">
        <v>110.1211</v>
      </c>
      <c r="N102" s="2">
        <v>58</v>
      </c>
      <c r="O102" s="2">
        <v>112.136</v>
      </c>
      <c r="P102" s="2">
        <v>41</v>
      </c>
      <c r="Q102" s="2">
        <v>108.5455</v>
      </c>
      <c r="R102" s="2">
        <v>266</v>
      </c>
      <c r="S102" s="2">
        <v>106.2261</v>
      </c>
      <c r="T102" s="2">
        <v>203</v>
      </c>
      <c r="U102" s="2">
        <v>0.65081599999999995</v>
      </c>
      <c r="V102" s="2">
        <v>101</v>
      </c>
      <c r="W102" s="2">
        <v>2014</v>
      </c>
    </row>
    <row r="103" spans="1:23" ht="12.3" x14ac:dyDescent="0.4">
      <c r="A103" s="2" t="s">
        <v>121</v>
      </c>
      <c r="B103" s="2"/>
      <c r="C103" s="2"/>
      <c r="D103" s="2"/>
      <c r="E103" s="2"/>
      <c r="F103" s="2"/>
      <c r="G103" s="2"/>
      <c r="H103" s="2"/>
      <c r="I103" s="2">
        <v>68.111099999999993</v>
      </c>
      <c r="J103" s="2">
        <v>103</v>
      </c>
      <c r="K103" s="2">
        <v>68.888000000000005</v>
      </c>
      <c r="L103" s="2">
        <v>60</v>
      </c>
      <c r="M103" s="2">
        <v>103.9194</v>
      </c>
      <c r="N103" s="2">
        <v>192</v>
      </c>
      <c r="O103" s="2">
        <v>106.7248</v>
      </c>
      <c r="P103" s="2">
        <v>127</v>
      </c>
      <c r="Q103" s="2">
        <v>103.4967</v>
      </c>
      <c r="R103" s="2">
        <v>138</v>
      </c>
      <c r="S103" s="2">
        <v>101.23309999999999</v>
      </c>
      <c r="T103" s="2">
        <v>99</v>
      </c>
      <c r="U103" s="2">
        <v>0.647374</v>
      </c>
      <c r="V103" s="2">
        <v>102</v>
      </c>
      <c r="W103" s="2">
        <v>2014</v>
      </c>
    </row>
    <row r="104" spans="1:23" ht="12.3" x14ac:dyDescent="0.4">
      <c r="A104" s="2" t="s">
        <v>149</v>
      </c>
      <c r="B104" s="2"/>
      <c r="C104" s="2"/>
      <c r="D104" s="2"/>
      <c r="E104" s="2"/>
      <c r="F104" s="2"/>
      <c r="G104" s="2"/>
      <c r="H104" s="2"/>
      <c r="I104" s="2">
        <v>68.167199999999994</v>
      </c>
      <c r="J104" s="2">
        <v>102</v>
      </c>
      <c r="K104" s="2">
        <v>66.795900000000003</v>
      </c>
      <c r="L104" s="2">
        <v>150</v>
      </c>
      <c r="M104" s="2">
        <v>108.9265</v>
      </c>
      <c r="N104" s="2">
        <v>76</v>
      </c>
      <c r="O104" s="2">
        <v>111.4866</v>
      </c>
      <c r="P104" s="2">
        <v>50</v>
      </c>
      <c r="Q104" s="2">
        <v>108.95959999999999</v>
      </c>
      <c r="R104" s="2">
        <v>274</v>
      </c>
      <c r="S104" s="2">
        <v>105.7582</v>
      </c>
      <c r="T104" s="2">
        <v>195</v>
      </c>
      <c r="U104" s="2">
        <v>0.64716899999999999</v>
      </c>
      <c r="V104" s="2">
        <v>103</v>
      </c>
      <c r="W104" s="2">
        <v>2014</v>
      </c>
    </row>
    <row r="105" spans="1:23" ht="12.3" x14ac:dyDescent="0.4">
      <c r="A105" s="2" t="s">
        <v>267</v>
      </c>
      <c r="B105" s="2"/>
      <c r="C105" s="2"/>
      <c r="D105" s="2"/>
      <c r="E105" s="2"/>
      <c r="F105" s="2"/>
      <c r="G105" s="2"/>
      <c r="H105" s="2"/>
      <c r="I105" s="2">
        <v>65.9649</v>
      </c>
      <c r="J105" s="2">
        <v>204</v>
      </c>
      <c r="K105" s="2">
        <v>66.624899999999997</v>
      </c>
      <c r="L105" s="2">
        <v>163</v>
      </c>
      <c r="M105" s="2">
        <v>105.9207</v>
      </c>
      <c r="N105" s="2">
        <v>147</v>
      </c>
      <c r="O105" s="2">
        <v>105.4585</v>
      </c>
      <c r="P105" s="2">
        <v>156</v>
      </c>
      <c r="Q105" s="2">
        <v>101.60939999999999</v>
      </c>
      <c r="R105" s="2">
        <v>101</v>
      </c>
      <c r="S105" s="2">
        <v>100.327</v>
      </c>
      <c r="T105" s="2">
        <v>83</v>
      </c>
      <c r="U105" s="2">
        <v>0.63960499999999998</v>
      </c>
      <c r="V105" s="2">
        <v>104</v>
      </c>
      <c r="W105" s="2">
        <v>2014</v>
      </c>
    </row>
    <row r="106" spans="1:23" ht="12.3" x14ac:dyDescent="0.4">
      <c r="A106" s="2" t="s">
        <v>174</v>
      </c>
      <c r="B106" s="2">
        <v>13</v>
      </c>
      <c r="C106" s="2"/>
      <c r="D106" s="2"/>
      <c r="E106" s="2"/>
      <c r="F106" s="2"/>
      <c r="G106" s="2"/>
      <c r="H106" s="2"/>
      <c r="I106" s="2">
        <v>70.8446</v>
      </c>
      <c r="J106" s="2">
        <v>25</v>
      </c>
      <c r="K106" s="2">
        <v>72.144199999999998</v>
      </c>
      <c r="L106" s="2">
        <v>10</v>
      </c>
      <c r="M106" s="2">
        <v>111.7659</v>
      </c>
      <c r="N106" s="2">
        <v>42</v>
      </c>
      <c r="O106" s="2">
        <v>110.90470000000001</v>
      </c>
      <c r="P106" s="2">
        <v>60</v>
      </c>
      <c r="Q106" s="2">
        <v>105.6623</v>
      </c>
      <c r="R106" s="2">
        <v>194</v>
      </c>
      <c r="S106" s="2">
        <v>105.6262</v>
      </c>
      <c r="T106" s="2">
        <v>192</v>
      </c>
      <c r="U106" s="2">
        <v>0.63663800000000004</v>
      </c>
      <c r="V106" s="2">
        <v>105</v>
      </c>
      <c r="W106" s="2">
        <v>2014</v>
      </c>
    </row>
    <row r="107" spans="1:23" ht="12.3" x14ac:dyDescent="0.4">
      <c r="A107" s="2" t="s">
        <v>258</v>
      </c>
      <c r="B107" s="2"/>
      <c r="C107" s="2"/>
      <c r="D107" s="2"/>
      <c r="E107" s="2"/>
      <c r="F107" s="2"/>
      <c r="G107" s="2"/>
      <c r="H107" s="2"/>
      <c r="I107" s="2">
        <v>67.337800000000001</v>
      </c>
      <c r="J107" s="2">
        <v>133</v>
      </c>
      <c r="K107" s="2">
        <v>66.164500000000004</v>
      </c>
      <c r="L107" s="2">
        <v>187</v>
      </c>
      <c r="M107" s="2">
        <v>100.24939999999999</v>
      </c>
      <c r="N107" s="2">
        <v>259</v>
      </c>
      <c r="O107" s="2">
        <v>103.7531</v>
      </c>
      <c r="P107" s="2">
        <v>188</v>
      </c>
      <c r="Q107" s="2">
        <v>100.8689</v>
      </c>
      <c r="R107" s="2">
        <v>90</v>
      </c>
      <c r="S107" s="2">
        <v>98.893299999999996</v>
      </c>
      <c r="T107" s="2">
        <v>61</v>
      </c>
      <c r="U107" s="2">
        <v>0.63452699999999995</v>
      </c>
      <c r="V107" s="2">
        <v>106</v>
      </c>
      <c r="W107" s="2">
        <v>2014</v>
      </c>
    </row>
    <row r="108" spans="1:23" ht="12.3" x14ac:dyDescent="0.4">
      <c r="A108" s="2" t="s">
        <v>169</v>
      </c>
      <c r="B108" s="2"/>
      <c r="C108" s="2"/>
      <c r="D108" s="2"/>
      <c r="E108" s="2"/>
      <c r="F108" s="2"/>
      <c r="G108" s="2"/>
      <c r="H108" s="2"/>
      <c r="I108" s="2">
        <v>65.168099999999995</v>
      </c>
      <c r="J108" s="2">
        <v>242</v>
      </c>
      <c r="K108" s="2">
        <v>64.556200000000004</v>
      </c>
      <c r="L108" s="2">
        <v>266</v>
      </c>
      <c r="M108" s="2">
        <v>102.29130000000001</v>
      </c>
      <c r="N108" s="2">
        <v>226</v>
      </c>
      <c r="O108" s="2">
        <v>105.05629999999999</v>
      </c>
      <c r="P108" s="2">
        <v>165</v>
      </c>
      <c r="Q108" s="2">
        <v>103.1794</v>
      </c>
      <c r="R108" s="2">
        <v>127</v>
      </c>
      <c r="S108" s="2">
        <v>100.1939</v>
      </c>
      <c r="T108" s="2">
        <v>79</v>
      </c>
      <c r="U108" s="2">
        <v>0.632969</v>
      </c>
      <c r="V108" s="2">
        <v>107</v>
      </c>
      <c r="W108" s="2">
        <v>2014</v>
      </c>
    </row>
    <row r="109" spans="1:23" ht="12.3" x14ac:dyDescent="0.4">
      <c r="A109" s="2" t="s">
        <v>186</v>
      </c>
      <c r="B109" s="2"/>
      <c r="C109" s="2"/>
      <c r="D109" s="2"/>
      <c r="E109" s="2"/>
      <c r="F109" s="2"/>
      <c r="G109" s="2"/>
      <c r="H109" s="2"/>
      <c r="I109" s="2">
        <v>68.426199999999994</v>
      </c>
      <c r="J109" s="2">
        <v>88</v>
      </c>
      <c r="K109" s="2">
        <v>68.4392</v>
      </c>
      <c r="L109" s="2">
        <v>74</v>
      </c>
      <c r="M109" s="2">
        <v>114.6319</v>
      </c>
      <c r="N109" s="2">
        <v>16</v>
      </c>
      <c r="O109" s="2">
        <v>114.61450000000001</v>
      </c>
      <c r="P109" s="2">
        <v>21</v>
      </c>
      <c r="Q109" s="2">
        <v>107.02809999999999</v>
      </c>
      <c r="R109" s="2">
        <v>230</v>
      </c>
      <c r="S109" s="2">
        <v>109.3404</v>
      </c>
      <c r="T109" s="2">
        <v>262</v>
      </c>
      <c r="U109" s="2">
        <v>0.63221700000000003</v>
      </c>
      <c r="V109" s="2">
        <v>108</v>
      </c>
      <c r="W109" s="2">
        <v>2014</v>
      </c>
    </row>
    <row r="110" spans="1:23" ht="12.3" x14ac:dyDescent="0.4">
      <c r="A110" s="2" t="s">
        <v>244</v>
      </c>
      <c r="B110" s="2"/>
      <c r="C110" s="2"/>
      <c r="D110" s="2"/>
      <c r="E110" s="2"/>
      <c r="F110" s="2"/>
      <c r="G110" s="2"/>
      <c r="H110" s="2"/>
      <c r="I110" s="2">
        <v>69.555899999999994</v>
      </c>
      <c r="J110" s="2">
        <v>50</v>
      </c>
      <c r="K110" s="2">
        <v>68.931600000000003</v>
      </c>
      <c r="L110" s="2">
        <v>59</v>
      </c>
      <c r="M110" s="2">
        <v>114.3974</v>
      </c>
      <c r="N110" s="2">
        <v>17</v>
      </c>
      <c r="O110" s="2">
        <v>112.1404</v>
      </c>
      <c r="P110" s="2">
        <v>40</v>
      </c>
      <c r="Q110" s="2">
        <v>106.94929999999999</v>
      </c>
      <c r="R110" s="2">
        <v>226</v>
      </c>
      <c r="S110" s="2">
        <v>107.07429999999999</v>
      </c>
      <c r="T110" s="2">
        <v>217</v>
      </c>
      <c r="U110" s="2">
        <v>0.62986500000000001</v>
      </c>
      <c r="V110" s="2">
        <v>109</v>
      </c>
      <c r="W110" s="2">
        <v>2014</v>
      </c>
    </row>
    <row r="111" spans="1:23" ht="12.3" x14ac:dyDescent="0.4">
      <c r="A111" s="2" t="s">
        <v>283</v>
      </c>
      <c r="B111" s="2"/>
      <c r="C111" s="2"/>
      <c r="D111" s="2"/>
      <c r="E111" s="2"/>
      <c r="F111" s="2"/>
      <c r="G111" s="2"/>
      <c r="H111" s="2"/>
      <c r="I111" s="2">
        <v>67.836200000000005</v>
      </c>
      <c r="J111" s="2">
        <v>111</v>
      </c>
      <c r="K111" s="2">
        <v>66.768299999999996</v>
      </c>
      <c r="L111" s="2">
        <v>151</v>
      </c>
      <c r="M111" s="2">
        <v>112.3672</v>
      </c>
      <c r="N111" s="2">
        <v>34</v>
      </c>
      <c r="O111" s="2">
        <v>111.5836</v>
      </c>
      <c r="P111" s="2">
        <v>48</v>
      </c>
      <c r="Q111" s="2">
        <v>107.0586</v>
      </c>
      <c r="R111" s="2">
        <v>232</v>
      </c>
      <c r="S111" s="2">
        <v>106.85980000000001</v>
      </c>
      <c r="T111" s="2">
        <v>215</v>
      </c>
      <c r="U111" s="2">
        <v>0.62185999999999997</v>
      </c>
      <c r="V111" s="2">
        <v>110</v>
      </c>
      <c r="W111" s="2">
        <v>2014</v>
      </c>
    </row>
    <row r="112" spans="1:23" ht="12.3" x14ac:dyDescent="0.4">
      <c r="A112" s="2" t="s">
        <v>92</v>
      </c>
      <c r="B112" s="2"/>
      <c r="C112" s="2"/>
      <c r="D112" s="2"/>
      <c r="E112" s="2"/>
      <c r="F112" s="2"/>
      <c r="G112" s="2"/>
      <c r="H112" s="2"/>
      <c r="I112" s="2">
        <v>64.787599999999998</v>
      </c>
      <c r="J112" s="2">
        <v>257</v>
      </c>
      <c r="K112" s="2">
        <v>65.737799999999993</v>
      </c>
      <c r="L112" s="2">
        <v>207</v>
      </c>
      <c r="M112" s="2">
        <v>101.4967</v>
      </c>
      <c r="N112" s="2">
        <v>239</v>
      </c>
      <c r="O112" s="2">
        <v>103.9962</v>
      </c>
      <c r="P112" s="2">
        <v>182</v>
      </c>
      <c r="Q112" s="2">
        <v>102.1632</v>
      </c>
      <c r="R112" s="2">
        <v>109</v>
      </c>
      <c r="S112" s="2">
        <v>99.683300000000003</v>
      </c>
      <c r="T112" s="2">
        <v>71</v>
      </c>
      <c r="U112" s="2">
        <v>0.61941999999999997</v>
      </c>
      <c r="V112" s="2">
        <v>111</v>
      </c>
      <c r="W112" s="2">
        <v>2014</v>
      </c>
    </row>
    <row r="113" spans="1:23" ht="12.3" x14ac:dyDescent="0.4">
      <c r="A113" s="2" t="s">
        <v>290</v>
      </c>
      <c r="B113" s="2"/>
      <c r="C113" s="2"/>
      <c r="D113" s="2"/>
      <c r="E113" s="2"/>
      <c r="F113" s="2"/>
      <c r="G113" s="2"/>
      <c r="H113" s="2"/>
      <c r="I113" s="2">
        <v>67.218999999999994</v>
      </c>
      <c r="J113" s="2">
        <v>137</v>
      </c>
      <c r="K113" s="2">
        <v>66.601600000000005</v>
      </c>
      <c r="L113" s="2">
        <v>166</v>
      </c>
      <c r="M113" s="2">
        <v>108.9521</v>
      </c>
      <c r="N113" s="2">
        <v>75</v>
      </c>
      <c r="O113" s="2">
        <v>108.0701</v>
      </c>
      <c r="P113" s="2">
        <v>102</v>
      </c>
      <c r="Q113" s="2">
        <v>104.748</v>
      </c>
      <c r="R113" s="2">
        <v>169</v>
      </c>
      <c r="S113" s="2">
        <v>103.6198</v>
      </c>
      <c r="T113" s="2">
        <v>147</v>
      </c>
      <c r="U113" s="2">
        <v>0.61859500000000001</v>
      </c>
      <c r="V113" s="2">
        <v>112</v>
      </c>
      <c r="W113" s="2">
        <v>2014</v>
      </c>
    </row>
    <row r="114" spans="1:23" ht="12.3" x14ac:dyDescent="0.4">
      <c r="A114" s="2" t="s">
        <v>162</v>
      </c>
      <c r="B114" s="2">
        <v>14</v>
      </c>
      <c r="C114" s="2"/>
      <c r="D114" s="2"/>
      <c r="E114" s="2"/>
      <c r="F114" s="2"/>
      <c r="G114" s="2"/>
      <c r="H114" s="2"/>
      <c r="I114" s="2">
        <v>66.6096</v>
      </c>
      <c r="J114" s="2">
        <v>165</v>
      </c>
      <c r="K114" s="2">
        <v>66.876199999999997</v>
      </c>
      <c r="L114" s="2">
        <v>144</v>
      </c>
      <c r="M114" s="2">
        <v>106.31789999999999</v>
      </c>
      <c r="N114" s="2">
        <v>136</v>
      </c>
      <c r="O114" s="2">
        <v>106.6874</v>
      </c>
      <c r="P114" s="2">
        <v>128</v>
      </c>
      <c r="Q114" s="2">
        <v>100.5727</v>
      </c>
      <c r="R114" s="2">
        <v>84</v>
      </c>
      <c r="S114" s="2">
        <v>102.3065</v>
      </c>
      <c r="T114" s="2">
        <v>118</v>
      </c>
      <c r="U114" s="2">
        <v>0.61826599999999998</v>
      </c>
      <c r="V114" s="2">
        <v>113</v>
      </c>
      <c r="W114" s="2">
        <v>2014</v>
      </c>
    </row>
    <row r="115" spans="1:23" ht="12.3" x14ac:dyDescent="0.4">
      <c r="A115" s="2" t="s">
        <v>104</v>
      </c>
      <c r="B115" s="2"/>
      <c r="C115" s="2"/>
      <c r="D115" s="2"/>
      <c r="E115" s="2"/>
      <c r="F115" s="2"/>
      <c r="G115" s="2"/>
      <c r="H115" s="2"/>
      <c r="I115" s="2">
        <v>63.128399999999999</v>
      </c>
      <c r="J115" s="2">
        <v>321</v>
      </c>
      <c r="K115" s="2">
        <v>63.562600000000003</v>
      </c>
      <c r="L115" s="2">
        <v>305</v>
      </c>
      <c r="M115" s="2">
        <v>110.2983</v>
      </c>
      <c r="N115" s="2">
        <v>57</v>
      </c>
      <c r="O115" s="2">
        <v>108.8236</v>
      </c>
      <c r="P115" s="2">
        <v>91</v>
      </c>
      <c r="Q115" s="2">
        <v>104.0252</v>
      </c>
      <c r="R115" s="2">
        <v>152</v>
      </c>
      <c r="S115" s="2">
        <v>104.62690000000001</v>
      </c>
      <c r="T115" s="2">
        <v>169</v>
      </c>
      <c r="U115" s="2">
        <v>0.61117600000000005</v>
      </c>
      <c r="V115" s="2">
        <v>114</v>
      </c>
      <c r="W115" s="2">
        <v>2014</v>
      </c>
    </row>
    <row r="116" spans="1:23" ht="12.3" x14ac:dyDescent="0.4">
      <c r="A116" s="2" t="s">
        <v>117</v>
      </c>
      <c r="B116" s="2">
        <v>14</v>
      </c>
      <c r="C116" s="2"/>
      <c r="D116" s="2"/>
      <c r="E116" s="2"/>
      <c r="F116" s="2"/>
      <c r="G116" s="2"/>
      <c r="H116" s="2"/>
      <c r="I116" s="2">
        <v>70.989800000000002</v>
      </c>
      <c r="J116" s="2">
        <v>21</v>
      </c>
      <c r="K116" s="2">
        <v>69.887100000000004</v>
      </c>
      <c r="L116" s="2">
        <v>36</v>
      </c>
      <c r="M116" s="2">
        <v>110.0513</v>
      </c>
      <c r="N116" s="2">
        <v>60</v>
      </c>
      <c r="O116" s="2">
        <v>109.87130000000001</v>
      </c>
      <c r="P116" s="2">
        <v>74</v>
      </c>
      <c r="Q116" s="2">
        <v>104.9101</v>
      </c>
      <c r="R116" s="2">
        <v>175</v>
      </c>
      <c r="S116" s="2">
        <v>105.6575</v>
      </c>
      <c r="T116" s="2">
        <v>193</v>
      </c>
      <c r="U116" s="2">
        <v>0.61057499999999998</v>
      </c>
      <c r="V116" s="2">
        <v>115</v>
      </c>
      <c r="W116" s="2">
        <v>2014</v>
      </c>
    </row>
    <row r="117" spans="1:23" ht="12.3" x14ac:dyDescent="0.4">
      <c r="A117" s="2" t="s">
        <v>61</v>
      </c>
      <c r="B117" s="2"/>
      <c r="C117" s="2"/>
      <c r="D117" s="2"/>
      <c r="E117" s="2"/>
      <c r="F117" s="2"/>
      <c r="G117" s="2"/>
      <c r="H117" s="2"/>
      <c r="I117" s="2">
        <v>67.403999999999996</v>
      </c>
      <c r="J117" s="2">
        <v>129</v>
      </c>
      <c r="K117" s="2">
        <v>68.076700000000002</v>
      </c>
      <c r="L117" s="2">
        <v>93</v>
      </c>
      <c r="M117" s="2">
        <v>102.79989999999999</v>
      </c>
      <c r="N117" s="2">
        <v>214</v>
      </c>
      <c r="O117" s="2">
        <v>105.7657</v>
      </c>
      <c r="P117" s="2">
        <v>145</v>
      </c>
      <c r="Q117" s="2">
        <v>105.3278</v>
      </c>
      <c r="R117" s="2">
        <v>185</v>
      </c>
      <c r="S117" s="2">
        <v>101.8267</v>
      </c>
      <c r="T117" s="2">
        <v>108</v>
      </c>
      <c r="U117" s="2">
        <v>0.60741699999999998</v>
      </c>
      <c r="V117" s="2">
        <v>116</v>
      </c>
      <c r="W117" s="2">
        <v>2014</v>
      </c>
    </row>
    <row r="118" spans="1:23" ht="12.3" x14ac:dyDescent="0.4">
      <c r="A118" s="2" t="s">
        <v>93</v>
      </c>
      <c r="B118" s="2"/>
      <c r="C118" s="2"/>
      <c r="D118" s="2"/>
      <c r="E118" s="2"/>
      <c r="F118" s="2"/>
      <c r="G118" s="2"/>
      <c r="H118" s="2"/>
      <c r="I118" s="2">
        <v>60.331499999999998</v>
      </c>
      <c r="J118" s="2">
        <v>348</v>
      </c>
      <c r="K118" s="2">
        <v>60.931899999999999</v>
      </c>
      <c r="L118" s="2">
        <v>346</v>
      </c>
      <c r="M118" s="2">
        <v>105.2881</v>
      </c>
      <c r="N118" s="2">
        <v>162</v>
      </c>
      <c r="O118" s="2">
        <v>104.7839</v>
      </c>
      <c r="P118" s="2">
        <v>171</v>
      </c>
      <c r="Q118" s="2">
        <v>101.2337</v>
      </c>
      <c r="R118" s="2">
        <v>98</v>
      </c>
      <c r="S118" s="2">
        <v>100.9804</v>
      </c>
      <c r="T118" s="2">
        <v>96</v>
      </c>
      <c r="U118" s="2">
        <v>0.60472800000000004</v>
      </c>
      <c r="V118" s="2">
        <v>117</v>
      </c>
      <c r="W118" s="2">
        <v>2014</v>
      </c>
    </row>
    <row r="119" spans="1:23" ht="12.3" x14ac:dyDescent="0.4">
      <c r="A119" s="2" t="s">
        <v>134</v>
      </c>
      <c r="B119" s="2"/>
      <c r="C119" s="2"/>
      <c r="D119" s="2"/>
      <c r="E119" s="2"/>
      <c r="F119" s="2"/>
      <c r="G119" s="2"/>
      <c r="H119" s="2"/>
      <c r="I119" s="2">
        <v>67.392200000000003</v>
      </c>
      <c r="J119" s="2">
        <v>131</v>
      </c>
      <c r="K119" s="2">
        <v>67.276499999999999</v>
      </c>
      <c r="L119" s="2">
        <v>123</v>
      </c>
      <c r="M119" s="2">
        <v>113.5</v>
      </c>
      <c r="N119" s="2">
        <v>22</v>
      </c>
      <c r="O119" s="2">
        <v>112.9543</v>
      </c>
      <c r="P119" s="2">
        <v>36</v>
      </c>
      <c r="Q119" s="2">
        <v>105.6413</v>
      </c>
      <c r="R119" s="2">
        <v>193</v>
      </c>
      <c r="S119" s="2">
        <v>109.05370000000001</v>
      </c>
      <c r="T119" s="2">
        <v>257</v>
      </c>
      <c r="U119" s="2">
        <v>0.59968399999999999</v>
      </c>
      <c r="V119" s="2">
        <v>118</v>
      </c>
      <c r="W119" s="2">
        <v>2014</v>
      </c>
    </row>
    <row r="120" spans="1:23" ht="12.3" x14ac:dyDescent="0.4">
      <c r="A120" s="2" t="s">
        <v>151</v>
      </c>
      <c r="B120" s="2"/>
      <c r="C120" s="2"/>
      <c r="D120" s="2"/>
      <c r="E120" s="2"/>
      <c r="F120" s="2"/>
      <c r="G120" s="2"/>
      <c r="H120" s="2"/>
      <c r="I120" s="2">
        <v>66.072100000000006</v>
      </c>
      <c r="J120" s="2">
        <v>197</v>
      </c>
      <c r="K120" s="2">
        <v>65.544399999999996</v>
      </c>
      <c r="L120" s="2">
        <v>218</v>
      </c>
      <c r="M120" s="2">
        <v>106.0352</v>
      </c>
      <c r="N120" s="2">
        <v>145</v>
      </c>
      <c r="O120" s="2">
        <v>107.3205</v>
      </c>
      <c r="P120" s="2">
        <v>119</v>
      </c>
      <c r="Q120" s="2">
        <v>99.633399999999995</v>
      </c>
      <c r="R120" s="2">
        <v>70</v>
      </c>
      <c r="S120" s="2">
        <v>103.7</v>
      </c>
      <c r="T120" s="2">
        <v>150</v>
      </c>
      <c r="U120" s="2">
        <v>0.59740199999999999</v>
      </c>
      <c r="V120" s="2">
        <v>119</v>
      </c>
      <c r="W120" s="2">
        <v>2014</v>
      </c>
    </row>
    <row r="121" spans="1:23" ht="12.3" x14ac:dyDescent="0.4">
      <c r="A121" s="2" t="s">
        <v>111</v>
      </c>
      <c r="B121" s="2"/>
      <c r="C121" s="2"/>
      <c r="D121" s="2"/>
      <c r="E121" s="2"/>
      <c r="F121" s="2"/>
      <c r="G121" s="2"/>
      <c r="H121" s="2"/>
      <c r="I121" s="2">
        <v>64.346699999999998</v>
      </c>
      <c r="J121" s="2">
        <v>279</v>
      </c>
      <c r="K121" s="2">
        <v>63.347900000000003</v>
      </c>
      <c r="L121" s="2">
        <v>311</v>
      </c>
      <c r="M121" s="2">
        <v>99.569400000000002</v>
      </c>
      <c r="N121" s="2">
        <v>271</v>
      </c>
      <c r="O121" s="2">
        <v>102.56789999999999</v>
      </c>
      <c r="P121" s="2">
        <v>211</v>
      </c>
      <c r="Q121" s="2">
        <v>101.27500000000001</v>
      </c>
      <c r="R121" s="2">
        <v>99</v>
      </c>
      <c r="S121" s="2">
        <v>99.138400000000004</v>
      </c>
      <c r="T121" s="2">
        <v>64</v>
      </c>
      <c r="U121" s="2">
        <v>0.59654499999999999</v>
      </c>
      <c r="V121" s="2">
        <v>120</v>
      </c>
      <c r="W121" s="2">
        <v>2014</v>
      </c>
    </row>
    <row r="122" spans="1:23" ht="12.3" x14ac:dyDescent="0.4">
      <c r="A122" s="2" t="s">
        <v>17</v>
      </c>
      <c r="B122" s="2"/>
      <c r="C122" s="2"/>
      <c r="D122" s="2"/>
      <c r="E122" s="2"/>
      <c r="F122" s="2"/>
      <c r="G122" s="2"/>
      <c r="H122" s="2"/>
      <c r="I122" s="2">
        <v>66.855900000000005</v>
      </c>
      <c r="J122" s="2">
        <v>155</v>
      </c>
      <c r="K122" s="2">
        <v>66.701300000000003</v>
      </c>
      <c r="L122" s="2">
        <v>158</v>
      </c>
      <c r="M122" s="2">
        <v>102.24630000000001</v>
      </c>
      <c r="N122" s="2">
        <v>228</v>
      </c>
      <c r="O122" s="2">
        <v>105.91679999999999</v>
      </c>
      <c r="P122" s="2">
        <v>140</v>
      </c>
      <c r="Q122" s="2">
        <v>104.6024</v>
      </c>
      <c r="R122" s="2">
        <v>167</v>
      </c>
      <c r="S122" s="2">
        <v>102.4409</v>
      </c>
      <c r="T122" s="2">
        <v>123</v>
      </c>
      <c r="U122" s="2">
        <v>0.594773</v>
      </c>
      <c r="V122" s="2">
        <v>121</v>
      </c>
      <c r="W122" s="2">
        <v>2014</v>
      </c>
    </row>
    <row r="123" spans="1:23" ht="12.3" x14ac:dyDescent="0.4">
      <c r="A123" s="2" t="s">
        <v>331</v>
      </c>
      <c r="B123" s="2"/>
      <c r="C123" s="2"/>
      <c r="D123" s="2"/>
      <c r="E123" s="2"/>
      <c r="F123" s="2"/>
      <c r="G123" s="2"/>
      <c r="H123" s="2"/>
      <c r="I123" s="2">
        <v>65.061199999999999</v>
      </c>
      <c r="J123" s="2">
        <v>247</v>
      </c>
      <c r="K123" s="2">
        <v>64.574299999999994</v>
      </c>
      <c r="L123" s="2">
        <v>265</v>
      </c>
      <c r="M123" s="2">
        <v>97.276300000000006</v>
      </c>
      <c r="N123" s="2">
        <v>299</v>
      </c>
      <c r="O123" s="2">
        <v>97.496600000000001</v>
      </c>
      <c r="P123" s="2">
        <v>293</v>
      </c>
      <c r="Q123" s="2">
        <v>94.762900000000002</v>
      </c>
      <c r="R123" s="2">
        <v>16</v>
      </c>
      <c r="S123" s="2">
        <v>94.306700000000006</v>
      </c>
      <c r="T123" s="2">
        <v>19</v>
      </c>
      <c r="U123" s="2">
        <v>0.59448800000000002</v>
      </c>
      <c r="V123" s="2">
        <v>122</v>
      </c>
      <c r="W123" s="2">
        <v>2014</v>
      </c>
    </row>
    <row r="124" spans="1:23" ht="12.3" x14ac:dyDescent="0.4">
      <c r="A124" s="2" t="s">
        <v>112</v>
      </c>
      <c r="B124" s="2"/>
      <c r="C124" s="2"/>
      <c r="D124" s="2"/>
      <c r="E124" s="2"/>
      <c r="F124" s="2"/>
      <c r="G124" s="2"/>
      <c r="H124" s="2"/>
      <c r="I124" s="2">
        <v>65.542500000000004</v>
      </c>
      <c r="J124" s="2">
        <v>222</v>
      </c>
      <c r="K124" s="2">
        <v>66.754400000000004</v>
      </c>
      <c r="L124" s="2">
        <v>153</v>
      </c>
      <c r="M124" s="2">
        <v>106.867</v>
      </c>
      <c r="N124" s="2">
        <v>125</v>
      </c>
      <c r="O124" s="2">
        <v>109.9661</v>
      </c>
      <c r="P124" s="2">
        <v>72</v>
      </c>
      <c r="Q124" s="2">
        <v>107.98439999999999</v>
      </c>
      <c r="R124" s="2">
        <v>251</v>
      </c>
      <c r="S124" s="2">
        <v>106.4016</v>
      </c>
      <c r="T124" s="2">
        <v>205</v>
      </c>
      <c r="U124" s="2">
        <v>0.59361699999999995</v>
      </c>
      <c r="V124" s="2">
        <v>123</v>
      </c>
      <c r="W124" s="2">
        <v>2014</v>
      </c>
    </row>
    <row r="125" spans="1:23" ht="12.3" x14ac:dyDescent="0.4">
      <c r="A125" s="2" t="s">
        <v>362</v>
      </c>
      <c r="B125" s="2"/>
      <c r="C125" s="2"/>
      <c r="D125" s="2"/>
      <c r="E125" s="2"/>
      <c r="F125" s="2"/>
      <c r="G125" s="2"/>
      <c r="H125" s="2"/>
      <c r="I125" s="2">
        <v>66.943700000000007</v>
      </c>
      <c r="J125" s="2">
        <v>150</v>
      </c>
      <c r="K125" s="2">
        <v>67.572800000000001</v>
      </c>
      <c r="L125" s="2">
        <v>111</v>
      </c>
      <c r="M125" s="2">
        <v>107.16330000000001</v>
      </c>
      <c r="N125" s="2">
        <v>111</v>
      </c>
      <c r="O125" s="2">
        <v>105.6146</v>
      </c>
      <c r="P125" s="2">
        <v>151</v>
      </c>
      <c r="Q125" s="2">
        <v>103.6867</v>
      </c>
      <c r="R125" s="2">
        <v>143</v>
      </c>
      <c r="S125" s="2">
        <v>102.33410000000001</v>
      </c>
      <c r="T125" s="2">
        <v>119</v>
      </c>
      <c r="U125" s="2">
        <v>0.58973399999999998</v>
      </c>
      <c r="V125" s="2">
        <v>124</v>
      </c>
      <c r="W125" s="2">
        <v>2014</v>
      </c>
    </row>
    <row r="126" spans="1:23" ht="12.3" x14ac:dyDescent="0.4">
      <c r="A126" s="2" t="s">
        <v>203</v>
      </c>
      <c r="B126" s="2"/>
      <c r="C126" s="2"/>
      <c r="D126" s="2"/>
      <c r="E126" s="2"/>
      <c r="F126" s="2"/>
      <c r="G126" s="2"/>
      <c r="H126" s="2"/>
      <c r="I126" s="2">
        <v>66.004900000000006</v>
      </c>
      <c r="J126" s="2">
        <v>202</v>
      </c>
      <c r="K126" s="2">
        <v>66.736199999999997</v>
      </c>
      <c r="L126" s="2">
        <v>154</v>
      </c>
      <c r="M126" s="2">
        <v>106.4948</v>
      </c>
      <c r="N126" s="2">
        <v>131</v>
      </c>
      <c r="O126" s="2">
        <v>105.04859999999999</v>
      </c>
      <c r="P126" s="2">
        <v>166</v>
      </c>
      <c r="Q126" s="2">
        <v>100.06100000000001</v>
      </c>
      <c r="R126" s="2">
        <v>78</v>
      </c>
      <c r="S126" s="2">
        <v>101.91030000000001</v>
      </c>
      <c r="T126" s="2">
        <v>111</v>
      </c>
      <c r="U126" s="2">
        <v>0.58632600000000001</v>
      </c>
      <c r="V126" s="2">
        <v>125</v>
      </c>
      <c r="W126" s="2">
        <v>2014</v>
      </c>
    </row>
    <row r="127" spans="1:23" ht="12.3" x14ac:dyDescent="0.4">
      <c r="A127" s="2" t="s">
        <v>271</v>
      </c>
      <c r="B127" s="2"/>
      <c r="C127" s="2"/>
      <c r="D127" s="2"/>
      <c r="E127" s="2"/>
      <c r="F127" s="2"/>
      <c r="G127" s="2"/>
      <c r="H127" s="2"/>
      <c r="I127" s="2">
        <v>61.921799999999998</v>
      </c>
      <c r="J127" s="2">
        <v>341</v>
      </c>
      <c r="K127" s="2">
        <v>62.120100000000001</v>
      </c>
      <c r="L127" s="2">
        <v>337</v>
      </c>
      <c r="M127" s="2">
        <v>106.2752</v>
      </c>
      <c r="N127" s="2">
        <v>139</v>
      </c>
      <c r="O127" s="2">
        <v>105.3544</v>
      </c>
      <c r="P127" s="2">
        <v>161</v>
      </c>
      <c r="Q127" s="2">
        <v>99.593100000000007</v>
      </c>
      <c r="R127" s="2">
        <v>68</v>
      </c>
      <c r="S127" s="2">
        <v>102.2269</v>
      </c>
      <c r="T127" s="2">
        <v>116</v>
      </c>
      <c r="U127" s="2">
        <v>0.58578300000000005</v>
      </c>
      <c r="V127" s="2">
        <v>126</v>
      </c>
      <c r="W127" s="2">
        <v>2014</v>
      </c>
    </row>
    <row r="128" spans="1:23" ht="12.3" x14ac:dyDescent="0.4">
      <c r="A128" s="2" t="s">
        <v>171</v>
      </c>
      <c r="B128" s="2"/>
      <c r="C128" s="2"/>
      <c r="D128" s="2"/>
      <c r="E128" s="2"/>
      <c r="F128" s="2"/>
      <c r="G128" s="2"/>
      <c r="H128" s="2"/>
      <c r="I128" s="2">
        <v>65.834000000000003</v>
      </c>
      <c r="J128" s="2">
        <v>209</v>
      </c>
      <c r="K128" s="2">
        <v>64.884299999999996</v>
      </c>
      <c r="L128" s="2">
        <v>253</v>
      </c>
      <c r="M128" s="2">
        <v>101.0051</v>
      </c>
      <c r="N128" s="2">
        <v>250</v>
      </c>
      <c r="O128" s="2">
        <v>100.04430000000001</v>
      </c>
      <c r="P128" s="2">
        <v>257</v>
      </c>
      <c r="Q128" s="2">
        <v>96.288200000000003</v>
      </c>
      <c r="R128" s="2">
        <v>23</v>
      </c>
      <c r="S128" s="2">
        <v>97.311099999999996</v>
      </c>
      <c r="T128" s="2">
        <v>47</v>
      </c>
      <c r="U128" s="2">
        <v>0.57896999999999998</v>
      </c>
      <c r="V128" s="2">
        <v>127</v>
      </c>
      <c r="W128" s="2">
        <v>2014</v>
      </c>
    </row>
    <row r="129" spans="1:23" ht="12.3" x14ac:dyDescent="0.4">
      <c r="A129" s="2" t="s">
        <v>293</v>
      </c>
      <c r="B129" s="2"/>
      <c r="C129" s="2"/>
      <c r="D129" s="2"/>
      <c r="E129" s="2"/>
      <c r="F129" s="2"/>
      <c r="G129" s="2"/>
      <c r="H129" s="2"/>
      <c r="I129" s="2">
        <v>64.758899999999997</v>
      </c>
      <c r="J129" s="2">
        <v>263</v>
      </c>
      <c r="K129" s="2">
        <v>65.250200000000007</v>
      </c>
      <c r="L129" s="2">
        <v>235</v>
      </c>
      <c r="M129" s="2">
        <v>111.29819999999999</v>
      </c>
      <c r="N129" s="2">
        <v>47</v>
      </c>
      <c r="O129" s="2">
        <v>110.9208</v>
      </c>
      <c r="P129" s="2">
        <v>59</v>
      </c>
      <c r="Q129" s="2">
        <v>104.87139999999999</v>
      </c>
      <c r="R129" s="2">
        <v>174</v>
      </c>
      <c r="S129" s="2">
        <v>107.9044</v>
      </c>
      <c r="T129" s="2">
        <v>233</v>
      </c>
      <c r="U129" s="2">
        <v>0.57860900000000004</v>
      </c>
      <c r="V129" s="2">
        <v>128</v>
      </c>
      <c r="W129" s="2">
        <v>2014</v>
      </c>
    </row>
    <row r="130" spans="1:23" ht="12.3" x14ac:dyDescent="0.4">
      <c r="A130" s="2" t="s">
        <v>324</v>
      </c>
      <c r="B130" s="2">
        <v>15</v>
      </c>
      <c r="C130" s="2"/>
      <c r="D130" s="2"/>
      <c r="E130" s="2"/>
      <c r="F130" s="2"/>
      <c r="G130" s="2"/>
      <c r="H130" s="2"/>
      <c r="I130" s="2">
        <v>67.117900000000006</v>
      </c>
      <c r="J130" s="2">
        <v>142</v>
      </c>
      <c r="K130" s="2">
        <v>66.121300000000005</v>
      </c>
      <c r="L130" s="2">
        <v>190</v>
      </c>
      <c r="M130" s="2">
        <v>114.8933</v>
      </c>
      <c r="N130" s="2">
        <v>14</v>
      </c>
      <c r="O130" s="2">
        <v>111.3351</v>
      </c>
      <c r="P130" s="2">
        <v>53</v>
      </c>
      <c r="Q130" s="2">
        <v>106.8502</v>
      </c>
      <c r="R130" s="2">
        <v>224</v>
      </c>
      <c r="S130" s="2">
        <v>108.3447</v>
      </c>
      <c r="T130" s="2">
        <v>240</v>
      </c>
      <c r="U130" s="2">
        <v>0.57764400000000005</v>
      </c>
      <c r="V130" s="2">
        <v>129</v>
      </c>
      <c r="W130" s="2">
        <v>2014</v>
      </c>
    </row>
    <row r="131" spans="1:23" ht="12.3" x14ac:dyDescent="0.4">
      <c r="A131" s="2" t="s">
        <v>130</v>
      </c>
      <c r="B131" s="2"/>
      <c r="C131" s="2"/>
      <c r="D131" s="2"/>
      <c r="E131" s="2"/>
      <c r="F131" s="2"/>
      <c r="G131" s="2"/>
      <c r="H131" s="2"/>
      <c r="I131" s="2">
        <v>67.128200000000007</v>
      </c>
      <c r="J131" s="2">
        <v>141</v>
      </c>
      <c r="K131" s="2">
        <v>67.120800000000003</v>
      </c>
      <c r="L131" s="2">
        <v>135</v>
      </c>
      <c r="M131" s="2">
        <v>105.73399999999999</v>
      </c>
      <c r="N131" s="2">
        <v>153</v>
      </c>
      <c r="O131" s="2">
        <v>111.1709</v>
      </c>
      <c r="P131" s="2">
        <v>57</v>
      </c>
      <c r="Q131" s="2">
        <v>108.3159</v>
      </c>
      <c r="R131" s="2">
        <v>260</v>
      </c>
      <c r="S131" s="2">
        <v>108.2183</v>
      </c>
      <c r="T131" s="2">
        <v>237</v>
      </c>
      <c r="U131" s="2">
        <v>0.57677699999999998</v>
      </c>
      <c r="V131" s="2">
        <v>130</v>
      </c>
      <c r="W131" s="2">
        <v>2014</v>
      </c>
    </row>
    <row r="132" spans="1:23" ht="12.3" x14ac:dyDescent="0.4">
      <c r="A132" s="2" t="s">
        <v>248</v>
      </c>
      <c r="B132" s="2"/>
      <c r="C132" s="2"/>
      <c r="D132" s="2"/>
      <c r="E132" s="2"/>
      <c r="F132" s="2"/>
      <c r="G132" s="2"/>
      <c r="H132" s="2"/>
      <c r="I132" s="2">
        <v>64.110100000000003</v>
      </c>
      <c r="J132" s="2">
        <v>287</v>
      </c>
      <c r="K132" s="2">
        <v>63.212400000000002</v>
      </c>
      <c r="L132" s="2">
        <v>315</v>
      </c>
      <c r="M132" s="2">
        <v>99.484399999999994</v>
      </c>
      <c r="N132" s="2">
        <v>274</v>
      </c>
      <c r="O132" s="2">
        <v>100.1901</v>
      </c>
      <c r="P132" s="2">
        <v>256</v>
      </c>
      <c r="Q132" s="2">
        <v>97.224999999999994</v>
      </c>
      <c r="R132" s="2">
        <v>33</v>
      </c>
      <c r="S132" s="2">
        <v>97.677999999999997</v>
      </c>
      <c r="T132" s="2">
        <v>51</v>
      </c>
      <c r="U132" s="2">
        <v>0.57248900000000003</v>
      </c>
      <c r="V132" s="2">
        <v>131</v>
      </c>
      <c r="W132" s="2">
        <v>2014</v>
      </c>
    </row>
    <row r="133" spans="1:23" ht="12.3" x14ac:dyDescent="0.4">
      <c r="A133" s="2" t="s">
        <v>98</v>
      </c>
      <c r="B133" s="2"/>
      <c r="C133" s="2"/>
      <c r="D133" s="2"/>
      <c r="E133" s="2"/>
      <c r="F133" s="2"/>
      <c r="G133" s="2"/>
      <c r="H133" s="2"/>
      <c r="I133" s="2">
        <v>62.884399999999999</v>
      </c>
      <c r="J133" s="2">
        <v>331</v>
      </c>
      <c r="K133" s="2">
        <v>63.921900000000001</v>
      </c>
      <c r="L133" s="2">
        <v>294</v>
      </c>
      <c r="M133" s="2">
        <v>108.23350000000001</v>
      </c>
      <c r="N133" s="2">
        <v>87</v>
      </c>
      <c r="O133" s="2">
        <v>107.7341</v>
      </c>
      <c r="P133" s="2">
        <v>113</v>
      </c>
      <c r="Q133" s="2">
        <v>105.9379</v>
      </c>
      <c r="R133" s="2">
        <v>204</v>
      </c>
      <c r="S133" s="2">
        <v>105.2419</v>
      </c>
      <c r="T133" s="2">
        <v>177</v>
      </c>
      <c r="U133" s="2">
        <v>0.56688700000000003</v>
      </c>
      <c r="V133" s="2">
        <v>132</v>
      </c>
      <c r="W133" s="2">
        <v>2014</v>
      </c>
    </row>
    <row r="134" spans="1:23" ht="12.3" x14ac:dyDescent="0.4">
      <c r="A134" s="2" t="s">
        <v>256</v>
      </c>
      <c r="B134" s="2"/>
      <c r="C134" s="2"/>
      <c r="D134" s="2"/>
      <c r="E134" s="2"/>
      <c r="F134" s="2"/>
      <c r="G134" s="2"/>
      <c r="H134" s="2"/>
      <c r="I134" s="2">
        <v>65.538499999999999</v>
      </c>
      <c r="J134" s="2">
        <v>223</v>
      </c>
      <c r="K134" s="2">
        <v>65.213399999999993</v>
      </c>
      <c r="L134" s="2">
        <v>238</v>
      </c>
      <c r="M134" s="2">
        <v>102.3622</v>
      </c>
      <c r="N134" s="2">
        <v>223</v>
      </c>
      <c r="O134" s="2">
        <v>103.0762</v>
      </c>
      <c r="P134" s="2">
        <v>201</v>
      </c>
      <c r="Q134" s="2">
        <v>99.716700000000003</v>
      </c>
      <c r="R134" s="2">
        <v>72</v>
      </c>
      <c r="S134" s="2">
        <v>100.74039999999999</v>
      </c>
      <c r="T134" s="2">
        <v>94</v>
      </c>
      <c r="U134" s="2">
        <v>0.56552000000000002</v>
      </c>
      <c r="V134" s="2">
        <v>133</v>
      </c>
      <c r="W134" s="2">
        <v>2014</v>
      </c>
    </row>
    <row r="135" spans="1:23" ht="12.3" x14ac:dyDescent="0.4">
      <c r="A135" s="2" t="s">
        <v>210</v>
      </c>
      <c r="B135" s="2"/>
      <c r="C135" s="2"/>
      <c r="D135" s="2"/>
      <c r="E135" s="2"/>
      <c r="F135" s="2"/>
      <c r="G135" s="2"/>
      <c r="H135" s="2"/>
      <c r="I135" s="2">
        <v>63.524299999999997</v>
      </c>
      <c r="J135" s="2">
        <v>312</v>
      </c>
      <c r="K135" s="2">
        <v>64.096400000000003</v>
      </c>
      <c r="L135" s="2">
        <v>284</v>
      </c>
      <c r="M135" s="2">
        <v>104.70189999999999</v>
      </c>
      <c r="N135" s="2">
        <v>172</v>
      </c>
      <c r="O135" s="2">
        <v>103.8635</v>
      </c>
      <c r="P135" s="2">
        <v>186</v>
      </c>
      <c r="Q135" s="2">
        <v>102.095</v>
      </c>
      <c r="R135" s="2">
        <v>108</v>
      </c>
      <c r="S135" s="2">
        <v>101.6651</v>
      </c>
      <c r="T135" s="2">
        <v>106</v>
      </c>
      <c r="U135" s="2">
        <v>0.561199</v>
      </c>
      <c r="V135" s="2">
        <v>134</v>
      </c>
      <c r="W135" s="2">
        <v>2014</v>
      </c>
    </row>
    <row r="136" spans="1:23" ht="12.3" x14ac:dyDescent="0.4">
      <c r="A136" s="2" t="s">
        <v>124</v>
      </c>
      <c r="B136" s="2"/>
      <c r="C136" s="2"/>
      <c r="D136" s="2"/>
      <c r="E136" s="2"/>
      <c r="F136" s="2"/>
      <c r="G136" s="2"/>
      <c r="H136" s="2"/>
      <c r="I136" s="2">
        <v>62.613</v>
      </c>
      <c r="J136" s="2">
        <v>335</v>
      </c>
      <c r="K136" s="2">
        <v>61.587000000000003</v>
      </c>
      <c r="L136" s="2">
        <v>341</v>
      </c>
      <c r="M136" s="2">
        <v>93.968400000000003</v>
      </c>
      <c r="N136" s="2">
        <v>333</v>
      </c>
      <c r="O136" s="2">
        <v>96.112899999999996</v>
      </c>
      <c r="P136" s="2">
        <v>312</v>
      </c>
      <c r="Q136" s="2">
        <v>100.7015</v>
      </c>
      <c r="R136" s="2">
        <v>88</v>
      </c>
      <c r="S136" s="2">
        <v>94.0809</v>
      </c>
      <c r="T136" s="2">
        <v>17</v>
      </c>
      <c r="U136" s="2">
        <v>0.56112799999999996</v>
      </c>
      <c r="V136" s="2">
        <v>135</v>
      </c>
      <c r="W136" s="2">
        <v>2014</v>
      </c>
    </row>
    <row r="137" spans="1:23" ht="12.3" x14ac:dyDescent="0.4">
      <c r="A137" s="2" t="s">
        <v>113</v>
      </c>
      <c r="B137" s="2"/>
      <c r="C137" s="2"/>
      <c r="D137" s="2"/>
      <c r="E137" s="2"/>
      <c r="F137" s="2"/>
      <c r="G137" s="2"/>
      <c r="H137" s="2"/>
      <c r="I137" s="2">
        <v>67.676299999999998</v>
      </c>
      <c r="J137" s="2">
        <v>119</v>
      </c>
      <c r="K137" s="2">
        <v>67.683400000000006</v>
      </c>
      <c r="L137" s="2">
        <v>105</v>
      </c>
      <c r="M137" s="2">
        <v>105.7496</v>
      </c>
      <c r="N137" s="2">
        <v>151</v>
      </c>
      <c r="O137" s="2">
        <v>108.9526</v>
      </c>
      <c r="P137" s="2">
        <v>90</v>
      </c>
      <c r="Q137" s="2">
        <v>106.24079999999999</v>
      </c>
      <c r="R137" s="2">
        <v>212</v>
      </c>
      <c r="S137" s="2">
        <v>106.7167</v>
      </c>
      <c r="T137" s="2">
        <v>214</v>
      </c>
      <c r="U137" s="2">
        <v>0.55933299999999997</v>
      </c>
      <c r="V137" s="2">
        <v>136</v>
      </c>
      <c r="W137" s="2">
        <v>2014</v>
      </c>
    </row>
    <row r="138" spans="1:23" ht="12.3" x14ac:dyDescent="0.4">
      <c r="A138" s="2" t="s">
        <v>147</v>
      </c>
      <c r="B138" s="2"/>
      <c r="C138" s="2"/>
      <c r="D138" s="2"/>
      <c r="E138" s="2"/>
      <c r="F138" s="2"/>
      <c r="G138" s="2"/>
      <c r="H138" s="2"/>
      <c r="I138" s="2">
        <v>67.702200000000005</v>
      </c>
      <c r="J138" s="2">
        <v>117</v>
      </c>
      <c r="K138" s="2">
        <v>66.855199999999996</v>
      </c>
      <c r="L138" s="2">
        <v>147</v>
      </c>
      <c r="M138" s="2">
        <v>101.3974</v>
      </c>
      <c r="N138" s="2">
        <v>242</v>
      </c>
      <c r="O138" s="2">
        <v>106.0775</v>
      </c>
      <c r="P138" s="2">
        <v>138</v>
      </c>
      <c r="Q138" s="2">
        <v>104.84569999999999</v>
      </c>
      <c r="R138" s="2">
        <v>171</v>
      </c>
      <c r="S138" s="2">
        <v>103.9311</v>
      </c>
      <c r="T138" s="2">
        <v>152</v>
      </c>
      <c r="U138" s="2">
        <v>0.55850100000000003</v>
      </c>
      <c r="V138" s="2">
        <v>137</v>
      </c>
      <c r="W138" s="2">
        <v>2014</v>
      </c>
    </row>
    <row r="139" spans="1:23" ht="12.3" x14ac:dyDescent="0.4">
      <c r="A139" s="2" t="s">
        <v>157</v>
      </c>
      <c r="B139" s="2"/>
      <c r="C139" s="2"/>
      <c r="D139" s="2"/>
      <c r="E139" s="2"/>
      <c r="F139" s="2"/>
      <c r="G139" s="2"/>
      <c r="H139" s="2"/>
      <c r="I139" s="2">
        <v>65.337900000000005</v>
      </c>
      <c r="J139" s="2">
        <v>234</v>
      </c>
      <c r="K139" s="2">
        <v>66.714699999999993</v>
      </c>
      <c r="L139" s="2">
        <v>155</v>
      </c>
      <c r="M139" s="2">
        <v>109.34910000000001</v>
      </c>
      <c r="N139" s="2">
        <v>67</v>
      </c>
      <c r="O139" s="2">
        <v>109.4863</v>
      </c>
      <c r="P139" s="2">
        <v>79</v>
      </c>
      <c r="Q139" s="2">
        <v>107.3177</v>
      </c>
      <c r="R139" s="2">
        <v>239</v>
      </c>
      <c r="S139" s="2">
        <v>107.3977</v>
      </c>
      <c r="T139" s="2">
        <v>226</v>
      </c>
      <c r="U139" s="2">
        <v>0.555149</v>
      </c>
      <c r="V139" s="2">
        <v>138</v>
      </c>
      <c r="W139" s="2">
        <v>2014</v>
      </c>
    </row>
    <row r="140" spans="1:23" ht="12.3" x14ac:dyDescent="0.4">
      <c r="A140" s="2" t="s">
        <v>164</v>
      </c>
      <c r="B140" s="2"/>
      <c r="C140" s="2"/>
      <c r="D140" s="2"/>
      <c r="E140" s="2"/>
      <c r="F140" s="2"/>
      <c r="G140" s="2"/>
      <c r="H140" s="2"/>
      <c r="I140" s="2">
        <v>67.817800000000005</v>
      </c>
      <c r="J140" s="2">
        <v>113</v>
      </c>
      <c r="K140" s="2">
        <v>68.088399999999993</v>
      </c>
      <c r="L140" s="2">
        <v>91</v>
      </c>
      <c r="M140" s="2">
        <v>100.18040000000001</v>
      </c>
      <c r="N140" s="2">
        <v>261</v>
      </c>
      <c r="O140" s="2">
        <v>101.9892</v>
      </c>
      <c r="P140" s="2">
        <v>221</v>
      </c>
      <c r="Q140" s="2">
        <v>101.19110000000001</v>
      </c>
      <c r="R140" s="2">
        <v>97</v>
      </c>
      <c r="S140" s="2">
        <v>100.05970000000001</v>
      </c>
      <c r="T140" s="2">
        <v>74</v>
      </c>
      <c r="U140" s="2">
        <v>0.55469400000000002</v>
      </c>
      <c r="V140" s="2">
        <v>139</v>
      </c>
      <c r="W140" s="2">
        <v>2014</v>
      </c>
    </row>
    <row r="141" spans="1:23" ht="12.3" x14ac:dyDescent="0.4">
      <c r="A141" s="2" t="s">
        <v>286</v>
      </c>
      <c r="B141" s="2"/>
      <c r="C141" s="2"/>
      <c r="D141" s="2"/>
      <c r="E141" s="2"/>
      <c r="F141" s="2"/>
      <c r="G141" s="2"/>
      <c r="H141" s="2"/>
      <c r="I141" s="2">
        <v>59.134300000000003</v>
      </c>
      <c r="J141" s="2">
        <v>350</v>
      </c>
      <c r="K141" s="2">
        <v>59.188699999999997</v>
      </c>
      <c r="L141" s="2">
        <v>350</v>
      </c>
      <c r="M141" s="2">
        <v>109.3844</v>
      </c>
      <c r="N141" s="2">
        <v>65</v>
      </c>
      <c r="O141" s="2">
        <v>110.4443</v>
      </c>
      <c r="P141" s="2">
        <v>64</v>
      </c>
      <c r="Q141" s="2">
        <v>107.5304</v>
      </c>
      <c r="R141" s="2">
        <v>244</v>
      </c>
      <c r="S141" s="2">
        <v>108.3549</v>
      </c>
      <c r="T141" s="2">
        <v>241</v>
      </c>
      <c r="U141" s="2">
        <v>0.55469100000000005</v>
      </c>
      <c r="V141" s="2">
        <v>140</v>
      </c>
      <c r="W141" s="2">
        <v>2014</v>
      </c>
    </row>
    <row r="142" spans="1:23" ht="12.3" x14ac:dyDescent="0.4">
      <c r="A142" s="2" t="s">
        <v>95</v>
      </c>
      <c r="B142" s="2"/>
      <c r="C142" s="2"/>
      <c r="D142" s="2"/>
      <c r="E142" s="2"/>
      <c r="F142" s="2"/>
      <c r="G142" s="2"/>
      <c r="H142" s="2"/>
      <c r="I142" s="2">
        <v>62.683500000000002</v>
      </c>
      <c r="J142" s="2">
        <v>334</v>
      </c>
      <c r="K142" s="2">
        <v>63.046399999999998</v>
      </c>
      <c r="L142" s="2">
        <v>322</v>
      </c>
      <c r="M142" s="2">
        <v>107.52</v>
      </c>
      <c r="N142" s="2">
        <v>104</v>
      </c>
      <c r="O142" s="2">
        <v>113.3412</v>
      </c>
      <c r="P142" s="2">
        <v>33</v>
      </c>
      <c r="Q142" s="2">
        <v>116.4255</v>
      </c>
      <c r="R142" s="2">
        <v>345</v>
      </c>
      <c r="S142" s="2">
        <v>111.23560000000001</v>
      </c>
      <c r="T142" s="2">
        <v>298</v>
      </c>
      <c r="U142" s="2">
        <v>0.55370399999999997</v>
      </c>
      <c r="V142" s="2">
        <v>141</v>
      </c>
      <c r="W142" s="2">
        <v>2014</v>
      </c>
    </row>
    <row r="143" spans="1:23" ht="12.3" x14ac:dyDescent="0.4">
      <c r="A143" s="2" t="s">
        <v>133</v>
      </c>
      <c r="B143" s="2"/>
      <c r="C143" s="2"/>
      <c r="D143" s="2"/>
      <c r="E143" s="2"/>
      <c r="F143" s="2"/>
      <c r="G143" s="2"/>
      <c r="H143" s="2"/>
      <c r="I143" s="2">
        <v>63.300400000000003</v>
      </c>
      <c r="J143" s="2">
        <v>317</v>
      </c>
      <c r="K143" s="2">
        <v>62.911799999999999</v>
      </c>
      <c r="L143" s="2">
        <v>324</v>
      </c>
      <c r="M143" s="2">
        <v>103.9379</v>
      </c>
      <c r="N143" s="2">
        <v>190</v>
      </c>
      <c r="O143" s="2">
        <v>104.2617</v>
      </c>
      <c r="P143" s="2">
        <v>178</v>
      </c>
      <c r="Q143" s="2">
        <v>104.2942</v>
      </c>
      <c r="R143" s="2">
        <v>158</v>
      </c>
      <c r="S143" s="2">
        <v>102.4258</v>
      </c>
      <c r="T143" s="2">
        <v>122</v>
      </c>
      <c r="U143" s="2">
        <v>0.550898</v>
      </c>
      <c r="V143" s="2">
        <v>142</v>
      </c>
      <c r="W143" s="2">
        <v>2014</v>
      </c>
    </row>
    <row r="144" spans="1:23" ht="12.3" x14ac:dyDescent="0.4">
      <c r="A144" s="2" t="s">
        <v>322</v>
      </c>
      <c r="B144" s="2"/>
      <c r="C144" s="2"/>
      <c r="D144" s="2"/>
      <c r="E144" s="2"/>
      <c r="F144" s="2"/>
      <c r="G144" s="2"/>
      <c r="H144" s="2"/>
      <c r="I144" s="2">
        <v>66.478300000000004</v>
      </c>
      <c r="J144" s="2">
        <v>173</v>
      </c>
      <c r="K144" s="2">
        <v>66.866399999999999</v>
      </c>
      <c r="L144" s="2">
        <v>146</v>
      </c>
      <c r="M144" s="2">
        <v>109.8518</v>
      </c>
      <c r="N144" s="2">
        <v>62</v>
      </c>
      <c r="O144" s="2">
        <v>107.25700000000001</v>
      </c>
      <c r="P144" s="2">
        <v>121</v>
      </c>
      <c r="Q144" s="2">
        <v>103.95820000000001</v>
      </c>
      <c r="R144" s="2">
        <v>150</v>
      </c>
      <c r="S144" s="2">
        <v>105.55410000000001</v>
      </c>
      <c r="T144" s="2">
        <v>188</v>
      </c>
      <c r="U144" s="2">
        <v>0.54588400000000004</v>
      </c>
      <c r="V144" s="2">
        <v>143</v>
      </c>
      <c r="W144" s="2">
        <v>2014</v>
      </c>
    </row>
    <row r="145" spans="1:23" ht="12.3" x14ac:dyDescent="0.4">
      <c r="A145" s="2" t="s">
        <v>250</v>
      </c>
      <c r="B145" s="2"/>
      <c r="C145" s="2"/>
      <c r="D145" s="2"/>
      <c r="E145" s="2"/>
      <c r="F145" s="2"/>
      <c r="G145" s="2"/>
      <c r="H145" s="2"/>
      <c r="I145" s="2">
        <v>68.252899999999997</v>
      </c>
      <c r="J145" s="2">
        <v>96</v>
      </c>
      <c r="K145" s="2">
        <v>68.071700000000007</v>
      </c>
      <c r="L145" s="2">
        <v>94</v>
      </c>
      <c r="M145" s="2">
        <v>107.5035</v>
      </c>
      <c r="N145" s="2">
        <v>105</v>
      </c>
      <c r="O145" s="2">
        <v>109.9982</v>
      </c>
      <c r="P145" s="2">
        <v>71</v>
      </c>
      <c r="Q145" s="2">
        <v>108.10680000000001</v>
      </c>
      <c r="R145" s="2">
        <v>253</v>
      </c>
      <c r="S145" s="2">
        <v>108.3947</v>
      </c>
      <c r="T145" s="2">
        <v>243</v>
      </c>
      <c r="U145" s="2">
        <v>0.54211900000000002</v>
      </c>
      <c r="V145" s="2">
        <v>144</v>
      </c>
      <c r="W145" s="2">
        <v>2014</v>
      </c>
    </row>
    <row r="146" spans="1:23" ht="12.3" x14ac:dyDescent="0.4">
      <c r="A146" s="2" t="s">
        <v>188</v>
      </c>
      <c r="B146" s="2"/>
      <c r="C146" s="2"/>
      <c r="D146" s="2"/>
      <c r="E146" s="2"/>
      <c r="F146" s="2"/>
      <c r="G146" s="2"/>
      <c r="H146" s="2"/>
      <c r="I146" s="2">
        <v>66.3018</v>
      </c>
      <c r="J146" s="2">
        <v>186</v>
      </c>
      <c r="K146" s="2">
        <v>66.650999999999996</v>
      </c>
      <c r="L146" s="2">
        <v>160</v>
      </c>
      <c r="M146" s="2">
        <v>103.018</v>
      </c>
      <c r="N146" s="2">
        <v>210</v>
      </c>
      <c r="O146" s="2">
        <v>104.08669999999999</v>
      </c>
      <c r="P146" s="2">
        <v>179</v>
      </c>
      <c r="Q146" s="2">
        <v>105.1495</v>
      </c>
      <c r="R146" s="2">
        <v>181</v>
      </c>
      <c r="S146" s="2">
        <v>102.6</v>
      </c>
      <c r="T146" s="2">
        <v>127</v>
      </c>
      <c r="U146" s="2">
        <v>0.541265</v>
      </c>
      <c r="V146" s="2">
        <v>145</v>
      </c>
      <c r="W146" s="2">
        <v>2014</v>
      </c>
    </row>
    <row r="147" spans="1:23" ht="12.3" x14ac:dyDescent="0.4">
      <c r="A147" s="2" t="s">
        <v>145</v>
      </c>
      <c r="B147" s="2"/>
      <c r="C147" s="2"/>
      <c r="D147" s="2"/>
      <c r="E147" s="2"/>
      <c r="F147" s="2"/>
      <c r="G147" s="2"/>
      <c r="H147" s="2"/>
      <c r="I147" s="2">
        <v>65.197599999999994</v>
      </c>
      <c r="J147" s="2">
        <v>240</v>
      </c>
      <c r="K147" s="2">
        <v>65.384900000000002</v>
      </c>
      <c r="L147" s="2">
        <v>228</v>
      </c>
      <c r="M147" s="2">
        <v>107.58450000000001</v>
      </c>
      <c r="N147" s="2">
        <v>101</v>
      </c>
      <c r="O147" s="2">
        <v>107.93519999999999</v>
      </c>
      <c r="P147" s="2">
        <v>105</v>
      </c>
      <c r="Q147" s="2">
        <v>109.7525</v>
      </c>
      <c r="R147" s="2">
        <v>285</v>
      </c>
      <c r="S147" s="2">
        <v>106.4452</v>
      </c>
      <c r="T147" s="2">
        <v>209</v>
      </c>
      <c r="U147" s="2">
        <v>0.539879</v>
      </c>
      <c r="V147" s="2">
        <v>146</v>
      </c>
      <c r="W147" s="2">
        <v>2014</v>
      </c>
    </row>
    <row r="148" spans="1:23" ht="12.3" x14ac:dyDescent="0.4">
      <c r="A148" s="2" t="s">
        <v>66</v>
      </c>
      <c r="B148" s="2"/>
      <c r="C148" s="2"/>
      <c r="D148" s="2"/>
      <c r="E148" s="2"/>
      <c r="F148" s="2"/>
      <c r="G148" s="2"/>
      <c r="H148" s="2"/>
      <c r="I148" s="2">
        <v>68.597099999999998</v>
      </c>
      <c r="J148" s="2">
        <v>78</v>
      </c>
      <c r="K148" s="2">
        <v>68.719899999999996</v>
      </c>
      <c r="L148" s="2">
        <v>65</v>
      </c>
      <c r="M148" s="2">
        <v>112.66549999999999</v>
      </c>
      <c r="N148" s="2">
        <v>31</v>
      </c>
      <c r="O148" s="2">
        <v>109.93729999999999</v>
      </c>
      <c r="P148" s="2">
        <v>73</v>
      </c>
      <c r="Q148" s="2">
        <v>105.5579</v>
      </c>
      <c r="R148" s="2">
        <v>190</v>
      </c>
      <c r="S148" s="2">
        <v>108.55629999999999</v>
      </c>
      <c r="T148" s="2">
        <v>247</v>
      </c>
      <c r="U148" s="2">
        <v>0.53627899999999995</v>
      </c>
      <c r="V148" s="2">
        <v>147</v>
      </c>
      <c r="W148" s="2">
        <v>2014</v>
      </c>
    </row>
    <row r="149" spans="1:23" ht="12.3" x14ac:dyDescent="0.4">
      <c r="A149" s="2" t="s">
        <v>22</v>
      </c>
      <c r="B149" s="2"/>
      <c r="C149" s="2"/>
      <c r="D149" s="2"/>
      <c r="E149" s="2"/>
      <c r="F149" s="2"/>
      <c r="G149" s="2"/>
      <c r="H149" s="2"/>
      <c r="I149" s="2">
        <v>64.77</v>
      </c>
      <c r="J149" s="2">
        <v>260</v>
      </c>
      <c r="K149" s="2">
        <v>64.671099999999996</v>
      </c>
      <c r="L149" s="2">
        <v>262</v>
      </c>
      <c r="M149" s="2">
        <v>104.1156</v>
      </c>
      <c r="N149" s="2">
        <v>183</v>
      </c>
      <c r="O149" s="2">
        <v>105.52670000000001</v>
      </c>
      <c r="P149" s="2">
        <v>153</v>
      </c>
      <c r="Q149" s="2">
        <v>105.1092</v>
      </c>
      <c r="R149" s="2">
        <v>180</v>
      </c>
      <c r="S149" s="2">
        <v>104.3141</v>
      </c>
      <c r="T149" s="2">
        <v>163</v>
      </c>
      <c r="U149" s="2">
        <v>0.53318100000000002</v>
      </c>
      <c r="V149" s="2">
        <v>148</v>
      </c>
      <c r="W149" s="2">
        <v>2014</v>
      </c>
    </row>
    <row r="150" spans="1:23" ht="12.3" x14ac:dyDescent="0.4">
      <c r="A150" s="2" t="s">
        <v>274</v>
      </c>
      <c r="B150" s="2"/>
      <c r="C150" s="2"/>
      <c r="D150" s="2"/>
      <c r="E150" s="2"/>
      <c r="F150" s="2"/>
      <c r="G150" s="2"/>
      <c r="H150" s="2"/>
      <c r="I150" s="2">
        <v>70.926900000000003</v>
      </c>
      <c r="J150" s="2">
        <v>23</v>
      </c>
      <c r="K150" s="2">
        <v>69.9405</v>
      </c>
      <c r="L150" s="2">
        <v>34</v>
      </c>
      <c r="M150" s="2">
        <v>110.88549999999999</v>
      </c>
      <c r="N150" s="2">
        <v>49</v>
      </c>
      <c r="O150" s="2">
        <v>111.2607</v>
      </c>
      <c r="P150" s="2">
        <v>54</v>
      </c>
      <c r="Q150" s="2">
        <v>107.37050000000001</v>
      </c>
      <c r="R150" s="2">
        <v>241</v>
      </c>
      <c r="S150" s="2">
        <v>110.0603</v>
      </c>
      <c r="T150" s="2">
        <v>275</v>
      </c>
      <c r="U150" s="2">
        <v>0.53114600000000001</v>
      </c>
      <c r="V150" s="2">
        <v>149</v>
      </c>
      <c r="W150" s="2">
        <v>2014</v>
      </c>
    </row>
    <row r="151" spans="1:23" ht="12.3" x14ac:dyDescent="0.4">
      <c r="A151" s="2" t="s">
        <v>289</v>
      </c>
      <c r="B151" s="2"/>
      <c r="C151" s="2"/>
      <c r="D151" s="2"/>
      <c r="E151" s="2"/>
      <c r="F151" s="2"/>
      <c r="G151" s="2"/>
      <c r="H151" s="2"/>
      <c r="I151" s="2">
        <v>63.667499999999997</v>
      </c>
      <c r="J151" s="2">
        <v>303</v>
      </c>
      <c r="K151" s="2">
        <v>64.819999999999993</v>
      </c>
      <c r="L151" s="2">
        <v>258</v>
      </c>
      <c r="M151" s="2">
        <v>103.6009</v>
      </c>
      <c r="N151" s="2">
        <v>199</v>
      </c>
      <c r="O151" s="2">
        <v>101.65479999999999</v>
      </c>
      <c r="P151" s="2">
        <v>228</v>
      </c>
      <c r="Q151" s="2">
        <v>100.5089</v>
      </c>
      <c r="R151" s="2">
        <v>83</v>
      </c>
      <c r="S151" s="2">
        <v>100.6533</v>
      </c>
      <c r="T151" s="2">
        <v>93</v>
      </c>
      <c r="U151" s="2">
        <v>0.52843399999999996</v>
      </c>
      <c r="V151" s="2">
        <v>150</v>
      </c>
      <c r="W151" s="2">
        <v>2014</v>
      </c>
    </row>
    <row r="152" spans="1:23" ht="12.3" x14ac:dyDescent="0.4">
      <c r="A152" s="2" t="s">
        <v>178</v>
      </c>
      <c r="B152" s="2"/>
      <c r="C152" s="2"/>
      <c r="D152" s="2"/>
      <c r="E152" s="2"/>
      <c r="F152" s="2"/>
      <c r="G152" s="2"/>
      <c r="H152" s="2"/>
      <c r="I152" s="2">
        <v>63.685099999999998</v>
      </c>
      <c r="J152" s="2">
        <v>301</v>
      </c>
      <c r="K152" s="2">
        <v>63.896799999999999</v>
      </c>
      <c r="L152" s="2">
        <v>295</v>
      </c>
      <c r="M152" s="2">
        <v>104.11839999999999</v>
      </c>
      <c r="N152" s="2">
        <v>182</v>
      </c>
      <c r="O152" s="2">
        <v>103.5823</v>
      </c>
      <c r="P152" s="2">
        <v>195</v>
      </c>
      <c r="Q152" s="2">
        <v>101.0077</v>
      </c>
      <c r="R152" s="2">
        <v>93</v>
      </c>
      <c r="S152" s="2">
        <v>102.626</v>
      </c>
      <c r="T152" s="2">
        <v>128</v>
      </c>
      <c r="U152" s="2">
        <v>0.52664100000000003</v>
      </c>
      <c r="V152" s="2">
        <v>151</v>
      </c>
      <c r="W152" s="2">
        <v>2014</v>
      </c>
    </row>
    <row r="153" spans="1:23" ht="12.3" x14ac:dyDescent="0.4">
      <c r="A153" s="2" t="s">
        <v>217</v>
      </c>
      <c r="B153" s="2"/>
      <c r="C153" s="2"/>
      <c r="D153" s="2"/>
      <c r="E153" s="2"/>
      <c r="F153" s="2"/>
      <c r="G153" s="2"/>
      <c r="H153" s="2"/>
      <c r="I153" s="2">
        <v>65.461500000000001</v>
      </c>
      <c r="J153" s="2">
        <v>227</v>
      </c>
      <c r="K153" s="2">
        <v>65.601600000000005</v>
      </c>
      <c r="L153" s="2">
        <v>216</v>
      </c>
      <c r="M153" s="2">
        <v>105.75839999999999</v>
      </c>
      <c r="N153" s="2">
        <v>150</v>
      </c>
      <c r="O153" s="2">
        <v>106.64230000000001</v>
      </c>
      <c r="P153" s="2">
        <v>129</v>
      </c>
      <c r="Q153" s="2">
        <v>108.88160000000001</v>
      </c>
      <c r="R153" s="2">
        <v>272</v>
      </c>
      <c r="S153" s="2">
        <v>105.828</v>
      </c>
      <c r="T153" s="2">
        <v>197</v>
      </c>
      <c r="U153" s="2">
        <v>0.52202199999999999</v>
      </c>
      <c r="V153" s="2">
        <v>152</v>
      </c>
      <c r="W153" s="2">
        <v>2014</v>
      </c>
    </row>
    <row r="154" spans="1:23" ht="12.3" x14ac:dyDescent="0.4">
      <c r="A154" s="2" t="s">
        <v>82</v>
      </c>
      <c r="B154" s="2"/>
      <c r="C154" s="2"/>
      <c r="D154" s="2"/>
      <c r="E154" s="2"/>
      <c r="F154" s="2"/>
      <c r="G154" s="2"/>
      <c r="H154" s="2"/>
      <c r="I154" s="2">
        <v>63.076500000000003</v>
      </c>
      <c r="J154" s="2">
        <v>324</v>
      </c>
      <c r="K154" s="2">
        <v>63.005299999999998</v>
      </c>
      <c r="L154" s="2">
        <v>323</v>
      </c>
      <c r="M154" s="2">
        <v>104.4569</v>
      </c>
      <c r="N154" s="2">
        <v>176</v>
      </c>
      <c r="O154" s="2">
        <v>105.79559999999999</v>
      </c>
      <c r="P154" s="2">
        <v>143</v>
      </c>
      <c r="Q154" s="2">
        <v>105.8631</v>
      </c>
      <c r="R154" s="2">
        <v>201</v>
      </c>
      <c r="S154" s="2">
        <v>105.1313</v>
      </c>
      <c r="T154" s="2">
        <v>175</v>
      </c>
      <c r="U154" s="2">
        <v>0.5181</v>
      </c>
      <c r="V154" s="2">
        <v>153</v>
      </c>
      <c r="W154" s="2">
        <v>2014</v>
      </c>
    </row>
    <row r="155" spans="1:23" ht="12.3" x14ac:dyDescent="0.4">
      <c r="A155" s="2" t="s">
        <v>233</v>
      </c>
      <c r="B155" s="2"/>
      <c r="C155" s="2"/>
      <c r="D155" s="2"/>
      <c r="E155" s="2"/>
      <c r="F155" s="2"/>
      <c r="G155" s="2"/>
      <c r="H155" s="2"/>
      <c r="I155" s="2">
        <v>69.192300000000003</v>
      </c>
      <c r="J155" s="2">
        <v>60</v>
      </c>
      <c r="K155" s="2">
        <v>69.974800000000002</v>
      </c>
      <c r="L155" s="2">
        <v>33</v>
      </c>
      <c r="M155" s="2">
        <v>101.21769999999999</v>
      </c>
      <c r="N155" s="2">
        <v>246</v>
      </c>
      <c r="O155" s="2">
        <v>101.0735</v>
      </c>
      <c r="P155" s="2">
        <v>235</v>
      </c>
      <c r="Q155" s="2">
        <v>97.299300000000002</v>
      </c>
      <c r="R155" s="2">
        <v>35</v>
      </c>
      <c r="S155" s="2">
        <v>100.5633</v>
      </c>
      <c r="T155" s="2">
        <v>91</v>
      </c>
      <c r="U155" s="2">
        <v>0.514544</v>
      </c>
      <c r="V155" s="2">
        <v>154</v>
      </c>
      <c r="W155" s="2">
        <v>2014</v>
      </c>
    </row>
    <row r="156" spans="1:23" ht="12.3" x14ac:dyDescent="0.4">
      <c r="A156" s="2" t="s">
        <v>128</v>
      </c>
      <c r="B156" s="2"/>
      <c r="C156" s="2"/>
      <c r="D156" s="2"/>
      <c r="E156" s="2"/>
      <c r="F156" s="2"/>
      <c r="G156" s="2"/>
      <c r="H156" s="2"/>
      <c r="I156" s="2">
        <v>69.057000000000002</v>
      </c>
      <c r="J156" s="2">
        <v>66</v>
      </c>
      <c r="K156" s="2">
        <v>68.514700000000005</v>
      </c>
      <c r="L156" s="2">
        <v>71</v>
      </c>
      <c r="M156" s="2">
        <v>103.19199999999999</v>
      </c>
      <c r="N156" s="2">
        <v>206</v>
      </c>
      <c r="O156" s="2">
        <v>103.5201</v>
      </c>
      <c r="P156" s="2">
        <v>196</v>
      </c>
      <c r="Q156" s="2">
        <v>100.68170000000001</v>
      </c>
      <c r="R156" s="2">
        <v>87</v>
      </c>
      <c r="S156" s="2">
        <v>103.03019999999999</v>
      </c>
      <c r="T156" s="2">
        <v>137</v>
      </c>
      <c r="U156" s="2">
        <v>0.51363400000000003</v>
      </c>
      <c r="V156" s="2">
        <v>155</v>
      </c>
      <c r="W156" s="2">
        <v>2014</v>
      </c>
    </row>
    <row r="157" spans="1:23" ht="12.3" x14ac:dyDescent="0.4">
      <c r="A157" s="2" t="s">
        <v>181</v>
      </c>
      <c r="B157" s="2"/>
      <c r="C157" s="2"/>
      <c r="D157" s="2"/>
      <c r="E157" s="2"/>
      <c r="F157" s="2"/>
      <c r="G157" s="2"/>
      <c r="H157" s="2"/>
      <c r="I157" s="2">
        <v>67.921099999999996</v>
      </c>
      <c r="J157" s="2">
        <v>108</v>
      </c>
      <c r="K157" s="2">
        <v>67.359300000000005</v>
      </c>
      <c r="L157" s="2">
        <v>119</v>
      </c>
      <c r="M157" s="2">
        <v>110.7461</v>
      </c>
      <c r="N157" s="2">
        <v>52</v>
      </c>
      <c r="O157" s="2">
        <v>107.72320000000001</v>
      </c>
      <c r="P157" s="2">
        <v>114</v>
      </c>
      <c r="Q157" s="2">
        <v>106.80589999999999</v>
      </c>
      <c r="R157" s="2">
        <v>223</v>
      </c>
      <c r="S157" s="2">
        <v>107.2591</v>
      </c>
      <c r="T157" s="2">
        <v>223</v>
      </c>
      <c r="U157" s="2">
        <v>0.51241000000000003</v>
      </c>
      <c r="V157" s="2">
        <v>156</v>
      </c>
      <c r="W157" s="2">
        <v>2014</v>
      </c>
    </row>
    <row r="158" spans="1:23" ht="12.3" x14ac:dyDescent="0.4">
      <c r="A158" s="2" t="s">
        <v>42</v>
      </c>
      <c r="B158" s="2"/>
      <c r="C158" s="2"/>
      <c r="D158" s="2"/>
      <c r="E158" s="2"/>
      <c r="F158" s="2"/>
      <c r="G158" s="2"/>
      <c r="H158" s="2"/>
      <c r="I158" s="2">
        <v>70.551900000000003</v>
      </c>
      <c r="J158" s="2">
        <v>29</v>
      </c>
      <c r="K158" s="2">
        <v>70.287599999999998</v>
      </c>
      <c r="L158" s="2">
        <v>27</v>
      </c>
      <c r="M158" s="2">
        <v>98.816699999999997</v>
      </c>
      <c r="N158" s="2">
        <v>282</v>
      </c>
      <c r="O158" s="2">
        <v>102.15730000000001</v>
      </c>
      <c r="P158" s="2">
        <v>217</v>
      </c>
      <c r="Q158" s="2">
        <v>106.4774</v>
      </c>
      <c r="R158" s="2">
        <v>218</v>
      </c>
      <c r="S158" s="2">
        <v>101.828</v>
      </c>
      <c r="T158" s="2">
        <v>109</v>
      </c>
      <c r="U158" s="2">
        <v>0.50928099999999998</v>
      </c>
      <c r="V158" s="2">
        <v>157</v>
      </c>
      <c r="W158" s="2">
        <v>2014</v>
      </c>
    </row>
    <row r="159" spans="1:23" ht="12.3" x14ac:dyDescent="0.4">
      <c r="A159" s="2" t="s">
        <v>126</v>
      </c>
      <c r="B159" s="2"/>
      <c r="C159" s="2"/>
      <c r="D159" s="2"/>
      <c r="E159" s="2"/>
      <c r="F159" s="2"/>
      <c r="G159" s="2"/>
      <c r="H159" s="2"/>
      <c r="I159" s="2">
        <v>67.004300000000001</v>
      </c>
      <c r="J159" s="2">
        <v>146</v>
      </c>
      <c r="K159" s="2">
        <v>67.100800000000007</v>
      </c>
      <c r="L159" s="2">
        <v>136</v>
      </c>
      <c r="M159" s="2">
        <v>107.0414</v>
      </c>
      <c r="N159" s="2">
        <v>118</v>
      </c>
      <c r="O159" s="2">
        <v>108.3032</v>
      </c>
      <c r="P159" s="2">
        <v>98</v>
      </c>
      <c r="Q159" s="2">
        <v>111.0381</v>
      </c>
      <c r="R159" s="2">
        <v>312</v>
      </c>
      <c r="S159" s="2">
        <v>108.297</v>
      </c>
      <c r="T159" s="2">
        <v>239</v>
      </c>
      <c r="U159" s="2">
        <v>0.50016499999999997</v>
      </c>
      <c r="V159" s="2">
        <v>158</v>
      </c>
      <c r="W159" s="2">
        <v>2014</v>
      </c>
    </row>
    <row r="160" spans="1:23" ht="12.3" x14ac:dyDescent="0.4">
      <c r="A160" s="2" t="s">
        <v>88</v>
      </c>
      <c r="B160" s="2"/>
      <c r="C160" s="2"/>
      <c r="D160" s="2"/>
      <c r="E160" s="2"/>
      <c r="F160" s="2"/>
      <c r="G160" s="2"/>
      <c r="H160" s="2"/>
      <c r="I160" s="2">
        <v>68.396000000000001</v>
      </c>
      <c r="J160" s="2">
        <v>92</v>
      </c>
      <c r="K160" s="2">
        <v>67.935400000000001</v>
      </c>
      <c r="L160" s="2">
        <v>99</v>
      </c>
      <c r="M160" s="2">
        <v>105.9276</v>
      </c>
      <c r="N160" s="2">
        <v>146</v>
      </c>
      <c r="O160" s="2">
        <v>109.28489999999999</v>
      </c>
      <c r="P160" s="2">
        <v>84</v>
      </c>
      <c r="Q160" s="2">
        <v>112.2602</v>
      </c>
      <c r="R160" s="2">
        <v>323</v>
      </c>
      <c r="S160" s="2">
        <v>109.33369999999999</v>
      </c>
      <c r="T160" s="2">
        <v>261</v>
      </c>
      <c r="U160" s="2">
        <v>0.49871700000000002</v>
      </c>
      <c r="V160" s="2">
        <v>159</v>
      </c>
      <c r="W160" s="2">
        <v>2014</v>
      </c>
    </row>
    <row r="161" spans="1:23" ht="12.3" x14ac:dyDescent="0.4">
      <c r="A161" s="2" t="s">
        <v>367</v>
      </c>
      <c r="B161" s="2"/>
      <c r="C161" s="2"/>
      <c r="D161" s="2"/>
      <c r="E161" s="2"/>
      <c r="F161" s="2"/>
      <c r="G161" s="2"/>
      <c r="H161" s="2"/>
      <c r="I161" s="2">
        <v>66.449200000000005</v>
      </c>
      <c r="J161" s="2">
        <v>177</v>
      </c>
      <c r="K161" s="2">
        <v>65.694299999999998</v>
      </c>
      <c r="L161" s="2">
        <v>210</v>
      </c>
      <c r="M161" s="2">
        <v>107.67959999999999</v>
      </c>
      <c r="N161" s="2">
        <v>100</v>
      </c>
      <c r="O161" s="2">
        <v>105.3777</v>
      </c>
      <c r="P161" s="2">
        <v>159</v>
      </c>
      <c r="Q161" s="2">
        <v>103.429</v>
      </c>
      <c r="R161" s="2">
        <v>135</v>
      </c>
      <c r="S161" s="2">
        <v>105.4639</v>
      </c>
      <c r="T161" s="2">
        <v>186</v>
      </c>
      <c r="U161" s="2">
        <v>0.49764900000000001</v>
      </c>
      <c r="V161" s="2">
        <v>160</v>
      </c>
      <c r="W161" s="2">
        <v>2014</v>
      </c>
    </row>
    <row r="162" spans="1:23" ht="12.3" x14ac:dyDescent="0.4">
      <c r="A162" s="2" t="s">
        <v>74</v>
      </c>
      <c r="B162" s="2"/>
      <c r="C162" s="2"/>
      <c r="D162" s="2"/>
      <c r="E162" s="2"/>
      <c r="F162" s="2"/>
      <c r="G162" s="2"/>
      <c r="H162" s="2"/>
      <c r="I162" s="2">
        <v>66.068899999999999</v>
      </c>
      <c r="J162" s="2">
        <v>198</v>
      </c>
      <c r="K162" s="2">
        <v>65.396600000000007</v>
      </c>
      <c r="L162" s="2">
        <v>225</v>
      </c>
      <c r="M162" s="2">
        <v>103.59650000000001</v>
      </c>
      <c r="N162" s="2">
        <v>201</v>
      </c>
      <c r="O162" s="2">
        <v>102.17870000000001</v>
      </c>
      <c r="P162" s="2">
        <v>215</v>
      </c>
      <c r="Q162" s="2">
        <v>102.8193</v>
      </c>
      <c r="R162" s="2">
        <v>118</v>
      </c>
      <c r="S162" s="2">
        <v>102.3878</v>
      </c>
      <c r="T162" s="2">
        <v>120</v>
      </c>
      <c r="U162" s="2">
        <v>0.49412299999999998</v>
      </c>
      <c r="V162" s="2">
        <v>161</v>
      </c>
      <c r="W162" s="2">
        <v>2014</v>
      </c>
    </row>
    <row r="163" spans="1:23" ht="12.3" x14ac:dyDescent="0.4">
      <c r="A163" s="2" t="s">
        <v>172</v>
      </c>
      <c r="B163" s="2"/>
      <c r="C163" s="2"/>
      <c r="D163" s="2"/>
      <c r="E163" s="2"/>
      <c r="F163" s="2"/>
      <c r="G163" s="2"/>
      <c r="H163" s="2"/>
      <c r="I163" s="2">
        <v>69.016900000000007</v>
      </c>
      <c r="J163" s="2">
        <v>67</v>
      </c>
      <c r="K163" s="2">
        <v>68.109200000000001</v>
      </c>
      <c r="L163" s="2">
        <v>89</v>
      </c>
      <c r="M163" s="2">
        <v>106.8248</v>
      </c>
      <c r="N163" s="2">
        <v>126</v>
      </c>
      <c r="O163" s="2">
        <v>106.13939999999999</v>
      </c>
      <c r="P163" s="2">
        <v>136</v>
      </c>
      <c r="Q163" s="2">
        <v>103.1433</v>
      </c>
      <c r="R163" s="2">
        <v>124</v>
      </c>
      <c r="S163" s="2">
        <v>106.41540000000001</v>
      </c>
      <c r="T163" s="2">
        <v>206</v>
      </c>
      <c r="U163" s="2">
        <v>0.49253400000000003</v>
      </c>
      <c r="V163" s="2">
        <v>162</v>
      </c>
      <c r="W163" s="2">
        <v>2014</v>
      </c>
    </row>
    <row r="164" spans="1:23" ht="12.3" x14ac:dyDescent="0.4">
      <c r="A164" s="2" t="s">
        <v>122</v>
      </c>
      <c r="B164" s="2">
        <v>15</v>
      </c>
      <c r="C164" s="2"/>
      <c r="D164" s="2"/>
      <c r="E164" s="2"/>
      <c r="F164" s="2"/>
      <c r="G164" s="2"/>
      <c r="H164" s="2"/>
      <c r="I164" s="2">
        <v>67.593299999999999</v>
      </c>
      <c r="J164" s="2">
        <v>123</v>
      </c>
      <c r="K164" s="2">
        <v>67.499600000000001</v>
      </c>
      <c r="L164" s="2">
        <v>112</v>
      </c>
      <c r="M164" s="2">
        <v>103.1606</v>
      </c>
      <c r="N164" s="2">
        <v>207</v>
      </c>
      <c r="O164" s="2">
        <v>104.51090000000001</v>
      </c>
      <c r="P164" s="2">
        <v>177</v>
      </c>
      <c r="Q164" s="2">
        <v>103.8617</v>
      </c>
      <c r="R164" s="2">
        <v>147</v>
      </c>
      <c r="S164" s="2">
        <v>104.90940000000001</v>
      </c>
      <c r="T164" s="2">
        <v>172</v>
      </c>
      <c r="U164" s="2">
        <v>0.48905900000000002</v>
      </c>
      <c r="V164" s="2">
        <v>163</v>
      </c>
      <c r="W164" s="2">
        <v>2014</v>
      </c>
    </row>
    <row r="165" spans="1:23" ht="12.3" x14ac:dyDescent="0.4">
      <c r="A165" s="2" t="s">
        <v>257</v>
      </c>
      <c r="B165" s="2"/>
      <c r="C165" s="2"/>
      <c r="D165" s="2"/>
      <c r="E165" s="2"/>
      <c r="F165" s="2"/>
      <c r="G165" s="2"/>
      <c r="H165" s="2"/>
      <c r="I165" s="2">
        <v>64.661600000000007</v>
      </c>
      <c r="J165" s="2">
        <v>267</v>
      </c>
      <c r="K165" s="2">
        <v>65.165199999999999</v>
      </c>
      <c r="L165" s="2">
        <v>240</v>
      </c>
      <c r="M165" s="2">
        <v>111.64409999999999</v>
      </c>
      <c r="N165" s="2">
        <v>45</v>
      </c>
      <c r="O165" s="2">
        <v>111.99039999999999</v>
      </c>
      <c r="P165" s="2">
        <v>44</v>
      </c>
      <c r="Q165" s="2">
        <v>110.5776</v>
      </c>
      <c r="R165" s="2">
        <v>307</v>
      </c>
      <c r="S165" s="2">
        <v>112.51349999999999</v>
      </c>
      <c r="T165" s="2">
        <v>320</v>
      </c>
      <c r="U165" s="2">
        <v>0.48660399999999998</v>
      </c>
      <c r="V165" s="2">
        <v>164</v>
      </c>
      <c r="W165" s="2">
        <v>2014</v>
      </c>
    </row>
    <row r="166" spans="1:23" ht="12.3" x14ac:dyDescent="0.4">
      <c r="A166" s="2" t="s">
        <v>336</v>
      </c>
      <c r="B166" s="2"/>
      <c r="C166" s="2"/>
      <c r="D166" s="2"/>
      <c r="E166" s="2"/>
      <c r="F166" s="2"/>
      <c r="G166" s="2"/>
      <c r="H166" s="2"/>
      <c r="I166" s="2">
        <v>66.051100000000005</v>
      </c>
      <c r="J166" s="2">
        <v>201</v>
      </c>
      <c r="K166" s="2">
        <v>66.002200000000002</v>
      </c>
      <c r="L166" s="2">
        <v>198</v>
      </c>
      <c r="M166" s="2">
        <v>107.0643</v>
      </c>
      <c r="N166" s="2">
        <v>115</v>
      </c>
      <c r="O166" s="2">
        <v>105.0478</v>
      </c>
      <c r="P166" s="2">
        <v>167</v>
      </c>
      <c r="Q166" s="2">
        <v>99.036100000000005</v>
      </c>
      <c r="R166" s="2">
        <v>62</v>
      </c>
      <c r="S166" s="2">
        <v>105.5716</v>
      </c>
      <c r="T166" s="2">
        <v>189</v>
      </c>
      <c r="U166" s="2">
        <v>0.485705</v>
      </c>
      <c r="V166" s="2">
        <v>165</v>
      </c>
      <c r="W166" s="2">
        <v>2014</v>
      </c>
    </row>
    <row r="167" spans="1:23" ht="12.3" x14ac:dyDescent="0.4">
      <c r="A167" s="2" t="s">
        <v>79</v>
      </c>
      <c r="B167" s="2"/>
      <c r="C167" s="2"/>
      <c r="D167" s="2"/>
      <c r="E167" s="2"/>
      <c r="F167" s="2"/>
      <c r="G167" s="2"/>
      <c r="H167" s="2"/>
      <c r="I167" s="2">
        <v>66.444500000000005</v>
      </c>
      <c r="J167" s="2">
        <v>178</v>
      </c>
      <c r="K167" s="2">
        <v>67.124399999999994</v>
      </c>
      <c r="L167" s="2">
        <v>134</v>
      </c>
      <c r="M167" s="2">
        <v>106.2962</v>
      </c>
      <c r="N167" s="2">
        <v>138</v>
      </c>
      <c r="O167" s="2">
        <v>106.5647</v>
      </c>
      <c r="P167" s="2">
        <v>130</v>
      </c>
      <c r="Q167" s="2">
        <v>108.74290000000001</v>
      </c>
      <c r="R167" s="2">
        <v>269</v>
      </c>
      <c r="S167" s="2">
        <v>107.1125</v>
      </c>
      <c r="T167" s="2">
        <v>220</v>
      </c>
      <c r="U167" s="2">
        <v>0.485263</v>
      </c>
      <c r="V167" s="2">
        <v>166</v>
      </c>
      <c r="W167" s="2">
        <v>2014</v>
      </c>
    </row>
    <row r="168" spans="1:23" ht="12.3" x14ac:dyDescent="0.4">
      <c r="A168" s="2" t="s">
        <v>259</v>
      </c>
      <c r="B168" s="2"/>
      <c r="C168" s="2"/>
      <c r="D168" s="2"/>
      <c r="E168" s="2"/>
      <c r="F168" s="2"/>
      <c r="G168" s="2"/>
      <c r="H168" s="2"/>
      <c r="I168" s="2">
        <v>76.594899999999996</v>
      </c>
      <c r="J168" s="2">
        <v>1</v>
      </c>
      <c r="K168" s="2">
        <v>75.5732</v>
      </c>
      <c r="L168" s="2">
        <v>1</v>
      </c>
      <c r="M168" s="2">
        <v>109.8664</v>
      </c>
      <c r="N168" s="2">
        <v>61</v>
      </c>
      <c r="O168" s="2">
        <v>108.43859999999999</v>
      </c>
      <c r="P168" s="2">
        <v>93</v>
      </c>
      <c r="Q168" s="2">
        <v>108.25960000000001</v>
      </c>
      <c r="R168" s="2">
        <v>259</v>
      </c>
      <c r="S168" s="2">
        <v>109.02</v>
      </c>
      <c r="T168" s="2">
        <v>256</v>
      </c>
      <c r="U168" s="2">
        <v>0.48463200000000001</v>
      </c>
      <c r="V168" s="2">
        <v>167</v>
      </c>
      <c r="W168" s="2">
        <v>2014</v>
      </c>
    </row>
    <row r="169" spans="1:23" ht="12.3" x14ac:dyDescent="0.4">
      <c r="A169" s="2" t="s">
        <v>177</v>
      </c>
      <c r="B169" s="2"/>
      <c r="C169" s="2"/>
      <c r="D169" s="2"/>
      <c r="E169" s="2"/>
      <c r="F169" s="2"/>
      <c r="G169" s="2"/>
      <c r="H169" s="2"/>
      <c r="I169" s="2">
        <v>67.492599999999996</v>
      </c>
      <c r="J169" s="2">
        <v>126</v>
      </c>
      <c r="K169" s="2">
        <v>67.575100000000006</v>
      </c>
      <c r="L169" s="2">
        <v>110</v>
      </c>
      <c r="M169" s="2">
        <v>103.6409</v>
      </c>
      <c r="N169" s="2">
        <v>198</v>
      </c>
      <c r="O169" s="2">
        <v>105.705</v>
      </c>
      <c r="P169" s="2">
        <v>147</v>
      </c>
      <c r="Q169" s="2">
        <v>108.1947</v>
      </c>
      <c r="R169" s="2">
        <v>257</v>
      </c>
      <c r="S169" s="2">
        <v>106.3177</v>
      </c>
      <c r="T169" s="2">
        <v>204</v>
      </c>
      <c r="U169" s="2">
        <v>0.48338999999999999</v>
      </c>
      <c r="V169" s="2">
        <v>168</v>
      </c>
      <c r="W169" s="2">
        <v>2014</v>
      </c>
    </row>
    <row r="170" spans="1:23" ht="12.3" x14ac:dyDescent="0.4">
      <c r="A170" s="2" t="s">
        <v>170</v>
      </c>
      <c r="B170" s="2">
        <v>16</v>
      </c>
      <c r="C170" s="2"/>
      <c r="D170" s="2"/>
      <c r="E170" s="2"/>
      <c r="F170" s="2"/>
      <c r="G170" s="2"/>
      <c r="H170" s="2"/>
      <c r="I170" s="2">
        <v>63.997999999999998</v>
      </c>
      <c r="J170" s="2">
        <v>291</v>
      </c>
      <c r="K170" s="2">
        <v>64.382499999999993</v>
      </c>
      <c r="L170" s="2">
        <v>272</v>
      </c>
      <c r="M170" s="2">
        <v>110.6741</v>
      </c>
      <c r="N170" s="2">
        <v>54</v>
      </c>
      <c r="O170" s="2">
        <v>105.6284</v>
      </c>
      <c r="P170" s="2">
        <v>150</v>
      </c>
      <c r="Q170" s="2">
        <v>105.0247</v>
      </c>
      <c r="R170" s="2">
        <v>179</v>
      </c>
      <c r="S170" s="2">
        <v>106.4341</v>
      </c>
      <c r="T170" s="2">
        <v>207</v>
      </c>
      <c r="U170" s="2">
        <v>0.47816999999999998</v>
      </c>
      <c r="V170" s="2">
        <v>169</v>
      </c>
      <c r="W170" s="2">
        <v>2014</v>
      </c>
    </row>
    <row r="171" spans="1:23" ht="12.3" x14ac:dyDescent="0.4">
      <c r="A171" s="2" t="s">
        <v>123</v>
      </c>
      <c r="B171" s="2"/>
      <c r="C171" s="2"/>
      <c r="D171" s="2"/>
      <c r="E171" s="2"/>
      <c r="F171" s="2"/>
      <c r="G171" s="2"/>
      <c r="H171" s="2"/>
      <c r="I171" s="2">
        <v>68.95</v>
      </c>
      <c r="J171" s="2">
        <v>69</v>
      </c>
      <c r="K171" s="2">
        <v>68.581000000000003</v>
      </c>
      <c r="L171" s="2">
        <v>69</v>
      </c>
      <c r="M171" s="2">
        <v>101.2285</v>
      </c>
      <c r="N171" s="2">
        <v>245</v>
      </c>
      <c r="O171" s="2">
        <v>105.6799</v>
      </c>
      <c r="P171" s="2">
        <v>148</v>
      </c>
      <c r="Q171" s="2">
        <v>110.0386</v>
      </c>
      <c r="R171" s="2">
        <v>295</v>
      </c>
      <c r="S171" s="2">
        <v>106.495</v>
      </c>
      <c r="T171" s="2">
        <v>210</v>
      </c>
      <c r="U171" s="2">
        <v>0.47792299999999999</v>
      </c>
      <c r="V171" s="2">
        <v>170</v>
      </c>
      <c r="W171" s="2">
        <v>2014</v>
      </c>
    </row>
    <row r="172" spans="1:23" ht="12.3" x14ac:dyDescent="0.4">
      <c r="A172" s="2" t="s">
        <v>160</v>
      </c>
      <c r="B172" s="2"/>
      <c r="C172" s="2"/>
      <c r="D172" s="2"/>
      <c r="E172" s="2"/>
      <c r="F172" s="2"/>
      <c r="G172" s="2"/>
      <c r="H172" s="2"/>
      <c r="I172" s="2">
        <v>64.767499999999998</v>
      </c>
      <c r="J172" s="2">
        <v>261</v>
      </c>
      <c r="K172" s="2">
        <v>65.2256</v>
      </c>
      <c r="L172" s="2">
        <v>237</v>
      </c>
      <c r="M172" s="2">
        <v>101.0138</v>
      </c>
      <c r="N172" s="2">
        <v>249</v>
      </c>
      <c r="O172" s="2">
        <v>100.7765</v>
      </c>
      <c r="P172" s="2">
        <v>241</v>
      </c>
      <c r="Q172" s="2">
        <v>102.7927</v>
      </c>
      <c r="R172" s="2">
        <v>115</v>
      </c>
      <c r="S172" s="2">
        <v>101.63330000000001</v>
      </c>
      <c r="T172" s="2">
        <v>105</v>
      </c>
      <c r="U172" s="2">
        <v>0.47567999999999999</v>
      </c>
      <c r="V172" s="2">
        <v>171</v>
      </c>
      <c r="W172" s="2">
        <v>2014</v>
      </c>
    </row>
    <row r="173" spans="1:23" ht="12.3" x14ac:dyDescent="0.4">
      <c r="A173" s="2" t="s">
        <v>196</v>
      </c>
      <c r="B173" s="2"/>
      <c r="C173" s="2"/>
      <c r="D173" s="2"/>
      <c r="E173" s="2"/>
      <c r="F173" s="2"/>
      <c r="G173" s="2"/>
      <c r="H173" s="2"/>
      <c r="I173" s="2">
        <v>67.626800000000003</v>
      </c>
      <c r="J173" s="2">
        <v>122</v>
      </c>
      <c r="K173" s="2">
        <v>66.430800000000005</v>
      </c>
      <c r="L173" s="2">
        <v>172</v>
      </c>
      <c r="M173" s="2">
        <v>101.9191</v>
      </c>
      <c r="N173" s="2">
        <v>232</v>
      </c>
      <c r="O173" s="2">
        <v>100.9132</v>
      </c>
      <c r="P173" s="2">
        <v>239</v>
      </c>
      <c r="Q173" s="2">
        <v>104.01349999999999</v>
      </c>
      <c r="R173" s="2">
        <v>151</v>
      </c>
      <c r="S173" s="2">
        <v>101.9508</v>
      </c>
      <c r="T173" s="2">
        <v>112</v>
      </c>
      <c r="U173" s="2">
        <v>0.47062199999999998</v>
      </c>
      <c r="V173" s="2">
        <v>172</v>
      </c>
      <c r="W173" s="2">
        <v>2014</v>
      </c>
    </row>
    <row r="174" spans="1:23" ht="12.3" x14ac:dyDescent="0.4">
      <c r="A174" s="2" t="s">
        <v>189</v>
      </c>
      <c r="B174" s="2">
        <v>16</v>
      </c>
      <c r="C174" s="2"/>
      <c r="D174" s="2"/>
      <c r="E174" s="2"/>
      <c r="F174" s="2"/>
      <c r="G174" s="2"/>
      <c r="H174" s="2"/>
      <c r="I174" s="2">
        <v>60.651200000000003</v>
      </c>
      <c r="J174" s="2">
        <v>344</v>
      </c>
      <c r="K174" s="2">
        <v>60.156500000000001</v>
      </c>
      <c r="L174" s="2">
        <v>347</v>
      </c>
      <c r="M174" s="2">
        <v>102.5043</v>
      </c>
      <c r="N174" s="2">
        <v>218</v>
      </c>
      <c r="O174" s="2">
        <v>103.2247</v>
      </c>
      <c r="P174" s="2">
        <v>197</v>
      </c>
      <c r="Q174" s="2">
        <v>106.56010000000001</v>
      </c>
      <c r="R174" s="2">
        <v>219</v>
      </c>
      <c r="S174" s="2">
        <v>104.3188</v>
      </c>
      <c r="T174" s="2">
        <v>164</v>
      </c>
      <c r="U174" s="2">
        <v>0.46972599999999998</v>
      </c>
      <c r="V174" s="2">
        <v>173</v>
      </c>
      <c r="W174" s="2">
        <v>2014</v>
      </c>
    </row>
    <row r="175" spans="1:23" ht="12.3" x14ac:dyDescent="0.4">
      <c r="A175" s="2" t="s">
        <v>215</v>
      </c>
      <c r="B175" s="2"/>
      <c r="C175" s="2"/>
      <c r="D175" s="2"/>
      <c r="E175" s="2"/>
      <c r="F175" s="2"/>
      <c r="G175" s="2"/>
      <c r="H175" s="2"/>
      <c r="I175" s="2">
        <v>69.176900000000003</v>
      </c>
      <c r="J175" s="2">
        <v>61</v>
      </c>
      <c r="K175" s="2">
        <v>68.026700000000005</v>
      </c>
      <c r="L175" s="2">
        <v>97</v>
      </c>
      <c r="M175" s="2">
        <v>102.4148</v>
      </c>
      <c r="N175" s="2">
        <v>222</v>
      </c>
      <c r="O175" s="2">
        <v>98.231399999999994</v>
      </c>
      <c r="P175" s="2">
        <v>280</v>
      </c>
      <c r="Q175" s="2">
        <v>98.103499999999997</v>
      </c>
      <c r="R175" s="2">
        <v>49</v>
      </c>
      <c r="S175" s="2">
        <v>99.428799999999995</v>
      </c>
      <c r="T175" s="2">
        <v>67</v>
      </c>
      <c r="U175" s="2">
        <v>0.465223</v>
      </c>
      <c r="V175" s="2">
        <v>174</v>
      </c>
      <c r="W175" s="2">
        <v>2014</v>
      </c>
    </row>
    <row r="176" spans="1:23" ht="12.3" x14ac:dyDescent="0.4">
      <c r="A176" s="2" t="s">
        <v>207</v>
      </c>
      <c r="B176" s="2"/>
      <c r="C176" s="2"/>
      <c r="D176" s="2"/>
      <c r="E176" s="2"/>
      <c r="F176" s="2"/>
      <c r="G176" s="2"/>
      <c r="H176" s="2"/>
      <c r="I176" s="2">
        <v>67.281000000000006</v>
      </c>
      <c r="J176" s="2">
        <v>135</v>
      </c>
      <c r="K176" s="2">
        <v>67.271600000000007</v>
      </c>
      <c r="L176" s="2">
        <v>125</v>
      </c>
      <c r="M176" s="2">
        <v>101.43519999999999</v>
      </c>
      <c r="N176" s="2">
        <v>241</v>
      </c>
      <c r="O176" s="2">
        <v>105.1992</v>
      </c>
      <c r="P176" s="2">
        <v>163</v>
      </c>
      <c r="Q176" s="2">
        <v>111.0547</v>
      </c>
      <c r="R176" s="2">
        <v>313</v>
      </c>
      <c r="S176" s="2">
        <v>106.51390000000001</v>
      </c>
      <c r="T176" s="2">
        <v>211</v>
      </c>
      <c r="U176" s="2">
        <v>0.46435399999999999</v>
      </c>
      <c r="V176" s="2">
        <v>175</v>
      </c>
      <c r="W176" s="2">
        <v>2014</v>
      </c>
    </row>
    <row r="177" spans="1:23" ht="12.3" x14ac:dyDescent="0.4">
      <c r="A177" s="2" t="s">
        <v>63</v>
      </c>
      <c r="B177" s="2"/>
      <c r="C177" s="2"/>
      <c r="D177" s="2"/>
      <c r="E177" s="2"/>
      <c r="F177" s="2"/>
      <c r="G177" s="2"/>
      <c r="H177" s="2"/>
      <c r="I177" s="2">
        <v>69.722399999999993</v>
      </c>
      <c r="J177" s="2">
        <v>46</v>
      </c>
      <c r="K177" s="2">
        <v>69.433999999999997</v>
      </c>
      <c r="L177" s="2">
        <v>48</v>
      </c>
      <c r="M177" s="2">
        <v>101.7757</v>
      </c>
      <c r="N177" s="2">
        <v>234</v>
      </c>
      <c r="O177" s="2">
        <v>101.5373</v>
      </c>
      <c r="P177" s="2">
        <v>231</v>
      </c>
      <c r="Q177" s="2">
        <v>101.66079999999999</v>
      </c>
      <c r="R177" s="2">
        <v>102</v>
      </c>
      <c r="S177" s="2">
        <v>102.87560000000001</v>
      </c>
      <c r="T177" s="2">
        <v>133</v>
      </c>
      <c r="U177" s="2">
        <v>0.462426</v>
      </c>
      <c r="V177" s="2">
        <v>176</v>
      </c>
      <c r="W177" s="2">
        <v>2014</v>
      </c>
    </row>
    <row r="178" spans="1:23" ht="12.3" x14ac:dyDescent="0.4">
      <c r="A178" s="2" t="s">
        <v>339</v>
      </c>
      <c r="B178" s="2">
        <v>16</v>
      </c>
      <c r="C178" s="2"/>
      <c r="D178" s="2"/>
      <c r="E178" s="2"/>
      <c r="F178" s="2"/>
      <c r="G178" s="2"/>
      <c r="H178" s="2"/>
      <c r="I178" s="2">
        <v>63.094900000000003</v>
      </c>
      <c r="J178" s="2">
        <v>323</v>
      </c>
      <c r="K178" s="2">
        <v>63.242800000000003</v>
      </c>
      <c r="L178" s="2">
        <v>313</v>
      </c>
      <c r="M178" s="2">
        <v>103.5767</v>
      </c>
      <c r="N178" s="2">
        <v>202</v>
      </c>
      <c r="O178" s="2">
        <v>101.87</v>
      </c>
      <c r="P178" s="2">
        <v>225</v>
      </c>
      <c r="Q178" s="2">
        <v>100.2026</v>
      </c>
      <c r="R178" s="2">
        <v>80</v>
      </c>
      <c r="S178" s="2">
        <v>103.36960000000001</v>
      </c>
      <c r="T178" s="2">
        <v>143</v>
      </c>
      <c r="U178" s="2">
        <v>0.45808300000000002</v>
      </c>
      <c r="V178" s="2">
        <v>177</v>
      </c>
      <c r="W178" s="2">
        <v>2014</v>
      </c>
    </row>
    <row r="179" spans="1:23" ht="12.3" x14ac:dyDescent="0.4">
      <c r="A179" s="2" t="s">
        <v>379</v>
      </c>
      <c r="B179" s="2"/>
      <c r="C179" s="2"/>
      <c r="D179" s="2"/>
      <c r="E179" s="2"/>
      <c r="F179" s="2"/>
      <c r="G179" s="2"/>
      <c r="H179" s="2"/>
      <c r="I179" s="2">
        <v>73.589600000000004</v>
      </c>
      <c r="J179" s="2">
        <v>5</v>
      </c>
      <c r="K179" s="2">
        <v>74.184100000000001</v>
      </c>
      <c r="L179" s="2">
        <v>4</v>
      </c>
      <c r="M179" s="2">
        <v>106.2724</v>
      </c>
      <c r="N179" s="2">
        <v>140</v>
      </c>
      <c r="O179" s="2">
        <v>103.68210000000001</v>
      </c>
      <c r="P179" s="2">
        <v>192</v>
      </c>
      <c r="Q179" s="2">
        <v>103.7987</v>
      </c>
      <c r="R179" s="2">
        <v>145</v>
      </c>
      <c r="S179" s="2">
        <v>105.2123</v>
      </c>
      <c r="T179" s="2">
        <v>176</v>
      </c>
      <c r="U179" s="2">
        <v>0.457978</v>
      </c>
      <c r="V179" s="2">
        <v>178</v>
      </c>
      <c r="W179" s="2">
        <v>2014</v>
      </c>
    </row>
    <row r="180" spans="1:23" ht="12.3" x14ac:dyDescent="0.4">
      <c r="A180" s="2" t="s">
        <v>68</v>
      </c>
      <c r="B180" s="2"/>
      <c r="C180" s="2"/>
      <c r="D180" s="2"/>
      <c r="E180" s="2"/>
      <c r="F180" s="2"/>
      <c r="G180" s="2"/>
      <c r="H180" s="2"/>
      <c r="I180" s="2">
        <v>66.2774</v>
      </c>
      <c r="J180" s="2">
        <v>190</v>
      </c>
      <c r="K180" s="2">
        <v>66.2209</v>
      </c>
      <c r="L180" s="2">
        <v>183</v>
      </c>
      <c r="M180" s="2">
        <v>100.80889999999999</v>
      </c>
      <c r="N180" s="2">
        <v>253</v>
      </c>
      <c r="O180" s="2">
        <v>100.6617</v>
      </c>
      <c r="P180" s="2">
        <v>244</v>
      </c>
      <c r="Q180" s="2">
        <v>100.8293</v>
      </c>
      <c r="R180" s="2">
        <v>89</v>
      </c>
      <c r="S180" s="2">
        <v>102.251</v>
      </c>
      <c r="T180" s="2">
        <v>117</v>
      </c>
      <c r="U180" s="2">
        <v>0.45508599999999999</v>
      </c>
      <c r="V180" s="2">
        <v>179</v>
      </c>
      <c r="W180" s="2">
        <v>2014</v>
      </c>
    </row>
    <row r="181" spans="1:23" ht="12.3" x14ac:dyDescent="0.4">
      <c r="A181" s="2" t="s">
        <v>369</v>
      </c>
      <c r="B181" s="2"/>
      <c r="C181" s="2"/>
      <c r="D181" s="2"/>
      <c r="E181" s="2"/>
      <c r="F181" s="2"/>
      <c r="G181" s="2"/>
      <c r="H181" s="2"/>
      <c r="I181" s="2">
        <v>68.400199999999998</v>
      </c>
      <c r="J181" s="2">
        <v>91</v>
      </c>
      <c r="K181" s="2">
        <v>68.305300000000003</v>
      </c>
      <c r="L181" s="2">
        <v>79</v>
      </c>
      <c r="M181" s="2">
        <v>104.36320000000001</v>
      </c>
      <c r="N181" s="2">
        <v>177</v>
      </c>
      <c r="O181" s="2">
        <v>100.2299</v>
      </c>
      <c r="P181" s="2">
        <v>255</v>
      </c>
      <c r="Q181" s="2">
        <v>98.599800000000002</v>
      </c>
      <c r="R181" s="2">
        <v>53</v>
      </c>
      <c r="S181" s="2">
        <v>101.8348</v>
      </c>
      <c r="T181" s="2">
        <v>110</v>
      </c>
      <c r="U181" s="2">
        <v>0.454457</v>
      </c>
      <c r="V181" s="2">
        <v>180</v>
      </c>
      <c r="W181" s="2">
        <v>2014</v>
      </c>
    </row>
    <row r="182" spans="1:23" ht="12.3" x14ac:dyDescent="0.4">
      <c r="A182" s="2" t="s">
        <v>247</v>
      </c>
      <c r="B182" s="2"/>
      <c r="C182" s="2"/>
      <c r="D182" s="2"/>
      <c r="E182" s="2"/>
      <c r="F182" s="2"/>
      <c r="G182" s="2"/>
      <c r="H182" s="2"/>
      <c r="I182" s="2">
        <v>62.743600000000001</v>
      </c>
      <c r="J182" s="2">
        <v>333</v>
      </c>
      <c r="K182" s="2">
        <v>63.978299999999997</v>
      </c>
      <c r="L182" s="2">
        <v>290</v>
      </c>
      <c r="M182" s="2">
        <v>108.8678</v>
      </c>
      <c r="N182" s="2">
        <v>77</v>
      </c>
      <c r="O182" s="2">
        <v>107.8245</v>
      </c>
      <c r="P182" s="2">
        <v>111</v>
      </c>
      <c r="Q182" s="2">
        <v>106.3506</v>
      </c>
      <c r="R182" s="2">
        <v>216</v>
      </c>
      <c r="S182" s="2">
        <v>109.7077</v>
      </c>
      <c r="T182" s="2">
        <v>271</v>
      </c>
      <c r="U182" s="2">
        <v>0.45038400000000001</v>
      </c>
      <c r="V182" s="2">
        <v>181</v>
      </c>
      <c r="W182" s="2">
        <v>2014</v>
      </c>
    </row>
    <row r="183" spans="1:23" ht="12.3" x14ac:dyDescent="0.4">
      <c r="A183" s="2" t="s">
        <v>190</v>
      </c>
      <c r="B183" s="2"/>
      <c r="C183" s="2"/>
      <c r="D183" s="2"/>
      <c r="E183" s="2"/>
      <c r="F183" s="2"/>
      <c r="G183" s="2"/>
      <c r="H183" s="2"/>
      <c r="I183" s="2">
        <v>64.159199999999998</v>
      </c>
      <c r="J183" s="2">
        <v>285</v>
      </c>
      <c r="K183" s="2">
        <v>63.862499999999997</v>
      </c>
      <c r="L183" s="2">
        <v>296</v>
      </c>
      <c r="M183" s="2">
        <v>98.140100000000004</v>
      </c>
      <c r="N183" s="2">
        <v>287</v>
      </c>
      <c r="O183" s="2">
        <v>99.351299999999995</v>
      </c>
      <c r="P183" s="2">
        <v>268</v>
      </c>
      <c r="Q183" s="2">
        <v>99.624300000000005</v>
      </c>
      <c r="R183" s="2">
        <v>69</v>
      </c>
      <c r="S183" s="2">
        <v>101.1384</v>
      </c>
      <c r="T183" s="2">
        <v>98</v>
      </c>
      <c r="U183" s="2">
        <v>0.44892199999999999</v>
      </c>
      <c r="V183" s="2">
        <v>182</v>
      </c>
      <c r="W183" s="2">
        <v>2014</v>
      </c>
    </row>
    <row r="184" spans="1:23" ht="12.3" x14ac:dyDescent="0.4">
      <c r="A184" s="2" t="s">
        <v>317</v>
      </c>
      <c r="B184" s="2"/>
      <c r="C184" s="2"/>
      <c r="D184" s="2"/>
      <c r="E184" s="2"/>
      <c r="F184" s="2"/>
      <c r="G184" s="2"/>
      <c r="H184" s="2"/>
      <c r="I184" s="2">
        <v>68.413499999999999</v>
      </c>
      <c r="J184" s="2">
        <v>90</v>
      </c>
      <c r="K184" s="2">
        <v>67.6554</v>
      </c>
      <c r="L184" s="2">
        <v>106</v>
      </c>
      <c r="M184" s="2">
        <v>106.9246</v>
      </c>
      <c r="N184" s="2">
        <v>123</v>
      </c>
      <c r="O184" s="2">
        <v>107.0091</v>
      </c>
      <c r="P184" s="2">
        <v>124</v>
      </c>
      <c r="Q184" s="2">
        <v>108.35120000000001</v>
      </c>
      <c r="R184" s="2">
        <v>261</v>
      </c>
      <c r="S184" s="2">
        <v>108.9491</v>
      </c>
      <c r="T184" s="2">
        <v>255</v>
      </c>
      <c r="U184" s="2">
        <v>0.44852900000000001</v>
      </c>
      <c r="V184" s="2">
        <v>183</v>
      </c>
      <c r="W184" s="2">
        <v>2014</v>
      </c>
    </row>
    <row r="185" spans="1:23" ht="12.3" x14ac:dyDescent="0.4">
      <c r="A185" s="2" t="s">
        <v>279</v>
      </c>
      <c r="B185" s="2">
        <v>15</v>
      </c>
      <c r="C185" s="2"/>
      <c r="D185" s="2"/>
      <c r="E185" s="2"/>
      <c r="F185" s="2"/>
      <c r="G185" s="2"/>
      <c r="H185" s="2"/>
      <c r="I185" s="2">
        <v>62.455500000000001</v>
      </c>
      <c r="J185" s="2">
        <v>338</v>
      </c>
      <c r="K185" s="2">
        <v>61.979500000000002</v>
      </c>
      <c r="L185" s="2">
        <v>339</v>
      </c>
      <c r="M185" s="2">
        <v>104.57810000000001</v>
      </c>
      <c r="N185" s="2">
        <v>174</v>
      </c>
      <c r="O185" s="2">
        <v>100.9265</v>
      </c>
      <c r="P185" s="2">
        <v>238</v>
      </c>
      <c r="Q185" s="2">
        <v>100.94499999999999</v>
      </c>
      <c r="R185" s="2">
        <v>91</v>
      </c>
      <c r="S185" s="2">
        <v>102.7681</v>
      </c>
      <c r="T185" s="2">
        <v>131</v>
      </c>
      <c r="U185" s="2">
        <v>0.44820100000000002</v>
      </c>
      <c r="V185" s="2">
        <v>184</v>
      </c>
      <c r="W185" s="2">
        <v>2014</v>
      </c>
    </row>
    <row r="186" spans="1:23" ht="12.3" x14ac:dyDescent="0.4">
      <c r="A186" s="2" t="s">
        <v>291</v>
      </c>
      <c r="B186" s="2"/>
      <c r="C186" s="2"/>
      <c r="D186" s="2"/>
      <c r="E186" s="2"/>
      <c r="F186" s="2"/>
      <c r="G186" s="2"/>
      <c r="H186" s="2"/>
      <c r="I186" s="2">
        <v>69.709900000000005</v>
      </c>
      <c r="J186" s="2">
        <v>47</v>
      </c>
      <c r="K186" s="2">
        <v>69.685299999999998</v>
      </c>
      <c r="L186" s="2">
        <v>41</v>
      </c>
      <c r="M186" s="2">
        <v>103.3678</v>
      </c>
      <c r="N186" s="2">
        <v>204</v>
      </c>
      <c r="O186" s="2">
        <v>104.0609</v>
      </c>
      <c r="P186" s="2">
        <v>180</v>
      </c>
      <c r="Q186" s="2">
        <v>109.9803</v>
      </c>
      <c r="R186" s="2">
        <v>294</v>
      </c>
      <c r="S186" s="2">
        <v>106.0003</v>
      </c>
      <c r="T186" s="2">
        <v>198</v>
      </c>
      <c r="U186" s="2">
        <v>0.44711000000000001</v>
      </c>
      <c r="V186" s="2">
        <v>185</v>
      </c>
      <c r="W186" s="2">
        <v>2014</v>
      </c>
    </row>
    <row r="187" spans="1:23" ht="12.3" x14ac:dyDescent="0.4">
      <c r="A187" s="2" t="s">
        <v>307</v>
      </c>
      <c r="B187" s="2"/>
      <c r="C187" s="2"/>
      <c r="D187" s="2"/>
      <c r="E187" s="2"/>
      <c r="F187" s="2"/>
      <c r="G187" s="2"/>
      <c r="H187" s="2"/>
      <c r="I187" s="2">
        <v>66.539299999999997</v>
      </c>
      <c r="J187" s="2">
        <v>170</v>
      </c>
      <c r="K187" s="2">
        <v>65.330299999999994</v>
      </c>
      <c r="L187" s="2">
        <v>232</v>
      </c>
      <c r="M187" s="2">
        <v>107.294</v>
      </c>
      <c r="N187" s="2">
        <v>108</v>
      </c>
      <c r="O187" s="2">
        <v>103.7492</v>
      </c>
      <c r="P187" s="2">
        <v>189</v>
      </c>
      <c r="Q187" s="2">
        <v>106.3425</v>
      </c>
      <c r="R187" s="2">
        <v>215</v>
      </c>
      <c r="S187" s="2">
        <v>105.6857</v>
      </c>
      <c r="T187" s="2">
        <v>194</v>
      </c>
      <c r="U187" s="2">
        <v>0.44703199999999998</v>
      </c>
      <c r="V187" s="2">
        <v>186</v>
      </c>
      <c r="W187" s="2">
        <v>2014</v>
      </c>
    </row>
    <row r="188" spans="1:23" ht="12.3" x14ac:dyDescent="0.4">
      <c r="A188" s="2" t="s">
        <v>239</v>
      </c>
      <c r="B188" s="2"/>
      <c r="C188" s="2"/>
      <c r="D188" s="2"/>
      <c r="E188" s="2"/>
      <c r="F188" s="2"/>
      <c r="G188" s="2"/>
      <c r="H188" s="2"/>
      <c r="I188" s="2">
        <v>63.011899999999997</v>
      </c>
      <c r="J188" s="2">
        <v>327</v>
      </c>
      <c r="K188" s="2">
        <v>62.1387</v>
      </c>
      <c r="L188" s="2">
        <v>336</v>
      </c>
      <c r="M188" s="2">
        <v>96.641499999999994</v>
      </c>
      <c r="N188" s="2">
        <v>311</v>
      </c>
      <c r="O188" s="2">
        <v>101.20059999999999</v>
      </c>
      <c r="P188" s="2">
        <v>233</v>
      </c>
      <c r="Q188" s="2">
        <v>107.0035</v>
      </c>
      <c r="R188" s="2">
        <v>229</v>
      </c>
      <c r="S188" s="2">
        <v>103.0934</v>
      </c>
      <c r="T188" s="2">
        <v>138</v>
      </c>
      <c r="U188" s="2">
        <v>0.44692599999999999</v>
      </c>
      <c r="V188" s="2">
        <v>187</v>
      </c>
      <c r="W188" s="2">
        <v>2014</v>
      </c>
    </row>
    <row r="189" spans="1:23" ht="12.3" x14ac:dyDescent="0.4">
      <c r="A189" s="2" t="s">
        <v>201</v>
      </c>
      <c r="B189" s="2"/>
      <c r="C189" s="2"/>
      <c r="D189" s="2"/>
      <c r="E189" s="2"/>
      <c r="F189" s="2"/>
      <c r="G189" s="2"/>
      <c r="H189" s="2"/>
      <c r="I189" s="2">
        <v>70.049000000000007</v>
      </c>
      <c r="J189" s="2">
        <v>40</v>
      </c>
      <c r="K189" s="2">
        <v>69.149900000000002</v>
      </c>
      <c r="L189" s="2">
        <v>56</v>
      </c>
      <c r="M189" s="2">
        <v>104.82259999999999</v>
      </c>
      <c r="N189" s="2">
        <v>170</v>
      </c>
      <c r="O189" s="2">
        <v>102.1961</v>
      </c>
      <c r="P189" s="2">
        <v>214</v>
      </c>
      <c r="Q189" s="2">
        <v>103.172</v>
      </c>
      <c r="R189" s="2">
        <v>126</v>
      </c>
      <c r="S189" s="2">
        <v>104.151</v>
      </c>
      <c r="T189" s="2">
        <v>157</v>
      </c>
      <c r="U189" s="2">
        <v>0.445739</v>
      </c>
      <c r="V189" s="2">
        <v>188</v>
      </c>
      <c r="W189" s="2">
        <v>2014</v>
      </c>
    </row>
    <row r="190" spans="1:23" ht="12.3" x14ac:dyDescent="0.4">
      <c r="A190" s="2" t="s">
        <v>138</v>
      </c>
      <c r="B190" s="2"/>
      <c r="C190" s="2"/>
      <c r="D190" s="2"/>
      <c r="E190" s="2"/>
      <c r="F190" s="2"/>
      <c r="G190" s="2"/>
      <c r="H190" s="2"/>
      <c r="I190" s="2">
        <v>65.379800000000003</v>
      </c>
      <c r="J190" s="2">
        <v>232</v>
      </c>
      <c r="K190" s="2">
        <v>64.438000000000002</v>
      </c>
      <c r="L190" s="2">
        <v>270</v>
      </c>
      <c r="M190" s="2">
        <v>108.6315</v>
      </c>
      <c r="N190" s="2">
        <v>81</v>
      </c>
      <c r="O190" s="2">
        <v>107.44119999999999</v>
      </c>
      <c r="P190" s="2">
        <v>118</v>
      </c>
      <c r="Q190" s="2">
        <v>106.5638</v>
      </c>
      <c r="R190" s="2">
        <v>220</v>
      </c>
      <c r="S190" s="2">
        <v>109.73390000000001</v>
      </c>
      <c r="T190" s="2">
        <v>272</v>
      </c>
      <c r="U190" s="2">
        <v>0.43959199999999998</v>
      </c>
      <c r="V190" s="2">
        <v>189</v>
      </c>
      <c r="W190" s="2">
        <v>2014</v>
      </c>
    </row>
    <row r="191" spans="1:23" ht="12.3" x14ac:dyDescent="0.4">
      <c r="A191" s="2" t="s">
        <v>349</v>
      </c>
      <c r="B191" s="2">
        <v>16</v>
      </c>
      <c r="C191" s="2"/>
      <c r="D191" s="2"/>
      <c r="E191" s="2"/>
      <c r="F191" s="2"/>
      <c r="G191" s="2"/>
      <c r="H191" s="2"/>
      <c r="I191" s="2">
        <v>70.174999999999997</v>
      </c>
      <c r="J191" s="2">
        <v>38</v>
      </c>
      <c r="K191" s="2">
        <v>70.066699999999997</v>
      </c>
      <c r="L191" s="2">
        <v>31</v>
      </c>
      <c r="M191" s="2">
        <v>108.13930000000001</v>
      </c>
      <c r="N191" s="2">
        <v>90</v>
      </c>
      <c r="O191" s="2">
        <v>108.3479</v>
      </c>
      <c r="P191" s="2">
        <v>95</v>
      </c>
      <c r="Q191" s="2">
        <v>110.2093</v>
      </c>
      <c r="R191" s="2">
        <v>300</v>
      </c>
      <c r="S191" s="2">
        <v>110.67829999999999</v>
      </c>
      <c r="T191" s="2">
        <v>287</v>
      </c>
      <c r="U191" s="2">
        <v>0.43912400000000001</v>
      </c>
      <c r="V191" s="2">
        <v>190</v>
      </c>
      <c r="W191" s="2">
        <v>2014</v>
      </c>
    </row>
    <row r="192" spans="1:23" ht="12.3" x14ac:dyDescent="0.4">
      <c r="A192" s="2" t="s">
        <v>159</v>
      </c>
      <c r="B192" s="2"/>
      <c r="C192" s="2"/>
      <c r="D192" s="2"/>
      <c r="E192" s="2"/>
      <c r="F192" s="2"/>
      <c r="G192" s="2"/>
      <c r="H192" s="2"/>
      <c r="I192" s="2">
        <v>63.649299999999997</v>
      </c>
      <c r="J192" s="2">
        <v>306</v>
      </c>
      <c r="K192" s="2">
        <v>63.608800000000002</v>
      </c>
      <c r="L192" s="2">
        <v>303</v>
      </c>
      <c r="M192" s="2">
        <v>97.113399999999999</v>
      </c>
      <c r="N192" s="2">
        <v>303</v>
      </c>
      <c r="O192" s="2">
        <v>98.137699999999995</v>
      </c>
      <c r="P192" s="2">
        <v>283</v>
      </c>
      <c r="Q192" s="2">
        <v>104.3964</v>
      </c>
      <c r="R192" s="2">
        <v>161</v>
      </c>
      <c r="S192" s="2">
        <v>100.4194</v>
      </c>
      <c r="T192" s="2">
        <v>86</v>
      </c>
      <c r="U192" s="2">
        <v>0.43430200000000002</v>
      </c>
      <c r="V192" s="2">
        <v>191</v>
      </c>
      <c r="W192" s="2">
        <v>2014</v>
      </c>
    </row>
    <row r="193" spans="1:23" ht="12.3" x14ac:dyDescent="0.4">
      <c r="A193" s="2" t="s">
        <v>165</v>
      </c>
      <c r="B193" s="2"/>
      <c r="C193" s="2"/>
      <c r="D193" s="2"/>
      <c r="E193" s="2"/>
      <c r="F193" s="2"/>
      <c r="G193" s="2"/>
      <c r="H193" s="2"/>
      <c r="I193" s="2">
        <v>69.070400000000006</v>
      </c>
      <c r="J193" s="2">
        <v>65</v>
      </c>
      <c r="K193" s="2">
        <v>69.123599999999996</v>
      </c>
      <c r="L193" s="2">
        <v>57</v>
      </c>
      <c r="M193" s="2">
        <v>105.3484</v>
      </c>
      <c r="N193" s="2">
        <v>160</v>
      </c>
      <c r="O193" s="2">
        <v>109.00020000000001</v>
      </c>
      <c r="P193" s="2">
        <v>88</v>
      </c>
      <c r="Q193" s="2">
        <v>112.78360000000001</v>
      </c>
      <c r="R193" s="2">
        <v>329</v>
      </c>
      <c r="S193" s="2">
        <v>111.6022</v>
      </c>
      <c r="T193" s="2">
        <v>304</v>
      </c>
      <c r="U193" s="2">
        <v>0.43258799999999997</v>
      </c>
      <c r="V193" s="2">
        <v>192</v>
      </c>
      <c r="W193" s="2">
        <v>2014</v>
      </c>
    </row>
    <row r="194" spans="1:23" ht="12.3" x14ac:dyDescent="0.4">
      <c r="A194" s="2" t="s">
        <v>53</v>
      </c>
      <c r="B194" s="2"/>
      <c r="C194" s="2"/>
      <c r="D194" s="2"/>
      <c r="E194" s="2"/>
      <c r="F194" s="2"/>
      <c r="G194" s="2"/>
      <c r="H194" s="2"/>
      <c r="I194" s="2">
        <v>66.276899999999998</v>
      </c>
      <c r="J194" s="2">
        <v>191</v>
      </c>
      <c r="K194" s="2">
        <v>66.642099999999999</v>
      </c>
      <c r="L194" s="2">
        <v>161</v>
      </c>
      <c r="M194" s="2">
        <v>103.6</v>
      </c>
      <c r="N194" s="2">
        <v>200</v>
      </c>
      <c r="O194" s="2">
        <v>102.9118</v>
      </c>
      <c r="P194" s="2">
        <v>205</v>
      </c>
      <c r="Q194" s="2">
        <v>103.37479999999999</v>
      </c>
      <c r="R194" s="2">
        <v>133</v>
      </c>
      <c r="S194" s="2">
        <v>105.4273</v>
      </c>
      <c r="T194" s="2">
        <v>183</v>
      </c>
      <c r="U194" s="2">
        <v>0.43101499999999998</v>
      </c>
      <c r="V194" s="2">
        <v>193</v>
      </c>
      <c r="W194" s="2">
        <v>2014</v>
      </c>
    </row>
    <row r="195" spans="1:23" ht="12.3" x14ac:dyDescent="0.4">
      <c r="A195" s="2" t="s">
        <v>132</v>
      </c>
      <c r="B195" s="2"/>
      <c r="C195" s="2"/>
      <c r="D195" s="2"/>
      <c r="E195" s="2"/>
      <c r="F195" s="2"/>
      <c r="G195" s="2"/>
      <c r="H195" s="2"/>
      <c r="I195" s="2">
        <v>67.809200000000004</v>
      </c>
      <c r="J195" s="2">
        <v>114</v>
      </c>
      <c r="K195" s="2">
        <v>67.811099999999996</v>
      </c>
      <c r="L195" s="2">
        <v>102</v>
      </c>
      <c r="M195" s="2">
        <v>99.876400000000004</v>
      </c>
      <c r="N195" s="2">
        <v>264</v>
      </c>
      <c r="O195" s="2">
        <v>100.5562</v>
      </c>
      <c r="P195" s="2">
        <v>247</v>
      </c>
      <c r="Q195" s="2">
        <v>104.1956</v>
      </c>
      <c r="R195" s="2">
        <v>157</v>
      </c>
      <c r="S195" s="2">
        <v>103.0188</v>
      </c>
      <c r="T195" s="2">
        <v>136</v>
      </c>
      <c r="U195" s="2">
        <v>0.43088500000000002</v>
      </c>
      <c r="V195" s="2">
        <v>194</v>
      </c>
      <c r="W195" s="2">
        <v>2014</v>
      </c>
    </row>
    <row r="196" spans="1:23" ht="12.3" x14ac:dyDescent="0.4">
      <c r="A196" s="2" t="s">
        <v>225</v>
      </c>
      <c r="B196" s="2"/>
      <c r="C196" s="2"/>
      <c r="D196" s="2"/>
      <c r="E196" s="2"/>
      <c r="F196" s="2"/>
      <c r="G196" s="2"/>
      <c r="H196" s="2"/>
      <c r="I196" s="2">
        <v>66.451499999999996</v>
      </c>
      <c r="J196" s="2">
        <v>176</v>
      </c>
      <c r="K196" s="2">
        <v>65.427199999999999</v>
      </c>
      <c r="L196" s="2">
        <v>222</v>
      </c>
      <c r="M196" s="2">
        <v>109.3531</v>
      </c>
      <c r="N196" s="2">
        <v>66</v>
      </c>
      <c r="O196" s="2">
        <v>105.38679999999999</v>
      </c>
      <c r="P196" s="2">
        <v>158</v>
      </c>
      <c r="Q196" s="2">
        <v>104.99169999999999</v>
      </c>
      <c r="R196" s="2">
        <v>178</v>
      </c>
      <c r="S196" s="2">
        <v>107.9699</v>
      </c>
      <c r="T196" s="2">
        <v>234</v>
      </c>
      <c r="U196" s="2">
        <v>0.43082799999999999</v>
      </c>
      <c r="V196" s="2">
        <v>195</v>
      </c>
      <c r="W196" s="2">
        <v>2014</v>
      </c>
    </row>
    <row r="197" spans="1:23" ht="12.3" x14ac:dyDescent="0.4">
      <c r="A197" s="2" t="s">
        <v>205</v>
      </c>
      <c r="B197" s="2"/>
      <c r="C197" s="2"/>
      <c r="D197" s="2"/>
      <c r="E197" s="2"/>
      <c r="F197" s="2"/>
      <c r="G197" s="2"/>
      <c r="H197" s="2"/>
      <c r="I197" s="2">
        <v>64.258499999999998</v>
      </c>
      <c r="J197" s="2">
        <v>282</v>
      </c>
      <c r="K197" s="2">
        <v>64.553600000000003</v>
      </c>
      <c r="L197" s="2">
        <v>267</v>
      </c>
      <c r="M197" s="2">
        <v>103.9208</v>
      </c>
      <c r="N197" s="2">
        <v>191</v>
      </c>
      <c r="O197" s="2">
        <v>103.8733</v>
      </c>
      <c r="P197" s="2">
        <v>185</v>
      </c>
      <c r="Q197" s="2">
        <v>106.8562</v>
      </c>
      <c r="R197" s="2">
        <v>225</v>
      </c>
      <c r="S197" s="2">
        <v>106.5977</v>
      </c>
      <c r="T197" s="2">
        <v>212</v>
      </c>
      <c r="U197" s="2">
        <v>0.42611300000000002</v>
      </c>
      <c r="V197" s="2">
        <v>196</v>
      </c>
      <c r="W197" s="2">
        <v>2014</v>
      </c>
    </row>
    <row r="198" spans="1:23" ht="12.3" x14ac:dyDescent="0.4">
      <c r="A198" s="2" t="s">
        <v>103</v>
      </c>
      <c r="B198" s="2"/>
      <c r="C198" s="2"/>
      <c r="D198" s="2"/>
      <c r="E198" s="2"/>
      <c r="F198" s="2"/>
      <c r="G198" s="2"/>
      <c r="H198" s="2"/>
      <c r="I198" s="2">
        <v>66.289400000000001</v>
      </c>
      <c r="J198" s="2">
        <v>188</v>
      </c>
      <c r="K198" s="2">
        <v>65.5441</v>
      </c>
      <c r="L198" s="2">
        <v>219</v>
      </c>
      <c r="M198" s="2">
        <v>97.915400000000005</v>
      </c>
      <c r="N198" s="2">
        <v>289</v>
      </c>
      <c r="O198" s="2">
        <v>101.5534</v>
      </c>
      <c r="P198" s="2">
        <v>230</v>
      </c>
      <c r="Q198" s="2">
        <v>105.7188</v>
      </c>
      <c r="R198" s="2">
        <v>196</v>
      </c>
      <c r="S198" s="2">
        <v>104.25830000000001</v>
      </c>
      <c r="T198" s="2">
        <v>161</v>
      </c>
      <c r="U198" s="2">
        <v>0.42499500000000001</v>
      </c>
      <c r="V198" s="2">
        <v>197</v>
      </c>
      <c r="W198" s="2">
        <v>2014</v>
      </c>
    </row>
    <row r="199" spans="1:23" ht="12.3" x14ac:dyDescent="0.4">
      <c r="A199" s="2" t="s">
        <v>372</v>
      </c>
      <c r="B199" s="2"/>
      <c r="C199" s="2"/>
      <c r="D199" s="2"/>
      <c r="E199" s="2"/>
      <c r="F199" s="2"/>
      <c r="G199" s="2"/>
      <c r="H199" s="2"/>
      <c r="I199" s="2">
        <v>63.1967</v>
      </c>
      <c r="J199" s="2">
        <v>319</v>
      </c>
      <c r="K199" s="2">
        <v>62.3489</v>
      </c>
      <c r="L199" s="2">
        <v>333</v>
      </c>
      <c r="M199" s="2">
        <v>103.45820000000001</v>
      </c>
      <c r="N199" s="2">
        <v>203</v>
      </c>
      <c r="O199" s="2">
        <v>102.59650000000001</v>
      </c>
      <c r="P199" s="2">
        <v>209</v>
      </c>
      <c r="Q199" s="2">
        <v>104.0279</v>
      </c>
      <c r="R199" s="2">
        <v>153</v>
      </c>
      <c r="S199" s="2">
        <v>105.3741</v>
      </c>
      <c r="T199" s="2">
        <v>181</v>
      </c>
      <c r="U199" s="2">
        <v>0.42379899999999998</v>
      </c>
      <c r="V199" s="2">
        <v>198</v>
      </c>
      <c r="W199" s="2">
        <v>2014</v>
      </c>
    </row>
    <row r="200" spans="1:23" ht="12.3" x14ac:dyDescent="0.4">
      <c r="A200" s="2" t="s">
        <v>375</v>
      </c>
      <c r="B200" s="2"/>
      <c r="C200" s="2"/>
      <c r="D200" s="2"/>
      <c r="E200" s="2"/>
      <c r="F200" s="2"/>
      <c r="G200" s="2"/>
      <c r="H200" s="2"/>
      <c r="I200" s="2">
        <v>67.634799999999998</v>
      </c>
      <c r="J200" s="2">
        <v>121</v>
      </c>
      <c r="K200" s="2">
        <v>66.9285</v>
      </c>
      <c r="L200" s="2">
        <v>141</v>
      </c>
      <c r="M200" s="2">
        <v>107.0419</v>
      </c>
      <c r="N200" s="2">
        <v>117</v>
      </c>
      <c r="O200" s="2">
        <v>104.8044</v>
      </c>
      <c r="P200" s="2">
        <v>170</v>
      </c>
      <c r="Q200" s="2">
        <v>106.09650000000001</v>
      </c>
      <c r="R200" s="2">
        <v>208</v>
      </c>
      <c r="S200" s="2">
        <v>107.8698</v>
      </c>
      <c r="T200" s="2">
        <v>232</v>
      </c>
      <c r="U200" s="2">
        <v>0.41786800000000002</v>
      </c>
      <c r="V200" s="2">
        <v>199</v>
      </c>
      <c r="W200" s="2">
        <v>2014</v>
      </c>
    </row>
    <row r="201" spans="1:23" ht="12.3" x14ac:dyDescent="0.4">
      <c r="A201" s="2" t="s">
        <v>306</v>
      </c>
      <c r="B201" s="2"/>
      <c r="C201" s="2"/>
      <c r="D201" s="2"/>
      <c r="E201" s="2"/>
      <c r="F201" s="2"/>
      <c r="G201" s="2"/>
      <c r="H201" s="2"/>
      <c r="I201" s="2">
        <v>66.995000000000005</v>
      </c>
      <c r="J201" s="2">
        <v>147</v>
      </c>
      <c r="K201" s="2">
        <v>66.197299999999998</v>
      </c>
      <c r="L201" s="2">
        <v>185</v>
      </c>
      <c r="M201" s="2">
        <v>106.4914</v>
      </c>
      <c r="N201" s="2">
        <v>132</v>
      </c>
      <c r="O201" s="2">
        <v>103.9371</v>
      </c>
      <c r="P201" s="2">
        <v>183</v>
      </c>
      <c r="Q201" s="2">
        <v>105.5117</v>
      </c>
      <c r="R201" s="2">
        <v>188</v>
      </c>
      <c r="S201" s="2">
        <v>107.08629999999999</v>
      </c>
      <c r="T201" s="2">
        <v>219</v>
      </c>
      <c r="U201" s="2">
        <v>0.41501700000000002</v>
      </c>
      <c r="V201" s="2">
        <v>200</v>
      </c>
      <c r="W201" s="2">
        <v>2014</v>
      </c>
    </row>
    <row r="202" spans="1:23" ht="12.3" x14ac:dyDescent="0.4">
      <c r="A202" s="2" t="s">
        <v>249</v>
      </c>
      <c r="B202" s="2"/>
      <c r="C202" s="2"/>
      <c r="D202" s="2"/>
      <c r="E202" s="2"/>
      <c r="F202" s="2"/>
      <c r="G202" s="2"/>
      <c r="H202" s="2"/>
      <c r="I202" s="2">
        <v>69.193399999999997</v>
      </c>
      <c r="J202" s="2">
        <v>59</v>
      </c>
      <c r="K202" s="2">
        <v>68.840199999999996</v>
      </c>
      <c r="L202" s="2">
        <v>62</v>
      </c>
      <c r="M202" s="2">
        <v>103.6478</v>
      </c>
      <c r="N202" s="2">
        <v>197</v>
      </c>
      <c r="O202" s="2">
        <v>107.7744</v>
      </c>
      <c r="P202" s="2">
        <v>112</v>
      </c>
      <c r="Q202" s="2">
        <v>112.2794</v>
      </c>
      <c r="R202" s="2">
        <v>324</v>
      </c>
      <c r="S202" s="2">
        <v>111.0402</v>
      </c>
      <c r="T202" s="2">
        <v>293</v>
      </c>
      <c r="U202" s="2">
        <v>0.41500700000000001</v>
      </c>
      <c r="V202" s="2">
        <v>201</v>
      </c>
      <c r="W202" s="2">
        <v>2014</v>
      </c>
    </row>
    <row r="203" spans="1:23" ht="12.3" x14ac:dyDescent="0.4">
      <c r="A203" s="2" t="s">
        <v>338</v>
      </c>
      <c r="B203" s="2"/>
      <c r="C203" s="2"/>
      <c r="D203" s="2"/>
      <c r="E203" s="2"/>
      <c r="F203" s="2"/>
      <c r="G203" s="2"/>
      <c r="H203" s="2"/>
      <c r="I203" s="2">
        <v>67.676500000000004</v>
      </c>
      <c r="J203" s="2">
        <v>118</v>
      </c>
      <c r="K203" s="2">
        <v>67.415899999999993</v>
      </c>
      <c r="L203" s="2">
        <v>115</v>
      </c>
      <c r="M203" s="2">
        <v>99.770099999999999</v>
      </c>
      <c r="N203" s="2">
        <v>265</v>
      </c>
      <c r="O203" s="2">
        <v>96.503699999999995</v>
      </c>
      <c r="P203" s="2">
        <v>307</v>
      </c>
      <c r="Q203" s="2">
        <v>94.322900000000004</v>
      </c>
      <c r="R203" s="2">
        <v>15</v>
      </c>
      <c r="S203" s="2">
        <v>99.442999999999998</v>
      </c>
      <c r="T203" s="2">
        <v>68</v>
      </c>
      <c r="U203" s="2">
        <v>0.41458499999999998</v>
      </c>
      <c r="V203" s="2">
        <v>202</v>
      </c>
      <c r="W203" s="2">
        <v>2014</v>
      </c>
    </row>
    <row r="204" spans="1:23" ht="12.3" x14ac:dyDescent="0.4">
      <c r="A204" s="2" t="s">
        <v>277</v>
      </c>
      <c r="B204" s="2"/>
      <c r="C204" s="2"/>
      <c r="D204" s="2"/>
      <c r="E204" s="2"/>
      <c r="F204" s="2"/>
      <c r="G204" s="2"/>
      <c r="H204" s="2"/>
      <c r="I204" s="2">
        <v>66.867500000000007</v>
      </c>
      <c r="J204" s="2">
        <v>153</v>
      </c>
      <c r="K204" s="2">
        <v>66.759</v>
      </c>
      <c r="L204" s="2">
        <v>152</v>
      </c>
      <c r="M204" s="2">
        <v>101.47329999999999</v>
      </c>
      <c r="N204" s="2">
        <v>240</v>
      </c>
      <c r="O204" s="2">
        <v>98.7273</v>
      </c>
      <c r="P204" s="2">
        <v>274</v>
      </c>
      <c r="Q204" s="2">
        <v>99.468699999999998</v>
      </c>
      <c r="R204" s="2">
        <v>67</v>
      </c>
      <c r="S204" s="2">
        <v>101.8109</v>
      </c>
      <c r="T204" s="2">
        <v>107</v>
      </c>
      <c r="U204" s="2">
        <v>0.41248800000000002</v>
      </c>
      <c r="V204" s="2">
        <v>203</v>
      </c>
      <c r="W204" s="2">
        <v>2014</v>
      </c>
    </row>
    <row r="205" spans="1:23" ht="12.3" x14ac:dyDescent="0.4">
      <c r="A205" s="2" t="s">
        <v>308</v>
      </c>
      <c r="B205" s="2"/>
      <c r="C205" s="2"/>
      <c r="D205" s="2"/>
      <c r="E205" s="2"/>
      <c r="F205" s="2"/>
      <c r="G205" s="2"/>
      <c r="H205" s="2"/>
      <c r="I205" s="2">
        <v>64.777799999999999</v>
      </c>
      <c r="J205" s="2">
        <v>259</v>
      </c>
      <c r="K205" s="2">
        <v>65.182500000000005</v>
      </c>
      <c r="L205" s="2">
        <v>239</v>
      </c>
      <c r="M205" s="2">
        <v>100.22410000000001</v>
      </c>
      <c r="N205" s="2">
        <v>260</v>
      </c>
      <c r="O205" s="2">
        <v>100.4268</v>
      </c>
      <c r="P205" s="2">
        <v>248</v>
      </c>
      <c r="Q205" s="2">
        <v>104.51649999999999</v>
      </c>
      <c r="R205" s="2">
        <v>164</v>
      </c>
      <c r="S205" s="2">
        <v>103.62949999999999</v>
      </c>
      <c r="T205" s="2">
        <v>148</v>
      </c>
      <c r="U205" s="2">
        <v>0.41071299999999999</v>
      </c>
      <c r="V205" s="2">
        <v>204</v>
      </c>
      <c r="W205" s="2">
        <v>2014</v>
      </c>
    </row>
    <row r="206" spans="1:23" ht="12.3" x14ac:dyDescent="0.4">
      <c r="A206" s="2" t="s">
        <v>143</v>
      </c>
      <c r="B206" s="2"/>
      <c r="C206" s="2"/>
      <c r="D206" s="2"/>
      <c r="E206" s="2"/>
      <c r="F206" s="2"/>
      <c r="G206" s="2"/>
      <c r="H206" s="2"/>
      <c r="I206" s="2">
        <v>67.454400000000007</v>
      </c>
      <c r="J206" s="2">
        <v>128</v>
      </c>
      <c r="K206" s="2">
        <v>66.394900000000007</v>
      </c>
      <c r="L206" s="2">
        <v>174</v>
      </c>
      <c r="M206" s="2">
        <v>99.7667</v>
      </c>
      <c r="N206" s="2">
        <v>266</v>
      </c>
      <c r="O206" s="2">
        <v>102.04179999999999</v>
      </c>
      <c r="P206" s="2">
        <v>220</v>
      </c>
      <c r="Q206" s="2">
        <v>104.968</v>
      </c>
      <c r="R206" s="2">
        <v>177</v>
      </c>
      <c r="S206" s="2">
        <v>105.4432</v>
      </c>
      <c r="T206" s="2">
        <v>184</v>
      </c>
      <c r="U206" s="2">
        <v>0.40683200000000003</v>
      </c>
      <c r="V206" s="2">
        <v>205</v>
      </c>
      <c r="W206" s="2">
        <v>2014</v>
      </c>
    </row>
    <row r="207" spans="1:23" ht="12.3" x14ac:dyDescent="0.4">
      <c r="A207" s="2" t="s">
        <v>105</v>
      </c>
      <c r="B207" s="2"/>
      <c r="C207" s="2"/>
      <c r="D207" s="2"/>
      <c r="E207" s="2"/>
      <c r="F207" s="2"/>
      <c r="G207" s="2"/>
      <c r="H207" s="2"/>
      <c r="I207" s="2">
        <v>62.251600000000003</v>
      </c>
      <c r="J207" s="2">
        <v>339</v>
      </c>
      <c r="K207" s="2">
        <v>62.303100000000001</v>
      </c>
      <c r="L207" s="2">
        <v>334</v>
      </c>
      <c r="M207" s="2">
        <v>99.207800000000006</v>
      </c>
      <c r="N207" s="2">
        <v>278</v>
      </c>
      <c r="O207" s="2">
        <v>96.906599999999997</v>
      </c>
      <c r="P207" s="2">
        <v>301</v>
      </c>
      <c r="Q207" s="2">
        <v>99.994500000000002</v>
      </c>
      <c r="R207" s="2">
        <v>76</v>
      </c>
      <c r="S207" s="2">
        <v>100.19280000000001</v>
      </c>
      <c r="T207" s="2">
        <v>78</v>
      </c>
      <c r="U207" s="2">
        <v>0.405281</v>
      </c>
      <c r="V207" s="2">
        <v>206</v>
      </c>
      <c r="W207" s="2">
        <v>2014</v>
      </c>
    </row>
    <row r="208" spans="1:23" ht="12.3" x14ac:dyDescent="0.4">
      <c r="A208" s="2" t="s">
        <v>209</v>
      </c>
      <c r="B208" s="2"/>
      <c r="C208" s="2"/>
      <c r="D208" s="2"/>
      <c r="E208" s="2"/>
      <c r="F208" s="2"/>
      <c r="G208" s="2"/>
      <c r="H208" s="2"/>
      <c r="I208" s="2">
        <v>63.485700000000001</v>
      </c>
      <c r="J208" s="2">
        <v>313</v>
      </c>
      <c r="K208" s="2">
        <v>63.154499999999999</v>
      </c>
      <c r="L208" s="2">
        <v>318</v>
      </c>
      <c r="M208" s="2">
        <v>93.750399999999999</v>
      </c>
      <c r="N208" s="2">
        <v>335</v>
      </c>
      <c r="O208" s="2">
        <v>93.295400000000001</v>
      </c>
      <c r="P208" s="2">
        <v>336</v>
      </c>
      <c r="Q208" s="2">
        <v>97.025700000000001</v>
      </c>
      <c r="R208" s="2">
        <v>30</v>
      </c>
      <c r="S208" s="2">
        <v>96.592399999999998</v>
      </c>
      <c r="T208" s="2">
        <v>40</v>
      </c>
      <c r="U208" s="2">
        <v>0.40146100000000001</v>
      </c>
      <c r="V208" s="2">
        <v>207</v>
      </c>
      <c r="W208" s="2">
        <v>2014</v>
      </c>
    </row>
    <row r="209" spans="1:23" ht="12.3" x14ac:dyDescent="0.4">
      <c r="A209" s="2" t="s">
        <v>292</v>
      </c>
      <c r="B209" s="2"/>
      <c r="C209" s="2"/>
      <c r="D209" s="2"/>
      <c r="E209" s="2"/>
      <c r="F209" s="2"/>
      <c r="G209" s="2"/>
      <c r="H209" s="2"/>
      <c r="I209" s="2">
        <v>66.460899999999995</v>
      </c>
      <c r="J209" s="2">
        <v>175</v>
      </c>
      <c r="K209" s="2">
        <v>67.189700000000002</v>
      </c>
      <c r="L209" s="2">
        <v>129</v>
      </c>
      <c r="M209" s="2">
        <v>101.3609</v>
      </c>
      <c r="N209" s="2">
        <v>243</v>
      </c>
      <c r="O209" s="2">
        <v>102.2556</v>
      </c>
      <c r="P209" s="2">
        <v>213</v>
      </c>
      <c r="Q209" s="2">
        <v>107.9415</v>
      </c>
      <c r="R209" s="2">
        <v>250</v>
      </c>
      <c r="S209" s="2">
        <v>106.10769999999999</v>
      </c>
      <c r="T209" s="2">
        <v>202</v>
      </c>
      <c r="U209" s="2">
        <v>0.395258</v>
      </c>
      <c r="V209" s="2">
        <v>208</v>
      </c>
      <c r="W209" s="2">
        <v>2014</v>
      </c>
    </row>
    <row r="210" spans="1:23" ht="12.3" x14ac:dyDescent="0.4">
      <c r="A210" s="2" t="s">
        <v>245</v>
      </c>
      <c r="B210" s="2"/>
      <c r="C210" s="2"/>
      <c r="D210" s="2"/>
      <c r="E210" s="2"/>
      <c r="F210" s="2"/>
      <c r="G210" s="2"/>
      <c r="H210" s="2"/>
      <c r="I210" s="2">
        <v>63.840600000000002</v>
      </c>
      <c r="J210" s="2">
        <v>294</v>
      </c>
      <c r="K210" s="2">
        <v>64.262200000000007</v>
      </c>
      <c r="L210" s="2">
        <v>276</v>
      </c>
      <c r="M210" s="2">
        <v>99.680999999999997</v>
      </c>
      <c r="N210" s="2">
        <v>267</v>
      </c>
      <c r="O210" s="2">
        <v>99.802899999999994</v>
      </c>
      <c r="P210" s="2">
        <v>261</v>
      </c>
      <c r="Q210" s="2">
        <v>104.04819999999999</v>
      </c>
      <c r="R210" s="2">
        <v>154</v>
      </c>
      <c r="S210" s="2">
        <v>103.67019999999999</v>
      </c>
      <c r="T210" s="2">
        <v>149</v>
      </c>
      <c r="U210" s="2">
        <v>0.39240999999999998</v>
      </c>
      <c r="V210" s="2">
        <v>209</v>
      </c>
      <c r="W210" s="2">
        <v>2014</v>
      </c>
    </row>
    <row r="211" spans="1:23" ht="12.3" x14ac:dyDescent="0.4">
      <c r="A211" s="2" t="s">
        <v>270</v>
      </c>
      <c r="B211" s="2"/>
      <c r="C211" s="2"/>
      <c r="D211" s="2"/>
      <c r="E211" s="2"/>
      <c r="F211" s="2"/>
      <c r="G211" s="2"/>
      <c r="H211" s="2"/>
      <c r="I211" s="2">
        <v>70.0702</v>
      </c>
      <c r="J211" s="2">
        <v>39</v>
      </c>
      <c r="K211" s="2">
        <v>69.857299999999995</v>
      </c>
      <c r="L211" s="2">
        <v>38</v>
      </c>
      <c r="M211" s="2">
        <v>104.7754</v>
      </c>
      <c r="N211" s="2">
        <v>171</v>
      </c>
      <c r="O211" s="2">
        <v>105.1803</v>
      </c>
      <c r="P211" s="2">
        <v>164</v>
      </c>
      <c r="Q211" s="2">
        <v>110.29049999999999</v>
      </c>
      <c r="R211" s="2">
        <v>302</v>
      </c>
      <c r="S211" s="2">
        <v>109.40989999999999</v>
      </c>
      <c r="T211" s="2">
        <v>264</v>
      </c>
      <c r="U211" s="2">
        <v>0.38855499999999998</v>
      </c>
      <c r="V211" s="2">
        <v>210</v>
      </c>
      <c r="W211" s="2">
        <v>2014</v>
      </c>
    </row>
    <row r="212" spans="1:23" ht="12.3" x14ac:dyDescent="0.4">
      <c r="A212" s="2" t="s">
        <v>234</v>
      </c>
      <c r="B212" s="2"/>
      <c r="C212" s="2"/>
      <c r="D212" s="2"/>
      <c r="E212" s="2"/>
      <c r="F212" s="2"/>
      <c r="G212" s="2"/>
      <c r="H212" s="2"/>
      <c r="I212" s="2">
        <v>61.349800000000002</v>
      </c>
      <c r="J212" s="2">
        <v>342</v>
      </c>
      <c r="K212" s="2">
        <v>61.226599999999998</v>
      </c>
      <c r="L212" s="2">
        <v>344</v>
      </c>
      <c r="M212" s="2">
        <v>111.8121</v>
      </c>
      <c r="N212" s="2">
        <v>40</v>
      </c>
      <c r="O212" s="2">
        <v>106.7762</v>
      </c>
      <c r="P212" s="2">
        <v>125</v>
      </c>
      <c r="Q212" s="2">
        <v>110.2808</v>
      </c>
      <c r="R212" s="2">
        <v>301</v>
      </c>
      <c r="S212" s="2">
        <v>111.1788</v>
      </c>
      <c r="T212" s="2">
        <v>296</v>
      </c>
      <c r="U212" s="2">
        <v>0.385882</v>
      </c>
      <c r="V212" s="2">
        <v>211</v>
      </c>
      <c r="W212" s="2">
        <v>2014</v>
      </c>
    </row>
    <row r="213" spans="1:23" ht="12.3" x14ac:dyDescent="0.4">
      <c r="A213" s="2" t="s">
        <v>273</v>
      </c>
      <c r="B213" s="2"/>
      <c r="C213" s="2"/>
      <c r="D213" s="2"/>
      <c r="E213" s="2"/>
      <c r="F213" s="2"/>
      <c r="G213" s="2"/>
      <c r="H213" s="2"/>
      <c r="I213" s="2">
        <v>65.692300000000003</v>
      </c>
      <c r="J213" s="2">
        <v>218</v>
      </c>
      <c r="K213" s="2">
        <v>66.370199999999997</v>
      </c>
      <c r="L213" s="2">
        <v>177</v>
      </c>
      <c r="M213" s="2">
        <v>107.5733</v>
      </c>
      <c r="N213" s="2">
        <v>102</v>
      </c>
      <c r="O213" s="2">
        <v>110.3952</v>
      </c>
      <c r="P213" s="2">
        <v>67</v>
      </c>
      <c r="Q213" s="2">
        <v>113.35850000000001</v>
      </c>
      <c r="R213" s="2">
        <v>333</v>
      </c>
      <c r="S213" s="2">
        <v>115.04819999999999</v>
      </c>
      <c r="T213" s="2">
        <v>334</v>
      </c>
      <c r="U213" s="2">
        <v>0.38348599999999999</v>
      </c>
      <c r="V213" s="2">
        <v>212</v>
      </c>
      <c r="W213" s="2">
        <v>2014</v>
      </c>
    </row>
    <row r="214" spans="1:23" ht="12.3" x14ac:dyDescent="0.4">
      <c r="A214" s="2" t="s">
        <v>167</v>
      </c>
      <c r="B214" s="2"/>
      <c r="C214" s="2"/>
      <c r="D214" s="2"/>
      <c r="E214" s="2"/>
      <c r="F214" s="2"/>
      <c r="G214" s="2"/>
      <c r="H214" s="2"/>
      <c r="I214" s="2">
        <v>66.856999999999999</v>
      </c>
      <c r="J214" s="2">
        <v>154</v>
      </c>
      <c r="K214" s="2">
        <v>66.877499999999998</v>
      </c>
      <c r="L214" s="2">
        <v>143</v>
      </c>
      <c r="M214" s="2">
        <v>96.941800000000001</v>
      </c>
      <c r="N214" s="2">
        <v>306</v>
      </c>
      <c r="O214" s="2">
        <v>98.201099999999997</v>
      </c>
      <c r="P214" s="2">
        <v>281</v>
      </c>
      <c r="Q214" s="2">
        <v>103.5748</v>
      </c>
      <c r="R214" s="2">
        <v>141</v>
      </c>
      <c r="S214" s="2">
        <v>102.3998</v>
      </c>
      <c r="T214" s="2">
        <v>121</v>
      </c>
      <c r="U214" s="2">
        <v>0.38190200000000002</v>
      </c>
      <c r="V214" s="2">
        <v>213</v>
      </c>
      <c r="W214" s="2">
        <v>2014</v>
      </c>
    </row>
    <row r="215" spans="1:23" ht="12.3" x14ac:dyDescent="0.4">
      <c r="A215" s="2" t="s">
        <v>198</v>
      </c>
      <c r="B215" s="2"/>
      <c r="C215" s="2"/>
      <c r="D215" s="2"/>
      <c r="E215" s="2"/>
      <c r="F215" s="2"/>
      <c r="G215" s="2"/>
      <c r="H215" s="2"/>
      <c r="I215" s="2">
        <v>68.514600000000002</v>
      </c>
      <c r="J215" s="2">
        <v>80</v>
      </c>
      <c r="K215" s="2">
        <v>69.369500000000002</v>
      </c>
      <c r="L215" s="2">
        <v>51</v>
      </c>
      <c r="M215" s="2">
        <v>107.0928</v>
      </c>
      <c r="N215" s="2">
        <v>114</v>
      </c>
      <c r="O215" s="2">
        <v>106.2032</v>
      </c>
      <c r="P215" s="2">
        <v>134</v>
      </c>
      <c r="Q215" s="2">
        <v>109.6836</v>
      </c>
      <c r="R215" s="2">
        <v>284</v>
      </c>
      <c r="S215" s="2">
        <v>110.7804</v>
      </c>
      <c r="T215" s="2">
        <v>290</v>
      </c>
      <c r="U215" s="2">
        <v>0.38101499999999999</v>
      </c>
      <c r="V215" s="2">
        <v>214</v>
      </c>
      <c r="W215" s="2">
        <v>2014</v>
      </c>
    </row>
    <row r="216" spans="1:23" ht="12.3" x14ac:dyDescent="0.4">
      <c r="A216" s="2" t="s">
        <v>182</v>
      </c>
      <c r="B216" s="2"/>
      <c r="C216" s="2"/>
      <c r="D216" s="2"/>
      <c r="E216" s="2"/>
      <c r="F216" s="2"/>
      <c r="G216" s="2"/>
      <c r="H216" s="2"/>
      <c r="I216" s="2">
        <v>68.232299999999995</v>
      </c>
      <c r="J216" s="2">
        <v>100</v>
      </c>
      <c r="K216" s="2">
        <v>66.926000000000002</v>
      </c>
      <c r="L216" s="2">
        <v>142</v>
      </c>
      <c r="M216" s="2">
        <v>106.539</v>
      </c>
      <c r="N216" s="2">
        <v>130</v>
      </c>
      <c r="O216" s="2">
        <v>105.52800000000001</v>
      </c>
      <c r="P216" s="2">
        <v>152</v>
      </c>
      <c r="Q216" s="2">
        <v>110.83369999999999</v>
      </c>
      <c r="R216" s="2">
        <v>309</v>
      </c>
      <c r="S216" s="2">
        <v>110.1306</v>
      </c>
      <c r="T216" s="2">
        <v>279</v>
      </c>
      <c r="U216" s="2">
        <v>0.37967099999999998</v>
      </c>
      <c r="V216" s="2">
        <v>215</v>
      </c>
      <c r="W216" s="2">
        <v>2014</v>
      </c>
    </row>
    <row r="217" spans="1:23" ht="12.3" x14ac:dyDescent="0.4">
      <c r="A217" s="2" t="s">
        <v>48</v>
      </c>
      <c r="B217" s="2"/>
      <c r="C217" s="2"/>
      <c r="D217" s="2"/>
      <c r="E217" s="2"/>
      <c r="F217" s="2"/>
      <c r="G217" s="2"/>
      <c r="H217" s="2"/>
      <c r="I217" s="2">
        <v>68.481499999999997</v>
      </c>
      <c r="J217" s="2">
        <v>82</v>
      </c>
      <c r="K217" s="2">
        <v>68.405299999999997</v>
      </c>
      <c r="L217" s="2">
        <v>77</v>
      </c>
      <c r="M217" s="2">
        <v>97.9024</v>
      </c>
      <c r="N217" s="2">
        <v>290</v>
      </c>
      <c r="O217" s="2">
        <v>99.463800000000006</v>
      </c>
      <c r="P217" s="2">
        <v>267</v>
      </c>
      <c r="Q217" s="2">
        <v>103.4517</v>
      </c>
      <c r="R217" s="2">
        <v>137</v>
      </c>
      <c r="S217" s="2">
        <v>103.82729999999999</v>
      </c>
      <c r="T217" s="2">
        <v>151</v>
      </c>
      <c r="U217" s="2">
        <v>0.37900899999999998</v>
      </c>
      <c r="V217" s="2">
        <v>216</v>
      </c>
      <c r="W217" s="2">
        <v>2014</v>
      </c>
    </row>
    <row r="218" spans="1:23" ht="12.3" x14ac:dyDescent="0.4">
      <c r="A218" s="2" t="s">
        <v>276</v>
      </c>
      <c r="B218" s="2"/>
      <c r="C218" s="2"/>
      <c r="D218" s="2"/>
      <c r="E218" s="2"/>
      <c r="F218" s="2"/>
      <c r="G218" s="2"/>
      <c r="H218" s="2"/>
      <c r="I218" s="2">
        <v>63.535200000000003</v>
      </c>
      <c r="J218" s="2">
        <v>311</v>
      </c>
      <c r="K218" s="2">
        <v>62.267600000000002</v>
      </c>
      <c r="L218" s="2">
        <v>335</v>
      </c>
      <c r="M218" s="2">
        <v>107.7264</v>
      </c>
      <c r="N218" s="2">
        <v>98</v>
      </c>
      <c r="O218" s="2">
        <v>103.8587</v>
      </c>
      <c r="P218" s="2">
        <v>187</v>
      </c>
      <c r="Q218" s="2">
        <v>105.93810000000001</v>
      </c>
      <c r="R218" s="2">
        <v>205</v>
      </c>
      <c r="S218" s="2">
        <v>108.58199999999999</v>
      </c>
      <c r="T218" s="2">
        <v>250</v>
      </c>
      <c r="U218" s="2">
        <v>0.37485200000000002</v>
      </c>
      <c r="V218" s="2">
        <v>217</v>
      </c>
      <c r="W218" s="2">
        <v>2014</v>
      </c>
    </row>
    <row r="219" spans="1:23" ht="12.3" x14ac:dyDescent="0.4">
      <c r="A219" s="2" t="s">
        <v>89</v>
      </c>
      <c r="B219" s="2"/>
      <c r="C219" s="2"/>
      <c r="D219" s="2"/>
      <c r="E219" s="2"/>
      <c r="F219" s="2"/>
      <c r="G219" s="2"/>
      <c r="H219" s="2"/>
      <c r="I219" s="2">
        <v>66.497500000000002</v>
      </c>
      <c r="J219" s="2">
        <v>172</v>
      </c>
      <c r="K219" s="2">
        <v>66.709500000000006</v>
      </c>
      <c r="L219" s="2">
        <v>156</v>
      </c>
      <c r="M219" s="2">
        <v>91.619100000000003</v>
      </c>
      <c r="N219" s="2">
        <v>348</v>
      </c>
      <c r="O219" s="2">
        <v>91.995099999999994</v>
      </c>
      <c r="P219" s="2">
        <v>345</v>
      </c>
      <c r="Q219" s="2">
        <v>96.408000000000001</v>
      </c>
      <c r="R219" s="2">
        <v>24</v>
      </c>
      <c r="S219" s="2">
        <v>96.2059</v>
      </c>
      <c r="T219" s="2">
        <v>31</v>
      </c>
      <c r="U219" s="2">
        <v>0.37409399999999998</v>
      </c>
      <c r="V219" s="2">
        <v>218</v>
      </c>
      <c r="W219" s="2">
        <v>2014</v>
      </c>
    </row>
    <row r="220" spans="1:23" ht="12.3" x14ac:dyDescent="0.4">
      <c r="A220" s="2" t="s">
        <v>263</v>
      </c>
      <c r="B220" s="2"/>
      <c r="C220" s="2"/>
      <c r="D220" s="2"/>
      <c r="E220" s="2"/>
      <c r="F220" s="2"/>
      <c r="G220" s="2"/>
      <c r="H220" s="2"/>
      <c r="I220" s="2">
        <v>74.259799999999998</v>
      </c>
      <c r="J220" s="2">
        <v>2</v>
      </c>
      <c r="K220" s="2">
        <v>74.500699999999995</v>
      </c>
      <c r="L220" s="2">
        <v>3</v>
      </c>
      <c r="M220" s="2">
        <v>109.1275</v>
      </c>
      <c r="N220" s="2">
        <v>70</v>
      </c>
      <c r="O220" s="2">
        <v>105.8626</v>
      </c>
      <c r="P220" s="2">
        <v>142</v>
      </c>
      <c r="Q220" s="2">
        <v>108.46939999999999</v>
      </c>
      <c r="R220" s="2">
        <v>262</v>
      </c>
      <c r="S220" s="2">
        <v>110.88039999999999</v>
      </c>
      <c r="T220" s="2">
        <v>291</v>
      </c>
      <c r="U220" s="2">
        <v>0.36991800000000002</v>
      </c>
      <c r="V220" s="2">
        <v>219</v>
      </c>
      <c r="W220" s="2">
        <v>2014</v>
      </c>
    </row>
    <row r="221" spans="1:23" ht="12.3" x14ac:dyDescent="0.4">
      <c r="A221" s="2" t="s">
        <v>135</v>
      </c>
      <c r="B221" s="2"/>
      <c r="C221" s="2"/>
      <c r="D221" s="2"/>
      <c r="E221" s="2"/>
      <c r="F221" s="2"/>
      <c r="G221" s="2"/>
      <c r="H221" s="2"/>
      <c r="I221" s="2">
        <v>71.375200000000007</v>
      </c>
      <c r="J221" s="2">
        <v>17</v>
      </c>
      <c r="K221" s="2">
        <v>72.187799999999996</v>
      </c>
      <c r="L221" s="2">
        <v>9</v>
      </c>
      <c r="M221" s="2">
        <v>99.641800000000003</v>
      </c>
      <c r="N221" s="2">
        <v>268</v>
      </c>
      <c r="O221" s="2">
        <v>95.820999999999998</v>
      </c>
      <c r="P221" s="2">
        <v>315</v>
      </c>
      <c r="Q221" s="2">
        <v>95.491299999999995</v>
      </c>
      <c r="R221" s="2">
        <v>21</v>
      </c>
      <c r="S221" s="2">
        <v>100.38339999999999</v>
      </c>
      <c r="T221" s="2">
        <v>85</v>
      </c>
      <c r="U221" s="2">
        <v>0.369369</v>
      </c>
      <c r="V221" s="2">
        <v>220</v>
      </c>
      <c r="W221" s="2">
        <v>2014</v>
      </c>
    </row>
    <row r="222" spans="1:23" ht="12.3" x14ac:dyDescent="0.4">
      <c r="A222" s="2" t="s">
        <v>260</v>
      </c>
      <c r="B222" s="2"/>
      <c r="C222" s="2"/>
      <c r="D222" s="2"/>
      <c r="E222" s="2"/>
      <c r="F222" s="2"/>
      <c r="G222" s="2"/>
      <c r="H222" s="2"/>
      <c r="I222" s="2">
        <v>66.760000000000005</v>
      </c>
      <c r="J222" s="2">
        <v>160</v>
      </c>
      <c r="K222" s="2">
        <v>67.075900000000004</v>
      </c>
      <c r="L222" s="2">
        <v>137</v>
      </c>
      <c r="M222" s="2">
        <v>100.5074</v>
      </c>
      <c r="N222" s="2">
        <v>257</v>
      </c>
      <c r="O222" s="2">
        <v>100.9491</v>
      </c>
      <c r="P222" s="2">
        <v>237</v>
      </c>
      <c r="Q222" s="2">
        <v>105.60809999999999</v>
      </c>
      <c r="R222" s="2">
        <v>192</v>
      </c>
      <c r="S222" s="2">
        <v>105.7784</v>
      </c>
      <c r="T222" s="2">
        <v>196</v>
      </c>
      <c r="U222" s="2">
        <v>0.36879400000000001</v>
      </c>
      <c r="V222" s="2">
        <v>221</v>
      </c>
      <c r="W222" s="2">
        <v>2014</v>
      </c>
    </row>
    <row r="223" spans="1:23" ht="12.3" x14ac:dyDescent="0.4">
      <c r="A223" s="2" t="s">
        <v>125</v>
      </c>
      <c r="B223" s="2"/>
      <c r="C223" s="2"/>
      <c r="D223" s="2"/>
      <c r="E223" s="2"/>
      <c r="F223" s="2"/>
      <c r="G223" s="2"/>
      <c r="H223" s="2"/>
      <c r="I223" s="2">
        <v>68.422700000000006</v>
      </c>
      <c r="J223" s="2">
        <v>89</v>
      </c>
      <c r="K223" s="2">
        <v>68.032700000000006</v>
      </c>
      <c r="L223" s="2">
        <v>96</v>
      </c>
      <c r="M223" s="2">
        <v>99.5715</v>
      </c>
      <c r="N223" s="2">
        <v>270</v>
      </c>
      <c r="O223" s="2">
        <v>100.5954</v>
      </c>
      <c r="P223" s="2">
        <v>246</v>
      </c>
      <c r="Q223" s="2">
        <v>105.2997</v>
      </c>
      <c r="R223" s="2">
        <v>184</v>
      </c>
      <c r="S223" s="2">
        <v>105.4192</v>
      </c>
      <c r="T223" s="2">
        <v>182</v>
      </c>
      <c r="U223" s="2">
        <v>0.36850500000000003</v>
      </c>
      <c r="V223" s="2">
        <v>222</v>
      </c>
      <c r="W223" s="2">
        <v>2014</v>
      </c>
    </row>
    <row r="224" spans="1:23" ht="12.3" x14ac:dyDescent="0.4">
      <c r="A224" s="2" t="s">
        <v>358</v>
      </c>
      <c r="B224" s="2"/>
      <c r="C224" s="2"/>
      <c r="D224" s="2"/>
      <c r="E224" s="2"/>
      <c r="F224" s="2"/>
      <c r="G224" s="2"/>
      <c r="H224" s="2"/>
      <c r="I224" s="2">
        <v>63.339500000000001</v>
      </c>
      <c r="J224" s="2">
        <v>316</v>
      </c>
      <c r="K224" s="2">
        <v>64.130300000000005</v>
      </c>
      <c r="L224" s="2">
        <v>282</v>
      </c>
      <c r="M224" s="2">
        <v>112.7841</v>
      </c>
      <c r="N224" s="2">
        <v>29</v>
      </c>
      <c r="O224" s="2">
        <v>108.157</v>
      </c>
      <c r="P224" s="2">
        <v>100</v>
      </c>
      <c r="Q224" s="2">
        <v>109.21850000000001</v>
      </c>
      <c r="R224" s="2">
        <v>275</v>
      </c>
      <c r="S224" s="2">
        <v>113.3434</v>
      </c>
      <c r="T224" s="2">
        <v>327</v>
      </c>
      <c r="U224" s="2">
        <v>0.368504</v>
      </c>
      <c r="V224" s="2">
        <v>223</v>
      </c>
      <c r="W224" s="2">
        <v>2014</v>
      </c>
    </row>
    <row r="225" spans="1:23" ht="12.3" x14ac:dyDescent="0.4">
      <c r="A225" s="2" t="s">
        <v>281</v>
      </c>
      <c r="B225" s="2"/>
      <c r="C225" s="2"/>
      <c r="D225" s="2"/>
      <c r="E225" s="2"/>
      <c r="F225" s="2"/>
      <c r="G225" s="2"/>
      <c r="H225" s="2"/>
      <c r="I225" s="2">
        <v>70.269499999999994</v>
      </c>
      <c r="J225" s="2">
        <v>36</v>
      </c>
      <c r="K225" s="2">
        <v>71.363399999999999</v>
      </c>
      <c r="L225" s="2">
        <v>16</v>
      </c>
      <c r="M225" s="2">
        <v>108.39</v>
      </c>
      <c r="N225" s="2">
        <v>84</v>
      </c>
      <c r="O225" s="2">
        <v>106.7492</v>
      </c>
      <c r="P225" s="2">
        <v>126</v>
      </c>
      <c r="Q225" s="2">
        <v>110.5262</v>
      </c>
      <c r="R225" s="2">
        <v>306</v>
      </c>
      <c r="S225" s="2">
        <v>111.8687</v>
      </c>
      <c r="T225" s="2">
        <v>310</v>
      </c>
      <c r="U225" s="2">
        <v>0.36848900000000001</v>
      </c>
      <c r="V225" s="2">
        <v>224</v>
      </c>
      <c r="W225" s="2">
        <v>2014</v>
      </c>
    </row>
    <row r="226" spans="1:23" ht="12.3" x14ac:dyDescent="0.4">
      <c r="A226" s="2" t="s">
        <v>345</v>
      </c>
      <c r="B226" s="2"/>
      <c r="C226" s="2"/>
      <c r="D226" s="2"/>
      <c r="E226" s="2"/>
      <c r="F226" s="2"/>
      <c r="G226" s="2"/>
      <c r="H226" s="2"/>
      <c r="I226" s="2">
        <v>69.319999999999993</v>
      </c>
      <c r="J226" s="2">
        <v>56</v>
      </c>
      <c r="K226" s="2">
        <v>69.227999999999994</v>
      </c>
      <c r="L226" s="2">
        <v>54</v>
      </c>
      <c r="M226" s="2">
        <v>101.172</v>
      </c>
      <c r="N226" s="2">
        <v>248</v>
      </c>
      <c r="O226" s="2">
        <v>99.731099999999998</v>
      </c>
      <c r="P226" s="2">
        <v>263</v>
      </c>
      <c r="Q226" s="2">
        <v>102.23220000000001</v>
      </c>
      <c r="R226" s="2">
        <v>110</v>
      </c>
      <c r="S226" s="2">
        <v>104.5658</v>
      </c>
      <c r="T226" s="2">
        <v>168</v>
      </c>
      <c r="U226" s="2">
        <v>0.36716399999999999</v>
      </c>
      <c r="V226" s="2">
        <v>225</v>
      </c>
      <c r="W226" s="2">
        <v>2014</v>
      </c>
    </row>
    <row r="227" spans="1:23" ht="12.3" x14ac:dyDescent="0.4">
      <c r="A227" s="2" t="s">
        <v>187</v>
      </c>
      <c r="B227" s="2"/>
      <c r="C227" s="2"/>
      <c r="D227" s="2"/>
      <c r="E227" s="2"/>
      <c r="F227" s="2"/>
      <c r="G227" s="2"/>
      <c r="H227" s="2"/>
      <c r="I227" s="2">
        <v>69.6858</v>
      </c>
      <c r="J227" s="2">
        <v>48</v>
      </c>
      <c r="K227" s="2">
        <v>70.838300000000004</v>
      </c>
      <c r="L227" s="2">
        <v>20</v>
      </c>
      <c r="M227" s="2">
        <v>108.2561</v>
      </c>
      <c r="N227" s="2">
        <v>86</v>
      </c>
      <c r="O227" s="2">
        <v>105.46380000000001</v>
      </c>
      <c r="P227" s="2">
        <v>155</v>
      </c>
      <c r="Q227" s="2">
        <v>109.55670000000001</v>
      </c>
      <c r="R227" s="2">
        <v>282</v>
      </c>
      <c r="S227" s="2">
        <v>110.64449999999999</v>
      </c>
      <c r="T227" s="2">
        <v>286</v>
      </c>
      <c r="U227" s="2">
        <v>0.36552400000000002</v>
      </c>
      <c r="V227" s="2">
        <v>226</v>
      </c>
      <c r="W227" s="2">
        <v>2014</v>
      </c>
    </row>
    <row r="228" spans="1:23" ht="12.3" x14ac:dyDescent="0.4">
      <c r="A228" s="2" t="s">
        <v>370</v>
      </c>
      <c r="B228" s="2"/>
      <c r="C228" s="2"/>
      <c r="D228" s="2"/>
      <c r="E228" s="2"/>
      <c r="F228" s="2"/>
      <c r="G228" s="2"/>
      <c r="H228" s="2"/>
      <c r="I228" s="2">
        <v>65.794700000000006</v>
      </c>
      <c r="J228" s="2">
        <v>211</v>
      </c>
      <c r="K228" s="2">
        <v>65.423699999999997</v>
      </c>
      <c r="L228" s="2">
        <v>223</v>
      </c>
      <c r="M228" s="2">
        <v>102.9105</v>
      </c>
      <c r="N228" s="2">
        <v>211</v>
      </c>
      <c r="O228" s="2">
        <v>100.3706</v>
      </c>
      <c r="P228" s="2">
        <v>250</v>
      </c>
      <c r="Q228" s="2">
        <v>103.8305</v>
      </c>
      <c r="R228" s="2">
        <v>146</v>
      </c>
      <c r="S228" s="2">
        <v>105.4569</v>
      </c>
      <c r="T228" s="2">
        <v>185</v>
      </c>
      <c r="U228" s="2">
        <v>0.36158800000000002</v>
      </c>
      <c r="V228" s="2">
        <v>227</v>
      </c>
      <c r="W228" s="2">
        <v>2014</v>
      </c>
    </row>
    <row r="229" spans="1:23" ht="12.3" x14ac:dyDescent="0.4">
      <c r="A229" s="2" t="s">
        <v>295</v>
      </c>
      <c r="B229" s="2"/>
      <c r="C229" s="2"/>
      <c r="D229" s="2"/>
      <c r="E229" s="2"/>
      <c r="F229" s="2"/>
      <c r="G229" s="2"/>
      <c r="H229" s="2"/>
      <c r="I229" s="2">
        <v>63.658499999999997</v>
      </c>
      <c r="J229" s="2">
        <v>305</v>
      </c>
      <c r="K229" s="2">
        <v>63.501300000000001</v>
      </c>
      <c r="L229" s="2">
        <v>307</v>
      </c>
      <c r="M229" s="2">
        <v>102.46769999999999</v>
      </c>
      <c r="N229" s="2">
        <v>220</v>
      </c>
      <c r="O229" s="2">
        <v>101.8283</v>
      </c>
      <c r="P229" s="2">
        <v>227</v>
      </c>
      <c r="Q229" s="2">
        <v>103.27119999999999</v>
      </c>
      <c r="R229" s="2">
        <v>129</v>
      </c>
      <c r="S229" s="2">
        <v>107.0423</v>
      </c>
      <c r="T229" s="2">
        <v>216</v>
      </c>
      <c r="U229" s="2">
        <v>0.36025400000000002</v>
      </c>
      <c r="V229" s="2">
        <v>228</v>
      </c>
      <c r="W229" s="2">
        <v>2014</v>
      </c>
    </row>
    <row r="230" spans="1:23" ht="12.3" x14ac:dyDescent="0.4">
      <c r="A230" s="2" t="s">
        <v>184</v>
      </c>
      <c r="B230" s="2"/>
      <c r="C230" s="2"/>
      <c r="D230" s="2"/>
      <c r="E230" s="2"/>
      <c r="F230" s="2"/>
      <c r="G230" s="2"/>
      <c r="H230" s="2"/>
      <c r="I230" s="2">
        <v>69.215500000000006</v>
      </c>
      <c r="J230" s="2">
        <v>58</v>
      </c>
      <c r="K230" s="2">
        <v>68.656999999999996</v>
      </c>
      <c r="L230" s="2">
        <v>68</v>
      </c>
      <c r="M230" s="2">
        <v>99.055999999999997</v>
      </c>
      <c r="N230" s="2">
        <v>280</v>
      </c>
      <c r="O230" s="2">
        <v>99.000699999999995</v>
      </c>
      <c r="P230" s="2">
        <v>271</v>
      </c>
      <c r="Q230" s="2">
        <v>103.0759</v>
      </c>
      <c r="R230" s="2">
        <v>122</v>
      </c>
      <c r="S230" s="2">
        <v>104.1848</v>
      </c>
      <c r="T230" s="2">
        <v>158</v>
      </c>
      <c r="U230" s="2">
        <v>0.35733399999999998</v>
      </c>
      <c r="V230" s="2">
        <v>229</v>
      </c>
      <c r="W230" s="2">
        <v>2014</v>
      </c>
    </row>
    <row r="231" spans="1:23" ht="12.3" x14ac:dyDescent="0.4">
      <c r="A231" s="2" t="s">
        <v>314</v>
      </c>
      <c r="B231" s="2"/>
      <c r="C231" s="2"/>
      <c r="D231" s="2"/>
      <c r="E231" s="2"/>
      <c r="F231" s="2"/>
      <c r="G231" s="2"/>
      <c r="H231" s="2"/>
      <c r="I231" s="2">
        <v>68.249099999999999</v>
      </c>
      <c r="J231" s="2">
        <v>99</v>
      </c>
      <c r="K231" s="2">
        <v>68.846199999999996</v>
      </c>
      <c r="L231" s="2">
        <v>61</v>
      </c>
      <c r="M231" s="2">
        <v>105.4573</v>
      </c>
      <c r="N231" s="2">
        <v>158</v>
      </c>
      <c r="O231" s="2">
        <v>104.5839</v>
      </c>
      <c r="P231" s="2">
        <v>176</v>
      </c>
      <c r="Q231" s="2">
        <v>107.6478</v>
      </c>
      <c r="R231" s="2">
        <v>246</v>
      </c>
      <c r="S231" s="2">
        <v>110.0692</v>
      </c>
      <c r="T231" s="2">
        <v>276</v>
      </c>
      <c r="U231" s="2">
        <v>0.35712300000000002</v>
      </c>
      <c r="V231" s="2">
        <v>230</v>
      </c>
      <c r="W231" s="2">
        <v>2014</v>
      </c>
    </row>
    <row r="232" spans="1:23" ht="12.3" x14ac:dyDescent="0.4">
      <c r="A232" s="2" t="s">
        <v>142</v>
      </c>
      <c r="B232" s="2"/>
      <c r="C232" s="2"/>
      <c r="D232" s="2"/>
      <c r="E232" s="2"/>
      <c r="F232" s="2"/>
      <c r="G232" s="2"/>
      <c r="H232" s="2"/>
      <c r="I232" s="2">
        <v>66.37</v>
      </c>
      <c r="J232" s="2">
        <v>180</v>
      </c>
      <c r="K232" s="2">
        <v>65.830399999999997</v>
      </c>
      <c r="L232" s="2">
        <v>205</v>
      </c>
      <c r="M232" s="2">
        <v>95.215400000000002</v>
      </c>
      <c r="N232" s="2">
        <v>325</v>
      </c>
      <c r="O232" s="2">
        <v>97.865399999999994</v>
      </c>
      <c r="P232" s="2">
        <v>287</v>
      </c>
      <c r="Q232" s="2">
        <v>109.2654</v>
      </c>
      <c r="R232" s="2">
        <v>276</v>
      </c>
      <c r="S232" s="2">
        <v>103.01139999999999</v>
      </c>
      <c r="T232" s="2">
        <v>135</v>
      </c>
      <c r="U232" s="2">
        <v>0.35678500000000002</v>
      </c>
      <c r="V232" s="2">
        <v>231</v>
      </c>
      <c r="W232" s="2">
        <v>2014</v>
      </c>
    </row>
    <row r="233" spans="1:23" ht="12.3" x14ac:dyDescent="0.4">
      <c r="A233" s="2" t="s">
        <v>334</v>
      </c>
      <c r="B233" s="2">
        <v>16</v>
      </c>
      <c r="C233" s="2"/>
      <c r="D233" s="2"/>
      <c r="E233" s="2"/>
      <c r="F233" s="2"/>
      <c r="G233" s="2"/>
      <c r="H233" s="2"/>
      <c r="I233" s="2">
        <v>68.456299999999999</v>
      </c>
      <c r="J233" s="2">
        <v>86</v>
      </c>
      <c r="K233" s="2">
        <v>67.183000000000007</v>
      </c>
      <c r="L233" s="2">
        <v>131</v>
      </c>
      <c r="M233" s="2">
        <v>102.06659999999999</v>
      </c>
      <c r="N233" s="2">
        <v>230</v>
      </c>
      <c r="O233" s="2">
        <v>97.3108</v>
      </c>
      <c r="P233" s="2">
        <v>298</v>
      </c>
      <c r="Q233" s="2">
        <v>99.711200000000005</v>
      </c>
      <c r="R233" s="2">
        <v>71</v>
      </c>
      <c r="S233" s="2">
        <v>102.49039999999999</v>
      </c>
      <c r="T233" s="2">
        <v>124</v>
      </c>
      <c r="U233" s="2">
        <v>0.35517199999999999</v>
      </c>
      <c r="V233" s="2">
        <v>232</v>
      </c>
      <c r="W233" s="2">
        <v>2014</v>
      </c>
    </row>
    <row r="234" spans="1:23" ht="12.3" x14ac:dyDescent="0.4">
      <c r="A234" s="2" t="s">
        <v>206</v>
      </c>
      <c r="B234" s="2"/>
      <c r="C234" s="2"/>
      <c r="D234" s="2"/>
      <c r="E234" s="2"/>
      <c r="F234" s="2"/>
      <c r="G234" s="2"/>
      <c r="H234" s="2"/>
      <c r="I234" s="2">
        <v>65.948700000000002</v>
      </c>
      <c r="J234" s="2">
        <v>205</v>
      </c>
      <c r="K234" s="2">
        <v>64.970799999999997</v>
      </c>
      <c r="L234" s="2">
        <v>248</v>
      </c>
      <c r="M234" s="2">
        <v>106.747</v>
      </c>
      <c r="N234" s="2">
        <v>127</v>
      </c>
      <c r="O234" s="2">
        <v>105.3663</v>
      </c>
      <c r="P234" s="2">
        <v>160</v>
      </c>
      <c r="Q234" s="2">
        <v>109.4204</v>
      </c>
      <c r="R234" s="2">
        <v>277</v>
      </c>
      <c r="S234" s="2">
        <v>110.9919</v>
      </c>
      <c r="T234" s="2">
        <v>292</v>
      </c>
      <c r="U234" s="2">
        <v>0.35476400000000002</v>
      </c>
      <c r="V234" s="2">
        <v>233</v>
      </c>
      <c r="W234" s="2">
        <v>2014</v>
      </c>
    </row>
    <row r="235" spans="1:23" ht="12.3" x14ac:dyDescent="0.4">
      <c r="A235" s="2" t="s">
        <v>240</v>
      </c>
      <c r="B235" s="2"/>
      <c r="C235" s="2"/>
      <c r="D235" s="2"/>
      <c r="E235" s="2"/>
      <c r="F235" s="2"/>
      <c r="G235" s="2"/>
      <c r="H235" s="2"/>
      <c r="I235" s="2">
        <v>66.6233</v>
      </c>
      <c r="J235" s="2">
        <v>163</v>
      </c>
      <c r="K235" s="2">
        <v>65.617699999999999</v>
      </c>
      <c r="L235" s="2">
        <v>215</v>
      </c>
      <c r="M235" s="2">
        <v>105.7837</v>
      </c>
      <c r="N235" s="2">
        <v>149</v>
      </c>
      <c r="O235" s="2">
        <v>103.0491</v>
      </c>
      <c r="P235" s="2">
        <v>202</v>
      </c>
      <c r="Q235" s="2">
        <v>105.4517</v>
      </c>
      <c r="R235" s="2">
        <v>187</v>
      </c>
      <c r="S235" s="2">
        <v>108.6708</v>
      </c>
      <c r="T235" s="2">
        <v>251</v>
      </c>
      <c r="U235" s="2">
        <v>0.35186299999999998</v>
      </c>
      <c r="V235" s="2">
        <v>234</v>
      </c>
      <c r="W235" s="2">
        <v>2014</v>
      </c>
    </row>
    <row r="236" spans="1:23" ht="12.3" x14ac:dyDescent="0.4">
      <c r="A236" s="2" t="s">
        <v>246</v>
      </c>
      <c r="B236" s="2"/>
      <c r="C236" s="2"/>
      <c r="D236" s="2"/>
      <c r="E236" s="2"/>
      <c r="F236" s="2"/>
      <c r="G236" s="2"/>
      <c r="H236" s="2"/>
      <c r="I236" s="2">
        <v>67.838800000000006</v>
      </c>
      <c r="J236" s="2">
        <v>110</v>
      </c>
      <c r="K236" s="2">
        <v>67.360900000000001</v>
      </c>
      <c r="L236" s="2">
        <v>118</v>
      </c>
      <c r="M236" s="2">
        <v>105.72539999999999</v>
      </c>
      <c r="N236" s="2">
        <v>154</v>
      </c>
      <c r="O236" s="2">
        <v>103.60680000000001</v>
      </c>
      <c r="P236" s="2">
        <v>194</v>
      </c>
      <c r="Q236" s="2">
        <v>106.2037</v>
      </c>
      <c r="R236" s="2">
        <v>210</v>
      </c>
      <c r="S236" s="2">
        <v>109.29640000000001</v>
      </c>
      <c r="T236" s="2">
        <v>260</v>
      </c>
      <c r="U236" s="2">
        <v>0.35096699999999997</v>
      </c>
      <c r="V236" s="2">
        <v>235</v>
      </c>
      <c r="W236" s="2">
        <v>2014</v>
      </c>
    </row>
    <row r="237" spans="1:23" ht="12.3" x14ac:dyDescent="0.4">
      <c r="A237" s="2" t="s">
        <v>381</v>
      </c>
      <c r="B237" s="2"/>
      <c r="C237" s="2"/>
      <c r="D237" s="2"/>
      <c r="E237" s="2"/>
      <c r="F237" s="2"/>
      <c r="G237" s="2"/>
      <c r="H237" s="2"/>
      <c r="I237" s="2">
        <v>67.392399999999995</v>
      </c>
      <c r="J237" s="2">
        <v>130</v>
      </c>
      <c r="K237" s="2">
        <v>67.337599999999995</v>
      </c>
      <c r="L237" s="2">
        <v>120</v>
      </c>
      <c r="M237" s="2">
        <v>104.0911</v>
      </c>
      <c r="N237" s="2">
        <v>184</v>
      </c>
      <c r="O237" s="2">
        <v>105.7102</v>
      </c>
      <c r="P237" s="2">
        <v>146</v>
      </c>
      <c r="Q237" s="2">
        <v>108.5885</v>
      </c>
      <c r="R237" s="2">
        <v>267</v>
      </c>
      <c r="S237" s="2">
        <v>111.63939999999999</v>
      </c>
      <c r="T237" s="2">
        <v>307</v>
      </c>
      <c r="U237" s="2">
        <v>0.34805799999999998</v>
      </c>
      <c r="V237" s="2">
        <v>236</v>
      </c>
      <c r="W237" s="2">
        <v>2014</v>
      </c>
    </row>
    <row r="238" spans="1:23" ht="12.3" x14ac:dyDescent="0.4">
      <c r="A238" s="2" t="s">
        <v>325</v>
      </c>
      <c r="B238" s="2">
        <v>16</v>
      </c>
      <c r="C238" s="2"/>
      <c r="D238" s="2"/>
      <c r="E238" s="2"/>
      <c r="F238" s="2"/>
      <c r="G238" s="2"/>
      <c r="H238" s="2"/>
      <c r="I238" s="2">
        <v>67.824399999999997</v>
      </c>
      <c r="J238" s="2">
        <v>112</v>
      </c>
      <c r="K238" s="2">
        <v>67.375200000000007</v>
      </c>
      <c r="L238" s="2">
        <v>116</v>
      </c>
      <c r="M238" s="2">
        <v>109.18770000000001</v>
      </c>
      <c r="N238" s="2">
        <v>69</v>
      </c>
      <c r="O238" s="2">
        <v>106.1519</v>
      </c>
      <c r="P238" s="2">
        <v>135</v>
      </c>
      <c r="Q238" s="2">
        <v>106.0762</v>
      </c>
      <c r="R238" s="2">
        <v>207</v>
      </c>
      <c r="S238" s="2">
        <v>112.1348</v>
      </c>
      <c r="T238" s="2">
        <v>316</v>
      </c>
      <c r="U238" s="2">
        <v>0.347385</v>
      </c>
      <c r="V238" s="2">
        <v>237</v>
      </c>
      <c r="W238" s="2">
        <v>2014</v>
      </c>
    </row>
    <row r="239" spans="1:23" ht="12.3" x14ac:dyDescent="0.4">
      <c r="A239" s="2" t="s">
        <v>303</v>
      </c>
      <c r="B239" s="2"/>
      <c r="C239" s="2"/>
      <c r="D239" s="2"/>
      <c r="E239" s="2"/>
      <c r="F239" s="2"/>
      <c r="G239" s="2"/>
      <c r="H239" s="2"/>
      <c r="I239" s="2">
        <v>70.988</v>
      </c>
      <c r="J239" s="2">
        <v>22</v>
      </c>
      <c r="K239" s="2">
        <v>70.5047</v>
      </c>
      <c r="L239" s="2">
        <v>25</v>
      </c>
      <c r="M239" s="2">
        <v>112.3389</v>
      </c>
      <c r="N239" s="2">
        <v>35</v>
      </c>
      <c r="O239" s="2">
        <v>107.10290000000001</v>
      </c>
      <c r="P239" s="2">
        <v>123</v>
      </c>
      <c r="Q239" s="2">
        <v>110.5244</v>
      </c>
      <c r="R239" s="2">
        <v>305</v>
      </c>
      <c r="S239" s="2">
        <v>113.1409</v>
      </c>
      <c r="T239" s="2">
        <v>324</v>
      </c>
      <c r="U239" s="2">
        <v>0.34734999999999999</v>
      </c>
      <c r="V239" s="2">
        <v>238</v>
      </c>
      <c r="W239" s="2">
        <v>2014</v>
      </c>
    </row>
    <row r="240" spans="1:23" ht="12.3" x14ac:dyDescent="0.4">
      <c r="A240" s="2" t="s">
        <v>335</v>
      </c>
      <c r="B240" s="2"/>
      <c r="C240" s="2"/>
      <c r="D240" s="2"/>
      <c r="E240" s="2"/>
      <c r="F240" s="2"/>
      <c r="G240" s="2"/>
      <c r="H240" s="2"/>
      <c r="I240" s="2">
        <v>63.695700000000002</v>
      </c>
      <c r="J240" s="2">
        <v>300</v>
      </c>
      <c r="K240" s="2">
        <v>61.999000000000002</v>
      </c>
      <c r="L240" s="2">
        <v>338</v>
      </c>
      <c r="M240" s="2">
        <v>98.626300000000001</v>
      </c>
      <c r="N240" s="2">
        <v>283</v>
      </c>
      <c r="O240" s="2">
        <v>97.777799999999999</v>
      </c>
      <c r="P240" s="2">
        <v>289</v>
      </c>
      <c r="Q240" s="2">
        <v>102.6935</v>
      </c>
      <c r="R240" s="2">
        <v>113</v>
      </c>
      <c r="S240" s="2">
        <v>103.3052</v>
      </c>
      <c r="T240" s="2">
        <v>142</v>
      </c>
      <c r="U240" s="2">
        <v>0.346972</v>
      </c>
      <c r="V240" s="2">
        <v>239</v>
      </c>
      <c r="W240" s="2">
        <v>2014</v>
      </c>
    </row>
    <row r="241" spans="1:23" ht="12.3" x14ac:dyDescent="0.4">
      <c r="A241" s="2" t="s">
        <v>327</v>
      </c>
      <c r="B241" s="2"/>
      <c r="C241" s="2"/>
      <c r="D241" s="2"/>
      <c r="E241" s="2"/>
      <c r="F241" s="2"/>
      <c r="G241" s="2"/>
      <c r="H241" s="2"/>
      <c r="I241" s="2">
        <v>63.663400000000003</v>
      </c>
      <c r="J241" s="2">
        <v>304</v>
      </c>
      <c r="K241" s="2">
        <v>64.534899999999993</v>
      </c>
      <c r="L241" s="2">
        <v>268</v>
      </c>
      <c r="M241" s="2">
        <v>103.2557</v>
      </c>
      <c r="N241" s="2">
        <v>205</v>
      </c>
      <c r="O241" s="2">
        <v>103.0204</v>
      </c>
      <c r="P241" s="2">
        <v>203</v>
      </c>
      <c r="Q241" s="2">
        <v>105.41030000000001</v>
      </c>
      <c r="R241" s="2">
        <v>186</v>
      </c>
      <c r="S241" s="2">
        <v>108.94370000000001</v>
      </c>
      <c r="T241" s="2">
        <v>254</v>
      </c>
      <c r="U241" s="2">
        <v>0.34459299999999998</v>
      </c>
      <c r="V241" s="2">
        <v>240</v>
      </c>
      <c r="W241" s="2">
        <v>2014</v>
      </c>
    </row>
    <row r="242" spans="1:23" ht="12.3" x14ac:dyDescent="0.4">
      <c r="A242" s="2" t="s">
        <v>376</v>
      </c>
      <c r="B242" s="2"/>
      <c r="C242" s="2"/>
      <c r="D242" s="2"/>
      <c r="E242" s="2"/>
      <c r="F242" s="2"/>
      <c r="G242" s="2"/>
      <c r="H242" s="2"/>
      <c r="I242" s="2">
        <v>67.942599999999999</v>
      </c>
      <c r="J242" s="2">
        <v>107</v>
      </c>
      <c r="K242" s="2">
        <v>67.205500000000001</v>
      </c>
      <c r="L242" s="2">
        <v>128</v>
      </c>
      <c r="M242" s="2">
        <v>102.7162</v>
      </c>
      <c r="N242" s="2">
        <v>215</v>
      </c>
      <c r="O242" s="2">
        <v>99.607200000000006</v>
      </c>
      <c r="P242" s="2">
        <v>266</v>
      </c>
      <c r="Q242" s="2">
        <v>104.4765</v>
      </c>
      <c r="R242" s="2">
        <v>163</v>
      </c>
      <c r="S242" s="2">
        <v>105.51649999999999</v>
      </c>
      <c r="T242" s="2">
        <v>187</v>
      </c>
      <c r="U242" s="2">
        <v>0.34011599999999997</v>
      </c>
      <c r="V242" s="2">
        <v>241</v>
      </c>
      <c r="W242" s="2">
        <v>2014</v>
      </c>
    </row>
    <row r="243" spans="1:23" ht="12.3" x14ac:dyDescent="0.4">
      <c r="A243" s="2" t="s">
        <v>305</v>
      </c>
      <c r="B243" s="2"/>
      <c r="C243" s="2"/>
      <c r="D243" s="2"/>
      <c r="E243" s="2"/>
      <c r="F243" s="2"/>
      <c r="G243" s="2"/>
      <c r="H243" s="2"/>
      <c r="I243" s="2">
        <v>68.25</v>
      </c>
      <c r="J243" s="2">
        <v>98</v>
      </c>
      <c r="K243" s="2">
        <v>67.302700000000002</v>
      </c>
      <c r="L243" s="2">
        <v>122</v>
      </c>
      <c r="M243" s="2">
        <v>109.2968</v>
      </c>
      <c r="N243" s="2">
        <v>68</v>
      </c>
      <c r="O243" s="2">
        <v>104.7397</v>
      </c>
      <c r="P243" s="2">
        <v>172</v>
      </c>
      <c r="Q243" s="2">
        <v>108.52290000000001</v>
      </c>
      <c r="R243" s="2">
        <v>265</v>
      </c>
      <c r="S243" s="2">
        <v>111.0822</v>
      </c>
      <c r="T243" s="2">
        <v>294</v>
      </c>
      <c r="U243" s="2">
        <v>0.33713100000000001</v>
      </c>
      <c r="V243" s="2">
        <v>242</v>
      </c>
      <c r="W243" s="2">
        <v>2014</v>
      </c>
    </row>
    <row r="244" spans="1:23" ht="12.3" x14ac:dyDescent="0.4">
      <c r="A244" s="2" t="s">
        <v>304</v>
      </c>
      <c r="B244" s="2"/>
      <c r="C244" s="2"/>
      <c r="D244" s="2"/>
      <c r="E244" s="2"/>
      <c r="F244" s="2"/>
      <c r="G244" s="2"/>
      <c r="H244" s="2"/>
      <c r="I244" s="2">
        <v>67.102800000000002</v>
      </c>
      <c r="J244" s="2">
        <v>143</v>
      </c>
      <c r="K244" s="2">
        <v>67.429299999999998</v>
      </c>
      <c r="L244" s="2">
        <v>113</v>
      </c>
      <c r="M244" s="2">
        <v>106.3133</v>
      </c>
      <c r="N244" s="2">
        <v>137</v>
      </c>
      <c r="O244" s="2">
        <v>105.41500000000001</v>
      </c>
      <c r="P244" s="2">
        <v>157</v>
      </c>
      <c r="Q244" s="2">
        <v>110.4845</v>
      </c>
      <c r="R244" s="2">
        <v>304</v>
      </c>
      <c r="S244" s="2">
        <v>111.87909999999999</v>
      </c>
      <c r="T244" s="2">
        <v>311</v>
      </c>
      <c r="U244" s="2">
        <v>0.33527699999999999</v>
      </c>
      <c r="V244" s="2">
        <v>243</v>
      </c>
      <c r="W244" s="2">
        <v>2014</v>
      </c>
    </row>
    <row r="245" spans="1:23" ht="12.3" x14ac:dyDescent="0.4">
      <c r="A245" s="2" t="s">
        <v>218</v>
      </c>
      <c r="B245" s="2"/>
      <c r="C245" s="2"/>
      <c r="D245" s="2"/>
      <c r="E245" s="2"/>
      <c r="F245" s="2"/>
      <c r="G245" s="2"/>
      <c r="H245" s="2"/>
      <c r="I245" s="2">
        <v>65.262500000000003</v>
      </c>
      <c r="J245" s="2">
        <v>237</v>
      </c>
      <c r="K245" s="2">
        <v>64.794899999999998</v>
      </c>
      <c r="L245" s="2">
        <v>259</v>
      </c>
      <c r="M245" s="2">
        <v>100.1031</v>
      </c>
      <c r="N245" s="2">
        <v>262</v>
      </c>
      <c r="O245" s="2">
        <v>101.0442</v>
      </c>
      <c r="P245" s="2">
        <v>236</v>
      </c>
      <c r="Q245" s="2">
        <v>107.05710000000001</v>
      </c>
      <c r="R245" s="2">
        <v>231</v>
      </c>
      <c r="S245" s="2">
        <v>107.3244</v>
      </c>
      <c r="T245" s="2">
        <v>225</v>
      </c>
      <c r="U245" s="2">
        <v>0.33327200000000001</v>
      </c>
      <c r="V245" s="2">
        <v>244</v>
      </c>
      <c r="W245" s="2">
        <v>2014</v>
      </c>
    </row>
    <row r="246" spans="1:23" ht="12.3" x14ac:dyDescent="0.4">
      <c r="A246" s="2" t="s">
        <v>378</v>
      </c>
      <c r="B246" s="2"/>
      <c r="C246" s="2"/>
      <c r="D246" s="2"/>
      <c r="E246" s="2"/>
      <c r="F246" s="2"/>
      <c r="G246" s="2"/>
      <c r="H246" s="2"/>
      <c r="I246" s="2">
        <v>68.3065</v>
      </c>
      <c r="J246" s="2">
        <v>94</v>
      </c>
      <c r="K246" s="2">
        <v>69.428700000000006</v>
      </c>
      <c r="L246" s="2">
        <v>49</v>
      </c>
      <c r="M246" s="2">
        <v>107.05710000000001</v>
      </c>
      <c r="N246" s="2">
        <v>116</v>
      </c>
      <c r="O246" s="2">
        <v>104.6324</v>
      </c>
      <c r="P246" s="2">
        <v>173</v>
      </c>
      <c r="Q246" s="2">
        <v>110.7872</v>
      </c>
      <c r="R246" s="2">
        <v>308</v>
      </c>
      <c r="S246" s="2">
        <v>111.203</v>
      </c>
      <c r="T246" s="2">
        <v>297</v>
      </c>
      <c r="U246" s="2">
        <v>0.33172400000000002</v>
      </c>
      <c r="V246" s="2">
        <v>245</v>
      </c>
      <c r="W246" s="2">
        <v>2014</v>
      </c>
    </row>
    <row r="247" spans="1:23" ht="12.3" x14ac:dyDescent="0.4">
      <c r="A247" s="2" t="s">
        <v>108</v>
      </c>
      <c r="B247" s="2"/>
      <c r="C247" s="2"/>
      <c r="D247" s="2"/>
      <c r="E247" s="2"/>
      <c r="F247" s="2"/>
      <c r="G247" s="2"/>
      <c r="H247" s="2"/>
      <c r="I247" s="2">
        <v>71.122799999999998</v>
      </c>
      <c r="J247" s="2">
        <v>19</v>
      </c>
      <c r="K247" s="2">
        <v>70.388999999999996</v>
      </c>
      <c r="L247" s="2">
        <v>26</v>
      </c>
      <c r="M247" s="2">
        <v>106.0425</v>
      </c>
      <c r="N247" s="2">
        <v>144</v>
      </c>
      <c r="O247" s="2">
        <v>102.65519999999999</v>
      </c>
      <c r="P247" s="2">
        <v>208</v>
      </c>
      <c r="Q247" s="2">
        <v>105.8262</v>
      </c>
      <c r="R247" s="2">
        <v>200</v>
      </c>
      <c r="S247" s="2">
        <v>109.11</v>
      </c>
      <c r="T247" s="2">
        <v>258</v>
      </c>
      <c r="U247" s="2">
        <v>0.33152999999999999</v>
      </c>
      <c r="V247" s="2">
        <v>246</v>
      </c>
      <c r="W247" s="2">
        <v>2014</v>
      </c>
    </row>
    <row r="248" spans="1:23" ht="12.3" x14ac:dyDescent="0.4">
      <c r="A248" s="2" t="s">
        <v>356</v>
      </c>
      <c r="B248" s="2"/>
      <c r="C248" s="2"/>
      <c r="D248" s="2"/>
      <c r="E248" s="2"/>
      <c r="F248" s="2"/>
      <c r="G248" s="2"/>
      <c r="H248" s="2"/>
      <c r="I248" s="2">
        <v>65.059200000000004</v>
      </c>
      <c r="J248" s="2">
        <v>248</v>
      </c>
      <c r="K248" s="2">
        <v>65.052499999999995</v>
      </c>
      <c r="L248" s="2">
        <v>244</v>
      </c>
      <c r="M248" s="2">
        <v>101.1998</v>
      </c>
      <c r="N248" s="2">
        <v>247</v>
      </c>
      <c r="O248" s="2">
        <v>102.1403</v>
      </c>
      <c r="P248" s="2">
        <v>218</v>
      </c>
      <c r="Q248" s="2">
        <v>106.2606</v>
      </c>
      <c r="R248" s="2">
        <v>213</v>
      </c>
      <c r="S248" s="2">
        <v>108.56440000000001</v>
      </c>
      <c r="T248" s="2">
        <v>248</v>
      </c>
      <c r="U248" s="2">
        <v>0.33148899999999998</v>
      </c>
      <c r="V248" s="2">
        <v>247</v>
      </c>
      <c r="W248" s="2">
        <v>2014</v>
      </c>
    </row>
    <row r="249" spans="1:23" ht="12.3" x14ac:dyDescent="0.4">
      <c r="A249" s="2" t="s">
        <v>330</v>
      </c>
      <c r="B249" s="2"/>
      <c r="C249" s="2"/>
      <c r="D249" s="2"/>
      <c r="E249" s="2"/>
      <c r="F249" s="2"/>
      <c r="G249" s="2"/>
      <c r="H249" s="2"/>
      <c r="I249" s="2">
        <v>64.7</v>
      </c>
      <c r="J249" s="2">
        <v>266</v>
      </c>
      <c r="K249" s="2">
        <v>63.980600000000003</v>
      </c>
      <c r="L249" s="2">
        <v>289</v>
      </c>
      <c r="M249" s="2">
        <v>107.13639999999999</v>
      </c>
      <c r="N249" s="2">
        <v>113</v>
      </c>
      <c r="O249" s="2">
        <v>104.80500000000001</v>
      </c>
      <c r="P249" s="2">
        <v>169</v>
      </c>
      <c r="Q249" s="2">
        <v>111.1987</v>
      </c>
      <c r="R249" s="2">
        <v>317</v>
      </c>
      <c r="S249" s="2">
        <v>111.60599999999999</v>
      </c>
      <c r="T249" s="2">
        <v>305</v>
      </c>
      <c r="U249" s="2">
        <v>0.32672499999999999</v>
      </c>
      <c r="V249" s="2">
        <v>248</v>
      </c>
      <c r="W249" s="2">
        <v>2014</v>
      </c>
    </row>
    <row r="250" spans="1:23" ht="12.3" x14ac:dyDescent="0.4">
      <c r="A250" s="2" t="s">
        <v>150</v>
      </c>
      <c r="B250" s="2"/>
      <c r="C250" s="2"/>
      <c r="D250" s="2"/>
      <c r="E250" s="2"/>
      <c r="F250" s="2"/>
      <c r="G250" s="2"/>
      <c r="H250" s="2"/>
      <c r="I250" s="2">
        <v>63.1053</v>
      </c>
      <c r="J250" s="2">
        <v>322</v>
      </c>
      <c r="K250" s="2">
        <v>64.055800000000005</v>
      </c>
      <c r="L250" s="2">
        <v>286</v>
      </c>
      <c r="M250" s="2">
        <v>101.7084</v>
      </c>
      <c r="N250" s="2">
        <v>235</v>
      </c>
      <c r="O250" s="2">
        <v>101.90170000000001</v>
      </c>
      <c r="P250" s="2">
        <v>224</v>
      </c>
      <c r="Q250" s="2">
        <v>107.4671</v>
      </c>
      <c r="R250" s="2">
        <v>242</v>
      </c>
      <c r="S250" s="2">
        <v>108.51819999999999</v>
      </c>
      <c r="T250" s="2">
        <v>244</v>
      </c>
      <c r="U250" s="2">
        <v>0.32663399999999998</v>
      </c>
      <c r="V250" s="2">
        <v>249</v>
      </c>
      <c r="W250" s="2">
        <v>2014</v>
      </c>
    </row>
    <row r="251" spans="1:23" ht="12.3" x14ac:dyDescent="0.4">
      <c r="A251" s="2" t="s">
        <v>382</v>
      </c>
      <c r="B251" s="2"/>
      <c r="C251" s="2"/>
      <c r="D251" s="2"/>
      <c r="E251" s="2"/>
      <c r="F251" s="2"/>
      <c r="G251" s="2"/>
      <c r="H251" s="2"/>
      <c r="I251" s="2">
        <v>70.555999999999997</v>
      </c>
      <c r="J251" s="2">
        <v>28</v>
      </c>
      <c r="K251" s="2">
        <v>69.5762</v>
      </c>
      <c r="L251" s="2">
        <v>43</v>
      </c>
      <c r="M251" s="2">
        <v>108.166</v>
      </c>
      <c r="N251" s="2">
        <v>89</v>
      </c>
      <c r="O251" s="2">
        <v>102.66849999999999</v>
      </c>
      <c r="P251" s="2">
        <v>207</v>
      </c>
      <c r="Q251" s="2">
        <v>104.7666</v>
      </c>
      <c r="R251" s="2">
        <v>170</v>
      </c>
      <c r="S251" s="2">
        <v>109.4413</v>
      </c>
      <c r="T251" s="2">
        <v>266</v>
      </c>
      <c r="U251" s="2">
        <v>0.32417400000000002</v>
      </c>
      <c r="V251" s="2">
        <v>250</v>
      </c>
      <c r="W251" s="2">
        <v>2014</v>
      </c>
    </row>
    <row r="252" spans="1:23" ht="12.3" x14ac:dyDescent="0.4">
      <c r="A252" s="2" t="s">
        <v>211</v>
      </c>
      <c r="B252" s="2"/>
      <c r="C252" s="2"/>
      <c r="D252" s="2"/>
      <c r="E252" s="2"/>
      <c r="F252" s="2"/>
      <c r="G252" s="2"/>
      <c r="H252" s="2"/>
      <c r="I252" s="2">
        <v>66.975399999999993</v>
      </c>
      <c r="J252" s="2">
        <v>148</v>
      </c>
      <c r="K252" s="2">
        <v>66.677700000000002</v>
      </c>
      <c r="L252" s="2">
        <v>159</v>
      </c>
      <c r="M252" s="2">
        <v>103.02079999999999</v>
      </c>
      <c r="N252" s="2">
        <v>209</v>
      </c>
      <c r="O252" s="2">
        <v>99.041600000000003</v>
      </c>
      <c r="P252" s="2">
        <v>269</v>
      </c>
      <c r="Q252" s="2">
        <v>103.2512</v>
      </c>
      <c r="R252" s="2">
        <v>128</v>
      </c>
      <c r="S252" s="2">
        <v>105.6219</v>
      </c>
      <c r="T252" s="2">
        <v>191</v>
      </c>
      <c r="U252" s="2">
        <v>0.32305899999999999</v>
      </c>
      <c r="V252" s="2">
        <v>251</v>
      </c>
      <c r="W252" s="2">
        <v>2014</v>
      </c>
    </row>
    <row r="253" spans="1:23" ht="12.3" x14ac:dyDescent="0.4">
      <c r="A253" s="2" t="s">
        <v>294</v>
      </c>
      <c r="B253" s="2"/>
      <c r="C253" s="2"/>
      <c r="D253" s="2"/>
      <c r="E253" s="2"/>
      <c r="F253" s="2"/>
      <c r="G253" s="2"/>
      <c r="H253" s="2"/>
      <c r="I253" s="2">
        <v>64.161900000000003</v>
      </c>
      <c r="J253" s="2">
        <v>284</v>
      </c>
      <c r="K253" s="2">
        <v>64.487499999999997</v>
      </c>
      <c r="L253" s="2">
        <v>269</v>
      </c>
      <c r="M253" s="2">
        <v>106.89660000000001</v>
      </c>
      <c r="N253" s="2">
        <v>124</v>
      </c>
      <c r="O253" s="2">
        <v>103.73650000000001</v>
      </c>
      <c r="P253" s="2">
        <v>190</v>
      </c>
      <c r="Q253" s="2">
        <v>109.55</v>
      </c>
      <c r="R253" s="2">
        <v>281</v>
      </c>
      <c r="S253" s="2">
        <v>110.71250000000001</v>
      </c>
      <c r="T253" s="2">
        <v>289</v>
      </c>
      <c r="U253" s="2">
        <v>0.32115899999999997</v>
      </c>
      <c r="V253" s="2">
        <v>252</v>
      </c>
      <c r="W253" s="2">
        <v>2014</v>
      </c>
    </row>
    <row r="254" spans="1:23" ht="12.3" x14ac:dyDescent="0.4">
      <c r="A254" s="2" t="s">
        <v>326</v>
      </c>
      <c r="B254" s="2"/>
      <c r="C254" s="2"/>
      <c r="D254" s="2"/>
      <c r="E254" s="2"/>
      <c r="F254" s="2"/>
      <c r="G254" s="2"/>
      <c r="H254" s="2"/>
      <c r="I254" s="2">
        <v>65.566900000000004</v>
      </c>
      <c r="J254" s="2">
        <v>221</v>
      </c>
      <c r="K254" s="2">
        <v>66.209299999999999</v>
      </c>
      <c r="L254" s="2">
        <v>184</v>
      </c>
      <c r="M254" s="2">
        <v>99.540800000000004</v>
      </c>
      <c r="N254" s="2">
        <v>272</v>
      </c>
      <c r="O254" s="2">
        <v>97.477500000000006</v>
      </c>
      <c r="P254" s="2">
        <v>294</v>
      </c>
      <c r="Q254" s="2">
        <v>103.7816</v>
      </c>
      <c r="R254" s="2">
        <v>144</v>
      </c>
      <c r="S254" s="2">
        <v>104.0629</v>
      </c>
      <c r="T254" s="2">
        <v>155</v>
      </c>
      <c r="U254" s="2">
        <v>0.32043100000000002</v>
      </c>
      <c r="V254" s="2">
        <v>253</v>
      </c>
      <c r="W254" s="2">
        <v>2014</v>
      </c>
    </row>
    <row r="255" spans="1:23" ht="12.3" x14ac:dyDescent="0.4">
      <c r="A255" s="2" t="s">
        <v>311</v>
      </c>
      <c r="B255" s="2"/>
      <c r="C255" s="2"/>
      <c r="D255" s="2"/>
      <c r="E255" s="2"/>
      <c r="F255" s="2"/>
      <c r="G255" s="2"/>
      <c r="H255" s="2"/>
      <c r="I255" s="2">
        <v>66.756399999999999</v>
      </c>
      <c r="J255" s="2">
        <v>161</v>
      </c>
      <c r="K255" s="2">
        <v>67.210999999999999</v>
      </c>
      <c r="L255" s="2">
        <v>127</v>
      </c>
      <c r="M255" s="2">
        <v>100.4872</v>
      </c>
      <c r="N255" s="2">
        <v>258</v>
      </c>
      <c r="O255" s="2">
        <v>100.3913</v>
      </c>
      <c r="P255" s="2">
        <v>249</v>
      </c>
      <c r="Q255" s="2">
        <v>106.4252</v>
      </c>
      <c r="R255" s="2">
        <v>217</v>
      </c>
      <c r="S255" s="2">
        <v>107.20529999999999</v>
      </c>
      <c r="T255" s="2">
        <v>222</v>
      </c>
      <c r="U255" s="2">
        <v>0.31968800000000003</v>
      </c>
      <c r="V255" s="2">
        <v>254</v>
      </c>
      <c r="W255" s="2">
        <v>2014</v>
      </c>
    </row>
    <row r="256" spans="1:23" ht="12.3" x14ac:dyDescent="0.4">
      <c r="A256" s="2" t="s">
        <v>197</v>
      </c>
      <c r="B256" s="2"/>
      <c r="C256" s="2"/>
      <c r="D256" s="2"/>
      <c r="E256" s="2"/>
      <c r="F256" s="2"/>
      <c r="G256" s="2"/>
      <c r="H256" s="2"/>
      <c r="I256" s="2">
        <v>68.906499999999994</v>
      </c>
      <c r="J256" s="2">
        <v>70</v>
      </c>
      <c r="K256" s="2">
        <v>68.161000000000001</v>
      </c>
      <c r="L256" s="2">
        <v>85</v>
      </c>
      <c r="M256" s="2">
        <v>99.348200000000006</v>
      </c>
      <c r="N256" s="2">
        <v>277</v>
      </c>
      <c r="O256" s="2">
        <v>98.570999999999998</v>
      </c>
      <c r="P256" s="2">
        <v>277</v>
      </c>
      <c r="Q256" s="2">
        <v>103.6293</v>
      </c>
      <c r="R256" s="2">
        <v>142</v>
      </c>
      <c r="S256" s="2">
        <v>105.2679</v>
      </c>
      <c r="T256" s="2">
        <v>179</v>
      </c>
      <c r="U256" s="2">
        <v>0.31953500000000001</v>
      </c>
      <c r="V256" s="2">
        <v>255</v>
      </c>
      <c r="W256" s="2">
        <v>2014</v>
      </c>
    </row>
    <row r="257" spans="1:23" ht="12.3" x14ac:dyDescent="0.4">
      <c r="A257" s="2" t="s">
        <v>254</v>
      </c>
      <c r="B257" s="2"/>
      <c r="C257" s="2"/>
      <c r="D257" s="2"/>
      <c r="E257" s="2"/>
      <c r="F257" s="2"/>
      <c r="G257" s="2"/>
      <c r="H257" s="2"/>
      <c r="I257" s="2">
        <v>63.589399999999998</v>
      </c>
      <c r="J257" s="2">
        <v>309</v>
      </c>
      <c r="K257" s="2">
        <v>63.671799999999998</v>
      </c>
      <c r="L257" s="2">
        <v>300</v>
      </c>
      <c r="M257" s="2">
        <v>104.0624</v>
      </c>
      <c r="N257" s="2">
        <v>187</v>
      </c>
      <c r="O257" s="2">
        <v>100.24079999999999</v>
      </c>
      <c r="P257" s="2">
        <v>254</v>
      </c>
      <c r="Q257" s="2">
        <v>107.16379999999999</v>
      </c>
      <c r="R257" s="2">
        <v>235</v>
      </c>
      <c r="S257" s="2">
        <v>107.0762</v>
      </c>
      <c r="T257" s="2">
        <v>218</v>
      </c>
      <c r="U257" s="2">
        <v>0.31895099999999998</v>
      </c>
      <c r="V257" s="2">
        <v>256</v>
      </c>
      <c r="W257" s="2">
        <v>2014</v>
      </c>
    </row>
    <row r="258" spans="1:23" ht="12.3" x14ac:dyDescent="0.4">
      <c r="A258" s="2" t="s">
        <v>377</v>
      </c>
      <c r="B258" s="2"/>
      <c r="C258" s="2"/>
      <c r="D258" s="2"/>
      <c r="E258" s="2"/>
      <c r="F258" s="2"/>
      <c r="G258" s="2"/>
      <c r="H258" s="2"/>
      <c r="I258" s="2">
        <v>66.294499999999999</v>
      </c>
      <c r="J258" s="2">
        <v>187</v>
      </c>
      <c r="K258" s="2">
        <v>67.141599999999997</v>
      </c>
      <c r="L258" s="2">
        <v>133</v>
      </c>
      <c r="M258" s="2">
        <v>100.5172</v>
      </c>
      <c r="N258" s="2">
        <v>256</v>
      </c>
      <c r="O258" s="2">
        <v>101.5829</v>
      </c>
      <c r="P258" s="2">
        <v>229</v>
      </c>
      <c r="Q258" s="2">
        <v>109.5842</v>
      </c>
      <c r="R258" s="2">
        <v>283</v>
      </c>
      <c r="S258" s="2">
        <v>108.5548</v>
      </c>
      <c r="T258" s="2">
        <v>246</v>
      </c>
      <c r="U258" s="2">
        <v>0.31791399999999997</v>
      </c>
      <c r="V258" s="2">
        <v>257</v>
      </c>
      <c r="W258" s="2">
        <v>2014</v>
      </c>
    </row>
    <row r="259" spans="1:23" ht="12.3" x14ac:dyDescent="0.4">
      <c r="A259" s="2" t="s">
        <v>320</v>
      </c>
      <c r="B259" s="2"/>
      <c r="C259" s="2"/>
      <c r="D259" s="2"/>
      <c r="E259" s="2"/>
      <c r="F259" s="2"/>
      <c r="G259" s="2"/>
      <c r="H259" s="2"/>
      <c r="I259" s="2">
        <v>64.798900000000003</v>
      </c>
      <c r="J259" s="2">
        <v>256</v>
      </c>
      <c r="K259" s="2">
        <v>64.170100000000005</v>
      </c>
      <c r="L259" s="2">
        <v>280</v>
      </c>
      <c r="M259" s="2">
        <v>105.0778</v>
      </c>
      <c r="N259" s="2">
        <v>168</v>
      </c>
      <c r="O259" s="2">
        <v>102.0802</v>
      </c>
      <c r="P259" s="2">
        <v>219</v>
      </c>
      <c r="Q259" s="2">
        <v>106.0329</v>
      </c>
      <c r="R259" s="2">
        <v>206</v>
      </c>
      <c r="S259" s="2">
        <v>109.55929999999999</v>
      </c>
      <c r="T259" s="2">
        <v>268</v>
      </c>
      <c r="U259" s="2">
        <v>0.307224</v>
      </c>
      <c r="V259" s="2">
        <v>258</v>
      </c>
      <c r="W259" s="2">
        <v>2014</v>
      </c>
    </row>
    <row r="260" spans="1:23" ht="12.3" x14ac:dyDescent="0.4">
      <c r="A260" s="2" t="s">
        <v>223</v>
      </c>
      <c r="B260" s="2"/>
      <c r="C260" s="2"/>
      <c r="D260" s="2"/>
      <c r="E260" s="2"/>
      <c r="F260" s="2"/>
      <c r="G260" s="2"/>
      <c r="H260" s="2"/>
      <c r="I260" s="2">
        <v>68.472700000000003</v>
      </c>
      <c r="J260" s="2">
        <v>83</v>
      </c>
      <c r="K260" s="2">
        <v>67.900700000000001</v>
      </c>
      <c r="L260" s="2">
        <v>100</v>
      </c>
      <c r="M260" s="2">
        <v>110.423</v>
      </c>
      <c r="N260" s="2">
        <v>56</v>
      </c>
      <c r="O260" s="2">
        <v>105.78100000000001</v>
      </c>
      <c r="P260" s="2">
        <v>144</v>
      </c>
      <c r="Q260" s="2">
        <v>108.8527</v>
      </c>
      <c r="R260" s="2">
        <v>271</v>
      </c>
      <c r="S260" s="2">
        <v>113.7179</v>
      </c>
      <c r="T260" s="2">
        <v>329</v>
      </c>
      <c r="U260" s="2">
        <v>0.30321700000000001</v>
      </c>
      <c r="V260" s="2">
        <v>259</v>
      </c>
      <c r="W260" s="2">
        <v>2014</v>
      </c>
    </row>
    <row r="261" spans="1:23" ht="12.3" x14ac:dyDescent="0.4">
      <c r="A261" s="2" t="s">
        <v>204</v>
      </c>
      <c r="B261" s="2"/>
      <c r="C261" s="2"/>
      <c r="D261" s="2"/>
      <c r="E261" s="2"/>
      <c r="F261" s="2"/>
      <c r="G261" s="2"/>
      <c r="H261" s="2"/>
      <c r="I261" s="2">
        <v>65.204700000000003</v>
      </c>
      <c r="J261" s="2">
        <v>239</v>
      </c>
      <c r="K261" s="2">
        <v>65.355400000000003</v>
      </c>
      <c r="L261" s="2">
        <v>229</v>
      </c>
      <c r="M261" s="2">
        <v>98.245900000000006</v>
      </c>
      <c r="N261" s="2">
        <v>286</v>
      </c>
      <c r="O261" s="2">
        <v>98.094899999999996</v>
      </c>
      <c r="P261" s="2">
        <v>285</v>
      </c>
      <c r="Q261" s="2">
        <v>107.21339999999999</v>
      </c>
      <c r="R261" s="2">
        <v>238</v>
      </c>
      <c r="S261" s="2">
        <v>105.6057</v>
      </c>
      <c r="T261" s="2">
        <v>190</v>
      </c>
      <c r="U261" s="2">
        <v>0.29976000000000003</v>
      </c>
      <c r="V261" s="2">
        <v>260</v>
      </c>
      <c r="W261" s="2">
        <v>2014</v>
      </c>
    </row>
    <row r="262" spans="1:23" ht="12.3" x14ac:dyDescent="0.4">
      <c r="A262" s="2" t="s">
        <v>337</v>
      </c>
      <c r="B262" s="2"/>
      <c r="C262" s="2"/>
      <c r="D262" s="2"/>
      <c r="E262" s="2"/>
      <c r="F262" s="2"/>
      <c r="G262" s="2"/>
      <c r="H262" s="2"/>
      <c r="I262" s="2">
        <v>71.008799999999994</v>
      </c>
      <c r="J262" s="2">
        <v>20</v>
      </c>
      <c r="K262" s="2">
        <v>70.090699999999998</v>
      </c>
      <c r="L262" s="2">
        <v>30</v>
      </c>
      <c r="M262" s="2">
        <v>105.2469</v>
      </c>
      <c r="N262" s="2">
        <v>164</v>
      </c>
      <c r="O262" s="2">
        <v>103.1782</v>
      </c>
      <c r="P262" s="2">
        <v>198</v>
      </c>
      <c r="Q262" s="2">
        <v>109.85469999999999</v>
      </c>
      <c r="R262" s="2">
        <v>288</v>
      </c>
      <c r="S262" s="2">
        <v>111.15300000000001</v>
      </c>
      <c r="T262" s="2">
        <v>295</v>
      </c>
      <c r="U262" s="2">
        <v>0.29813899999999999</v>
      </c>
      <c r="V262" s="2">
        <v>261</v>
      </c>
      <c r="W262" s="2">
        <v>2014</v>
      </c>
    </row>
    <row r="263" spans="1:23" ht="12.3" x14ac:dyDescent="0.4">
      <c r="A263" s="2" t="s">
        <v>269</v>
      </c>
      <c r="B263" s="2"/>
      <c r="C263" s="2"/>
      <c r="D263" s="2"/>
      <c r="E263" s="2"/>
      <c r="F263" s="2"/>
      <c r="G263" s="2"/>
      <c r="H263" s="2"/>
      <c r="I263" s="2">
        <v>65.499200000000002</v>
      </c>
      <c r="J263" s="2">
        <v>225</v>
      </c>
      <c r="K263" s="2">
        <v>66.375900000000001</v>
      </c>
      <c r="L263" s="2">
        <v>176</v>
      </c>
      <c r="M263" s="2">
        <v>107.1562</v>
      </c>
      <c r="N263" s="2">
        <v>112</v>
      </c>
      <c r="O263" s="2">
        <v>102.46250000000001</v>
      </c>
      <c r="P263" s="2">
        <v>212</v>
      </c>
      <c r="Q263" s="2">
        <v>108.90649999999999</v>
      </c>
      <c r="R263" s="2">
        <v>273</v>
      </c>
      <c r="S263" s="2">
        <v>110.4248</v>
      </c>
      <c r="T263" s="2">
        <v>282</v>
      </c>
      <c r="U263" s="2">
        <v>0.297205</v>
      </c>
      <c r="V263" s="2">
        <v>262</v>
      </c>
      <c r="W263" s="2">
        <v>2014</v>
      </c>
    </row>
    <row r="264" spans="1:23" ht="12.3" x14ac:dyDescent="0.4">
      <c r="A264" s="2" t="s">
        <v>363</v>
      </c>
      <c r="B264" s="2"/>
      <c r="C264" s="2"/>
      <c r="D264" s="2"/>
      <c r="E264" s="2"/>
      <c r="F264" s="2"/>
      <c r="G264" s="2"/>
      <c r="H264" s="2"/>
      <c r="I264" s="2">
        <v>68.648200000000003</v>
      </c>
      <c r="J264" s="2">
        <v>76</v>
      </c>
      <c r="K264" s="2">
        <v>68.671300000000002</v>
      </c>
      <c r="L264" s="2">
        <v>67</v>
      </c>
      <c r="M264" s="2">
        <v>102.4777</v>
      </c>
      <c r="N264" s="2">
        <v>219</v>
      </c>
      <c r="O264" s="2">
        <v>102.5689</v>
      </c>
      <c r="P264" s="2">
        <v>210</v>
      </c>
      <c r="Q264" s="2">
        <v>108.50060000000001</v>
      </c>
      <c r="R264" s="2">
        <v>263</v>
      </c>
      <c r="S264" s="2">
        <v>110.5596</v>
      </c>
      <c r="T264" s="2">
        <v>283</v>
      </c>
      <c r="U264" s="2">
        <v>0.29676799999999998</v>
      </c>
      <c r="V264" s="2">
        <v>263</v>
      </c>
      <c r="W264" s="2">
        <v>2014</v>
      </c>
    </row>
    <row r="265" spans="1:23" ht="12.3" x14ac:dyDescent="0.4">
      <c r="A265" s="2" t="s">
        <v>287</v>
      </c>
      <c r="B265" s="2"/>
      <c r="C265" s="2"/>
      <c r="D265" s="2"/>
      <c r="E265" s="2"/>
      <c r="F265" s="2"/>
      <c r="G265" s="2"/>
      <c r="H265" s="2"/>
      <c r="I265" s="2">
        <v>66.439599999999999</v>
      </c>
      <c r="J265" s="2">
        <v>179</v>
      </c>
      <c r="K265" s="2">
        <v>66.3095</v>
      </c>
      <c r="L265" s="2">
        <v>180</v>
      </c>
      <c r="M265" s="2">
        <v>99.540499999999994</v>
      </c>
      <c r="N265" s="2">
        <v>273</v>
      </c>
      <c r="O265" s="2">
        <v>99.867699999999999</v>
      </c>
      <c r="P265" s="2">
        <v>260</v>
      </c>
      <c r="Q265" s="2">
        <v>107.06180000000001</v>
      </c>
      <c r="R265" s="2">
        <v>233</v>
      </c>
      <c r="S265" s="2">
        <v>107.6936</v>
      </c>
      <c r="T265" s="2">
        <v>230</v>
      </c>
      <c r="U265" s="2">
        <v>0.29575400000000002</v>
      </c>
      <c r="V265" s="2">
        <v>264</v>
      </c>
      <c r="W265" s="2">
        <v>2014</v>
      </c>
    </row>
    <row r="266" spans="1:23" ht="12.3" x14ac:dyDescent="0.4">
      <c r="A266" s="2" t="s">
        <v>302</v>
      </c>
      <c r="B266" s="2"/>
      <c r="C266" s="2"/>
      <c r="D266" s="2"/>
      <c r="E266" s="2"/>
      <c r="F266" s="2"/>
      <c r="G266" s="2"/>
      <c r="H266" s="2"/>
      <c r="I266" s="2">
        <v>63.784500000000001</v>
      </c>
      <c r="J266" s="2">
        <v>298</v>
      </c>
      <c r="K266" s="2">
        <v>64.401499999999999</v>
      </c>
      <c r="L266" s="2">
        <v>271</v>
      </c>
      <c r="M266" s="2">
        <v>106.2685</v>
      </c>
      <c r="N266" s="2">
        <v>141</v>
      </c>
      <c r="O266" s="2">
        <v>103.6662</v>
      </c>
      <c r="P266" s="2">
        <v>193</v>
      </c>
      <c r="Q266" s="2">
        <v>110.0612</v>
      </c>
      <c r="R266" s="2">
        <v>296</v>
      </c>
      <c r="S266" s="2">
        <v>111.95869999999999</v>
      </c>
      <c r="T266" s="2">
        <v>314</v>
      </c>
      <c r="U266" s="2">
        <v>0.29214899999999999</v>
      </c>
      <c r="V266" s="2">
        <v>265</v>
      </c>
      <c r="W266" s="2">
        <v>2014</v>
      </c>
    </row>
    <row r="267" spans="1:23" ht="12.3" x14ac:dyDescent="0.4">
      <c r="A267" s="2" t="s">
        <v>144</v>
      </c>
      <c r="B267" s="2"/>
      <c r="C267" s="2"/>
      <c r="D267" s="2"/>
      <c r="E267" s="2"/>
      <c r="F267" s="2"/>
      <c r="G267" s="2"/>
      <c r="H267" s="2"/>
      <c r="I267" s="2">
        <v>66.323300000000003</v>
      </c>
      <c r="J267" s="2">
        <v>183</v>
      </c>
      <c r="K267" s="2">
        <v>66.355099999999993</v>
      </c>
      <c r="L267" s="2">
        <v>178</v>
      </c>
      <c r="M267" s="2">
        <v>98.402600000000007</v>
      </c>
      <c r="N267" s="2">
        <v>285</v>
      </c>
      <c r="O267" s="2">
        <v>100.3099</v>
      </c>
      <c r="P267" s="2">
        <v>251</v>
      </c>
      <c r="Q267" s="2">
        <v>110.1384</v>
      </c>
      <c r="R267" s="2">
        <v>298</v>
      </c>
      <c r="S267" s="2">
        <v>108.363</v>
      </c>
      <c r="T267" s="2">
        <v>242</v>
      </c>
      <c r="U267" s="2">
        <v>0.29150999999999999</v>
      </c>
      <c r="V267" s="2">
        <v>266</v>
      </c>
      <c r="W267" s="2">
        <v>2014</v>
      </c>
    </row>
    <row r="268" spans="1:23" ht="12.3" x14ac:dyDescent="0.4">
      <c r="A268" s="2" t="s">
        <v>200</v>
      </c>
      <c r="B268" s="2"/>
      <c r="C268" s="2"/>
      <c r="D268" s="2"/>
      <c r="E268" s="2"/>
      <c r="F268" s="2"/>
      <c r="G268" s="2"/>
      <c r="H268" s="2"/>
      <c r="I268" s="2">
        <v>64.759699999999995</v>
      </c>
      <c r="J268" s="2">
        <v>262</v>
      </c>
      <c r="K268" s="2">
        <v>65.387900000000002</v>
      </c>
      <c r="L268" s="2">
        <v>227</v>
      </c>
      <c r="M268" s="2">
        <v>97.261099999999999</v>
      </c>
      <c r="N268" s="2">
        <v>300</v>
      </c>
      <c r="O268" s="2">
        <v>98.097999999999999</v>
      </c>
      <c r="P268" s="2">
        <v>284</v>
      </c>
      <c r="Q268" s="2">
        <v>105.9191</v>
      </c>
      <c r="R268" s="2">
        <v>203</v>
      </c>
      <c r="S268" s="2">
        <v>106.0896</v>
      </c>
      <c r="T268" s="2">
        <v>201</v>
      </c>
      <c r="U268" s="2">
        <v>0.28891699999999998</v>
      </c>
      <c r="V268" s="2">
        <v>267</v>
      </c>
      <c r="W268" s="2">
        <v>2014</v>
      </c>
    </row>
    <row r="269" spans="1:23" ht="12.3" x14ac:dyDescent="0.4">
      <c r="A269" s="2" t="s">
        <v>114</v>
      </c>
      <c r="B269" s="2"/>
      <c r="C269" s="2"/>
      <c r="D269" s="2"/>
      <c r="E269" s="2"/>
      <c r="F269" s="2"/>
      <c r="G269" s="2"/>
      <c r="H269" s="2"/>
      <c r="I269" s="2">
        <v>68.394800000000004</v>
      </c>
      <c r="J269" s="2">
        <v>93</v>
      </c>
      <c r="K269" s="2">
        <v>68.163700000000006</v>
      </c>
      <c r="L269" s="2">
        <v>84</v>
      </c>
      <c r="M269" s="2">
        <v>102.5074</v>
      </c>
      <c r="N269" s="2">
        <v>217</v>
      </c>
      <c r="O269" s="2">
        <v>100.0065</v>
      </c>
      <c r="P269" s="2">
        <v>258</v>
      </c>
      <c r="Q269" s="2">
        <v>107.6751</v>
      </c>
      <c r="R269" s="2">
        <v>247</v>
      </c>
      <c r="S269" s="2">
        <v>108.2186</v>
      </c>
      <c r="T269" s="2">
        <v>238</v>
      </c>
      <c r="U269" s="2">
        <v>0.28749999999999998</v>
      </c>
      <c r="V269" s="2">
        <v>268</v>
      </c>
      <c r="W269" s="2">
        <v>2014</v>
      </c>
    </row>
    <row r="270" spans="1:23" ht="12.3" x14ac:dyDescent="0.4">
      <c r="A270" s="2" t="s">
        <v>77</v>
      </c>
      <c r="B270" s="2"/>
      <c r="C270" s="2"/>
      <c r="D270" s="2"/>
      <c r="E270" s="2"/>
      <c r="F270" s="2"/>
      <c r="G270" s="2"/>
      <c r="H270" s="2"/>
      <c r="I270" s="2">
        <v>70.040999999999997</v>
      </c>
      <c r="J270" s="2">
        <v>41</v>
      </c>
      <c r="K270" s="2">
        <v>69.606999999999999</v>
      </c>
      <c r="L270" s="2">
        <v>42</v>
      </c>
      <c r="M270" s="2">
        <v>97.086699999999993</v>
      </c>
      <c r="N270" s="2">
        <v>304</v>
      </c>
      <c r="O270" s="2">
        <v>98.3506</v>
      </c>
      <c r="P270" s="2">
        <v>278</v>
      </c>
      <c r="Q270" s="2">
        <v>106.6044</v>
      </c>
      <c r="R270" s="2">
        <v>222</v>
      </c>
      <c r="S270" s="2">
        <v>106.4418</v>
      </c>
      <c r="T270" s="2">
        <v>208</v>
      </c>
      <c r="U270" s="2">
        <v>0.287165</v>
      </c>
      <c r="V270" s="2">
        <v>269</v>
      </c>
      <c r="W270" s="2">
        <v>2014</v>
      </c>
    </row>
    <row r="271" spans="1:23" ht="12.3" x14ac:dyDescent="0.4">
      <c r="A271" s="2" t="s">
        <v>243</v>
      </c>
      <c r="B271" s="2"/>
      <c r="C271" s="2"/>
      <c r="D271" s="2"/>
      <c r="E271" s="2"/>
      <c r="F271" s="2"/>
      <c r="G271" s="2"/>
      <c r="H271" s="2"/>
      <c r="I271" s="2">
        <v>65.350099999999998</v>
      </c>
      <c r="J271" s="2">
        <v>233</v>
      </c>
      <c r="K271" s="2">
        <v>65.653700000000001</v>
      </c>
      <c r="L271" s="2">
        <v>211</v>
      </c>
      <c r="M271" s="2">
        <v>104.3415</v>
      </c>
      <c r="N271" s="2">
        <v>178</v>
      </c>
      <c r="O271" s="2">
        <v>104.6315</v>
      </c>
      <c r="P271" s="2">
        <v>174</v>
      </c>
      <c r="Q271" s="2">
        <v>111.6285</v>
      </c>
      <c r="R271" s="2">
        <v>322</v>
      </c>
      <c r="S271" s="2">
        <v>113.25620000000001</v>
      </c>
      <c r="T271" s="2">
        <v>326</v>
      </c>
      <c r="U271" s="2">
        <v>0.28681600000000002</v>
      </c>
      <c r="V271" s="2">
        <v>270</v>
      </c>
      <c r="W271" s="2">
        <v>2014</v>
      </c>
    </row>
    <row r="272" spans="1:23" ht="12.3" x14ac:dyDescent="0.4">
      <c r="A272" s="2" t="s">
        <v>193</v>
      </c>
      <c r="B272" s="2"/>
      <c r="C272" s="2"/>
      <c r="D272" s="2"/>
      <c r="E272" s="2"/>
      <c r="F272" s="2"/>
      <c r="G272" s="2"/>
      <c r="H272" s="2"/>
      <c r="I272" s="2">
        <v>64.655100000000004</v>
      </c>
      <c r="J272" s="2">
        <v>268</v>
      </c>
      <c r="K272" s="2">
        <v>63.216500000000003</v>
      </c>
      <c r="L272" s="2">
        <v>314</v>
      </c>
      <c r="M272" s="2">
        <v>95.926900000000003</v>
      </c>
      <c r="N272" s="2">
        <v>316</v>
      </c>
      <c r="O272" s="2">
        <v>96.739800000000002</v>
      </c>
      <c r="P272" s="2">
        <v>303</v>
      </c>
      <c r="Q272" s="2">
        <v>104.6781</v>
      </c>
      <c r="R272" s="2">
        <v>168</v>
      </c>
      <c r="S272" s="2">
        <v>104.78489999999999</v>
      </c>
      <c r="T272" s="2">
        <v>171</v>
      </c>
      <c r="U272" s="2">
        <v>0.28522799999999998</v>
      </c>
      <c r="V272" s="2">
        <v>271</v>
      </c>
      <c r="W272" s="2">
        <v>2014</v>
      </c>
    </row>
    <row r="273" spans="1:23" ht="12.3" x14ac:dyDescent="0.4">
      <c r="A273" s="2" t="s">
        <v>166</v>
      </c>
      <c r="B273" s="2"/>
      <c r="C273" s="2"/>
      <c r="D273" s="2"/>
      <c r="E273" s="2"/>
      <c r="F273" s="2"/>
      <c r="G273" s="2"/>
      <c r="H273" s="2"/>
      <c r="I273" s="2">
        <v>69.349400000000003</v>
      </c>
      <c r="J273" s="2">
        <v>55</v>
      </c>
      <c r="K273" s="2">
        <v>68.438199999999995</v>
      </c>
      <c r="L273" s="2">
        <v>75</v>
      </c>
      <c r="M273" s="2">
        <v>104.05500000000001</v>
      </c>
      <c r="N273" s="2">
        <v>188</v>
      </c>
      <c r="O273" s="2">
        <v>101.0929</v>
      </c>
      <c r="P273" s="2">
        <v>234</v>
      </c>
      <c r="Q273" s="2">
        <v>107.35</v>
      </c>
      <c r="R273" s="2">
        <v>240</v>
      </c>
      <c r="S273" s="2">
        <v>109.6724</v>
      </c>
      <c r="T273" s="2">
        <v>270</v>
      </c>
      <c r="U273" s="2">
        <v>0.281553</v>
      </c>
      <c r="V273" s="2">
        <v>272</v>
      </c>
      <c r="W273" s="2">
        <v>2014</v>
      </c>
    </row>
    <row r="274" spans="1:23" ht="12.3" x14ac:dyDescent="0.4">
      <c r="A274" s="2" t="s">
        <v>191</v>
      </c>
      <c r="B274" s="2"/>
      <c r="C274" s="2"/>
      <c r="D274" s="2"/>
      <c r="E274" s="2"/>
      <c r="F274" s="2"/>
      <c r="G274" s="2"/>
      <c r="H274" s="2"/>
      <c r="I274" s="2">
        <v>71.147400000000005</v>
      </c>
      <c r="J274" s="2">
        <v>18</v>
      </c>
      <c r="K274" s="2">
        <v>69.870999999999995</v>
      </c>
      <c r="L274" s="2">
        <v>37</v>
      </c>
      <c r="M274" s="2">
        <v>97.513199999999998</v>
      </c>
      <c r="N274" s="2">
        <v>294</v>
      </c>
      <c r="O274" s="2">
        <v>99.033699999999996</v>
      </c>
      <c r="P274" s="2">
        <v>270</v>
      </c>
      <c r="Q274" s="2">
        <v>107.07080000000001</v>
      </c>
      <c r="R274" s="2">
        <v>234</v>
      </c>
      <c r="S274" s="2">
        <v>107.499</v>
      </c>
      <c r="T274" s="2">
        <v>227</v>
      </c>
      <c r="U274" s="2">
        <v>0.28024500000000002</v>
      </c>
      <c r="V274" s="2">
        <v>273</v>
      </c>
      <c r="W274" s="2">
        <v>2014</v>
      </c>
    </row>
    <row r="275" spans="1:23" ht="12.3" x14ac:dyDescent="0.4">
      <c r="A275" s="2" t="s">
        <v>221</v>
      </c>
      <c r="B275" s="2"/>
      <c r="C275" s="2"/>
      <c r="D275" s="2"/>
      <c r="E275" s="2"/>
      <c r="F275" s="2"/>
      <c r="G275" s="2"/>
      <c r="H275" s="2"/>
      <c r="I275" s="2">
        <v>66.972999999999999</v>
      </c>
      <c r="J275" s="2">
        <v>149</v>
      </c>
      <c r="K275" s="2">
        <v>66.464500000000001</v>
      </c>
      <c r="L275" s="2">
        <v>169</v>
      </c>
      <c r="M275" s="2">
        <v>94.333699999999993</v>
      </c>
      <c r="N275" s="2">
        <v>331</v>
      </c>
      <c r="O275" s="2">
        <v>96.147400000000005</v>
      </c>
      <c r="P275" s="2">
        <v>311</v>
      </c>
      <c r="Q275" s="2">
        <v>104.1267</v>
      </c>
      <c r="R275" s="2">
        <v>156</v>
      </c>
      <c r="S275" s="2">
        <v>104.4723</v>
      </c>
      <c r="T275" s="2">
        <v>166</v>
      </c>
      <c r="U275" s="2">
        <v>0.27789000000000003</v>
      </c>
      <c r="V275" s="2">
        <v>274</v>
      </c>
      <c r="W275" s="2">
        <v>2014</v>
      </c>
    </row>
    <row r="276" spans="1:23" ht="12.3" x14ac:dyDescent="0.4">
      <c r="A276" s="2" t="s">
        <v>194</v>
      </c>
      <c r="B276" s="2"/>
      <c r="C276" s="2"/>
      <c r="D276" s="2"/>
      <c r="E276" s="2"/>
      <c r="F276" s="2"/>
      <c r="G276" s="2"/>
      <c r="H276" s="2"/>
      <c r="I276" s="2">
        <v>73.805700000000002</v>
      </c>
      <c r="J276" s="2">
        <v>4</v>
      </c>
      <c r="K276" s="2">
        <v>72.015799999999999</v>
      </c>
      <c r="L276" s="2">
        <v>11</v>
      </c>
      <c r="M276" s="2">
        <v>101.9683</v>
      </c>
      <c r="N276" s="2">
        <v>231</v>
      </c>
      <c r="O276" s="2">
        <v>100.8302</v>
      </c>
      <c r="P276" s="2">
        <v>240</v>
      </c>
      <c r="Q276" s="2">
        <v>111.18519999999999</v>
      </c>
      <c r="R276" s="2">
        <v>315</v>
      </c>
      <c r="S276" s="2">
        <v>109.6335</v>
      </c>
      <c r="T276" s="2">
        <v>269</v>
      </c>
      <c r="U276" s="2">
        <v>0.27635500000000002</v>
      </c>
      <c r="V276" s="2">
        <v>275</v>
      </c>
      <c r="W276" s="2">
        <v>2014</v>
      </c>
    </row>
    <row r="277" spans="1:23" ht="12.3" x14ac:dyDescent="0.4">
      <c r="A277" s="2" t="s">
        <v>251</v>
      </c>
      <c r="B277" s="2"/>
      <c r="C277" s="2"/>
      <c r="D277" s="2"/>
      <c r="E277" s="2"/>
      <c r="F277" s="2"/>
      <c r="G277" s="2"/>
      <c r="H277" s="2"/>
      <c r="I277" s="2">
        <v>69.613900000000001</v>
      </c>
      <c r="J277" s="2">
        <v>49</v>
      </c>
      <c r="K277" s="2">
        <v>68.12</v>
      </c>
      <c r="L277" s="2">
        <v>88</v>
      </c>
      <c r="M277" s="2">
        <v>97.764099999999999</v>
      </c>
      <c r="N277" s="2">
        <v>292</v>
      </c>
      <c r="O277" s="2">
        <v>95.737799999999993</v>
      </c>
      <c r="P277" s="2">
        <v>316</v>
      </c>
      <c r="Q277" s="2">
        <v>103.9151</v>
      </c>
      <c r="R277" s="2">
        <v>148</v>
      </c>
      <c r="S277" s="2">
        <v>104.26220000000001</v>
      </c>
      <c r="T277" s="2">
        <v>162</v>
      </c>
      <c r="U277" s="2">
        <v>0.27271400000000001</v>
      </c>
      <c r="V277" s="2">
        <v>276</v>
      </c>
      <c r="W277" s="2">
        <v>2014</v>
      </c>
    </row>
    <row r="278" spans="1:23" ht="12.3" x14ac:dyDescent="0.4">
      <c r="A278" s="2" t="s">
        <v>284</v>
      </c>
      <c r="B278" s="2"/>
      <c r="C278" s="2"/>
      <c r="D278" s="2"/>
      <c r="E278" s="2"/>
      <c r="F278" s="2"/>
      <c r="G278" s="2"/>
      <c r="H278" s="2"/>
      <c r="I278" s="2">
        <v>67.093599999999995</v>
      </c>
      <c r="J278" s="2">
        <v>145</v>
      </c>
      <c r="K278" s="2">
        <v>67.607699999999994</v>
      </c>
      <c r="L278" s="2">
        <v>109</v>
      </c>
      <c r="M278" s="2">
        <v>97.952200000000005</v>
      </c>
      <c r="N278" s="2">
        <v>288</v>
      </c>
      <c r="O278" s="2">
        <v>98.641400000000004</v>
      </c>
      <c r="P278" s="2">
        <v>275</v>
      </c>
      <c r="Q278" s="2">
        <v>105.54170000000001</v>
      </c>
      <c r="R278" s="2">
        <v>189</v>
      </c>
      <c r="S278" s="2">
        <v>107.6767</v>
      </c>
      <c r="T278" s="2">
        <v>229</v>
      </c>
      <c r="U278" s="2">
        <v>0.26739400000000002</v>
      </c>
      <c r="V278" s="2">
        <v>277</v>
      </c>
      <c r="W278" s="2">
        <v>2014</v>
      </c>
    </row>
    <row r="279" spans="1:23" ht="12.3" x14ac:dyDescent="0.4">
      <c r="A279" s="2" t="s">
        <v>352</v>
      </c>
      <c r="B279" s="2"/>
      <c r="C279" s="2"/>
      <c r="D279" s="2"/>
      <c r="E279" s="2"/>
      <c r="F279" s="2"/>
      <c r="G279" s="2"/>
      <c r="H279" s="2"/>
      <c r="I279" s="2">
        <v>64.566299999999998</v>
      </c>
      <c r="J279" s="2">
        <v>271</v>
      </c>
      <c r="K279" s="2">
        <v>64.715599999999995</v>
      </c>
      <c r="L279" s="2">
        <v>260</v>
      </c>
      <c r="M279" s="2">
        <v>92.533299999999997</v>
      </c>
      <c r="N279" s="2">
        <v>345</v>
      </c>
      <c r="O279" s="2">
        <v>91.5227</v>
      </c>
      <c r="P279" s="2">
        <v>347</v>
      </c>
      <c r="Q279" s="2">
        <v>98.997699999999995</v>
      </c>
      <c r="R279" s="2">
        <v>61</v>
      </c>
      <c r="S279" s="2">
        <v>100.0823</v>
      </c>
      <c r="T279" s="2">
        <v>75</v>
      </c>
      <c r="U279" s="2">
        <v>0.26343899999999998</v>
      </c>
      <c r="V279" s="2">
        <v>278</v>
      </c>
      <c r="W279" s="2">
        <v>2014</v>
      </c>
    </row>
    <row r="280" spans="1:23" ht="12.3" x14ac:dyDescent="0.4">
      <c r="A280" s="2" t="s">
        <v>354</v>
      </c>
      <c r="B280" s="2"/>
      <c r="C280" s="2"/>
      <c r="D280" s="2"/>
      <c r="E280" s="2"/>
      <c r="F280" s="2"/>
      <c r="G280" s="2"/>
      <c r="H280" s="2"/>
      <c r="I280" s="2">
        <v>63.267099999999999</v>
      </c>
      <c r="J280" s="2">
        <v>318</v>
      </c>
      <c r="K280" s="2">
        <v>63.122300000000003</v>
      </c>
      <c r="L280" s="2">
        <v>320</v>
      </c>
      <c r="M280" s="2">
        <v>95.281999999999996</v>
      </c>
      <c r="N280" s="2">
        <v>324</v>
      </c>
      <c r="O280" s="2">
        <v>94.140500000000003</v>
      </c>
      <c r="P280" s="2">
        <v>329</v>
      </c>
      <c r="Q280" s="2">
        <v>104.8516</v>
      </c>
      <c r="R280" s="2">
        <v>172</v>
      </c>
      <c r="S280" s="2">
        <v>103.1208</v>
      </c>
      <c r="T280" s="2">
        <v>139</v>
      </c>
      <c r="U280" s="2">
        <v>0.25964799999999999</v>
      </c>
      <c r="V280" s="2">
        <v>279</v>
      </c>
      <c r="W280" s="2">
        <v>2014</v>
      </c>
    </row>
    <row r="281" spans="1:23" ht="12.3" x14ac:dyDescent="0.4">
      <c r="A281" s="2" t="s">
        <v>285</v>
      </c>
      <c r="B281" s="2"/>
      <c r="C281" s="2"/>
      <c r="D281" s="2"/>
      <c r="E281" s="2"/>
      <c r="F281" s="2"/>
      <c r="G281" s="2"/>
      <c r="H281" s="2"/>
      <c r="I281" s="2">
        <v>62.125700000000002</v>
      </c>
      <c r="J281" s="2">
        <v>340</v>
      </c>
      <c r="K281" s="2">
        <v>62.449599999999997</v>
      </c>
      <c r="L281" s="2">
        <v>332</v>
      </c>
      <c r="M281" s="2">
        <v>95.031599999999997</v>
      </c>
      <c r="N281" s="2">
        <v>329</v>
      </c>
      <c r="O281" s="2">
        <v>94.1935</v>
      </c>
      <c r="P281" s="2">
        <v>328</v>
      </c>
      <c r="Q281" s="2">
        <v>103.1469</v>
      </c>
      <c r="R281" s="2">
        <v>125</v>
      </c>
      <c r="S281" s="2">
        <v>103.2908</v>
      </c>
      <c r="T281" s="2">
        <v>141</v>
      </c>
      <c r="U281" s="2">
        <v>0.25725700000000001</v>
      </c>
      <c r="V281" s="2">
        <v>280</v>
      </c>
      <c r="W281" s="2">
        <v>2014</v>
      </c>
    </row>
    <row r="282" spans="1:23" ht="12.3" x14ac:dyDescent="0.4">
      <c r="A282" s="2" t="s">
        <v>83</v>
      </c>
      <c r="B282" s="2"/>
      <c r="C282" s="2"/>
      <c r="D282" s="2"/>
      <c r="E282" s="2"/>
      <c r="F282" s="2"/>
      <c r="G282" s="2"/>
      <c r="H282" s="2"/>
      <c r="I282" s="2">
        <v>64.270600000000002</v>
      </c>
      <c r="J282" s="2">
        <v>281</v>
      </c>
      <c r="K282" s="2">
        <v>64.044499999999999</v>
      </c>
      <c r="L282" s="2">
        <v>287</v>
      </c>
      <c r="M282" s="2">
        <v>95.445999999999998</v>
      </c>
      <c r="N282" s="2">
        <v>320</v>
      </c>
      <c r="O282" s="2">
        <v>95.212999999999994</v>
      </c>
      <c r="P282" s="2">
        <v>319</v>
      </c>
      <c r="Q282" s="2">
        <v>107.1919</v>
      </c>
      <c r="R282" s="2">
        <v>236</v>
      </c>
      <c r="S282" s="2">
        <v>104.41630000000001</v>
      </c>
      <c r="T282" s="2">
        <v>165</v>
      </c>
      <c r="U282" s="2">
        <v>0.257102</v>
      </c>
      <c r="V282" s="2">
        <v>281</v>
      </c>
      <c r="W282" s="2">
        <v>2014</v>
      </c>
    </row>
    <row r="283" spans="1:23" ht="12.3" x14ac:dyDescent="0.4">
      <c r="A283" s="2" t="s">
        <v>344</v>
      </c>
      <c r="B283" s="2"/>
      <c r="C283" s="2"/>
      <c r="D283" s="2"/>
      <c r="E283" s="2"/>
      <c r="F283" s="2"/>
      <c r="G283" s="2"/>
      <c r="H283" s="2"/>
      <c r="I283" s="2">
        <v>66.618200000000002</v>
      </c>
      <c r="J283" s="2">
        <v>164</v>
      </c>
      <c r="K283" s="2">
        <v>66.875299999999996</v>
      </c>
      <c r="L283" s="2">
        <v>145</v>
      </c>
      <c r="M283" s="2">
        <v>102.1524</v>
      </c>
      <c r="N283" s="2">
        <v>229</v>
      </c>
      <c r="O283" s="2">
        <v>101.91500000000001</v>
      </c>
      <c r="P283" s="2">
        <v>223</v>
      </c>
      <c r="Q283" s="2">
        <v>112.782</v>
      </c>
      <c r="R283" s="2">
        <v>328</v>
      </c>
      <c r="S283" s="2">
        <v>111.97</v>
      </c>
      <c r="T283" s="2">
        <v>315</v>
      </c>
      <c r="U283" s="2">
        <v>0.25311699999999998</v>
      </c>
      <c r="V283" s="2">
        <v>282</v>
      </c>
      <c r="W283" s="2">
        <v>2014</v>
      </c>
    </row>
    <row r="284" spans="1:23" ht="12.3" x14ac:dyDescent="0.4">
      <c r="A284" s="2" t="s">
        <v>161</v>
      </c>
      <c r="B284" s="2"/>
      <c r="C284" s="2"/>
      <c r="D284" s="2"/>
      <c r="E284" s="2"/>
      <c r="F284" s="2"/>
      <c r="G284" s="2"/>
      <c r="H284" s="2"/>
      <c r="I284" s="2">
        <v>63.621699999999997</v>
      </c>
      <c r="J284" s="2">
        <v>307</v>
      </c>
      <c r="K284" s="2">
        <v>63.136499999999998</v>
      </c>
      <c r="L284" s="2">
        <v>319</v>
      </c>
      <c r="M284" s="2">
        <v>99.443399999999997</v>
      </c>
      <c r="N284" s="2">
        <v>275</v>
      </c>
      <c r="O284" s="2">
        <v>99.761499999999998</v>
      </c>
      <c r="P284" s="2">
        <v>262</v>
      </c>
      <c r="Q284" s="2">
        <v>109.9196</v>
      </c>
      <c r="R284" s="2">
        <v>292</v>
      </c>
      <c r="S284" s="2">
        <v>110.07550000000001</v>
      </c>
      <c r="T284" s="2">
        <v>277</v>
      </c>
      <c r="U284" s="2">
        <v>0.243898</v>
      </c>
      <c r="V284" s="2">
        <v>283</v>
      </c>
      <c r="W284" s="2">
        <v>2014</v>
      </c>
    </row>
    <row r="285" spans="1:23" ht="12.3" x14ac:dyDescent="0.4">
      <c r="A285" s="2" t="s">
        <v>348</v>
      </c>
      <c r="B285" s="2"/>
      <c r="C285" s="2"/>
      <c r="D285" s="2"/>
      <c r="E285" s="2"/>
      <c r="F285" s="2"/>
      <c r="G285" s="2"/>
      <c r="H285" s="2"/>
      <c r="I285" s="2">
        <v>69.176699999999997</v>
      </c>
      <c r="J285" s="2">
        <v>62</v>
      </c>
      <c r="K285" s="2">
        <v>69.496700000000004</v>
      </c>
      <c r="L285" s="2">
        <v>45</v>
      </c>
      <c r="M285" s="2">
        <v>97.790400000000005</v>
      </c>
      <c r="N285" s="2">
        <v>291</v>
      </c>
      <c r="O285" s="2">
        <v>97.337999999999994</v>
      </c>
      <c r="P285" s="2">
        <v>297</v>
      </c>
      <c r="Q285" s="2">
        <v>109.4406</v>
      </c>
      <c r="R285" s="2">
        <v>278</v>
      </c>
      <c r="S285" s="2">
        <v>107.55710000000001</v>
      </c>
      <c r="T285" s="2">
        <v>228</v>
      </c>
      <c r="U285" s="2">
        <v>0.24084</v>
      </c>
      <c r="V285" s="2">
        <v>284</v>
      </c>
      <c r="W285" s="2">
        <v>2014</v>
      </c>
    </row>
    <row r="286" spans="1:23" ht="12.3" x14ac:dyDescent="0.4">
      <c r="A286" s="2" t="s">
        <v>235</v>
      </c>
      <c r="B286" s="2"/>
      <c r="C286" s="2"/>
      <c r="D286" s="2"/>
      <c r="E286" s="2"/>
      <c r="F286" s="2"/>
      <c r="G286" s="2"/>
      <c r="H286" s="2"/>
      <c r="I286" s="2">
        <v>65.132099999999994</v>
      </c>
      <c r="J286" s="2">
        <v>243</v>
      </c>
      <c r="K286" s="2">
        <v>65.336699999999993</v>
      </c>
      <c r="L286" s="2">
        <v>231</v>
      </c>
      <c r="M286" s="2">
        <v>105.1951</v>
      </c>
      <c r="N286" s="2">
        <v>165</v>
      </c>
      <c r="O286" s="2">
        <v>106.2287</v>
      </c>
      <c r="P286" s="2">
        <v>133</v>
      </c>
      <c r="Q286" s="2">
        <v>114.58710000000001</v>
      </c>
      <c r="R286" s="2">
        <v>339</v>
      </c>
      <c r="S286" s="2">
        <v>118.0123</v>
      </c>
      <c r="T286" s="2">
        <v>345</v>
      </c>
      <c r="U286" s="2">
        <v>0.22974700000000001</v>
      </c>
      <c r="V286" s="2">
        <v>285</v>
      </c>
      <c r="W286" s="2">
        <v>2014</v>
      </c>
    </row>
    <row r="287" spans="1:23" ht="12.3" x14ac:dyDescent="0.4">
      <c r="A287" s="2" t="s">
        <v>268</v>
      </c>
      <c r="B287" s="2"/>
      <c r="C287" s="2"/>
      <c r="D287" s="2"/>
      <c r="E287" s="2"/>
      <c r="F287" s="2"/>
      <c r="G287" s="2"/>
      <c r="H287" s="2"/>
      <c r="I287" s="2">
        <v>66.093900000000005</v>
      </c>
      <c r="J287" s="2">
        <v>196</v>
      </c>
      <c r="K287" s="2">
        <v>65.084400000000002</v>
      </c>
      <c r="L287" s="2">
        <v>243</v>
      </c>
      <c r="M287" s="2">
        <v>101.8272</v>
      </c>
      <c r="N287" s="2">
        <v>233</v>
      </c>
      <c r="O287" s="2">
        <v>101.83199999999999</v>
      </c>
      <c r="P287" s="2">
        <v>226</v>
      </c>
      <c r="Q287" s="2">
        <v>113.49079999999999</v>
      </c>
      <c r="R287" s="2">
        <v>335</v>
      </c>
      <c r="S287" s="2">
        <v>113.24550000000001</v>
      </c>
      <c r="T287" s="2">
        <v>325</v>
      </c>
      <c r="U287" s="2">
        <v>0.22763900000000001</v>
      </c>
      <c r="V287" s="2">
        <v>286</v>
      </c>
      <c r="W287" s="2">
        <v>2014</v>
      </c>
    </row>
    <row r="288" spans="1:23" ht="12.3" x14ac:dyDescent="0.4">
      <c r="A288" s="2" t="s">
        <v>373</v>
      </c>
      <c r="B288" s="2"/>
      <c r="C288" s="2"/>
      <c r="D288" s="2"/>
      <c r="E288" s="2"/>
      <c r="F288" s="2"/>
      <c r="G288" s="2"/>
      <c r="H288" s="2"/>
      <c r="I288" s="2">
        <v>68.822100000000006</v>
      </c>
      <c r="J288" s="2">
        <v>71</v>
      </c>
      <c r="K288" s="2">
        <v>67.369399999999999</v>
      </c>
      <c r="L288" s="2">
        <v>117</v>
      </c>
      <c r="M288" s="2">
        <v>104.0206</v>
      </c>
      <c r="N288" s="2">
        <v>189</v>
      </c>
      <c r="O288" s="2">
        <v>100.24979999999999</v>
      </c>
      <c r="P288" s="2">
        <v>252</v>
      </c>
      <c r="Q288" s="2">
        <v>111.48950000000001</v>
      </c>
      <c r="R288" s="2">
        <v>321</v>
      </c>
      <c r="S288" s="2">
        <v>111.5146</v>
      </c>
      <c r="T288" s="2">
        <v>301</v>
      </c>
      <c r="U288" s="2">
        <v>0.22712199999999999</v>
      </c>
      <c r="V288" s="2">
        <v>287</v>
      </c>
      <c r="W288" s="2">
        <v>2014</v>
      </c>
    </row>
    <row r="289" spans="1:23" ht="12.3" x14ac:dyDescent="0.4">
      <c r="A289" s="2" t="s">
        <v>297</v>
      </c>
      <c r="B289" s="2"/>
      <c r="C289" s="2"/>
      <c r="D289" s="2"/>
      <c r="E289" s="2"/>
      <c r="F289" s="2"/>
      <c r="G289" s="2"/>
      <c r="H289" s="2"/>
      <c r="I289" s="2">
        <v>67.476900000000001</v>
      </c>
      <c r="J289" s="2">
        <v>127</v>
      </c>
      <c r="K289" s="2">
        <v>67.62</v>
      </c>
      <c r="L289" s="2">
        <v>108</v>
      </c>
      <c r="M289" s="2">
        <v>101.6681</v>
      </c>
      <c r="N289" s="2">
        <v>237</v>
      </c>
      <c r="O289" s="2">
        <v>98.197500000000005</v>
      </c>
      <c r="P289" s="2">
        <v>282</v>
      </c>
      <c r="Q289" s="2">
        <v>102.8058</v>
      </c>
      <c r="R289" s="2">
        <v>116</v>
      </c>
      <c r="S289" s="2">
        <v>109.5254</v>
      </c>
      <c r="T289" s="2">
        <v>267</v>
      </c>
      <c r="U289" s="2">
        <v>0.221745</v>
      </c>
      <c r="V289" s="2">
        <v>288</v>
      </c>
      <c r="W289" s="2">
        <v>2014</v>
      </c>
    </row>
    <row r="290" spans="1:23" ht="12.3" x14ac:dyDescent="0.4">
      <c r="A290" s="2" t="s">
        <v>346</v>
      </c>
      <c r="B290" s="2"/>
      <c r="C290" s="2"/>
      <c r="D290" s="2"/>
      <c r="E290" s="2"/>
      <c r="F290" s="2"/>
      <c r="G290" s="2"/>
      <c r="H290" s="2"/>
      <c r="I290" s="2">
        <v>65.211600000000004</v>
      </c>
      <c r="J290" s="2">
        <v>238</v>
      </c>
      <c r="K290" s="2">
        <v>64.827799999999996</v>
      </c>
      <c r="L290" s="2">
        <v>257</v>
      </c>
      <c r="M290" s="2">
        <v>105.8404</v>
      </c>
      <c r="N290" s="2">
        <v>148</v>
      </c>
      <c r="O290" s="2">
        <v>100.71550000000001</v>
      </c>
      <c r="P290" s="2">
        <v>242</v>
      </c>
      <c r="Q290" s="2">
        <v>109.87130000000001</v>
      </c>
      <c r="R290" s="2">
        <v>290</v>
      </c>
      <c r="S290" s="2">
        <v>112.47110000000001</v>
      </c>
      <c r="T290" s="2">
        <v>318</v>
      </c>
      <c r="U290" s="2">
        <v>0.219331</v>
      </c>
      <c r="V290" s="2">
        <v>289</v>
      </c>
      <c r="W290" s="2">
        <v>2014</v>
      </c>
    </row>
    <row r="291" spans="1:23" ht="12.3" x14ac:dyDescent="0.4">
      <c r="A291" s="2" t="s">
        <v>227</v>
      </c>
      <c r="B291" s="2"/>
      <c r="C291" s="2"/>
      <c r="D291" s="2"/>
      <c r="E291" s="2"/>
      <c r="F291" s="2"/>
      <c r="G291" s="2"/>
      <c r="H291" s="2"/>
      <c r="I291" s="2">
        <v>71.831599999999995</v>
      </c>
      <c r="J291" s="2">
        <v>13</v>
      </c>
      <c r="K291" s="2">
        <v>70.5672</v>
      </c>
      <c r="L291" s="2">
        <v>24</v>
      </c>
      <c r="M291" s="2">
        <v>103.81480000000001</v>
      </c>
      <c r="N291" s="2">
        <v>193</v>
      </c>
      <c r="O291" s="2">
        <v>99.688500000000005</v>
      </c>
      <c r="P291" s="2">
        <v>265</v>
      </c>
      <c r="Q291" s="2">
        <v>110.06659999999999</v>
      </c>
      <c r="R291" s="2">
        <v>297</v>
      </c>
      <c r="S291" s="2">
        <v>111.37130000000001</v>
      </c>
      <c r="T291" s="2">
        <v>300</v>
      </c>
      <c r="U291" s="2">
        <v>0.218503</v>
      </c>
      <c r="V291" s="2">
        <v>290</v>
      </c>
      <c r="W291" s="2">
        <v>2014</v>
      </c>
    </row>
    <row r="292" spans="1:23" ht="12.3" x14ac:dyDescent="0.4">
      <c r="A292" s="2" t="s">
        <v>153</v>
      </c>
      <c r="B292" s="2"/>
      <c r="C292" s="2"/>
      <c r="D292" s="2"/>
      <c r="E292" s="2"/>
      <c r="F292" s="2"/>
      <c r="G292" s="2"/>
      <c r="H292" s="2"/>
      <c r="I292" s="2">
        <v>66.067899999999995</v>
      </c>
      <c r="J292" s="2">
        <v>199</v>
      </c>
      <c r="K292" s="2">
        <v>66.403899999999993</v>
      </c>
      <c r="L292" s="2">
        <v>173</v>
      </c>
      <c r="M292" s="2">
        <v>102.2989</v>
      </c>
      <c r="N292" s="2">
        <v>225</v>
      </c>
      <c r="O292" s="2">
        <v>97.720399999999998</v>
      </c>
      <c r="P292" s="2">
        <v>291</v>
      </c>
      <c r="Q292" s="2">
        <v>106.2734</v>
      </c>
      <c r="R292" s="2">
        <v>214</v>
      </c>
      <c r="S292" s="2">
        <v>109.2016</v>
      </c>
      <c r="T292" s="2">
        <v>259</v>
      </c>
      <c r="U292" s="2">
        <v>0.21797800000000001</v>
      </c>
      <c r="V292" s="2">
        <v>291</v>
      </c>
      <c r="W292" s="2">
        <v>2014</v>
      </c>
    </row>
    <row r="293" spans="1:23" ht="12.3" x14ac:dyDescent="0.4">
      <c r="A293" s="2" t="s">
        <v>341</v>
      </c>
      <c r="B293" s="2"/>
      <c r="C293" s="2"/>
      <c r="D293" s="2"/>
      <c r="E293" s="2"/>
      <c r="F293" s="2"/>
      <c r="G293" s="2"/>
      <c r="H293" s="2"/>
      <c r="I293" s="2">
        <v>68.032799999999995</v>
      </c>
      <c r="J293" s="2">
        <v>106</v>
      </c>
      <c r="K293" s="2">
        <v>68.180300000000003</v>
      </c>
      <c r="L293" s="2">
        <v>82</v>
      </c>
      <c r="M293" s="2">
        <v>100.6268</v>
      </c>
      <c r="N293" s="2">
        <v>255</v>
      </c>
      <c r="O293" s="2">
        <v>99.696600000000004</v>
      </c>
      <c r="P293" s="2">
        <v>264</v>
      </c>
      <c r="Q293" s="2">
        <v>109.851</v>
      </c>
      <c r="R293" s="2">
        <v>287</v>
      </c>
      <c r="S293" s="2">
        <v>111.58329999999999</v>
      </c>
      <c r="T293" s="2">
        <v>303</v>
      </c>
      <c r="U293" s="2">
        <v>0.214948</v>
      </c>
      <c r="V293" s="2">
        <v>292</v>
      </c>
      <c r="W293" s="2">
        <v>2014</v>
      </c>
    </row>
    <row r="294" spans="1:23" ht="12.3" x14ac:dyDescent="0.4">
      <c r="A294" s="2" t="s">
        <v>340</v>
      </c>
      <c r="B294" s="2"/>
      <c r="C294" s="2"/>
      <c r="D294" s="2"/>
      <c r="E294" s="2"/>
      <c r="F294" s="2"/>
      <c r="G294" s="2"/>
      <c r="H294" s="2"/>
      <c r="I294" s="2">
        <v>65.450900000000004</v>
      </c>
      <c r="J294" s="2">
        <v>228</v>
      </c>
      <c r="K294" s="2">
        <v>66.099599999999995</v>
      </c>
      <c r="L294" s="2">
        <v>191</v>
      </c>
      <c r="M294" s="2">
        <v>96.809100000000001</v>
      </c>
      <c r="N294" s="2">
        <v>310</v>
      </c>
      <c r="O294" s="2">
        <v>96.891599999999997</v>
      </c>
      <c r="P294" s="2">
        <v>302</v>
      </c>
      <c r="Q294" s="2">
        <v>108.2371</v>
      </c>
      <c r="R294" s="2">
        <v>258</v>
      </c>
      <c r="S294" s="2">
        <v>108.55419999999999</v>
      </c>
      <c r="T294" s="2">
        <v>245</v>
      </c>
      <c r="U294" s="2">
        <v>0.212981</v>
      </c>
      <c r="V294" s="2">
        <v>293</v>
      </c>
      <c r="W294" s="2">
        <v>2014</v>
      </c>
    </row>
    <row r="295" spans="1:23" ht="12.3" x14ac:dyDescent="0.4">
      <c r="A295" s="2" t="s">
        <v>347</v>
      </c>
      <c r="B295" s="2"/>
      <c r="C295" s="2"/>
      <c r="D295" s="2"/>
      <c r="E295" s="2"/>
      <c r="F295" s="2"/>
      <c r="G295" s="2"/>
      <c r="H295" s="2"/>
      <c r="I295" s="2">
        <v>66.807599999999994</v>
      </c>
      <c r="J295" s="2">
        <v>157</v>
      </c>
      <c r="K295" s="2">
        <v>65.255600000000001</v>
      </c>
      <c r="L295" s="2">
        <v>234</v>
      </c>
      <c r="M295" s="2">
        <v>100.8343</v>
      </c>
      <c r="N295" s="2">
        <v>251</v>
      </c>
      <c r="O295" s="2">
        <v>98.014300000000006</v>
      </c>
      <c r="P295" s="2">
        <v>286</v>
      </c>
      <c r="Q295" s="2">
        <v>108.8282</v>
      </c>
      <c r="R295" s="2">
        <v>270</v>
      </c>
      <c r="S295" s="2">
        <v>109.8832</v>
      </c>
      <c r="T295" s="2">
        <v>273</v>
      </c>
      <c r="U295" s="2">
        <v>0.211733</v>
      </c>
      <c r="V295" s="2">
        <v>294</v>
      </c>
      <c r="W295" s="2">
        <v>2014</v>
      </c>
    </row>
    <row r="296" spans="1:23" ht="12.3" x14ac:dyDescent="0.4">
      <c r="A296" s="2" t="s">
        <v>202</v>
      </c>
      <c r="B296" s="2"/>
      <c r="C296" s="2"/>
      <c r="D296" s="2"/>
      <c r="E296" s="2"/>
      <c r="F296" s="2"/>
      <c r="G296" s="2"/>
      <c r="H296" s="2"/>
      <c r="I296" s="2">
        <v>66.310500000000005</v>
      </c>
      <c r="J296" s="2">
        <v>184</v>
      </c>
      <c r="K296" s="2">
        <v>66.015299999999996</v>
      </c>
      <c r="L296" s="2">
        <v>197</v>
      </c>
      <c r="M296" s="2">
        <v>95.3279</v>
      </c>
      <c r="N296" s="2">
        <v>322</v>
      </c>
      <c r="O296" s="2">
        <v>93.692700000000002</v>
      </c>
      <c r="P296" s="2">
        <v>334</v>
      </c>
      <c r="Q296" s="2">
        <v>104.9406</v>
      </c>
      <c r="R296" s="2">
        <v>176</v>
      </c>
      <c r="S296" s="2">
        <v>105.1293</v>
      </c>
      <c r="T296" s="2">
        <v>174</v>
      </c>
      <c r="U296" s="2">
        <v>0.21007600000000001</v>
      </c>
      <c r="V296" s="2">
        <v>295</v>
      </c>
      <c r="W296" s="2">
        <v>2014</v>
      </c>
    </row>
    <row r="297" spans="1:23" ht="12.3" x14ac:dyDescent="0.4">
      <c r="A297" s="2" t="s">
        <v>264</v>
      </c>
      <c r="B297" s="2"/>
      <c r="C297" s="2"/>
      <c r="D297" s="2"/>
      <c r="E297" s="2"/>
      <c r="F297" s="2"/>
      <c r="G297" s="2"/>
      <c r="H297" s="2"/>
      <c r="I297" s="2">
        <v>66.782600000000002</v>
      </c>
      <c r="J297" s="2">
        <v>158</v>
      </c>
      <c r="K297" s="2">
        <v>65.927000000000007</v>
      </c>
      <c r="L297" s="2">
        <v>200</v>
      </c>
      <c r="M297" s="2">
        <v>99.985100000000003</v>
      </c>
      <c r="N297" s="2">
        <v>263</v>
      </c>
      <c r="O297" s="2">
        <v>98.995199999999997</v>
      </c>
      <c r="P297" s="2">
        <v>272</v>
      </c>
      <c r="Q297" s="2">
        <v>111.202</v>
      </c>
      <c r="R297" s="2">
        <v>318</v>
      </c>
      <c r="S297" s="2">
        <v>111.3004</v>
      </c>
      <c r="T297" s="2">
        <v>299</v>
      </c>
      <c r="U297" s="2">
        <v>0.20630200000000001</v>
      </c>
      <c r="V297" s="2">
        <v>296</v>
      </c>
      <c r="W297" s="2">
        <v>2014</v>
      </c>
    </row>
    <row r="298" spans="1:23" ht="12.3" x14ac:dyDescent="0.4">
      <c r="A298" s="2" t="s">
        <v>272</v>
      </c>
      <c r="B298" s="2"/>
      <c r="C298" s="2"/>
      <c r="D298" s="2"/>
      <c r="E298" s="2"/>
      <c r="F298" s="2"/>
      <c r="G298" s="2"/>
      <c r="H298" s="2"/>
      <c r="I298" s="2">
        <v>66.302700000000002</v>
      </c>
      <c r="J298" s="2">
        <v>185</v>
      </c>
      <c r="K298" s="2">
        <v>65.787800000000004</v>
      </c>
      <c r="L298" s="2">
        <v>206</v>
      </c>
      <c r="M298" s="2">
        <v>95.131500000000003</v>
      </c>
      <c r="N298" s="2">
        <v>327</v>
      </c>
      <c r="O298" s="2">
        <v>92.591099999999997</v>
      </c>
      <c r="P298" s="2">
        <v>339</v>
      </c>
      <c r="Q298" s="2">
        <v>99.986699999999999</v>
      </c>
      <c r="R298" s="2">
        <v>75</v>
      </c>
      <c r="S298" s="2">
        <v>104.1425</v>
      </c>
      <c r="T298" s="2">
        <v>156</v>
      </c>
      <c r="U298" s="2">
        <v>0.20554</v>
      </c>
      <c r="V298" s="2">
        <v>297</v>
      </c>
      <c r="W298" s="2">
        <v>2014</v>
      </c>
    </row>
    <row r="299" spans="1:23" ht="12.3" x14ac:dyDescent="0.4">
      <c r="A299" s="2" t="s">
        <v>300</v>
      </c>
      <c r="B299" s="2"/>
      <c r="C299" s="2"/>
      <c r="D299" s="2"/>
      <c r="E299" s="2"/>
      <c r="F299" s="2"/>
      <c r="G299" s="2"/>
      <c r="H299" s="2"/>
      <c r="I299" s="2">
        <v>62.578400000000002</v>
      </c>
      <c r="J299" s="2">
        <v>336</v>
      </c>
      <c r="K299" s="2">
        <v>63.416499999999999</v>
      </c>
      <c r="L299" s="2">
        <v>309</v>
      </c>
      <c r="M299" s="2">
        <v>93.329599999999999</v>
      </c>
      <c r="N299" s="2">
        <v>340</v>
      </c>
      <c r="O299" s="2">
        <v>94.091300000000004</v>
      </c>
      <c r="P299" s="2">
        <v>330</v>
      </c>
      <c r="Q299" s="2">
        <v>104.3421</v>
      </c>
      <c r="R299" s="2">
        <v>159</v>
      </c>
      <c r="S299" s="2">
        <v>106.03740000000001</v>
      </c>
      <c r="T299" s="2">
        <v>200</v>
      </c>
      <c r="U299" s="2">
        <v>0.20188500000000001</v>
      </c>
      <c r="V299" s="2">
        <v>298</v>
      </c>
      <c r="W299" s="2">
        <v>2014</v>
      </c>
    </row>
    <row r="300" spans="1:23" ht="12.3" x14ac:dyDescent="0.4">
      <c r="A300" s="2" t="s">
        <v>156</v>
      </c>
      <c r="B300" s="2"/>
      <c r="C300" s="2"/>
      <c r="D300" s="2"/>
      <c r="E300" s="2"/>
      <c r="F300" s="2"/>
      <c r="G300" s="2"/>
      <c r="H300" s="2"/>
      <c r="I300" s="2">
        <v>70.527600000000007</v>
      </c>
      <c r="J300" s="2">
        <v>31</v>
      </c>
      <c r="K300" s="2">
        <v>70.196899999999999</v>
      </c>
      <c r="L300" s="2">
        <v>29</v>
      </c>
      <c r="M300" s="2">
        <v>98.504300000000001</v>
      </c>
      <c r="N300" s="2">
        <v>284</v>
      </c>
      <c r="O300" s="2">
        <v>97.7333</v>
      </c>
      <c r="P300" s="2">
        <v>290</v>
      </c>
      <c r="Q300" s="2">
        <v>108.1204</v>
      </c>
      <c r="R300" s="2">
        <v>254</v>
      </c>
      <c r="S300" s="2">
        <v>110.1439</v>
      </c>
      <c r="T300" s="2">
        <v>280</v>
      </c>
      <c r="U300" s="2">
        <v>0.201849</v>
      </c>
      <c r="V300" s="2">
        <v>299</v>
      </c>
      <c r="W300" s="2">
        <v>2014</v>
      </c>
    </row>
    <row r="301" spans="1:23" ht="12.3" x14ac:dyDescent="0.4">
      <c r="A301" s="2" t="s">
        <v>316</v>
      </c>
      <c r="B301" s="2"/>
      <c r="C301" s="2"/>
      <c r="D301" s="2"/>
      <c r="E301" s="2"/>
      <c r="F301" s="2"/>
      <c r="G301" s="2"/>
      <c r="H301" s="2"/>
      <c r="I301" s="2">
        <v>68.429000000000002</v>
      </c>
      <c r="J301" s="2">
        <v>87</v>
      </c>
      <c r="K301" s="2">
        <v>67.873800000000003</v>
      </c>
      <c r="L301" s="2">
        <v>101</v>
      </c>
      <c r="M301" s="2">
        <v>100.8275</v>
      </c>
      <c r="N301" s="2">
        <v>252</v>
      </c>
      <c r="O301" s="2">
        <v>98.8887</v>
      </c>
      <c r="P301" s="2">
        <v>273</v>
      </c>
      <c r="Q301" s="2">
        <v>110.4806</v>
      </c>
      <c r="R301" s="2">
        <v>303</v>
      </c>
      <c r="S301" s="2">
        <v>111.5205</v>
      </c>
      <c r="T301" s="2">
        <v>302</v>
      </c>
      <c r="U301" s="2">
        <v>0.20061599999999999</v>
      </c>
      <c r="V301" s="2">
        <v>300</v>
      </c>
      <c r="W301" s="2">
        <v>2014</v>
      </c>
    </row>
    <row r="302" spans="1:23" ht="12.3" x14ac:dyDescent="0.4">
      <c r="A302" s="2" t="s">
        <v>214</v>
      </c>
      <c r="B302" s="2"/>
      <c r="C302" s="2"/>
      <c r="D302" s="2"/>
      <c r="E302" s="2"/>
      <c r="F302" s="2"/>
      <c r="G302" s="2"/>
      <c r="H302" s="2"/>
      <c r="I302" s="2">
        <v>70.007099999999994</v>
      </c>
      <c r="J302" s="2">
        <v>42</v>
      </c>
      <c r="K302" s="2">
        <v>69.457899999999995</v>
      </c>
      <c r="L302" s="2">
        <v>47</v>
      </c>
      <c r="M302" s="2">
        <v>104.16670000000001</v>
      </c>
      <c r="N302" s="2">
        <v>181</v>
      </c>
      <c r="O302" s="2">
        <v>103.01139999999999</v>
      </c>
      <c r="P302" s="2">
        <v>204</v>
      </c>
      <c r="Q302" s="2">
        <v>114.2345</v>
      </c>
      <c r="R302" s="2">
        <v>338</v>
      </c>
      <c r="S302" s="2">
        <v>116.19499999999999</v>
      </c>
      <c r="T302" s="2">
        <v>339</v>
      </c>
      <c r="U302" s="2">
        <v>0.200215</v>
      </c>
      <c r="V302" s="2">
        <v>301</v>
      </c>
      <c r="W302" s="2">
        <v>2014</v>
      </c>
    </row>
    <row r="303" spans="1:23" ht="12.3" x14ac:dyDescent="0.4">
      <c r="A303" s="2" t="s">
        <v>301</v>
      </c>
      <c r="B303" s="2"/>
      <c r="C303" s="2"/>
      <c r="D303" s="2"/>
      <c r="E303" s="2"/>
      <c r="F303" s="2"/>
      <c r="G303" s="2"/>
      <c r="H303" s="2"/>
      <c r="I303" s="2">
        <v>71.398799999999994</v>
      </c>
      <c r="J303" s="2">
        <v>16</v>
      </c>
      <c r="K303" s="2">
        <v>71.819100000000006</v>
      </c>
      <c r="L303" s="2">
        <v>12</v>
      </c>
      <c r="M303" s="2">
        <v>96.376999999999995</v>
      </c>
      <c r="N303" s="2">
        <v>314</v>
      </c>
      <c r="O303" s="2">
        <v>94.994600000000005</v>
      </c>
      <c r="P303" s="2">
        <v>323</v>
      </c>
      <c r="Q303" s="2">
        <v>102.8438</v>
      </c>
      <c r="R303" s="2">
        <v>119</v>
      </c>
      <c r="S303" s="2">
        <v>107.1759</v>
      </c>
      <c r="T303" s="2">
        <v>221</v>
      </c>
      <c r="U303" s="2">
        <v>0.19980800000000001</v>
      </c>
      <c r="V303" s="2">
        <v>302</v>
      </c>
      <c r="W303" s="2">
        <v>2014</v>
      </c>
    </row>
    <row r="304" spans="1:23" ht="12.3" x14ac:dyDescent="0.4">
      <c r="A304" s="2" t="s">
        <v>163</v>
      </c>
      <c r="B304" s="2"/>
      <c r="C304" s="2"/>
      <c r="D304" s="2"/>
      <c r="E304" s="2"/>
      <c r="F304" s="2"/>
      <c r="G304" s="2"/>
      <c r="H304" s="2"/>
      <c r="I304" s="2">
        <v>65.317700000000002</v>
      </c>
      <c r="J304" s="2">
        <v>235</v>
      </c>
      <c r="K304" s="2">
        <v>65.6417</v>
      </c>
      <c r="L304" s="2">
        <v>212</v>
      </c>
      <c r="M304" s="2">
        <v>99.395600000000002</v>
      </c>
      <c r="N304" s="2">
        <v>276</v>
      </c>
      <c r="O304" s="2">
        <v>95.429199999999994</v>
      </c>
      <c r="P304" s="2">
        <v>318</v>
      </c>
      <c r="Q304" s="2">
        <v>106.9859</v>
      </c>
      <c r="R304" s="2">
        <v>228</v>
      </c>
      <c r="S304" s="2">
        <v>107.70440000000001</v>
      </c>
      <c r="T304" s="2">
        <v>231</v>
      </c>
      <c r="U304" s="2">
        <v>0.199158</v>
      </c>
      <c r="V304" s="2">
        <v>303</v>
      </c>
      <c r="W304" s="2">
        <v>2014</v>
      </c>
    </row>
    <row r="305" spans="1:23" ht="12.3" x14ac:dyDescent="0.4">
      <c r="A305" s="2" t="s">
        <v>278</v>
      </c>
      <c r="B305" s="2"/>
      <c r="C305" s="2"/>
      <c r="D305" s="2"/>
      <c r="E305" s="2"/>
      <c r="F305" s="2"/>
      <c r="G305" s="2"/>
      <c r="H305" s="2"/>
      <c r="I305" s="2">
        <v>65.114900000000006</v>
      </c>
      <c r="J305" s="2">
        <v>245</v>
      </c>
      <c r="K305" s="2">
        <v>66.287700000000001</v>
      </c>
      <c r="L305" s="2">
        <v>182</v>
      </c>
      <c r="M305" s="2">
        <v>92.725300000000004</v>
      </c>
      <c r="N305" s="2">
        <v>344</v>
      </c>
      <c r="O305" s="2">
        <v>92.940600000000003</v>
      </c>
      <c r="P305" s="2">
        <v>338</v>
      </c>
      <c r="Q305" s="2">
        <v>109.7581</v>
      </c>
      <c r="R305" s="2">
        <v>286</v>
      </c>
      <c r="S305" s="2">
        <v>105.0547</v>
      </c>
      <c r="T305" s="2">
        <v>173</v>
      </c>
      <c r="U305" s="2">
        <v>0.19639400000000001</v>
      </c>
      <c r="V305" s="2">
        <v>304</v>
      </c>
      <c r="W305" s="2">
        <v>2014</v>
      </c>
    </row>
    <row r="306" spans="1:23" ht="12.3" x14ac:dyDescent="0.4">
      <c r="A306" s="2" t="s">
        <v>312</v>
      </c>
      <c r="B306" s="2"/>
      <c r="C306" s="2"/>
      <c r="D306" s="2"/>
      <c r="E306" s="2"/>
      <c r="F306" s="2"/>
      <c r="G306" s="2"/>
      <c r="H306" s="2"/>
      <c r="I306" s="2">
        <v>67.874799999999993</v>
      </c>
      <c r="J306" s="2">
        <v>109</v>
      </c>
      <c r="K306" s="2">
        <v>66.976200000000006</v>
      </c>
      <c r="L306" s="2">
        <v>140</v>
      </c>
      <c r="M306" s="2">
        <v>96.285899999999998</v>
      </c>
      <c r="N306" s="2">
        <v>315</v>
      </c>
      <c r="O306" s="2">
        <v>93.753</v>
      </c>
      <c r="P306" s="2">
        <v>333</v>
      </c>
      <c r="Q306" s="2">
        <v>100.38330000000001</v>
      </c>
      <c r="R306" s="2">
        <v>82</v>
      </c>
      <c r="S306" s="2">
        <v>106.0261</v>
      </c>
      <c r="T306" s="2">
        <v>199</v>
      </c>
      <c r="U306" s="2">
        <v>0.19548599999999999</v>
      </c>
      <c r="V306" s="2">
        <v>305</v>
      </c>
      <c r="W306" s="2">
        <v>2014</v>
      </c>
    </row>
    <row r="307" spans="1:23" ht="12.3" x14ac:dyDescent="0.4">
      <c r="A307" s="2" t="s">
        <v>101</v>
      </c>
      <c r="B307" s="2"/>
      <c r="C307" s="2"/>
      <c r="D307" s="2"/>
      <c r="E307" s="2"/>
      <c r="F307" s="2"/>
      <c r="G307" s="2"/>
      <c r="H307" s="2"/>
      <c r="I307" s="2">
        <v>66.924400000000006</v>
      </c>
      <c r="J307" s="2">
        <v>151</v>
      </c>
      <c r="K307" s="2">
        <v>67.653199999999998</v>
      </c>
      <c r="L307" s="2">
        <v>107</v>
      </c>
      <c r="M307" s="2">
        <v>93.714799999999997</v>
      </c>
      <c r="N307" s="2">
        <v>336</v>
      </c>
      <c r="O307" s="2">
        <v>96.343699999999998</v>
      </c>
      <c r="P307" s="2">
        <v>309</v>
      </c>
      <c r="Q307" s="2">
        <v>109.86539999999999</v>
      </c>
      <c r="R307" s="2">
        <v>289</v>
      </c>
      <c r="S307" s="2">
        <v>109.34059999999999</v>
      </c>
      <c r="T307" s="2">
        <v>263</v>
      </c>
      <c r="U307" s="2">
        <v>0.189191</v>
      </c>
      <c r="V307" s="2">
        <v>306</v>
      </c>
      <c r="W307" s="2">
        <v>2014</v>
      </c>
    </row>
    <row r="308" spans="1:23" ht="12.3" x14ac:dyDescent="0.4">
      <c r="A308" s="2" t="s">
        <v>328</v>
      </c>
      <c r="B308" s="2"/>
      <c r="C308" s="2"/>
      <c r="D308" s="2"/>
      <c r="E308" s="2"/>
      <c r="F308" s="2"/>
      <c r="G308" s="2"/>
      <c r="H308" s="2"/>
      <c r="I308" s="2">
        <v>66.358099999999993</v>
      </c>
      <c r="J308" s="2">
        <v>182</v>
      </c>
      <c r="K308" s="2">
        <v>64.901499999999999</v>
      </c>
      <c r="L308" s="2">
        <v>252</v>
      </c>
      <c r="M308" s="2">
        <v>101.61709999999999</v>
      </c>
      <c r="N308" s="2">
        <v>238</v>
      </c>
      <c r="O308" s="2">
        <v>98.606099999999998</v>
      </c>
      <c r="P308" s="2">
        <v>276</v>
      </c>
      <c r="Q308" s="2">
        <v>109.4468</v>
      </c>
      <c r="R308" s="2">
        <v>279</v>
      </c>
      <c r="S308" s="2">
        <v>111.9178</v>
      </c>
      <c r="T308" s="2">
        <v>312</v>
      </c>
      <c r="U308" s="2">
        <v>0.18903900000000001</v>
      </c>
      <c r="V308" s="2">
        <v>307</v>
      </c>
      <c r="W308" s="2">
        <v>2014</v>
      </c>
    </row>
    <row r="309" spans="1:23" ht="12.3" x14ac:dyDescent="0.4">
      <c r="A309" s="2" t="s">
        <v>185</v>
      </c>
      <c r="B309" s="2"/>
      <c r="C309" s="2"/>
      <c r="D309" s="2"/>
      <c r="E309" s="2"/>
      <c r="F309" s="2"/>
      <c r="G309" s="2"/>
      <c r="H309" s="2"/>
      <c r="I309" s="2">
        <v>68.110900000000001</v>
      </c>
      <c r="J309" s="2">
        <v>104</v>
      </c>
      <c r="K309" s="2">
        <v>68.421099999999996</v>
      </c>
      <c r="L309" s="2">
        <v>76</v>
      </c>
      <c r="M309" s="2">
        <v>99.611199999999997</v>
      </c>
      <c r="N309" s="2">
        <v>269</v>
      </c>
      <c r="O309" s="2">
        <v>100.6395</v>
      </c>
      <c r="P309" s="2">
        <v>245</v>
      </c>
      <c r="Q309" s="2">
        <v>114.69459999999999</v>
      </c>
      <c r="R309" s="2">
        <v>340</v>
      </c>
      <c r="S309" s="2">
        <v>114.41630000000001</v>
      </c>
      <c r="T309" s="2">
        <v>331</v>
      </c>
      <c r="U309" s="2">
        <v>0.18611900000000001</v>
      </c>
      <c r="V309" s="2">
        <v>308</v>
      </c>
      <c r="W309" s="2">
        <v>2014</v>
      </c>
    </row>
    <row r="310" spans="1:23" ht="12.3" x14ac:dyDescent="0.4">
      <c r="A310" s="2" t="s">
        <v>107</v>
      </c>
      <c r="B310" s="2"/>
      <c r="C310" s="2"/>
      <c r="D310" s="2"/>
      <c r="E310" s="2"/>
      <c r="F310" s="2"/>
      <c r="G310" s="2"/>
      <c r="H310" s="2"/>
      <c r="I310" s="2">
        <v>68.456400000000002</v>
      </c>
      <c r="J310" s="2">
        <v>85</v>
      </c>
      <c r="K310" s="2">
        <v>67.738500000000002</v>
      </c>
      <c r="L310" s="2">
        <v>104</v>
      </c>
      <c r="M310" s="2">
        <v>97.016099999999994</v>
      </c>
      <c r="N310" s="2">
        <v>305</v>
      </c>
      <c r="O310" s="2">
        <v>98.263099999999994</v>
      </c>
      <c r="P310" s="2">
        <v>279</v>
      </c>
      <c r="Q310" s="2">
        <v>110.1814</v>
      </c>
      <c r="R310" s="2">
        <v>299</v>
      </c>
      <c r="S310" s="2">
        <v>111.78660000000001</v>
      </c>
      <c r="T310" s="2">
        <v>308</v>
      </c>
      <c r="U310" s="2">
        <v>0.184998</v>
      </c>
      <c r="V310" s="2">
        <v>309</v>
      </c>
      <c r="W310" s="2">
        <v>2014</v>
      </c>
    </row>
    <row r="311" spans="1:23" ht="12.3" x14ac:dyDescent="0.4">
      <c r="A311" s="2" t="s">
        <v>332</v>
      </c>
      <c r="B311" s="2"/>
      <c r="C311" s="2"/>
      <c r="D311" s="2"/>
      <c r="E311" s="2"/>
      <c r="F311" s="2"/>
      <c r="G311" s="2"/>
      <c r="H311" s="2"/>
      <c r="I311" s="2">
        <v>63.174999999999997</v>
      </c>
      <c r="J311" s="2">
        <v>320</v>
      </c>
      <c r="K311" s="2">
        <v>62.854199999999999</v>
      </c>
      <c r="L311" s="2">
        <v>326</v>
      </c>
      <c r="M311" s="2">
        <v>97.499399999999994</v>
      </c>
      <c r="N311" s="2">
        <v>295</v>
      </c>
      <c r="O311" s="2">
        <v>96.602500000000006</v>
      </c>
      <c r="P311" s="2">
        <v>306</v>
      </c>
      <c r="Q311" s="2">
        <v>109.8981</v>
      </c>
      <c r="R311" s="2">
        <v>291</v>
      </c>
      <c r="S311" s="2">
        <v>109.9027</v>
      </c>
      <c r="T311" s="2">
        <v>274</v>
      </c>
      <c r="U311" s="2">
        <v>0.184916</v>
      </c>
      <c r="V311" s="2">
        <v>310</v>
      </c>
      <c r="W311" s="2">
        <v>2014</v>
      </c>
    </row>
    <row r="312" spans="1:23" ht="12.3" x14ac:dyDescent="0.4">
      <c r="A312" s="2" t="s">
        <v>366</v>
      </c>
      <c r="B312" s="2"/>
      <c r="C312" s="2"/>
      <c r="D312" s="2"/>
      <c r="E312" s="2"/>
      <c r="F312" s="2"/>
      <c r="G312" s="2"/>
      <c r="H312" s="2"/>
      <c r="I312" s="2">
        <v>68.466099999999997</v>
      </c>
      <c r="J312" s="2">
        <v>84</v>
      </c>
      <c r="K312" s="2">
        <v>69.341499999999996</v>
      </c>
      <c r="L312" s="2">
        <v>52</v>
      </c>
      <c r="M312" s="2">
        <v>99.176699999999997</v>
      </c>
      <c r="N312" s="2">
        <v>279</v>
      </c>
      <c r="O312" s="2">
        <v>96.008899999999997</v>
      </c>
      <c r="P312" s="2">
        <v>313</v>
      </c>
      <c r="Q312" s="2">
        <v>106.6005</v>
      </c>
      <c r="R312" s="2">
        <v>221</v>
      </c>
      <c r="S312" s="2">
        <v>109.41849999999999</v>
      </c>
      <c r="T312" s="2">
        <v>265</v>
      </c>
      <c r="U312" s="2">
        <v>0.18190400000000001</v>
      </c>
      <c r="V312" s="2">
        <v>311</v>
      </c>
      <c r="W312" s="2">
        <v>2014</v>
      </c>
    </row>
    <row r="313" spans="1:23" ht="12.3" x14ac:dyDescent="0.4">
      <c r="A313" s="2" t="s">
        <v>275</v>
      </c>
      <c r="B313" s="2"/>
      <c r="C313" s="2"/>
      <c r="D313" s="2"/>
      <c r="E313" s="2"/>
      <c r="F313" s="2"/>
      <c r="G313" s="2"/>
      <c r="H313" s="2"/>
      <c r="I313" s="2">
        <v>63.445700000000002</v>
      </c>
      <c r="J313" s="2">
        <v>315</v>
      </c>
      <c r="K313" s="2">
        <v>62.866399999999999</v>
      </c>
      <c r="L313" s="2">
        <v>325</v>
      </c>
      <c r="M313" s="2">
        <v>100.77930000000001</v>
      </c>
      <c r="N313" s="2">
        <v>254</v>
      </c>
      <c r="O313" s="2">
        <v>96.975999999999999</v>
      </c>
      <c r="P313" s="2">
        <v>299</v>
      </c>
      <c r="Q313" s="2">
        <v>111.31440000000001</v>
      </c>
      <c r="R313" s="2">
        <v>319</v>
      </c>
      <c r="S313" s="2">
        <v>110.5703</v>
      </c>
      <c r="T313" s="2">
        <v>284</v>
      </c>
      <c r="U313" s="2">
        <v>0.18113699999999999</v>
      </c>
      <c r="V313" s="2">
        <v>312</v>
      </c>
      <c r="W313" s="2">
        <v>2014</v>
      </c>
    </row>
    <row r="314" spans="1:23" ht="12.3" x14ac:dyDescent="0.4">
      <c r="A314" s="2" t="s">
        <v>183</v>
      </c>
      <c r="B314" s="2"/>
      <c r="C314" s="2"/>
      <c r="D314" s="2"/>
      <c r="E314" s="2"/>
      <c r="F314" s="2"/>
      <c r="G314" s="2"/>
      <c r="H314" s="2"/>
      <c r="I314" s="2">
        <v>72.226600000000005</v>
      </c>
      <c r="J314" s="2">
        <v>10</v>
      </c>
      <c r="K314" s="2">
        <v>71.462000000000003</v>
      </c>
      <c r="L314" s="2">
        <v>15</v>
      </c>
      <c r="M314" s="2">
        <v>97.239400000000003</v>
      </c>
      <c r="N314" s="2">
        <v>302</v>
      </c>
      <c r="O314" s="2">
        <v>96.910499999999999</v>
      </c>
      <c r="P314" s="2">
        <v>300</v>
      </c>
      <c r="Q314" s="2">
        <v>109.9766</v>
      </c>
      <c r="R314" s="2">
        <v>293</v>
      </c>
      <c r="S314" s="2">
        <v>110.6969</v>
      </c>
      <c r="T314" s="2">
        <v>288</v>
      </c>
      <c r="U314" s="2">
        <v>0.17805499999999999</v>
      </c>
      <c r="V314" s="2">
        <v>313</v>
      </c>
      <c r="W314" s="2">
        <v>2014</v>
      </c>
    </row>
    <row r="315" spans="1:23" ht="12.3" x14ac:dyDescent="0.4">
      <c r="A315" s="2" t="s">
        <v>231</v>
      </c>
      <c r="B315" s="2"/>
      <c r="C315" s="2"/>
      <c r="D315" s="2"/>
      <c r="E315" s="2"/>
      <c r="F315" s="2"/>
      <c r="G315" s="2"/>
      <c r="H315" s="2"/>
      <c r="I315" s="2">
        <v>64.206000000000003</v>
      </c>
      <c r="J315" s="2">
        <v>283</v>
      </c>
      <c r="K315" s="2">
        <v>63.983800000000002</v>
      </c>
      <c r="L315" s="2">
        <v>288</v>
      </c>
      <c r="M315" s="2">
        <v>92.7928</v>
      </c>
      <c r="N315" s="2">
        <v>343</v>
      </c>
      <c r="O315" s="2">
        <v>93.929500000000004</v>
      </c>
      <c r="P315" s="2">
        <v>331</v>
      </c>
      <c r="Q315" s="2">
        <v>106.9736</v>
      </c>
      <c r="R315" s="2">
        <v>227</v>
      </c>
      <c r="S315" s="2">
        <v>107.31059999999999</v>
      </c>
      <c r="T315" s="2">
        <v>224</v>
      </c>
      <c r="U315" s="2">
        <v>0.177759</v>
      </c>
      <c r="V315" s="2">
        <v>314</v>
      </c>
      <c r="W315" s="2">
        <v>2014</v>
      </c>
    </row>
    <row r="316" spans="1:23" ht="12.3" x14ac:dyDescent="0.4">
      <c r="A316" s="2" t="s">
        <v>380</v>
      </c>
      <c r="B316" s="2"/>
      <c r="C316" s="2"/>
      <c r="D316" s="2"/>
      <c r="E316" s="2"/>
      <c r="F316" s="2"/>
      <c r="G316" s="2"/>
      <c r="H316" s="2"/>
      <c r="I316" s="2">
        <v>64.355699999999999</v>
      </c>
      <c r="J316" s="2">
        <v>278</v>
      </c>
      <c r="K316" s="2">
        <v>63.361499999999999</v>
      </c>
      <c r="L316" s="2">
        <v>310</v>
      </c>
      <c r="M316" s="2">
        <v>104.6262</v>
      </c>
      <c r="N316" s="2">
        <v>173</v>
      </c>
      <c r="O316" s="2">
        <v>101.96380000000001</v>
      </c>
      <c r="P316" s="2">
        <v>222</v>
      </c>
      <c r="Q316" s="2">
        <v>113.4153</v>
      </c>
      <c r="R316" s="2">
        <v>334</v>
      </c>
      <c r="S316" s="2">
        <v>116.6148</v>
      </c>
      <c r="T316" s="2">
        <v>341</v>
      </c>
      <c r="U316" s="2">
        <v>0.175958</v>
      </c>
      <c r="V316" s="2">
        <v>315</v>
      </c>
      <c r="W316" s="2">
        <v>2014</v>
      </c>
    </row>
    <row r="317" spans="1:23" ht="12.3" x14ac:dyDescent="0.4">
      <c r="A317" s="2" t="s">
        <v>208</v>
      </c>
      <c r="B317" s="2"/>
      <c r="C317" s="2"/>
      <c r="D317" s="2"/>
      <c r="E317" s="2"/>
      <c r="F317" s="2"/>
      <c r="G317" s="2"/>
      <c r="H317" s="2"/>
      <c r="I317" s="2">
        <v>67.711200000000005</v>
      </c>
      <c r="J317" s="2">
        <v>116</v>
      </c>
      <c r="K317" s="2">
        <v>67.249799999999993</v>
      </c>
      <c r="L317" s="2">
        <v>126</v>
      </c>
      <c r="M317" s="2">
        <v>102.824</v>
      </c>
      <c r="N317" s="2">
        <v>213</v>
      </c>
      <c r="O317" s="2">
        <v>100.6631</v>
      </c>
      <c r="P317" s="2">
        <v>243</v>
      </c>
      <c r="Q317" s="2">
        <v>113.3535</v>
      </c>
      <c r="R317" s="2">
        <v>332</v>
      </c>
      <c r="S317" s="2">
        <v>115.2064</v>
      </c>
      <c r="T317" s="2">
        <v>336</v>
      </c>
      <c r="U317" s="2">
        <v>0.174815</v>
      </c>
      <c r="V317" s="2">
        <v>316</v>
      </c>
      <c r="W317" s="2">
        <v>2014</v>
      </c>
    </row>
    <row r="318" spans="1:23" ht="12.3" x14ac:dyDescent="0.4">
      <c r="A318" s="2" t="s">
        <v>127</v>
      </c>
      <c r="B318" s="2"/>
      <c r="C318" s="2"/>
      <c r="D318" s="2"/>
      <c r="E318" s="2"/>
      <c r="F318" s="2"/>
      <c r="G318" s="2"/>
      <c r="H318" s="2"/>
      <c r="I318" s="2">
        <v>70.450400000000002</v>
      </c>
      <c r="J318" s="2">
        <v>33</v>
      </c>
      <c r="K318" s="2">
        <v>70.639200000000002</v>
      </c>
      <c r="L318" s="2">
        <v>22</v>
      </c>
      <c r="M318" s="2">
        <v>97.379199999999997</v>
      </c>
      <c r="N318" s="2">
        <v>296</v>
      </c>
      <c r="O318" s="2">
        <v>95.088800000000006</v>
      </c>
      <c r="P318" s="2">
        <v>321</v>
      </c>
      <c r="Q318" s="2">
        <v>105.9101</v>
      </c>
      <c r="R318" s="2">
        <v>202</v>
      </c>
      <c r="S318" s="2">
        <v>108.851</v>
      </c>
      <c r="T318" s="2">
        <v>252</v>
      </c>
      <c r="U318" s="2">
        <v>0.17444599999999999</v>
      </c>
      <c r="V318" s="2">
        <v>317</v>
      </c>
      <c r="W318" s="2">
        <v>2014</v>
      </c>
    </row>
    <row r="319" spans="1:23" ht="12.3" x14ac:dyDescent="0.4">
      <c r="A319" s="2" t="s">
        <v>357</v>
      </c>
      <c r="B319" s="2"/>
      <c r="C319" s="2"/>
      <c r="D319" s="2"/>
      <c r="E319" s="2"/>
      <c r="F319" s="2"/>
      <c r="G319" s="2"/>
      <c r="H319" s="2"/>
      <c r="I319" s="2">
        <v>66.470600000000005</v>
      </c>
      <c r="J319" s="2">
        <v>174</v>
      </c>
      <c r="K319" s="2">
        <v>66.615899999999996</v>
      </c>
      <c r="L319" s="2">
        <v>164</v>
      </c>
      <c r="M319" s="2">
        <v>101.2285</v>
      </c>
      <c r="N319" s="2">
        <v>244</v>
      </c>
      <c r="O319" s="2">
        <v>101.46769999999999</v>
      </c>
      <c r="P319" s="2">
        <v>232</v>
      </c>
      <c r="Q319" s="2">
        <v>115.6182</v>
      </c>
      <c r="R319" s="2">
        <v>343</v>
      </c>
      <c r="S319" s="2">
        <v>116.1845</v>
      </c>
      <c r="T319" s="2">
        <v>338</v>
      </c>
      <c r="U319" s="2">
        <v>0.17399800000000001</v>
      </c>
      <c r="V319" s="2">
        <v>318</v>
      </c>
      <c r="W319" s="2">
        <v>2014</v>
      </c>
    </row>
    <row r="320" spans="1:23" ht="12.3" x14ac:dyDescent="0.4">
      <c r="A320" s="2" t="s">
        <v>342</v>
      </c>
      <c r="B320" s="2"/>
      <c r="C320" s="2"/>
      <c r="D320" s="2"/>
      <c r="E320" s="2"/>
      <c r="F320" s="2"/>
      <c r="G320" s="2"/>
      <c r="H320" s="2"/>
      <c r="I320" s="2">
        <v>68.256200000000007</v>
      </c>
      <c r="J320" s="2">
        <v>95</v>
      </c>
      <c r="K320" s="2">
        <v>67.272800000000004</v>
      </c>
      <c r="L320" s="2">
        <v>124</v>
      </c>
      <c r="M320" s="2">
        <v>97.282700000000006</v>
      </c>
      <c r="N320" s="2">
        <v>298</v>
      </c>
      <c r="O320" s="2">
        <v>96.361400000000003</v>
      </c>
      <c r="P320" s="2">
        <v>308</v>
      </c>
      <c r="Q320" s="2">
        <v>109.5204</v>
      </c>
      <c r="R320" s="2">
        <v>280</v>
      </c>
      <c r="S320" s="2">
        <v>110.4063</v>
      </c>
      <c r="T320" s="2">
        <v>281</v>
      </c>
      <c r="U320" s="2">
        <v>0.17297199999999999</v>
      </c>
      <c r="V320" s="2">
        <v>319</v>
      </c>
      <c r="W320" s="2">
        <v>2014</v>
      </c>
    </row>
    <row r="321" spans="1:23" ht="12.3" x14ac:dyDescent="0.4">
      <c r="A321" s="2" t="s">
        <v>280</v>
      </c>
      <c r="B321" s="2"/>
      <c r="C321" s="2"/>
      <c r="D321" s="2"/>
      <c r="E321" s="2"/>
      <c r="F321" s="2"/>
      <c r="G321" s="2"/>
      <c r="H321" s="2"/>
      <c r="I321" s="2">
        <v>70.538799999999995</v>
      </c>
      <c r="J321" s="2">
        <v>30</v>
      </c>
      <c r="K321" s="2">
        <v>69.481800000000007</v>
      </c>
      <c r="L321" s="2">
        <v>46</v>
      </c>
      <c r="M321" s="2">
        <v>104.5069</v>
      </c>
      <c r="N321" s="2">
        <v>175</v>
      </c>
      <c r="O321" s="2">
        <v>103.0882</v>
      </c>
      <c r="P321" s="2">
        <v>200</v>
      </c>
      <c r="Q321" s="2">
        <v>116.4256</v>
      </c>
      <c r="R321" s="2">
        <v>346</v>
      </c>
      <c r="S321" s="2">
        <v>118.50279999999999</v>
      </c>
      <c r="T321" s="2">
        <v>346</v>
      </c>
      <c r="U321" s="2">
        <v>0.167626</v>
      </c>
      <c r="V321" s="2">
        <v>320</v>
      </c>
      <c r="W321" s="2">
        <v>2014</v>
      </c>
    </row>
    <row r="322" spans="1:23" ht="12.3" x14ac:dyDescent="0.4">
      <c r="A322" s="2" t="s">
        <v>261</v>
      </c>
      <c r="B322" s="2"/>
      <c r="C322" s="2"/>
      <c r="D322" s="2"/>
      <c r="E322" s="2"/>
      <c r="F322" s="2"/>
      <c r="G322" s="2"/>
      <c r="H322" s="2"/>
      <c r="I322" s="2">
        <v>63.830599999999997</v>
      </c>
      <c r="J322" s="2">
        <v>295</v>
      </c>
      <c r="K322" s="2">
        <v>63.805599999999998</v>
      </c>
      <c r="L322" s="2">
        <v>298</v>
      </c>
      <c r="M322" s="2">
        <v>95.296700000000001</v>
      </c>
      <c r="N322" s="2">
        <v>323</v>
      </c>
      <c r="O322" s="2">
        <v>94.416600000000003</v>
      </c>
      <c r="P322" s="2">
        <v>327</v>
      </c>
      <c r="Q322" s="2">
        <v>104.86620000000001</v>
      </c>
      <c r="R322" s="2">
        <v>173</v>
      </c>
      <c r="S322" s="2">
        <v>108.5727</v>
      </c>
      <c r="T322" s="2">
        <v>249</v>
      </c>
      <c r="U322" s="2">
        <v>0.16706299999999999</v>
      </c>
      <c r="V322" s="2">
        <v>321</v>
      </c>
      <c r="W322" s="2">
        <v>2014</v>
      </c>
    </row>
    <row r="323" spans="1:23" ht="12.3" x14ac:dyDescent="0.4">
      <c r="A323" s="2" t="s">
        <v>343</v>
      </c>
      <c r="B323" s="2"/>
      <c r="C323" s="2"/>
      <c r="D323" s="2"/>
      <c r="E323" s="2"/>
      <c r="F323" s="2"/>
      <c r="G323" s="2"/>
      <c r="H323" s="2"/>
      <c r="I323" s="2">
        <v>68.5291</v>
      </c>
      <c r="J323" s="2">
        <v>79</v>
      </c>
      <c r="K323" s="2">
        <v>68.092600000000004</v>
      </c>
      <c r="L323" s="2">
        <v>90</v>
      </c>
      <c r="M323" s="2">
        <v>104.0746</v>
      </c>
      <c r="N323" s="2">
        <v>186</v>
      </c>
      <c r="O323" s="2">
        <v>102.17400000000001</v>
      </c>
      <c r="P323" s="2">
        <v>216</v>
      </c>
      <c r="Q323" s="2">
        <v>116.0782</v>
      </c>
      <c r="R323" s="2">
        <v>344</v>
      </c>
      <c r="S323" s="2">
        <v>117.78270000000001</v>
      </c>
      <c r="T323" s="2">
        <v>344</v>
      </c>
      <c r="U323" s="2">
        <v>0.163162</v>
      </c>
      <c r="V323" s="2">
        <v>322</v>
      </c>
      <c r="W323" s="2">
        <v>2014</v>
      </c>
    </row>
    <row r="324" spans="1:23" ht="12.3" x14ac:dyDescent="0.4">
      <c r="A324" s="2" t="s">
        <v>265</v>
      </c>
      <c r="B324" s="2"/>
      <c r="C324" s="2"/>
      <c r="D324" s="2"/>
      <c r="E324" s="2"/>
      <c r="F324" s="2"/>
      <c r="G324" s="2"/>
      <c r="H324" s="2"/>
      <c r="I324" s="2">
        <v>60.590200000000003</v>
      </c>
      <c r="J324" s="2">
        <v>345</v>
      </c>
      <c r="K324" s="2">
        <v>60.021099999999997</v>
      </c>
      <c r="L324" s="2">
        <v>348</v>
      </c>
      <c r="M324" s="2">
        <v>97.250100000000003</v>
      </c>
      <c r="N324" s="2">
        <v>301</v>
      </c>
      <c r="O324" s="2">
        <v>97.406199999999998</v>
      </c>
      <c r="P324" s="2">
        <v>296</v>
      </c>
      <c r="Q324" s="2">
        <v>107.9288</v>
      </c>
      <c r="R324" s="2">
        <v>249</v>
      </c>
      <c r="S324" s="2">
        <v>112.6247</v>
      </c>
      <c r="T324" s="2">
        <v>321</v>
      </c>
      <c r="U324" s="2">
        <v>0.158495</v>
      </c>
      <c r="V324" s="2">
        <v>323</v>
      </c>
      <c r="W324" s="2">
        <v>2014</v>
      </c>
    </row>
    <row r="325" spans="1:23" ht="12.3" x14ac:dyDescent="0.4">
      <c r="A325" s="2" t="s">
        <v>351</v>
      </c>
      <c r="B325" s="2"/>
      <c r="C325" s="2"/>
      <c r="D325" s="2"/>
      <c r="E325" s="2"/>
      <c r="F325" s="2"/>
      <c r="G325" s="2"/>
      <c r="H325" s="2"/>
      <c r="I325" s="2">
        <v>67.579700000000003</v>
      </c>
      <c r="J325" s="2">
        <v>124</v>
      </c>
      <c r="K325" s="2">
        <v>66.83</v>
      </c>
      <c r="L325" s="2">
        <v>148</v>
      </c>
      <c r="M325" s="2">
        <v>93.0364</v>
      </c>
      <c r="N325" s="2">
        <v>342</v>
      </c>
      <c r="O325" s="2">
        <v>92.198999999999998</v>
      </c>
      <c r="P325" s="2">
        <v>342</v>
      </c>
      <c r="Q325" s="2">
        <v>105.759</v>
      </c>
      <c r="R325" s="2">
        <v>198</v>
      </c>
      <c r="S325" s="2">
        <v>106.6597</v>
      </c>
      <c r="T325" s="2">
        <v>213</v>
      </c>
      <c r="U325" s="2">
        <v>0.157695</v>
      </c>
      <c r="V325" s="2">
        <v>324</v>
      </c>
      <c r="W325" s="2">
        <v>2014</v>
      </c>
    </row>
    <row r="326" spans="1:23" ht="12.3" x14ac:dyDescent="0.4">
      <c r="A326" s="2" t="s">
        <v>383</v>
      </c>
      <c r="B326" s="2"/>
      <c r="C326" s="2"/>
      <c r="D326" s="2"/>
      <c r="E326" s="2"/>
      <c r="F326" s="2"/>
      <c r="G326" s="2"/>
      <c r="H326" s="2"/>
      <c r="I326" s="2">
        <v>64.569000000000003</v>
      </c>
      <c r="J326" s="2">
        <v>270</v>
      </c>
      <c r="K326" s="2">
        <v>64.829300000000003</v>
      </c>
      <c r="L326" s="2">
        <v>256</v>
      </c>
      <c r="M326" s="2">
        <v>93.897900000000007</v>
      </c>
      <c r="N326" s="2">
        <v>334</v>
      </c>
      <c r="O326" s="2">
        <v>95.067700000000002</v>
      </c>
      <c r="P326" s="2">
        <v>322</v>
      </c>
      <c r="Q326" s="2">
        <v>108.1221</v>
      </c>
      <c r="R326" s="2">
        <v>255</v>
      </c>
      <c r="S326" s="2">
        <v>110.6164</v>
      </c>
      <c r="T326" s="2">
        <v>285</v>
      </c>
      <c r="U326" s="2">
        <v>0.149059</v>
      </c>
      <c r="V326" s="2">
        <v>325</v>
      </c>
      <c r="W326" s="2">
        <v>2014</v>
      </c>
    </row>
    <row r="327" spans="1:23" ht="12.3" x14ac:dyDescent="0.4">
      <c r="A327" s="2" t="s">
        <v>252</v>
      </c>
      <c r="B327" s="2"/>
      <c r="C327" s="2"/>
      <c r="D327" s="2"/>
      <c r="E327" s="2"/>
      <c r="F327" s="2"/>
      <c r="G327" s="2"/>
      <c r="H327" s="2"/>
      <c r="I327" s="2">
        <v>68.056899999999999</v>
      </c>
      <c r="J327" s="2">
        <v>105</v>
      </c>
      <c r="K327" s="2">
        <v>68.674999999999997</v>
      </c>
      <c r="L327" s="2">
        <v>66</v>
      </c>
      <c r="M327" s="2">
        <v>93.340299999999999</v>
      </c>
      <c r="N327" s="2">
        <v>339</v>
      </c>
      <c r="O327" s="2">
        <v>92.573400000000007</v>
      </c>
      <c r="P327" s="2">
        <v>340</v>
      </c>
      <c r="Q327" s="2">
        <v>104.35169999999999</v>
      </c>
      <c r="R327" s="2">
        <v>160</v>
      </c>
      <c r="S327" s="2">
        <v>108.1871</v>
      </c>
      <c r="T327" s="2">
        <v>236</v>
      </c>
      <c r="U327" s="2">
        <v>0.14277899999999999</v>
      </c>
      <c r="V327" s="2">
        <v>326</v>
      </c>
      <c r="W327" s="2">
        <v>2014</v>
      </c>
    </row>
    <row r="328" spans="1:23" ht="12.3" x14ac:dyDescent="0.4">
      <c r="A328" s="2" t="s">
        <v>364</v>
      </c>
      <c r="B328" s="2"/>
      <c r="C328" s="2"/>
      <c r="D328" s="2"/>
      <c r="E328" s="2"/>
      <c r="F328" s="2"/>
      <c r="G328" s="2"/>
      <c r="H328" s="2"/>
      <c r="I328" s="2">
        <v>73.156800000000004</v>
      </c>
      <c r="J328" s="2">
        <v>8</v>
      </c>
      <c r="K328" s="2">
        <v>72.314499999999995</v>
      </c>
      <c r="L328" s="2">
        <v>7</v>
      </c>
      <c r="M328" s="2">
        <v>96.934799999999996</v>
      </c>
      <c r="N328" s="2">
        <v>307</v>
      </c>
      <c r="O328" s="2">
        <v>95.839100000000002</v>
      </c>
      <c r="P328" s="2">
        <v>314</v>
      </c>
      <c r="Q328" s="2">
        <v>111.1866</v>
      </c>
      <c r="R328" s="2">
        <v>316</v>
      </c>
      <c r="S328" s="2">
        <v>112.4049</v>
      </c>
      <c r="T328" s="2">
        <v>317</v>
      </c>
      <c r="U328" s="2">
        <v>0.137818</v>
      </c>
      <c r="V328" s="2">
        <v>327</v>
      </c>
      <c r="W328" s="2">
        <v>2014</v>
      </c>
    </row>
    <row r="329" spans="1:23" ht="12.3" x14ac:dyDescent="0.4">
      <c r="A329" s="2" t="s">
        <v>199</v>
      </c>
      <c r="B329" s="2"/>
      <c r="C329" s="2"/>
      <c r="D329" s="2"/>
      <c r="E329" s="2"/>
      <c r="F329" s="2"/>
      <c r="G329" s="2"/>
      <c r="H329" s="2"/>
      <c r="I329" s="2">
        <v>65.921700000000001</v>
      </c>
      <c r="J329" s="2">
        <v>208</v>
      </c>
      <c r="K329" s="2">
        <v>65.952299999999994</v>
      </c>
      <c r="L329" s="2">
        <v>199</v>
      </c>
      <c r="M329" s="2">
        <v>95.435400000000001</v>
      </c>
      <c r="N329" s="2">
        <v>321</v>
      </c>
      <c r="O329" s="2">
        <v>96.705799999999996</v>
      </c>
      <c r="P329" s="2">
        <v>305</v>
      </c>
      <c r="Q329" s="2">
        <v>114.8764</v>
      </c>
      <c r="R329" s="2">
        <v>341</v>
      </c>
      <c r="S329" s="2">
        <v>113.9149</v>
      </c>
      <c r="T329" s="2">
        <v>330</v>
      </c>
      <c r="U329" s="2">
        <v>0.131993</v>
      </c>
      <c r="V329" s="2">
        <v>328</v>
      </c>
      <c r="W329" s="2">
        <v>2014</v>
      </c>
    </row>
    <row r="330" spans="1:23" ht="12.3" x14ac:dyDescent="0.4">
      <c r="A330" s="2" t="s">
        <v>310</v>
      </c>
      <c r="B330" s="2"/>
      <c r="C330" s="2"/>
      <c r="D330" s="2"/>
      <c r="E330" s="2"/>
      <c r="F330" s="2"/>
      <c r="G330" s="2"/>
      <c r="H330" s="2"/>
      <c r="I330" s="2">
        <v>62.873800000000003</v>
      </c>
      <c r="J330" s="2">
        <v>332</v>
      </c>
      <c r="K330" s="2">
        <v>62.710299999999997</v>
      </c>
      <c r="L330" s="2">
        <v>328</v>
      </c>
      <c r="M330" s="2">
        <v>89.515900000000002</v>
      </c>
      <c r="N330" s="2">
        <v>349</v>
      </c>
      <c r="O330" s="2">
        <v>89.308099999999996</v>
      </c>
      <c r="P330" s="2">
        <v>349</v>
      </c>
      <c r="Q330" s="2">
        <v>102.6986</v>
      </c>
      <c r="R330" s="2">
        <v>114</v>
      </c>
      <c r="S330" s="2">
        <v>105.2505</v>
      </c>
      <c r="T330" s="2">
        <v>178</v>
      </c>
      <c r="U330" s="2">
        <v>0.13137099999999999</v>
      </c>
      <c r="V330" s="2">
        <v>329</v>
      </c>
      <c r="W330" s="2">
        <v>2014</v>
      </c>
    </row>
    <row r="331" spans="1:23" ht="12.3" x14ac:dyDescent="0.4">
      <c r="A331" s="2" t="s">
        <v>319</v>
      </c>
      <c r="B331" s="2"/>
      <c r="C331" s="2"/>
      <c r="D331" s="2"/>
      <c r="E331" s="2"/>
      <c r="F331" s="2"/>
      <c r="G331" s="2"/>
      <c r="H331" s="2"/>
      <c r="I331" s="2">
        <v>63.820999999999998</v>
      </c>
      <c r="J331" s="2">
        <v>296</v>
      </c>
      <c r="K331" s="2">
        <v>63.822800000000001</v>
      </c>
      <c r="L331" s="2">
        <v>297</v>
      </c>
      <c r="M331" s="2">
        <v>102.7137</v>
      </c>
      <c r="N331" s="2">
        <v>216</v>
      </c>
      <c r="O331" s="2">
        <v>97.855999999999995</v>
      </c>
      <c r="P331" s="2">
        <v>288</v>
      </c>
      <c r="Q331" s="2">
        <v>113.218</v>
      </c>
      <c r="R331" s="2">
        <v>331</v>
      </c>
      <c r="S331" s="2">
        <v>116.02930000000001</v>
      </c>
      <c r="T331" s="2">
        <v>337</v>
      </c>
      <c r="U331" s="2">
        <v>0.12357799999999999</v>
      </c>
      <c r="V331" s="2">
        <v>330</v>
      </c>
      <c r="W331" s="2">
        <v>2014</v>
      </c>
    </row>
    <row r="332" spans="1:23" ht="12.3" x14ac:dyDescent="0.4">
      <c r="A332" s="2" t="s">
        <v>253</v>
      </c>
      <c r="B332" s="2"/>
      <c r="C332" s="2"/>
      <c r="D332" s="2"/>
      <c r="E332" s="2"/>
      <c r="F332" s="2"/>
      <c r="G332" s="2"/>
      <c r="H332" s="2"/>
      <c r="I332" s="2">
        <v>66.3613</v>
      </c>
      <c r="J332" s="2">
        <v>181</v>
      </c>
      <c r="K332" s="2">
        <v>66.173199999999994</v>
      </c>
      <c r="L332" s="2">
        <v>186</v>
      </c>
      <c r="M332" s="2">
        <v>95.902100000000004</v>
      </c>
      <c r="N332" s="2">
        <v>318</v>
      </c>
      <c r="O332" s="2">
        <v>91.487399999999994</v>
      </c>
      <c r="P332" s="2">
        <v>348</v>
      </c>
      <c r="Q332" s="2">
        <v>108.1298</v>
      </c>
      <c r="R332" s="2">
        <v>256</v>
      </c>
      <c r="S332" s="2">
        <v>108.9145</v>
      </c>
      <c r="T332" s="2">
        <v>253</v>
      </c>
      <c r="U332" s="2">
        <v>0.118662</v>
      </c>
      <c r="V332" s="2">
        <v>331</v>
      </c>
      <c r="W332" s="2">
        <v>2014</v>
      </c>
    </row>
    <row r="333" spans="1:23" ht="12.3" x14ac:dyDescent="0.4">
      <c r="A333" s="2" t="s">
        <v>242</v>
      </c>
      <c r="B333" s="2"/>
      <c r="C333" s="2"/>
      <c r="D333" s="2"/>
      <c r="E333" s="2"/>
      <c r="F333" s="2"/>
      <c r="G333" s="2"/>
      <c r="H333" s="2"/>
      <c r="I333" s="2">
        <v>67.213899999999995</v>
      </c>
      <c r="J333" s="2">
        <v>138</v>
      </c>
      <c r="K333" s="2">
        <v>67.775800000000004</v>
      </c>
      <c r="L333" s="2">
        <v>103</v>
      </c>
      <c r="M333" s="2">
        <v>88.649199999999993</v>
      </c>
      <c r="N333" s="2">
        <v>351</v>
      </c>
      <c r="O333" s="2">
        <v>87.772099999999995</v>
      </c>
      <c r="P333" s="2">
        <v>351</v>
      </c>
      <c r="Q333" s="2">
        <v>105.7744</v>
      </c>
      <c r="R333" s="2">
        <v>199</v>
      </c>
      <c r="S333" s="2">
        <v>104.6412</v>
      </c>
      <c r="T333" s="2">
        <v>170</v>
      </c>
      <c r="U333" s="2">
        <v>0.11695</v>
      </c>
      <c r="V333" s="2">
        <v>332</v>
      </c>
      <c r="W333" s="2">
        <v>2014</v>
      </c>
    </row>
    <row r="334" spans="1:23" ht="12.3" x14ac:dyDescent="0.4">
      <c r="A334" s="2" t="s">
        <v>315</v>
      </c>
      <c r="B334" s="2"/>
      <c r="C334" s="2"/>
      <c r="D334" s="2"/>
      <c r="E334" s="2"/>
      <c r="F334" s="2"/>
      <c r="G334" s="2"/>
      <c r="H334" s="2"/>
      <c r="I334" s="2">
        <v>65.629099999999994</v>
      </c>
      <c r="J334" s="2">
        <v>220</v>
      </c>
      <c r="K334" s="2">
        <v>65.853999999999999</v>
      </c>
      <c r="L334" s="2">
        <v>203</v>
      </c>
      <c r="M334" s="2">
        <v>92.228899999999996</v>
      </c>
      <c r="N334" s="2">
        <v>346</v>
      </c>
      <c r="O334" s="2">
        <v>92.1708</v>
      </c>
      <c r="P334" s="2">
        <v>343</v>
      </c>
      <c r="Q334" s="2">
        <v>107.538</v>
      </c>
      <c r="R334" s="2">
        <v>245</v>
      </c>
      <c r="S334" s="2">
        <v>110.10509999999999</v>
      </c>
      <c r="T334" s="2">
        <v>278</v>
      </c>
      <c r="U334" s="2">
        <v>0.11459800000000001</v>
      </c>
      <c r="V334" s="2">
        <v>333</v>
      </c>
      <c r="W334" s="2">
        <v>2014</v>
      </c>
    </row>
    <row r="335" spans="1:23" ht="12.3" x14ac:dyDescent="0.4">
      <c r="A335" s="2" t="s">
        <v>321</v>
      </c>
      <c r="B335" s="2"/>
      <c r="C335" s="2"/>
      <c r="D335" s="2"/>
      <c r="E335" s="2"/>
      <c r="F335" s="2"/>
      <c r="G335" s="2"/>
      <c r="H335" s="2"/>
      <c r="I335" s="2">
        <v>66.558000000000007</v>
      </c>
      <c r="J335" s="2">
        <v>167</v>
      </c>
      <c r="K335" s="2">
        <v>67.023799999999994</v>
      </c>
      <c r="L335" s="2">
        <v>138</v>
      </c>
      <c r="M335" s="2">
        <v>98.871200000000002</v>
      </c>
      <c r="N335" s="2">
        <v>281</v>
      </c>
      <c r="O335" s="2">
        <v>99.973299999999995</v>
      </c>
      <c r="P335" s="2">
        <v>259</v>
      </c>
      <c r="Q335" s="2">
        <v>114.2107</v>
      </c>
      <c r="R335" s="2">
        <v>337</v>
      </c>
      <c r="S335" s="2">
        <v>119.71810000000001</v>
      </c>
      <c r="T335" s="2">
        <v>349</v>
      </c>
      <c r="U335" s="2">
        <v>0.111776</v>
      </c>
      <c r="V335" s="2">
        <v>334</v>
      </c>
      <c r="W335" s="2">
        <v>2014</v>
      </c>
    </row>
    <row r="336" spans="1:23" ht="12.3" x14ac:dyDescent="0.4">
      <c r="A336" s="2" t="s">
        <v>298</v>
      </c>
      <c r="B336" s="2"/>
      <c r="C336" s="2"/>
      <c r="D336" s="2"/>
      <c r="E336" s="2"/>
      <c r="F336" s="2"/>
      <c r="G336" s="2"/>
      <c r="H336" s="2"/>
      <c r="I336" s="2">
        <v>64.016400000000004</v>
      </c>
      <c r="J336" s="2">
        <v>290</v>
      </c>
      <c r="K336" s="2">
        <v>63.636400000000002</v>
      </c>
      <c r="L336" s="2">
        <v>302</v>
      </c>
      <c r="M336" s="2">
        <v>95.858199999999997</v>
      </c>
      <c r="N336" s="2">
        <v>319</v>
      </c>
      <c r="O336" s="2">
        <v>94.417199999999994</v>
      </c>
      <c r="P336" s="2">
        <v>326</v>
      </c>
      <c r="Q336" s="2">
        <v>112.5141</v>
      </c>
      <c r="R336" s="2">
        <v>326</v>
      </c>
      <c r="S336" s="2">
        <v>113.5348</v>
      </c>
      <c r="T336" s="2">
        <v>328</v>
      </c>
      <c r="U336" s="2">
        <v>0.107126</v>
      </c>
      <c r="V336" s="2">
        <v>335</v>
      </c>
      <c r="W336" s="2">
        <v>2014</v>
      </c>
    </row>
    <row r="337" spans="1:23" ht="12.3" x14ac:dyDescent="0.4">
      <c r="A337" s="2" t="s">
        <v>313</v>
      </c>
      <c r="B337" s="2"/>
      <c r="C337" s="2"/>
      <c r="D337" s="2"/>
      <c r="E337" s="2"/>
      <c r="F337" s="2"/>
      <c r="G337" s="2"/>
      <c r="H337" s="2"/>
      <c r="I337" s="2">
        <v>62.5199</v>
      </c>
      <c r="J337" s="2">
        <v>337</v>
      </c>
      <c r="K337" s="2">
        <v>62.572099999999999</v>
      </c>
      <c r="L337" s="2">
        <v>330</v>
      </c>
      <c r="M337" s="2">
        <v>97.562700000000007</v>
      </c>
      <c r="N337" s="2">
        <v>293</v>
      </c>
      <c r="O337" s="2">
        <v>96.727000000000004</v>
      </c>
      <c r="P337" s="2">
        <v>304</v>
      </c>
      <c r="Q337" s="2">
        <v>112.6396</v>
      </c>
      <c r="R337" s="2">
        <v>327</v>
      </c>
      <c r="S337" s="2">
        <v>116.4152</v>
      </c>
      <c r="T337" s="2">
        <v>340</v>
      </c>
      <c r="U337" s="2">
        <v>0.106157</v>
      </c>
      <c r="V337" s="2">
        <v>336</v>
      </c>
      <c r="W337" s="2">
        <v>2014</v>
      </c>
    </row>
    <row r="338" spans="1:23" ht="12.3" x14ac:dyDescent="0.4">
      <c r="A338" s="2" t="s">
        <v>309</v>
      </c>
      <c r="B338" s="2"/>
      <c r="C338" s="2"/>
      <c r="D338" s="2"/>
      <c r="E338" s="2"/>
      <c r="F338" s="2"/>
      <c r="G338" s="2"/>
      <c r="H338" s="2"/>
      <c r="I338" s="2">
        <v>73.913300000000007</v>
      </c>
      <c r="J338" s="2">
        <v>3</v>
      </c>
      <c r="K338" s="2">
        <v>74.661000000000001</v>
      </c>
      <c r="L338" s="2">
        <v>2</v>
      </c>
      <c r="M338" s="2">
        <v>95.113799999999998</v>
      </c>
      <c r="N338" s="2">
        <v>328</v>
      </c>
      <c r="O338" s="2">
        <v>95.51</v>
      </c>
      <c r="P338" s="2">
        <v>317</v>
      </c>
      <c r="Q338" s="2">
        <v>112.84529999999999</v>
      </c>
      <c r="R338" s="2">
        <v>330</v>
      </c>
      <c r="S338" s="2">
        <v>115.0916</v>
      </c>
      <c r="T338" s="2">
        <v>335</v>
      </c>
      <c r="U338" s="2">
        <v>0.104825</v>
      </c>
      <c r="V338" s="2">
        <v>337</v>
      </c>
      <c r="W338" s="2">
        <v>2014</v>
      </c>
    </row>
    <row r="339" spans="1:23" ht="12.3" x14ac:dyDescent="0.4">
      <c r="A339" s="2" t="s">
        <v>361</v>
      </c>
      <c r="B339" s="2"/>
      <c r="C339" s="2"/>
      <c r="D339" s="2"/>
      <c r="E339" s="2"/>
      <c r="F339" s="2"/>
      <c r="G339" s="2"/>
      <c r="H339" s="2"/>
      <c r="I339" s="2">
        <v>68.512500000000003</v>
      </c>
      <c r="J339" s="2">
        <v>81</v>
      </c>
      <c r="K339" s="2">
        <v>67.982299999999995</v>
      </c>
      <c r="L339" s="2">
        <v>98</v>
      </c>
      <c r="M339" s="2">
        <v>93.251599999999996</v>
      </c>
      <c r="N339" s="2">
        <v>341</v>
      </c>
      <c r="O339" s="2">
        <v>92.493899999999996</v>
      </c>
      <c r="P339" s="2">
        <v>341</v>
      </c>
      <c r="Q339" s="2">
        <v>110.9502</v>
      </c>
      <c r="R339" s="2">
        <v>310</v>
      </c>
      <c r="S339" s="2">
        <v>111.6311</v>
      </c>
      <c r="T339" s="2">
        <v>306</v>
      </c>
      <c r="U339" s="2">
        <v>0.103155</v>
      </c>
      <c r="V339" s="2">
        <v>338</v>
      </c>
      <c r="W339" s="2">
        <v>2014</v>
      </c>
    </row>
    <row r="340" spans="1:23" ht="12.3" x14ac:dyDescent="0.4">
      <c r="A340" s="2" t="s">
        <v>266</v>
      </c>
      <c r="B340" s="2"/>
      <c r="C340" s="2"/>
      <c r="D340" s="2"/>
      <c r="E340" s="2"/>
      <c r="F340" s="2"/>
      <c r="G340" s="2"/>
      <c r="H340" s="2"/>
      <c r="I340" s="2">
        <v>69.369200000000006</v>
      </c>
      <c r="J340" s="2">
        <v>54</v>
      </c>
      <c r="K340" s="2">
        <v>68.338999999999999</v>
      </c>
      <c r="L340" s="2">
        <v>78</v>
      </c>
      <c r="M340" s="2">
        <v>95.915099999999995</v>
      </c>
      <c r="N340" s="2">
        <v>317</v>
      </c>
      <c r="O340" s="2">
        <v>93.147199999999998</v>
      </c>
      <c r="P340" s="2">
        <v>337</v>
      </c>
      <c r="Q340" s="2">
        <v>111.4311</v>
      </c>
      <c r="R340" s="2">
        <v>320</v>
      </c>
      <c r="S340" s="2">
        <v>112.47880000000001</v>
      </c>
      <c r="T340" s="2">
        <v>319</v>
      </c>
      <c r="U340" s="2">
        <v>0.10259600000000001</v>
      </c>
      <c r="V340" s="2">
        <v>339</v>
      </c>
      <c r="W340" s="2">
        <v>2014</v>
      </c>
    </row>
    <row r="341" spans="1:23" ht="12.3" x14ac:dyDescent="0.4">
      <c r="A341" s="2" t="s">
        <v>195</v>
      </c>
      <c r="B341" s="2"/>
      <c r="C341" s="2"/>
      <c r="D341" s="2"/>
      <c r="E341" s="2"/>
      <c r="F341" s="2"/>
      <c r="G341" s="2"/>
      <c r="H341" s="2"/>
      <c r="I341" s="2">
        <v>64.867199999999997</v>
      </c>
      <c r="J341" s="2">
        <v>254</v>
      </c>
      <c r="K341" s="2">
        <v>65.621300000000005</v>
      </c>
      <c r="L341" s="2">
        <v>213</v>
      </c>
      <c r="M341" s="2">
        <v>96.905799999999999</v>
      </c>
      <c r="N341" s="2">
        <v>308</v>
      </c>
      <c r="O341" s="2">
        <v>94.866699999999994</v>
      </c>
      <c r="P341" s="2">
        <v>324</v>
      </c>
      <c r="Q341" s="2">
        <v>112.3206</v>
      </c>
      <c r="R341" s="2">
        <v>325</v>
      </c>
      <c r="S341" s="2">
        <v>114.581</v>
      </c>
      <c r="T341" s="2">
        <v>333</v>
      </c>
      <c r="U341" s="2">
        <v>0.102357</v>
      </c>
      <c r="V341" s="2">
        <v>340</v>
      </c>
      <c r="W341" s="2">
        <v>2014</v>
      </c>
    </row>
    <row r="342" spans="1:23" ht="12.3" x14ac:dyDescent="0.4">
      <c r="A342" s="2" t="s">
        <v>296</v>
      </c>
      <c r="B342" s="2"/>
      <c r="C342" s="2"/>
      <c r="D342" s="2"/>
      <c r="E342" s="2"/>
      <c r="F342" s="2"/>
      <c r="G342" s="2"/>
      <c r="H342" s="2"/>
      <c r="I342" s="2">
        <v>67.328800000000001</v>
      </c>
      <c r="J342" s="2">
        <v>134</v>
      </c>
      <c r="K342" s="2">
        <v>67.004499999999993</v>
      </c>
      <c r="L342" s="2">
        <v>139</v>
      </c>
      <c r="M342" s="2">
        <v>94.646900000000002</v>
      </c>
      <c r="N342" s="2">
        <v>330</v>
      </c>
      <c r="O342" s="2">
        <v>93.357799999999997</v>
      </c>
      <c r="P342" s="2">
        <v>335</v>
      </c>
      <c r="Q342" s="2">
        <v>107.8573</v>
      </c>
      <c r="R342" s="2">
        <v>248</v>
      </c>
      <c r="S342" s="2">
        <v>112.8049</v>
      </c>
      <c r="T342" s="2">
        <v>322</v>
      </c>
      <c r="U342" s="2">
        <v>0.101923</v>
      </c>
      <c r="V342" s="2">
        <v>341</v>
      </c>
      <c r="W342" s="2">
        <v>2014</v>
      </c>
    </row>
    <row r="343" spans="1:23" ht="12.3" x14ac:dyDescent="0.4">
      <c r="A343" s="2" t="s">
        <v>333</v>
      </c>
      <c r="B343" s="2"/>
      <c r="C343" s="2"/>
      <c r="D343" s="2"/>
      <c r="E343" s="2"/>
      <c r="F343" s="2"/>
      <c r="G343" s="2"/>
      <c r="H343" s="2"/>
      <c r="I343" s="2">
        <v>65.170699999999997</v>
      </c>
      <c r="J343" s="2">
        <v>241</v>
      </c>
      <c r="K343" s="2">
        <v>65.505700000000004</v>
      </c>
      <c r="L343" s="2">
        <v>220</v>
      </c>
      <c r="M343" s="2">
        <v>96.566800000000001</v>
      </c>
      <c r="N343" s="2">
        <v>312</v>
      </c>
      <c r="O343" s="2">
        <v>100.2458</v>
      </c>
      <c r="P343" s="2">
        <v>253</v>
      </c>
      <c r="Q343" s="2">
        <v>120.4422</v>
      </c>
      <c r="R343" s="2">
        <v>351</v>
      </c>
      <c r="S343" s="2">
        <v>121.328</v>
      </c>
      <c r="T343" s="2">
        <v>350</v>
      </c>
      <c r="U343" s="2">
        <v>0.10019699999999999</v>
      </c>
      <c r="V343" s="2">
        <v>342</v>
      </c>
      <c r="W343" s="2">
        <v>2014</v>
      </c>
    </row>
    <row r="344" spans="1:23" ht="12.3" x14ac:dyDescent="0.4">
      <c r="A344" s="2" t="s">
        <v>374</v>
      </c>
      <c r="B344" s="2"/>
      <c r="C344" s="2"/>
      <c r="D344" s="2"/>
      <c r="E344" s="2"/>
      <c r="F344" s="2"/>
      <c r="G344" s="2"/>
      <c r="H344" s="2"/>
      <c r="I344" s="2">
        <v>69.724900000000005</v>
      </c>
      <c r="J344" s="2">
        <v>45</v>
      </c>
      <c r="K344" s="2">
        <v>69.899000000000001</v>
      </c>
      <c r="L344" s="2">
        <v>35</v>
      </c>
      <c r="M344" s="2">
        <v>93.436000000000007</v>
      </c>
      <c r="N344" s="2">
        <v>337</v>
      </c>
      <c r="O344" s="2">
        <v>92.0137</v>
      </c>
      <c r="P344" s="2">
        <v>344</v>
      </c>
      <c r="Q344" s="2">
        <v>110.9743</v>
      </c>
      <c r="R344" s="2">
        <v>311</v>
      </c>
      <c r="S344" s="2">
        <v>111.9585</v>
      </c>
      <c r="T344" s="2">
        <v>313</v>
      </c>
      <c r="U344" s="2">
        <v>9.4815999999999998E-2</v>
      </c>
      <c r="V344" s="2">
        <v>343</v>
      </c>
      <c r="W344" s="2">
        <v>2014</v>
      </c>
    </row>
    <row r="345" spans="1:23" ht="12.3" x14ac:dyDescent="0.4">
      <c r="A345" s="2" t="s">
        <v>288</v>
      </c>
      <c r="B345" s="2"/>
      <c r="C345" s="2"/>
      <c r="D345" s="2"/>
      <c r="E345" s="2"/>
      <c r="F345" s="2"/>
      <c r="G345" s="2"/>
      <c r="H345" s="2"/>
      <c r="I345" s="2">
        <v>66.765500000000003</v>
      </c>
      <c r="J345" s="2">
        <v>159</v>
      </c>
      <c r="K345" s="2">
        <v>66.394400000000005</v>
      </c>
      <c r="L345" s="2">
        <v>175</v>
      </c>
      <c r="M345" s="2">
        <v>91.672700000000006</v>
      </c>
      <c r="N345" s="2">
        <v>347</v>
      </c>
      <c r="O345" s="2">
        <v>91.755799999999994</v>
      </c>
      <c r="P345" s="2">
        <v>346</v>
      </c>
      <c r="Q345" s="2">
        <v>108.5093</v>
      </c>
      <c r="R345" s="2">
        <v>264</v>
      </c>
      <c r="S345" s="2">
        <v>111.8639</v>
      </c>
      <c r="T345" s="2">
        <v>309</v>
      </c>
      <c r="U345" s="2">
        <v>9.2897999999999994E-2</v>
      </c>
      <c r="V345" s="2">
        <v>344</v>
      </c>
      <c r="W345" s="2">
        <v>2014</v>
      </c>
    </row>
    <row r="346" spans="1:23" ht="12.3" x14ac:dyDescent="0.4">
      <c r="A346" s="2" t="s">
        <v>299</v>
      </c>
      <c r="B346" s="2"/>
      <c r="C346" s="2"/>
      <c r="D346" s="2"/>
      <c r="E346" s="2"/>
      <c r="F346" s="2"/>
      <c r="G346" s="2"/>
      <c r="H346" s="2"/>
      <c r="I346" s="2">
        <v>73.223299999999995</v>
      </c>
      <c r="J346" s="2">
        <v>7</v>
      </c>
      <c r="K346" s="2">
        <v>72.733099999999993</v>
      </c>
      <c r="L346" s="2">
        <v>5</v>
      </c>
      <c r="M346" s="2">
        <v>94.189300000000003</v>
      </c>
      <c r="N346" s="2">
        <v>332</v>
      </c>
      <c r="O346" s="2">
        <v>93.923000000000002</v>
      </c>
      <c r="P346" s="2">
        <v>332</v>
      </c>
      <c r="Q346" s="2">
        <v>111.17230000000001</v>
      </c>
      <c r="R346" s="2">
        <v>314</v>
      </c>
      <c r="S346" s="2">
        <v>114.514</v>
      </c>
      <c r="T346" s="2">
        <v>332</v>
      </c>
      <c r="U346" s="2">
        <v>9.2829999999999996E-2</v>
      </c>
      <c r="V346" s="2">
        <v>345</v>
      </c>
      <c r="W346" s="2">
        <v>2014</v>
      </c>
    </row>
    <row r="347" spans="1:23" ht="12.3" x14ac:dyDescent="0.4">
      <c r="A347" s="2" t="s">
        <v>179</v>
      </c>
      <c r="B347" s="2"/>
      <c r="C347" s="2"/>
      <c r="D347" s="2"/>
      <c r="E347" s="2"/>
      <c r="F347" s="2"/>
      <c r="G347" s="2"/>
      <c r="H347" s="2"/>
      <c r="I347" s="2">
        <v>65.535799999999995</v>
      </c>
      <c r="J347" s="2">
        <v>224</v>
      </c>
      <c r="K347" s="2">
        <v>64.962500000000006</v>
      </c>
      <c r="L347" s="2">
        <v>249</v>
      </c>
      <c r="M347" s="2">
        <v>97.309299999999993</v>
      </c>
      <c r="N347" s="2">
        <v>297</v>
      </c>
      <c r="O347" s="2">
        <v>97.44</v>
      </c>
      <c r="P347" s="2">
        <v>295</v>
      </c>
      <c r="Q347" s="2">
        <v>114.0962</v>
      </c>
      <c r="R347" s="2">
        <v>336</v>
      </c>
      <c r="S347" s="2">
        <v>118.8532</v>
      </c>
      <c r="T347" s="2">
        <v>347</v>
      </c>
      <c r="U347" s="2">
        <v>9.2414999999999997E-2</v>
      </c>
      <c r="V347" s="2">
        <v>346</v>
      </c>
      <c r="W347" s="2">
        <v>2014</v>
      </c>
    </row>
    <row r="348" spans="1:23" ht="12.3" x14ac:dyDescent="0.4">
      <c r="A348" s="2" t="s">
        <v>359</v>
      </c>
      <c r="B348" s="2"/>
      <c r="C348" s="2"/>
      <c r="D348" s="2"/>
      <c r="E348" s="2"/>
      <c r="F348" s="2"/>
      <c r="G348" s="2"/>
      <c r="H348" s="2"/>
      <c r="I348" s="2">
        <v>69.261200000000002</v>
      </c>
      <c r="J348" s="2">
        <v>57</v>
      </c>
      <c r="K348" s="2">
        <v>68.255499999999998</v>
      </c>
      <c r="L348" s="2">
        <v>80</v>
      </c>
      <c r="M348" s="2">
        <v>96.905000000000001</v>
      </c>
      <c r="N348" s="2">
        <v>309</v>
      </c>
      <c r="O348" s="2">
        <v>96.332599999999999</v>
      </c>
      <c r="P348" s="2">
        <v>310</v>
      </c>
      <c r="Q348" s="2">
        <v>117.956</v>
      </c>
      <c r="R348" s="2">
        <v>350</v>
      </c>
      <c r="S348" s="2">
        <v>117.7423</v>
      </c>
      <c r="T348" s="2">
        <v>343</v>
      </c>
      <c r="U348" s="2">
        <v>9.0467000000000006E-2</v>
      </c>
      <c r="V348" s="2">
        <v>347</v>
      </c>
      <c r="W348" s="2">
        <v>2014</v>
      </c>
    </row>
    <row r="349" spans="1:23" ht="12.3" x14ac:dyDescent="0.4">
      <c r="A349" s="2" t="s">
        <v>384</v>
      </c>
      <c r="B349" s="2" t="e">
        <v>#N/A</v>
      </c>
      <c r="C349" s="2"/>
      <c r="D349" s="2"/>
      <c r="E349" s="2"/>
      <c r="F349" s="2"/>
      <c r="G349" s="2"/>
      <c r="H349" s="2"/>
      <c r="I349" s="2">
        <v>66.135400000000004</v>
      </c>
      <c r="J349" s="2">
        <v>193</v>
      </c>
      <c r="K349" s="2">
        <v>64.863600000000005</v>
      </c>
      <c r="L349" s="2">
        <v>254</v>
      </c>
      <c r="M349" s="2">
        <v>93.354100000000003</v>
      </c>
      <c r="N349" s="2">
        <v>338</v>
      </c>
      <c r="O349" s="2">
        <v>94.740700000000004</v>
      </c>
      <c r="P349" s="2">
        <v>325</v>
      </c>
      <c r="Q349" s="2">
        <v>116.94</v>
      </c>
      <c r="R349" s="2">
        <v>349</v>
      </c>
      <c r="S349" s="2">
        <v>116.97580000000001</v>
      </c>
      <c r="T349" s="2">
        <v>342</v>
      </c>
      <c r="U349" s="2">
        <v>8.1325999999999996E-2</v>
      </c>
      <c r="V349" s="2">
        <v>348</v>
      </c>
      <c r="W349" s="2">
        <v>2014</v>
      </c>
    </row>
    <row r="350" spans="1:23" ht="12.3" x14ac:dyDescent="0.4">
      <c r="A350" s="2" t="s">
        <v>329</v>
      </c>
      <c r="B350" s="2" t="e">
        <v>#N/A</v>
      </c>
      <c r="C350" s="2"/>
      <c r="D350" s="2"/>
      <c r="E350" s="2"/>
      <c r="F350" s="2"/>
      <c r="G350" s="2"/>
      <c r="H350" s="2"/>
      <c r="I350" s="2">
        <v>69.138900000000007</v>
      </c>
      <c r="J350" s="2">
        <v>64</v>
      </c>
      <c r="K350" s="2">
        <v>68.054900000000004</v>
      </c>
      <c r="L350" s="2">
        <v>95</v>
      </c>
      <c r="M350" s="2">
        <v>95.178600000000003</v>
      </c>
      <c r="N350" s="2">
        <v>326</v>
      </c>
      <c r="O350" s="2">
        <v>97.563199999999995</v>
      </c>
      <c r="P350" s="2">
        <v>292</v>
      </c>
      <c r="Q350" s="2">
        <v>116.8903</v>
      </c>
      <c r="R350" s="2">
        <v>348</v>
      </c>
      <c r="S350" s="2">
        <v>121.4862</v>
      </c>
      <c r="T350" s="2">
        <v>351</v>
      </c>
      <c r="U350" s="2">
        <v>7.4333999999999997E-2</v>
      </c>
      <c r="V350" s="2">
        <v>349</v>
      </c>
      <c r="W350" s="2">
        <v>2014</v>
      </c>
    </row>
    <row r="351" spans="1:23" ht="12.3" x14ac:dyDescent="0.4">
      <c r="A351" s="2" t="s">
        <v>368</v>
      </c>
      <c r="B351" s="2" t="e">
        <v>#N/A</v>
      </c>
      <c r="C351" s="2"/>
      <c r="D351" s="2"/>
      <c r="E351" s="2"/>
      <c r="F351" s="2"/>
      <c r="G351" s="2"/>
      <c r="H351" s="2"/>
      <c r="I351" s="2">
        <v>66.218299999999999</v>
      </c>
      <c r="J351" s="2">
        <v>192</v>
      </c>
      <c r="K351" s="2">
        <v>65.593900000000005</v>
      </c>
      <c r="L351" s="2">
        <v>217</v>
      </c>
      <c r="M351" s="2">
        <v>96.484999999999999</v>
      </c>
      <c r="N351" s="2">
        <v>313</v>
      </c>
      <c r="O351" s="2">
        <v>95.138000000000005</v>
      </c>
      <c r="P351" s="2">
        <v>320</v>
      </c>
      <c r="Q351" s="2">
        <v>116.6399</v>
      </c>
      <c r="R351" s="2">
        <v>347</v>
      </c>
      <c r="S351" s="2">
        <v>119.17570000000001</v>
      </c>
      <c r="T351" s="2">
        <v>348</v>
      </c>
      <c r="U351" s="2">
        <v>6.9746000000000002E-2</v>
      </c>
      <c r="V351" s="2">
        <v>350</v>
      </c>
      <c r="W351" s="2">
        <v>2014</v>
      </c>
    </row>
    <row r="352" spans="1:23" ht="12.3" x14ac:dyDescent="0.4">
      <c r="A352" s="2" t="s">
        <v>237</v>
      </c>
      <c r="B352" s="2" t="e">
        <v>#N/A</v>
      </c>
      <c r="C352" s="2"/>
      <c r="D352" s="2"/>
      <c r="E352" s="2"/>
      <c r="F352" s="2"/>
      <c r="G352" s="2"/>
      <c r="H352" s="2"/>
      <c r="I352" s="2">
        <v>64.611599999999996</v>
      </c>
      <c r="J352" s="2">
        <v>269</v>
      </c>
      <c r="K352" s="2">
        <v>65.721000000000004</v>
      </c>
      <c r="L352" s="2">
        <v>208</v>
      </c>
      <c r="M352" s="2">
        <v>88.978899999999996</v>
      </c>
      <c r="N352" s="2">
        <v>350</v>
      </c>
      <c r="O352" s="2">
        <v>88.975800000000007</v>
      </c>
      <c r="P352" s="2">
        <v>350</v>
      </c>
      <c r="Q352" s="2">
        <v>115.33199999999999</v>
      </c>
      <c r="R352" s="2">
        <v>342</v>
      </c>
      <c r="S352" s="2">
        <v>113.0346</v>
      </c>
      <c r="T352" s="2">
        <v>323</v>
      </c>
      <c r="U352" s="2">
        <v>5.9957999999999997E-2</v>
      </c>
      <c r="V352" s="2">
        <v>351</v>
      </c>
      <c r="W352" s="2">
        <v>2014</v>
      </c>
    </row>
  </sheetData>
  <autoFilter ref="A1:V352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352"/>
  <sheetViews>
    <sheetView workbookViewId="0"/>
  </sheetViews>
  <sheetFormatPr defaultColWidth="14.44140625" defaultRowHeight="15.75" customHeight="1" x14ac:dyDescent="0.4"/>
  <cols>
    <col min="1" max="1" width="14.44140625" customWidth="1"/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109375" customWidth="1"/>
    <col min="11" max="11" width="9.44140625" customWidth="1"/>
    <col min="12" max="12" width="13.83203125" customWidth="1"/>
    <col min="13" max="13" width="8.71875" customWidth="1"/>
    <col min="14" max="14" width="8" customWidth="1"/>
    <col min="15" max="15" width="8.71875" customWidth="1"/>
    <col min="16" max="16" width="10.71875" customWidth="1"/>
    <col min="17" max="17" width="8.71875" customWidth="1"/>
    <col min="18" max="18" width="7.83203125" customWidth="1"/>
    <col min="19" max="19" width="8.71875" customWidth="1"/>
    <col min="20" max="20" width="10.5546875" customWidth="1"/>
    <col min="21" max="21" width="8.71875" customWidth="1"/>
    <col min="22" max="23" width="11.1093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45</v>
      </c>
      <c r="B2" s="2">
        <v>1</v>
      </c>
      <c r="C2" s="3"/>
      <c r="D2" s="3"/>
      <c r="E2" s="3"/>
      <c r="F2" s="2"/>
      <c r="G2" s="2"/>
      <c r="H2" s="2"/>
      <c r="I2" s="2">
        <v>63.865900000000003</v>
      </c>
      <c r="J2" s="2">
        <v>233</v>
      </c>
      <c r="K2" s="2">
        <v>63.442799999999998</v>
      </c>
      <c r="L2" s="2">
        <v>251</v>
      </c>
      <c r="M2" s="2">
        <v>115.89579999999999</v>
      </c>
      <c r="N2" s="2">
        <v>9</v>
      </c>
      <c r="O2" s="2">
        <v>119.72499999999999</v>
      </c>
      <c r="P2" s="2">
        <v>5</v>
      </c>
      <c r="Q2" s="2">
        <v>83.647400000000005</v>
      </c>
      <c r="R2" s="2">
        <v>1</v>
      </c>
      <c r="S2" s="2">
        <v>85.8155</v>
      </c>
      <c r="T2" s="2">
        <v>2</v>
      </c>
      <c r="U2" s="2">
        <v>0.97874099999999997</v>
      </c>
      <c r="V2" s="2">
        <v>1</v>
      </c>
      <c r="W2" s="2">
        <v>2015</v>
      </c>
    </row>
    <row r="3" spans="1:23" ht="15.75" customHeight="1" x14ac:dyDescent="0.4">
      <c r="A3" s="2" t="s">
        <v>43</v>
      </c>
      <c r="B3" s="2">
        <v>2</v>
      </c>
      <c r="C3" s="3"/>
      <c r="D3" s="3"/>
      <c r="E3" s="2"/>
      <c r="F3" s="2"/>
      <c r="G3" s="2"/>
      <c r="H3" s="2"/>
      <c r="I3" s="2">
        <v>66.842799999999997</v>
      </c>
      <c r="J3" s="2">
        <v>79</v>
      </c>
      <c r="K3" s="2">
        <v>66.727699999999999</v>
      </c>
      <c r="L3" s="2">
        <v>78</v>
      </c>
      <c r="M3" s="2">
        <v>113.6254</v>
      </c>
      <c r="N3" s="2">
        <v>17</v>
      </c>
      <c r="O3" s="2">
        <v>116.0039</v>
      </c>
      <c r="P3" s="2">
        <v>11</v>
      </c>
      <c r="Q3" s="2">
        <v>87.414000000000001</v>
      </c>
      <c r="R3" s="2">
        <v>4</v>
      </c>
      <c r="S3" s="2">
        <v>86.383099999999999</v>
      </c>
      <c r="T3" s="2">
        <v>3</v>
      </c>
      <c r="U3" s="2">
        <v>0.96740800000000005</v>
      </c>
      <c r="V3" s="2">
        <v>2</v>
      </c>
      <c r="W3" s="2">
        <v>2015</v>
      </c>
    </row>
    <row r="4" spans="1:23" ht="15.75" customHeight="1" x14ac:dyDescent="0.4">
      <c r="A4" s="2" t="s">
        <v>76</v>
      </c>
      <c r="B4" s="2">
        <v>1</v>
      </c>
      <c r="C4" s="3"/>
      <c r="D4" s="3"/>
      <c r="E4" s="3"/>
      <c r="F4" s="3"/>
      <c r="G4" s="2"/>
      <c r="H4" s="2"/>
      <c r="I4" s="2">
        <v>59.265599999999999</v>
      </c>
      <c r="J4" s="2">
        <v>345</v>
      </c>
      <c r="K4" s="2">
        <v>58.743299999999998</v>
      </c>
      <c r="L4" s="2">
        <v>347</v>
      </c>
      <c r="M4" s="2">
        <v>120.4953</v>
      </c>
      <c r="N4" s="2">
        <v>3</v>
      </c>
      <c r="O4" s="2">
        <v>124.69499999999999</v>
      </c>
      <c r="P4" s="2">
        <v>1</v>
      </c>
      <c r="Q4" s="2">
        <v>94.464600000000004</v>
      </c>
      <c r="R4" s="2">
        <v>27</v>
      </c>
      <c r="S4" s="2">
        <v>94.260499999999993</v>
      </c>
      <c r="T4" s="2">
        <v>30</v>
      </c>
      <c r="U4" s="2">
        <v>0.96149799999999996</v>
      </c>
      <c r="V4" s="2">
        <v>3</v>
      </c>
      <c r="W4" s="2">
        <v>2015</v>
      </c>
    </row>
    <row r="5" spans="1:23" ht="15.75" customHeight="1" x14ac:dyDescent="0.4">
      <c r="A5" s="2" t="s">
        <v>87</v>
      </c>
      <c r="B5" s="2">
        <v>2</v>
      </c>
      <c r="C5" s="3"/>
      <c r="D5" s="3"/>
      <c r="E5" s="2"/>
      <c r="F5" s="2"/>
      <c r="G5" s="2"/>
      <c r="H5" s="2"/>
      <c r="I5" s="2">
        <v>58.496299999999998</v>
      </c>
      <c r="J5" s="2">
        <v>347</v>
      </c>
      <c r="K5" s="2">
        <v>58.158000000000001</v>
      </c>
      <c r="L5" s="2">
        <v>349</v>
      </c>
      <c r="M5" s="2">
        <v>110.6799</v>
      </c>
      <c r="N5" s="2">
        <v>31</v>
      </c>
      <c r="O5" s="2">
        <v>112.22499999999999</v>
      </c>
      <c r="P5" s="2">
        <v>27</v>
      </c>
      <c r="Q5" s="2">
        <v>85.616200000000006</v>
      </c>
      <c r="R5" s="2">
        <v>2</v>
      </c>
      <c r="S5" s="2">
        <v>85.371399999999994</v>
      </c>
      <c r="T5" s="2">
        <v>1</v>
      </c>
      <c r="U5" s="2">
        <v>0.95871899999999999</v>
      </c>
      <c r="V5" s="2">
        <v>4</v>
      </c>
      <c r="W5" s="2">
        <v>2015</v>
      </c>
    </row>
    <row r="6" spans="1:23" ht="15.75" customHeight="1" x14ac:dyDescent="0.4">
      <c r="A6" s="2" t="s">
        <v>78</v>
      </c>
      <c r="B6" s="2">
        <v>1</v>
      </c>
      <c r="C6" s="3"/>
      <c r="D6" s="2"/>
      <c r="E6" s="2"/>
      <c r="F6" s="2"/>
      <c r="G6" s="2"/>
      <c r="H6" s="2"/>
      <c r="I6" s="2">
        <v>65.056799999999996</v>
      </c>
      <c r="J6" s="2">
        <v>158</v>
      </c>
      <c r="K6" s="2">
        <v>64.479699999999994</v>
      </c>
      <c r="L6" s="2">
        <v>181</v>
      </c>
      <c r="M6" s="2">
        <v>116.6189</v>
      </c>
      <c r="N6" s="2">
        <v>6</v>
      </c>
      <c r="O6" s="2">
        <v>120.8395</v>
      </c>
      <c r="P6" s="2">
        <v>4</v>
      </c>
      <c r="Q6" s="2">
        <v>92.974100000000007</v>
      </c>
      <c r="R6" s="2">
        <v>18</v>
      </c>
      <c r="S6" s="2">
        <v>92.245999999999995</v>
      </c>
      <c r="T6" s="2">
        <v>13</v>
      </c>
      <c r="U6" s="2">
        <v>0.95710099999999998</v>
      </c>
      <c r="V6" s="2">
        <v>5</v>
      </c>
      <c r="W6" s="2">
        <v>2015</v>
      </c>
    </row>
    <row r="7" spans="1:23" ht="15.75" customHeight="1" x14ac:dyDescent="0.4">
      <c r="A7" s="2" t="s">
        <v>47</v>
      </c>
      <c r="B7" s="2">
        <v>2</v>
      </c>
      <c r="C7" s="3"/>
      <c r="D7" s="2"/>
      <c r="E7" s="2"/>
      <c r="F7" s="2"/>
      <c r="G7" s="2"/>
      <c r="H7" s="2"/>
      <c r="I7" s="2">
        <v>64.950900000000004</v>
      </c>
      <c r="J7" s="2">
        <v>162</v>
      </c>
      <c r="K7" s="2">
        <v>65.060500000000005</v>
      </c>
      <c r="L7" s="2">
        <v>153</v>
      </c>
      <c r="M7" s="2">
        <v>120.00660000000001</v>
      </c>
      <c r="N7" s="2">
        <v>4</v>
      </c>
      <c r="O7" s="2">
        <v>119.4414</v>
      </c>
      <c r="P7" s="2">
        <v>6</v>
      </c>
      <c r="Q7" s="2">
        <v>93.631100000000004</v>
      </c>
      <c r="R7" s="2">
        <v>19</v>
      </c>
      <c r="S7" s="2">
        <v>93.431299999999993</v>
      </c>
      <c r="T7" s="2">
        <v>20</v>
      </c>
      <c r="U7" s="2">
        <v>0.94398000000000004</v>
      </c>
      <c r="V7" s="2">
        <v>6</v>
      </c>
      <c r="W7" s="2">
        <v>2015</v>
      </c>
    </row>
    <row r="8" spans="1:23" ht="15.75" customHeight="1" x14ac:dyDescent="0.4">
      <c r="A8" s="2" t="s">
        <v>32</v>
      </c>
      <c r="B8" s="2">
        <v>1</v>
      </c>
      <c r="C8" s="2"/>
      <c r="D8" s="2"/>
      <c r="E8" s="2"/>
      <c r="F8" s="2"/>
      <c r="G8" s="2"/>
      <c r="H8" s="2"/>
      <c r="I8" s="2">
        <v>66.573499999999996</v>
      </c>
      <c r="J8" s="2">
        <v>91</v>
      </c>
      <c r="K8" s="2">
        <v>66.236500000000007</v>
      </c>
      <c r="L8" s="2">
        <v>103</v>
      </c>
      <c r="M8" s="2">
        <v>120.49890000000001</v>
      </c>
      <c r="N8" s="2">
        <v>2</v>
      </c>
      <c r="O8" s="2">
        <v>122.0286</v>
      </c>
      <c r="P8" s="2">
        <v>3</v>
      </c>
      <c r="Q8" s="2">
        <v>97.777900000000002</v>
      </c>
      <c r="R8" s="2">
        <v>80</v>
      </c>
      <c r="S8" s="2">
        <v>96.131299999999996</v>
      </c>
      <c r="T8" s="2">
        <v>57</v>
      </c>
      <c r="U8" s="2">
        <v>0.93952999999999998</v>
      </c>
      <c r="V8" s="2">
        <v>7</v>
      </c>
      <c r="W8" s="2">
        <v>2015</v>
      </c>
    </row>
    <row r="9" spans="1:23" ht="15.75" customHeight="1" x14ac:dyDescent="0.4">
      <c r="A9" s="2" t="s">
        <v>70</v>
      </c>
      <c r="B9" s="2">
        <v>5</v>
      </c>
      <c r="C9" s="3"/>
      <c r="D9" s="2"/>
      <c r="E9" s="2"/>
      <c r="F9" s="2"/>
      <c r="G9" s="2"/>
      <c r="H9" s="2"/>
      <c r="I9" s="2">
        <v>62.686500000000002</v>
      </c>
      <c r="J9" s="2">
        <v>284</v>
      </c>
      <c r="K9" s="2">
        <v>61.168500000000002</v>
      </c>
      <c r="L9" s="2">
        <v>322</v>
      </c>
      <c r="M9" s="2">
        <v>113.6498</v>
      </c>
      <c r="N9" s="2">
        <v>16</v>
      </c>
      <c r="O9" s="2">
        <v>113.0478</v>
      </c>
      <c r="P9" s="2">
        <v>18</v>
      </c>
      <c r="Q9" s="2">
        <v>91.083799999999997</v>
      </c>
      <c r="R9" s="2">
        <v>10</v>
      </c>
      <c r="S9" s="2">
        <v>90.569100000000006</v>
      </c>
      <c r="T9" s="2">
        <v>8</v>
      </c>
      <c r="U9" s="2">
        <v>0.92754199999999998</v>
      </c>
      <c r="V9" s="2">
        <v>8</v>
      </c>
      <c r="W9" s="2">
        <v>2015</v>
      </c>
    </row>
    <row r="10" spans="1:23" ht="15.75" customHeight="1" x14ac:dyDescent="0.4">
      <c r="A10" s="2" t="s">
        <v>38</v>
      </c>
      <c r="B10" s="2">
        <v>3</v>
      </c>
      <c r="C10" s="3"/>
      <c r="D10" s="2"/>
      <c r="E10" s="2"/>
      <c r="F10" s="2"/>
      <c r="G10" s="2"/>
      <c r="H10" s="2"/>
      <c r="I10" s="2">
        <v>68.155199999999994</v>
      </c>
      <c r="J10" s="2">
        <v>39</v>
      </c>
      <c r="K10" s="2">
        <v>67.644900000000007</v>
      </c>
      <c r="L10" s="2">
        <v>44</v>
      </c>
      <c r="M10" s="2">
        <v>104.8258</v>
      </c>
      <c r="N10" s="2">
        <v>108</v>
      </c>
      <c r="O10" s="2">
        <v>109.3152</v>
      </c>
      <c r="P10" s="2">
        <v>50</v>
      </c>
      <c r="Q10" s="2">
        <v>91.352400000000003</v>
      </c>
      <c r="R10" s="2">
        <v>12</v>
      </c>
      <c r="S10" s="2">
        <v>88.907799999999995</v>
      </c>
      <c r="T10" s="2">
        <v>5</v>
      </c>
      <c r="U10" s="2">
        <v>0.91500199999999998</v>
      </c>
      <c r="V10" s="2">
        <v>9</v>
      </c>
      <c r="W10" s="2">
        <v>2015</v>
      </c>
    </row>
    <row r="11" spans="1:23" ht="15.75" customHeight="1" x14ac:dyDescent="0.4">
      <c r="A11" s="2" t="s">
        <v>56</v>
      </c>
      <c r="B11" s="2">
        <v>3</v>
      </c>
      <c r="C11" s="3"/>
      <c r="D11" s="3"/>
      <c r="E11" s="3"/>
      <c r="F11" s="2"/>
      <c r="G11" s="2"/>
      <c r="H11" s="2"/>
      <c r="I11" s="2">
        <v>64.113699999999994</v>
      </c>
      <c r="J11" s="2">
        <v>217</v>
      </c>
      <c r="K11" s="2">
        <v>64.128299999999996</v>
      </c>
      <c r="L11" s="2">
        <v>204</v>
      </c>
      <c r="M11" s="2">
        <v>121.2585</v>
      </c>
      <c r="N11" s="2">
        <v>1</v>
      </c>
      <c r="O11" s="2">
        <v>122.2296</v>
      </c>
      <c r="P11" s="2">
        <v>2</v>
      </c>
      <c r="Q11" s="2">
        <v>101.40730000000001</v>
      </c>
      <c r="R11" s="2">
        <v>162</v>
      </c>
      <c r="S11" s="2">
        <v>99.664900000000003</v>
      </c>
      <c r="T11" s="2">
        <v>112</v>
      </c>
      <c r="U11" s="2">
        <v>0.91269599999999995</v>
      </c>
      <c r="V11" s="2">
        <v>10</v>
      </c>
      <c r="W11" s="2">
        <v>2015</v>
      </c>
    </row>
    <row r="12" spans="1:23" ht="15.75" customHeight="1" x14ac:dyDescent="0.4">
      <c r="A12" s="2" t="s">
        <v>35</v>
      </c>
      <c r="B12" s="2">
        <v>2</v>
      </c>
      <c r="C12" s="3"/>
      <c r="D12" s="3"/>
      <c r="E12" s="3"/>
      <c r="F12" s="3"/>
      <c r="G12" s="2"/>
      <c r="H12" s="2"/>
      <c r="I12" s="2">
        <v>66.792400000000001</v>
      </c>
      <c r="J12" s="2">
        <v>82</v>
      </c>
      <c r="K12" s="2">
        <v>67.438199999999995</v>
      </c>
      <c r="L12" s="2">
        <v>55</v>
      </c>
      <c r="M12" s="2">
        <v>106.3417</v>
      </c>
      <c r="N12" s="2">
        <v>80</v>
      </c>
      <c r="O12" s="2">
        <v>110.7779</v>
      </c>
      <c r="P12" s="2">
        <v>37</v>
      </c>
      <c r="Q12" s="2">
        <v>96.674999999999997</v>
      </c>
      <c r="R12" s="2">
        <v>62</v>
      </c>
      <c r="S12" s="2">
        <v>90.479600000000005</v>
      </c>
      <c r="T12" s="2">
        <v>7</v>
      </c>
      <c r="U12" s="2">
        <v>0.91113900000000003</v>
      </c>
      <c r="V12" s="2">
        <v>11</v>
      </c>
      <c r="W12" s="2">
        <v>2015</v>
      </c>
    </row>
    <row r="13" spans="1:23" ht="15.75" customHeight="1" x14ac:dyDescent="0.4">
      <c r="A13" s="2" t="s">
        <v>216</v>
      </c>
      <c r="B13" s="2">
        <v>5</v>
      </c>
      <c r="C13" s="2"/>
      <c r="D13" s="2"/>
      <c r="E13" s="2"/>
      <c r="F13" s="2"/>
      <c r="G13" s="2"/>
      <c r="H13" s="2"/>
      <c r="I13" s="2">
        <v>57.4039</v>
      </c>
      <c r="J13" s="2">
        <v>350</v>
      </c>
      <c r="K13" s="2">
        <v>58.500599999999999</v>
      </c>
      <c r="L13" s="2">
        <v>348</v>
      </c>
      <c r="M13" s="2">
        <v>112.49720000000001</v>
      </c>
      <c r="N13" s="2">
        <v>22</v>
      </c>
      <c r="O13" s="2">
        <v>113.78660000000001</v>
      </c>
      <c r="P13" s="2">
        <v>15</v>
      </c>
      <c r="Q13" s="2">
        <v>92.710700000000003</v>
      </c>
      <c r="R13" s="2">
        <v>16</v>
      </c>
      <c r="S13" s="2">
        <v>93.2423</v>
      </c>
      <c r="T13" s="2">
        <v>16</v>
      </c>
      <c r="U13" s="2">
        <v>0.90803800000000001</v>
      </c>
      <c r="V13" s="2">
        <v>12</v>
      </c>
      <c r="W13" s="2">
        <v>2015</v>
      </c>
    </row>
    <row r="14" spans="1:23" ht="15.75" customHeight="1" x14ac:dyDescent="0.4">
      <c r="A14" s="2" t="s">
        <v>146</v>
      </c>
      <c r="B14" s="2">
        <v>3</v>
      </c>
      <c r="C14" s="3"/>
      <c r="D14" s="3"/>
      <c r="E14" s="2"/>
      <c r="F14" s="2"/>
      <c r="G14" s="2"/>
      <c r="H14" s="2"/>
      <c r="I14" s="2">
        <v>69.847700000000003</v>
      </c>
      <c r="J14" s="2">
        <v>12</v>
      </c>
      <c r="K14" s="2">
        <v>69.557900000000004</v>
      </c>
      <c r="L14" s="2">
        <v>15</v>
      </c>
      <c r="M14" s="2">
        <v>112.19499999999999</v>
      </c>
      <c r="N14" s="2">
        <v>23</v>
      </c>
      <c r="O14" s="2">
        <v>118.86069999999999</v>
      </c>
      <c r="P14" s="2">
        <v>7</v>
      </c>
      <c r="Q14" s="2">
        <v>99.106899999999996</v>
      </c>
      <c r="R14" s="2">
        <v>106</v>
      </c>
      <c r="S14" s="2">
        <v>97.734999999999999</v>
      </c>
      <c r="T14" s="2">
        <v>82</v>
      </c>
      <c r="U14" s="2">
        <v>0.90469100000000002</v>
      </c>
      <c r="V14" s="2">
        <v>13</v>
      </c>
      <c r="W14" s="2">
        <v>2015</v>
      </c>
    </row>
    <row r="15" spans="1:23" ht="15.75" customHeight="1" x14ac:dyDescent="0.4">
      <c r="A15" s="2" t="s">
        <v>192</v>
      </c>
      <c r="B15" s="2">
        <v>7</v>
      </c>
      <c r="C15" s="3"/>
      <c r="D15" s="3"/>
      <c r="E15" s="3"/>
      <c r="F15" s="2"/>
      <c r="G15" s="2"/>
      <c r="H15" s="2"/>
      <c r="I15" s="2">
        <v>60.910600000000002</v>
      </c>
      <c r="J15" s="2">
        <v>330</v>
      </c>
      <c r="K15" s="2">
        <v>62.147199999999998</v>
      </c>
      <c r="L15" s="2">
        <v>298</v>
      </c>
      <c r="M15" s="2">
        <v>111.9834</v>
      </c>
      <c r="N15" s="2">
        <v>24</v>
      </c>
      <c r="O15" s="2">
        <v>112.9808</v>
      </c>
      <c r="P15" s="2">
        <v>20</v>
      </c>
      <c r="Q15" s="2">
        <v>90.987099999999998</v>
      </c>
      <c r="R15" s="2">
        <v>8</v>
      </c>
      <c r="S15" s="2">
        <v>92.925399999999996</v>
      </c>
      <c r="T15" s="2">
        <v>15</v>
      </c>
      <c r="U15" s="2">
        <v>0.90442100000000003</v>
      </c>
      <c r="V15" s="2">
        <v>14</v>
      </c>
      <c r="W15" s="2">
        <v>2015</v>
      </c>
    </row>
    <row r="16" spans="1:23" ht="15.75" customHeight="1" x14ac:dyDescent="0.4">
      <c r="A16" s="2" t="s">
        <v>158</v>
      </c>
      <c r="B16" s="2">
        <v>3</v>
      </c>
      <c r="C16" s="3"/>
      <c r="D16" s="2"/>
      <c r="E16" s="2"/>
      <c r="F16" s="2"/>
      <c r="G16" s="2"/>
      <c r="H16" s="2"/>
      <c r="I16" s="2">
        <v>62.660200000000003</v>
      </c>
      <c r="J16" s="2">
        <v>286</v>
      </c>
      <c r="K16" s="2">
        <v>62.177300000000002</v>
      </c>
      <c r="L16" s="2">
        <v>296</v>
      </c>
      <c r="M16" s="2">
        <v>109.56440000000001</v>
      </c>
      <c r="N16" s="2">
        <v>38</v>
      </c>
      <c r="O16" s="2">
        <v>114.8484</v>
      </c>
      <c r="P16" s="2">
        <v>13</v>
      </c>
      <c r="Q16" s="2">
        <v>95.708500000000001</v>
      </c>
      <c r="R16" s="2">
        <v>41</v>
      </c>
      <c r="S16" s="2">
        <v>94.519000000000005</v>
      </c>
      <c r="T16" s="2">
        <v>33</v>
      </c>
      <c r="U16" s="2">
        <v>0.90381299999999998</v>
      </c>
      <c r="V16" s="2">
        <v>15</v>
      </c>
      <c r="W16" s="2">
        <v>2015</v>
      </c>
    </row>
    <row r="17" spans="1:23" ht="15.75" customHeight="1" x14ac:dyDescent="0.4">
      <c r="A17" s="2" t="s">
        <v>168</v>
      </c>
      <c r="B17" s="2">
        <v>4</v>
      </c>
      <c r="C17" s="3"/>
      <c r="D17" s="3"/>
      <c r="E17" s="2"/>
      <c r="F17" s="2"/>
      <c r="G17" s="2"/>
      <c r="H17" s="2"/>
      <c r="I17" s="2">
        <v>69.453699999999998</v>
      </c>
      <c r="J17" s="2">
        <v>15</v>
      </c>
      <c r="K17" s="2">
        <v>69.958100000000002</v>
      </c>
      <c r="L17" s="2">
        <v>10</v>
      </c>
      <c r="M17" s="2">
        <v>111.20740000000001</v>
      </c>
      <c r="N17" s="2">
        <v>27</v>
      </c>
      <c r="O17" s="2">
        <v>115.2564</v>
      </c>
      <c r="P17" s="2">
        <v>12</v>
      </c>
      <c r="Q17" s="2">
        <v>98.121600000000001</v>
      </c>
      <c r="R17" s="2">
        <v>87</v>
      </c>
      <c r="S17" s="2">
        <v>95.036600000000007</v>
      </c>
      <c r="T17" s="2">
        <v>45</v>
      </c>
      <c r="U17" s="2">
        <v>0.90188199999999996</v>
      </c>
      <c r="V17" s="2">
        <v>16</v>
      </c>
      <c r="W17" s="2">
        <v>2015</v>
      </c>
    </row>
    <row r="18" spans="1:23" ht="15.75" customHeight="1" x14ac:dyDescent="0.4">
      <c r="A18" s="2" t="s">
        <v>58</v>
      </c>
      <c r="B18" s="2">
        <v>7</v>
      </c>
      <c r="C18" s="3"/>
      <c r="D18" s="3"/>
      <c r="E18" s="3"/>
      <c r="F18" s="3"/>
      <c r="G18" s="3"/>
      <c r="H18" s="2"/>
      <c r="I18" s="2">
        <v>63.132599999999996</v>
      </c>
      <c r="J18" s="2">
        <v>267</v>
      </c>
      <c r="K18" s="2">
        <v>63.700499999999998</v>
      </c>
      <c r="L18" s="2">
        <v>235</v>
      </c>
      <c r="M18" s="2">
        <v>110.8472</v>
      </c>
      <c r="N18" s="2">
        <v>29</v>
      </c>
      <c r="O18" s="2">
        <v>114.1116</v>
      </c>
      <c r="P18" s="2">
        <v>14</v>
      </c>
      <c r="Q18" s="2">
        <v>97.901899999999998</v>
      </c>
      <c r="R18" s="2">
        <v>83</v>
      </c>
      <c r="S18" s="2">
        <v>96.071799999999996</v>
      </c>
      <c r="T18" s="2">
        <v>53</v>
      </c>
      <c r="U18" s="2">
        <v>0.87856699999999999</v>
      </c>
      <c r="V18" s="2">
        <v>17</v>
      </c>
      <c r="W18" s="2">
        <v>2015</v>
      </c>
    </row>
    <row r="19" spans="1:23" ht="15.75" customHeight="1" x14ac:dyDescent="0.4">
      <c r="A19" s="2" t="s">
        <v>86</v>
      </c>
      <c r="B19" s="2">
        <v>4</v>
      </c>
      <c r="C19" s="3"/>
      <c r="D19" s="2"/>
      <c r="E19" s="2"/>
      <c r="F19" s="2"/>
      <c r="G19" s="2"/>
      <c r="H19" s="2"/>
      <c r="I19" s="2">
        <v>66.242000000000004</v>
      </c>
      <c r="J19" s="2">
        <v>105</v>
      </c>
      <c r="K19" s="2">
        <v>65.4983</v>
      </c>
      <c r="L19" s="2">
        <v>136</v>
      </c>
      <c r="M19" s="2">
        <v>103.4782</v>
      </c>
      <c r="N19" s="2">
        <v>139</v>
      </c>
      <c r="O19" s="2">
        <v>105.8796</v>
      </c>
      <c r="P19" s="2">
        <v>95</v>
      </c>
      <c r="Q19" s="2">
        <v>89.928200000000004</v>
      </c>
      <c r="R19" s="2">
        <v>6</v>
      </c>
      <c r="S19" s="2">
        <v>89.357799999999997</v>
      </c>
      <c r="T19" s="2">
        <v>6</v>
      </c>
      <c r="U19" s="2">
        <v>0.87555799999999995</v>
      </c>
      <c r="V19" s="2">
        <v>18</v>
      </c>
      <c r="W19" s="2">
        <v>2015</v>
      </c>
    </row>
    <row r="20" spans="1:23" ht="15.75" customHeight="1" x14ac:dyDescent="0.4">
      <c r="A20" s="2" t="s">
        <v>140</v>
      </c>
      <c r="B20" s="2">
        <v>6</v>
      </c>
      <c r="C20" s="2"/>
      <c r="D20" s="2"/>
      <c r="E20" s="2"/>
      <c r="F20" s="2"/>
      <c r="G20" s="2"/>
      <c r="H20" s="2"/>
      <c r="I20" s="2">
        <v>62.933100000000003</v>
      </c>
      <c r="J20" s="2">
        <v>275</v>
      </c>
      <c r="K20" s="2">
        <v>63.799599999999998</v>
      </c>
      <c r="L20" s="2">
        <v>226</v>
      </c>
      <c r="M20" s="2">
        <v>109.9414</v>
      </c>
      <c r="N20" s="2">
        <v>33</v>
      </c>
      <c r="O20" s="2">
        <v>112.30929999999999</v>
      </c>
      <c r="P20" s="2">
        <v>24</v>
      </c>
      <c r="Q20" s="2">
        <v>94.651300000000006</v>
      </c>
      <c r="R20" s="2">
        <v>30</v>
      </c>
      <c r="S20" s="2">
        <v>94.944400000000002</v>
      </c>
      <c r="T20" s="2">
        <v>43</v>
      </c>
      <c r="U20" s="2">
        <v>0.87342600000000004</v>
      </c>
      <c r="V20" s="2">
        <v>19</v>
      </c>
      <c r="W20" s="2">
        <v>2015</v>
      </c>
    </row>
    <row r="21" spans="1:23" ht="15.75" customHeight="1" x14ac:dyDescent="0.4">
      <c r="A21" s="2" t="s">
        <v>67</v>
      </c>
      <c r="B21" s="2">
        <v>11</v>
      </c>
      <c r="C21" s="3"/>
      <c r="D21" s="2"/>
      <c r="E21" s="2"/>
      <c r="F21" s="2"/>
      <c r="G21" s="2"/>
      <c r="H21" s="2"/>
      <c r="I21" s="2">
        <v>63.084699999999998</v>
      </c>
      <c r="J21" s="2">
        <v>269</v>
      </c>
      <c r="K21" s="2">
        <v>62.279299999999999</v>
      </c>
      <c r="L21" s="2">
        <v>294</v>
      </c>
      <c r="M21" s="2">
        <v>106.4896</v>
      </c>
      <c r="N21" s="2">
        <v>77</v>
      </c>
      <c r="O21" s="2">
        <v>110.2882</v>
      </c>
      <c r="P21" s="2">
        <v>42</v>
      </c>
      <c r="Q21" s="2">
        <v>94.586500000000001</v>
      </c>
      <c r="R21" s="2">
        <v>28</v>
      </c>
      <c r="S21" s="2">
        <v>93.307100000000005</v>
      </c>
      <c r="T21" s="2">
        <v>19</v>
      </c>
      <c r="U21" s="2">
        <v>0.87245200000000001</v>
      </c>
      <c r="V21" s="2">
        <v>20</v>
      </c>
      <c r="W21" s="2">
        <v>2015</v>
      </c>
    </row>
    <row r="22" spans="1:23" ht="15.75" customHeight="1" x14ac:dyDescent="0.4">
      <c r="A22" s="2" t="s">
        <v>21</v>
      </c>
      <c r="B22" s="2">
        <v>10</v>
      </c>
      <c r="C22" s="3"/>
      <c r="D22" s="3"/>
      <c r="E22" s="2"/>
      <c r="F22" s="2"/>
      <c r="G22" s="2"/>
      <c r="H22" s="2"/>
      <c r="I22" s="2">
        <v>66.177800000000005</v>
      </c>
      <c r="J22" s="2">
        <v>108</v>
      </c>
      <c r="K22" s="2">
        <v>66.353399999999993</v>
      </c>
      <c r="L22" s="2">
        <v>96</v>
      </c>
      <c r="M22" s="2">
        <v>113.80029999999999</v>
      </c>
      <c r="N22" s="2">
        <v>14</v>
      </c>
      <c r="O22" s="2">
        <v>111.6073</v>
      </c>
      <c r="P22" s="2">
        <v>29</v>
      </c>
      <c r="Q22" s="2">
        <v>94.655000000000001</v>
      </c>
      <c r="R22" s="2">
        <v>31</v>
      </c>
      <c r="S22" s="2">
        <v>94.745500000000007</v>
      </c>
      <c r="T22" s="2">
        <v>40</v>
      </c>
      <c r="U22" s="2">
        <v>0.86802500000000005</v>
      </c>
      <c r="V22" s="2">
        <v>21</v>
      </c>
      <c r="W22" s="2">
        <v>2015</v>
      </c>
    </row>
    <row r="23" spans="1:23" ht="15.75" customHeight="1" x14ac:dyDescent="0.4">
      <c r="A23" s="2" t="s">
        <v>62</v>
      </c>
      <c r="B23" s="2">
        <v>4</v>
      </c>
      <c r="C23" s="2"/>
      <c r="D23" s="2"/>
      <c r="E23" s="2"/>
      <c r="F23" s="2"/>
      <c r="G23" s="2"/>
      <c r="H23" s="2"/>
      <c r="I23" s="2">
        <v>64.674599999999998</v>
      </c>
      <c r="J23" s="2">
        <v>180</v>
      </c>
      <c r="K23" s="2">
        <v>64.438999999999993</v>
      </c>
      <c r="L23" s="2">
        <v>187</v>
      </c>
      <c r="M23" s="2">
        <v>107.5475</v>
      </c>
      <c r="N23" s="2">
        <v>59</v>
      </c>
      <c r="O23" s="2">
        <v>110.29600000000001</v>
      </c>
      <c r="P23" s="2">
        <v>41</v>
      </c>
      <c r="Q23" s="2">
        <v>98.203100000000006</v>
      </c>
      <c r="R23" s="2">
        <v>89</v>
      </c>
      <c r="S23" s="2">
        <v>93.704999999999998</v>
      </c>
      <c r="T23" s="2">
        <v>25</v>
      </c>
      <c r="U23" s="2">
        <v>0.86699899999999996</v>
      </c>
      <c r="V23" s="2">
        <v>22</v>
      </c>
      <c r="W23" s="2">
        <v>2015</v>
      </c>
    </row>
    <row r="24" spans="1:23" ht="15.75" customHeight="1" x14ac:dyDescent="0.4">
      <c r="A24" s="2" t="s">
        <v>18</v>
      </c>
      <c r="B24" s="2">
        <v>6</v>
      </c>
      <c r="C24" s="3"/>
      <c r="D24" s="3"/>
      <c r="E24" s="2"/>
      <c r="F24" s="2"/>
      <c r="G24" s="2"/>
      <c r="H24" s="2"/>
      <c r="I24" s="2">
        <v>64.577299999999994</v>
      </c>
      <c r="J24" s="2">
        <v>190</v>
      </c>
      <c r="K24" s="2">
        <v>63.750500000000002</v>
      </c>
      <c r="L24" s="2">
        <v>231</v>
      </c>
      <c r="M24" s="2">
        <v>106.5519</v>
      </c>
      <c r="N24" s="2">
        <v>74</v>
      </c>
      <c r="O24" s="2">
        <v>107.51990000000001</v>
      </c>
      <c r="P24" s="2">
        <v>67</v>
      </c>
      <c r="Q24" s="2">
        <v>93.881299999999996</v>
      </c>
      <c r="R24" s="2">
        <v>22</v>
      </c>
      <c r="S24" s="2">
        <v>91.659199999999998</v>
      </c>
      <c r="T24" s="2">
        <v>10</v>
      </c>
      <c r="U24" s="2">
        <v>0.862402</v>
      </c>
      <c r="V24" s="2">
        <v>23</v>
      </c>
      <c r="W24" s="2">
        <v>2015</v>
      </c>
    </row>
    <row r="25" spans="1:23" ht="15.75" customHeight="1" x14ac:dyDescent="0.4">
      <c r="A25" s="2" t="s">
        <v>84</v>
      </c>
      <c r="B25" s="2">
        <v>7</v>
      </c>
      <c r="C25" s="2"/>
      <c r="D25" s="2"/>
      <c r="E25" s="2"/>
      <c r="F25" s="2"/>
      <c r="G25" s="2"/>
      <c r="H25" s="2"/>
      <c r="I25" s="2">
        <v>64.412400000000005</v>
      </c>
      <c r="J25" s="2">
        <v>196</v>
      </c>
      <c r="K25" s="2">
        <v>64.261200000000002</v>
      </c>
      <c r="L25" s="2">
        <v>198</v>
      </c>
      <c r="M25" s="2">
        <v>107.03579999999999</v>
      </c>
      <c r="N25" s="2">
        <v>66</v>
      </c>
      <c r="O25" s="2">
        <v>111.1324</v>
      </c>
      <c r="P25" s="2">
        <v>35</v>
      </c>
      <c r="Q25" s="2">
        <v>96.219399999999993</v>
      </c>
      <c r="R25" s="2">
        <v>49</v>
      </c>
      <c r="S25" s="2">
        <v>94.942499999999995</v>
      </c>
      <c r="T25" s="2">
        <v>42</v>
      </c>
      <c r="U25" s="2">
        <v>0.85944500000000001</v>
      </c>
      <c r="V25" s="2">
        <v>24</v>
      </c>
      <c r="W25" s="2">
        <v>2015</v>
      </c>
    </row>
    <row r="26" spans="1:23" ht="15.75" customHeight="1" x14ac:dyDescent="0.4">
      <c r="A26" s="2" t="s">
        <v>229</v>
      </c>
      <c r="B26" s="2">
        <v>5</v>
      </c>
      <c r="C26" s="3"/>
      <c r="D26" s="3"/>
      <c r="E26" s="3"/>
      <c r="F26" s="3"/>
      <c r="G26" s="3"/>
      <c r="H26" s="3"/>
      <c r="I26" s="2">
        <v>69.122699999999995</v>
      </c>
      <c r="J26" s="2">
        <v>21</v>
      </c>
      <c r="K26" s="2">
        <v>68.691299999999998</v>
      </c>
      <c r="L26" s="2">
        <v>26</v>
      </c>
      <c r="M26" s="2">
        <v>106.45229999999999</v>
      </c>
      <c r="N26" s="2">
        <v>78</v>
      </c>
      <c r="O26" s="2">
        <v>111.2441</v>
      </c>
      <c r="P26" s="2">
        <v>33</v>
      </c>
      <c r="Q26" s="2">
        <v>96.350499999999997</v>
      </c>
      <c r="R26" s="2">
        <v>52</v>
      </c>
      <c r="S26" s="2">
        <v>95.414500000000004</v>
      </c>
      <c r="T26" s="2">
        <v>47</v>
      </c>
      <c r="U26" s="2">
        <v>0.85385999999999995</v>
      </c>
      <c r="V26" s="2">
        <v>25</v>
      </c>
      <c r="W26" s="2">
        <v>2015</v>
      </c>
    </row>
    <row r="27" spans="1:23" ht="15.75" customHeight="1" x14ac:dyDescent="0.4">
      <c r="A27" s="2" t="s">
        <v>50</v>
      </c>
      <c r="B27" s="2">
        <v>6</v>
      </c>
      <c r="C27" s="3"/>
      <c r="D27" s="2"/>
      <c r="E27" s="2"/>
      <c r="F27" s="2"/>
      <c r="G27" s="2"/>
      <c r="H27" s="2"/>
      <c r="I27" s="2">
        <v>66.031800000000004</v>
      </c>
      <c r="J27" s="2">
        <v>118</v>
      </c>
      <c r="K27" s="2">
        <v>65.672200000000004</v>
      </c>
      <c r="L27" s="2">
        <v>128</v>
      </c>
      <c r="M27" s="2">
        <v>109.35080000000001</v>
      </c>
      <c r="N27" s="2">
        <v>40</v>
      </c>
      <c r="O27" s="2">
        <v>111.88639999999999</v>
      </c>
      <c r="P27" s="2">
        <v>28</v>
      </c>
      <c r="Q27" s="2">
        <v>100.52809999999999</v>
      </c>
      <c r="R27" s="2">
        <v>135</v>
      </c>
      <c r="S27" s="2">
        <v>96.102900000000005</v>
      </c>
      <c r="T27" s="2">
        <v>55</v>
      </c>
      <c r="U27" s="2">
        <v>0.85179300000000002</v>
      </c>
      <c r="V27" s="2">
        <v>26</v>
      </c>
      <c r="W27" s="2">
        <v>2015</v>
      </c>
    </row>
    <row r="28" spans="1:23" ht="15.75" customHeight="1" x14ac:dyDescent="0.4">
      <c r="A28" s="2" t="s">
        <v>97</v>
      </c>
      <c r="B28" s="2">
        <v>8</v>
      </c>
      <c r="C28" s="2"/>
      <c r="D28" s="2"/>
      <c r="E28" s="2"/>
      <c r="F28" s="2"/>
      <c r="G28" s="2"/>
      <c r="H28" s="2"/>
      <c r="I28" s="2">
        <v>60.249400000000001</v>
      </c>
      <c r="J28" s="2">
        <v>339</v>
      </c>
      <c r="K28" s="2">
        <v>60.672400000000003</v>
      </c>
      <c r="L28" s="2">
        <v>334</v>
      </c>
      <c r="M28" s="2">
        <v>100.6559</v>
      </c>
      <c r="N28" s="2">
        <v>206</v>
      </c>
      <c r="O28" s="2">
        <v>102.4036</v>
      </c>
      <c r="P28" s="2">
        <v>161</v>
      </c>
      <c r="Q28" s="2">
        <v>87.338099999999997</v>
      </c>
      <c r="R28" s="2">
        <v>3</v>
      </c>
      <c r="S28" s="2">
        <v>88.254499999999993</v>
      </c>
      <c r="T28" s="2">
        <v>4</v>
      </c>
      <c r="U28" s="2">
        <v>0.84683799999999998</v>
      </c>
      <c r="V28" s="2">
        <v>27</v>
      </c>
      <c r="W28" s="2">
        <v>2015</v>
      </c>
    </row>
    <row r="29" spans="1:23" ht="12.3" x14ac:dyDescent="0.4">
      <c r="A29" s="2" t="s">
        <v>120</v>
      </c>
      <c r="B29" s="2">
        <v>6</v>
      </c>
      <c r="C29" s="2"/>
      <c r="D29" s="2"/>
      <c r="E29" s="2"/>
      <c r="F29" s="2"/>
      <c r="G29" s="2"/>
      <c r="H29" s="2"/>
      <c r="I29" s="2">
        <v>65.701300000000003</v>
      </c>
      <c r="J29" s="2">
        <v>131</v>
      </c>
      <c r="K29" s="2">
        <v>65.740300000000005</v>
      </c>
      <c r="L29" s="2">
        <v>125</v>
      </c>
      <c r="M29" s="2">
        <v>106.0313</v>
      </c>
      <c r="N29" s="2">
        <v>85</v>
      </c>
      <c r="O29" s="2">
        <v>110.7193</v>
      </c>
      <c r="P29" s="2">
        <v>38</v>
      </c>
      <c r="Q29" s="2">
        <v>99.275999999999996</v>
      </c>
      <c r="R29" s="2">
        <v>112</v>
      </c>
      <c r="S29" s="2">
        <v>95.485200000000006</v>
      </c>
      <c r="T29" s="2">
        <v>48</v>
      </c>
      <c r="U29" s="2">
        <v>0.84583600000000003</v>
      </c>
      <c r="V29" s="2">
        <v>28</v>
      </c>
      <c r="W29" s="2">
        <v>2015</v>
      </c>
    </row>
    <row r="30" spans="1:23" ht="12.3" x14ac:dyDescent="0.4">
      <c r="A30" s="2" t="s">
        <v>80</v>
      </c>
      <c r="B30" s="2">
        <v>5</v>
      </c>
      <c r="C30" s="2"/>
      <c r="D30" s="2"/>
      <c r="E30" s="2"/>
      <c r="F30" s="2"/>
      <c r="G30" s="2"/>
      <c r="H30" s="2"/>
      <c r="I30" s="2">
        <v>70.318100000000001</v>
      </c>
      <c r="J30" s="2">
        <v>10</v>
      </c>
      <c r="K30" s="2">
        <v>69.979600000000005</v>
      </c>
      <c r="L30" s="2">
        <v>9</v>
      </c>
      <c r="M30" s="2">
        <v>109.87739999999999</v>
      </c>
      <c r="N30" s="2">
        <v>36</v>
      </c>
      <c r="O30" s="2">
        <v>112.9615</v>
      </c>
      <c r="P30" s="2">
        <v>21</v>
      </c>
      <c r="Q30" s="2">
        <v>99.305800000000005</v>
      </c>
      <c r="R30" s="2">
        <v>114</v>
      </c>
      <c r="S30" s="2">
        <v>97.691800000000001</v>
      </c>
      <c r="T30" s="2">
        <v>81</v>
      </c>
      <c r="U30" s="2">
        <v>0.84159399999999995</v>
      </c>
      <c r="V30" s="2">
        <v>29</v>
      </c>
      <c r="W30" s="2">
        <v>2015</v>
      </c>
    </row>
    <row r="31" spans="1:23" ht="12.3" x14ac:dyDescent="0.4">
      <c r="A31" s="2" t="s">
        <v>137</v>
      </c>
      <c r="B31" s="2">
        <v>7</v>
      </c>
      <c r="C31" s="3"/>
      <c r="D31" s="2"/>
      <c r="E31" s="2"/>
      <c r="F31" s="2"/>
      <c r="G31" s="2"/>
      <c r="H31" s="2"/>
      <c r="I31" s="2">
        <v>66.6751</v>
      </c>
      <c r="J31" s="2">
        <v>87</v>
      </c>
      <c r="K31" s="2">
        <v>67.088300000000004</v>
      </c>
      <c r="L31" s="2">
        <v>64</v>
      </c>
      <c r="M31" s="2">
        <v>106.5592</v>
      </c>
      <c r="N31" s="2">
        <v>73</v>
      </c>
      <c r="O31" s="2">
        <v>108.11839999999999</v>
      </c>
      <c r="P31" s="2">
        <v>61</v>
      </c>
      <c r="Q31" s="2">
        <v>96.571399999999997</v>
      </c>
      <c r="R31" s="2">
        <v>59</v>
      </c>
      <c r="S31" s="2">
        <v>93.600399999999993</v>
      </c>
      <c r="T31" s="2">
        <v>23</v>
      </c>
      <c r="U31" s="2">
        <v>0.83999800000000002</v>
      </c>
      <c r="V31" s="2">
        <v>30</v>
      </c>
      <c r="W31" s="2">
        <v>2015</v>
      </c>
    </row>
    <row r="32" spans="1:23" ht="12.3" x14ac:dyDescent="0.4">
      <c r="A32" s="2" t="s">
        <v>96</v>
      </c>
      <c r="B32" s="2">
        <v>11</v>
      </c>
      <c r="C32" s="3"/>
      <c r="D32" s="3"/>
      <c r="E32" s="2"/>
      <c r="F32" s="2"/>
      <c r="G32" s="2"/>
      <c r="H32" s="2"/>
      <c r="I32" s="2">
        <v>69.656400000000005</v>
      </c>
      <c r="J32" s="2">
        <v>14</v>
      </c>
      <c r="K32" s="2">
        <v>70.376199999999997</v>
      </c>
      <c r="L32" s="2">
        <v>6</v>
      </c>
      <c r="M32" s="2">
        <v>116.02849999999999</v>
      </c>
      <c r="N32" s="2">
        <v>7</v>
      </c>
      <c r="O32" s="2">
        <v>116.7226</v>
      </c>
      <c r="P32" s="2">
        <v>9</v>
      </c>
      <c r="Q32" s="2">
        <v>102.9773</v>
      </c>
      <c r="R32" s="2">
        <v>187</v>
      </c>
      <c r="S32" s="2">
        <v>101.07859999999999</v>
      </c>
      <c r="T32" s="2">
        <v>139</v>
      </c>
      <c r="U32" s="2">
        <v>0.83954799999999996</v>
      </c>
      <c r="V32" s="2">
        <v>31</v>
      </c>
      <c r="W32" s="2">
        <v>2015</v>
      </c>
    </row>
    <row r="33" spans="1:23" ht="12.3" x14ac:dyDescent="0.4">
      <c r="A33" s="2" t="s">
        <v>134</v>
      </c>
      <c r="B33" s="2">
        <v>10</v>
      </c>
      <c r="C33" s="2"/>
      <c r="D33" s="2"/>
      <c r="E33" s="2"/>
      <c r="F33" s="2"/>
      <c r="G33" s="2"/>
      <c r="H33" s="2"/>
      <c r="I33" s="2">
        <v>67.252700000000004</v>
      </c>
      <c r="J33" s="2">
        <v>69</v>
      </c>
      <c r="K33" s="2">
        <v>67.004800000000003</v>
      </c>
      <c r="L33" s="2">
        <v>68</v>
      </c>
      <c r="M33" s="2">
        <v>117.1584</v>
      </c>
      <c r="N33" s="2">
        <v>5</v>
      </c>
      <c r="O33" s="2">
        <v>118.4924</v>
      </c>
      <c r="P33" s="2">
        <v>8</v>
      </c>
      <c r="Q33" s="2">
        <v>102.4216</v>
      </c>
      <c r="R33" s="2">
        <v>179</v>
      </c>
      <c r="S33" s="2">
        <v>103.107</v>
      </c>
      <c r="T33" s="2">
        <v>181</v>
      </c>
      <c r="U33" s="2">
        <v>0.83194000000000001</v>
      </c>
      <c r="V33" s="2">
        <v>32</v>
      </c>
      <c r="W33" s="2">
        <v>2015</v>
      </c>
    </row>
    <row r="34" spans="1:23" ht="12.3" x14ac:dyDescent="0.4">
      <c r="A34" s="2" t="s">
        <v>36</v>
      </c>
      <c r="B34" s="2">
        <v>4</v>
      </c>
      <c r="C34" s="3"/>
      <c r="D34" s="2"/>
      <c r="E34" s="2"/>
      <c r="F34" s="2"/>
      <c r="G34" s="2"/>
      <c r="H34" s="2"/>
      <c r="I34" s="2">
        <v>64.756799999999998</v>
      </c>
      <c r="J34" s="2">
        <v>176</v>
      </c>
      <c r="K34" s="2">
        <v>64.447199999999995</v>
      </c>
      <c r="L34" s="2">
        <v>184</v>
      </c>
      <c r="M34" s="2">
        <v>106.60509999999999</v>
      </c>
      <c r="N34" s="2">
        <v>70</v>
      </c>
      <c r="O34" s="2">
        <v>108.5398</v>
      </c>
      <c r="P34" s="2">
        <v>56</v>
      </c>
      <c r="Q34" s="2">
        <v>97.330200000000005</v>
      </c>
      <c r="R34" s="2">
        <v>74</v>
      </c>
      <c r="S34" s="2">
        <v>94.622900000000001</v>
      </c>
      <c r="T34" s="2">
        <v>36</v>
      </c>
      <c r="U34" s="2">
        <v>0.82892100000000002</v>
      </c>
      <c r="V34" s="2">
        <v>33</v>
      </c>
      <c r="W34" s="2">
        <v>2015</v>
      </c>
    </row>
    <row r="35" spans="1:23" ht="12.3" x14ac:dyDescent="0.4">
      <c r="A35" s="2" t="s">
        <v>34</v>
      </c>
      <c r="B35" s="2">
        <v>8</v>
      </c>
      <c r="C35" s="3"/>
      <c r="D35" s="2"/>
      <c r="E35" s="2"/>
      <c r="F35" s="2"/>
      <c r="G35" s="2"/>
      <c r="H35" s="2"/>
      <c r="I35" s="2">
        <v>59.401299999999999</v>
      </c>
      <c r="J35" s="2">
        <v>343</v>
      </c>
      <c r="K35" s="2">
        <v>59.9908</v>
      </c>
      <c r="L35" s="2">
        <v>341</v>
      </c>
      <c r="M35" s="2">
        <v>104.0583</v>
      </c>
      <c r="N35" s="2">
        <v>123</v>
      </c>
      <c r="O35" s="2">
        <v>106.6968</v>
      </c>
      <c r="P35" s="2">
        <v>76</v>
      </c>
      <c r="Q35" s="2">
        <v>92.421599999999998</v>
      </c>
      <c r="R35" s="2">
        <v>13</v>
      </c>
      <c r="S35" s="2">
        <v>93.2851</v>
      </c>
      <c r="T35" s="2">
        <v>18</v>
      </c>
      <c r="U35" s="2">
        <v>0.82416299999999998</v>
      </c>
      <c r="V35" s="2">
        <v>34</v>
      </c>
      <c r="W35" s="2">
        <v>2015</v>
      </c>
    </row>
    <row r="36" spans="1:23" ht="12.3" x14ac:dyDescent="0.4">
      <c r="A36" s="2" t="s">
        <v>282</v>
      </c>
      <c r="B36" s="2">
        <v>12</v>
      </c>
      <c r="C36" s="2"/>
      <c r="D36" s="2"/>
      <c r="E36" s="2"/>
      <c r="F36" s="2"/>
      <c r="G36" s="2"/>
      <c r="H36" s="2"/>
      <c r="I36" s="2">
        <v>67.862300000000005</v>
      </c>
      <c r="J36" s="2">
        <v>47</v>
      </c>
      <c r="K36" s="2">
        <v>66.766599999999997</v>
      </c>
      <c r="L36" s="2">
        <v>75</v>
      </c>
      <c r="M36" s="2">
        <v>115.7403</v>
      </c>
      <c r="N36" s="2">
        <v>10</v>
      </c>
      <c r="O36" s="2">
        <v>112.9876</v>
      </c>
      <c r="P36" s="2">
        <v>19</v>
      </c>
      <c r="Q36" s="2">
        <v>96.518699999999995</v>
      </c>
      <c r="R36" s="2">
        <v>57</v>
      </c>
      <c r="S36" s="2">
        <v>99.130899999999997</v>
      </c>
      <c r="T36" s="2">
        <v>103</v>
      </c>
      <c r="U36" s="2">
        <v>0.81826299999999996</v>
      </c>
      <c r="V36" s="2">
        <v>35</v>
      </c>
      <c r="W36" s="2">
        <v>2015</v>
      </c>
    </row>
    <row r="37" spans="1:23" ht="12.3" x14ac:dyDescent="0.4">
      <c r="A37" s="2" t="s">
        <v>19</v>
      </c>
      <c r="B37" s="2">
        <v>10</v>
      </c>
      <c r="C37" s="2"/>
      <c r="D37" s="2"/>
      <c r="E37" s="2"/>
      <c r="F37" s="2"/>
      <c r="G37" s="2"/>
      <c r="H37" s="2"/>
      <c r="I37" s="2">
        <v>64.773700000000005</v>
      </c>
      <c r="J37" s="2">
        <v>173</v>
      </c>
      <c r="K37" s="2">
        <v>64.1785</v>
      </c>
      <c r="L37" s="2">
        <v>201</v>
      </c>
      <c r="M37" s="2">
        <v>103.2958</v>
      </c>
      <c r="N37" s="2">
        <v>144</v>
      </c>
      <c r="O37" s="2">
        <v>107.01519999999999</v>
      </c>
      <c r="P37" s="2">
        <v>74</v>
      </c>
      <c r="Q37" s="2">
        <v>96.905600000000007</v>
      </c>
      <c r="R37" s="2">
        <v>67</v>
      </c>
      <c r="S37" s="2">
        <v>93.9191</v>
      </c>
      <c r="T37" s="2">
        <v>28</v>
      </c>
      <c r="U37" s="2">
        <v>0.81775100000000001</v>
      </c>
      <c r="V37" s="2">
        <v>36</v>
      </c>
      <c r="W37" s="2">
        <v>2015</v>
      </c>
    </row>
    <row r="38" spans="1:23" ht="12.3" x14ac:dyDescent="0.4">
      <c r="A38" s="2" t="s">
        <v>72</v>
      </c>
      <c r="B38" s="2">
        <v>9</v>
      </c>
      <c r="C38" s="3"/>
      <c r="D38" s="3"/>
      <c r="E38" s="2"/>
      <c r="F38" s="2"/>
      <c r="G38" s="2"/>
      <c r="H38" s="2"/>
      <c r="I38" s="2">
        <v>64.140100000000004</v>
      </c>
      <c r="J38" s="2">
        <v>214</v>
      </c>
      <c r="K38" s="2">
        <v>63.2804</v>
      </c>
      <c r="L38" s="2">
        <v>259</v>
      </c>
      <c r="M38" s="2">
        <v>103.2058</v>
      </c>
      <c r="N38" s="2">
        <v>146</v>
      </c>
      <c r="O38" s="2">
        <v>109.4165</v>
      </c>
      <c r="P38" s="2">
        <v>49</v>
      </c>
      <c r="Q38" s="2">
        <v>97.563699999999997</v>
      </c>
      <c r="R38" s="2">
        <v>78</v>
      </c>
      <c r="S38" s="2">
        <v>96.230599999999995</v>
      </c>
      <c r="T38" s="2">
        <v>58</v>
      </c>
      <c r="U38" s="2">
        <v>0.81408400000000003</v>
      </c>
      <c r="V38" s="2">
        <v>37</v>
      </c>
      <c r="W38" s="2">
        <v>2015</v>
      </c>
    </row>
    <row r="39" spans="1:23" ht="12.3" x14ac:dyDescent="0.4">
      <c r="A39" s="2" t="s">
        <v>55</v>
      </c>
      <c r="B39" s="2">
        <v>8</v>
      </c>
      <c r="C39" s="2"/>
      <c r="D39" s="2"/>
      <c r="E39" s="2"/>
      <c r="F39" s="2"/>
      <c r="G39" s="2"/>
      <c r="H39" s="2"/>
      <c r="I39" s="2">
        <v>64.474100000000007</v>
      </c>
      <c r="J39" s="2">
        <v>193</v>
      </c>
      <c r="K39" s="2">
        <v>64.434399999999997</v>
      </c>
      <c r="L39" s="2">
        <v>189</v>
      </c>
      <c r="M39" s="2">
        <v>108.15179999999999</v>
      </c>
      <c r="N39" s="2">
        <v>54</v>
      </c>
      <c r="O39" s="2">
        <v>111.4712</v>
      </c>
      <c r="P39" s="2">
        <v>30</v>
      </c>
      <c r="Q39" s="2">
        <v>101.0564</v>
      </c>
      <c r="R39" s="2">
        <v>148</v>
      </c>
      <c r="S39" s="2">
        <v>98.203000000000003</v>
      </c>
      <c r="T39" s="2">
        <v>89</v>
      </c>
      <c r="U39" s="2">
        <v>0.81113400000000002</v>
      </c>
      <c r="V39" s="2">
        <v>38</v>
      </c>
      <c r="W39" s="2">
        <v>2015</v>
      </c>
    </row>
    <row r="40" spans="1:23" ht="12.3" x14ac:dyDescent="0.4">
      <c r="A40" s="2" t="s">
        <v>212</v>
      </c>
      <c r="B40" s="2">
        <v>11</v>
      </c>
      <c r="C40" s="3"/>
      <c r="D40" s="2"/>
      <c r="E40" s="2"/>
      <c r="F40" s="2"/>
      <c r="G40" s="2"/>
      <c r="H40" s="2"/>
      <c r="I40" s="2">
        <v>62.3307</v>
      </c>
      <c r="J40" s="2">
        <v>295</v>
      </c>
      <c r="K40" s="2">
        <v>63.736899999999999</v>
      </c>
      <c r="L40" s="2">
        <v>232</v>
      </c>
      <c r="M40" s="2">
        <v>109.92400000000001</v>
      </c>
      <c r="N40" s="2">
        <v>34</v>
      </c>
      <c r="O40" s="2">
        <v>109.42149999999999</v>
      </c>
      <c r="P40" s="2">
        <v>48</v>
      </c>
      <c r="Q40" s="2">
        <v>95.963899999999995</v>
      </c>
      <c r="R40" s="2">
        <v>45</v>
      </c>
      <c r="S40" s="2">
        <v>96.506699999999995</v>
      </c>
      <c r="T40" s="2">
        <v>64</v>
      </c>
      <c r="U40" s="2">
        <v>0.80912499999999998</v>
      </c>
      <c r="V40" s="2">
        <v>39</v>
      </c>
      <c r="W40" s="2">
        <v>2015</v>
      </c>
    </row>
    <row r="41" spans="1:23" ht="12.3" x14ac:dyDescent="0.4">
      <c r="A41" s="2" t="s">
        <v>64</v>
      </c>
      <c r="B41" s="2">
        <v>11</v>
      </c>
      <c r="C41" s="2"/>
      <c r="D41" s="2"/>
      <c r="E41" s="2"/>
      <c r="F41" s="2"/>
      <c r="G41" s="2"/>
      <c r="H41" s="2"/>
      <c r="I41" s="2">
        <v>64.366</v>
      </c>
      <c r="J41" s="2">
        <v>199</v>
      </c>
      <c r="K41" s="2">
        <v>63.979500000000002</v>
      </c>
      <c r="L41" s="2">
        <v>214</v>
      </c>
      <c r="M41" s="2">
        <v>105.5587</v>
      </c>
      <c r="N41" s="2">
        <v>93</v>
      </c>
      <c r="O41" s="2">
        <v>107.1481</v>
      </c>
      <c r="P41" s="2">
        <v>73</v>
      </c>
      <c r="Q41" s="2">
        <v>94.128699999999995</v>
      </c>
      <c r="R41" s="2">
        <v>24</v>
      </c>
      <c r="S41" s="2">
        <v>94.681200000000004</v>
      </c>
      <c r="T41" s="2">
        <v>38</v>
      </c>
      <c r="U41" s="2">
        <v>0.80573099999999998</v>
      </c>
      <c r="V41" s="2">
        <v>40</v>
      </c>
      <c r="W41" s="2">
        <v>2015</v>
      </c>
    </row>
    <row r="42" spans="1:23" ht="12.3" x14ac:dyDescent="0.4">
      <c r="A42" s="2" t="s">
        <v>65</v>
      </c>
      <c r="B42" s="2">
        <v>11</v>
      </c>
      <c r="C42" s="2"/>
      <c r="D42" s="2"/>
      <c r="E42" s="2"/>
      <c r="F42" s="2"/>
      <c r="G42" s="2"/>
      <c r="H42" s="2"/>
      <c r="I42" s="2">
        <v>67.521600000000007</v>
      </c>
      <c r="J42" s="2">
        <v>60</v>
      </c>
      <c r="K42" s="2">
        <v>66.040800000000004</v>
      </c>
      <c r="L42" s="2">
        <v>111</v>
      </c>
      <c r="M42" s="2">
        <v>105.51690000000001</v>
      </c>
      <c r="N42" s="2">
        <v>95</v>
      </c>
      <c r="O42" s="2">
        <v>110.1957</v>
      </c>
      <c r="P42" s="2">
        <v>45</v>
      </c>
      <c r="Q42" s="2">
        <v>100.3759</v>
      </c>
      <c r="R42" s="2">
        <v>132</v>
      </c>
      <c r="S42" s="2">
        <v>97.382400000000004</v>
      </c>
      <c r="T42" s="2">
        <v>76</v>
      </c>
      <c r="U42" s="2">
        <v>0.80557999999999996</v>
      </c>
      <c r="V42" s="2">
        <v>41</v>
      </c>
      <c r="W42" s="2">
        <v>2015</v>
      </c>
    </row>
    <row r="43" spans="1:23" ht="12.3" x14ac:dyDescent="0.4">
      <c r="A43" s="2" t="s">
        <v>102</v>
      </c>
      <c r="B43" s="2">
        <v>9</v>
      </c>
      <c r="C43" s="2"/>
      <c r="D43" s="2"/>
      <c r="E43" s="2"/>
      <c r="F43" s="2"/>
      <c r="G43" s="2"/>
      <c r="H43" s="2"/>
      <c r="I43" s="2">
        <v>67.391999999999996</v>
      </c>
      <c r="J43" s="2">
        <v>64</v>
      </c>
      <c r="K43" s="2">
        <v>67.1036</v>
      </c>
      <c r="L43" s="2">
        <v>61</v>
      </c>
      <c r="M43" s="2">
        <v>104.3664</v>
      </c>
      <c r="N43" s="2">
        <v>117</v>
      </c>
      <c r="O43" s="2">
        <v>108.0677</v>
      </c>
      <c r="P43" s="2">
        <v>62</v>
      </c>
      <c r="Q43" s="2">
        <v>99.385199999999998</v>
      </c>
      <c r="R43" s="2">
        <v>115</v>
      </c>
      <c r="S43" s="2">
        <v>95.694500000000005</v>
      </c>
      <c r="T43" s="2">
        <v>51</v>
      </c>
      <c r="U43" s="2">
        <v>0.801925</v>
      </c>
      <c r="V43" s="2">
        <v>42</v>
      </c>
      <c r="W43" s="2">
        <v>2015</v>
      </c>
    </row>
    <row r="44" spans="1:23" ht="12.3" x14ac:dyDescent="0.4">
      <c r="A44" s="2" t="s">
        <v>85</v>
      </c>
      <c r="B44" s="2">
        <v>9</v>
      </c>
      <c r="C44" s="2"/>
      <c r="D44" s="2"/>
      <c r="E44" s="2"/>
      <c r="F44" s="2"/>
      <c r="G44" s="2"/>
      <c r="H44" s="2"/>
      <c r="I44" s="2">
        <v>69.757999999999996</v>
      </c>
      <c r="J44" s="2">
        <v>13</v>
      </c>
      <c r="K44" s="2">
        <v>69.774799999999999</v>
      </c>
      <c r="L44" s="2">
        <v>13</v>
      </c>
      <c r="M44" s="2">
        <v>103.49469999999999</v>
      </c>
      <c r="N44" s="2">
        <v>138</v>
      </c>
      <c r="O44" s="2">
        <v>106.8287</v>
      </c>
      <c r="P44" s="2">
        <v>75</v>
      </c>
      <c r="Q44" s="2">
        <v>95.167500000000004</v>
      </c>
      <c r="R44" s="2">
        <v>36</v>
      </c>
      <c r="S44" s="2">
        <v>94.665899999999993</v>
      </c>
      <c r="T44" s="2">
        <v>37</v>
      </c>
      <c r="U44" s="2">
        <v>0.80059899999999995</v>
      </c>
      <c r="V44" s="2">
        <v>43</v>
      </c>
      <c r="W44" s="2">
        <v>2015</v>
      </c>
    </row>
    <row r="45" spans="1:23" ht="12.3" x14ac:dyDescent="0.4">
      <c r="A45" s="2" t="s">
        <v>51</v>
      </c>
      <c r="B45" s="2">
        <v>11</v>
      </c>
      <c r="C45" s="2"/>
      <c r="D45" s="2"/>
      <c r="E45" s="2"/>
      <c r="F45" s="2"/>
      <c r="G45" s="2"/>
      <c r="H45" s="2"/>
      <c r="I45" s="2">
        <v>66.566199999999995</v>
      </c>
      <c r="J45" s="2">
        <v>92</v>
      </c>
      <c r="K45" s="2">
        <v>66.4054</v>
      </c>
      <c r="L45" s="2">
        <v>94</v>
      </c>
      <c r="M45" s="2">
        <v>108.54</v>
      </c>
      <c r="N45" s="2">
        <v>50</v>
      </c>
      <c r="O45" s="2">
        <v>112.9358</v>
      </c>
      <c r="P45" s="2">
        <v>22</v>
      </c>
      <c r="Q45" s="2">
        <v>100.5981</v>
      </c>
      <c r="R45" s="2">
        <v>137</v>
      </c>
      <c r="S45" s="2">
        <v>100.13460000000001</v>
      </c>
      <c r="T45" s="2">
        <v>125</v>
      </c>
      <c r="U45" s="2">
        <v>0.79955399999999999</v>
      </c>
      <c r="V45" s="2">
        <v>44</v>
      </c>
      <c r="W45" s="2">
        <v>2015</v>
      </c>
    </row>
    <row r="46" spans="1:23" ht="12.3" x14ac:dyDescent="0.4">
      <c r="A46" s="2" t="s">
        <v>37</v>
      </c>
      <c r="B46" s="2"/>
      <c r="C46" s="3"/>
      <c r="D46" s="2"/>
      <c r="E46" s="2"/>
      <c r="F46" s="2"/>
      <c r="G46" s="2"/>
      <c r="H46" s="2"/>
      <c r="I46" s="2">
        <v>62.8063</v>
      </c>
      <c r="J46" s="2">
        <v>280</v>
      </c>
      <c r="K46" s="2">
        <v>62.878300000000003</v>
      </c>
      <c r="L46" s="2">
        <v>273</v>
      </c>
      <c r="M46" s="2">
        <v>101.3845</v>
      </c>
      <c r="N46" s="2">
        <v>187</v>
      </c>
      <c r="O46" s="2">
        <v>103.38549999999999</v>
      </c>
      <c r="P46" s="2">
        <v>142</v>
      </c>
      <c r="Q46" s="2">
        <v>94.7196</v>
      </c>
      <c r="R46" s="2">
        <v>32</v>
      </c>
      <c r="S46" s="2">
        <v>91.701700000000002</v>
      </c>
      <c r="T46" s="2">
        <v>11</v>
      </c>
      <c r="U46" s="2">
        <v>0.79884999999999995</v>
      </c>
      <c r="V46" s="2">
        <v>45</v>
      </c>
      <c r="W46" s="2">
        <v>2015</v>
      </c>
    </row>
    <row r="47" spans="1:23" ht="12.3" x14ac:dyDescent="0.4">
      <c r="A47" s="2" t="s">
        <v>41</v>
      </c>
      <c r="B47" s="2">
        <v>8</v>
      </c>
      <c r="C47" s="2"/>
      <c r="D47" s="2"/>
      <c r="E47" s="2"/>
      <c r="F47" s="2"/>
      <c r="G47" s="2"/>
      <c r="H47" s="2"/>
      <c r="I47" s="2">
        <v>67.776600000000002</v>
      </c>
      <c r="J47" s="2">
        <v>50</v>
      </c>
      <c r="K47" s="2">
        <v>66.543999999999997</v>
      </c>
      <c r="L47" s="2">
        <v>87</v>
      </c>
      <c r="M47" s="2">
        <v>108.9756</v>
      </c>
      <c r="N47" s="2">
        <v>44</v>
      </c>
      <c r="O47" s="2">
        <v>113.3464</v>
      </c>
      <c r="P47" s="2">
        <v>16</v>
      </c>
      <c r="Q47" s="2">
        <v>103.4173</v>
      </c>
      <c r="R47" s="2">
        <v>198</v>
      </c>
      <c r="S47" s="2">
        <v>100.6238</v>
      </c>
      <c r="T47" s="2">
        <v>134</v>
      </c>
      <c r="U47" s="2">
        <v>0.79724899999999999</v>
      </c>
      <c r="V47" s="2">
        <v>46</v>
      </c>
      <c r="W47" s="2">
        <v>2015</v>
      </c>
    </row>
    <row r="48" spans="1:23" ht="12.3" x14ac:dyDescent="0.4">
      <c r="A48" s="2" t="s">
        <v>111</v>
      </c>
      <c r="B48" s="2"/>
      <c r="C48" s="2"/>
      <c r="D48" s="2"/>
      <c r="E48" s="2"/>
      <c r="F48" s="2"/>
      <c r="G48" s="2"/>
      <c r="H48" s="2"/>
      <c r="I48" s="2">
        <v>62.686100000000003</v>
      </c>
      <c r="J48" s="2">
        <v>285</v>
      </c>
      <c r="K48" s="2">
        <v>63.442599999999999</v>
      </c>
      <c r="L48" s="2">
        <v>252</v>
      </c>
      <c r="M48" s="2">
        <v>108.7739</v>
      </c>
      <c r="N48" s="2">
        <v>46</v>
      </c>
      <c r="O48" s="2">
        <v>112.3048</v>
      </c>
      <c r="P48" s="2">
        <v>25</v>
      </c>
      <c r="Q48" s="2">
        <v>100.07250000000001</v>
      </c>
      <c r="R48" s="2">
        <v>124</v>
      </c>
      <c r="S48" s="2">
        <v>99.723500000000001</v>
      </c>
      <c r="T48" s="2">
        <v>113</v>
      </c>
      <c r="U48" s="2">
        <v>0.796794</v>
      </c>
      <c r="V48" s="2">
        <v>47</v>
      </c>
      <c r="W48" s="2">
        <v>2015</v>
      </c>
    </row>
    <row r="49" spans="1:23" ht="12.3" x14ac:dyDescent="0.4">
      <c r="A49" s="2" t="s">
        <v>52</v>
      </c>
      <c r="B49" s="2"/>
      <c r="C49" s="2"/>
      <c r="D49" s="2"/>
      <c r="E49" s="2"/>
      <c r="F49" s="2"/>
      <c r="G49" s="2"/>
      <c r="H49" s="2"/>
      <c r="I49" s="2">
        <v>65.590900000000005</v>
      </c>
      <c r="J49" s="2">
        <v>139</v>
      </c>
      <c r="K49" s="2">
        <v>65.329700000000003</v>
      </c>
      <c r="L49" s="2">
        <v>144</v>
      </c>
      <c r="M49" s="2">
        <v>108.6934</v>
      </c>
      <c r="N49" s="2">
        <v>47</v>
      </c>
      <c r="O49" s="2">
        <v>111.0924</v>
      </c>
      <c r="P49" s="2">
        <v>36</v>
      </c>
      <c r="Q49" s="2">
        <v>101.3027</v>
      </c>
      <c r="R49" s="2">
        <v>156</v>
      </c>
      <c r="S49" s="2">
        <v>99.250799999999998</v>
      </c>
      <c r="T49" s="2">
        <v>107</v>
      </c>
      <c r="U49" s="2">
        <v>0.78519300000000003</v>
      </c>
      <c r="V49" s="2">
        <v>48</v>
      </c>
      <c r="W49" s="2">
        <v>2015</v>
      </c>
    </row>
    <row r="50" spans="1:23" ht="12.3" x14ac:dyDescent="0.4">
      <c r="A50" s="2" t="s">
        <v>121</v>
      </c>
      <c r="B50" s="2">
        <v>9</v>
      </c>
      <c r="C50" s="2"/>
      <c r="D50" s="2"/>
      <c r="E50" s="2"/>
      <c r="F50" s="2"/>
      <c r="G50" s="2"/>
      <c r="H50" s="2"/>
      <c r="I50" s="2">
        <v>65.047399999999996</v>
      </c>
      <c r="J50" s="2">
        <v>159</v>
      </c>
      <c r="K50" s="2">
        <v>64.540499999999994</v>
      </c>
      <c r="L50" s="2">
        <v>180</v>
      </c>
      <c r="M50" s="2">
        <v>106.5732</v>
      </c>
      <c r="N50" s="2">
        <v>71</v>
      </c>
      <c r="O50" s="2">
        <v>108.4853</v>
      </c>
      <c r="P50" s="2">
        <v>57</v>
      </c>
      <c r="Q50" s="2">
        <v>98.530299999999997</v>
      </c>
      <c r="R50" s="2">
        <v>95</v>
      </c>
      <c r="S50" s="2">
        <v>97.056399999999996</v>
      </c>
      <c r="T50" s="2">
        <v>69</v>
      </c>
      <c r="U50" s="2">
        <v>0.78248499999999999</v>
      </c>
      <c r="V50" s="2">
        <v>49</v>
      </c>
      <c r="W50" s="2">
        <v>2015</v>
      </c>
    </row>
    <row r="51" spans="1:23" ht="12.3" x14ac:dyDescent="0.4">
      <c r="A51" s="2" t="s">
        <v>248</v>
      </c>
      <c r="B51" s="2"/>
      <c r="C51" s="2"/>
      <c r="D51" s="2"/>
      <c r="E51" s="2"/>
      <c r="F51" s="2"/>
      <c r="G51" s="2"/>
      <c r="H51" s="2"/>
      <c r="I51" s="2">
        <v>64.2</v>
      </c>
      <c r="J51" s="2">
        <v>210</v>
      </c>
      <c r="K51" s="2">
        <v>63.987400000000001</v>
      </c>
      <c r="L51" s="2">
        <v>213</v>
      </c>
      <c r="M51" s="2">
        <v>104.0296</v>
      </c>
      <c r="N51" s="2">
        <v>125</v>
      </c>
      <c r="O51" s="2">
        <v>105.8927</v>
      </c>
      <c r="P51" s="2">
        <v>94</v>
      </c>
      <c r="Q51" s="2">
        <v>96.528499999999994</v>
      </c>
      <c r="R51" s="2">
        <v>58</v>
      </c>
      <c r="S51" s="2">
        <v>94.817599999999999</v>
      </c>
      <c r="T51" s="2">
        <v>41</v>
      </c>
      <c r="U51" s="2">
        <v>0.78081500000000004</v>
      </c>
      <c r="V51" s="2">
        <v>50</v>
      </c>
      <c r="W51" s="2">
        <v>2015</v>
      </c>
    </row>
    <row r="52" spans="1:23" ht="12.3" x14ac:dyDescent="0.4">
      <c r="A52" s="2" t="s">
        <v>100</v>
      </c>
      <c r="B52" s="2"/>
      <c r="C52" s="2"/>
      <c r="D52" s="2"/>
      <c r="E52" s="2"/>
      <c r="F52" s="2"/>
      <c r="G52" s="2"/>
      <c r="H52" s="2"/>
      <c r="I52" s="2">
        <v>61.409500000000001</v>
      </c>
      <c r="J52" s="2">
        <v>318</v>
      </c>
      <c r="K52" s="2">
        <v>61.720599999999997</v>
      </c>
      <c r="L52" s="2">
        <v>311</v>
      </c>
      <c r="M52" s="2">
        <v>104.7623</v>
      </c>
      <c r="N52" s="2">
        <v>111</v>
      </c>
      <c r="O52" s="2">
        <v>106.01390000000001</v>
      </c>
      <c r="P52" s="2">
        <v>89</v>
      </c>
      <c r="Q52" s="2">
        <v>96.719200000000001</v>
      </c>
      <c r="R52" s="2">
        <v>63</v>
      </c>
      <c r="S52" s="2">
        <v>94.947100000000006</v>
      </c>
      <c r="T52" s="2">
        <v>44</v>
      </c>
      <c r="U52" s="2">
        <v>0.78037999999999996</v>
      </c>
      <c r="V52" s="2">
        <v>51</v>
      </c>
      <c r="W52" s="2">
        <v>2015</v>
      </c>
    </row>
    <row r="53" spans="1:23" ht="12.3" x14ac:dyDescent="0.4">
      <c r="A53" s="2" t="s">
        <v>60</v>
      </c>
      <c r="B53" s="2"/>
      <c r="C53" s="2"/>
      <c r="D53" s="2"/>
      <c r="E53" s="2"/>
      <c r="F53" s="2"/>
      <c r="G53" s="2"/>
      <c r="H53" s="2"/>
      <c r="I53" s="2">
        <v>62.518900000000002</v>
      </c>
      <c r="J53" s="2">
        <v>289</v>
      </c>
      <c r="K53" s="2">
        <v>62.515999999999998</v>
      </c>
      <c r="L53" s="2">
        <v>284</v>
      </c>
      <c r="M53" s="2">
        <v>107.6332</v>
      </c>
      <c r="N53" s="2">
        <v>56</v>
      </c>
      <c r="O53" s="2">
        <v>109.23050000000001</v>
      </c>
      <c r="P53" s="2">
        <v>51</v>
      </c>
      <c r="Q53" s="2">
        <v>99.189499999999995</v>
      </c>
      <c r="R53" s="2">
        <v>107</v>
      </c>
      <c r="S53" s="2">
        <v>98.026499999999999</v>
      </c>
      <c r="T53" s="2">
        <v>88</v>
      </c>
      <c r="U53" s="2">
        <v>0.77635600000000005</v>
      </c>
      <c r="V53" s="2">
        <v>52</v>
      </c>
      <c r="W53" s="2">
        <v>2015</v>
      </c>
    </row>
    <row r="54" spans="1:23" ht="12.3" x14ac:dyDescent="0.4">
      <c r="A54" s="2" t="s">
        <v>40</v>
      </c>
      <c r="B54" s="2">
        <v>10</v>
      </c>
      <c r="C54" s="3"/>
      <c r="D54" s="3"/>
      <c r="E54" s="3"/>
      <c r="F54" s="2"/>
      <c r="G54" s="2"/>
      <c r="H54" s="2"/>
      <c r="I54" s="2">
        <v>66.840699999999998</v>
      </c>
      <c r="J54" s="2">
        <v>80</v>
      </c>
      <c r="K54" s="2">
        <v>66.5749</v>
      </c>
      <c r="L54" s="2">
        <v>84</v>
      </c>
      <c r="M54" s="2">
        <v>115.3436</v>
      </c>
      <c r="N54" s="2">
        <v>12</v>
      </c>
      <c r="O54" s="2">
        <v>116.60550000000001</v>
      </c>
      <c r="P54" s="2">
        <v>10</v>
      </c>
      <c r="Q54" s="2">
        <v>106.7491</v>
      </c>
      <c r="R54" s="2">
        <v>279</v>
      </c>
      <c r="S54" s="2">
        <v>104.6528</v>
      </c>
      <c r="T54" s="2">
        <v>216</v>
      </c>
      <c r="U54" s="2">
        <v>0.77620900000000004</v>
      </c>
      <c r="V54" s="2">
        <v>53</v>
      </c>
      <c r="W54" s="2">
        <v>2015</v>
      </c>
    </row>
    <row r="55" spans="1:23" ht="12.3" x14ac:dyDescent="0.4">
      <c r="A55" s="2" t="s">
        <v>213</v>
      </c>
      <c r="B55" s="2">
        <v>12</v>
      </c>
      <c r="C55" s="2"/>
      <c r="D55" s="2"/>
      <c r="E55" s="2"/>
      <c r="F55" s="2"/>
      <c r="G55" s="2"/>
      <c r="H55" s="2"/>
      <c r="I55" s="2">
        <v>68.8703</v>
      </c>
      <c r="J55" s="2">
        <v>24</v>
      </c>
      <c r="K55" s="2">
        <v>69.258899999999997</v>
      </c>
      <c r="L55" s="2">
        <v>20</v>
      </c>
      <c r="M55" s="2">
        <v>108.9585</v>
      </c>
      <c r="N55" s="2">
        <v>45</v>
      </c>
      <c r="O55" s="2">
        <v>109.75109999999999</v>
      </c>
      <c r="P55" s="2">
        <v>47</v>
      </c>
      <c r="Q55" s="2">
        <v>99.291399999999996</v>
      </c>
      <c r="R55" s="2">
        <v>113</v>
      </c>
      <c r="S55" s="2">
        <v>98.515000000000001</v>
      </c>
      <c r="T55" s="2">
        <v>94</v>
      </c>
      <c r="U55" s="2">
        <v>0.77592300000000003</v>
      </c>
      <c r="V55" s="2">
        <v>54</v>
      </c>
      <c r="W55" s="2">
        <v>2015</v>
      </c>
    </row>
    <row r="56" spans="1:23" ht="12.3" x14ac:dyDescent="0.4">
      <c r="A56" s="2" t="s">
        <v>258</v>
      </c>
      <c r="B56" s="2"/>
      <c r="C56" s="3"/>
      <c r="D56" s="2"/>
      <c r="E56" s="2"/>
      <c r="F56" s="2"/>
      <c r="G56" s="2"/>
      <c r="H56" s="2"/>
      <c r="I56" s="2">
        <v>65.533100000000005</v>
      </c>
      <c r="J56" s="2">
        <v>140</v>
      </c>
      <c r="K56" s="2">
        <v>65.833500000000001</v>
      </c>
      <c r="L56" s="2">
        <v>120</v>
      </c>
      <c r="M56" s="2">
        <v>100.7038</v>
      </c>
      <c r="N56" s="2">
        <v>203</v>
      </c>
      <c r="O56" s="2">
        <v>101.3689</v>
      </c>
      <c r="P56" s="2">
        <v>186</v>
      </c>
      <c r="Q56" s="2">
        <v>90.558000000000007</v>
      </c>
      <c r="R56" s="2">
        <v>7</v>
      </c>
      <c r="S56" s="2">
        <v>91.155000000000001</v>
      </c>
      <c r="T56" s="2">
        <v>9</v>
      </c>
      <c r="U56" s="2">
        <v>0.77230299999999996</v>
      </c>
      <c r="V56" s="2">
        <v>55</v>
      </c>
      <c r="W56" s="2">
        <v>2015</v>
      </c>
    </row>
    <row r="57" spans="1:23" ht="12.3" x14ac:dyDescent="0.4">
      <c r="A57" s="2" t="s">
        <v>88</v>
      </c>
      <c r="B57" s="2"/>
      <c r="C57" s="2"/>
      <c r="D57" s="2"/>
      <c r="E57" s="2"/>
      <c r="F57" s="2"/>
      <c r="G57" s="2"/>
      <c r="H57" s="2"/>
      <c r="I57" s="2">
        <v>65.075599999999994</v>
      </c>
      <c r="J57" s="2">
        <v>155</v>
      </c>
      <c r="K57" s="2">
        <v>65.760000000000005</v>
      </c>
      <c r="L57" s="2">
        <v>123</v>
      </c>
      <c r="M57" s="2">
        <v>99.273899999999998</v>
      </c>
      <c r="N57" s="2">
        <v>236</v>
      </c>
      <c r="O57" s="2">
        <v>101.9924</v>
      </c>
      <c r="P57" s="2">
        <v>172</v>
      </c>
      <c r="Q57" s="2">
        <v>92.648099999999999</v>
      </c>
      <c r="R57" s="2">
        <v>15</v>
      </c>
      <c r="S57" s="2">
        <v>91.746300000000005</v>
      </c>
      <c r="T57" s="2">
        <v>12</v>
      </c>
      <c r="U57" s="2">
        <v>0.77162799999999998</v>
      </c>
      <c r="V57" s="2">
        <v>56</v>
      </c>
      <c r="W57" s="2">
        <v>2015</v>
      </c>
    </row>
    <row r="58" spans="1:23" ht="12.3" x14ac:dyDescent="0.4">
      <c r="A58" s="2" t="s">
        <v>142</v>
      </c>
      <c r="B58" s="2"/>
      <c r="C58" s="2"/>
      <c r="D58" s="2"/>
      <c r="E58" s="2"/>
      <c r="F58" s="2"/>
      <c r="G58" s="2"/>
      <c r="H58" s="2"/>
      <c r="I58" s="2">
        <v>64.674300000000002</v>
      </c>
      <c r="J58" s="2">
        <v>181</v>
      </c>
      <c r="K58" s="2">
        <v>64.320700000000002</v>
      </c>
      <c r="L58" s="2">
        <v>196</v>
      </c>
      <c r="M58" s="2">
        <v>104.4496</v>
      </c>
      <c r="N58" s="2">
        <v>116</v>
      </c>
      <c r="O58" s="2">
        <v>105.9772</v>
      </c>
      <c r="P58" s="2">
        <v>91</v>
      </c>
      <c r="Q58" s="2">
        <v>95.657499999999999</v>
      </c>
      <c r="R58" s="2">
        <v>40</v>
      </c>
      <c r="S58" s="2">
        <v>95.607200000000006</v>
      </c>
      <c r="T58" s="2">
        <v>50</v>
      </c>
      <c r="U58" s="2">
        <v>0.76570499999999997</v>
      </c>
      <c r="V58" s="2">
        <v>57</v>
      </c>
      <c r="W58" s="2">
        <v>2015</v>
      </c>
    </row>
    <row r="59" spans="1:23" ht="12.3" x14ac:dyDescent="0.4">
      <c r="A59" s="2" t="s">
        <v>75</v>
      </c>
      <c r="B59" s="2"/>
      <c r="C59" s="2"/>
      <c r="D59" s="2"/>
      <c r="E59" s="2"/>
      <c r="F59" s="2"/>
      <c r="G59" s="2"/>
      <c r="H59" s="2"/>
      <c r="I59" s="2">
        <v>67.979299999999995</v>
      </c>
      <c r="J59" s="2">
        <v>44</v>
      </c>
      <c r="K59" s="2">
        <v>67.630600000000001</v>
      </c>
      <c r="L59" s="2">
        <v>46</v>
      </c>
      <c r="M59" s="2">
        <v>106.5629</v>
      </c>
      <c r="N59" s="2">
        <v>72</v>
      </c>
      <c r="O59" s="2">
        <v>110.2149</v>
      </c>
      <c r="P59" s="2">
        <v>44</v>
      </c>
      <c r="Q59" s="2">
        <v>99.699200000000005</v>
      </c>
      <c r="R59" s="2">
        <v>118</v>
      </c>
      <c r="S59" s="2">
        <v>99.758899999999997</v>
      </c>
      <c r="T59" s="2">
        <v>114</v>
      </c>
      <c r="U59" s="2">
        <v>0.75882899999999998</v>
      </c>
      <c r="V59" s="2">
        <v>58</v>
      </c>
      <c r="W59" s="2">
        <v>2015</v>
      </c>
    </row>
    <row r="60" spans="1:23" ht="12.3" x14ac:dyDescent="0.4">
      <c r="A60" s="2" t="s">
        <v>54</v>
      </c>
      <c r="B60" s="2"/>
      <c r="C60" s="3"/>
      <c r="D60" s="2"/>
      <c r="E60" s="2"/>
      <c r="F60" s="2"/>
      <c r="G60" s="2"/>
      <c r="H60" s="2"/>
      <c r="I60" s="2">
        <v>61.758699999999997</v>
      </c>
      <c r="J60" s="2">
        <v>311</v>
      </c>
      <c r="K60" s="2">
        <v>61.917200000000001</v>
      </c>
      <c r="L60" s="2">
        <v>303</v>
      </c>
      <c r="M60" s="2">
        <v>103.6451</v>
      </c>
      <c r="N60" s="2">
        <v>134</v>
      </c>
      <c r="O60" s="2">
        <v>105.9499</v>
      </c>
      <c r="P60" s="2">
        <v>92</v>
      </c>
      <c r="Q60" s="2">
        <v>96.214100000000002</v>
      </c>
      <c r="R60" s="2">
        <v>48</v>
      </c>
      <c r="S60" s="2">
        <v>96.102900000000005</v>
      </c>
      <c r="T60" s="2">
        <v>54</v>
      </c>
      <c r="U60" s="2">
        <v>0.75431999999999999</v>
      </c>
      <c r="V60" s="2">
        <v>59</v>
      </c>
      <c r="W60" s="2">
        <v>2015</v>
      </c>
    </row>
    <row r="61" spans="1:23" ht="12.3" x14ac:dyDescent="0.4">
      <c r="A61" s="2" t="s">
        <v>164</v>
      </c>
      <c r="B61" s="2"/>
      <c r="C61" s="2"/>
      <c r="D61" s="2"/>
      <c r="E61" s="2"/>
      <c r="F61" s="2"/>
      <c r="G61" s="2"/>
      <c r="H61" s="2"/>
      <c r="I61" s="2">
        <v>63.791400000000003</v>
      </c>
      <c r="J61" s="2">
        <v>240</v>
      </c>
      <c r="K61" s="2">
        <v>65.028300000000002</v>
      </c>
      <c r="L61" s="2">
        <v>154</v>
      </c>
      <c r="M61" s="2">
        <v>104.9824</v>
      </c>
      <c r="N61" s="2">
        <v>101</v>
      </c>
      <c r="O61" s="2">
        <v>106.33969999999999</v>
      </c>
      <c r="P61" s="2">
        <v>83</v>
      </c>
      <c r="Q61" s="2">
        <v>97.115200000000002</v>
      </c>
      <c r="R61" s="2">
        <v>72</v>
      </c>
      <c r="S61" s="2">
        <v>96.474000000000004</v>
      </c>
      <c r="T61" s="2">
        <v>63</v>
      </c>
      <c r="U61" s="2">
        <v>0.75393200000000005</v>
      </c>
      <c r="V61" s="2">
        <v>60</v>
      </c>
      <c r="W61" s="2">
        <v>2015</v>
      </c>
    </row>
    <row r="62" spans="1:23" ht="12.3" x14ac:dyDescent="0.4">
      <c r="A62" s="2" t="s">
        <v>49</v>
      </c>
      <c r="B62" s="2"/>
      <c r="C62" s="2"/>
      <c r="D62" s="2"/>
      <c r="E62" s="2"/>
      <c r="F62" s="2"/>
      <c r="G62" s="2"/>
      <c r="H62" s="2"/>
      <c r="I62" s="2">
        <v>62.840899999999998</v>
      </c>
      <c r="J62" s="2">
        <v>279</v>
      </c>
      <c r="K62" s="2">
        <v>62.148200000000003</v>
      </c>
      <c r="L62" s="2">
        <v>297</v>
      </c>
      <c r="M62" s="2">
        <v>104.92230000000001</v>
      </c>
      <c r="N62" s="2">
        <v>103</v>
      </c>
      <c r="O62" s="2">
        <v>108.2912</v>
      </c>
      <c r="P62" s="2">
        <v>60</v>
      </c>
      <c r="Q62" s="2">
        <v>101.6914</v>
      </c>
      <c r="R62" s="2">
        <v>164</v>
      </c>
      <c r="S62" s="2">
        <v>98.311300000000003</v>
      </c>
      <c r="T62" s="2">
        <v>93</v>
      </c>
      <c r="U62" s="2">
        <v>0.75247900000000001</v>
      </c>
      <c r="V62" s="2">
        <v>61</v>
      </c>
      <c r="W62" s="2">
        <v>2015</v>
      </c>
    </row>
    <row r="63" spans="1:23" ht="12.3" x14ac:dyDescent="0.4">
      <c r="A63" s="2" t="s">
        <v>23</v>
      </c>
      <c r="B63" s="2"/>
      <c r="C63" s="2"/>
      <c r="D63" s="2"/>
      <c r="E63" s="2"/>
      <c r="F63" s="2"/>
      <c r="G63" s="2"/>
      <c r="H63" s="2"/>
      <c r="I63" s="2">
        <v>66.059200000000004</v>
      </c>
      <c r="J63" s="2">
        <v>115</v>
      </c>
      <c r="K63" s="2">
        <v>66.563699999999997</v>
      </c>
      <c r="L63" s="2">
        <v>85</v>
      </c>
      <c r="M63" s="2">
        <v>101.3741</v>
      </c>
      <c r="N63" s="2">
        <v>188</v>
      </c>
      <c r="O63" s="2">
        <v>103.0368</v>
      </c>
      <c r="P63" s="2">
        <v>147</v>
      </c>
      <c r="Q63" s="2">
        <v>95.037300000000002</v>
      </c>
      <c r="R63" s="2">
        <v>34</v>
      </c>
      <c r="S63" s="2">
        <v>93.6083</v>
      </c>
      <c r="T63" s="2">
        <v>24</v>
      </c>
      <c r="U63" s="2">
        <v>0.75093699999999997</v>
      </c>
      <c r="V63" s="2">
        <v>62</v>
      </c>
      <c r="W63" s="2">
        <v>2015</v>
      </c>
    </row>
    <row r="64" spans="1:23" ht="12.3" x14ac:dyDescent="0.4">
      <c r="A64" s="2" t="s">
        <v>74</v>
      </c>
      <c r="B64" s="2">
        <v>13</v>
      </c>
      <c r="C64" s="2"/>
      <c r="D64" s="2"/>
      <c r="E64" s="2"/>
      <c r="F64" s="2"/>
      <c r="G64" s="2"/>
      <c r="H64" s="2"/>
      <c r="I64" s="2">
        <v>63.183</v>
      </c>
      <c r="J64" s="2">
        <v>264</v>
      </c>
      <c r="K64" s="2">
        <v>62.755800000000001</v>
      </c>
      <c r="L64" s="2">
        <v>275</v>
      </c>
      <c r="M64" s="2">
        <v>107.5521</v>
      </c>
      <c r="N64" s="2">
        <v>58</v>
      </c>
      <c r="O64" s="2">
        <v>103.7859</v>
      </c>
      <c r="P64" s="2">
        <v>129</v>
      </c>
      <c r="Q64" s="2">
        <v>93.935900000000004</v>
      </c>
      <c r="R64" s="2">
        <v>23</v>
      </c>
      <c r="S64" s="2">
        <v>94.3339</v>
      </c>
      <c r="T64" s="2">
        <v>31</v>
      </c>
      <c r="U64" s="2">
        <v>0.74990999999999997</v>
      </c>
      <c r="V64" s="2">
        <v>63</v>
      </c>
      <c r="W64" s="2">
        <v>2015</v>
      </c>
    </row>
    <row r="65" spans="1:23" ht="12.3" x14ac:dyDescent="0.4">
      <c r="A65" s="2" t="s">
        <v>190</v>
      </c>
      <c r="B65" s="2"/>
      <c r="C65" s="2"/>
      <c r="D65" s="2"/>
      <c r="E65" s="2"/>
      <c r="F65" s="2"/>
      <c r="G65" s="2"/>
      <c r="H65" s="2"/>
      <c r="I65" s="2">
        <v>61.014699999999998</v>
      </c>
      <c r="J65" s="2">
        <v>327</v>
      </c>
      <c r="K65" s="2">
        <v>60.412999999999997</v>
      </c>
      <c r="L65" s="2">
        <v>338</v>
      </c>
      <c r="M65" s="2">
        <v>106.5012</v>
      </c>
      <c r="N65" s="2">
        <v>75</v>
      </c>
      <c r="O65" s="2">
        <v>105.0117</v>
      </c>
      <c r="P65" s="2">
        <v>108</v>
      </c>
      <c r="Q65" s="2">
        <v>92.589100000000002</v>
      </c>
      <c r="R65" s="2">
        <v>14</v>
      </c>
      <c r="S65" s="2">
        <v>95.563599999999994</v>
      </c>
      <c r="T65" s="2">
        <v>49</v>
      </c>
      <c r="U65" s="2">
        <v>0.74729000000000001</v>
      </c>
      <c r="V65" s="2">
        <v>64</v>
      </c>
      <c r="W65" s="2">
        <v>2015</v>
      </c>
    </row>
    <row r="66" spans="1:23" ht="12.3" x14ac:dyDescent="0.4">
      <c r="A66" s="2" t="s">
        <v>44</v>
      </c>
      <c r="B66" s="2"/>
      <c r="C66" s="2"/>
      <c r="D66" s="2"/>
      <c r="E66" s="2"/>
      <c r="F66" s="2"/>
      <c r="G66" s="2"/>
      <c r="H66" s="2"/>
      <c r="I66" s="2">
        <v>65.145399999999995</v>
      </c>
      <c r="J66" s="2">
        <v>152</v>
      </c>
      <c r="K66" s="2">
        <v>65.150899999999993</v>
      </c>
      <c r="L66" s="2">
        <v>151</v>
      </c>
      <c r="M66" s="2">
        <v>105.23569999999999</v>
      </c>
      <c r="N66" s="2">
        <v>98</v>
      </c>
      <c r="O66" s="2">
        <v>104.0244</v>
      </c>
      <c r="P66" s="2">
        <v>122</v>
      </c>
      <c r="Q66" s="2">
        <v>96.927800000000005</v>
      </c>
      <c r="R66" s="2">
        <v>68</v>
      </c>
      <c r="S66" s="2">
        <v>94.691599999999994</v>
      </c>
      <c r="T66" s="2">
        <v>39</v>
      </c>
      <c r="U66" s="2">
        <v>0.74668299999999999</v>
      </c>
      <c r="V66" s="2">
        <v>65</v>
      </c>
      <c r="W66" s="2">
        <v>2015</v>
      </c>
    </row>
    <row r="67" spans="1:23" ht="12.3" x14ac:dyDescent="0.4">
      <c r="A67" s="2" t="s">
        <v>262</v>
      </c>
      <c r="B67" s="2"/>
      <c r="C67" s="2"/>
      <c r="D67" s="2"/>
      <c r="E67" s="2"/>
      <c r="F67" s="2"/>
      <c r="G67" s="2"/>
      <c r="H67" s="2"/>
      <c r="I67" s="2">
        <v>62.175199999999997</v>
      </c>
      <c r="J67" s="2">
        <v>299</v>
      </c>
      <c r="K67" s="2">
        <v>62.5505</v>
      </c>
      <c r="L67" s="2">
        <v>281</v>
      </c>
      <c r="M67" s="2">
        <v>109.16249999999999</v>
      </c>
      <c r="N67" s="2">
        <v>42</v>
      </c>
      <c r="O67" s="2">
        <v>108.5664</v>
      </c>
      <c r="P67" s="2">
        <v>55</v>
      </c>
      <c r="Q67" s="2">
        <v>100.6049</v>
      </c>
      <c r="R67" s="2">
        <v>138</v>
      </c>
      <c r="S67" s="2">
        <v>98.965000000000003</v>
      </c>
      <c r="T67" s="2">
        <v>99</v>
      </c>
      <c r="U67" s="2">
        <v>0.74361699999999997</v>
      </c>
      <c r="V67" s="2">
        <v>66</v>
      </c>
      <c r="W67" s="2">
        <v>2015</v>
      </c>
    </row>
    <row r="68" spans="1:23" ht="12.3" x14ac:dyDescent="0.4">
      <c r="A68" s="2" t="s">
        <v>17</v>
      </c>
      <c r="B68" s="2"/>
      <c r="C68" s="2"/>
      <c r="D68" s="2"/>
      <c r="E68" s="2"/>
      <c r="F68" s="2"/>
      <c r="G68" s="2"/>
      <c r="H68" s="2"/>
      <c r="I68" s="2">
        <v>65.131200000000007</v>
      </c>
      <c r="J68" s="2">
        <v>153</v>
      </c>
      <c r="K68" s="2">
        <v>64.378600000000006</v>
      </c>
      <c r="L68" s="2">
        <v>192</v>
      </c>
      <c r="M68" s="2">
        <v>99.167199999999994</v>
      </c>
      <c r="N68" s="2">
        <v>240</v>
      </c>
      <c r="O68" s="2">
        <v>102.9397</v>
      </c>
      <c r="P68" s="2">
        <v>149</v>
      </c>
      <c r="Q68" s="2">
        <v>96.281099999999995</v>
      </c>
      <c r="R68" s="2">
        <v>51</v>
      </c>
      <c r="S68" s="2">
        <v>93.880899999999997</v>
      </c>
      <c r="T68" s="2">
        <v>27</v>
      </c>
      <c r="U68" s="2">
        <v>0.74256500000000003</v>
      </c>
      <c r="V68" s="2">
        <v>67</v>
      </c>
      <c r="W68" s="2">
        <v>2015</v>
      </c>
    </row>
    <row r="69" spans="1:23" ht="12.3" x14ac:dyDescent="0.4">
      <c r="A69" s="2" t="s">
        <v>157</v>
      </c>
      <c r="B69" s="2"/>
      <c r="C69" s="2"/>
      <c r="D69" s="2"/>
      <c r="E69" s="2"/>
      <c r="F69" s="2"/>
      <c r="G69" s="2"/>
      <c r="H69" s="2"/>
      <c r="I69" s="2">
        <v>64.941800000000001</v>
      </c>
      <c r="J69" s="2">
        <v>163</v>
      </c>
      <c r="K69" s="2">
        <v>66.905199999999994</v>
      </c>
      <c r="L69" s="2">
        <v>73</v>
      </c>
      <c r="M69" s="2">
        <v>109.8995</v>
      </c>
      <c r="N69" s="2">
        <v>35</v>
      </c>
      <c r="O69" s="2">
        <v>108.97790000000001</v>
      </c>
      <c r="P69" s="2">
        <v>52</v>
      </c>
      <c r="Q69" s="2">
        <v>97.795199999999994</v>
      </c>
      <c r="R69" s="2">
        <v>82</v>
      </c>
      <c r="S69" s="2">
        <v>99.486999999999995</v>
      </c>
      <c r="T69" s="2">
        <v>110</v>
      </c>
      <c r="U69" s="2">
        <v>0.74036400000000002</v>
      </c>
      <c r="V69" s="2">
        <v>68</v>
      </c>
      <c r="W69" s="2">
        <v>2015</v>
      </c>
    </row>
    <row r="70" spans="1:23" ht="12.3" x14ac:dyDescent="0.4">
      <c r="A70" s="2" t="s">
        <v>236</v>
      </c>
      <c r="B70" s="2"/>
      <c r="C70" s="2"/>
      <c r="D70" s="2"/>
      <c r="E70" s="2"/>
      <c r="F70" s="2"/>
      <c r="G70" s="2"/>
      <c r="H70" s="2"/>
      <c r="I70" s="2">
        <v>64.586699999999993</v>
      </c>
      <c r="J70" s="2">
        <v>188</v>
      </c>
      <c r="K70" s="2">
        <v>65.216999999999999</v>
      </c>
      <c r="L70" s="2">
        <v>150</v>
      </c>
      <c r="M70" s="2">
        <v>104.2056</v>
      </c>
      <c r="N70" s="2">
        <v>120</v>
      </c>
      <c r="O70" s="2">
        <v>102.3317</v>
      </c>
      <c r="P70" s="2">
        <v>164</v>
      </c>
      <c r="Q70" s="2">
        <v>93.858699999999999</v>
      </c>
      <c r="R70" s="2">
        <v>21</v>
      </c>
      <c r="S70" s="2">
        <v>93.536100000000005</v>
      </c>
      <c r="T70" s="2">
        <v>22</v>
      </c>
      <c r="U70" s="2">
        <v>0.73760000000000003</v>
      </c>
      <c r="V70" s="2">
        <v>69</v>
      </c>
      <c r="W70" s="2">
        <v>2015</v>
      </c>
    </row>
    <row r="71" spans="1:23" ht="12.3" x14ac:dyDescent="0.4">
      <c r="A71" s="2" t="s">
        <v>99</v>
      </c>
      <c r="B71" s="2"/>
      <c r="C71" s="2"/>
      <c r="D71" s="2"/>
      <c r="E71" s="2"/>
      <c r="F71" s="2"/>
      <c r="G71" s="2"/>
      <c r="H71" s="2"/>
      <c r="I71" s="2">
        <v>66.0124</v>
      </c>
      <c r="J71" s="2">
        <v>119</v>
      </c>
      <c r="K71" s="2">
        <v>66.026700000000005</v>
      </c>
      <c r="L71" s="2">
        <v>112</v>
      </c>
      <c r="M71" s="2">
        <v>103.4195</v>
      </c>
      <c r="N71" s="2">
        <v>141</v>
      </c>
      <c r="O71" s="2">
        <v>107.3888</v>
      </c>
      <c r="P71" s="2">
        <v>69</v>
      </c>
      <c r="Q71" s="2">
        <v>99.225800000000007</v>
      </c>
      <c r="R71" s="2">
        <v>109</v>
      </c>
      <c r="S71" s="2">
        <v>98.223799999999997</v>
      </c>
      <c r="T71" s="2">
        <v>90</v>
      </c>
      <c r="U71" s="2">
        <v>0.73611700000000002</v>
      </c>
      <c r="V71" s="2">
        <v>70</v>
      </c>
      <c r="W71" s="2">
        <v>2015</v>
      </c>
    </row>
    <row r="72" spans="1:23" ht="12.3" x14ac:dyDescent="0.4">
      <c r="A72" s="2" t="s">
        <v>152</v>
      </c>
      <c r="B72" s="2">
        <v>14</v>
      </c>
      <c r="C72" s="2"/>
      <c r="D72" s="2"/>
      <c r="E72" s="2"/>
      <c r="F72" s="2"/>
      <c r="G72" s="2"/>
      <c r="H72" s="2"/>
      <c r="I72" s="2">
        <v>64.316800000000001</v>
      </c>
      <c r="J72" s="2">
        <v>203</v>
      </c>
      <c r="K72" s="2">
        <v>63.297199999999997</v>
      </c>
      <c r="L72" s="2">
        <v>258</v>
      </c>
      <c r="M72" s="2">
        <v>108.6194</v>
      </c>
      <c r="N72" s="2">
        <v>48</v>
      </c>
      <c r="O72" s="2">
        <v>108.4051</v>
      </c>
      <c r="P72" s="2">
        <v>58</v>
      </c>
      <c r="Q72" s="2">
        <v>95.783299999999997</v>
      </c>
      <c r="R72" s="2">
        <v>43</v>
      </c>
      <c r="S72" s="2">
        <v>99.227999999999994</v>
      </c>
      <c r="T72" s="2">
        <v>106</v>
      </c>
      <c r="U72" s="2">
        <v>0.73443199999999997</v>
      </c>
      <c r="V72" s="2">
        <v>71</v>
      </c>
      <c r="W72" s="2">
        <v>2015</v>
      </c>
    </row>
    <row r="73" spans="1:23" ht="12.3" x14ac:dyDescent="0.4">
      <c r="A73" s="2" t="s">
        <v>69</v>
      </c>
      <c r="B73" s="2"/>
      <c r="C73" s="2"/>
      <c r="D73" s="2"/>
      <c r="E73" s="2"/>
      <c r="F73" s="2"/>
      <c r="G73" s="2"/>
      <c r="H73" s="2"/>
      <c r="I73" s="2">
        <v>63.829900000000002</v>
      </c>
      <c r="J73" s="2">
        <v>236</v>
      </c>
      <c r="K73" s="2">
        <v>63.977499999999999</v>
      </c>
      <c r="L73" s="2">
        <v>215</v>
      </c>
      <c r="M73" s="2">
        <v>99.688800000000001</v>
      </c>
      <c r="N73" s="2">
        <v>226</v>
      </c>
      <c r="O73" s="2">
        <v>100.5658</v>
      </c>
      <c r="P73" s="2">
        <v>207</v>
      </c>
      <c r="Q73" s="2">
        <v>92.921899999999994</v>
      </c>
      <c r="R73" s="2">
        <v>17</v>
      </c>
      <c r="S73" s="2">
        <v>92.281800000000004</v>
      </c>
      <c r="T73" s="2">
        <v>14</v>
      </c>
      <c r="U73" s="2">
        <v>0.72881200000000002</v>
      </c>
      <c r="V73" s="2">
        <v>72</v>
      </c>
      <c r="W73" s="2">
        <v>2015</v>
      </c>
    </row>
    <row r="74" spans="1:23" ht="12.3" x14ac:dyDescent="0.4">
      <c r="A74" s="2" t="s">
        <v>181</v>
      </c>
      <c r="B74" s="2"/>
      <c r="C74" s="2"/>
      <c r="D74" s="2"/>
      <c r="E74" s="2"/>
      <c r="F74" s="2"/>
      <c r="G74" s="2"/>
      <c r="H74" s="2"/>
      <c r="I74" s="2">
        <v>66.733999999999995</v>
      </c>
      <c r="J74" s="2">
        <v>84</v>
      </c>
      <c r="K74" s="2">
        <v>66.650000000000006</v>
      </c>
      <c r="L74" s="2">
        <v>82</v>
      </c>
      <c r="M74" s="2">
        <v>116.02509999999999</v>
      </c>
      <c r="N74" s="2">
        <v>8</v>
      </c>
      <c r="O74" s="2">
        <v>113.0887</v>
      </c>
      <c r="P74" s="2">
        <v>17</v>
      </c>
      <c r="Q74" s="2">
        <v>100.83759999999999</v>
      </c>
      <c r="R74" s="2">
        <v>144</v>
      </c>
      <c r="S74" s="2">
        <v>104.0421</v>
      </c>
      <c r="T74" s="2">
        <v>203</v>
      </c>
      <c r="U74" s="2">
        <v>0.72288799999999998</v>
      </c>
      <c r="V74" s="2">
        <v>73</v>
      </c>
      <c r="W74" s="2">
        <v>2015</v>
      </c>
    </row>
    <row r="75" spans="1:23" ht="12.3" x14ac:dyDescent="0.4">
      <c r="A75" s="2" t="s">
        <v>160</v>
      </c>
      <c r="B75" s="2"/>
      <c r="C75" s="2"/>
      <c r="D75" s="2"/>
      <c r="E75" s="2"/>
      <c r="F75" s="2"/>
      <c r="G75" s="2"/>
      <c r="H75" s="2"/>
      <c r="I75" s="2">
        <v>61.818399999999997</v>
      </c>
      <c r="J75" s="2">
        <v>308</v>
      </c>
      <c r="K75" s="2">
        <v>62.4146</v>
      </c>
      <c r="L75" s="2">
        <v>289</v>
      </c>
      <c r="M75" s="2">
        <v>104.017</v>
      </c>
      <c r="N75" s="2">
        <v>126</v>
      </c>
      <c r="O75" s="2">
        <v>104.7351</v>
      </c>
      <c r="P75" s="2">
        <v>112</v>
      </c>
      <c r="Q75" s="2">
        <v>97.147000000000006</v>
      </c>
      <c r="R75" s="2">
        <v>73</v>
      </c>
      <c r="S75" s="2">
        <v>96.450199999999995</v>
      </c>
      <c r="T75" s="2">
        <v>62</v>
      </c>
      <c r="U75" s="2">
        <v>0.72064899999999998</v>
      </c>
      <c r="V75" s="2">
        <v>74</v>
      </c>
      <c r="W75" s="2">
        <v>2015</v>
      </c>
    </row>
    <row r="76" spans="1:23" ht="12.3" x14ac:dyDescent="0.4">
      <c r="A76" s="2" t="s">
        <v>232</v>
      </c>
      <c r="B76" s="2"/>
      <c r="C76" s="2"/>
      <c r="D76" s="2"/>
      <c r="E76" s="2"/>
      <c r="F76" s="2"/>
      <c r="G76" s="2"/>
      <c r="H76" s="2"/>
      <c r="I76" s="2">
        <v>63.314700000000002</v>
      </c>
      <c r="J76" s="2">
        <v>257</v>
      </c>
      <c r="K76" s="2">
        <v>61.851799999999997</v>
      </c>
      <c r="L76" s="2">
        <v>307</v>
      </c>
      <c r="M76" s="2">
        <v>104.9117</v>
      </c>
      <c r="N76" s="2">
        <v>105</v>
      </c>
      <c r="O76" s="2">
        <v>105.4472</v>
      </c>
      <c r="P76" s="2">
        <v>103</v>
      </c>
      <c r="Q76" s="2">
        <v>96.414100000000005</v>
      </c>
      <c r="R76" s="2">
        <v>56</v>
      </c>
      <c r="S76" s="2">
        <v>97.174599999999998</v>
      </c>
      <c r="T76" s="2">
        <v>74</v>
      </c>
      <c r="U76" s="2">
        <v>0.71901099999999996</v>
      </c>
      <c r="V76" s="2">
        <v>75</v>
      </c>
      <c r="W76" s="2">
        <v>2015</v>
      </c>
    </row>
    <row r="77" spans="1:23" ht="12.3" x14ac:dyDescent="0.4">
      <c r="A77" s="2" t="s">
        <v>94</v>
      </c>
      <c r="B77" s="2"/>
      <c r="C77" s="2"/>
      <c r="D77" s="2"/>
      <c r="E77" s="2"/>
      <c r="F77" s="2"/>
      <c r="G77" s="2"/>
      <c r="H77" s="2"/>
      <c r="I77" s="2">
        <v>67.734099999999998</v>
      </c>
      <c r="J77" s="2">
        <v>52</v>
      </c>
      <c r="K77" s="2">
        <v>67.543599999999998</v>
      </c>
      <c r="L77" s="2">
        <v>50</v>
      </c>
      <c r="M77" s="2">
        <v>106.70829999999999</v>
      </c>
      <c r="N77" s="2">
        <v>68</v>
      </c>
      <c r="O77" s="2">
        <v>104.68680000000001</v>
      </c>
      <c r="P77" s="2">
        <v>114</v>
      </c>
      <c r="Q77" s="2">
        <v>95.075199999999995</v>
      </c>
      <c r="R77" s="2">
        <v>35</v>
      </c>
      <c r="S77" s="2">
        <v>96.876800000000003</v>
      </c>
      <c r="T77" s="2">
        <v>66</v>
      </c>
      <c r="U77" s="2">
        <v>0.70922700000000005</v>
      </c>
      <c r="V77" s="2">
        <v>76</v>
      </c>
      <c r="W77" s="2">
        <v>2015</v>
      </c>
    </row>
    <row r="78" spans="1:23" ht="12.3" x14ac:dyDescent="0.4">
      <c r="A78" s="2" t="s">
        <v>154</v>
      </c>
      <c r="B78" s="2"/>
      <c r="C78" s="2"/>
      <c r="D78" s="2"/>
      <c r="E78" s="2"/>
      <c r="F78" s="2"/>
      <c r="G78" s="2"/>
      <c r="H78" s="2"/>
      <c r="I78" s="2">
        <v>60.5441</v>
      </c>
      <c r="J78" s="2">
        <v>335</v>
      </c>
      <c r="K78" s="2">
        <v>60.083500000000001</v>
      </c>
      <c r="L78" s="2">
        <v>340</v>
      </c>
      <c r="M78" s="2">
        <v>103.17359999999999</v>
      </c>
      <c r="N78" s="2">
        <v>148</v>
      </c>
      <c r="O78" s="2">
        <v>107.9328</v>
      </c>
      <c r="P78" s="2">
        <v>63</v>
      </c>
      <c r="Q78" s="2">
        <v>103.595</v>
      </c>
      <c r="R78" s="2">
        <v>200</v>
      </c>
      <c r="S78" s="2">
        <v>99.884799999999998</v>
      </c>
      <c r="T78" s="2">
        <v>117</v>
      </c>
      <c r="U78" s="2">
        <v>0.70912900000000001</v>
      </c>
      <c r="V78" s="2">
        <v>77</v>
      </c>
      <c r="W78" s="2">
        <v>2015</v>
      </c>
    </row>
    <row r="79" spans="1:23" ht="12.3" x14ac:dyDescent="0.4">
      <c r="A79" s="2" t="s">
        <v>255</v>
      </c>
      <c r="B79" s="2">
        <v>13</v>
      </c>
      <c r="C79" s="2"/>
      <c r="D79" s="2"/>
      <c r="E79" s="2"/>
      <c r="F79" s="2"/>
      <c r="G79" s="2"/>
      <c r="H79" s="2"/>
      <c r="I79" s="2">
        <v>61.022599999999997</v>
      </c>
      <c r="J79" s="2">
        <v>326</v>
      </c>
      <c r="K79" s="2">
        <v>61.493699999999997</v>
      </c>
      <c r="L79" s="2">
        <v>317</v>
      </c>
      <c r="M79" s="2">
        <v>101.7488</v>
      </c>
      <c r="N79" s="2">
        <v>181</v>
      </c>
      <c r="O79" s="2">
        <v>102.02209999999999</v>
      </c>
      <c r="P79" s="2">
        <v>170</v>
      </c>
      <c r="Q79" s="2">
        <v>93.631200000000007</v>
      </c>
      <c r="R79" s="2">
        <v>20</v>
      </c>
      <c r="S79" s="2">
        <v>94.544600000000003</v>
      </c>
      <c r="T79" s="2">
        <v>34</v>
      </c>
      <c r="U79" s="2">
        <v>0.70585900000000001</v>
      </c>
      <c r="V79" s="2">
        <v>78</v>
      </c>
      <c r="W79" s="2">
        <v>2015</v>
      </c>
    </row>
    <row r="80" spans="1:23" ht="12.3" x14ac:dyDescent="0.4">
      <c r="A80" s="2" t="s">
        <v>225</v>
      </c>
      <c r="B80" s="2"/>
      <c r="C80" s="2"/>
      <c r="D80" s="2"/>
      <c r="E80" s="2"/>
      <c r="F80" s="2"/>
      <c r="G80" s="2"/>
      <c r="H80" s="2"/>
      <c r="I80" s="2">
        <v>66.089299999999994</v>
      </c>
      <c r="J80" s="2">
        <v>112</v>
      </c>
      <c r="K80" s="2">
        <v>64.838099999999997</v>
      </c>
      <c r="L80" s="2">
        <v>162</v>
      </c>
      <c r="M80" s="2">
        <v>105.21729999999999</v>
      </c>
      <c r="N80" s="2">
        <v>99</v>
      </c>
      <c r="O80" s="2">
        <v>100.8698</v>
      </c>
      <c r="P80" s="2">
        <v>197</v>
      </c>
      <c r="Q80" s="2">
        <v>91.038600000000002</v>
      </c>
      <c r="R80" s="2">
        <v>9</v>
      </c>
      <c r="S80" s="2">
        <v>93.782700000000006</v>
      </c>
      <c r="T80" s="2">
        <v>26</v>
      </c>
      <c r="U80" s="2">
        <v>0.69799500000000003</v>
      </c>
      <c r="V80" s="2">
        <v>79</v>
      </c>
      <c r="W80" s="2">
        <v>2015</v>
      </c>
    </row>
    <row r="81" spans="1:23" ht="12.3" x14ac:dyDescent="0.4">
      <c r="A81" s="2" t="s">
        <v>46</v>
      </c>
      <c r="B81" s="2"/>
      <c r="C81" s="2"/>
      <c r="D81" s="2"/>
      <c r="E81" s="2"/>
      <c r="F81" s="2"/>
      <c r="G81" s="2"/>
      <c r="H81" s="2"/>
      <c r="I81" s="2">
        <v>61.058100000000003</v>
      </c>
      <c r="J81" s="2">
        <v>325</v>
      </c>
      <c r="K81" s="2">
        <v>60.982300000000002</v>
      </c>
      <c r="L81" s="2">
        <v>327</v>
      </c>
      <c r="M81" s="2">
        <v>108.5946</v>
      </c>
      <c r="N81" s="2">
        <v>49</v>
      </c>
      <c r="O81" s="2">
        <v>112.7343</v>
      </c>
      <c r="P81" s="2">
        <v>23</v>
      </c>
      <c r="Q81" s="2">
        <v>106.55200000000001</v>
      </c>
      <c r="R81" s="2">
        <v>275</v>
      </c>
      <c r="S81" s="2">
        <v>104.83759999999999</v>
      </c>
      <c r="T81" s="2">
        <v>218</v>
      </c>
      <c r="U81" s="2">
        <v>0.69743999999999995</v>
      </c>
      <c r="V81" s="2">
        <v>80</v>
      </c>
      <c r="W81" s="2">
        <v>2015</v>
      </c>
    </row>
    <row r="82" spans="1:23" ht="12.3" x14ac:dyDescent="0.4">
      <c r="A82" s="2" t="s">
        <v>148</v>
      </c>
      <c r="B82" s="2"/>
      <c r="C82" s="2"/>
      <c r="D82" s="2"/>
      <c r="E82" s="2"/>
      <c r="F82" s="2"/>
      <c r="G82" s="2"/>
      <c r="H82" s="2"/>
      <c r="I82" s="2">
        <v>63.071599999999997</v>
      </c>
      <c r="J82" s="2">
        <v>270</v>
      </c>
      <c r="K82" s="2">
        <v>62.5411</v>
      </c>
      <c r="L82" s="2">
        <v>283</v>
      </c>
      <c r="M82" s="2">
        <v>99.165199999999999</v>
      </c>
      <c r="N82" s="2">
        <v>242</v>
      </c>
      <c r="O82" s="2">
        <v>103.2577</v>
      </c>
      <c r="P82" s="2">
        <v>144</v>
      </c>
      <c r="Q82" s="2">
        <v>101.16970000000001</v>
      </c>
      <c r="R82" s="2">
        <v>152</v>
      </c>
      <c r="S82" s="2">
        <v>96.3249</v>
      </c>
      <c r="T82" s="2">
        <v>59</v>
      </c>
      <c r="U82" s="2">
        <v>0.68981700000000001</v>
      </c>
      <c r="V82" s="2">
        <v>81</v>
      </c>
      <c r="W82" s="2">
        <v>2015</v>
      </c>
    </row>
    <row r="83" spans="1:23" ht="12.3" x14ac:dyDescent="0.4">
      <c r="A83" s="2" t="s">
        <v>90</v>
      </c>
      <c r="B83" s="2"/>
      <c r="C83" s="2"/>
      <c r="D83" s="2"/>
      <c r="E83" s="2"/>
      <c r="F83" s="2"/>
      <c r="G83" s="2"/>
      <c r="H83" s="2"/>
      <c r="I83" s="2">
        <v>63.324399999999997</v>
      </c>
      <c r="J83" s="2">
        <v>255</v>
      </c>
      <c r="K83" s="2">
        <v>62.7592</v>
      </c>
      <c r="L83" s="2">
        <v>274</v>
      </c>
      <c r="M83" s="2">
        <v>104.5754</v>
      </c>
      <c r="N83" s="2">
        <v>115</v>
      </c>
      <c r="O83" s="2">
        <v>108.3368</v>
      </c>
      <c r="P83" s="2">
        <v>59</v>
      </c>
      <c r="Q83" s="2">
        <v>104.22320000000001</v>
      </c>
      <c r="R83" s="2">
        <v>217</v>
      </c>
      <c r="S83" s="2">
        <v>101.4216</v>
      </c>
      <c r="T83" s="2">
        <v>147</v>
      </c>
      <c r="U83" s="2">
        <v>0.68103400000000003</v>
      </c>
      <c r="V83" s="2">
        <v>82</v>
      </c>
      <c r="W83" s="2">
        <v>2015</v>
      </c>
    </row>
    <row r="84" spans="1:23" ht="12.3" x14ac:dyDescent="0.4">
      <c r="A84" s="2" t="s">
        <v>230</v>
      </c>
      <c r="B84" s="2"/>
      <c r="C84" s="2"/>
      <c r="D84" s="2"/>
      <c r="E84" s="2"/>
      <c r="F84" s="2"/>
      <c r="G84" s="2"/>
      <c r="H84" s="2"/>
      <c r="I84" s="2">
        <v>65.7316</v>
      </c>
      <c r="J84" s="2">
        <v>128</v>
      </c>
      <c r="K84" s="2">
        <v>65.895499999999998</v>
      </c>
      <c r="L84" s="2">
        <v>117</v>
      </c>
      <c r="M84" s="2">
        <v>99.882999999999996</v>
      </c>
      <c r="N84" s="2">
        <v>224</v>
      </c>
      <c r="O84" s="2">
        <v>102.2462</v>
      </c>
      <c r="P84" s="2">
        <v>167</v>
      </c>
      <c r="Q84" s="2">
        <v>98.815600000000003</v>
      </c>
      <c r="R84" s="2">
        <v>102</v>
      </c>
      <c r="S84" s="2">
        <v>95.785899999999998</v>
      </c>
      <c r="T84" s="2">
        <v>52</v>
      </c>
      <c r="U84" s="2">
        <v>0.67930500000000005</v>
      </c>
      <c r="V84" s="2">
        <v>83</v>
      </c>
      <c r="W84" s="2">
        <v>2015</v>
      </c>
    </row>
    <row r="85" spans="1:23" ht="12.3" x14ac:dyDescent="0.4">
      <c r="A85" s="2" t="s">
        <v>235</v>
      </c>
      <c r="B85" s="2"/>
      <c r="C85" s="2"/>
      <c r="D85" s="2"/>
      <c r="E85" s="2"/>
      <c r="F85" s="2"/>
      <c r="G85" s="2"/>
      <c r="H85" s="2"/>
      <c r="I85" s="2">
        <v>64.681600000000003</v>
      </c>
      <c r="J85" s="2">
        <v>179</v>
      </c>
      <c r="K85" s="2">
        <v>63.947200000000002</v>
      </c>
      <c r="L85" s="2">
        <v>218</v>
      </c>
      <c r="M85" s="2">
        <v>115.64409999999999</v>
      </c>
      <c r="N85" s="2">
        <v>11</v>
      </c>
      <c r="O85" s="2">
        <v>112.292</v>
      </c>
      <c r="P85" s="2">
        <v>26</v>
      </c>
      <c r="Q85" s="2">
        <v>104.133</v>
      </c>
      <c r="R85" s="2">
        <v>216</v>
      </c>
      <c r="S85" s="2">
        <v>105.2315</v>
      </c>
      <c r="T85" s="2">
        <v>227</v>
      </c>
      <c r="U85" s="2">
        <v>0.67848299999999995</v>
      </c>
      <c r="V85" s="2">
        <v>84</v>
      </c>
      <c r="W85" s="2">
        <v>2015</v>
      </c>
    </row>
    <row r="86" spans="1:23" ht="12.3" x14ac:dyDescent="0.4">
      <c r="A86" s="2" t="s">
        <v>71</v>
      </c>
      <c r="B86" s="2"/>
      <c r="C86" s="2"/>
      <c r="D86" s="2"/>
      <c r="E86" s="2"/>
      <c r="F86" s="2"/>
      <c r="G86" s="2"/>
      <c r="H86" s="2"/>
      <c r="I86" s="2">
        <v>65.653199999999998</v>
      </c>
      <c r="J86" s="2">
        <v>134</v>
      </c>
      <c r="K86" s="2">
        <v>66.528899999999993</v>
      </c>
      <c r="L86" s="2">
        <v>88</v>
      </c>
      <c r="M86" s="2">
        <v>101.75920000000001</v>
      </c>
      <c r="N86" s="2">
        <v>180</v>
      </c>
      <c r="O86" s="2">
        <v>103.45</v>
      </c>
      <c r="P86" s="2">
        <v>141</v>
      </c>
      <c r="Q86" s="2">
        <v>95.546999999999997</v>
      </c>
      <c r="R86" s="2">
        <v>38</v>
      </c>
      <c r="S86" s="2">
        <v>97.085400000000007</v>
      </c>
      <c r="T86" s="2">
        <v>70</v>
      </c>
      <c r="U86" s="2">
        <v>0.67485300000000004</v>
      </c>
      <c r="V86" s="2">
        <v>85</v>
      </c>
      <c r="W86" s="2">
        <v>2015</v>
      </c>
    </row>
    <row r="87" spans="1:23" ht="12.3" x14ac:dyDescent="0.4">
      <c r="A87" s="2" t="s">
        <v>24</v>
      </c>
      <c r="B87" s="2"/>
      <c r="C87" s="2"/>
      <c r="D87" s="2"/>
      <c r="E87" s="2"/>
      <c r="F87" s="2"/>
      <c r="G87" s="2"/>
      <c r="H87" s="2"/>
      <c r="I87" s="2">
        <v>62.7791</v>
      </c>
      <c r="J87" s="2">
        <v>282</v>
      </c>
      <c r="K87" s="2">
        <v>62.314599999999999</v>
      </c>
      <c r="L87" s="2">
        <v>293</v>
      </c>
      <c r="M87" s="2">
        <v>99.069000000000003</v>
      </c>
      <c r="N87" s="2">
        <v>245</v>
      </c>
      <c r="O87" s="2">
        <v>101.4939</v>
      </c>
      <c r="P87" s="2">
        <v>181</v>
      </c>
      <c r="Q87" s="2">
        <v>98.673500000000004</v>
      </c>
      <c r="R87" s="2">
        <v>99</v>
      </c>
      <c r="S87" s="2">
        <v>95.382199999999997</v>
      </c>
      <c r="T87" s="2">
        <v>46</v>
      </c>
      <c r="U87" s="2">
        <v>0.67133600000000004</v>
      </c>
      <c r="V87" s="2">
        <v>86</v>
      </c>
      <c r="W87" s="2">
        <v>2015</v>
      </c>
    </row>
    <row r="88" spans="1:23" ht="12.3" x14ac:dyDescent="0.4">
      <c r="A88" s="2" t="s">
        <v>186</v>
      </c>
      <c r="B88" s="2"/>
      <c r="C88" s="2"/>
      <c r="D88" s="2"/>
      <c r="E88" s="2"/>
      <c r="F88" s="2"/>
      <c r="G88" s="2"/>
      <c r="H88" s="2"/>
      <c r="I88" s="2">
        <v>67.232699999999994</v>
      </c>
      <c r="J88" s="2">
        <v>70</v>
      </c>
      <c r="K88" s="2">
        <v>67.290800000000004</v>
      </c>
      <c r="L88" s="2">
        <v>57</v>
      </c>
      <c r="M88" s="2">
        <v>111.14</v>
      </c>
      <c r="N88" s="2">
        <v>28</v>
      </c>
      <c r="O88" s="2">
        <v>111.1798</v>
      </c>
      <c r="P88" s="2">
        <v>34</v>
      </c>
      <c r="Q88" s="2">
        <v>104.88930000000001</v>
      </c>
      <c r="R88" s="2">
        <v>234</v>
      </c>
      <c r="S88" s="2">
        <v>104.56610000000001</v>
      </c>
      <c r="T88" s="2">
        <v>213</v>
      </c>
      <c r="U88" s="2">
        <v>0.66936099999999998</v>
      </c>
      <c r="V88" s="2">
        <v>87</v>
      </c>
      <c r="W88" s="2">
        <v>2015</v>
      </c>
    </row>
    <row r="89" spans="1:23" ht="12.3" x14ac:dyDescent="0.4">
      <c r="A89" s="2" t="s">
        <v>118</v>
      </c>
      <c r="B89" s="2">
        <v>15</v>
      </c>
      <c r="C89" s="2"/>
      <c r="D89" s="2"/>
      <c r="E89" s="2"/>
      <c r="F89" s="2"/>
      <c r="G89" s="2"/>
      <c r="H89" s="2"/>
      <c r="I89" s="2">
        <v>62.7971</v>
      </c>
      <c r="J89" s="2">
        <v>281</v>
      </c>
      <c r="K89" s="2">
        <v>63.728200000000001</v>
      </c>
      <c r="L89" s="2">
        <v>233</v>
      </c>
      <c r="M89" s="2">
        <v>107.3347</v>
      </c>
      <c r="N89" s="2">
        <v>61</v>
      </c>
      <c r="O89" s="2">
        <v>104.06180000000001</v>
      </c>
      <c r="P89" s="2">
        <v>120</v>
      </c>
      <c r="Q89" s="2">
        <v>94.170599999999993</v>
      </c>
      <c r="R89" s="2">
        <v>25</v>
      </c>
      <c r="S89" s="2">
        <v>97.947000000000003</v>
      </c>
      <c r="T89" s="2">
        <v>87</v>
      </c>
      <c r="U89" s="2">
        <v>0.66739300000000001</v>
      </c>
      <c r="V89" s="2">
        <v>88</v>
      </c>
      <c r="W89" s="2">
        <v>2015</v>
      </c>
    </row>
    <row r="90" spans="1:23" ht="12.3" x14ac:dyDescent="0.4">
      <c r="A90" s="2" t="s">
        <v>81</v>
      </c>
      <c r="B90" s="2"/>
      <c r="C90" s="2"/>
      <c r="D90" s="2"/>
      <c r="E90" s="2"/>
      <c r="F90" s="2"/>
      <c r="G90" s="2"/>
      <c r="H90" s="2"/>
      <c r="I90" s="2">
        <v>61.183199999999999</v>
      </c>
      <c r="J90" s="2">
        <v>323</v>
      </c>
      <c r="K90" s="2">
        <v>60.581400000000002</v>
      </c>
      <c r="L90" s="2">
        <v>335</v>
      </c>
      <c r="M90" s="2">
        <v>103.0849</v>
      </c>
      <c r="N90" s="2">
        <v>150</v>
      </c>
      <c r="O90" s="2">
        <v>107.4029</v>
      </c>
      <c r="P90" s="2">
        <v>68</v>
      </c>
      <c r="Q90" s="2">
        <v>104.5068</v>
      </c>
      <c r="R90" s="2">
        <v>225</v>
      </c>
      <c r="S90" s="2">
        <v>101.12439999999999</v>
      </c>
      <c r="T90" s="2">
        <v>142</v>
      </c>
      <c r="U90" s="2">
        <v>0.66657</v>
      </c>
      <c r="V90" s="2">
        <v>89</v>
      </c>
      <c r="W90" s="2">
        <v>2015</v>
      </c>
    </row>
    <row r="91" spans="1:23" ht="12.3" x14ac:dyDescent="0.4">
      <c r="A91" s="2" t="s">
        <v>279</v>
      </c>
      <c r="B91" s="2">
        <v>12</v>
      </c>
      <c r="C91" s="2"/>
      <c r="D91" s="2"/>
      <c r="E91" s="2"/>
      <c r="F91" s="2"/>
      <c r="G91" s="2"/>
      <c r="H91" s="2"/>
      <c r="I91" s="2">
        <v>62.146500000000003</v>
      </c>
      <c r="J91" s="2">
        <v>300</v>
      </c>
      <c r="K91" s="2">
        <v>61.510899999999999</v>
      </c>
      <c r="L91" s="2">
        <v>316</v>
      </c>
      <c r="M91" s="2">
        <v>106.367</v>
      </c>
      <c r="N91" s="2">
        <v>79</v>
      </c>
      <c r="O91" s="2">
        <v>103.3306</v>
      </c>
      <c r="P91" s="2">
        <v>143</v>
      </c>
      <c r="Q91" s="2">
        <v>96.729200000000006</v>
      </c>
      <c r="R91" s="2">
        <v>64</v>
      </c>
      <c r="S91" s="2">
        <v>97.473799999999997</v>
      </c>
      <c r="T91" s="2">
        <v>78</v>
      </c>
      <c r="U91" s="2">
        <v>0.66173300000000002</v>
      </c>
      <c r="V91" s="2">
        <v>90</v>
      </c>
      <c r="W91" s="2">
        <v>2015</v>
      </c>
    </row>
    <row r="92" spans="1:23" ht="12.3" x14ac:dyDescent="0.4">
      <c r="A92" s="2" t="s">
        <v>92</v>
      </c>
      <c r="B92" s="2"/>
      <c r="C92" s="2"/>
      <c r="D92" s="2"/>
      <c r="E92" s="2"/>
      <c r="F92" s="2"/>
      <c r="G92" s="2"/>
      <c r="H92" s="2"/>
      <c r="I92" s="2">
        <v>63.984299999999998</v>
      </c>
      <c r="J92" s="2">
        <v>227</v>
      </c>
      <c r="K92" s="2">
        <v>63.929699999999997</v>
      </c>
      <c r="L92" s="2">
        <v>220</v>
      </c>
      <c r="M92" s="2">
        <v>97.111999999999995</v>
      </c>
      <c r="N92" s="2">
        <v>272</v>
      </c>
      <c r="O92" s="2">
        <v>100.1186</v>
      </c>
      <c r="P92" s="2">
        <v>224</v>
      </c>
      <c r="Q92" s="2">
        <v>99.2363</v>
      </c>
      <c r="R92" s="2">
        <v>110</v>
      </c>
      <c r="S92" s="2">
        <v>94.491200000000006</v>
      </c>
      <c r="T92" s="2">
        <v>32</v>
      </c>
      <c r="U92" s="2">
        <v>0.660443</v>
      </c>
      <c r="V92" s="2">
        <v>91</v>
      </c>
      <c r="W92" s="2">
        <v>2015</v>
      </c>
    </row>
    <row r="93" spans="1:23" ht="12.3" x14ac:dyDescent="0.4">
      <c r="A93" s="2" t="s">
        <v>256</v>
      </c>
      <c r="B93" s="2"/>
      <c r="C93" s="2"/>
      <c r="D93" s="2"/>
      <c r="E93" s="2"/>
      <c r="F93" s="2"/>
      <c r="G93" s="2"/>
      <c r="H93" s="2"/>
      <c r="I93" s="2">
        <v>64.599699999999999</v>
      </c>
      <c r="J93" s="2">
        <v>185</v>
      </c>
      <c r="K93" s="2">
        <v>63.785299999999999</v>
      </c>
      <c r="L93" s="2">
        <v>227</v>
      </c>
      <c r="M93" s="2">
        <v>103.9374</v>
      </c>
      <c r="N93" s="2">
        <v>128</v>
      </c>
      <c r="O93" s="2">
        <v>102.7533</v>
      </c>
      <c r="P93" s="2">
        <v>157</v>
      </c>
      <c r="Q93" s="2">
        <v>97.551299999999998</v>
      </c>
      <c r="R93" s="2">
        <v>77</v>
      </c>
      <c r="S93" s="2">
        <v>96.980999999999995</v>
      </c>
      <c r="T93" s="2">
        <v>68</v>
      </c>
      <c r="U93" s="2">
        <v>0.66035500000000003</v>
      </c>
      <c r="V93" s="2">
        <v>92</v>
      </c>
      <c r="W93" s="2">
        <v>2015</v>
      </c>
    </row>
    <row r="94" spans="1:23" ht="12.3" x14ac:dyDescent="0.4">
      <c r="A94" s="2" t="s">
        <v>357</v>
      </c>
      <c r="B94" s="2"/>
      <c r="C94" s="2"/>
      <c r="D94" s="2"/>
      <c r="E94" s="2"/>
      <c r="F94" s="2"/>
      <c r="G94" s="2"/>
      <c r="H94" s="2"/>
      <c r="I94" s="2">
        <v>63.015999999999998</v>
      </c>
      <c r="J94" s="2">
        <v>271</v>
      </c>
      <c r="K94" s="2">
        <v>63.228999999999999</v>
      </c>
      <c r="L94" s="2">
        <v>261</v>
      </c>
      <c r="M94" s="2">
        <v>111.75620000000001</v>
      </c>
      <c r="N94" s="2">
        <v>25</v>
      </c>
      <c r="O94" s="2">
        <v>110.2679</v>
      </c>
      <c r="P94" s="2">
        <v>43</v>
      </c>
      <c r="Q94" s="2">
        <v>102.97929999999999</v>
      </c>
      <c r="R94" s="2">
        <v>188</v>
      </c>
      <c r="S94" s="2">
        <v>104.14490000000001</v>
      </c>
      <c r="T94" s="2">
        <v>205</v>
      </c>
      <c r="U94" s="2">
        <v>0.65858399999999995</v>
      </c>
      <c r="V94" s="2">
        <v>93</v>
      </c>
      <c r="W94" s="2">
        <v>2015</v>
      </c>
    </row>
    <row r="95" spans="1:23" ht="12.3" x14ac:dyDescent="0.4">
      <c r="A95" s="2" t="s">
        <v>110</v>
      </c>
      <c r="B95" s="2">
        <v>13</v>
      </c>
      <c r="C95" s="2"/>
      <c r="D95" s="2"/>
      <c r="E95" s="2"/>
      <c r="F95" s="2"/>
      <c r="G95" s="2"/>
      <c r="H95" s="2"/>
      <c r="I95" s="2">
        <v>64.040499999999994</v>
      </c>
      <c r="J95" s="2">
        <v>221</v>
      </c>
      <c r="K95" s="2">
        <v>63.725900000000003</v>
      </c>
      <c r="L95" s="2">
        <v>234</v>
      </c>
      <c r="M95" s="2">
        <v>103.69370000000001</v>
      </c>
      <c r="N95" s="2">
        <v>133</v>
      </c>
      <c r="O95" s="2">
        <v>103.9436</v>
      </c>
      <c r="P95" s="2">
        <v>123</v>
      </c>
      <c r="Q95" s="2">
        <v>98.204400000000007</v>
      </c>
      <c r="R95" s="2">
        <v>90</v>
      </c>
      <c r="S95" s="2">
        <v>98.272199999999998</v>
      </c>
      <c r="T95" s="2">
        <v>92</v>
      </c>
      <c r="U95" s="2">
        <v>0.65593599999999996</v>
      </c>
      <c r="V95" s="2">
        <v>94</v>
      </c>
      <c r="W95" s="2">
        <v>2015</v>
      </c>
    </row>
    <row r="96" spans="1:23" ht="12.3" x14ac:dyDescent="0.4">
      <c r="A96" s="2" t="s">
        <v>129</v>
      </c>
      <c r="B96" s="2"/>
      <c r="C96" s="2"/>
      <c r="D96" s="2"/>
      <c r="E96" s="2"/>
      <c r="F96" s="2"/>
      <c r="G96" s="2"/>
      <c r="H96" s="2"/>
      <c r="I96" s="2">
        <v>65.445400000000006</v>
      </c>
      <c r="J96" s="2">
        <v>144</v>
      </c>
      <c r="K96" s="2">
        <v>65.502499999999998</v>
      </c>
      <c r="L96" s="2">
        <v>135</v>
      </c>
      <c r="M96" s="2">
        <v>102.45780000000001</v>
      </c>
      <c r="N96" s="2">
        <v>168</v>
      </c>
      <c r="O96" s="2">
        <v>104.7274</v>
      </c>
      <c r="P96" s="2">
        <v>113</v>
      </c>
      <c r="Q96" s="2">
        <v>101.7471</v>
      </c>
      <c r="R96" s="2">
        <v>165</v>
      </c>
      <c r="S96" s="2">
        <v>99.024199999999993</v>
      </c>
      <c r="T96" s="2">
        <v>101</v>
      </c>
      <c r="U96" s="2">
        <v>0.65564800000000001</v>
      </c>
      <c r="V96" s="2">
        <v>95</v>
      </c>
      <c r="W96" s="2">
        <v>2015</v>
      </c>
    </row>
    <row r="97" spans="1:23" ht="12.3" x14ac:dyDescent="0.4">
      <c r="A97" s="2" t="s">
        <v>89</v>
      </c>
      <c r="B97" s="2"/>
      <c r="C97" s="2"/>
      <c r="D97" s="2"/>
      <c r="E97" s="2"/>
      <c r="F97" s="2"/>
      <c r="G97" s="2"/>
      <c r="H97" s="2"/>
      <c r="I97" s="2">
        <v>63.6008</v>
      </c>
      <c r="J97" s="2">
        <v>247</v>
      </c>
      <c r="K97" s="2">
        <v>63.778100000000002</v>
      </c>
      <c r="L97" s="2">
        <v>228</v>
      </c>
      <c r="M97" s="2">
        <v>104.8595</v>
      </c>
      <c r="N97" s="2">
        <v>106</v>
      </c>
      <c r="O97" s="2">
        <v>104.6544</v>
      </c>
      <c r="P97" s="2">
        <v>115</v>
      </c>
      <c r="Q97" s="2">
        <v>96.375200000000007</v>
      </c>
      <c r="R97" s="2">
        <v>54</v>
      </c>
      <c r="S97" s="2">
        <v>99.078599999999994</v>
      </c>
      <c r="T97" s="2">
        <v>102</v>
      </c>
      <c r="U97" s="2">
        <v>0.65240600000000004</v>
      </c>
      <c r="V97" s="2">
        <v>96</v>
      </c>
      <c r="W97" s="2">
        <v>2015</v>
      </c>
    </row>
    <row r="98" spans="1:23" ht="12.3" x14ac:dyDescent="0.4">
      <c r="A98" s="2" t="s">
        <v>219</v>
      </c>
      <c r="B98" s="2"/>
      <c r="C98" s="2"/>
      <c r="D98" s="2"/>
      <c r="E98" s="2"/>
      <c r="F98" s="2"/>
      <c r="G98" s="2"/>
      <c r="H98" s="2"/>
      <c r="I98" s="2">
        <v>65.251999999999995</v>
      </c>
      <c r="J98" s="2">
        <v>151</v>
      </c>
      <c r="K98" s="2">
        <v>64.749600000000001</v>
      </c>
      <c r="L98" s="2">
        <v>166</v>
      </c>
      <c r="M98" s="2">
        <v>105.8853</v>
      </c>
      <c r="N98" s="2">
        <v>90</v>
      </c>
      <c r="O98" s="2">
        <v>104.0536</v>
      </c>
      <c r="P98" s="2">
        <v>121</v>
      </c>
      <c r="Q98" s="2">
        <v>96.365600000000001</v>
      </c>
      <c r="R98" s="2">
        <v>53</v>
      </c>
      <c r="S98" s="2">
        <v>98.545599999999993</v>
      </c>
      <c r="T98" s="2">
        <v>95</v>
      </c>
      <c r="U98" s="2">
        <v>0.65145799999999998</v>
      </c>
      <c r="V98" s="2">
        <v>97</v>
      </c>
      <c r="W98" s="2">
        <v>2015</v>
      </c>
    </row>
    <row r="99" spans="1:23" ht="12.3" x14ac:dyDescent="0.4">
      <c r="A99" s="2" t="s">
        <v>133</v>
      </c>
      <c r="B99" s="2"/>
      <c r="C99" s="2"/>
      <c r="D99" s="2"/>
      <c r="E99" s="2"/>
      <c r="F99" s="2"/>
      <c r="G99" s="2"/>
      <c r="H99" s="2"/>
      <c r="I99" s="2">
        <v>63.338299999999997</v>
      </c>
      <c r="J99" s="2">
        <v>254</v>
      </c>
      <c r="K99" s="2">
        <v>63.065199999999997</v>
      </c>
      <c r="L99" s="2">
        <v>267</v>
      </c>
      <c r="M99" s="2">
        <v>100.96040000000001</v>
      </c>
      <c r="N99" s="2">
        <v>197</v>
      </c>
      <c r="O99" s="2">
        <v>101.4466</v>
      </c>
      <c r="P99" s="2">
        <v>183</v>
      </c>
      <c r="Q99" s="2">
        <v>98.790300000000002</v>
      </c>
      <c r="R99" s="2">
        <v>100</v>
      </c>
      <c r="S99" s="2">
        <v>96.123900000000006</v>
      </c>
      <c r="T99" s="2">
        <v>56</v>
      </c>
      <c r="U99" s="2">
        <v>0.650169</v>
      </c>
      <c r="V99" s="2">
        <v>98</v>
      </c>
      <c r="W99" s="2">
        <v>2015</v>
      </c>
    </row>
    <row r="100" spans="1:23" ht="12.3" x14ac:dyDescent="0.4">
      <c r="A100" s="2" t="s">
        <v>222</v>
      </c>
      <c r="B100" s="2"/>
      <c r="C100" s="3"/>
      <c r="D100" s="2"/>
      <c r="E100" s="2"/>
      <c r="F100" s="2"/>
      <c r="G100" s="2"/>
      <c r="H100" s="2"/>
      <c r="I100" s="2">
        <v>61.686500000000002</v>
      </c>
      <c r="J100" s="2">
        <v>313</v>
      </c>
      <c r="K100" s="2">
        <v>60.901000000000003</v>
      </c>
      <c r="L100" s="2">
        <v>330</v>
      </c>
      <c r="M100" s="2">
        <v>104.7013</v>
      </c>
      <c r="N100" s="2">
        <v>112</v>
      </c>
      <c r="O100" s="2">
        <v>105.2698</v>
      </c>
      <c r="P100" s="2">
        <v>104</v>
      </c>
      <c r="Q100" s="2">
        <v>99.659099999999995</v>
      </c>
      <c r="R100" s="2">
        <v>117</v>
      </c>
      <c r="S100" s="2">
        <v>99.789900000000003</v>
      </c>
      <c r="T100" s="2">
        <v>115</v>
      </c>
      <c r="U100" s="2">
        <v>0.64903200000000005</v>
      </c>
      <c r="V100" s="2">
        <v>99</v>
      </c>
      <c r="W100" s="2">
        <v>2015</v>
      </c>
    </row>
    <row r="101" spans="1:23" ht="12.3" x14ac:dyDescent="0.4">
      <c r="A101" s="2" t="s">
        <v>109</v>
      </c>
      <c r="B101" s="2"/>
      <c r="C101" s="2"/>
      <c r="D101" s="2"/>
      <c r="E101" s="2"/>
      <c r="F101" s="2"/>
      <c r="G101" s="2"/>
      <c r="H101" s="2"/>
      <c r="I101" s="2">
        <v>64.580399999999997</v>
      </c>
      <c r="J101" s="2">
        <v>189</v>
      </c>
      <c r="K101" s="2">
        <v>65.459900000000005</v>
      </c>
      <c r="L101" s="2">
        <v>137</v>
      </c>
      <c r="M101" s="2">
        <v>102.48439999999999</v>
      </c>
      <c r="N101" s="2">
        <v>167</v>
      </c>
      <c r="O101" s="2">
        <v>106.4499</v>
      </c>
      <c r="P101" s="2">
        <v>79</v>
      </c>
      <c r="Q101" s="2">
        <v>99.265199999999993</v>
      </c>
      <c r="R101" s="2">
        <v>111</v>
      </c>
      <c r="S101" s="2">
        <v>100.9712</v>
      </c>
      <c r="T101" s="2">
        <v>138</v>
      </c>
      <c r="U101" s="2">
        <v>0.64740500000000001</v>
      </c>
      <c r="V101" s="2">
        <v>100</v>
      </c>
      <c r="W101" s="2">
        <v>2015</v>
      </c>
    </row>
    <row r="102" spans="1:23" ht="12.3" x14ac:dyDescent="0.4">
      <c r="A102" s="2" t="s">
        <v>169</v>
      </c>
      <c r="B102" s="2"/>
      <c r="C102" s="2"/>
      <c r="D102" s="2"/>
      <c r="E102" s="2"/>
      <c r="F102" s="2"/>
      <c r="G102" s="2"/>
      <c r="H102" s="2"/>
      <c r="I102" s="2">
        <v>64.371499999999997</v>
      </c>
      <c r="J102" s="2">
        <v>197</v>
      </c>
      <c r="K102" s="2">
        <v>64.616900000000001</v>
      </c>
      <c r="L102" s="2">
        <v>177</v>
      </c>
      <c r="M102" s="2">
        <v>96.755600000000001</v>
      </c>
      <c r="N102" s="2">
        <v>275</v>
      </c>
      <c r="O102" s="2">
        <v>98.294300000000007</v>
      </c>
      <c r="P102" s="2">
        <v>250</v>
      </c>
      <c r="Q102" s="2">
        <v>95.564899999999994</v>
      </c>
      <c r="R102" s="2">
        <v>39</v>
      </c>
      <c r="S102" s="2">
        <v>93.450599999999994</v>
      </c>
      <c r="T102" s="2">
        <v>21</v>
      </c>
      <c r="U102" s="2">
        <v>0.64132800000000001</v>
      </c>
      <c r="V102" s="2">
        <v>101</v>
      </c>
      <c r="W102" s="2">
        <v>2015</v>
      </c>
    </row>
    <row r="103" spans="1:23" ht="12.3" x14ac:dyDescent="0.4">
      <c r="A103" s="2" t="s">
        <v>93</v>
      </c>
      <c r="B103" s="2">
        <v>12</v>
      </c>
      <c r="C103" s="2"/>
      <c r="D103" s="2"/>
      <c r="E103" s="2"/>
      <c r="F103" s="2"/>
      <c r="G103" s="2"/>
      <c r="H103" s="2"/>
      <c r="I103" s="2">
        <v>58.364800000000002</v>
      </c>
      <c r="J103" s="2">
        <v>348</v>
      </c>
      <c r="K103" s="2">
        <v>59.237099999999998</v>
      </c>
      <c r="L103" s="2">
        <v>344</v>
      </c>
      <c r="M103" s="2">
        <v>103.1922</v>
      </c>
      <c r="N103" s="2">
        <v>147</v>
      </c>
      <c r="O103" s="2">
        <v>101.8455</v>
      </c>
      <c r="P103" s="2">
        <v>175</v>
      </c>
      <c r="Q103" s="2">
        <v>95.343900000000005</v>
      </c>
      <c r="R103" s="2">
        <v>37</v>
      </c>
      <c r="S103" s="2">
        <v>96.974800000000002</v>
      </c>
      <c r="T103" s="2">
        <v>67</v>
      </c>
      <c r="U103" s="2">
        <v>0.63727699999999998</v>
      </c>
      <c r="V103" s="2">
        <v>102</v>
      </c>
      <c r="W103" s="2">
        <v>2015</v>
      </c>
    </row>
    <row r="104" spans="1:23" ht="12.3" x14ac:dyDescent="0.4">
      <c r="A104" s="2" t="s">
        <v>20</v>
      </c>
      <c r="B104" s="2"/>
      <c r="C104" s="2"/>
      <c r="D104" s="2"/>
      <c r="E104" s="2"/>
      <c r="F104" s="2"/>
      <c r="G104" s="2"/>
      <c r="H104" s="2"/>
      <c r="I104" s="2">
        <v>65.778000000000006</v>
      </c>
      <c r="J104" s="2">
        <v>125</v>
      </c>
      <c r="K104" s="2">
        <v>66.360600000000005</v>
      </c>
      <c r="L104" s="2">
        <v>95</v>
      </c>
      <c r="M104" s="2">
        <v>100.288</v>
      </c>
      <c r="N104" s="2">
        <v>209</v>
      </c>
      <c r="O104" s="2">
        <v>102.3403</v>
      </c>
      <c r="P104" s="2">
        <v>163</v>
      </c>
      <c r="Q104" s="2">
        <v>101.2564</v>
      </c>
      <c r="R104" s="2">
        <v>155</v>
      </c>
      <c r="S104" s="2">
        <v>97.564099999999996</v>
      </c>
      <c r="T104" s="2">
        <v>79</v>
      </c>
      <c r="U104" s="2">
        <v>0.63405199999999995</v>
      </c>
      <c r="V104" s="2">
        <v>103</v>
      </c>
      <c r="W104" s="2">
        <v>2015</v>
      </c>
    </row>
    <row r="105" spans="1:23" ht="12.3" x14ac:dyDescent="0.4">
      <c r="A105" s="2" t="s">
        <v>119</v>
      </c>
      <c r="B105" s="2"/>
      <c r="C105" s="2"/>
      <c r="D105" s="2"/>
      <c r="E105" s="2"/>
      <c r="F105" s="2"/>
      <c r="G105" s="2"/>
      <c r="H105" s="2"/>
      <c r="I105" s="2">
        <v>66.049899999999994</v>
      </c>
      <c r="J105" s="2">
        <v>117</v>
      </c>
      <c r="K105" s="2">
        <v>66.203599999999994</v>
      </c>
      <c r="L105" s="2">
        <v>104</v>
      </c>
      <c r="M105" s="2">
        <v>102.68680000000001</v>
      </c>
      <c r="N105" s="2">
        <v>163</v>
      </c>
      <c r="O105" s="2">
        <v>106.0894</v>
      </c>
      <c r="P105" s="2">
        <v>87</v>
      </c>
      <c r="Q105" s="2">
        <v>102.4281</v>
      </c>
      <c r="R105" s="2">
        <v>180</v>
      </c>
      <c r="S105" s="2">
        <v>101.1507</v>
      </c>
      <c r="T105" s="2">
        <v>143</v>
      </c>
      <c r="U105" s="2">
        <v>0.63372200000000001</v>
      </c>
      <c r="V105" s="2">
        <v>104</v>
      </c>
      <c r="W105" s="2">
        <v>2015</v>
      </c>
    </row>
    <row r="106" spans="1:23" ht="12.3" x14ac:dyDescent="0.4">
      <c r="A106" s="2" t="s">
        <v>362</v>
      </c>
      <c r="B106" s="2"/>
      <c r="C106" s="2"/>
      <c r="D106" s="2"/>
      <c r="E106" s="2"/>
      <c r="F106" s="2"/>
      <c r="G106" s="2"/>
      <c r="H106" s="2"/>
      <c r="I106" s="2">
        <v>66.071299999999994</v>
      </c>
      <c r="J106" s="2">
        <v>113</v>
      </c>
      <c r="K106" s="2">
        <v>66.115399999999994</v>
      </c>
      <c r="L106" s="2">
        <v>108</v>
      </c>
      <c r="M106" s="2">
        <v>108.4213</v>
      </c>
      <c r="N106" s="2">
        <v>52</v>
      </c>
      <c r="O106" s="2">
        <v>104.9011</v>
      </c>
      <c r="P106" s="2">
        <v>111</v>
      </c>
      <c r="Q106" s="2">
        <v>97.365399999999994</v>
      </c>
      <c r="R106" s="2">
        <v>75</v>
      </c>
      <c r="S106" s="2">
        <v>100.0656</v>
      </c>
      <c r="T106" s="2">
        <v>123</v>
      </c>
      <c r="U106" s="2">
        <v>0.63244299999999998</v>
      </c>
      <c r="V106" s="2">
        <v>105</v>
      </c>
      <c r="W106" s="2">
        <v>2015</v>
      </c>
    </row>
    <row r="107" spans="1:23" ht="12.3" x14ac:dyDescent="0.4">
      <c r="A107" s="2" t="s">
        <v>79</v>
      </c>
      <c r="B107" s="2"/>
      <c r="C107" s="2"/>
      <c r="D107" s="2"/>
      <c r="E107" s="2"/>
      <c r="F107" s="2"/>
      <c r="G107" s="2"/>
      <c r="H107" s="2"/>
      <c r="I107" s="2">
        <v>63.7029</v>
      </c>
      <c r="J107" s="2">
        <v>243</v>
      </c>
      <c r="K107" s="2">
        <v>63.631599999999999</v>
      </c>
      <c r="L107" s="2">
        <v>243</v>
      </c>
      <c r="M107" s="2">
        <v>99.200999999999993</v>
      </c>
      <c r="N107" s="2">
        <v>238</v>
      </c>
      <c r="O107" s="2">
        <v>99.101100000000002</v>
      </c>
      <c r="P107" s="2">
        <v>235</v>
      </c>
      <c r="Q107" s="2">
        <v>96.769400000000005</v>
      </c>
      <c r="R107" s="2">
        <v>66</v>
      </c>
      <c r="S107" s="2">
        <v>94.591499999999996</v>
      </c>
      <c r="T107" s="2">
        <v>35</v>
      </c>
      <c r="U107" s="2">
        <v>0.63078500000000004</v>
      </c>
      <c r="V107" s="2">
        <v>106</v>
      </c>
      <c r="W107" s="2">
        <v>2015</v>
      </c>
    </row>
    <row r="108" spans="1:23" ht="12.3" x14ac:dyDescent="0.4">
      <c r="A108" s="2" t="s">
        <v>106</v>
      </c>
      <c r="B108" s="2"/>
      <c r="C108" s="2"/>
      <c r="D108" s="2"/>
      <c r="E108" s="2"/>
      <c r="F108" s="2"/>
      <c r="G108" s="2"/>
      <c r="H108" s="2"/>
      <c r="I108" s="2">
        <v>65.071600000000004</v>
      </c>
      <c r="J108" s="2">
        <v>157</v>
      </c>
      <c r="K108" s="2">
        <v>64.733500000000006</v>
      </c>
      <c r="L108" s="2">
        <v>169</v>
      </c>
      <c r="M108" s="2">
        <v>102.1118</v>
      </c>
      <c r="N108" s="2">
        <v>176</v>
      </c>
      <c r="O108" s="2">
        <v>102.7805</v>
      </c>
      <c r="P108" s="2">
        <v>154</v>
      </c>
      <c r="Q108" s="2">
        <v>98.661799999999999</v>
      </c>
      <c r="R108" s="2">
        <v>98</v>
      </c>
      <c r="S108" s="2">
        <v>98.234800000000007</v>
      </c>
      <c r="T108" s="2">
        <v>91</v>
      </c>
      <c r="U108" s="2">
        <v>0.62719499999999995</v>
      </c>
      <c r="V108" s="2">
        <v>107</v>
      </c>
      <c r="W108" s="2">
        <v>2015</v>
      </c>
    </row>
    <row r="109" spans="1:23" ht="12.3" x14ac:dyDescent="0.4">
      <c r="A109" s="2" t="s">
        <v>241</v>
      </c>
      <c r="B109" s="2"/>
      <c r="C109" s="2"/>
      <c r="D109" s="2"/>
      <c r="E109" s="2"/>
      <c r="F109" s="2"/>
      <c r="G109" s="2"/>
      <c r="H109" s="2"/>
      <c r="I109" s="2">
        <v>70.379000000000005</v>
      </c>
      <c r="J109" s="2">
        <v>8</v>
      </c>
      <c r="K109" s="2">
        <v>69.531899999999993</v>
      </c>
      <c r="L109" s="2">
        <v>17</v>
      </c>
      <c r="M109" s="2">
        <v>112.8446</v>
      </c>
      <c r="N109" s="2">
        <v>19</v>
      </c>
      <c r="O109" s="2">
        <v>110.3827</v>
      </c>
      <c r="P109" s="2">
        <v>39</v>
      </c>
      <c r="Q109" s="2">
        <v>103.2941</v>
      </c>
      <c r="R109" s="2">
        <v>195</v>
      </c>
      <c r="S109" s="2">
        <v>105.50620000000001</v>
      </c>
      <c r="T109" s="2">
        <v>233</v>
      </c>
      <c r="U109" s="2">
        <v>0.62705599999999995</v>
      </c>
      <c r="V109" s="2">
        <v>108</v>
      </c>
      <c r="W109" s="2">
        <v>2015</v>
      </c>
    </row>
    <row r="110" spans="1:23" ht="12.3" x14ac:dyDescent="0.4">
      <c r="A110" s="2" t="s">
        <v>371</v>
      </c>
      <c r="B110" s="2"/>
      <c r="C110" s="2"/>
      <c r="D110" s="2"/>
      <c r="E110" s="2"/>
      <c r="F110" s="2"/>
      <c r="G110" s="2"/>
      <c r="H110" s="2"/>
      <c r="I110" s="2">
        <v>60.780500000000004</v>
      </c>
      <c r="J110" s="2">
        <v>332</v>
      </c>
      <c r="K110" s="2">
        <v>59.947200000000002</v>
      </c>
      <c r="L110" s="2">
        <v>342</v>
      </c>
      <c r="M110" s="2">
        <v>106.1863</v>
      </c>
      <c r="N110" s="2">
        <v>84</v>
      </c>
      <c r="O110" s="2">
        <v>100.8309</v>
      </c>
      <c r="P110" s="2">
        <v>198</v>
      </c>
      <c r="Q110" s="2">
        <v>89.814300000000003</v>
      </c>
      <c r="R110" s="2">
        <v>5</v>
      </c>
      <c r="S110" s="2">
        <v>96.398700000000005</v>
      </c>
      <c r="T110" s="2">
        <v>61</v>
      </c>
      <c r="U110" s="2">
        <v>0.62643499999999996</v>
      </c>
      <c r="V110" s="2">
        <v>109</v>
      </c>
      <c r="W110" s="2">
        <v>2015</v>
      </c>
    </row>
    <row r="111" spans="1:23" ht="12.3" x14ac:dyDescent="0.4">
      <c r="A111" s="2" t="s">
        <v>104</v>
      </c>
      <c r="B111" s="2"/>
      <c r="C111" s="2"/>
      <c r="D111" s="2"/>
      <c r="E111" s="2"/>
      <c r="F111" s="2"/>
      <c r="G111" s="2"/>
      <c r="H111" s="2"/>
      <c r="I111" s="2">
        <v>62.243099999999998</v>
      </c>
      <c r="J111" s="2">
        <v>297</v>
      </c>
      <c r="K111" s="2">
        <v>62.564100000000003</v>
      </c>
      <c r="L111" s="2">
        <v>279</v>
      </c>
      <c r="M111" s="2">
        <v>105.53440000000001</v>
      </c>
      <c r="N111" s="2">
        <v>94</v>
      </c>
      <c r="O111" s="2">
        <v>106.4174</v>
      </c>
      <c r="P111" s="2">
        <v>80</v>
      </c>
      <c r="Q111" s="2">
        <v>100.70569999999999</v>
      </c>
      <c r="R111" s="2">
        <v>141</v>
      </c>
      <c r="S111" s="2">
        <v>101.7565</v>
      </c>
      <c r="T111" s="2">
        <v>156</v>
      </c>
      <c r="U111" s="2">
        <v>0.62598900000000002</v>
      </c>
      <c r="V111" s="2">
        <v>110</v>
      </c>
      <c r="W111" s="2">
        <v>2015</v>
      </c>
    </row>
    <row r="112" spans="1:23" ht="12.3" x14ac:dyDescent="0.4">
      <c r="A112" s="2" t="s">
        <v>39</v>
      </c>
      <c r="B112" s="2"/>
      <c r="C112" s="2"/>
      <c r="D112" s="2"/>
      <c r="E112" s="2"/>
      <c r="F112" s="2"/>
      <c r="G112" s="2"/>
      <c r="H112" s="2"/>
      <c r="I112" s="2">
        <v>64.630099999999999</v>
      </c>
      <c r="J112" s="2">
        <v>183</v>
      </c>
      <c r="K112" s="2">
        <v>64.182599999999994</v>
      </c>
      <c r="L112" s="2">
        <v>200</v>
      </c>
      <c r="M112" s="2">
        <v>99.631200000000007</v>
      </c>
      <c r="N112" s="2">
        <v>228</v>
      </c>
      <c r="O112" s="2">
        <v>101.661</v>
      </c>
      <c r="P112" s="2">
        <v>178</v>
      </c>
      <c r="Q112" s="2">
        <v>102.60939999999999</v>
      </c>
      <c r="R112" s="2">
        <v>184</v>
      </c>
      <c r="S112" s="2">
        <v>97.408000000000001</v>
      </c>
      <c r="T112" s="2">
        <v>77</v>
      </c>
      <c r="U112" s="2">
        <v>0.62044900000000003</v>
      </c>
      <c r="V112" s="2">
        <v>111</v>
      </c>
      <c r="W112" s="2">
        <v>2015</v>
      </c>
    </row>
    <row r="113" spans="1:23" ht="12.3" x14ac:dyDescent="0.4">
      <c r="A113" s="2" t="s">
        <v>95</v>
      </c>
      <c r="B113" s="2"/>
      <c r="C113" s="2"/>
      <c r="D113" s="2"/>
      <c r="E113" s="2"/>
      <c r="F113" s="2"/>
      <c r="G113" s="2"/>
      <c r="H113" s="2"/>
      <c r="I113" s="2">
        <v>63.8643</v>
      </c>
      <c r="J113" s="2">
        <v>234</v>
      </c>
      <c r="K113" s="2">
        <v>63.660600000000002</v>
      </c>
      <c r="L113" s="2">
        <v>240</v>
      </c>
      <c r="M113" s="2">
        <v>101.4389</v>
      </c>
      <c r="N113" s="2">
        <v>185</v>
      </c>
      <c r="O113" s="2">
        <v>105.6427</v>
      </c>
      <c r="P113" s="2">
        <v>99</v>
      </c>
      <c r="Q113" s="2">
        <v>104.236</v>
      </c>
      <c r="R113" s="2">
        <v>218</v>
      </c>
      <c r="S113" s="2">
        <v>101.35599999999999</v>
      </c>
      <c r="T113" s="2">
        <v>146</v>
      </c>
      <c r="U113" s="2">
        <v>0.616892</v>
      </c>
      <c r="V113" s="2">
        <v>112</v>
      </c>
      <c r="W113" s="2">
        <v>2015</v>
      </c>
    </row>
    <row r="114" spans="1:23" ht="12.3" x14ac:dyDescent="0.4">
      <c r="A114" s="2" t="s">
        <v>53</v>
      </c>
      <c r="B114" s="2"/>
      <c r="C114" s="2"/>
      <c r="D114" s="2"/>
      <c r="E114" s="2"/>
      <c r="F114" s="2"/>
      <c r="G114" s="2"/>
      <c r="H114" s="2"/>
      <c r="I114" s="2">
        <v>62.073900000000002</v>
      </c>
      <c r="J114" s="2">
        <v>303</v>
      </c>
      <c r="K114" s="2">
        <v>61.810600000000001</v>
      </c>
      <c r="L114" s="2">
        <v>309</v>
      </c>
      <c r="M114" s="2">
        <v>104.785</v>
      </c>
      <c r="N114" s="2">
        <v>109</v>
      </c>
      <c r="O114" s="2">
        <v>105.1349</v>
      </c>
      <c r="P114" s="2">
        <v>107</v>
      </c>
      <c r="Q114" s="2">
        <v>100.3544</v>
      </c>
      <c r="R114" s="2">
        <v>131</v>
      </c>
      <c r="S114" s="2">
        <v>100.9268</v>
      </c>
      <c r="T114" s="2">
        <v>137</v>
      </c>
      <c r="U114" s="2">
        <v>0.61532799999999999</v>
      </c>
      <c r="V114" s="2">
        <v>113</v>
      </c>
      <c r="W114" s="2">
        <v>2015</v>
      </c>
    </row>
    <row r="115" spans="1:23" ht="12.3" x14ac:dyDescent="0.4">
      <c r="A115" s="2" t="s">
        <v>324</v>
      </c>
      <c r="B115" s="2"/>
      <c r="C115" s="2"/>
      <c r="D115" s="2"/>
      <c r="E115" s="2"/>
      <c r="F115" s="2"/>
      <c r="G115" s="2"/>
      <c r="H115" s="2"/>
      <c r="I115" s="2">
        <v>64.878200000000007</v>
      </c>
      <c r="J115" s="2">
        <v>168</v>
      </c>
      <c r="K115" s="2">
        <v>63.600999999999999</v>
      </c>
      <c r="L115" s="2">
        <v>246</v>
      </c>
      <c r="M115" s="2">
        <v>105.4774</v>
      </c>
      <c r="N115" s="2">
        <v>96</v>
      </c>
      <c r="O115" s="2">
        <v>104.105</v>
      </c>
      <c r="P115" s="2">
        <v>119</v>
      </c>
      <c r="Q115" s="2">
        <v>98.251800000000003</v>
      </c>
      <c r="R115" s="2">
        <v>91</v>
      </c>
      <c r="S115" s="2">
        <v>99.986400000000003</v>
      </c>
      <c r="T115" s="2">
        <v>122</v>
      </c>
      <c r="U115" s="2">
        <v>0.614012</v>
      </c>
      <c r="V115" s="2">
        <v>114</v>
      </c>
      <c r="W115" s="2">
        <v>2015</v>
      </c>
    </row>
    <row r="116" spans="1:23" ht="12.3" x14ac:dyDescent="0.4">
      <c r="A116" s="2" t="s">
        <v>220</v>
      </c>
      <c r="B116" s="2"/>
      <c r="C116" s="2"/>
      <c r="D116" s="2"/>
      <c r="E116" s="2"/>
      <c r="F116" s="2"/>
      <c r="G116" s="2"/>
      <c r="H116" s="2"/>
      <c r="I116" s="2">
        <v>63.403500000000001</v>
      </c>
      <c r="J116" s="2">
        <v>253</v>
      </c>
      <c r="K116" s="2">
        <v>63.957900000000002</v>
      </c>
      <c r="L116" s="2">
        <v>216</v>
      </c>
      <c r="M116" s="2">
        <v>102.73099999999999</v>
      </c>
      <c r="N116" s="2">
        <v>160</v>
      </c>
      <c r="O116" s="2">
        <v>100.71939999999999</v>
      </c>
      <c r="P116" s="2">
        <v>203</v>
      </c>
      <c r="Q116" s="2">
        <v>91.297200000000004</v>
      </c>
      <c r="R116" s="2">
        <v>11</v>
      </c>
      <c r="S116" s="2">
        <v>96.810400000000001</v>
      </c>
      <c r="T116" s="2">
        <v>65</v>
      </c>
      <c r="U116" s="2">
        <v>0.61187800000000003</v>
      </c>
      <c r="V116" s="2">
        <v>115</v>
      </c>
      <c r="W116" s="2">
        <v>2015</v>
      </c>
    </row>
    <row r="117" spans="1:23" ht="12.3" x14ac:dyDescent="0.4">
      <c r="A117" s="2" t="s">
        <v>57</v>
      </c>
      <c r="B117" s="2"/>
      <c r="C117" s="2"/>
      <c r="D117" s="2"/>
      <c r="E117" s="2"/>
      <c r="F117" s="2"/>
      <c r="G117" s="2"/>
      <c r="H117" s="2"/>
      <c r="I117" s="2">
        <v>66.319599999999994</v>
      </c>
      <c r="J117" s="2">
        <v>103</v>
      </c>
      <c r="K117" s="2">
        <v>66.155799999999999</v>
      </c>
      <c r="L117" s="2">
        <v>106</v>
      </c>
      <c r="M117" s="2">
        <v>99.580600000000004</v>
      </c>
      <c r="N117" s="2">
        <v>232</v>
      </c>
      <c r="O117" s="2">
        <v>101.51479999999999</v>
      </c>
      <c r="P117" s="2">
        <v>180</v>
      </c>
      <c r="Q117" s="2">
        <v>100.61579999999999</v>
      </c>
      <c r="R117" s="2">
        <v>139</v>
      </c>
      <c r="S117" s="2">
        <v>97.740399999999994</v>
      </c>
      <c r="T117" s="2">
        <v>83</v>
      </c>
      <c r="U117" s="2">
        <v>0.60724100000000003</v>
      </c>
      <c r="V117" s="2">
        <v>116</v>
      </c>
      <c r="W117" s="2">
        <v>2015</v>
      </c>
    </row>
    <row r="118" spans="1:23" ht="12.3" x14ac:dyDescent="0.4">
      <c r="A118" s="2" t="s">
        <v>149</v>
      </c>
      <c r="B118" s="2"/>
      <c r="C118" s="2"/>
      <c r="D118" s="2"/>
      <c r="E118" s="2"/>
      <c r="F118" s="2"/>
      <c r="G118" s="2"/>
      <c r="H118" s="2"/>
      <c r="I118" s="2">
        <v>62.009700000000002</v>
      </c>
      <c r="J118" s="2">
        <v>304</v>
      </c>
      <c r="K118" s="2">
        <v>61.133000000000003</v>
      </c>
      <c r="L118" s="2">
        <v>324</v>
      </c>
      <c r="M118" s="2">
        <v>96.090500000000006</v>
      </c>
      <c r="N118" s="2">
        <v>288</v>
      </c>
      <c r="O118" s="2">
        <v>96.816199999999995</v>
      </c>
      <c r="P118" s="2">
        <v>276</v>
      </c>
      <c r="Q118" s="2">
        <v>94.876900000000006</v>
      </c>
      <c r="R118" s="2">
        <v>33</v>
      </c>
      <c r="S118" s="2">
        <v>93.263099999999994</v>
      </c>
      <c r="T118" s="2">
        <v>17</v>
      </c>
      <c r="U118" s="2">
        <v>0.60586899999999999</v>
      </c>
      <c r="V118" s="2">
        <v>117</v>
      </c>
      <c r="W118" s="2">
        <v>2015</v>
      </c>
    </row>
    <row r="119" spans="1:23" ht="12.3" x14ac:dyDescent="0.4">
      <c r="A119" s="2" t="s">
        <v>98</v>
      </c>
      <c r="B119" s="2"/>
      <c r="C119" s="2"/>
      <c r="D119" s="2"/>
      <c r="E119" s="2"/>
      <c r="F119" s="2"/>
      <c r="G119" s="2"/>
      <c r="H119" s="2"/>
      <c r="I119" s="2">
        <v>62.898099999999999</v>
      </c>
      <c r="J119" s="2">
        <v>277</v>
      </c>
      <c r="K119" s="2">
        <v>64.026700000000005</v>
      </c>
      <c r="L119" s="2">
        <v>211</v>
      </c>
      <c r="M119" s="2">
        <v>104.1123</v>
      </c>
      <c r="N119" s="2">
        <v>121</v>
      </c>
      <c r="O119" s="2">
        <v>105.7786</v>
      </c>
      <c r="P119" s="2">
        <v>97</v>
      </c>
      <c r="Q119" s="2">
        <v>99.8489</v>
      </c>
      <c r="R119" s="2">
        <v>120</v>
      </c>
      <c r="S119" s="2">
        <v>102.0248</v>
      </c>
      <c r="T119" s="2">
        <v>160</v>
      </c>
      <c r="U119" s="2">
        <v>0.60241199999999995</v>
      </c>
      <c r="V119" s="2">
        <v>118</v>
      </c>
      <c r="W119" s="2">
        <v>2015</v>
      </c>
    </row>
    <row r="120" spans="1:23" ht="12.3" x14ac:dyDescent="0.4">
      <c r="A120" s="2" t="s">
        <v>124</v>
      </c>
      <c r="B120" s="2"/>
      <c r="C120" s="2"/>
      <c r="D120" s="2"/>
      <c r="E120" s="2"/>
      <c r="F120" s="2"/>
      <c r="G120" s="2"/>
      <c r="H120" s="2"/>
      <c r="I120" s="2">
        <v>60.501399999999997</v>
      </c>
      <c r="J120" s="2">
        <v>337</v>
      </c>
      <c r="K120" s="2">
        <v>60.410800000000002</v>
      </c>
      <c r="L120" s="2">
        <v>339</v>
      </c>
      <c r="M120" s="2">
        <v>102.6982</v>
      </c>
      <c r="N120" s="2">
        <v>161</v>
      </c>
      <c r="O120" s="2">
        <v>105.8665</v>
      </c>
      <c r="P120" s="2">
        <v>96</v>
      </c>
      <c r="Q120" s="2">
        <v>105.23050000000001</v>
      </c>
      <c r="R120" s="2">
        <v>243</v>
      </c>
      <c r="S120" s="2">
        <v>102.2543</v>
      </c>
      <c r="T120" s="2">
        <v>166</v>
      </c>
      <c r="U120" s="2">
        <v>0.59850400000000004</v>
      </c>
      <c r="V120" s="2">
        <v>119</v>
      </c>
      <c r="W120" s="2">
        <v>2015</v>
      </c>
    </row>
    <row r="121" spans="1:23" ht="12.3" x14ac:dyDescent="0.4">
      <c r="A121" s="2" t="s">
        <v>308</v>
      </c>
      <c r="B121" s="2">
        <v>14</v>
      </c>
      <c r="C121" s="2"/>
      <c r="D121" s="2"/>
      <c r="E121" s="2"/>
      <c r="F121" s="2"/>
      <c r="G121" s="2"/>
      <c r="H121" s="2"/>
      <c r="I121" s="2">
        <v>63.4818</v>
      </c>
      <c r="J121" s="2">
        <v>251</v>
      </c>
      <c r="K121" s="2">
        <v>63.667000000000002</v>
      </c>
      <c r="L121" s="2">
        <v>239</v>
      </c>
      <c r="M121" s="2">
        <v>107.29640000000001</v>
      </c>
      <c r="N121" s="2">
        <v>63</v>
      </c>
      <c r="O121" s="2">
        <v>105.9911</v>
      </c>
      <c r="P121" s="2">
        <v>90</v>
      </c>
      <c r="Q121" s="2">
        <v>101.1421</v>
      </c>
      <c r="R121" s="2">
        <v>151</v>
      </c>
      <c r="S121" s="2">
        <v>102.3937</v>
      </c>
      <c r="T121" s="2">
        <v>171</v>
      </c>
      <c r="U121" s="2">
        <v>0.59798799999999996</v>
      </c>
      <c r="V121" s="2">
        <v>120</v>
      </c>
      <c r="W121" s="2">
        <v>2015</v>
      </c>
    </row>
    <row r="122" spans="1:23" ht="12.3" x14ac:dyDescent="0.4">
      <c r="A122" s="2" t="s">
        <v>128</v>
      </c>
      <c r="B122" s="2">
        <v>14</v>
      </c>
      <c r="C122" s="2"/>
      <c r="D122" s="2"/>
      <c r="E122" s="2"/>
      <c r="F122" s="2"/>
      <c r="G122" s="2"/>
      <c r="H122" s="2"/>
      <c r="I122" s="2">
        <v>65.496200000000002</v>
      </c>
      <c r="J122" s="2">
        <v>142</v>
      </c>
      <c r="K122" s="2">
        <v>64.950299999999999</v>
      </c>
      <c r="L122" s="2">
        <v>159</v>
      </c>
      <c r="M122" s="2">
        <v>101.1444</v>
      </c>
      <c r="N122" s="2">
        <v>192</v>
      </c>
      <c r="O122" s="2">
        <v>103.7809</v>
      </c>
      <c r="P122" s="2">
        <v>130</v>
      </c>
      <c r="Q122" s="2">
        <v>99.581400000000002</v>
      </c>
      <c r="R122" s="2">
        <v>116</v>
      </c>
      <c r="S122" s="2">
        <v>100.26009999999999</v>
      </c>
      <c r="T122" s="2">
        <v>130</v>
      </c>
      <c r="U122" s="2">
        <v>0.597943</v>
      </c>
      <c r="V122" s="2">
        <v>121</v>
      </c>
      <c r="W122" s="2">
        <v>2015</v>
      </c>
    </row>
    <row r="123" spans="1:23" ht="12.3" x14ac:dyDescent="0.4">
      <c r="A123" s="2" t="s">
        <v>66</v>
      </c>
      <c r="B123" s="2"/>
      <c r="C123" s="2"/>
      <c r="D123" s="2"/>
      <c r="E123" s="2"/>
      <c r="F123" s="2"/>
      <c r="G123" s="2"/>
      <c r="H123" s="2"/>
      <c r="I123" s="2">
        <v>69.063800000000001</v>
      </c>
      <c r="J123" s="2">
        <v>22</v>
      </c>
      <c r="K123" s="2">
        <v>69.674400000000006</v>
      </c>
      <c r="L123" s="2">
        <v>14</v>
      </c>
      <c r="M123" s="2">
        <v>103.3463</v>
      </c>
      <c r="N123" s="2">
        <v>143</v>
      </c>
      <c r="O123" s="2">
        <v>102.86320000000001</v>
      </c>
      <c r="P123" s="2">
        <v>152</v>
      </c>
      <c r="Q123" s="2">
        <v>98.428299999999993</v>
      </c>
      <c r="R123" s="2">
        <v>93</v>
      </c>
      <c r="S123" s="2">
        <v>99.540400000000005</v>
      </c>
      <c r="T123" s="2">
        <v>111</v>
      </c>
      <c r="U123" s="2">
        <v>0.59329699999999996</v>
      </c>
      <c r="V123" s="2">
        <v>122</v>
      </c>
      <c r="W123" s="2">
        <v>2015</v>
      </c>
    </row>
    <row r="124" spans="1:23" ht="12.3" x14ac:dyDescent="0.4">
      <c r="A124" s="2" t="s">
        <v>131</v>
      </c>
      <c r="B124" s="2"/>
      <c r="C124" s="2"/>
      <c r="D124" s="2"/>
      <c r="E124" s="2"/>
      <c r="F124" s="2"/>
      <c r="G124" s="2"/>
      <c r="H124" s="2"/>
      <c r="I124" s="2">
        <v>66.179100000000005</v>
      </c>
      <c r="J124" s="2">
        <v>107</v>
      </c>
      <c r="K124" s="2">
        <v>65.632099999999994</v>
      </c>
      <c r="L124" s="2">
        <v>130</v>
      </c>
      <c r="M124" s="2">
        <v>103.2264</v>
      </c>
      <c r="N124" s="2">
        <v>145</v>
      </c>
      <c r="O124" s="2">
        <v>106.38420000000001</v>
      </c>
      <c r="P124" s="2">
        <v>82</v>
      </c>
      <c r="Q124" s="2">
        <v>102.2034</v>
      </c>
      <c r="R124" s="2">
        <v>173</v>
      </c>
      <c r="S124" s="2">
        <v>102.9525</v>
      </c>
      <c r="T124" s="2">
        <v>180</v>
      </c>
      <c r="U124" s="2">
        <v>0.59316800000000003</v>
      </c>
      <c r="V124" s="2">
        <v>123</v>
      </c>
      <c r="W124" s="2">
        <v>2015</v>
      </c>
    </row>
    <row r="125" spans="1:23" ht="12.3" x14ac:dyDescent="0.4">
      <c r="A125" s="2" t="s">
        <v>243</v>
      </c>
      <c r="B125" s="2"/>
      <c r="C125" s="2"/>
      <c r="D125" s="2"/>
      <c r="E125" s="2"/>
      <c r="F125" s="2"/>
      <c r="G125" s="2"/>
      <c r="H125" s="2"/>
      <c r="I125" s="2">
        <v>69.139799999999994</v>
      </c>
      <c r="J125" s="2">
        <v>19</v>
      </c>
      <c r="K125" s="2">
        <v>69.212199999999996</v>
      </c>
      <c r="L125" s="2">
        <v>21</v>
      </c>
      <c r="M125" s="2">
        <v>112.7814</v>
      </c>
      <c r="N125" s="2">
        <v>20</v>
      </c>
      <c r="O125" s="2">
        <v>108.8591</v>
      </c>
      <c r="P125" s="2">
        <v>53</v>
      </c>
      <c r="Q125" s="2">
        <v>100.3509</v>
      </c>
      <c r="R125" s="2">
        <v>130</v>
      </c>
      <c r="S125" s="2">
        <v>105.4353</v>
      </c>
      <c r="T125" s="2">
        <v>232</v>
      </c>
      <c r="U125" s="2">
        <v>0.59085699999999997</v>
      </c>
      <c r="V125" s="2">
        <v>124</v>
      </c>
      <c r="W125" s="2">
        <v>2015</v>
      </c>
    </row>
    <row r="126" spans="1:23" ht="12.3" x14ac:dyDescent="0.4">
      <c r="A126" s="2" t="s">
        <v>290</v>
      </c>
      <c r="B126" s="2"/>
      <c r="C126" s="2"/>
      <c r="D126" s="2"/>
      <c r="E126" s="2"/>
      <c r="F126" s="2"/>
      <c r="G126" s="2"/>
      <c r="H126" s="2"/>
      <c r="I126" s="2">
        <v>64.1875</v>
      </c>
      <c r="J126" s="2">
        <v>211</v>
      </c>
      <c r="K126" s="2">
        <v>64.627300000000005</v>
      </c>
      <c r="L126" s="2">
        <v>176</v>
      </c>
      <c r="M126" s="2">
        <v>107.0598</v>
      </c>
      <c r="N126" s="2">
        <v>65</v>
      </c>
      <c r="O126" s="2">
        <v>107.1825</v>
      </c>
      <c r="P126" s="2">
        <v>71</v>
      </c>
      <c r="Q126" s="2">
        <v>105.67400000000001</v>
      </c>
      <c r="R126" s="2">
        <v>255</v>
      </c>
      <c r="S126" s="2">
        <v>103.8222</v>
      </c>
      <c r="T126" s="2">
        <v>198</v>
      </c>
      <c r="U126" s="2">
        <v>0.59056699999999995</v>
      </c>
      <c r="V126" s="2">
        <v>125</v>
      </c>
      <c r="W126" s="2">
        <v>2015</v>
      </c>
    </row>
    <row r="127" spans="1:23" ht="12.3" x14ac:dyDescent="0.4">
      <c r="A127" s="2" t="s">
        <v>61</v>
      </c>
      <c r="B127" s="2"/>
      <c r="C127" s="2"/>
      <c r="D127" s="2"/>
      <c r="E127" s="2"/>
      <c r="F127" s="2"/>
      <c r="G127" s="2"/>
      <c r="H127" s="2"/>
      <c r="I127" s="2">
        <v>68.696700000000007</v>
      </c>
      <c r="J127" s="2">
        <v>28</v>
      </c>
      <c r="K127" s="2">
        <v>68.643100000000004</v>
      </c>
      <c r="L127" s="2">
        <v>27</v>
      </c>
      <c r="M127" s="2">
        <v>99.464399999999998</v>
      </c>
      <c r="N127" s="2">
        <v>234</v>
      </c>
      <c r="O127" s="2">
        <v>103.93640000000001</v>
      </c>
      <c r="P127" s="2">
        <v>124</v>
      </c>
      <c r="Q127" s="2">
        <v>103.751</v>
      </c>
      <c r="R127" s="2">
        <v>207</v>
      </c>
      <c r="S127" s="2">
        <v>101.1138</v>
      </c>
      <c r="T127" s="2">
        <v>141</v>
      </c>
      <c r="U127" s="2">
        <v>0.57850299999999999</v>
      </c>
      <c r="V127" s="2">
        <v>126</v>
      </c>
      <c r="W127" s="2">
        <v>2015</v>
      </c>
    </row>
    <row r="128" spans="1:23" ht="12.3" x14ac:dyDescent="0.4">
      <c r="A128" s="2" t="s">
        <v>363</v>
      </c>
      <c r="B128" s="2">
        <v>16</v>
      </c>
      <c r="C128" s="2"/>
      <c r="D128" s="2"/>
      <c r="E128" s="2"/>
      <c r="F128" s="2"/>
      <c r="G128" s="2"/>
      <c r="H128" s="2"/>
      <c r="I128" s="2">
        <v>67.5625</v>
      </c>
      <c r="J128" s="2">
        <v>59</v>
      </c>
      <c r="K128" s="2">
        <v>67.115399999999994</v>
      </c>
      <c r="L128" s="2">
        <v>60</v>
      </c>
      <c r="M128" s="2">
        <v>109.6328</v>
      </c>
      <c r="N128" s="2">
        <v>37</v>
      </c>
      <c r="O128" s="2">
        <v>105.69</v>
      </c>
      <c r="P128" s="2">
        <v>98</v>
      </c>
      <c r="Q128" s="2">
        <v>101.3077</v>
      </c>
      <c r="R128" s="2">
        <v>157</v>
      </c>
      <c r="S128" s="2">
        <v>102.83750000000001</v>
      </c>
      <c r="T128" s="2">
        <v>178</v>
      </c>
      <c r="U128" s="2">
        <v>0.57801800000000003</v>
      </c>
      <c r="V128" s="2">
        <v>127</v>
      </c>
      <c r="W128" s="2">
        <v>2015</v>
      </c>
    </row>
    <row r="129" spans="1:23" ht="12.3" x14ac:dyDescent="0.4">
      <c r="A129" s="2" t="s">
        <v>336</v>
      </c>
      <c r="B129" s="2"/>
      <c r="C129" s="2"/>
      <c r="D129" s="2"/>
      <c r="E129" s="2"/>
      <c r="F129" s="2"/>
      <c r="G129" s="2"/>
      <c r="H129" s="2"/>
      <c r="I129" s="2">
        <v>63.321399999999997</v>
      </c>
      <c r="J129" s="2">
        <v>256</v>
      </c>
      <c r="K129" s="2">
        <v>64.292900000000003</v>
      </c>
      <c r="L129" s="2">
        <v>197</v>
      </c>
      <c r="M129" s="2">
        <v>101.6561</v>
      </c>
      <c r="N129" s="2">
        <v>182</v>
      </c>
      <c r="O129" s="2">
        <v>99.876999999999995</v>
      </c>
      <c r="P129" s="2">
        <v>228</v>
      </c>
      <c r="Q129" s="2">
        <v>94.642899999999997</v>
      </c>
      <c r="R129" s="2">
        <v>29</v>
      </c>
      <c r="S129" s="2">
        <v>97.270300000000006</v>
      </c>
      <c r="T129" s="2">
        <v>75</v>
      </c>
      <c r="U129" s="2">
        <v>0.57544899999999999</v>
      </c>
      <c r="V129" s="2">
        <v>128</v>
      </c>
      <c r="W129" s="2">
        <v>2015</v>
      </c>
    </row>
    <row r="130" spans="1:23" ht="12.3" x14ac:dyDescent="0.4">
      <c r="A130" s="2" t="s">
        <v>117</v>
      </c>
      <c r="B130" s="2"/>
      <c r="C130" s="2"/>
      <c r="D130" s="2"/>
      <c r="E130" s="2"/>
      <c r="F130" s="2"/>
      <c r="G130" s="2"/>
      <c r="H130" s="2"/>
      <c r="I130" s="2">
        <v>70.852199999999996</v>
      </c>
      <c r="J130" s="2">
        <v>7</v>
      </c>
      <c r="K130" s="2">
        <v>69.8309</v>
      </c>
      <c r="L130" s="2">
        <v>12</v>
      </c>
      <c r="M130" s="2">
        <v>104.3497</v>
      </c>
      <c r="N130" s="2">
        <v>118</v>
      </c>
      <c r="O130" s="2">
        <v>103.62569999999999</v>
      </c>
      <c r="P130" s="2">
        <v>135</v>
      </c>
      <c r="Q130" s="2">
        <v>97.578400000000002</v>
      </c>
      <c r="R130" s="2">
        <v>79</v>
      </c>
      <c r="S130" s="2">
        <v>101.09220000000001</v>
      </c>
      <c r="T130" s="2">
        <v>140</v>
      </c>
      <c r="U130" s="2">
        <v>0.57068799999999997</v>
      </c>
      <c r="V130" s="2">
        <v>129</v>
      </c>
      <c r="W130" s="2">
        <v>2015</v>
      </c>
    </row>
    <row r="131" spans="1:23" ht="12.3" x14ac:dyDescent="0.4">
      <c r="A131" s="2" t="s">
        <v>257</v>
      </c>
      <c r="B131" s="2"/>
      <c r="C131" s="2"/>
      <c r="D131" s="2"/>
      <c r="E131" s="2"/>
      <c r="F131" s="2"/>
      <c r="G131" s="2"/>
      <c r="H131" s="2"/>
      <c r="I131" s="2">
        <v>64.238299999999995</v>
      </c>
      <c r="J131" s="2">
        <v>207</v>
      </c>
      <c r="K131" s="2">
        <v>64.178299999999993</v>
      </c>
      <c r="L131" s="2">
        <v>202</v>
      </c>
      <c r="M131" s="2">
        <v>111.2893</v>
      </c>
      <c r="N131" s="2">
        <v>26</v>
      </c>
      <c r="O131" s="2">
        <v>111.3608</v>
      </c>
      <c r="P131" s="2">
        <v>32</v>
      </c>
      <c r="Q131" s="2">
        <v>105.1348</v>
      </c>
      <c r="R131" s="2">
        <v>240</v>
      </c>
      <c r="S131" s="2">
        <v>108.70059999999999</v>
      </c>
      <c r="T131" s="2">
        <v>299</v>
      </c>
      <c r="U131" s="2">
        <v>0.56906699999999999</v>
      </c>
      <c r="V131" s="2">
        <v>130</v>
      </c>
      <c r="W131" s="2">
        <v>2015</v>
      </c>
    </row>
    <row r="132" spans="1:23" ht="12.3" x14ac:dyDescent="0.4">
      <c r="A132" s="2" t="s">
        <v>339</v>
      </c>
      <c r="B132" s="2">
        <v>14</v>
      </c>
      <c r="C132" s="2"/>
      <c r="D132" s="2"/>
      <c r="E132" s="2"/>
      <c r="F132" s="2"/>
      <c r="G132" s="2"/>
      <c r="H132" s="2"/>
      <c r="I132" s="2">
        <v>61.230899999999998</v>
      </c>
      <c r="J132" s="2">
        <v>321</v>
      </c>
      <c r="K132" s="2">
        <v>61.329700000000003</v>
      </c>
      <c r="L132" s="2">
        <v>320</v>
      </c>
      <c r="M132" s="2">
        <v>106.7968</v>
      </c>
      <c r="N132" s="2">
        <v>67</v>
      </c>
      <c r="O132" s="2">
        <v>104.2175</v>
      </c>
      <c r="P132" s="2">
        <v>117</v>
      </c>
      <c r="Q132" s="2">
        <v>98.084199999999996</v>
      </c>
      <c r="R132" s="2">
        <v>86</v>
      </c>
      <c r="S132" s="2">
        <v>101.7462</v>
      </c>
      <c r="T132" s="2">
        <v>155</v>
      </c>
      <c r="U132" s="2">
        <v>0.56856200000000001</v>
      </c>
      <c r="V132" s="2">
        <v>131</v>
      </c>
      <c r="W132" s="2">
        <v>2015</v>
      </c>
    </row>
    <row r="133" spans="1:23" ht="12.3" x14ac:dyDescent="0.4">
      <c r="A133" s="2" t="s">
        <v>136</v>
      </c>
      <c r="B133" s="2"/>
      <c r="C133" s="2"/>
      <c r="D133" s="2"/>
      <c r="E133" s="2"/>
      <c r="F133" s="2"/>
      <c r="G133" s="2"/>
      <c r="H133" s="2"/>
      <c r="I133" s="2">
        <v>63.871299999999998</v>
      </c>
      <c r="J133" s="2">
        <v>232</v>
      </c>
      <c r="K133" s="2">
        <v>63.604799999999997</v>
      </c>
      <c r="L133" s="2">
        <v>245</v>
      </c>
      <c r="M133" s="2">
        <v>94.679299999999998</v>
      </c>
      <c r="N133" s="2">
        <v>302</v>
      </c>
      <c r="O133" s="2">
        <v>96.395200000000003</v>
      </c>
      <c r="P133" s="2">
        <v>283</v>
      </c>
      <c r="Q133" s="2">
        <v>98.001800000000003</v>
      </c>
      <c r="R133" s="2">
        <v>85</v>
      </c>
      <c r="S133" s="2">
        <v>94.131699999999995</v>
      </c>
      <c r="T133" s="2">
        <v>29</v>
      </c>
      <c r="U133" s="2">
        <v>0.56789199999999995</v>
      </c>
      <c r="V133" s="2">
        <v>132</v>
      </c>
      <c r="W133" s="2">
        <v>2015</v>
      </c>
    </row>
    <row r="134" spans="1:23" ht="12.3" x14ac:dyDescent="0.4">
      <c r="A134" s="2" t="s">
        <v>292</v>
      </c>
      <c r="B134" s="2"/>
      <c r="C134" s="2"/>
      <c r="D134" s="2"/>
      <c r="E134" s="2"/>
      <c r="F134" s="2"/>
      <c r="G134" s="2"/>
      <c r="H134" s="2"/>
      <c r="I134" s="2">
        <v>64.880499999999998</v>
      </c>
      <c r="J134" s="2">
        <v>167</v>
      </c>
      <c r="K134" s="2">
        <v>65.979399999999998</v>
      </c>
      <c r="L134" s="2">
        <v>114</v>
      </c>
      <c r="M134" s="2">
        <v>102.8339</v>
      </c>
      <c r="N134" s="2">
        <v>156</v>
      </c>
      <c r="O134" s="2">
        <v>102.3623</v>
      </c>
      <c r="P134" s="2">
        <v>162</v>
      </c>
      <c r="Q134" s="2">
        <v>99.224400000000003</v>
      </c>
      <c r="R134" s="2">
        <v>108</v>
      </c>
      <c r="S134" s="2">
        <v>99.965699999999998</v>
      </c>
      <c r="T134" s="2">
        <v>121</v>
      </c>
      <c r="U134" s="2">
        <v>0.56769599999999998</v>
      </c>
      <c r="V134" s="2">
        <v>133</v>
      </c>
      <c r="W134" s="2">
        <v>2015</v>
      </c>
    </row>
    <row r="135" spans="1:23" ht="12.3" x14ac:dyDescent="0.4">
      <c r="A135" s="2" t="s">
        <v>331</v>
      </c>
      <c r="B135" s="2"/>
      <c r="C135" s="2"/>
      <c r="D135" s="2"/>
      <c r="E135" s="2"/>
      <c r="F135" s="2"/>
      <c r="G135" s="2"/>
      <c r="H135" s="2"/>
      <c r="I135" s="2">
        <v>66.531199999999998</v>
      </c>
      <c r="J135" s="2">
        <v>93</v>
      </c>
      <c r="K135" s="2">
        <v>66.149799999999999</v>
      </c>
      <c r="L135" s="2">
        <v>107</v>
      </c>
      <c r="M135" s="2">
        <v>101.2353</v>
      </c>
      <c r="N135" s="2">
        <v>190</v>
      </c>
      <c r="O135" s="2">
        <v>100.2362</v>
      </c>
      <c r="P135" s="2">
        <v>220</v>
      </c>
      <c r="Q135" s="2">
        <v>98.316500000000005</v>
      </c>
      <c r="R135" s="2">
        <v>92</v>
      </c>
      <c r="S135" s="2">
        <v>97.932199999999995</v>
      </c>
      <c r="T135" s="2">
        <v>85</v>
      </c>
      <c r="U135" s="2">
        <v>0.56646200000000002</v>
      </c>
      <c r="V135" s="2">
        <v>134</v>
      </c>
      <c r="W135" s="2">
        <v>2015</v>
      </c>
    </row>
    <row r="136" spans="1:23" ht="12.3" x14ac:dyDescent="0.4">
      <c r="A136" s="2" t="s">
        <v>155</v>
      </c>
      <c r="B136" s="2"/>
      <c r="C136" s="2"/>
      <c r="D136" s="2"/>
      <c r="E136" s="2"/>
      <c r="F136" s="2"/>
      <c r="G136" s="2"/>
      <c r="H136" s="2"/>
      <c r="I136" s="2">
        <v>68.347899999999996</v>
      </c>
      <c r="J136" s="2">
        <v>35</v>
      </c>
      <c r="K136" s="2">
        <v>67.553600000000003</v>
      </c>
      <c r="L136" s="2">
        <v>49</v>
      </c>
      <c r="M136" s="2">
        <v>100.7353</v>
      </c>
      <c r="N136" s="2">
        <v>202</v>
      </c>
      <c r="O136" s="2">
        <v>103.80889999999999</v>
      </c>
      <c r="P136" s="2">
        <v>128</v>
      </c>
      <c r="Q136" s="2">
        <v>102.2518</v>
      </c>
      <c r="R136" s="2">
        <v>174</v>
      </c>
      <c r="S136" s="2">
        <v>101.55759999999999</v>
      </c>
      <c r="T136" s="2">
        <v>150</v>
      </c>
      <c r="U136" s="2">
        <v>0.56270399999999998</v>
      </c>
      <c r="V136" s="2">
        <v>135</v>
      </c>
      <c r="W136" s="2">
        <v>2015</v>
      </c>
    </row>
    <row r="137" spans="1:23" ht="12.3" x14ac:dyDescent="0.4">
      <c r="A137" s="2" t="s">
        <v>187</v>
      </c>
      <c r="B137" s="2">
        <v>13</v>
      </c>
      <c r="C137" s="2"/>
      <c r="D137" s="2"/>
      <c r="E137" s="2"/>
      <c r="F137" s="2"/>
      <c r="G137" s="2"/>
      <c r="H137" s="2"/>
      <c r="I137" s="2">
        <v>68.415199999999999</v>
      </c>
      <c r="J137" s="2">
        <v>33</v>
      </c>
      <c r="K137" s="2">
        <v>68.779499999999999</v>
      </c>
      <c r="L137" s="2">
        <v>24</v>
      </c>
      <c r="M137" s="2">
        <v>114.81950000000001</v>
      </c>
      <c r="N137" s="2">
        <v>13</v>
      </c>
      <c r="O137" s="2">
        <v>110.0324</v>
      </c>
      <c r="P137" s="2">
        <v>46</v>
      </c>
      <c r="Q137" s="2">
        <v>107.6451</v>
      </c>
      <c r="R137" s="2">
        <v>296</v>
      </c>
      <c r="S137" s="2">
        <v>107.68</v>
      </c>
      <c r="T137" s="2">
        <v>279</v>
      </c>
      <c r="U137" s="2">
        <v>0.56181300000000001</v>
      </c>
      <c r="V137" s="2">
        <v>136</v>
      </c>
      <c r="W137" s="2">
        <v>2015</v>
      </c>
    </row>
    <row r="138" spans="1:23" ht="12.3" x14ac:dyDescent="0.4">
      <c r="A138" s="2" t="s">
        <v>188</v>
      </c>
      <c r="B138" s="2"/>
      <c r="C138" s="2"/>
      <c r="D138" s="2"/>
      <c r="E138" s="2"/>
      <c r="F138" s="2"/>
      <c r="G138" s="2"/>
      <c r="H138" s="2"/>
      <c r="I138" s="2">
        <v>65.947900000000004</v>
      </c>
      <c r="J138" s="2">
        <v>121</v>
      </c>
      <c r="K138" s="2">
        <v>65.424899999999994</v>
      </c>
      <c r="L138" s="2">
        <v>139</v>
      </c>
      <c r="M138" s="2">
        <v>98.559399999999997</v>
      </c>
      <c r="N138" s="2">
        <v>252</v>
      </c>
      <c r="O138" s="2">
        <v>100.97410000000001</v>
      </c>
      <c r="P138" s="2">
        <v>195</v>
      </c>
      <c r="Q138" s="2">
        <v>102.5891</v>
      </c>
      <c r="R138" s="2">
        <v>183</v>
      </c>
      <c r="S138" s="2">
        <v>99.018699999999995</v>
      </c>
      <c r="T138" s="2">
        <v>100</v>
      </c>
      <c r="U138" s="2">
        <v>0.55598800000000004</v>
      </c>
      <c r="V138" s="2">
        <v>137</v>
      </c>
      <c r="W138" s="2">
        <v>2015</v>
      </c>
    </row>
    <row r="139" spans="1:23" ht="12.3" x14ac:dyDescent="0.4">
      <c r="A139" s="2" t="s">
        <v>68</v>
      </c>
      <c r="B139" s="2"/>
      <c r="C139" s="2"/>
      <c r="D139" s="2"/>
      <c r="E139" s="2"/>
      <c r="F139" s="2"/>
      <c r="G139" s="2"/>
      <c r="H139" s="2"/>
      <c r="I139" s="2">
        <v>67.442099999999996</v>
      </c>
      <c r="J139" s="2">
        <v>62</v>
      </c>
      <c r="K139" s="2">
        <v>66.553399999999996</v>
      </c>
      <c r="L139" s="2">
        <v>86</v>
      </c>
      <c r="M139" s="2">
        <v>102.3048</v>
      </c>
      <c r="N139" s="2">
        <v>171</v>
      </c>
      <c r="O139" s="2">
        <v>102.60120000000001</v>
      </c>
      <c r="P139" s="2">
        <v>159</v>
      </c>
      <c r="Q139" s="2">
        <v>99.929900000000004</v>
      </c>
      <c r="R139" s="2">
        <v>123</v>
      </c>
      <c r="S139" s="2">
        <v>100.6144</v>
      </c>
      <c r="T139" s="2">
        <v>133</v>
      </c>
      <c r="U139" s="2">
        <v>0.55598099999999995</v>
      </c>
      <c r="V139" s="2">
        <v>138</v>
      </c>
      <c r="W139" s="2">
        <v>2015</v>
      </c>
    </row>
    <row r="140" spans="1:23" ht="12.3" x14ac:dyDescent="0.4">
      <c r="A140" s="2" t="s">
        <v>330</v>
      </c>
      <c r="B140" s="2"/>
      <c r="C140" s="2"/>
      <c r="D140" s="2"/>
      <c r="E140" s="2"/>
      <c r="F140" s="2"/>
      <c r="G140" s="2"/>
      <c r="H140" s="2"/>
      <c r="I140" s="2">
        <v>62.913800000000002</v>
      </c>
      <c r="J140" s="2">
        <v>276</v>
      </c>
      <c r="K140" s="2">
        <v>62.485399999999998</v>
      </c>
      <c r="L140" s="2">
        <v>286</v>
      </c>
      <c r="M140" s="2">
        <v>108.5372</v>
      </c>
      <c r="N140" s="2">
        <v>51</v>
      </c>
      <c r="O140" s="2">
        <v>106.1998</v>
      </c>
      <c r="P140" s="2">
        <v>86</v>
      </c>
      <c r="Q140" s="2">
        <v>105.0124</v>
      </c>
      <c r="R140" s="2">
        <v>238</v>
      </c>
      <c r="S140" s="2">
        <v>104.16540000000001</v>
      </c>
      <c r="T140" s="2">
        <v>207</v>
      </c>
      <c r="U140" s="2">
        <v>0.55538100000000001</v>
      </c>
      <c r="V140" s="2">
        <v>139</v>
      </c>
      <c r="W140" s="2">
        <v>2015</v>
      </c>
    </row>
    <row r="141" spans="1:23" ht="12.3" x14ac:dyDescent="0.4">
      <c r="A141" s="2" t="s">
        <v>162</v>
      </c>
      <c r="B141" s="2"/>
      <c r="C141" s="2"/>
      <c r="D141" s="2"/>
      <c r="E141" s="2"/>
      <c r="F141" s="2"/>
      <c r="G141" s="2"/>
      <c r="H141" s="2"/>
      <c r="I141" s="2">
        <v>64.758899999999997</v>
      </c>
      <c r="J141" s="2">
        <v>175</v>
      </c>
      <c r="K141" s="2">
        <v>64.8078</v>
      </c>
      <c r="L141" s="2">
        <v>163</v>
      </c>
      <c r="M141" s="2">
        <v>107.59180000000001</v>
      </c>
      <c r="N141" s="2">
        <v>57</v>
      </c>
      <c r="O141" s="2">
        <v>106.25</v>
      </c>
      <c r="P141" s="2">
        <v>84</v>
      </c>
      <c r="Q141" s="2">
        <v>106.0688</v>
      </c>
      <c r="R141" s="2">
        <v>263</v>
      </c>
      <c r="S141" s="2">
        <v>104.3518</v>
      </c>
      <c r="T141" s="2">
        <v>209</v>
      </c>
      <c r="U141" s="2">
        <v>0.55164299999999999</v>
      </c>
      <c r="V141" s="2">
        <v>140</v>
      </c>
      <c r="W141" s="2">
        <v>2015</v>
      </c>
    </row>
    <row r="142" spans="1:23" ht="12.3" x14ac:dyDescent="0.4">
      <c r="A142" s="2" t="s">
        <v>115</v>
      </c>
      <c r="B142" s="2"/>
      <c r="C142" s="2"/>
      <c r="D142" s="2"/>
      <c r="E142" s="2"/>
      <c r="F142" s="2"/>
      <c r="G142" s="2"/>
      <c r="H142" s="2"/>
      <c r="I142" s="2">
        <v>61.960799999999999</v>
      </c>
      <c r="J142" s="2">
        <v>306</v>
      </c>
      <c r="K142" s="2">
        <v>62.491799999999998</v>
      </c>
      <c r="L142" s="2">
        <v>285</v>
      </c>
      <c r="M142" s="2">
        <v>98.853499999999997</v>
      </c>
      <c r="N142" s="2">
        <v>247</v>
      </c>
      <c r="O142" s="2">
        <v>98.918300000000002</v>
      </c>
      <c r="P142" s="2">
        <v>242</v>
      </c>
      <c r="Q142" s="2">
        <v>96.384600000000006</v>
      </c>
      <c r="R142" s="2">
        <v>55</v>
      </c>
      <c r="S142" s="2">
        <v>97.174000000000007</v>
      </c>
      <c r="T142" s="2">
        <v>73</v>
      </c>
      <c r="U142" s="2">
        <v>0.55096999999999996</v>
      </c>
      <c r="V142" s="2">
        <v>141</v>
      </c>
      <c r="W142" s="2">
        <v>2015</v>
      </c>
    </row>
    <row r="143" spans="1:23" ht="12.3" x14ac:dyDescent="0.4">
      <c r="A143" s="2" t="s">
        <v>113</v>
      </c>
      <c r="B143" s="2"/>
      <c r="C143" s="2"/>
      <c r="D143" s="2"/>
      <c r="E143" s="2"/>
      <c r="F143" s="2"/>
      <c r="G143" s="2"/>
      <c r="H143" s="2"/>
      <c r="I143" s="2">
        <v>67.692999999999998</v>
      </c>
      <c r="J143" s="2">
        <v>57</v>
      </c>
      <c r="K143" s="2">
        <v>67.999799999999993</v>
      </c>
      <c r="L143" s="2">
        <v>34</v>
      </c>
      <c r="M143" s="2">
        <v>98.200199999999995</v>
      </c>
      <c r="N143" s="2">
        <v>257</v>
      </c>
      <c r="O143" s="2">
        <v>103.4796</v>
      </c>
      <c r="P143" s="2">
        <v>138</v>
      </c>
      <c r="Q143" s="2">
        <v>105.4881</v>
      </c>
      <c r="R143" s="2">
        <v>251</v>
      </c>
      <c r="S143" s="2">
        <v>101.745</v>
      </c>
      <c r="T143" s="2">
        <v>154</v>
      </c>
      <c r="U143" s="2">
        <v>0.54844800000000005</v>
      </c>
      <c r="V143" s="2">
        <v>142</v>
      </c>
      <c r="W143" s="2">
        <v>2015</v>
      </c>
    </row>
    <row r="144" spans="1:23" ht="12.3" x14ac:dyDescent="0.4">
      <c r="A144" s="2" t="s">
        <v>228</v>
      </c>
      <c r="B144" s="2"/>
      <c r="C144" s="2"/>
      <c r="D144" s="2"/>
      <c r="E144" s="2"/>
      <c r="F144" s="2"/>
      <c r="G144" s="2"/>
      <c r="H144" s="2"/>
      <c r="I144" s="2">
        <v>61.779000000000003</v>
      </c>
      <c r="J144" s="2">
        <v>309</v>
      </c>
      <c r="K144" s="2">
        <v>61.572899999999997</v>
      </c>
      <c r="L144" s="2">
        <v>314</v>
      </c>
      <c r="M144" s="2">
        <v>99.896900000000002</v>
      </c>
      <c r="N144" s="2">
        <v>222</v>
      </c>
      <c r="O144" s="2">
        <v>100.5522</v>
      </c>
      <c r="P144" s="2">
        <v>208</v>
      </c>
      <c r="Q144" s="2">
        <v>98.623000000000005</v>
      </c>
      <c r="R144" s="2">
        <v>97</v>
      </c>
      <c r="S144" s="2">
        <v>98.9024</v>
      </c>
      <c r="T144" s="2">
        <v>96</v>
      </c>
      <c r="U144" s="2">
        <v>0.54741899999999999</v>
      </c>
      <c r="V144" s="2">
        <v>143</v>
      </c>
      <c r="W144" s="2">
        <v>2015</v>
      </c>
    </row>
    <row r="145" spans="1:23" ht="12.3" x14ac:dyDescent="0.4">
      <c r="A145" s="2" t="s">
        <v>150</v>
      </c>
      <c r="B145" s="2"/>
      <c r="C145" s="2"/>
      <c r="D145" s="2"/>
      <c r="E145" s="2"/>
      <c r="F145" s="2"/>
      <c r="G145" s="2"/>
      <c r="H145" s="2"/>
      <c r="I145" s="2">
        <v>59.482300000000002</v>
      </c>
      <c r="J145" s="2">
        <v>342</v>
      </c>
      <c r="K145" s="2">
        <v>60.724800000000002</v>
      </c>
      <c r="L145" s="2">
        <v>333</v>
      </c>
      <c r="M145" s="2">
        <v>102.22069999999999</v>
      </c>
      <c r="N145" s="2">
        <v>173</v>
      </c>
      <c r="O145" s="2">
        <v>103.1549</v>
      </c>
      <c r="P145" s="2">
        <v>145</v>
      </c>
      <c r="Q145" s="2">
        <v>100.6918</v>
      </c>
      <c r="R145" s="2">
        <v>140</v>
      </c>
      <c r="S145" s="2">
        <v>101.62820000000001</v>
      </c>
      <c r="T145" s="2">
        <v>151</v>
      </c>
      <c r="U145" s="2">
        <v>0.54276400000000002</v>
      </c>
      <c r="V145" s="2">
        <v>144</v>
      </c>
      <c r="W145" s="2">
        <v>2015</v>
      </c>
    </row>
    <row r="146" spans="1:23" ht="12.3" x14ac:dyDescent="0.4">
      <c r="A146" s="2" t="s">
        <v>139</v>
      </c>
      <c r="B146" s="2">
        <v>16</v>
      </c>
      <c r="C146" s="2"/>
      <c r="D146" s="2"/>
      <c r="E146" s="2"/>
      <c r="F146" s="2"/>
      <c r="G146" s="2"/>
      <c r="H146" s="2"/>
      <c r="I146" s="2">
        <v>67.941100000000006</v>
      </c>
      <c r="J146" s="2">
        <v>45</v>
      </c>
      <c r="K146" s="2">
        <v>68.223100000000002</v>
      </c>
      <c r="L146" s="2">
        <v>30</v>
      </c>
      <c r="M146" s="2">
        <v>101.2805</v>
      </c>
      <c r="N146" s="2">
        <v>189</v>
      </c>
      <c r="O146" s="2">
        <v>100.907</v>
      </c>
      <c r="P146" s="2">
        <v>196</v>
      </c>
      <c r="Q146" s="2">
        <v>97.792599999999993</v>
      </c>
      <c r="R146" s="2">
        <v>81</v>
      </c>
      <c r="S146" s="2">
        <v>99.471800000000002</v>
      </c>
      <c r="T146" s="2">
        <v>109</v>
      </c>
      <c r="U146" s="2">
        <v>0.54108999999999996</v>
      </c>
      <c r="V146" s="2">
        <v>145</v>
      </c>
      <c r="W146" s="2">
        <v>2015</v>
      </c>
    </row>
    <row r="147" spans="1:23" ht="12.3" x14ac:dyDescent="0.4">
      <c r="A147" s="2" t="s">
        <v>173</v>
      </c>
      <c r="B147" s="2"/>
      <c r="C147" s="2"/>
      <c r="D147" s="2"/>
      <c r="E147" s="2"/>
      <c r="F147" s="2"/>
      <c r="G147" s="2"/>
      <c r="H147" s="2"/>
      <c r="I147" s="2">
        <v>65.632400000000004</v>
      </c>
      <c r="J147" s="2">
        <v>135</v>
      </c>
      <c r="K147" s="2">
        <v>65.941900000000004</v>
      </c>
      <c r="L147" s="2">
        <v>116</v>
      </c>
      <c r="M147" s="2">
        <v>103.8844</v>
      </c>
      <c r="N147" s="2">
        <v>130</v>
      </c>
      <c r="O147" s="2">
        <v>103.1443</v>
      </c>
      <c r="P147" s="2">
        <v>146</v>
      </c>
      <c r="Q147" s="2">
        <v>103.7987</v>
      </c>
      <c r="R147" s="2">
        <v>208</v>
      </c>
      <c r="S147" s="2">
        <v>101.6806</v>
      </c>
      <c r="T147" s="2">
        <v>153</v>
      </c>
      <c r="U147" s="2">
        <v>0.54099900000000001</v>
      </c>
      <c r="V147" s="2">
        <v>146</v>
      </c>
      <c r="W147" s="2">
        <v>2015</v>
      </c>
    </row>
    <row r="148" spans="1:23" ht="12.3" x14ac:dyDescent="0.4">
      <c r="A148" s="2" t="s">
        <v>153</v>
      </c>
      <c r="B148" s="2"/>
      <c r="C148" s="2"/>
      <c r="D148" s="2"/>
      <c r="E148" s="2"/>
      <c r="F148" s="2"/>
      <c r="G148" s="2"/>
      <c r="H148" s="2"/>
      <c r="I148" s="2">
        <v>64.310500000000005</v>
      </c>
      <c r="J148" s="2">
        <v>204</v>
      </c>
      <c r="K148" s="2">
        <v>63.252600000000001</v>
      </c>
      <c r="L148" s="2">
        <v>260</v>
      </c>
      <c r="M148" s="2">
        <v>100.7567</v>
      </c>
      <c r="N148" s="2">
        <v>201</v>
      </c>
      <c r="O148" s="2">
        <v>97.706299999999999</v>
      </c>
      <c r="P148" s="2">
        <v>260</v>
      </c>
      <c r="Q148" s="2">
        <v>94.275400000000005</v>
      </c>
      <c r="R148" s="2">
        <v>26</v>
      </c>
      <c r="S148" s="2">
        <v>96.342600000000004</v>
      </c>
      <c r="T148" s="2">
        <v>60</v>
      </c>
      <c r="U148" s="2">
        <v>0.54032000000000002</v>
      </c>
      <c r="V148" s="2">
        <v>147</v>
      </c>
      <c r="W148" s="2">
        <v>2015</v>
      </c>
    </row>
    <row r="149" spans="1:23" ht="12.3" x14ac:dyDescent="0.4">
      <c r="A149" s="2" t="s">
        <v>334</v>
      </c>
      <c r="B149" s="2">
        <v>16</v>
      </c>
      <c r="C149" s="2"/>
      <c r="D149" s="2"/>
      <c r="E149" s="2"/>
      <c r="F149" s="2"/>
      <c r="G149" s="2"/>
      <c r="H149" s="2"/>
      <c r="I149" s="2">
        <v>64.762100000000004</v>
      </c>
      <c r="J149" s="2">
        <v>174</v>
      </c>
      <c r="K149" s="2">
        <v>64.417000000000002</v>
      </c>
      <c r="L149" s="2">
        <v>190</v>
      </c>
      <c r="M149" s="2">
        <v>109.07940000000001</v>
      </c>
      <c r="N149" s="2">
        <v>43</v>
      </c>
      <c r="O149" s="2">
        <v>103.5363</v>
      </c>
      <c r="P149" s="2">
        <v>136</v>
      </c>
      <c r="Q149" s="2">
        <v>99.710400000000007</v>
      </c>
      <c r="R149" s="2">
        <v>119</v>
      </c>
      <c r="S149" s="2">
        <v>102.2055</v>
      </c>
      <c r="T149" s="2">
        <v>164</v>
      </c>
      <c r="U149" s="2">
        <v>0.53712300000000002</v>
      </c>
      <c r="V149" s="2">
        <v>148</v>
      </c>
      <c r="W149" s="2">
        <v>2015</v>
      </c>
    </row>
    <row r="150" spans="1:23" ht="12.3" x14ac:dyDescent="0.4">
      <c r="A150" s="2" t="s">
        <v>244</v>
      </c>
      <c r="B150" s="2">
        <v>15</v>
      </c>
      <c r="C150" s="2"/>
      <c r="D150" s="2"/>
      <c r="E150" s="2"/>
      <c r="F150" s="2"/>
      <c r="G150" s="2"/>
      <c r="H150" s="2"/>
      <c r="I150" s="2">
        <v>67.383899999999997</v>
      </c>
      <c r="J150" s="2">
        <v>65</v>
      </c>
      <c r="K150" s="2">
        <v>67.092399999999998</v>
      </c>
      <c r="L150" s="2">
        <v>63</v>
      </c>
      <c r="M150" s="2">
        <v>109.27070000000001</v>
      </c>
      <c r="N150" s="2">
        <v>41</v>
      </c>
      <c r="O150" s="2">
        <v>107.8516</v>
      </c>
      <c r="P150" s="2">
        <v>64</v>
      </c>
      <c r="Q150" s="2">
        <v>104.0763</v>
      </c>
      <c r="R150" s="2">
        <v>215</v>
      </c>
      <c r="S150" s="2">
        <v>106.4962</v>
      </c>
      <c r="T150" s="2">
        <v>259</v>
      </c>
      <c r="U150" s="2">
        <v>0.53629599999999999</v>
      </c>
      <c r="V150" s="2">
        <v>149</v>
      </c>
      <c r="W150" s="2">
        <v>2015</v>
      </c>
    </row>
    <row r="151" spans="1:23" ht="12.3" x14ac:dyDescent="0.4">
      <c r="A151" s="2" t="s">
        <v>176</v>
      </c>
      <c r="B151" s="2"/>
      <c r="C151" s="2"/>
      <c r="D151" s="2"/>
      <c r="E151" s="2"/>
      <c r="F151" s="2"/>
      <c r="G151" s="2"/>
      <c r="H151" s="2"/>
      <c r="I151" s="2">
        <v>64.850899999999996</v>
      </c>
      <c r="J151" s="2">
        <v>170</v>
      </c>
      <c r="K151" s="2">
        <v>65.3613</v>
      </c>
      <c r="L151" s="2">
        <v>142</v>
      </c>
      <c r="M151" s="2">
        <v>104.8515</v>
      </c>
      <c r="N151" s="2">
        <v>107</v>
      </c>
      <c r="O151" s="2">
        <v>105.9199</v>
      </c>
      <c r="P151" s="2">
        <v>93</v>
      </c>
      <c r="Q151" s="2">
        <v>102.4628</v>
      </c>
      <c r="R151" s="2">
        <v>182</v>
      </c>
      <c r="S151" s="2">
        <v>104.6057</v>
      </c>
      <c r="T151" s="2">
        <v>215</v>
      </c>
      <c r="U151" s="2">
        <v>0.53583400000000003</v>
      </c>
      <c r="V151" s="2">
        <v>150</v>
      </c>
      <c r="W151" s="2">
        <v>2015</v>
      </c>
    </row>
    <row r="152" spans="1:23" ht="12.3" x14ac:dyDescent="0.4">
      <c r="A152" s="2" t="s">
        <v>360</v>
      </c>
      <c r="B152" s="2">
        <v>15</v>
      </c>
      <c r="C152" s="2"/>
      <c r="D152" s="2"/>
      <c r="E152" s="2"/>
      <c r="F152" s="2"/>
      <c r="G152" s="2"/>
      <c r="H152" s="2"/>
      <c r="I152" s="2">
        <v>61.424900000000001</v>
      </c>
      <c r="J152" s="2">
        <v>317</v>
      </c>
      <c r="K152" s="2">
        <v>61.176299999999998</v>
      </c>
      <c r="L152" s="2">
        <v>321</v>
      </c>
      <c r="M152" s="2">
        <v>103.55240000000001</v>
      </c>
      <c r="N152" s="2">
        <v>137</v>
      </c>
      <c r="O152" s="2">
        <v>100.9777</v>
      </c>
      <c r="P152" s="2">
        <v>194</v>
      </c>
      <c r="Q152" s="2">
        <v>98.960700000000003</v>
      </c>
      <c r="R152" s="2">
        <v>105</v>
      </c>
      <c r="S152" s="2">
        <v>100.07470000000001</v>
      </c>
      <c r="T152" s="2">
        <v>124</v>
      </c>
      <c r="U152" s="2">
        <v>0.52580099999999996</v>
      </c>
      <c r="V152" s="2">
        <v>151</v>
      </c>
      <c r="W152" s="2">
        <v>2015</v>
      </c>
    </row>
    <row r="153" spans="1:23" ht="12.3" x14ac:dyDescent="0.4">
      <c r="A153" s="2" t="s">
        <v>277</v>
      </c>
      <c r="B153" s="2"/>
      <c r="C153" s="2"/>
      <c r="D153" s="2"/>
      <c r="E153" s="2"/>
      <c r="F153" s="2"/>
      <c r="G153" s="2"/>
      <c r="H153" s="2"/>
      <c r="I153" s="2">
        <v>65.299800000000005</v>
      </c>
      <c r="J153" s="2">
        <v>149</v>
      </c>
      <c r="K153" s="2">
        <v>64.325400000000002</v>
      </c>
      <c r="L153" s="2">
        <v>195</v>
      </c>
      <c r="M153" s="2">
        <v>103.9547</v>
      </c>
      <c r="N153" s="2">
        <v>127</v>
      </c>
      <c r="O153" s="2">
        <v>101.09820000000001</v>
      </c>
      <c r="P153" s="2">
        <v>190</v>
      </c>
      <c r="Q153" s="2">
        <v>96.577200000000005</v>
      </c>
      <c r="R153" s="2">
        <v>60</v>
      </c>
      <c r="S153" s="2">
        <v>100.25700000000001</v>
      </c>
      <c r="T153" s="2">
        <v>128</v>
      </c>
      <c r="U153" s="2">
        <v>0.52400199999999997</v>
      </c>
      <c r="V153" s="2">
        <v>152</v>
      </c>
      <c r="W153" s="2">
        <v>2015</v>
      </c>
    </row>
    <row r="154" spans="1:23" ht="12.3" x14ac:dyDescent="0.4">
      <c r="A154" s="2" t="s">
        <v>63</v>
      </c>
      <c r="B154" s="2"/>
      <c r="C154" s="2"/>
      <c r="D154" s="2"/>
      <c r="E154" s="2"/>
      <c r="F154" s="2"/>
      <c r="G154" s="2"/>
      <c r="H154" s="2"/>
      <c r="I154" s="2">
        <v>67.276799999999994</v>
      </c>
      <c r="J154" s="2">
        <v>68</v>
      </c>
      <c r="K154" s="2">
        <v>67.494299999999996</v>
      </c>
      <c r="L154" s="2">
        <v>53</v>
      </c>
      <c r="M154" s="2">
        <v>106.2287</v>
      </c>
      <c r="N154" s="2">
        <v>83</v>
      </c>
      <c r="O154" s="2">
        <v>107.53740000000001</v>
      </c>
      <c r="P154" s="2">
        <v>66</v>
      </c>
      <c r="Q154" s="2">
        <v>104.578</v>
      </c>
      <c r="R154" s="2">
        <v>227</v>
      </c>
      <c r="S154" s="2">
        <v>106.78530000000001</v>
      </c>
      <c r="T154" s="2">
        <v>265</v>
      </c>
      <c r="U154" s="2">
        <v>0.52016700000000005</v>
      </c>
      <c r="V154" s="2">
        <v>153</v>
      </c>
      <c r="W154" s="2">
        <v>2015</v>
      </c>
    </row>
    <row r="155" spans="1:23" ht="12.3" x14ac:dyDescent="0.4">
      <c r="A155" s="2" t="s">
        <v>42</v>
      </c>
      <c r="B155" s="2"/>
      <c r="C155" s="2"/>
      <c r="D155" s="2"/>
      <c r="E155" s="2"/>
      <c r="F155" s="2"/>
      <c r="G155" s="2"/>
      <c r="H155" s="2"/>
      <c r="I155" s="2">
        <v>68.758099999999999</v>
      </c>
      <c r="J155" s="2">
        <v>25</v>
      </c>
      <c r="K155" s="2">
        <v>68.704899999999995</v>
      </c>
      <c r="L155" s="2">
        <v>25</v>
      </c>
      <c r="M155" s="2">
        <v>95.722200000000001</v>
      </c>
      <c r="N155" s="2">
        <v>293</v>
      </c>
      <c r="O155" s="2">
        <v>98.609399999999994</v>
      </c>
      <c r="P155" s="2">
        <v>245</v>
      </c>
      <c r="Q155" s="2">
        <v>101.5765</v>
      </c>
      <c r="R155" s="2">
        <v>163</v>
      </c>
      <c r="S155" s="2">
        <v>97.945999999999998</v>
      </c>
      <c r="T155" s="2">
        <v>86</v>
      </c>
      <c r="U155" s="2">
        <v>0.51939500000000005</v>
      </c>
      <c r="V155" s="2">
        <v>154</v>
      </c>
      <c r="W155" s="2">
        <v>2015</v>
      </c>
    </row>
    <row r="156" spans="1:23" ht="12.3" x14ac:dyDescent="0.4">
      <c r="A156" s="2" t="s">
        <v>165</v>
      </c>
      <c r="B156" s="2"/>
      <c r="C156" s="2"/>
      <c r="D156" s="2"/>
      <c r="E156" s="2"/>
      <c r="F156" s="2"/>
      <c r="G156" s="2"/>
      <c r="H156" s="2"/>
      <c r="I156" s="2">
        <v>66.577699999999993</v>
      </c>
      <c r="J156" s="2">
        <v>90</v>
      </c>
      <c r="K156" s="2">
        <v>66.632300000000001</v>
      </c>
      <c r="L156" s="2">
        <v>83</v>
      </c>
      <c r="M156" s="2">
        <v>107.3304</v>
      </c>
      <c r="N156" s="2">
        <v>62</v>
      </c>
      <c r="O156" s="2">
        <v>108.6431</v>
      </c>
      <c r="P156" s="2">
        <v>54</v>
      </c>
      <c r="Q156" s="2">
        <v>110.62560000000001</v>
      </c>
      <c r="R156" s="2">
        <v>327</v>
      </c>
      <c r="S156" s="2">
        <v>107.998</v>
      </c>
      <c r="T156" s="2">
        <v>288</v>
      </c>
      <c r="U156" s="2">
        <v>0.51711600000000002</v>
      </c>
      <c r="V156" s="2">
        <v>155</v>
      </c>
      <c r="W156" s="2">
        <v>2015</v>
      </c>
    </row>
    <row r="157" spans="1:23" ht="12.3" x14ac:dyDescent="0.4">
      <c r="A157" s="2" t="s">
        <v>59</v>
      </c>
      <c r="B157" s="2"/>
      <c r="C157" s="2"/>
      <c r="D157" s="2"/>
      <c r="E157" s="2"/>
      <c r="F157" s="2"/>
      <c r="G157" s="2"/>
      <c r="H157" s="2"/>
      <c r="I157" s="2">
        <v>62.965000000000003</v>
      </c>
      <c r="J157" s="2">
        <v>273</v>
      </c>
      <c r="K157" s="2">
        <v>61.923000000000002</v>
      </c>
      <c r="L157" s="2">
        <v>302</v>
      </c>
      <c r="M157" s="2">
        <v>95.632999999999996</v>
      </c>
      <c r="N157" s="2">
        <v>295</v>
      </c>
      <c r="O157" s="2">
        <v>100.4308</v>
      </c>
      <c r="P157" s="2">
        <v>216</v>
      </c>
      <c r="Q157" s="2">
        <v>101.82810000000001</v>
      </c>
      <c r="R157" s="2">
        <v>167</v>
      </c>
      <c r="S157" s="2">
        <v>99.851799999999997</v>
      </c>
      <c r="T157" s="2">
        <v>116</v>
      </c>
      <c r="U157" s="2">
        <v>0.51661699999999999</v>
      </c>
      <c r="V157" s="2">
        <v>156</v>
      </c>
      <c r="W157" s="2">
        <v>2015</v>
      </c>
    </row>
    <row r="158" spans="1:23" ht="12.3" x14ac:dyDescent="0.4">
      <c r="A158" s="2" t="s">
        <v>189</v>
      </c>
      <c r="B158" s="2"/>
      <c r="C158" s="2"/>
      <c r="D158" s="2"/>
      <c r="E158" s="2"/>
      <c r="F158" s="2"/>
      <c r="G158" s="2"/>
      <c r="H158" s="2"/>
      <c r="I158" s="2">
        <v>59.279000000000003</v>
      </c>
      <c r="J158" s="2">
        <v>344</v>
      </c>
      <c r="K158" s="2">
        <v>58.895899999999997</v>
      </c>
      <c r="L158" s="2">
        <v>346</v>
      </c>
      <c r="M158" s="2">
        <v>100.0248</v>
      </c>
      <c r="N158" s="2">
        <v>216</v>
      </c>
      <c r="O158" s="2">
        <v>100.5223</v>
      </c>
      <c r="P158" s="2">
        <v>212</v>
      </c>
      <c r="Q158" s="2">
        <v>101.8018</v>
      </c>
      <c r="R158" s="2">
        <v>166</v>
      </c>
      <c r="S158" s="2">
        <v>100.18210000000001</v>
      </c>
      <c r="T158" s="2">
        <v>126</v>
      </c>
      <c r="U158" s="2">
        <v>0.50974399999999997</v>
      </c>
      <c r="V158" s="2">
        <v>157</v>
      </c>
      <c r="W158" s="2">
        <v>2015</v>
      </c>
    </row>
    <row r="159" spans="1:23" ht="12.3" x14ac:dyDescent="0.4">
      <c r="A159" s="2" t="s">
        <v>166</v>
      </c>
      <c r="B159" s="2"/>
      <c r="C159" s="2"/>
      <c r="D159" s="2"/>
      <c r="E159" s="2"/>
      <c r="F159" s="2"/>
      <c r="G159" s="2"/>
      <c r="H159" s="2"/>
      <c r="I159" s="2">
        <v>65.283799999999999</v>
      </c>
      <c r="J159" s="2">
        <v>150</v>
      </c>
      <c r="K159" s="2">
        <v>65.013999999999996</v>
      </c>
      <c r="L159" s="2">
        <v>155</v>
      </c>
      <c r="M159" s="2">
        <v>106.00369999999999</v>
      </c>
      <c r="N159" s="2">
        <v>86</v>
      </c>
      <c r="O159" s="2">
        <v>103.4679</v>
      </c>
      <c r="P159" s="2">
        <v>140</v>
      </c>
      <c r="Q159" s="2">
        <v>102.36579999999999</v>
      </c>
      <c r="R159" s="2">
        <v>176</v>
      </c>
      <c r="S159" s="2">
        <v>103.32089999999999</v>
      </c>
      <c r="T159" s="2">
        <v>185</v>
      </c>
      <c r="U159" s="2">
        <v>0.50408900000000001</v>
      </c>
      <c r="V159" s="2">
        <v>158</v>
      </c>
      <c r="W159" s="2">
        <v>2015</v>
      </c>
    </row>
    <row r="160" spans="1:23" ht="12.3" x14ac:dyDescent="0.4">
      <c r="A160" s="2" t="s">
        <v>182</v>
      </c>
      <c r="B160" s="2"/>
      <c r="C160" s="2"/>
      <c r="D160" s="2"/>
      <c r="E160" s="2"/>
      <c r="F160" s="2"/>
      <c r="G160" s="2"/>
      <c r="H160" s="2"/>
      <c r="I160" s="2">
        <v>64.598699999999994</v>
      </c>
      <c r="J160" s="2">
        <v>186</v>
      </c>
      <c r="K160" s="2">
        <v>64.739400000000003</v>
      </c>
      <c r="L160" s="2">
        <v>168</v>
      </c>
      <c r="M160" s="2">
        <v>99.953500000000005</v>
      </c>
      <c r="N160" s="2">
        <v>219</v>
      </c>
      <c r="O160" s="2">
        <v>99.066599999999994</v>
      </c>
      <c r="P160" s="2">
        <v>238</v>
      </c>
      <c r="Q160" s="2">
        <v>97.516199999999998</v>
      </c>
      <c r="R160" s="2">
        <v>76</v>
      </c>
      <c r="S160" s="2">
        <v>98.948599999999999</v>
      </c>
      <c r="T160" s="2">
        <v>98</v>
      </c>
      <c r="U160" s="2">
        <v>0.50342699999999996</v>
      </c>
      <c r="V160" s="2">
        <v>159</v>
      </c>
      <c r="W160" s="2">
        <v>2015</v>
      </c>
    </row>
    <row r="161" spans="1:23" ht="12.3" x14ac:dyDescent="0.4">
      <c r="A161" s="2" t="s">
        <v>327</v>
      </c>
      <c r="B161" s="2"/>
      <c r="C161" s="2"/>
      <c r="D161" s="2"/>
      <c r="E161" s="2"/>
      <c r="F161" s="2"/>
      <c r="G161" s="2"/>
      <c r="H161" s="2"/>
      <c r="I161" s="2">
        <v>62.515799999999999</v>
      </c>
      <c r="J161" s="2">
        <v>290</v>
      </c>
      <c r="K161" s="2">
        <v>63.569200000000002</v>
      </c>
      <c r="L161" s="2">
        <v>247</v>
      </c>
      <c r="M161" s="2">
        <v>100.01309999999999</v>
      </c>
      <c r="N161" s="2">
        <v>217</v>
      </c>
      <c r="O161" s="2">
        <v>100.2837</v>
      </c>
      <c r="P161" s="2">
        <v>219</v>
      </c>
      <c r="Q161" s="2">
        <v>98.810599999999994</v>
      </c>
      <c r="R161" s="2">
        <v>101</v>
      </c>
      <c r="S161" s="2">
        <v>100.1931</v>
      </c>
      <c r="T161" s="2">
        <v>127</v>
      </c>
      <c r="U161" s="2">
        <v>0.50259699999999996</v>
      </c>
      <c r="V161" s="2">
        <v>160</v>
      </c>
      <c r="W161" s="2">
        <v>2015</v>
      </c>
    </row>
    <row r="162" spans="1:23" ht="12.3" x14ac:dyDescent="0.4">
      <c r="A162" s="2" t="s">
        <v>91</v>
      </c>
      <c r="B162" s="2"/>
      <c r="C162" s="2"/>
      <c r="D162" s="2"/>
      <c r="E162" s="2"/>
      <c r="F162" s="2"/>
      <c r="G162" s="2"/>
      <c r="H162" s="2"/>
      <c r="I162" s="2">
        <v>64.098399999999998</v>
      </c>
      <c r="J162" s="2">
        <v>218</v>
      </c>
      <c r="K162" s="2">
        <v>64.337599999999995</v>
      </c>
      <c r="L162" s="2">
        <v>194</v>
      </c>
      <c r="M162" s="2">
        <v>95.008600000000001</v>
      </c>
      <c r="N162" s="2">
        <v>300</v>
      </c>
      <c r="O162" s="2">
        <v>98.014399999999995</v>
      </c>
      <c r="P162" s="2">
        <v>254</v>
      </c>
      <c r="Q162" s="2">
        <v>98.923599999999993</v>
      </c>
      <c r="R162" s="2">
        <v>104</v>
      </c>
      <c r="S162" s="2">
        <v>97.9298</v>
      </c>
      <c r="T162" s="2">
        <v>84</v>
      </c>
      <c r="U162" s="2">
        <v>0.50248400000000004</v>
      </c>
      <c r="V162" s="2">
        <v>161</v>
      </c>
      <c r="W162" s="2">
        <v>2015</v>
      </c>
    </row>
    <row r="163" spans="1:23" ht="12.3" x14ac:dyDescent="0.4">
      <c r="A163" s="2" t="s">
        <v>234</v>
      </c>
      <c r="B163" s="2"/>
      <c r="C163" s="2"/>
      <c r="D163" s="2"/>
      <c r="E163" s="2"/>
      <c r="F163" s="2"/>
      <c r="G163" s="2"/>
      <c r="H163" s="2"/>
      <c r="I163" s="2">
        <v>62.9786</v>
      </c>
      <c r="J163" s="2">
        <v>272</v>
      </c>
      <c r="K163" s="2">
        <v>62.1068</v>
      </c>
      <c r="L163" s="2">
        <v>299</v>
      </c>
      <c r="M163" s="2">
        <v>108.1944</v>
      </c>
      <c r="N163" s="2">
        <v>53</v>
      </c>
      <c r="O163" s="2">
        <v>103.73609999999999</v>
      </c>
      <c r="P163" s="2">
        <v>133</v>
      </c>
      <c r="Q163" s="2">
        <v>103.65770000000001</v>
      </c>
      <c r="R163" s="2">
        <v>204</v>
      </c>
      <c r="S163" s="2">
        <v>103.697</v>
      </c>
      <c r="T163" s="2">
        <v>194</v>
      </c>
      <c r="U163" s="2">
        <v>0.50108299999999995</v>
      </c>
      <c r="V163" s="2">
        <v>162</v>
      </c>
      <c r="W163" s="2">
        <v>2015</v>
      </c>
    </row>
    <row r="164" spans="1:23" ht="12.3" x14ac:dyDescent="0.4">
      <c r="A164" s="2" t="s">
        <v>207</v>
      </c>
      <c r="B164" s="2"/>
      <c r="C164" s="2"/>
      <c r="D164" s="2"/>
      <c r="E164" s="2"/>
      <c r="F164" s="2"/>
      <c r="G164" s="2"/>
      <c r="H164" s="2"/>
      <c r="I164" s="2">
        <v>67.281700000000001</v>
      </c>
      <c r="J164" s="2">
        <v>67</v>
      </c>
      <c r="K164" s="2">
        <v>66.986599999999996</v>
      </c>
      <c r="L164" s="2">
        <v>69</v>
      </c>
      <c r="M164" s="2">
        <v>102.756</v>
      </c>
      <c r="N164" s="2">
        <v>159</v>
      </c>
      <c r="O164" s="2">
        <v>104.98269999999999</v>
      </c>
      <c r="P164" s="2">
        <v>110</v>
      </c>
      <c r="Q164" s="2">
        <v>109.1224</v>
      </c>
      <c r="R164" s="2">
        <v>314</v>
      </c>
      <c r="S164" s="2">
        <v>105.04</v>
      </c>
      <c r="T164" s="2">
        <v>224</v>
      </c>
      <c r="U164" s="2">
        <v>0.49842999999999998</v>
      </c>
      <c r="V164" s="2">
        <v>163</v>
      </c>
      <c r="W164" s="2">
        <v>2015</v>
      </c>
    </row>
    <row r="165" spans="1:23" ht="12.3" x14ac:dyDescent="0.4">
      <c r="A165" s="2" t="s">
        <v>201</v>
      </c>
      <c r="B165" s="2"/>
      <c r="C165" s="2"/>
      <c r="D165" s="2"/>
      <c r="E165" s="2"/>
      <c r="F165" s="2"/>
      <c r="G165" s="2"/>
      <c r="H165" s="2"/>
      <c r="I165" s="2">
        <v>66.091999999999999</v>
      </c>
      <c r="J165" s="2">
        <v>111</v>
      </c>
      <c r="K165" s="2">
        <v>66.161600000000007</v>
      </c>
      <c r="L165" s="2">
        <v>105</v>
      </c>
      <c r="M165" s="2">
        <v>103.4487</v>
      </c>
      <c r="N165" s="2">
        <v>140</v>
      </c>
      <c r="O165" s="2">
        <v>101.7557</v>
      </c>
      <c r="P165" s="2">
        <v>176</v>
      </c>
      <c r="Q165" s="2">
        <v>100.2715</v>
      </c>
      <c r="R165" s="2">
        <v>129</v>
      </c>
      <c r="S165" s="2">
        <v>101.8939</v>
      </c>
      <c r="T165" s="2">
        <v>157</v>
      </c>
      <c r="U165" s="2">
        <v>0.49609900000000001</v>
      </c>
      <c r="V165" s="2">
        <v>164</v>
      </c>
      <c r="W165" s="2">
        <v>2015</v>
      </c>
    </row>
    <row r="166" spans="1:23" ht="12.3" x14ac:dyDescent="0.4">
      <c r="A166" s="2" t="s">
        <v>83</v>
      </c>
      <c r="B166" s="2"/>
      <c r="C166" s="2"/>
      <c r="D166" s="2"/>
      <c r="E166" s="2"/>
      <c r="F166" s="2"/>
      <c r="G166" s="2"/>
      <c r="H166" s="2"/>
      <c r="I166" s="2">
        <v>67.8172</v>
      </c>
      <c r="J166" s="2">
        <v>48</v>
      </c>
      <c r="K166" s="2">
        <v>67.665700000000001</v>
      </c>
      <c r="L166" s="2">
        <v>43</v>
      </c>
      <c r="M166" s="2">
        <v>100.4255</v>
      </c>
      <c r="N166" s="2">
        <v>208</v>
      </c>
      <c r="O166" s="2">
        <v>99.0702</v>
      </c>
      <c r="P166" s="2">
        <v>237</v>
      </c>
      <c r="Q166" s="2">
        <v>100.1906</v>
      </c>
      <c r="R166" s="2">
        <v>128</v>
      </c>
      <c r="S166" s="2">
        <v>99.419600000000003</v>
      </c>
      <c r="T166" s="2">
        <v>108</v>
      </c>
      <c r="U166" s="2">
        <v>0.48988100000000001</v>
      </c>
      <c r="V166" s="2">
        <v>165</v>
      </c>
      <c r="W166" s="2">
        <v>2015</v>
      </c>
    </row>
    <row r="167" spans="1:23" ht="12.3" x14ac:dyDescent="0.4">
      <c r="A167" s="2" t="s">
        <v>240</v>
      </c>
      <c r="B167" s="2"/>
      <c r="C167" s="2"/>
      <c r="D167" s="2"/>
      <c r="E167" s="2"/>
      <c r="F167" s="2"/>
      <c r="G167" s="2"/>
      <c r="H167" s="2"/>
      <c r="I167" s="2">
        <v>66.622600000000006</v>
      </c>
      <c r="J167" s="2">
        <v>88</v>
      </c>
      <c r="K167" s="2">
        <v>66.043800000000005</v>
      </c>
      <c r="L167" s="2">
        <v>110</v>
      </c>
      <c r="M167" s="2">
        <v>105.88339999999999</v>
      </c>
      <c r="N167" s="2">
        <v>91</v>
      </c>
      <c r="O167" s="2">
        <v>103.036</v>
      </c>
      <c r="P167" s="2">
        <v>148</v>
      </c>
      <c r="Q167" s="2">
        <v>100.85599999999999</v>
      </c>
      <c r="R167" s="2">
        <v>145</v>
      </c>
      <c r="S167" s="2">
        <v>103.6468</v>
      </c>
      <c r="T167" s="2">
        <v>193</v>
      </c>
      <c r="U167" s="2">
        <v>0.48301500000000003</v>
      </c>
      <c r="V167" s="2">
        <v>166</v>
      </c>
      <c r="W167" s="2">
        <v>2015</v>
      </c>
    </row>
    <row r="168" spans="1:23" ht="12.3" x14ac:dyDescent="0.4">
      <c r="A168" s="2" t="s">
        <v>209</v>
      </c>
      <c r="B168" s="2"/>
      <c r="C168" s="2"/>
      <c r="D168" s="2"/>
      <c r="E168" s="2"/>
      <c r="F168" s="2"/>
      <c r="G168" s="2"/>
      <c r="H168" s="2"/>
      <c r="I168" s="2">
        <v>63.503900000000002</v>
      </c>
      <c r="J168" s="2">
        <v>250</v>
      </c>
      <c r="K168" s="2">
        <v>62.945999999999998</v>
      </c>
      <c r="L168" s="2">
        <v>269</v>
      </c>
      <c r="M168" s="2">
        <v>101.0759</v>
      </c>
      <c r="N168" s="2">
        <v>196</v>
      </c>
      <c r="O168" s="2">
        <v>101.4195</v>
      </c>
      <c r="P168" s="2">
        <v>185</v>
      </c>
      <c r="Q168" s="2">
        <v>103.81310000000001</v>
      </c>
      <c r="R168" s="2">
        <v>210</v>
      </c>
      <c r="S168" s="2">
        <v>102.0599</v>
      </c>
      <c r="T168" s="2">
        <v>161</v>
      </c>
      <c r="U168" s="2">
        <v>0.48191000000000001</v>
      </c>
      <c r="V168" s="2">
        <v>167</v>
      </c>
      <c r="W168" s="2">
        <v>2015</v>
      </c>
    </row>
    <row r="169" spans="1:23" ht="12.3" x14ac:dyDescent="0.4">
      <c r="A169" s="2" t="s">
        <v>366</v>
      </c>
      <c r="B169" s="2"/>
      <c r="C169" s="2"/>
      <c r="D169" s="2"/>
      <c r="E169" s="2"/>
      <c r="F169" s="2"/>
      <c r="G169" s="2"/>
      <c r="H169" s="2"/>
      <c r="I169" s="2">
        <v>66.745999999999995</v>
      </c>
      <c r="J169" s="2">
        <v>83</v>
      </c>
      <c r="K169" s="2">
        <v>66.345699999999994</v>
      </c>
      <c r="L169" s="2">
        <v>97</v>
      </c>
      <c r="M169" s="2">
        <v>102.79349999999999</v>
      </c>
      <c r="N169" s="2">
        <v>158</v>
      </c>
      <c r="O169" s="2">
        <v>101.4469</v>
      </c>
      <c r="P169" s="2">
        <v>182</v>
      </c>
      <c r="Q169" s="2">
        <v>101.4066</v>
      </c>
      <c r="R169" s="2">
        <v>161</v>
      </c>
      <c r="S169" s="2">
        <v>102.2133</v>
      </c>
      <c r="T169" s="2">
        <v>165</v>
      </c>
      <c r="U169" s="2">
        <v>0.47837600000000002</v>
      </c>
      <c r="V169" s="2">
        <v>168</v>
      </c>
      <c r="W169" s="2">
        <v>2015</v>
      </c>
    </row>
    <row r="170" spans="1:23" ht="12.3" x14ac:dyDescent="0.4">
      <c r="A170" s="2" t="s">
        <v>48</v>
      </c>
      <c r="B170" s="2"/>
      <c r="C170" s="2"/>
      <c r="D170" s="2"/>
      <c r="E170" s="2"/>
      <c r="F170" s="2"/>
      <c r="G170" s="2"/>
      <c r="H170" s="2"/>
      <c r="I170" s="2">
        <v>64.206900000000005</v>
      </c>
      <c r="J170" s="2">
        <v>208</v>
      </c>
      <c r="K170" s="2">
        <v>64.366500000000002</v>
      </c>
      <c r="L170" s="2">
        <v>193</v>
      </c>
      <c r="M170" s="2">
        <v>96.204999999999998</v>
      </c>
      <c r="N170" s="2">
        <v>287</v>
      </c>
      <c r="O170" s="2">
        <v>98.035499999999999</v>
      </c>
      <c r="P170" s="2">
        <v>253</v>
      </c>
      <c r="Q170" s="2">
        <v>100.1207</v>
      </c>
      <c r="R170" s="2">
        <v>127</v>
      </c>
      <c r="S170" s="2">
        <v>98.928799999999995</v>
      </c>
      <c r="T170" s="2">
        <v>97</v>
      </c>
      <c r="U170" s="2">
        <v>0.47394399999999998</v>
      </c>
      <c r="V170" s="2">
        <v>169</v>
      </c>
      <c r="W170" s="2">
        <v>2015</v>
      </c>
    </row>
    <row r="171" spans="1:23" ht="12.3" x14ac:dyDescent="0.4">
      <c r="A171" s="2" t="s">
        <v>271</v>
      </c>
      <c r="B171" s="2"/>
      <c r="C171" s="2"/>
      <c r="D171" s="2"/>
      <c r="E171" s="2"/>
      <c r="F171" s="2"/>
      <c r="G171" s="2"/>
      <c r="H171" s="2"/>
      <c r="I171" s="2">
        <v>59.939399999999999</v>
      </c>
      <c r="J171" s="2">
        <v>340</v>
      </c>
      <c r="K171" s="2">
        <v>60.894300000000001</v>
      </c>
      <c r="L171" s="2">
        <v>331</v>
      </c>
      <c r="M171" s="2">
        <v>104.9614</v>
      </c>
      <c r="N171" s="2">
        <v>102</v>
      </c>
      <c r="O171" s="2">
        <v>105.5252</v>
      </c>
      <c r="P171" s="2">
        <v>100</v>
      </c>
      <c r="Q171" s="2">
        <v>103.1964</v>
      </c>
      <c r="R171" s="2">
        <v>192</v>
      </c>
      <c r="S171" s="2">
        <v>106.5531</v>
      </c>
      <c r="T171" s="2">
        <v>261</v>
      </c>
      <c r="U171" s="2">
        <v>0.47216000000000002</v>
      </c>
      <c r="V171" s="2">
        <v>170</v>
      </c>
      <c r="W171" s="2">
        <v>2015</v>
      </c>
    </row>
    <row r="172" spans="1:23" ht="12.3" x14ac:dyDescent="0.4">
      <c r="A172" s="2" t="s">
        <v>322</v>
      </c>
      <c r="B172" s="2"/>
      <c r="C172" s="2"/>
      <c r="D172" s="2"/>
      <c r="E172" s="2"/>
      <c r="F172" s="2"/>
      <c r="G172" s="2"/>
      <c r="H172" s="2"/>
      <c r="I172" s="2">
        <v>64.869</v>
      </c>
      <c r="J172" s="2">
        <v>169</v>
      </c>
      <c r="K172" s="2">
        <v>64.461500000000001</v>
      </c>
      <c r="L172" s="2">
        <v>182</v>
      </c>
      <c r="M172" s="2">
        <v>106.0014</v>
      </c>
      <c r="N172" s="2">
        <v>87</v>
      </c>
      <c r="O172" s="2">
        <v>105.5241</v>
      </c>
      <c r="P172" s="2">
        <v>101</v>
      </c>
      <c r="Q172" s="2">
        <v>104.9406</v>
      </c>
      <c r="R172" s="2">
        <v>236</v>
      </c>
      <c r="S172" s="2">
        <v>106.7847</v>
      </c>
      <c r="T172" s="2">
        <v>264</v>
      </c>
      <c r="U172" s="2">
        <v>0.46590999999999999</v>
      </c>
      <c r="V172" s="2">
        <v>171</v>
      </c>
      <c r="W172" s="2">
        <v>2015</v>
      </c>
    </row>
    <row r="173" spans="1:23" ht="12.3" x14ac:dyDescent="0.4">
      <c r="A173" s="2" t="s">
        <v>267</v>
      </c>
      <c r="B173" s="2"/>
      <c r="C173" s="2"/>
      <c r="D173" s="2"/>
      <c r="E173" s="2"/>
      <c r="F173" s="2"/>
      <c r="G173" s="2"/>
      <c r="H173" s="2"/>
      <c r="I173" s="2">
        <v>65.795100000000005</v>
      </c>
      <c r="J173" s="2">
        <v>124</v>
      </c>
      <c r="K173" s="2">
        <v>67.570499999999996</v>
      </c>
      <c r="L173" s="2">
        <v>48</v>
      </c>
      <c r="M173" s="2">
        <v>98.700400000000002</v>
      </c>
      <c r="N173" s="2">
        <v>249</v>
      </c>
      <c r="O173" s="2">
        <v>100.0573</v>
      </c>
      <c r="P173" s="2">
        <v>226</v>
      </c>
      <c r="Q173" s="2">
        <v>101.0438</v>
      </c>
      <c r="R173" s="2">
        <v>147</v>
      </c>
      <c r="S173" s="2">
        <v>101.3082</v>
      </c>
      <c r="T173" s="2">
        <v>144</v>
      </c>
      <c r="U173" s="2">
        <v>0.464339</v>
      </c>
      <c r="V173" s="2">
        <v>172</v>
      </c>
      <c r="W173" s="2">
        <v>2015</v>
      </c>
    </row>
    <row r="174" spans="1:23" ht="12.3" x14ac:dyDescent="0.4">
      <c r="A174" s="2" t="s">
        <v>307</v>
      </c>
      <c r="B174" s="2">
        <v>16</v>
      </c>
      <c r="C174" s="2"/>
      <c r="D174" s="2"/>
      <c r="E174" s="2"/>
      <c r="F174" s="2"/>
      <c r="G174" s="2"/>
      <c r="H174" s="2"/>
      <c r="I174" s="2">
        <v>66.733500000000006</v>
      </c>
      <c r="J174" s="2">
        <v>85</v>
      </c>
      <c r="K174" s="2">
        <v>65.608199999999997</v>
      </c>
      <c r="L174" s="2">
        <v>131</v>
      </c>
      <c r="M174" s="2">
        <v>103.0624</v>
      </c>
      <c r="N174" s="2">
        <v>151</v>
      </c>
      <c r="O174" s="2">
        <v>101.0371</v>
      </c>
      <c r="P174" s="2">
        <v>191</v>
      </c>
      <c r="Q174" s="2">
        <v>100.7603</v>
      </c>
      <c r="R174" s="2">
        <v>142</v>
      </c>
      <c r="S174" s="2">
        <v>102.3443</v>
      </c>
      <c r="T174" s="2">
        <v>169</v>
      </c>
      <c r="U174" s="2">
        <v>0.46310800000000002</v>
      </c>
      <c r="V174" s="2">
        <v>173</v>
      </c>
      <c r="W174" s="2">
        <v>2015</v>
      </c>
    </row>
    <row r="175" spans="1:23" ht="12.3" x14ac:dyDescent="0.4">
      <c r="A175" s="2" t="s">
        <v>193</v>
      </c>
      <c r="B175" s="2"/>
      <c r="C175" s="2"/>
      <c r="D175" s="2"/>
      <c r="E175" s="2"/>
      <c r="F175" s="2"/>
      <c r="G175" s="2"/>
      <c r="H175" s="2"/>
      <c r="I175" s="2">
        <v>62.202800000000003</v>
      </c>
      <c r="J175" s="2">
        <v>298</v>
      </c>
      <c r="K175" s="2">
        <v>61.070999999999998</v>
      </c>
      <c r="L175" s="2">
        <v>325</v>
      </c>
      <c r="M175" s="2">
        <v>96.529600000000002</v>
      </c>
      <c r="N175" s="2">
        <v>282</v>
      </c>
      <c r="O175" s="2">
        <v>95.840100000000007</v>
      </c>
      <c r="P175" s="2">
        <v>295</v>
      </c>
      <c r="Q175" s="2">
        <v>95.732600000000005</v>
      </c>
      <c r="R175" s="2">
        <v>42</v>
      </c>
      <c r="S175" s="2">
        <v>97.120599999999996</v>
      </c>
      <c r="T175" s="2">
        <v>71</v>
      </c>
      <c r="U175" s="2">
        <v>0.46191599999999999</v>
      </c>
      <c r="V175" s="2">
        <v>174</v>
      </c>
      <c r="W175" s="2">
        <v>2015</v>
      </c>
    </row>
    <row r="176" spans="1:23" ht="12.3" x14ac:dyDescent="0.4">
      <c r="A176" s="2" t="s">
        <v>310</v>
      </c>
      <c r="B176" s="2"/>
      <c r="C176" s="2"/>
      <c r="D176" s="2"/>
      <c r="E176" s="2"/>
      <c r="F176" s="2"/>
      <c r="G176" s="2"/>
      <c r="H176" s="2"/>
      <c r="I176" s="2">
        <v>63.801499999999997</v>
      </c>
      <c r="J176" s="2">
        <v>238</v>
      </c>
      <c r="K176" s="2">
        <v>64.026799999999994</v>
      </c>
      <c r="L176" s="2">
        <v>210</v>
      </c>
      <c r="M176" s="2">
        <v>100.52500000000001</v>
      </c>
      <c r="N176" s="2">
        <v>207</v>
      </c>
      <c r="O176" s="2">
        <v>98.575100000000006</v>
      </c>
      <c r="P176" s="2">
        <v>246</v>
      </c>
      <c r="Q176" s="2">
        <v>96.062600000000003</v>
      </c>
      <c r="R176" s="2">
        <v>46</v>
      </c>
      <c r="S176" s="2">
        <v>99.894499999999994</v>
      </c>
      <c r="T176" s="2">
        <v>119</v>
      </c>
      <c r="U176" s="2">
        <v>0.46185100000000001</v>
      </c>
      <c r="V176" s="2">
        <v>175</v>
      </c>
      <c r="W176" s="2">
        <v>2015</v>
      </c>
    </row>
    <row r="177" spans="1:23" ht="12.3" x14ac:dyDescent="0.4">
      <c r="A177" s="2" t="s">
        <v>247</v>
      </c>
      <c r="B177" s="2"/>
      <c r="C177" s="2"/>
      <c r="D177" s="2"/>
      <c r="E177" s="2"/>
      <c r="F177" s="2"/>
      <c r="G177" s="2"/>
      <c r="H177" s="2"/>
      <c r="I177" s="2">
        <v>60.2911</v>
      </c>
      <c r="J177" s="2">
        <v>338</v>
      </c>
      <c r="K177" s="2">
        <v>61.139000000000003</v>
      </c>
      <c r="L177" s="2">
        <v>323</v>
      </c>
      <c r="M177" s="2">
        <v>106.63079999999999</v>
      </c>
      <c r="N177" s="2">
        <v>69</v>
      </c>
      <c r="O177" s="2">
        <v>106.39100000000001</v>
      </c>
      <c r="P177" s="2">
        <v>81</v>
      </c>
      <c r="Q177" s="2">
        <v>105.5082</v>
      </c>
      <c r="R177" s="2">
        <v>252</v>
      </c>
      <c r="S177" s="2">
        <v>107.8404</v>
      </c>
      <c r="T177" s="2">
        <v>284</v>
      </c>
      <c r="U177" s="2">
        <v>0.461177</v>
      </c>
      <c r="V177" s="2">
        <v>176</v>
      </c>
      <c r="W177" s="2">
        <v>2015</v>
      </c>
    </row>
    <row r="178" spans="1:23" ht="12.3" x14ac:dyDescent="0.4">
      <c r="A178" s="2" t="s">
        <v>280</v>
      </c>
      <c r="B178" s="2"/>
      <c r="C178" s="2"/>
      <c r="D178" s="2"/>
      <c r="E178" s="2"/>
      <c r="F178" s="2"/>
      <c r="G178" s="2"/>
      <c r="H178" s="2"/>
      <c r="I178" s="2">
        <v>62.099600000000002</v>
      </c>
      <c r="J178" s="2">
        <v>302</v>
      </c>
      <c r="K178" s="2">
        <v>61.668999999999997</v>
      </c>
      <c r="L178" s="2">
        <v>312</v>
      </c>
      <c r="M178" s="2">
        <v>107.7264</v>
      </c>
      <c r="N178" s="2">
        <v>55</v>
      </c>
      <c r="O178" s="2">
        <v>106.2377</v>
      </c>
      <c r="P178" s="2">
        <v>85</v>
      </c>
      <c r="Q178" s="2">
        <v>105.21120000000001</v>
      </c>
      <c r="R178" s="2">
        <v>242</v>
      </c>
      <c r="S178" s="2">
        <v>107.7252</v>
      </c>
      <c r="T178" s="2">
        <v>281</v>
      </c>
      <c r="U178" s="2">
        <v>0.46010899999999999</v>
      </c>
      <c r="V178" s="2">
        <v>177</v>
      </c>
      <c r="W178" s="2">
        <v>2015</v>
      </c>
    </row>
    <row r="179" spans="1:23" ht="12.3" x14ac:dyDescent="0.4">
      <c r="A179" s="2" t="s">
        <v>367</v>
      </c>
      <c r="B179" s="2"/>
      <c r="C179" s="2"/>
      <c r="D179" s="2"/>
      <c r="E179" s="2"/>
      <c r="F179" s="2"/>
      <c r="G179" s="2"/>
      <c r="H179" s="2"/>
      <c r="I179" s="2">
        <v>64.132499999999993</v>
      </c>
      <c r="J179" s="2">
        <v>215</v>
      </c>
      <c r="K179" s="2">
        <v>63.639600000000002</v>
      </c>
      <c r="L179" s="2">
        <v>242</v>
      </c>
      <c r="M179" s="2">
        <v>107.3442</v>
      </c>
      <c r="N179" s="2">
        <v>60</v>
      </c>
      <c r="O179" s="2">
        <v>102.2701</v>
      </c>
      <c r="P179" s="2">
        <v>166</v>
      </c>
      <c r="Q179" s="2">
        <v>97.946899999999999</v>
      </c>
      <c r="R179" s="2">
        <v>84</v>
      </c>
      <c r="S179" s="2">
        <v>103.7213</v>
      </c>
      <c r="T179" s="2">
        <v>195</v>
      </c>
      <c r="U179" s="2">
        <v>0.45957900000000002</v>
      </c>
      <c r="V179" s="2">
        <v>178</v>
      </c>
      <c r="W179" s="2">
        <v>2015</v>
      </c>
    </row>
    <row r="180" spans="1:23" ht="12.3" x14ac:dyDescent="0.4">
      <c r="A180" s="2" t="s">
        <v>369</v>
      </c>
      <c r="B180" s="2"/>
      <c r="C180" s="2"/>
      <c r="D180" s="2"/>
      <c r="E180" s="2"/>
      <c r="F180" s="2"/>
      <c r="G180" s="2"/>
      <c r="H180" s="2"/>
      <c r="I180" s="2">
        <v>65.109300000000005</v>
      </c>
      <c r="J180" s="2">
        <v>154</v>
      </c>
      <c r="K180" s="2">
        <v>64.439300000000003</v>
      </c>
      <c r="L180" s="2">
        <v>186</v>
      </c>
      <c r="M180" s="2">
        <v>103.6277</v>
      </c>
      <c r="N180" s="2">
        <v>135</v>
      </c>
      <c r="O180" s="2">
        <v>99.800899999999999</v>
      </c>
      <c r="P180" s="2">
        <v>229</v>
      </c>
      <c r="Q180" s="2">
        <v>98.533699999999996</v>
      </c>
      <c r="R180" s="2">
        <v>96</v>
      </c>
      <c r="S180" s="2">
        <v>101.355</v>
      </c>
      <c r="T180" s="2">
        <v>145</v>
      </c>
      <c r="U180" s="2">
        <v>0.45569300000000001</v>
      </c>
      <c r="V180" s="2">
        <v>179</v>
      </c>
      <c r="W180" s="2">
        <v>2015</v>
      </c>
    </row>
    <row r="181" spans="1:23" ht="12.3" x14ac:dyDescent="0.4">
      <c r="A181" s="2" t="s">
        <v>274</v>
      </c>
      <c r="B181" s="2"/>
      <c r="C181" s="2"/>
      <c r="D181" s="2"/>
      <c r="E181" s="2"/>
      <c r="F181" s="2"/>
      <c r="G181" s="2"/>
      <c r="H181" s="2"/>
      <c r="I181" s="2">
        <v>66.520899999999997</v>
      </c>
      <c r="J181" s="2">
        <v>94</v>
      </c>
      <c r="K181" s="2">
        <v>67.208699999999993</v>
      </c>
      <c r="L181" s="2">
        <v>59</v>
      </c>
      <c r="M181" s="2">
        <v>102.2961</v>
      </c>
      <c r="N181" s="2">
        <v>172</v>
      </c>
      <c r="O181" s="2">
        <v>100.22620000000001</v>
      </c>
      <c r="P181" s="2">
        <v>221</v>
      </c>
      <c r="Q181" s="2">
        <v>98.838300000000004</v>
      </c>
      <c r="R181" s="2">
        <v>103</v>
      </c>
      <c r="S181" s="2">
        <v>101.92749999999999</v>
      </c>
      <c r="T181" s="2">
        <v>158</v>
      </c>
      <c r="U181" s="2">
        <v>0.45175700000000002</v>
      </c>
      <c r="V181" s="2">
        <v>180</v>
      </c>
      <c r="W181" s="2">
        <v>2015</v>
      </c>
    </row>
    <row r="182" spans="1:23" ht="12.3" x14ac:dyDescent="0.4">
      <c r="A182" s="2" t="s">
        <v>318</v>
      </c>
      <c r="B182" s="2"/>
      <c r="C182" s="2"/>
      <c r="D182" s="2"/>
      <c r="E182" s="2"/>
      <c r="F182" s="2"/>
      <c r="G182" s="2"/>
      <c r="H182" s="2"/>
      <c r="I182" s="2">
        <v>60.871299999999998</v>
      </c>
      <c r="J182" s="2">
        <v>331</v>
      </c>
      <c r="K182" s="2">
        <v>60.454500000000003</v>
      </c>
      <c r="L182" s="2">
        <v>337</v>
      </c>
      <c r="M182" s="2">
        <v>105.92319999999999</v>
      </c>
      <c r="N182" s="2">
        <v>89</v>
      </c>
      <c r="O182" s="2">
        <v>101.9469</v>
      </c>
      <c r="P182" s="2">
        <v>173</v>
      </c>
      <c r="Q182" s="2">
        <v>102.3274</v>
      </c>
      <c r="R182" s="2">
        <v>175</v>
      </c>
      <c r="S182" s="2">
        <v>103.765</v>
      </c>
      <c r="T182" s="2">
        <v>197</v>
      </c>
      <c r="U182" s="2">
        <v>0.44935399999999998</v>
      </c>
      <c r="V182" s="2">
        <v>181</v>
      </c>
      <c r="W182" s="2">
        <v>2015</v>
      </c>
    </row>
    <row r="183" spans="1:23" ht="12.3" x14ac:dyDescent="0.4">
      <c r="A183" s="2" t="s">
        <v>223</v>
      </c>
      <c r="B183" s="2"/>
      <c r="C183" s="2"/>
      <c r="D183" s="2"/>
      <c r="E183" s="2"/>
      <c r="F183" s="2"/>
      <c r="G183" s="2"/>
      <c r="H183" s="2"/>
      <c r="I183" s="2">
        <v>64.589100000000002</v>
      </c>
      <c r="J183" s="2">
        <v>187</v>
      </c>
      <c r="K183" s="2">
        <v>64.690899999999999</v>
      </c>
      <c r="L183" s="2">
        <v>172</v>
      </c>
      <c r="M183" s="2">
        <v>106.3395</v>
      </c>
      <c r="N183" s="2">
        <v>81</v>
      </c>
      <c r="O183" s="2">
        <v>104.20740000000001</v>
      </c>
      <c r="P183" s="2">
        <v>118</v>
      </c>
      <c r="Q183" s="2">
        <v>104.435</v>
      </c>
      <c r="R183" s="2">
        <v>222</v>
      </c>
      <c r="S183" s="2">
        <v>106.21210000000001</v>
      </c>
      <c r="T183" s="2">
        <v>249</v>
      </c>
      <c r="U183" s="2">
        <v>0.445434</v>
      </c>
      <c r="V183" s="2">
        <v>182</v>
      </c>
      <c r="W183" s="2">
        <v>2015</v>
      </c>
    </row>
    <row r="184" spans="1:23" ht="12.3" x14ac:dyDescent="0.4">
      <c r="A184" s="2" t="s">
        <v>251</v>
      </c>
      <c r="B184" s="2"/>
      <c r="C184" s="2"/>
      <c r="D184" s="2"/>
      <c r="E184" s="2"/>
      <c r="F184" s="2"/>
      <c r="G184" s="2"/>
      <c r="H184" s="2"/>
      <c r="I184" s="2">
        <v>64.161199999999994</v>
      </c>
      <c r="J184" s="2">
        <v>213</v>
      </c>
      <c r="K184" s="2">
        <v>64.166300000000007</v>
      </c>
      <c r="L184" s="2">
        <v>203</v>
      </c>
      <c r="M184" s="2">
        <v>99.625200000000007</v>
      </c>
      <c r="N184" s="2">
        <v>229</v>
      </c>
      <c r="O184" s="2">
        <v>98.357799999999997</v>
      </c>
      <c r="P184" s="2">
        <v>248</v>
      </c>
      <c r="Q184" s="2">
        <v>98.188199999999995</v>
      </c>
      <c r="R184" s="2">
        <v>88</v>
      </c>
      <c r="S184" s="2">
        <v>100.264</v>
      </c>
      <c r="T184" s="2">
        <v>131</v>
      </c>
      <c r="U184" s="2">
        <v>0.44503900000000002</v>
      </c>
      <c r="V184" s="2">
        <v>183</v>
      </c>
      <c r="W184" s="2">
        <v>2015</v>
      </c>
    </row>
    <row r="185" spans="1:23" ht="12.3" x14ac:dyDescent="0.4">
      <c r="A185" s="2" t="s">
        <v>283</v>
      </c>
      <c r="B185" s="2"/>
      <c r="C185" s="2"/>
      <c r="D185" s="2"/>
      <c r="E185" s="2"/>
      <c r="F185" s="2"/>
      <c r="G185" s="2"/>
      <c r="H185" s="2"/>
      <c r="I185" s="2">
        <v>63.800400000000003</v>
      </c>
      <c r="J185" s="2">
        <v>239</v>
      </c>
      <c r="K185" s="2">
        <v>63.121699999999997</v>
      </c>
      <c r="L185" s="2">
        <v>265</v>
      </c>
      <c r="M185" s="2">
        <v>100.0273</v>
      </c>
      <c r="N185" s="2">
        <v>215</v>
      </c>
      <c r="O185" s="2">
        <v>99.487799999999993</v>
      </c>
      <c r="P185" s="2">
        <v>231</v>
      </c>
      <c r="Q185" s="2">
        <v>96.933700000000002</v>
      </c>
      <c r="R185" s="2">
        <v>69</v>
      </c>
      <c r="S185" s="2">
        <v>101.4371</v>
      </c>
      <c r="T185" s="2">
        <v>148</v>
      </c>
      <c r="U185" s="2">
        <v>0.44444600000000001</v>
      </c>
      <c r="V185" s="2">
        <v>184</v>
      </c>
      <c r="W185" s="2">
        <v>2015</v>
      </c>
    </row>
    <row r="186" spans="1:23" ht="12.3" x14ac:dyDescent="0.4">
      <c r="A186" s="2" t="s">
        <v>226</v>
      </c>
      <c r="B186" s="2"/>
      <c r="C186" s="2"/>
      <c r="D186" s="2"/>
      <c r="E186" s="2"/>
      <c r="F186" s="2"/>
      <c r="G186" s="2"/>
      <c r="H186" s="2"/>
      <c r="I186" s="2">
        <v>57.061700000000002</v>
      </c>
      <c r="J186" s="2">
        <v>351</v>
      </c>
      <c r="K186" s="2">
        <v>57.583199999999998</v>
      </c>
      <c r="L186" s="2">
        <v>350</v>
      </c>
      <c r="M186" s="2">
        <v>101.23260000000001</v>
      </c>
      <c r="N186" s="2">
        <v>191</v>
      </c>
      <c r="O186" s="2">
        <v>101.2268</v>
      </c>
      <c r="P186" s="2">
        <v>189</v>
      </c>
      <c r="Q186" s="2">
        <v>101.2037</v>
      </c>
      <c r="R186" s="2">
        <v>153</v>
      </c>
      <c r="S186" s="2">
        <v>103.3064</v>
      </c>
      <c r="T186" s="2">
        <v>184</v>
      </c>
      <c r="U186" s="2">
        <v>0.44180199999999997</v>
      </c>
      <c r="V186" s="2">
        <v>185</v>
      </c>
      <c r="W186" s="2">
        <v>2015</v>
      </c>
    </row>
    <row r="187" spans="1:23" ht="12.3" x14ac:dyDescent="0.4">
      <c r="A187" s="2" t="s">
        <v>132</v>
      </c>
      <c r="B187" s="2"/>
      <c r="C187" s="2"/>
      <c r="D187" s="2"/>
      <c r="E187" s="2"/>
      <c r="F187" s="2"/>
      <c r="G187" s="2"/>
      <c r="H187" s="2"/>
      <c r="I187" s="2">
        <v>67.912400000000005</v>
      </c>
      <c r="J187" s="2">
        <v>46</v>
      </c>
      <c r="K187" s="2">
        <v>68.029300000000006</v>
      </c>
      <c r="L187" s="2">
        <v>33</v>
      </c>
      <c r="M187" s="2">
        <v>101.0795</v>
      </c>
      <c r="N187" s="2">
        <v>195</v>
      </c>
      <c r="O187" s="2">
        <v>101.42310000000001</v>
      </c>
      <c r="P187" s="2">
        <v>184</v>
      </c>
      <c r="Q187" s="2">
        <v>104.3873</v>
      </c>
      <c r="R187" s="2">
        <v>221</v>
      </c>
      <c r="S187" s="2">
        <v>103.5082</v>
      </c>
      <c r="T187" s="2">
        <v>190</v>
      </c>
      <c r="U187" s="2">
        <v>0.44175700000000001</v>
      </c>
      <c r="V187" s="2">
        <v>186</v>
      </c>
      <c r="W187" s="2">
        <v>2015</v>
      </c>
    </row>
    <row r="188" spans="1:23" ht="12.3" x14ac:dyDescent="0.4">
      <c r="A188" s="2" t="s">
        <v>305</v>
      </c>
      <c r="B188" s="2"/>
      <c r="C188" s="2"/>
      <c r="D188" s="2"/>
      <c r="E188" s="2"/>
      <c r="F188" s="2"/>
      <c r="G188" s="2"/>
      <c r="H188" s="2"/>
      <c r="I188" s="2">
        <v>66.070999999999998</v>
      </c>
      <c r="J188" s="2">
        <v>114</v>
      </c>
      <c r="K188" s="2">
        <v>65.737700000000004</v>
      </c>
      <c r="L188" s="2">
        <v>126</v>
      </c>
      <c r="M188" s="2">
        <v>107.2186</v>
      </c>
      <c r="N188" s="2">
        <v>64</v>
      </c>
      <c r="O188" s="2">
        <v>105.50149999999999</v>
      </c>
      <c r="P188" s="2">
        <v>102</v>
      </c>
      <c r="Q188" s="2">
        <v>105.5707</v>
      </c>
      <c r="R188" s="2">
        <v>254</v>
      </c>
      <c r="S188" s="2">
        <v>107.6758</v>
      </c>
      <c r="T188" s="2">
        <v>278</v>
      </c>
      <c r="U188" s="2">
        <v>0.44161800000000001</v>
      </c>
      <c r="V188" s="2">
        <v>187</v>
      </c>
      <c r="W188" s="2">
        <v>2015</v>
      </c>
    </row>
    <row r="189" spans="1:23" ht="12.3" x14ac:dyDescent="0.4">
      <c r="A189" s="2" t="s">
        <v>159</v>
      </c>
      <c r="B189" s="2"/>
      <c r="C189" s="2"/>
      <c r="D189" s="2"/>
      <c r="E189" s="2"/>
      <c r="F189" s="2"/>
      <c r="G189" s="2"/>
      <c r="H189" s="2"/>
      <c r="I189" s="2">
        <v>64.119600000000005</v>
      </c>
      <c r="J189" s="2">
        <v>216</v>
      </c>
      <c r="K189" s="2">
        <v>63.800600000000003</v>
      </c>
      <c r="L189" s="2">
        <v>225</v>
      </c>
      <c r="M189" s="2">
        <v>101.0958</v>
      </c>
      <c r="N189" s="2">
        <v>194</v>
      </c>
      <c r="O189" s="2">
        <v>103.91200000000001</v>
      </c>
      <c r="P189" s="2">
        <v>126</v>
      </c>
      <c r="Q189" s="2">
        <v>107.96899999999999</v>
      </c>
      <c r="R189" s="2">
        <v>299</v>
      </c>
      <c r="S189" s="2">
        <v>106.0578</v>
      </c>
      <c r="T189" s="2">
        <v>244</v>
      </c>
      <c r="U189" s="2">
        <v>0.44150400000000001</v>
      </c>
      <c r="V189" s="2">
        <v>188</v>
      </c>
      <c r="W189" s="2">
        <v>2015</v>
      </c>
    </row>
    <row r="190" spans="1:23" ht="12.3" x14ac:dyDescent="0.4">
      <c r="A190" s="2" t="s">
        <v>217</v>
      </c>
      <c r="B190" s="2"/>
      <c r="C190" s="2"/>
      <c r="D190" s="2"/>
      <c r="E190" s="2"/>
      <c r="F190" s="2"/>
      <c r="G190" s="2"/>
      <c r="H190" s="2"/>
      <c r="I190" s="2">
        <v>61.328200000000002</v>
      </c>
      <c r="J190" s="2">
        <v>320</v>
      </c>
      <c r="K190" s="2">
        <v>61.8902</v>
      </c>
      <c r="L190" s="2">
        <v>305</v>
      </c>
      <c r="M190" s="2">
        <v>101.95529999999999</v>
      </c>
      <c r="N190" s="2">
        <v>178</v>
      </c>
      <c r="O190" s="2">
        <v>103.50539999999999</v>
      </c>
      <c r="P190" s="2">
        <v>137</v>
      </c>
      <c r="Q190" s="2">
        <v>109.0847</v>
      </c>
      <c r="R190" s="2">
        <v>312</v>
      </c>
      <c r="S190" s="2">
        <v>105.6461</v>
      </c>
      <c r="T190" s="2">
        <v>236</v>
      </c>
      <c r="U190" s="2">
        <v>0.441415</v>
      </c>
      <c r="V190" s="2">
        <v>189</v>
      </c>
      <c r="W190" s="2">
        <v>2015</v>
      </c>
    </row>
    <row r="191" spans="1:23" ht="12.3" x14ac:dyDescent="0.4">
      <c r="A191" s="2" t="s">
        <v>254</v>
      </c>
      <c r="B191" s="2"/>
      <c r="C191" s="2"/>
      <c r="D191" s="2"/>
      <c r="E191" s="2"/>
      <c r="F191" s="2"/>
      <c r="G191" s="2"/>
      <c r="H191" s="2"/>
      <c r="I191" s="2">
        <v>65.010499999999993</v>
      </c>
      <c r="J191" s="2">
        <v>161</v>
      </c>
      <c r="K191" s="2">
        <v>64.573400000000007</v>
      </c>
      <c r="L191" s="2">
        <v>179</v>
      </c>
      <c r="M191" s="2">
        <v>104.0416</v>
      </c>
      <c r="N191" s="2">
        <v>124</v>
      </c>
      <c r="O191" s="2">
        <v>100.3389</v>
      </c>
      <c r="P191" s="2">
        <v>218</v>
      </c>
      <c r="Q191" s="2">
        <v>103.0275</v>
      </c>
      <c r="R191" s="2">
        <v>190</v>
      </c>
      <c r="S191" s="2">
        <v>102.5962</v>
      </c>
      <c r="T191" s="2">
        <v>173</v>
      </c>
      <c r="U191" s="2">
        <v>0.43638399999999999</v>
      </c>
      <c r="V191" s="2">
        <v>190</v>
      </c>
      <c r="W191" s="2">
        <v>2015</v>
      </c>
    </row>
    <row r="192" spans="1:23" ht="12.3" x14ac:dyDescent="0.4">
      <c r="A192" s="2" t="s">
        <v>239</v>
      </c>
      <c r="B192" s="2"/>
      <c r="C192" s="2"/>
      <c r="D192" s="2"/>
      <c r="E192" s="2"/>
      <c r="F192" s="2"/>
      <c r="G192" s="2"/>
      <c r="H192" s="2"/>
      <c r="I192" s="2">
        <v>67.618499999999997</v>
      </c>
      <c r="J192" s="2">
        <v>58</v>
      </c>
      <c r="K192" s="2">
        <v>67.463300000000004</v>
      </c>
      <c r="L192" s="2">
        <v>54</v>
      </c>
      <c r="M192" s="2">
        <v>102.68510000000001</v>
      </c>
      <c r="N192" s="2">
        <v>164</v>
      </c>
      <c r="O192" s="2">
        <v>107.1711</v>
      </c>
      <c r="P192" s="2">
        <v>72</v>
      </c>
      <c r="Q192" s="2">
        <v>111.9995</v>
      </c>
      <c r="R192" s="2">
        <v>338</v>
      </c>
      <c r="S192" s="2">
        <v>109.5917</v>
      </c>
      <c r="T192" s="2">
        <v>315</v>
      </c>
      <c r="U192" s="2">
        <v>0.43613800000000003</v>
      </c>
      <c r="V192" s="2">
        <v>191</v>
      </c>
      <c r="W192" s="2">
        <v>2015</v>
      </c>
    </row>
    <row r="193" spans="1:23" ht="12.3" x14ac:dyDescent="0.4">
      <c r="A193" s="2" t="s">
        <v>335</v>
      </c>
      <c r="B193" s="2"/>
      <c r="C193" s="2"/>
      <c r="D193" s="2"/>
      <c r="E193" s="2"/>
      <c r="F193" s="2"/>
      <c r="G193" s="2"/>
      <c r="H193" s="2"/>
      <c r="I193" s="2">
        <v>61.334099999999999</v>
      </c>
      <c r="J193" s="2">
        <v>319</v>
      </c>
      <c r="K193" s="2">
        <v>60.738</v>
      </c>
      <c r="L193" s="2">
        <v>332</v>
      </c>
      <c r="M193" s="2">
        <v>98.8369</v>
      </c>
      <c r="N193" s="2">
        <v>248</v>
      </c>
      <c r="O193" s="2">
        <v>97.596299999999999</v>
      </c>
      <c r="P193" s="2">
        <v>263</v>
      </c>
      <c r="Q193" s="2">
        <v>97.035200000000003</v>
      </c>
      <c r="R193" s="2">
        <v>71</v>
      </c>
      <c r="S193" s="2">
        <v>99.885000000000005</v>
      </c>
      <c r="T193" s="2">
        <v>118</v>
      </c>
      <c r="U193" s="2">
        <v>0.43374800000000002</v>
      </c>
      <c r="V193" s="2">
        <v>192</v>
      </c>
      <c r="W193" s="2">
        <v>2015</v>
      </c>
    </row>
    <row r="194" spans="1:23" ht="12.3" x14ac:dyDescent="0.4">
      <c r="A194" s="2" t="s">
        <v>112</v>
      </c>
      <c r="B194" s="2"/>
      <c r="C194" s="2"/>
      <c r="D194" s="2"/>
      <c r="E194" s="2"/>
      <c r="F194" s="2"/>
      <c r="G194" s="2"/>
      <c r="H194" s="2"/>
      <c r="I194" s="2">
        <v>63.905099999999997</v>
      </c>
      <c r="J194" s="2">
        <v>230</v>
      </c>
      <c r="K194" s="2">
        <v>65.515600000000006</v>
      </c>
      <c r="L194" s="2">
        <v>133</v>
      </c>
      <c r="M194" s="2">
        <v>98.152000000000001</v>
      </c>
      <c r="N194" s="2">
        <v>258</v>
      </c>
      <c r="O194" s="2">
        <v>100.6512</v>
      </c>
      <c r="P194" s="2">
        <v>206</v>
      </c>
      <c r="Q194" s="2">
        <v>103.60299999999999</v>
      </c>
      <c r="R194" s="2">
        <v>202</v>
      </c>
      <c r="S194" s="2">
        <v>103.1157</v>
      </c>
      <c r="T194" s="2">
        <v>182</v>
      </c>
      <c r="U194" s="2">
        <v>0.43090000000000001</v>
      </c>
      <c r="V194" s="2">
        <v>193</v>
      </c>
      <c r="W194" s="2">
        <v>2015</v>
      </c>
    </row>
    <row r="195" spans="1:23" ht="12.3" x14ac:dyDescent="0.4">
      <c r="A195" s="2" t="s">
        <v>321</v>
      </c>
      <c r="B195" s="2"/>
      <c r="C195" s="2"/>
      <c r="D195" s="2"/>
      <c r="E195" s="2"/>
      <c r="F195" s="2"/>
      <c r="G195" s="2"/>
      <c r="H195" s="2"/>
      <c r="I195" s="2">
        <v>65.072299999999998</v>
      </c>
      <c r="J195" s="2">
        <v>156</v>
      </c>
      <c r="K195" s="2">
        <v>65.408000000000001</v>
      </c>
      <c r="L195" s="2">
        <v>140</v>
      </c>
      <c r="M195" s="2">
        <v>103.0446</v>
      </c>
      <c r="N195" s="2">
        <v>152</v>
      </c>
      <c r="O195" s="2">
        <v>103.4684</v>
      </c>
      <c r="P195" s="2">
        <v>139</v>
      </c>
      <c r="Q195" s="2">
        <v>102.44499999999999</v>
      </c>
      <c r="R195" s="2">
        <v>181</v>
      </c>
      <c r="S195" s="2">
        <v>106.0365</v>
      </c>
      <c r="T195" s="2">
        <v>243</v>
      </c>
      <c r="U195" s="2">
        <v>0.429977</v>
      </c>
      <c r="V195" s="2">
        <v>194</v>
      </c>
      <c r="W195" s="2">
        <v>2015</v>
      </c>
    </row>
    <row r="196" spans="1:23" ht="12.3" x14ac:dyDescent="0.4">
      <c r="A196" s="2" t="s">
        <v>273</v>
      </c>
      <c r="B196" s="2">
        <v>16</v>
      </c>
      <c r="C196" s="2"/>
      <c r="D196" s="2"/>
      <c r="E196" s="2"/>
      <c r="F196" s="2"/>
      <c r="G196" s="2"/>
      <c r="H196" s="2"/>
      <c r="I196" s="2">
        <v>64.612300000000005</v>
      </c>
      <c r="J196" s="2">
        <v>184</v>
      </c>
      <c r="K196" s="2">
        <v>64.965900000000005</v>
      </c>
      <c r="L196" s="2">
        <v>158</v>
      </c>
      <c r="M196" s="2">
        <v>113.6553</v>
      </c>
      <c r="N196" s="2">
        <v>15</v>
      </c>
      <c r="O196" s="2">
        <v>110.35250000000001</v>
      </c>
      <c r="P196" s="2">
        <v>40</v>
      </c>
      <c r="Q196" s="2">
        <v>111.764</v>
      </c>
      <c r="R196" s="2">
        <v>336</v>
      </c>
      <c r="S196" s="2">
        <v>113.15089999999999</v>
      </c>
      <c r="T196" s="2">
        <v>338</v>
      </c>
      <c r="U196" s="2">
        <v>0.42849599999999999</v>
      </c>
      <c r="V196" s="2">
        <v>195</v>
      </c>
      <c r="W196" s="2">
        <v>2015</v>
      </c>
    </row>
    <row r="197" spans="1:23" ht="12.3" x14ac:dyDescent="0.4">
      <c r="A197" s="2" t="s">
        <v>167</v>
      </c>
      <c r="B197" s="2"/>
      <c r="C197" s="2"/>
      <c r="D197" s="2"/>
      <c r="E197" s="2"/>
      <c r="F197" s="2"/>
      <c r="G197" s="2"/>
      <c r="H197" s="2"/>
      <c r="I197" s="2">
        <v>65.67</v>
      </c>
      <c r="J197" s="2">
        <v>133</v>
      </c>
      <c r="K197" s="2">
        <v>65.264700000000005</v>
      </c>
      <c r="L197" s="2">
        <v>147</v>
      </c>
      <c r="M197" s="2">
        <v>99.746499999999997</v>
      </c>
      <c r="N197" s="2">
        <v>225</v>
      </c>
      <c r="O197" s="2">
        <v>100.80029999999999</v>
      </c>
      <c r="P197" s="2">
        <v>201</v>
      </c>
      <c r="Q197" s="2">
        <v>105.4753</v>
      </c>
      <c r="R197" s="2">
        <v>250</v>
      </c>
      <c r="S197" s="2">
        <v>103.48350000000001</v>
      </c>
      <c r="T197" s="2">
        <v>188</v>
      </c>
      <c r="U197" s="2">
        <v>0.42504199999999998</v>
      </c>
      <c r="V197" s="2">
        <v>196</v>
      </c>
      <c r="W197" s="2">
        <v>2015</v>
      </c>
    </row>
    <row r="198" spans="1:23" ht="12.3" x14ac:dyDescent="0.4">
      <c r="A198" s="2" t="s">
        <v>320</v>
      </c>
      <c r="B198" s="2"/>
      <c r="C198" s="2"/>
      <c r="D198" s="2"/>
      <c r="E198" s="2"/>
      <c r="F198" s="2"/>
      <c r="G198" s="2"/>
      <c r="H198" s="2"/>
      <c r="I198" s="2">
        <v>65.39</v>
      </c>
      <c r="J198" s="2">
        <v>146</v>
      </c>
      <c r="K198" s="2">
        <v>65.008399999999995</v>
      </c>
      <c r="L198" s="2">
        <v>156</v>
      </c>
      <c r="M198" s="2">
        <v>103.7974</v>
      </c>
      <c r="N198" s="2">
        <v>131</v>
      </c>
      <c r="O198" s="2">
        <v>102.5454</v>
      </c>
      <c r="P198" s="2">
        <v>160</v>
      </c>
      <c r="Q198" s="2">
        <v>101.33459999999999</v>
      </c>
      <c r="R198" s="2">
        <v>158</v>
      </c>
      <c r="S198" s="2">
        <v>105.3236</v>
      </c>
      <c r="T198" s="2">
        <v>230</v>
      </c>
      <c r="U198" s="2">
        <v>0.42374499999999998</v>
      </c>
      <c r="V198" s="2">
        <v>197</v>
      </c>
      <c r="W198" s="2">
        <v>2015</v>
      </c>
    </row>
    <row r="199" spans="1:23" ht="12.3" x14ac:dyDescent="0.4">
      <c r="A199" s="2" t="s">
        <v>302</v>
      </c>
      <c r="B199" s="2"/>
      <c r="C199" s="2"/>
      <c r="D199" s="2"/>
      <c r="E199" s="2"/>
      <c r="F199" s="2"/>
      <c r="G199" s="2"/>
      <c r="H199" s="2"/>
      <c r="I199" s="2">
        <v>63.3065</v>
      </c>
      <c r="J199" s="2">
        <v>258</v>
      </c>
      <c r="K199" s="2">
        <v>62.268300000000004</v>
      </c>
      <c r="L199" s="2">
        <v>295</v>
      </c>
      <c r="M199" s="2">
        <v>110.6938</v>
      </c>
      <c r="N199" s="2">
        <v>30</v>
      </c>
      <c r="O199" s="2">
        <v>106.49079999999999</v>
      </c>
      <c r="P199" s="2">
        <v>78</v>
      </c>
      <c r="Q199" s="2">
        <v>108.80110000000001</v>
      </c>
      <c r="R199" s="2">
        <v>309</v>
      </c>
      <c r="S199" s="2">
        <v>109.38890000000001</v>
      </c>
      <c r="T199" s="2">
        <v>310</v>
      </c>
      <c r="U199" s="2">
        <v>0.42341099999999998</v>
      </c>
      <c r="V199" s="2">
        <v>198</v>
      </c>
      <c r="W199" s="2">
        <v>2015</v>
      </c>
    </row>
    <row r="200" spans="1:23" ht="12.3" x14ac:dyDescent="0.4">
      <c r="A200" s="2" t="s">
        <v>270</v>
      </c>
      <c r="B200" s="2"/>
      <c r="C200" s="2"/>
      <c r="D200" s="2"/>
      <c r="E200" s="2"/>
      <c r="F200" s="2"/>
      <c r="G200" s="2"/>
      <c r="H200" s="2"/>
      <c r="I200" s="2">
        <v>70.124399999999994</v>
      </c>
      <c r="J200" s="2">
        <v>11</v>
      </c>
      <c r="K200" s="2">
        <v>70.229399999999998</v>
      </c>
      <c r="L200" s="2">
        <v>8</v>
      </c>
      <c r="M200" s="2">
        <v>100.6643</v>
      </c>
      <c r="N200" s="2">
        <v>205</v>
      </c>
      <c r="O200" s="2">
        <v>101.36750000000001</v>
      </c>
      <c r="P200" s="2">
        <v>187</v>
      </c>
      <c r="Q200" s="2">
        <v>101.8657</v>
      </c>
      <c r="R200" s="2">
        <v>168</v>
      </c>
      <c r="S200" s="2">
        <v>104.1459</v>
      </c>
      <c r="T200" s="2">
        <v>206</v>
      </c>
      <c r="U200" s="2">
        <v>0.42288199999999998</v>
      </c>
      <c r="V200" s="2">
        <v>199</v>
      </c>
      <c r="W200" s="2">
        <v>2015</v>
      </c>
    </row>
    <row r="201" spans="1:23" ht="12.3" x14ac:dyDescent="0.4">
      <c r="A201" s="2" t="s">
        <v>122</v>
      </c>
      <c r="B201" s="2"/>
      <c r="C201" s="2"/>
      <c r="D201" s="2"/>
      <c r="E201" s="2"/>
      <c r="F201" s="2"/>
      <c r="G201" s="2"/>
      <c r="H201" s="2"/>
      <c r="I201" s="2">
        <v>65.497799999999998</v>
      </c>
      <c r="J201" s="2">
        <v>141</v>
      </c>
      <c r="K201" s="2">
        <v>65.235900000000001</v>
      </c>
      <c r="L201" s="2">
        <v>148</v>
      </c>
      <c r="M201" s="2">
        <v>99.899799999999999</v>
      </c>
      <c r="N201" s="2">
        <v>221</v>
      </c>
      <c r="O201" s="2">
        <v>100.9859</v>
      </c>
      <c r="P201" s="2">
        <v>193</v>
      </c>
      <c r="Q201" s="2">
        <v>107.1789</v>
      </c>
      <c r="R201" s="2">
        <v>286</v>
      </c>
      <c r="S201" s="2">
        <v>103.8291</v>
      </c>
      <c r="T201" s="2">
        <v>199</v>
      </c>
      <c r="U201" s="2">
        <v>0.420846</v>
      </c>
      <c r="V201" s="2">
        <v>200</v>
      </c>
      <c r="W201" s="2">
        <v>2015</v>
      </c>
    </row>
    <row r="202" spans="1:23" ht="12.3" x14ac:dyDescent="0.4">
      <c r="A202" s="2" t="s">
        <v>250</v>
      </c>
      <c r="B202" s="2"/>
      <c r="C202" s="2"/>
      <c r="D202" s="2"/>
      <c r="E202" s="2"/>
      <c r="F202" s="2"/>
      <c r="G202" s="2"/>
      <c r="H202" s="2"/>
      <c r="I202" s="2">
        <v>67.183999999999997</v>
      </c>
      <c r="J202" s="2">
        <v>73</v>
      </c>
      <c r="K202" s="2">
        <v>67.517799999999994</v>
      </c>
      <c r="L202" s="2">
        <v>52</v>
      </c>
      <c r="M202" s="2">
        <v>104.66379999999999</v>
      </c>
      <c r="N202" s="2">
        <v>114</v>
      </c>
      <c r="O202" s="2">
        <v>107.31</v>
      </c>
      <c r="P202" s="2">
        <v>70</v>
      </c>
      <c r="Q202" s="2">
        <v>111.4102</v>
      </c>
      <c r="R202" s="2">
        <v>332</v>
      </c>
      <c r="S202" s="2">
        <v>110.45440000000001</v>
      </c>
      <c r="T202" s="2">
        <v>322</v>
      </c>
      <c r="U202" s="2">
        <v>0.41772100000000001</v>
      </c>
      <c r="V202" s="2">
        <v>201</v>
      </c>
      <c r="W202" s="2">
        <v>2015</v>
      </c>
    </row>
    <row r="203" spans="1:23" ht="12.3" x14ac:dyDescent="0.4">
      <c r="A203" s="2" t="s">
        <v>289</v>
      </c>
      <c r="B203" s="2"/>
      <c r="C203" s="2"/>
      <c r="D203" s="2"/>
      <c r="E203" s="2"/>
      <c r="F203" s="2"/>
      <c r="G203" s="2"/>
      <c r="H203" s="2"/>
      <c r="I203" s="2">
        <v>63.8309</v>
      </c>
      <c r="J203" s="2">
        <v>235</v>
      </c>
      <c r="K203" s="2">
        <v>64.697900000000004</v>
      </c>
      <c r="L203" s="2">
        <v>171</v>
      </c>
      <c r="M203" s="2">
        <v>105.2872</v>
      </c>
      <c r="N203" s="2">
        <v>97</v>
      </c>
      <c r="O203" s="2">
        <v>103.9209</v>
      </c>
      <c r="P203" s="2">
        <v>125</v>
      </c>
      <c r="Q203" s="2">
        <v>106.3524</v>
      </c>
      <c r="R203" s="2">
        <v>269</v>
      </c>
      <c r="S203" s="2">
        <v>106.96899999999999</v>
      </c>
      <c r="T203" s="2">
        <v>269</v>
      </c>
      <c r="U203" s="2">
        <v>0.41764200000000001</v>
      </c>
      <c r="V203" s="2">
        <v>202</v>
      </c>
      <c r="W203" s="2">
        <v>2015</v>
      </c>
    </row>
    <row r="204" spans="1:23" ht="12.3" x14ac:dyDescent="0.4">
      <c r="A204" s="2" t="s">
        <v>204</v>
      </c>
      <c r="B204" s="2"/>
      <c r="C204" s="2"/>
      <c r="D204" s="2"/>
      <c r="E204" s="2"/>
      <c r="F204" s="2"/>
      <c r="G204" s="2"/>
      <c r="H204" s="2"/>
      <c r="I204" s="2">
        <v>60.9649</v>
      </c>
      <c r="J204" s="2">
        <v>329</v>
      </c>
      <c r="K204" s="2">
        <v>61.915599999999998</v>
      </c>
      <c r="L204" s="2">
        <v>304</v>
      </c>
      <c r="M204" s="2">
        <v>105.70910000000001</v>
      </c>
      <c r="N204" s="2">
        <v>92</v>
      </c>
      <c r="O204" s="2">
        <v>106.0735</v>
      </c>
      <c r="P204" s="2">
        <v>88</v>
      </c>
      <c r="Q204" s="2">
        <v>107.1352</v>
      </c>
      <c r="R204" s="2">
        <v>285</v>
      </c>
      <c r="S204" s="2">
        <v>109.19110000000001</v>
      </c>
      <c r="T204" s="2">
        <v>308</v>
      </c>
      <c r="U204" s="2">
        <v>0.41748099999999999</v>
      </c>
      <c r="V204" s="2">
        <v>203</v>
      </c>
      <c r="W204" s="2">
        <v>2015</v>
      </c>
    </row>
    <row r="205" spans="1:23" ht="12.3" x14ac:dyDescent="0.4">
      <c r="A205" s="2" t="s">
        <v>326</v>
      </c>
      <c r="B205" s="2"/>
      <c r="C205" s="2"/>
      <c r="D205" s="2"/>
      <c r="E205" s="2"/>
      <c r="F205" s="2"/>
      <c r="G205" s="2"/>
      <c r="H205" s="2"/>
      <c r="I205" s="2">
        <v>65.808700000000002</v>
      </c>
      <c r="J205" s="2">
        <v>123</v>
      </c>
      <c r="K205" s="2">
        <v>66.706500000000005</v>
      </c>
      <c r="L205" s="2">
        <v>79</v>
      </c>
      <c r="M205" s="2">
        <v>100.2602</v>
      </c>
      <c r="N205" s="2">
        <v>211</v>
      </c>
      <c r="O205" s="2">
        <v>97.700999999999993</v>
      </c>
      <c r="P205" s="2">
        <v>261</v>
      </c>
      <c r="Q205" s="2">
        <v>99.878</v>
      </c>
      <c r="R205" s="2">
        <v>121</v>
      </c>
      <c r="S205" s="2">
        <v>100.5748</v>
      </c>
      <c r="T205" s="2">
        <v>132</v>
      </c>
      <c r="U205" s="2">
        <v>0.41741600000000001</v>
      </c>
      <c r="V205" s="2">
        <v>204</v>
      </c>
      <c r="W205" s="2">
        <v>2015</v>
      </c>
    </row>
    <row r="206" spans="1:23" ht="12.3" x14ac:dyDescent="0.4">
      <c r="A206" s="2" t="s">
        <v>231</v>
      </c>
      <c r="B206" s="2"/>
      <c r="C206" s="2"/>
      <c r="D206" s="2"/>
      <c r="E206" s="2"/>
      <c r="F206" s="2"/>
      <c r="G206" s="2"/>
      <c r="H206" s="2"/>
      <c r="I206" s="2">
        <v>62.579799999999999</v>
      </c>
      <c r="J206" s="2">
        <v>288</v>
      </c>
      <c r="K206" s="2">
        <v>62.55</v>
      </c>
      <c r="L206" s="2">
        <v>282</v>
      </c>
      <c r="M206" s="2">
        <v>100.0741</v>
      </c>
      <c r="N206" s="2">
        <v>213</v>
      </c>
      <c r="O206" s="2">
        <v>100.5318</v>
      </c>
      <c r="P206" s="2">
        <v>211</v>
      </c>
      <c r="Q206" s="2">
        <v>103.6015</v>
      </c>
      <c r="R206" s="2">
        <v>201</v>
      </c>
      <c r="S206" s="2">
        <v>103.5136</v>
      </c>
      <c r="T206" s="2">
        <v>191</v>
      </c>
      <c r="U206" s="2">
        <v>0.41674800000000001</v>
      </c>
      <c r="V206" s="2">
        <v>205</v>
      </c>
      <c r="W206" s="2">
        <v>2015</v>
      </c>
    </row>
    <row r="207" spans="1:23" ht="12.3" x14ac:dyDescent="0.4">
      <c r="A207" s="2" t="s">
        <v>185</v>
      </c>
      <c r="B207" s="2"/>
      <c r="C207" s="2"/>
      <c r="D207" s="2"/>
      <c r="E207" s="2"/>
      <c r="F207" s="2"/>
      <c r="G207" s="2"/>
      <c r="H207" s="2"/>
      <c r="I207" s="2">
        <v>66.101699999999994</v>
      </c>
      <c r="J207" s="2">
        <v>110</v>
      </c>
      <c r="K207" s="2">
        <v>66.003500000000003</v>
      </c>
      <c r="L207" s="2">
        <v>113</v>
      </c>
      <c r="M207" s="2">
        <v>104.91759999999999</v>
      </c>
      <c r="N207" s="2">
        <v>104</v>
      </c>
      <c r="O207" s="2">
        <v>104.4879</v>
      </c>
      <c r="P207" s="2">
        <v>116</v>
      </c>
      <c r="Q207" s="2">
        <v>106.0124</v>
      </c>
      <c r="R207" s="2">
        <v>261</v>
      </c>
      <c r="S207" s="2">
        <v>107.74250000000001</v>
      </c>
      <c r="T207" s="2">
        <v>282</v>
      </c>
      <c r="U207" s="2">
        <v>0.412717</v>
      </c>
      <c r="V207" s="2">
        <v>206</v>
      </c>
      <c r="W207" s="2">
        <v>2015</v>
      </c>
    </row>
    <row r="208" spans="1:23" ht="12.3" x14ac:dyDescent="0.4">
      <c r="A208" s="2" t="s">
        <v>325</v>
      </c>
      <c r="B208" s="2">
        <v>15</v>
      </c>
      <c r="C208" s="2"/>
      <c r="D208" s="2"/>
      <c r="E208" s="2"/>
      <c r="F208" s="2"/>
      <c r="G208" s="2"/>
      <c r="H208" s="2"/>
      <c r="I208" s="2">
        <v>64.5565</v>
      </c>
      <c r="J208" s="2">
        <v>191</v>
      </c>
      <c r="K208" s="2">
        <v>63.928699999999999</v>
      </c>
      <c r="L208" s="2">
        <v>221</v>
      </c>
      <c r="M208" s="2">
        <v>103.3623</v>
      </c>
      <c r="N208" s="2">
        <v>142</v>
      </c>
      <c r="O208" s="2">
        <v>101.67319999999999</v>
      </c>
      <c r="P208" s="2">
        <v>177</v>
      </c>
      <c r="Q208" s="2">
        <v>102.42140000000001</v>
      </c>
      <c r="R208" s="2">
        <v>178</v>
      </c>
      <c r="S208" s="2">
        <v>104.902</v>
      </c>
      <c r="T208" s="2">
        <v>220</v>
      </c>
      <c r="U208" s="2">
        <v>0.41107300000000002</v>
      </c>
      <c r="V208" s="2">
        <v>207</v>
      </c>
      <c r="W208" s="2">
        <v>2015</v>
      </c>
    </row>
    <row r="209" spans="1:23" ht="12.3" x14ac:dyDescent="0.4">
      <c r="A209" s="2" t="s">
        <v>200</v>
      </c>
      <c r="B209" s="2"/>
      <c r="C209" s="2"/>
      <c r="D209" s="2"/>
      <c r="E209" s="2"/>
      <c r="F209" s="2"/>
      <c r="G209" s="2"/>
      <c r="H209" s="2"/>
      <c r="I209" s="2">
        <v>64.328000000000003</v>
      </c>
      <c r="J209" s="2">
        <v>201</v>
      </c>
      <c r="K209" s="2">
        <v>64.441299999999998</v>
      </c>
      <c r="L209" s="2">
        <v>185</v>
      </c>
      <c r="M209" s="2">
        <v>103.9149</v>
      </c>
      <c r="N209" s="2">
        <v>129</v>
      </c>
      <c r="O209" s="2">
        <v>102.8428</v>
      </c>
      <c r="P209" s="2">
        <v>153</v>
      </c>
      <c r="Q209" s="2">
        <v>105.3258</v>
      </c>
      <c r="R209" s="2">
        <v>247</v>
      </c>
      <c r="S209" s="2">
        <v>106.134</v>
      </c>
      <c r="T209" s="2">
        <v>246</v>
      </c>
      <c r="U209" s="2">
        <v>0.41041100000000003</v>
      </c>
      <c r="V209" s="2">
        <v>208</v>
      </c>
      <c r="W209" s="2">
        <v>2015</v>
      </c>
    </row>
    <row r="210" spans="1:23" ht="12.3" x14ac:dyDescent="0.4">
      <c r="A210" s="2" t="s">
        <v>333</v>
      </c>
      <c r="B210" s="2"/>
      <c r="C210" s="2"/>
      <c r="D210" s="2"/>
      <c r="E210" s="2"/>
      <c r="F210" s="2"/>
      <c r="G210" s="2"/>
      <c r="H210" s="2"/>
      <c r="I210" s="2">
        <v>64.201099999999997</v>
      </c>
      <c r="J210" s="2">
        <v>209</v>
      </c>
      <c r="K210" s="2">
        <v>64.698400000000007</v>
      </c>
      <c r="L210" s="2">
        <v>170</v>
      </c>
      <c r="M210" s="2">
        <v>93.838300000000004</v>
      </c>
      <c r="N210" s="2">
        <v>313</v>
      </c>
      <c r="O210" s="2">
        <v>94.561000000000007</v>
      </c>
      <c r="P210" s="2">
        <v>311</v>
      </c>
      <c r="Q210" s="2">
        <v>96.267200000000003</v>
      </c>
      <c r="R210" s="2">
        <v>50</v>
      </c>
      <c r="S210" s="2">
        <v>97.628900000000002</v>
      </c>
      <c r="T210" s="2">
        <v>80</v>
      </c>
      <c r="U210" s="2">
        <v>0.40922399999999998</v>
      </c>
      <c r="V210" s="2">
        <v>209</v>
      </c>
      <c r="W210" s="2">
        <v>2015</v>
      </c>
    </row>
    <row r="211" spans="1:23" ht="12.3" x14ac:dyDescent="0.4">
      <c r="A211" s="2" t="s">
        <v>73</v>
      </c>
      <c r="B211" s="2"/>
      <c r="C211" s="2"/>
      <c r="D211" s="2"/>
      <c r="E211" s="2"/>
      <c r="F211" s="2"/>
      <c r="G211" s="2"/>
      <c r="H211" s="2"/>
      <c r="I211" s="2">
        <v>63.2254</v>
      </c>
      <c r="J211" s="2">
        <v>260</v>
      </c>
      <c r="K211" s="2">
        <v>62.559399999999997</v>
      </c>
      <c r="L211" s="2">
        <v>280</v>
      </c>
      <c r="M211" s="2">
        <v>93.997799999999998</v>
      </c>
      <c r="N211" s="2">
        <v>309</v>
      </c>
      <c r="O211" s="2">
        <v>98.911900000000003</v>
      </c>
      <c r="P211" s="2">
        <v>243</v>
      </c>
      <c r="Q211" s="2">
        <v>106.9547</v>
      </c>
      <c r="R211" s="2">
        <v>282</v>
      </c>
      <c r="S211" s="2">
        <v>102.15479999999999</v>
      </c>
      <c r="T211" s="2">
        <v>163</v>
      </c>
      <c r="U211" s="2">
        <v>0.408304</v>
      </c>
      <c r="V211" s="2">
        <v>210</v>
      </c>
      <c r="W211" s="2">
        <v>2015</v>
      </c>
    </row>
    <row r="212" spans="1:23" ht="12.3" x14ac:dyDescent="0.4">
      <c r="A212" s="2" t="s">
        <v>249</v>
      </c>
      <c r="B212" s="2"/>
      <c r="C212" s="2"/>
      <c r="D212" s="2"/>
      <c r="E212" s="2"/>
      <c r="F212" s="2"/>
      <c r="G212" s="2"/>
      <c r="H212" s="2"/>
      <c r="I212" s="2">
        <v>66.246899999999997</v>
      </c>
      <c r="J212" s="2">
        <v>104</v>
      </c>
      <c r="K212" s="2">
        <v>65.754300000000001</v>
      </c>
      <c r="L212" s="2">
        <v>124</v>
      </c>
      <c r="M212" s="2">
        <v>96.489599999999996</v>
      </c>
      <c r="N212" s="2">
        <v>284</v>
      </c>
      <c r="O212" s="2">
        <v>100.38930000000001</v>
      </c>
      <c r="P212" s="2">
        <v>217</v>
      </c>
      <c r="Q212" s="2">
        <v>103.6317</v>
      </c>
      <c r="R212" s="2">
        <v>203</v>
      </c>
      <c r="S212" s="2">
        <v>103.72329999999999</v>
      </c>
      <c r="T212" s="2">
        <v>196</v>
      </c>
      <c r="U212" s="2">
        <v>0.40716000000000002</v>
      </c>
      <c r="V212" s="2">
        <v>211</v>
      </c>
      <c r="W212" s="2">
        <v>2015</v>
      </c>
    </row>
    <row r="213" spans="1:23" ht="12.3" x14ac:dyDescent="0.4">
      <c r="A213" s="2" t="s">
        <v>211</v>
      </c>
      <c r="B213" s="2"/>
      <c r="C213" s="2"/>
      <c r="D213" s="2"/>
      <c r="E213" s="2"/>
      <c r="F213" s="2"/>
      <c r="G213" s="2"/>
      <c r="H213" s="2"/>
      <c r="I213" s="2">
        <v>67.697500000000005</v>
      </c>
      <c r="J213" s="2">
        <v>56</v>
      </c>
      <c r="K213" s="2">
        <v>67.821100000000001</v>
      </c>
      <c r="L213" s="2">
        <v>38</v>
      </c>
      <c r="M213" s="2">
        <v>106.2987</v>
      </c>
      <c r="N213" s="2">
        <v>82</v>
      </c>
      <c r="O213" s="2">
        <v>105.26609999999999</v>
      </c>
      <c r="P213" s="2">
        <v>105</v>
      </c>
      <c r="Q213" s="2">
        <v>109.04219999999999</v>
      </c>
      <c r="R213" s="2">
        <v>311</v>
      </c>
      <c r="S213" s="2">
        <v>108.7811</v>
      </c>
      <c r="T213" s="2">
        <v>302</v>
      </c>
      <c r="U213" s="2">
        <v>0.40667500000000001</v>
      </c>
      <c r="V213" s="2">
        <v>212</v>
      </c>
      <c r="W213" s="2">
        <v>2015</v>
      </c>
    </row>
    <row r="214" spans="1:23" ht="12.3" x14ac:dyDescent="0.4">
      <c r="A214" s="2" t="s">
        <v>259</v>
      </c>
      <c r="B214" s="2"/>
      <c r="C214" s="2"/>
      <c r="D214" s="2"/>
      <c r="E214" s="2"/>
      <c r="F214" s="2"/>
      <c r="G214" s="2"/>
      <c r="H214" s="2"/>
      <c r="I214" s="2">
        <v>74.448599999999999</v>
      </c>
      <c r="J214" s="2">
        <v>2</v>
      </c>
      <c r="K214" s="2">
        <v>72.884900000000002</v>
      </c>
      <c r="L214" s="2">
        <v>4</v>
      </c>
      <c r="M214" s="2">
        <v>112.7389</v>
      </c>
      <c r="N214" s="2">
        <v>21</v>
      </c>
      <c r="O214" s="2">
        <v>111.43899999999999</v>
      </c>
      <c r="P214" s="2">
        <v>31</v>
      </c>
      <c r="Q214" s="2">
        <v>112.6271</v>
      </c>
      <c r="R214" s="2">
        <v>344</v>
      </c>
      <c r="S214" s="2">
        <v>115.2453</v>
      </c>
      <c r="T214" s="2">
        <v>348</v>
      </c>
      <c r="U214" s="2">
        <v>0.40462500000000001</v>
      </c>
      <c r="V214" s="2">
        <v>213</v>
      </c>
      <c r="W214" s="2">
        <v>2015</v>
      </c>
    </row>
    <row r="215" spans="1:23" ht="12.3" x14ac:dyDescent="0.4">
      <c r="A215" s="2" t="s">
        <v>382</v>
      </c>
      <c r="B215" s="2"/>
      <c r="C215" s="2"/>
      <c r="D215" s="2"/>
      <c r="E215" s="2"/>
      <c r="F215" s="2"/>
      <c r="G215" s="2"/>
      <c r="H215" s="2"/>
      <c r="I215" s="2">
        <v>68.753100000000003</v>
      </c>
      <c r="J215" s="2">
        <v>26</v>
      </c>
      <c r="K215" s="2">
        <v>67.4285</v>
      </c>
      <c r="L215" s="2">
        <v>56</v>
      </c>
      <c r="M215" s="2">
        <v>109.38379999999999</v>
      </c>
      <c r="N215" s="2">
        <v>39</v>
      </c>
      <c r="O215" s="2">
        <v>106.5021</v>
      </c>
      <c r="P215" s="2">
        <v>77</v>
      </c>
      <c r="Q215" s="2">
        <v>107.5613</v>
      </c>
      <c r="R215" s="2">
        <v>293</v>
      </c>
      <c r="S215" s="2">
        <v>110.15479999999999</v>
      </c>
      <c r="T215" s="2">
        <v>319</v>
      </c>
      <c r="U215" s="2">
        <v>0.40424700000000002</v>
      </c>
      <c r="V215" s="2">
        <v>214</v>
      </c>
      <c r="W215" s="2">
        <v>2015</v>
      </c>
    </row>
    <row r="216" spans="1:23" ht="12.3" x14ac:dyDescent="0.4">
      <c r="A216" s="2" t="s">
        <v>130</v>
      </c>
      <c r="B216" s="2"/>
      <c r="C216" s="2"/>
      <c r="D216" s="2"/>
      <c r="E216" s="2"/>
      <c r="F216" s="2"/>
      <c r="G216" s="2"/>
      <c r="H216" s="2"/>
      <c r="I216" s="2">
        <v>63.872599999999998</v>
      </c>
      <c r="J216" s="2">
        <v>231</v>
      </c>
      <c r="K216" s="2">
        <v>64.031700000000001</v>
      </c>
      <c r="L216" s="2">
        <v>209</v>
      </c>
      <c r="M216" s="2">
        <v>99.459699999999998</v>
      </c>
      <c r="N216" s="2">
        <v>235</v>
      </c>
      <c r="O216" s="2">
        <v>99.400599999999997</v>
      </c>
      <c r="P216" s="2">
        <v>232</v>
      </c>
      <c r="Q216" s="2">
        <v>101.3391</v>
      </c>
      <c r="R216" s="2">
        <v>159</v>
      </c>
      <c r="S216" s="2">
        <v>102.8322</v>
      </c>
      <c r="T216" s="2">
        <v>177</v>
      </c>
      <c r="U216" s="2">
        <v>0.40364100000000003</v>
      </c>
      <c r="V216" s="2">
        <v>215</v>
      </c>
      <c r="W216" s="2">
        <v>2015</v>
      </c>
    </row>
    <row r="217" spans="1:23" ht="12.3" x14ac:dyDescent="0.4">
      <c r="A217" s="2" t="s">
        <v>138</v>
      </c>
      <c r="B217" s="2"/>
      <c r="C217" s="2"/>
      <c r="D217" s="2"/>
      <c r="E217" s="2"/>
      <c r="F217" s="2"/>
      <c r="G217" s="2"/>
      <c r="H217" s="2"/>
      <c r="I217" s="2">
        <v>65.302499999999995</v>
      </c>
      <c r="J217" s="2">
        <v>148</v>
      </c>
      <c r="K217" s="2">
        <v>65.384200000000007</v>
      </c>
      <c r="L217" s="2">
        <v>141</v>
      </c>
      <c r="M217" s="2">
        <v>102.2076</v>
      </c>
      <c r="N217" s="2">
        <v>174</v>
      </c>
      <c r="O217" s="2">
        <v>102.6737</v>
      </c>
      <c r="P217" s="2">
        <v>158</v>
      </c>
      <c r="Q217" s="2">
        <v>105.2439</v>
      </c>
      <c r="R217" s="2">
        <v>245</v>
      </c>
      <c r="S217" s="2">
        <v>106.3505</v>
      </c>
      <c r="T217" s="2">
        <v>252</v>
      </c>
      <c r="U217" s="2">
        <v>0.400202</v>
      </c>
      <c r="V217" s="2">
        <v>216</v>
      </c>
      <c r="W217" s="2">
        <v>2015</v>
      </c>
    </row>
    <row r="218" spans="1:23" ht="12.3" x14ac:dyDescent="0.4">
      <c r="A218" s="2" t="s">
        <v>276</v>
      </c>
      <c r="B218" s="2"/>
      <c r="C218" s="2"/>
      <c r="D218" s="2"/>
      <c r="E218" s="2"/>
      <c r="F218" s="2"/>
      <c r="G218" s="2"/>
      <c r="H218" s="2"/>
      <c r="I218" s="2">
        <v>63.714599999999997</v>
      </c>
      <c r="J218" s="2">
        <v>242</v>
      </c>
      <c r="K218" s="2">
        <v>62.726799999999997</v>
      </c>
      <c r="L218" s="2">
        <v>276</v>
      </c>
      <c r="M218" s="2">
        <v>102.05889999999999</v>
      </c>
      <c r="N218" s="2">
        <v>177</v>
      </c>
      <c r="O218" s="2">
        <v>99.091499999999996</v>
      </c>
      <c r="P218" s="2">
        <v>236</v>
      </c>
      <c r="Q218" s="2">
        <v>101.0736</v>
      </c>
      <c r="R218" s="2">
        <v>149</v>
      </c>
      <c r="S218" s="2">
        <v>102.6953</v>
      </c>
      <c r="T218" s="2">
        <v>174</v>
      </c>
      <c r="U218" s="2">
        <v>0.39871800000000002</v>
      </c>
      <c r="V218" s="2">
        <v>217</v>
      </c>
      <c r="W218" s="2">
        <v>2015</v>
      </c>
    </row>
    <row r="219" spans="1:23" ht="12.3" x14ac:dyDescent="0.4">
      <c r="A219" s="2" t="s">
        <v>147</v>
      </c>
      <c r="B219" s="2"/>
      <c r="C219" s="2"/>
      <c r="D219" s="2"/>
      <c r="E219" s="2"/>
      <c r="F219" s="2"/>
      <c r="G219" s="2"/>
      <c r="H219" s="2"/>
      <c r="I219" s="2">
        <v>64.788899999999998</v>
      </c>
      <c r="J219" s="2">
        <v>172</v>
      </c>
      <c r="K219" s="2">
        <v>64.456100000000006</v>
      </c>
      <c r="L219" s="2">
        <v>183</v>
      </c>
      <c r="M219" s="2">
        <v>96.779200000000003</v>
      </c>
      <c r="N219" s="2">
        <v>274</v>
      </c>
      <c r="O219" s="2">
        <v>100.82980000000001</v>
      </c>
      <c r="P219" s="2">
        <v>199</v>
      </c>
      <c r="Q219" s="2">
        <v>105.7765</v>
      </c>
      <c r="R219" s="2">
        <v>257</v>
      </c>
      <c r="S219" s="2">
        <v>104.587</v>
      </c>
      <c r="T219" s="2">
        <v>214</v>
      </c>
      <c r="U219" s="2">
        <v>0.396341</v>
      </c>
      <c r="V219" s="2">
        <v>218</v>
      </c>
      <c r="W219" s="2">
        <v>2015</v>
      </c>
    </row>
    <row r="220" spans="1:23" ht="12.3" x14ac:dyDescent="0.4">
      <c r="A220" s="2" t="s">
        <v>123</v>
      </c>
      <c r="B220" s="2"/>
      <c r="C220" s="2"/>
      <c r="D220" s="2"/>
      <c r="E220" s="2"/>
      <c r="F220" s="2"/>
      <c r="G220" s="2"/>
      <c r="H220" s="2"/>
      <c r="I220" s="2">
        <v>64.9148</v>
      </c>
      <c r="J220" s="2">
        <v>164</v>
      </c>
      <c r="K220" s="2">
        <v>65.737099999999998</v>
      </c>
      <c r="L220" s="2">
        <v>127</v>
      </c>
      <c r="M220" s="2">
        <v>91.273600000000002</v>
      </c>
      <c r="N220" s="2">
        <v>338</v>
      </c>
      <c r="O220" s="2">
        <v>96.290800000000004</v>
      </c>
      <c r="P220" s="2">
        <v>286</v>
      </c>
      <c r="Q220" s="2">
        <v>103.25060000000001</v>
      </c>
      <c r="R220" s="2">
        <v>193</v>
      </c>
      <c r="S220" s="2">
        <v>99.937899999999999</v>
      </c>
      <c r="T220" s="2">
        <v>120</v>
      </c>
      <c r="U220" s="2">
        <v>0.39471699999999998</v>
      </c>
      <c r="V220" s="2">
        <v>219</v>
      </c>
      <c r="W220" s="2">
        <v>2015</v>
      </c>
    </row>
    <row r="221" spans="1:23" ht="12.3" x14ac:dyDescent="0.4">
      <c r="A221" s="2" t="s">
        <v>206</v>
      </c>
      <c r="B221" s="2"/>
      <c r="C221" s="2"/>
      <c r="D221" s="2"/>
      <c r="E221" s="2"/>
      <c r="F221" s="2"/>
      <c r="G221" s="2"/>
      <c r="H221" s="2"/>
      <c r="I221" s="2">
        <v>62.000799999999998</v>
      </c>
      <c r="J221" s="2">
        <v>305</v>
      </c>
      <c r="K221" s="2">
        <v>61.812100000000001</v>
      </c>
      <c r="L221" s="2">
        <v>308</v>
      </c>
      <c r="M221" s="2">
        <v>99.883899999999997</v>
      </c>
      <c r="N221" s="2">
        <v>223</v>
      </c>
      <c r="O221" s="2">
        <v>102.0099</v>
      </c>
      <c r="P221" s="2">
        <v>171</v>
      </c>
      <c r="Q221" s="2">
        <v>106.1267</v>
      </c>
      <c r="R221" s="2">
        <v>265</v>
      </c>
      <c r="S221" s="2">
        <v>106.42270000000001</v>
      </c>
      <c r="T221" s="2">
        <v>256</v>
      </c>
      <c r="U221" s="2">
        <v>0.38059700000000002</v>
      </c>
      <c r="V221" s="2">
        <v>220</v>
      </c>
      <c r="W221" s="2">
        <v>2015</v>
      </c>
    </row>
    <row r="222" spans="1:23" ht="12.3" x14ac:dyDescent="0.4">
      <c r="A222" s="2" t="s">
        <v>332</v>
      </c>
      <c r="B222" s="2"/>
      <c r="C222" s="2"/>
      <c r="D222" s="2"/>
      <c r="E222" s="2"/>
      <c r="F222" s="2"/>
      <c r="G222" s="2"/>
      <c r="H222" s="2"/>
      <c r="I222" s="2">
        <v>63.196800000000003</v>
      </c>
      <c r="J222" s="2">
        <v>263</v>
      </c>
      <c r="K222" s="2">
        <v>63.215200000000003</v>
      </c>
      <c r="L222" s="2">
        <v>263</v>
      </c>
      <c r="M222" s="2">
        <v>98.623599999999996</v>
      </c>
      <c r="N222" s="2">
        <v>251</v>
      </c>
      <c r="O222" s="2">
        <v>97.601799999999997</v>
      </c>
      <c r="P222" s="2">
        <v>262</v>
      </c>
      <c r="Q222" s="2">
        <v>100.11</v>
      </c>
      <c r="R222" s="2">
        <v>126</v>
      </c>
      <c r="S222" s="2">
        <v>101.98350000000001</v>
      </c>
      <c r="T222" s="2">
        <v>159</v>
      </c>
      <c r="U222" s="2">
        <v>0.376361</v>
      </c>
      <c r="V222" s="2">
        <v>221</v>
      </c>
      <c r="W222" s="2">
        <v>2015</v>
      </c>
    </row>
    <row r="223" spans="1:23" ht="12.3" x14ac:dyDescent="0.4">
      <c r="A223" s="2" t="s">
        <v>286</v>
      </c>
      <c r="B223" s="2"/>
      <c r="C223" s="2"/>
      <c r="D223" s="2"/>
      <c r="E223" s="2"/>
      <c r="F223" s="2"/>
      <c r="G223" s="2"/>
      <c r="H223" s="2"/>
      <c r="I223" s="2">
        <v>58.241100000000003</v>
      </c>
      <c r="J223" s="2">
        <v>349</v>
      </c>
      <c r="K223" s="2">
        <v>57.572899999999997</v>
      </c>
      <c r="L223" s="2">
        <v>351</v>
      </c>
      <c r="M223" s="2">
        <v>105.1713</v>
      </c>
      <c r="N223" s="2">
        <v>100</v>
      </c>
      <c r="O223" s="2">
        <v>103.7491</v>
      </c>
      <c r="P223" s="2">
        <v>131</v>
      </c>
      <c r="Q223" s="2">
        <v>107.19880000000001</v>
      </c>
      <c r="R223" s="2">
        <v>287</v>
      </c>
      <c r="S223" s="2">
        <v>108.413</v>
      </c>
      <c r="T223" s="2">
        <v>296</v>
      </c>
      <c r="U223" s="2">
        <v>0.37620399999999998</v>
      </c>
      <c r="V223" s="2">
        <v>222</v>
      </c>
      <c r="W223" s="2">
        <v>2015</v>
      </c>
    </row>
    <row r="224" spans="1:23" ht="12.3" x14ac:dyDescent="0.4">
      <c r="A224" s="2" t="s">
        <v>284</v>
      </c>
      <c r="B224" s="2"/>
      <c r="C224" s="2"/>
      <c r="D224" s="2"/>
      <c r="E224" s="2"/>
      <c r="F224" s="2"/>
      <c r="G224" s="2"/>
      <c r="H224" s="2"/>
      <c r="I224" s="2">
        <v>65.028700000000001</v>
      </c>
      <c r="J224" s="2">
        <v>160</v>
      </c>
      <c r="K224" s="2">
        <v>65.666499999999999</v>
      </c>
      <c r="L224" s="2">
        <v>129</v>
      </c>
      <c r="M224" s="2">
        <v>96.646799999999999</v>
      </c>
      <c r="N224" s="2">
        <v>279</v>
      </c>
      <c r="O224" s="2">
        <v>95.867500000000007</v>
      </c>
      <c r="P224" s="2">
        <v>294</v>
      </c>
      <c r="Q224" s="2">
        <v>102.1066</v>
      </c>
      <c r="R224" s="2">
        <v>171</v>
      </c>
      <c r="S224" s="2">
        <v>100.2585</v>
      </c>
      <c r="T224" s="2">
        <v>129</v>
      </c>
      <c r="U224" s="2">
        <v>0.37401600000000002</v>
      </c>
      <c r="V224" s="2">
        <v>223</v>
      </c>
      <c r="W224" s="2">
        <v>2015</v>
      </c>
    </row>
    <row r="225" spans="1:23" ht="12.3" x14ac:dyDescent="0.4">
      <c r="A225" s="2" t="s">
        <v>349</v>
      </c>
      <c r="B225" s="2"/>
      <c r="C225" s="2"/>
      <c r="D225" s="2"/>
      <c r="E225" s="2"/>
      <c r="F225" s="2"/>
      <c r="G225" s="2"/>
      <c r="H225" s="2"/>
      <c r="I225" s="2">
        <v>63.095399999999998</v>
      </c>
      <c r="J225" s="2">
        <v>268</v>
      </c>
      <c r="K225" s="2">
        <v>62.888599999999997</v>
      </c>
      <c r="L225" s="2">
        <v>271</v>
      </c>
      <c r="M225" s="2">
        <v>97.954899999999995</v>
      </c>
      <c r="N225" s="2">
        <v>261</v>
      </c>
      <c r="O225" s="2">
        <v>96.487300000000005</v>
      </c>
      <c r="P225" s="2">
        <v>280</v>
      </c>
      <c r="Q225" s="2">
        <v>100.54259999999999</v>
      </c>
      <c r="R225" s="2">
        <v>136</v>
      </c>
      <c r="S225" s="2">
        <v>100.9121</v>
      </c>
      <c r="T225" s="2">
        <v>136</v>
      </c>
      <c r="U225" s="2">
        <v>0.37387199999999998</v>
      </c>
      <c r="V225" s="2">
        <v>224</v>
      </c>
      <c r="W225" s="2">
        <v>2015</v>
      </c>
    </row>
    <row r="226" spans="1:23" ht="12.3" x14ac:dyDescent="0.4">
      <c r="A226" s="2" t="s">
        <v>377</v>
      </c>
      <c r="B226" s="2"/>
      <c r="C226" s="2"/>
      <c r="D226" s="2"/>
      <c r="E226" s="2"/>
      <c r="F226" s="2"/>
      <c r="G226" s="2"/>
      <c r="H226" s="2"/>
      <c r="I226" s="2">
        <v>65.680199999999999</v>
      </c>
      <c r="J226" s="2">
        <v>132</v>
      </c>
      <c r="K226" s="2">
        <v>65.806399999999996</v>
      </c>
      <c r="L226" s="2">
        <v>122</v>
      </c>
      <c r="M226" s="2">
        <v>102.6876</v>
      </c>
      <c r="N226" s="2">
        <v>162</v>
      </c>
      <c r="O226" s="2">
        <v>101.2907</v>
      </c>
      <c r="P226" s="2">
        <v>188</v>
      </c>
      <c r="Q226" s="2">
        <v>104.8353</v>
      </c>
      <c r="R226" s="2">
        <v>232</v>
      </c>
      <c r="S226" s="2">
        <v>105.9628</v>
      </c>
      <c r="T226" s="2">
        <v>242</v>
      </c>
      <c r="U226" s="2">
        <v>0.37318499999999999</v>
      </c>
      <c r="V226" s="2">
        <v>225</v>
      </c>
      <c r="W226" s="2">
        <v>2015</v>
      </c>
    </row>
    <row r="227" spans="1:23" ht="12.3" x14ac:dyDescent="0.4">
      <c r="A227" s="2" t="s">
        <v>151</v>
      </c>
      <c r="B227" s="2"/>
      <c r="C227" s="2"/>
      <c r="D227" s="2"/>
      <c r="E227" s="2"/>
      <c r="F227" s="2"/>
      <c r="G227" s="2"/>
      <c r="H227" s="2"/>
      <c r="I227" s="2">
        <v>67.183199999999999</v>
      </c>
      <c r="J227" s="2">
        <v>74</v>
      </c>
      <c r="K227" s="2">
        <v>66.963399999999993</v>
      </c>
      <c r="L227" s="2">
        <v>70</v>
      </c>
      <c r="M227" s="2">
        <v>100.066</v>
      </c>
      <c r="N227" s="2">
        <v>214</v>
      </c>
      <c r="O227" s="2">
        <v>101.93640000000001</v>
      </c>
      <c r="P227" s="2">
        <v>174</v>
      </c>
      <c r="Q227" s="2">
        <v>107.2591</v>
      </c>
      <c r="R227" s="2">
        <v>289</v>
      </c>
      <c r="S227" s="2">
        <v>106.7929</v>
      </c>
      <c r="T227" s="2">
        <v>266</v>
      </c>
      <c r="U227" s="2">
        <v>0.36929800000000002</v>
      </c>
      <c r="V227" s="2">
        <v>226</v>
      </c>
      <c r="W227" s="2">
        <v>2015</v>
      </c>
    </row>
    <row r="228" spans="1:23" ht="12.3" x14ac:dyDescent="0.4">
      <c r="A228" s="2" t="s">
        <v>108</v>
      </c>
      <c r="B228" s="2"/>
      <c r="C228" s="2"/>
      <c r="D228" s="2"/>
      <c r="E228" s="2"/>
      <c r="F228" s="2"/>
      <c r="G228" s="2"/>
      <c r="H228" s="2"/>
      <c r="I228" s="2">
        <v>68.072500000000005</v>
      </c>
      <c r="J228" s="2">
        <v>42</v>
      </c>
      <c r="K228" s="2">
        <v>67.9773</v>
      </c>
      <c r="L228" s="2">
        <v>35</v>
      </c>
      <c r="M228" s="2">
        <v>104.3031</v>
      </c>
      <c r="N228" s="2">
        <v>119</v>
      </c>
      <c r="O228" s="2">
        <v>100.1219</v>
      </c>
      <c r="P228" s="2">
        <v>223</v>
      </c>
      <c r="Q228" s="2">
        <v>105.3693</v>
      </c>
      <c r="R228" s="2">
        <v>248</v>
      </c>
      <c r="S228" s="2">
        <v>104.9644</v>
      </c>
      <c r="T228" s="2">
        <v>223</v>
      </c>
      <c r="U228" s="2">
        <v>0.367448</v>
      </c>
      <c r="V228" s="2">
        <v>227</v>
      </c>
      <c r="W228" s="2">
        <v>2015</v>
      </c>
    </row>
    <row r="229" spans="1:23" ht="12.3" x14ac:dyDescent="0.4">
      <c r="A229" s="2" t="s">
        <v>264</v>
      </c>
      <c r="B229" s="2"/>
      <c r="C229" s="2"/>
      <c r="D229" s="2"/>
      <c r="E229" s="2"/>
      <c r="F229" s="2"/>
      <c r="G229" s="2"/>
      <c r="H229" s="2"/>
      <c r="I229" s="2">
        <v>62.425400000000003</v>
      </c>
      <c r="J229" s="2">
        <v>294</v>
      </c>
      <c r="K229" s="2">
        <v>62.664299999999997</v>
      </c>
      <c r="L229" s="2">
        <v>277</v>
      </c>
      <c r="M229" s="2">
        <v>98.037599999999998</v>
      </c>
      <c r="N229" s="2">
        <v>260</v>
      </c>
      <c r="O229" s="2">
        <v>97.971000000000004</v>
      </c>
      <c r="P229" s="2">
        <v>255</v>
      </c>
      <c r="Q229" s="2">
        <v>103.3227</v>
      </c>
      <c r="R229" s="2">
        <v>197</v>
      </c>
      <c r="S229" s="2">
        <v>102.7543</v>
      </c>
      <c r="T229" s="2">
        <v>176</v>
      </c>
      <c r="U229" s="2">
        <v>0.366282</v>
      </c>
      <c r="V229" s="2">
        <v>228</v>
      </c>
      <c r="W229" s="2">
        <v>2015</v>
      </c>
    </row>
    <row r="230" spans="1:23" ht="12.3" x14ac:dyDescent="0.4">
      <c r="A230" s="2" t="s">
        <v>125</v>
      </c>
      <c r="B230" s="2"/>
      <c r="C230" s="2"/>
      <c r="D230" s="2"/>
      <c r="E230" s="2"/>
      <c r="F230" s="2"/>
      <c r="G230" s="2"/>
      <c r="H230" s="2"/>
      <c r="I230" s="2">
        <v>65.373199999999997</v>
      </c>
      <c r="J230" s="2">
        <v>147</v>
      </c>
      <c r="K230" s="2">
        <v>64.631900000000002</v>
      </c>
      <c r="L230" s="2">
        <v>175</v>
      </c>
      <c r="M230" s="2">
        <v>102.6653</v>
      </c>
      <c r="N230" s="2">
        <v>166</v>
      </c>
      <c r="O230" s="2">
        <v>102.7692</v>
      </c>
      <c r="P230" s="2">
        <v>155</v>
      </c>
      <c r="Q230" s="2">
        <v>104.8297</v>
      </c>
      <c r="R230" s="2">
        <v>231</v>
      </c>
      <c r="S230" s="2">
        <v>107.9586</v>
      </c>
      <c r="T230" s="2">
        <v>287</v>
      </c>
      <c r="U230" s="2">
        <v>0.362041</v>
      </c>
      <c r="V230" s="2">
        <v>229</v>
      </c>
      <c r="W230" s="2">
        <v>2015</v>
      </c>
    </row>
    <row r="231" spans="1:23" ht="12.3" x14ac:dyDescent="0.4">
      <c r="A231" s="2" t="s">
        <v>161</v>
      </c>
      <c r="B231" s="2"/>
      <c r="C231" s="2"/>
      <c r="D231" s="2"/>
      <c r="E231" s="2"/>
      <c r="F231" s="2"/>
      <c r="G231" s="2"/>
      <c r="H231" s="2"/>
      <c r="I231" s="2">
        <v>63.5807</v>
      </c>
      <c r="J231" s="2">
        <v>248</v>
      </c>
      <c r="K231" s="2">
        <v>63.3626</v>
      </c>
      <c r="L231" s="2">
        <v>254</v>
      </c>
      <c r="M231" s="2">
        <v>96.683899999999994</v>
      </c>
      <c r="N231" s="2">
        <v>277</v>
      </c>
      <c r="O231" s="2">
        <v>97.711699999999993</v>
      </c>
      <c r="P231" s="2">
        <v>259</v>
      </c>
      <c r="Q231" s="2">
        <v>99.885999999999996</v>
      </c>
      <c r="R231" s="2">
        <v>122</v>
      </c>
      <c r="S231" s="2">
        <v>102.7329</v>
      </c>
      <c r="T231" s="2">
        <v>175</v>
      </c>
      <c r="U231" s="2">
        <v>0.35978900000000003</v>
      </c>
      <c r="V231" s="2">
        <v>230</v>
      </c>
      <c r="W231" s="2">
        <v>2015</v>
      </c>
    </row>
    <row r="232" spans="1:23" ht="12.3" x14ac:dyDescent="0.4">
      <c r="A232" s="2" t="s">
        <v>316</v>
      </c>
      <c r="B232" s="2"/>
      <c r="C232" s="2"/>
      <c r="D232" s="2"/>
      <c r="E232" s="2"/>
      <c r="F232" s="2"/>
      <c r="G232" s="2"/>
      <c r="H232" s="2"/>
      <c r="I232" s="2">
        <v>68.939400000000006</v>
      </c>
      <c r="J232" s="2">
        <v>23</v>
      </c>
      <c r="K232" s="2">
        <v>68.954599999999999</v>
      </c>
      <c r="L232" s="2">
        <v>23</v>
      </c>
      <c r="M232" s="2">
        <v>102.9757</v>
      </c>
      <c r="N232" s="2">
        <v>154</v>
      </c>
      <c r="O232" s="2">
        <v>102.08150000000001</v>
      </c>
      <c r="P232" s="2">
        <v>169</v>
      </c>
      <c r="Q232" s="2">
        <v>104.77679999999999</v>
      </c>
      <c r="R232" s="2">
        <v>230</v>
      </c>
      <c r="S232" s="2">
        <v>107.60299999999999</v>
      </c>
      <c r="T232" s="2">
        <v>276</v>
      </c>
      <c r="U232" s="2">
        <v>0.35302099999999997</v>
      </c>
      <c r="V232" s="2">
        <v>231</v>
      </c>
      <c r="W232" s="2">
        <v>2015</v>
      </c>
    </row>
    <row r="233" spans="1:23" ht="12.3" x14ac:dyDescent="0.4">
      <c r="A233" s="2" t="s">
        <v>380</v>
      </c>
      <c r="B233" s="2"/>
      <c r="C233" s="2"/>
      <c r="D233" s="2"/>
      <c r="E233" s="2"/>
      <c r="F233" s="2"/>
      <c r="G233" s="2"/>
      <c r="H233" s="2"/>
      <c r="I233" s="2">
        <v>64.741299999999995</v>
      </c>
      <c r="J233" s="2">
        <v>177</v>
      </c>
      <c r="K233" s="2">
        <v>63.930500000000002</v>
      </c>
      <c r="L233" s="2">
        <v>219</v>
      </c>
      <c r="M233" s="2">
        <v>104.7701</v>
      </c>
      <c r="N233" s="2">
        <v>110</v>
      </c>
      <c r="O233" s="2">
        <v>102.932</v>
      </c>
      <c r="P233" s="2">
        <v>151</v>
      </c>
      <c r="Q233" s="2">
        <v>107.9808</v>
      </c>
      <c r="R233" s="2">
        <v>300</v>
      </c>
      <c r="S233" s="2">
        <v>108.7264</v>
      </c>
      <c r="T233" s="2">
        <v>300</v>
      </c>
      <c r="U233" s="2">
        <v>0.34755200000000003</v>
      </c>
      <c r="V233" s="2">
        <v>232</v>
      </c>
      <c r="W233" s="2">
        <v>2015</v>
      </c>
    </row>
    <row r="234" spans="1:23" ht="12.3" x14ac:dyDescent="0.4">
      <c r="A234" s="2" t="s">
        <v>304</v>
      </c>
      <c r="B234" s="2"/>
      <c r="C234" s="2"/>
      <c r="D234" s="2"/>
      <c r="E234" s="2"/>
      <c r="F234" s="2"/>
      <c r="G234" s="2"/>
      <c r="H234" s="2"/>
      <c r="I234" s="2">
        <v>68.210499999999996</v>
      </c>
      <c r="J234" s="2">
        <v>37</v>
      </c>
      <c r="K234" s="2">
        <v>67.572500000000005</v>
      </c>
      <c r="L234" s="2">
        <v>47</v>
      </c>
      <c r="M234" s="2">
        <v>110.2294</v>
      </c>
      <c r="N234" s="2">
        <v>32</v>
      </c>
      <c r="O234" s="2">
        <v>105.00620000000001</v>
      </c>
      <c r="P234" s="2">
        <v>109</v>
      </c>
      <c r="Q234" s="2">
        <v>111.4926</v>
      </c>
      <c r="R234" s="2">
        <v>334</v>
      </c>
      <c r="S234" s="2">
        <v>110.92740000000001</v>
      </c>
      <c r="T234" s="2">
        <v>325</v>
      </c>
      <c r="U234" s="2">
        <v>0.34731699999999999</v>
      </c>
      <c r="V234" s="2">
        <v>233</v>
      </c>
      <c r="W234" s="2">
        <v>2015</v>
      </c>
    </row>
    <row r="235" spans="1:23" ht="12.3" x14ac:dyDescent="0.4">
      <c r="A235" s="2" t="s">
        <v>82</v>
      </c>
      <c r="B235" s="2"/>
      <c r="C235" s="2"/>
      <c r="D235" s="2"/>
      <c r="E235" s="2"/>
      <c r="F235" s="2"/>
      <c r="G235" s="2"/>
      <c r="H235" s="2"/>
      <c r="I235" s="2">
        <v>61.508600000000001</v>
      </c>
      <c r="J235" s="2">
        <v>316</v>
      </c>
      <c r="K235" s="2">
        <v>62.896700000000003</v>
      </c>
      <c r="L235" s="2">
        <v>270</v>
      </c>
      <c r="M235" s="2">
        <v>95.915499999999994</v>
      </c>
      <c r="N235" s="2">
        <v>291</v>
      </c>
      <c r="O235" s="2">
        <v>96.059200000000004</v>
      </c>
      <c r="P235" s="2">
        <v>291</v>
      </c>
      <c r="Q235" s="2">
        <v>100.81189999999999</v>
      </c>
      <c r="R235" s="2">
        <v>143</v>
      </c>
      <c r="S235" s="2">
        <v>101.5154</v>
      </c>
      <c r="T235" s="2">
        <v>149</v>
      </c>
      <c r="U235" s="2">
        <v>0.346304</v>
      </c>
      <c r="V235" s="2">
        <v>234</v>
      </c>
      <c r="W235" s="2">
        <v>2015</v>
      </c>
    </row>
    <row r="236" spans="1:23" ht="12.3" x14ac:dyDescent="0.4">
      <c r="A236" s="2" t="s">
        <v>246</v>
      </c>
      <c r="B236" s="2"/>
      <c r="C236" s="2"/>
      <c r="D236" s="2"/>
      <c r="E236" s="2"/>
      <c r="F236" s="2"/>
      <c r="G236" s="2"/>
      <c r="H236" s="2"/>
      <c r="I236" s="2">
        <v>66.464200000000005</v>
      </c>
      <c r="J236" s="2">
        <v>98</v>
      </c>
      <c r="K236" s="2">
        <v>66.089699999999993</v>
      </c>
      <c r="L236" s="2">
        <v>109</v>
      </c>
      <c r="M236" s="2">
        <v>102.67</v>
      </c>
      <c r="N236" s="2">
        <v>165</v>
      </c>
      <c r="O236" s="2">
        <v>99.016300000000001</v>
      </c>
      <c r="P236" s="2">
        <v>239</v>
      </c>
      <c r="Q236" s="2">
        <v>105.9755</v>
      </c>
      <c r="R236" s="2">
        <v>260</v>
      </c>
      <c r="S236" s="2">
        <v>104.759</v>
      </c>
      <c r="T236" s="2">
        <v>217</v>
      </c>
      <c r="U236" s="2">
        <v>0.343362</v>
      </c>
      <c r="V236" s="2">
        <v>235</v>
      </c>
      <c r="W236" s="2">
        <v>2015</v>
      </c>
    </row>
    <row r="237" spans="1:23" ht="12.3" x14ac:dyDescent="0.4">
      <c r="A237" s="2" t="s">
        <v>303</v>
      </c>
      <c r="B237" s="2"/>
      <c r="C237" s="2"/>
      <c r="D237" s="2"/>
      <c r="E237" s="2"/>
      <c r="F237" s="2"/>
      <c r="G237" s="2"/>
      <c r="H237" s="2"/>
      <c r="I237" s="2">
        <v>66.474900000000005</v>
      </c>
      <c r="J237" s="2">
        <v>96</v>
      </c>
      <c r="K237" s="2">
        <v>66.453000000000003</v>
      </c>
      <c r="L237" s="2">
        <v>91</v>
      </c>
      <c r="M237" s="2">
        <v>101.8235</v>
      </c>
      <c r="N237" s="2">
        <v>179</v>
      </c>
      <c r="O237" s="2">
        <v>101.02630000000001</v>
      </c>
      <c r="P237" s="2">
        <v>192</v>
      </c>
      <c r="Q237" s="2">
        <v>104.2723</v>
      </c>
      <c r="R237" s="2">
        <v>219</v>
      </c>
      <c r="S237" s="2">
        <v>106.9331</v>
      </c>
      <c r="T237" s="2">
        <v>268</v>
      </c>
      <c r="U237" s="2">
        <v>0.34221000000000001</v>
      </c>
      <c r="V237" s="2">
        <v>236</v>
      </c>
      <c r="W237" s="2">
        <v>2015</v>
      </c>
    </row>
    <row r="238" spans="1:23" ht="12.3" x14ac:dyDescent="0.4">
      <c r="A238" s="2" t="s">
        <v>126</v>
      </c>
      <c r="B238" s="2"/>
      <c r="C238" s="2"/>
      <c r="D238" s="2"/>
      <c r="E238" s="2"/>
      <c r="F238" s="2"/>
      <c r="G238" s="2"/>
      <c r="H238" s="2"/>
      <c r="I238" s="2">
        <v>61.775700000000001</v>
      </c>
      <c r="J238" s="2">
        <v>310</v>
      </c>
      <c r="K238" s="2">
        <v>61.863999999999997</v>
      </c>
      <c r="L238" s="2">
        <v>306</v>
      </c>
      <c r="M238" s="2">
        <v>100.2826</v>
      </c>
      <c r="N238" s="2">
        <v>210</v>
      </c>
      <c r="O238" s="2">
        <v>100.4773</v>
      </c>
      <c r="P238" s="2">
        <v>214</v>
      </c>
      <c r="Q238" s="2">
        <v>110.9314</v>
      </c>
      <c r="R238" s="2">
        <v>330</v>
      </c>
      <c r="S238" s="2">
        <v>106.4131</v>
      </c>
      <c r="T238" s="2">
        <v>255</v>
      </c>
      <c r="U238" s="2">
        <v>0.340725</v>
      </c>
      <c r="V238" s="2">
        <v>237</v>
      </c>
      <c r="W238" s="2">
        <v>2015</v>
      </c>
    </row>
    <row r="239" spans="1:23" ht="12.3" x14ac:dyDescent="0.4">
      <c r="A239" s="2" t="s">
        <v>375</v>
      </c>
      <c r="B239" s="2"/>
      <c r="C239" s="2"/>
      <c r="D239" s="2"/>
      <c r="E239" s="2"/>
      <c r="F239" s="2"/>
      <c r="G239" s="2"/>
      <c r="H239" s="2"/>
      <c r="I239" s="2">
        <v>63.753700000000002</v>
      </c>
      <c r="J239" s="2">
        <v>241</v>
      </c>
      <c r="K239" s="2">
        <v>63.304699999999997</v>
      </c>
      <c r="L239" s="2">
        <v>256</v>
      </c>
      <c r="M239" s="2">
        <v>103.09569999999999</v>
      </c>
      <c r="N239" s="2">
        <v>149</v>
      </c>
      <c r="O239" s="2">
        <v>102.7565</v>
      </c>
      <c r="P239" s="2">
        <v>156</v>
      </c>
      <c r="Q239" s="2">
        <v>105.2341</v>
      </c>
      <c r="R239" s="2">
        <v>244</v>
      </c>
      <c r="S239" s="2">
        <v>108.9341</v>
      </c>
      <c r="T239" s="2">
        <v>305</v>
      </c>
      <c r="U239" s="2">
        <v>0.33818700000000002</v>
      </c>
      <c r="V239" s="2">
        <v>238</v>
      </c>
      <c r="W239" s="2">
        <v>2015</v>
      </c>
    </row>
    <row r="240" spans="1:23" ht="12.3" x14ac:dyDescent="0.4">
      <c r="A240" s="2" t="s">
        <v>354</v>
      </c>
      <c r="B240" s="2"/>
      <c r="C240" s="2"/>
      <c r="D240" s="2"/>
      <c r="E240" s="2"/>
      <c r="F240" s="2"/>
      <c r="G240" s="2"/>
      <c r="H240" s="2"/>
      <c r="I240" s="2">
        <v>62.887799999999999</v>
      </c>
      <c r="J240" s="2">
        <v>278</v>
      </c>
      <c r="K240" s="2">
        <v>61.579099999999997</v>
      </c>
      <c r="L240" s="2">
        <v>313</v>
      </c>
      <c r="M240" s="2">
        <v>92.350200000000001</v>
      </c>
      <c r="N240" s="2">
        <v>328</v>
      </c>
      <c r="O240" s="2">
        <v>91.585300000000004</v>
      </c>
      <c r="P240" s="2">
        <v>332</v>
      </c>
      <c r="Q240" s="2">
        <v>95.847700000000003</v>
      </c>
      <c r="R240" s="2">
        <v>44</v>
      </c>
      <c r="S240" s="2">
        <v>97.158199999999994</v>
      </c>
      <c r="T240" s="2">
        <v>72</v>
      </c>
      <c r="U240" s="2">
        <v>0.33641700000000002</v>
      </c>
      <c r="V240" s="2">
        <v>239</v>
      </c>
      <c r="W240" s="2">
        <v>2015</v>
      </c>
    </row>
    <row r="241" spans="1:23" ht="12.3" x14ac:dyDescent="0.4">
      <c r="A241" s="2" t="s">
        <v>281</v>
      </c>
      <c r="B241" s="2"/>
      <c r="C241" s="2"/>
      <c r="D241" s="2"/>
      <c r="E241" s="2"/>
      <c r="F241" s="2"/>
      <c r="G241" s="2"/>
      <c r="H241" s="2"/>
      <c r="I241" s="2">
        <v>68.733900000000006</v>
      </c>
      <c r="J241" s="2">
        <v>27</v>
      </c>
      <c r="K241" s="2">
        <v>68.295000000000002</v>
      </c>
      <c r="L241" s="2">
        <v>29</v>
      </c>
      <c r="M241" s="2">
        <v>102.8931</v>
      </c>
      <c r="N241" s="2">
        <v>155</v>
      </c>
      <c r="O241" s="2">
        <v>100.6614</v>
      </c>
      <c r="P241" s="2">
        <v>205</v>
      </c>
      <c r="Q241" s="2">
        <v>105.03270000000001</v>
      </c>
      <c r="R241" s="2">
        <v>239</v>
      </c>
      <c r="S241" s="2">
        <v>106.79649999999999</v>
      </c>
      <c r="T241" s="2">
        <v>267</v>
      </c>
      <c r="U241" s="2">
        <v>0.33617900000000001</v>
      </c>
      <c r="V241" s="2">
        <v>240</v>
      </c>
      <c r="W241" s="2">
        <v>2015</v>
      </c>
    </row>
    <row r="242" spans="1:23" ht="12.3" x14ac:dyDescent="0.4">
      <c r="A242" s="2" t="s">
        <v>184</v>
      </c>
      <c r="B242" s="2"/>
      <c r="C242" s="2"/>
      <c r="D242" s="2"/>
      <c r="E242" s="2"/>
      <c r="F242" s="2"/>
      <c r="G242" s="2"/>
      <c r="H242" s="2"/>
      <c r="I242" s="2">
        <v>66.495400000000004</v>
      </c>
      <c r="J242" s="2">
        <v>95</v>
      </c>
      <c r="K242" s="2">
        <v>65.850499999999997</v>
      </c>
      <c r="L242" s="2">
        <v>119</v>
      </c>
      <c r="M242" s="2">
        <v>96.394599999999997</v>
      </c>
      <c r="N242" s="2">
        <v>285</v>
      </c>
      <c r="O242" s="2">
        <v>97.518600000000006</v>
      </c>
      <c r="P242" s="2">
        <v>265</v>
      </c>
      <c r="Q242" s="2">
        <v>102.9288</v>
      </c>
      <c r="R242" s="2">
        <v>186</v>
      </c>
      <c r="S242" s="2">
        <v>103.50709999999999</v>
      </c>
      <c r="T242" s="2">
        <v>189</v>
      </c>
      <c r="U242" s="2">
        <v>0.335065</v>
      </c>
      <c r="V242" s="2">
        <v>241</v>
      </c>
      <c r="W242" s="2">
        <v>2015</v>
      </c>
    </row>
    <row r="243" spans="1:23" ht="12.3" x14ac:dyDescent="0.4">
      <c r="A243" s="2" t="s">
        <v>203</v>
      </c>
      <c r="B243" s="2"/>
      <c r="C243" s="2"/>
      <c r="D243" s="2"/>
      <c r="E243" s="2"/>
      <c r="F243" s="2"/>
      <c r="G243" s="2"/>
      <c r="H243" s="2"/>
      <c r="I243" s="2">
        <v>63.603000000000002</v>
      </c>
      <c r="J243" s="2">
        <v>246</v>
      </c>
      <c r="K243" s="2">
        <v>64.801199999999994</v>
      </c>
      <c r="L243" s="2">
        <v>164</v>
      </c>
      <c r="M243" s="2">
        <v>105.973</v>
      </c>
      <c r="N243" s="2">
        <v>88</v>
      </c>
      <c r="O243" s="2">
        <v>103.7227</v>
      </c>
      <c r="P243" s="2">
        <v>134</v>
      </c>
      <c r="Q243" s="2">
        <v>110.0368</v>
      </c>
      <c r="R243" s="2">
        <v>325</v>
      </c>
      <c r="S243" s="2">
        <v>110.1712</v>
      </c>
      <c r="T243" s="2">
        <v>320</v>
      </c>
      <c r="U243" s="2">
        <v>0.33323000000000003</v>
      </c>
      <c r="V243" s="2">
        <v>242</v>
      </c>
      <c r="W243" s="2">
        <v>2015</v>
      </c>
    </row>
    <row r="244" spans="1:23" ht="12.3" x14ac:dyDescent="0.4">
      <c r="A244" s="2" t="s">
        <v>178</v>
      </c>
      <c r="B244" s="2"/>
      <c r="C244" s="2"/>
      <c r="D244" s="2"/>
      <c r="E244" s="2"/>
      <c r="F244" s="2"/>
      <c r="G244" s="2"/>
      <c r="H244" s="2"/>
      <c r="I244" s="2">
        <v>63.181699999999999</v>
      </c>
      <c r="J244" s="2">
        <v>265</v>
      </c>
      <c r="K244" s="2">
        <v>63.948599999999999</v>
      </c>
      <c r="L244" s="2">
        <v>217</v>
      </c>
      <c r="M244" s="2">
        <v>100.91800000000001</v>
      </c>
      <c r="N244" s="2">
        <v>198</v>
      </c>
      <c r="O244" s="2">
        <v>100.0629</v>
      </c>
      <c r="P244" s="2">
        <v>225</v>
      </c>
      <c r="Q244" s="2">
        <v>104.7174</v>
      </c>
      <c r="R244" s="2">
        <v>228</v>
      </c>
      <c r="S244" s="2">
        <v>106.295</v>
      </c>
      <c r="T244" s="2">
        <v>250</v>
      </c>
      <c r="U244" s="2">
        <v>0.33295999999999998</v>
      </c>
      <c r="V244" s="2">
        <v>243</v>
      </c>
      <c r="W244" s="2">
        <v>2015</v>
      </c>
    </row>
    <row r="245" spans="1:23" ht="12.3" x14ac:dyDescent="0.4">
      <c r="A245" s="2" t="s">
        <v>373</v>
      </c>
      <c r="B245" s="2"/>
      <c r="C245" s="2"/>
      <c r="D245" s="2"/>
      <c r="E245" s="2"/>
      <c r="F245" s="2"/>
      <c r="G245" s="2"/>
      <c r="H245" s="2"/>
      <c r="I245" s="2">
        <v>66.418800000000005</v>
      </c>
      <c r="J245" s="2">
        <v>101</v>
      </c>
      <c r="K245" s="2">
        <v>66.757999999999996</v>
      </c>
      <c r="L245" s="2">
        <v>76</v>
      </c>
      <c r="M245" s="2">
        <v>97.888000000000005</v>
      </c>
      <c r="N245" s="2">
        <v>263</v>
      </c>
      <c r="O245" s="2">
        <v>96.121499999999997</v>
      </c>
      <c r="P245" s="2">
        <v>288</v>
      </c>
      <c r="Q245" s="2">
        <v>102.11369999999999</v>
      </c>
      <c r="R245" s="2">
        <v>172</v>
      </c>
      <c r="S245" s="2">
        <v>102.2908</v>
      </c>
      <c r="T245" s="2">
        <v>167</v>
      </c>
      <c r="U245" s="2">
        <v>0.32841100000000001</v>
      </c>
      <c r="V245" s="2">
        <v>244</v>
      </c>
      <c r="W245" s="2">
        <v>2015</v>
      </c>
    </row>
    <row r="246" spans="1:23" ht="12.3" x14ac:dyDescent="0.4">
      <c r="A246" s="2" t="s">
        <v>266</v>
      </c>
      <c r="B246" s="2"/>
      <c r="C246" s="2"/>
      <c r="D246" s="2"/>
      <c r="E246" s="2"/>
      <c r="F246" s="2"/>
      <c r="G246" s="2"/>
      <c r="H246" s="2"/>
      <c r="I246" s="2">
        <v>67.488799999999998</v>
      </c>
      <c r="J246" s="2">
        <v>61</v>
      </c>
      <c r="K246" s="2">
        <v>66.514700000000005</v>
      </c>
      <c r="L246" s="2">
        <v>89</v>
      </c>
      <c r="M246" s="2">
        <v>100.8723</v>
      </c>
      <c r="N246" s="2">
        <v>200</v>
      </c>
      <c r="O246" s="2">
        <v>98.540300000000002</v>
      </c>
      <c r="P246" s="2">
        <v>247</v>
      </c>
      <c r="Q246" s="2">
        <v>107.3014</v>
      </c>
      <c r="R246" s="2">
        <v>290</v>
      </c>
      <c r="S246" s="2">
        <v>104.9509</v>
      </c>
      <c r="T246" s="2">
        <v>221</v>
      </c>
      <c r="U246" s="2">
        <v>0.32633499999999999</v>
      </c>
      <c r="V246" s="2">
        <v>245</v>
      </c>
      <c r="W246" s="2">
        <v>2015</v>
      </c>
    </row>
    <row r="247" spans="1:23" ht="12.3" x14ac:dyDescent="0.4">
      <c r="A247" s="2" t="s">
        <v>265</v>
      </c>
      <c r="B247" s="2"/>
      <c r="C247" s="2"/>
      <c r="D247" s="2"/>
      <c r="E247" s="2"/>
      <c r="F247" s="2"/>
      <c r="G247" s="2"/>
      <c r="H247" s="2"/>
      <c r="I247" s="2">
        <v>68.517499999999998</v>
      </c>
      <c r="J247" s="2">
        <v>32</v>
      </c>
      <c r="K247" s="2">
        <v>67.087000000000003</v>
      </c>
      <c r="L247" s="2">
        <v>65</v>
      </c>
      <c r="M247" s="2">
        <v>100.6977</v>
      </c>
      <c r="N247" s="2">
        <v>204</v>
      </c>
      <c r="O247" s="2">
        <v>102.2098</v>
      </c>
      <c r="P247" s="2">
        <v>168</v>
      </c>
      <c r="Q247" s="2">
        <v>104.8809</v>
      </c>
      <c r="R247" s="2">
        <v>233</v>
      </c>
      <c r="S247" s="2">
        <v>108.8947</v>
      </c>
      <c r="T247" s="2">
        <v>304</v>
      </c>
      <c r="U247" s="2">
        <v>0.32550899999999999</v>
      </c>
      <c r="V247" s="2">
        <v>246</v>
      </c>
      <c r="W247" s="2">
        <v>2015</v>
      </c>
    </row>
    <row r="248" spans="1:23" ht="12.3" x14ac:dyDescent="0.4">
      <c r="A248" s="2" t="s">
        <v>174</v>
      </c>
      <c r="B248" s="2"/>
      <c r="C248" s="2"/>
      <c r="D248" s="2"/>
      <c r="E248" s="2"/>
      <c r="F248" s="2"/>
      <c r="G248" s="2"/>
      <c r="H248" s="2"/>
      <c r="I248" s="2">
        <v>65.755600000000001</v>
      </c>
      <c r="J248" s="2">
        <v>126</v>
      </c>
      <c r="K248" s="2">
        <v>65.870900000000006</v>
      </c>
      <c r="L248" s="2">
        <v>118</v>
      </c>
      <c r="M248" s="2">
        <v>99.166499999999999</v>
      </c>
      <c r="N248" s="2">
        <v>241</v>
      </c>
      <c r="O248" s="2">
        <v>99.965999999999994</v>
      </c>
      <c r="P248" s="2">
        <v>227</v>
      </c>
      <c r="Q248" s="2">
        <v>108.16679999999999</v>
      </c>
      <c r="R248" s="2">
        <v>303</v>
      </c>
      <c r="S248" s="2">
        <v>106.547</v>
      </c>
      <c r="T248" s="2">
        <v>260</v>
      </c>
      <c r="U248" s="2">
        <v>0.32449299999999998</v>
      </c>
      <c r="V248" s="2">
        <v>247</v>
      </c>
      <c r="W248" s="2">
        <v>2015</v>
      </c>
    </row>
    <row r="249" spans="1:23" ht="12.3" x14ac:dyDescent="0.4">
      <c r="A249" s="2" t="s">
        <v>210</v>
      </c>
      <c r="B249" s="2"/>
      <c r="C249" s="2"/>
      <c r="D249" s="2"/>
      <c r="E249" s="2"/>
      <c r="F249" s="2"/>
      <c r="G249" s="2"/>
      <c r="H249" s="2"/>
      <c r="I249" s="2">
        <v>61.673200000000001</v>
      </c>
      <c r="J249" s="2">
        <v>314</v>
      </c>
      <c r="K249" s="2">
        <v>60.905500000000004</v>
      </c>
      <c r="L249" s="2">
        <v>329</v>
      </c>
      <c r="M249" s="2">
        <v>96.939700000000002</v>
      </c>
      <c r="N249" s="2">
        <v>273</v>
      </c>
      <c r="O249" s="2">
        <v>98.355699999999999</v>
      </c>
      <c r="P249" s="2">
        <v>249</v>
      </c>
      <c r="Q249" s="2">
        <v>103.80410000000001</v>
      </c>
      <c r="R249" s="2">
        <v>209</v>
      </c>
      <c r="S249" s="2">
        <v>104.8729</v>
      </c>
      <c r="T249" s="2">
        <v>219</v>
      </c>
      <c r="U249" s="2">
        <v>0.32348199999999999</v>
      </c>
      <c r="V249" s="2">
        <v>248</v>
      </c>
      <c r="W249" s="2">
        <v>2015</v>
      </c>
    </row>
    <row r="250" spans="1:23" ht="12.3" x14ac:dyDescent="0.4">
      <c r="A250" s="2" t="s">
        <v>171</v>
      </c>
      <c r="B250" s="2"/>
      <c r="C250" s="2"/>
      <c r="D250" s="2"/>
      <c r="E250" s="2"/>
      <c r="F250" s="2"/>
      <c r="G250" s="2"/>
      <c r="H250" s="2"/>
      <c r="I250" s="2">
        <v>64.330799999999996</v>
      </c>
      <c r="J250" s="2">
        <v>200</v>
      </c>
      <c r="K250" s="2">
        <v>63.641599999999997</v>
      </c>
      <c r="L250" s="2">
        <v>241</v>
      </c>
      <c r="M250" s="2">
        <v>97.370900000000006</v>
      </c>
      <c r="N250" s="2">
        <v>269</v>
      </c>
      <c r="O250" s="2">
        <v>96.203299999999999</v>
      </c>
      <c r="P250" s="2">
        <v>287</v>
      </c>
      <c r="Q250" s="2">
        <v>105.4226</v>
      </c>
      <c r="R250" s="2">
        <v>249</v>
      </c>
      <c r="S250" s="2">
        <v>102.88930000000001</v>
      </c>
      <c r="T250" s="2">
        <v>179</v>
      </c>
      <c r="U250" s="2">
        <v>0.31590000000000001</v>
      </c>
      <c r="V250" s="2">
        <v>249</v>
      </c>
      <c r="W250" s="2">
        <v>2015</v>
      </c>
    </row>
    <row r="251" spans="1:23" ht="12.3" x14ac:dyDescent="0.4">
      <c r="A251" s="2" t="s">
        <v>135</v>
      </c>
      <c r="B251" s="2">
        <v>16</v>
      </c>
      <c r="C251" s="2"/>
      <c r="D251" s="2"/>
      <c r="E251" s="2"/>
      <c r="F251" s="2"/>
      <c r="G251" s="2"/>
      <c r="H251" s="2"/>
      <c r="I251" s="2">
        <v>69.142300000000006</v>
      </c>
      <c r="J251" s="2">
        <v>18</v>
      </c>
      <c r="K251" s="2">
        <v>69.543000000000006</v>
      </c>
      <c r="L251" s="2">
        <v>16</v>
      </c>
      <c r="M251" s="2">
        <v>96.609899999999996</v>
      </c>
      <c r="N251" s="2">
        <v>280</v>
      </c>
      <c r="O251" s="2">
        <v>95.571600000000004</v>
      </c>
      <c r="P251" s="2">
        <v>302</v>
      </c>
      <c r="Q251" s="2">
        <v>98.523200000000003</v>
      </c>
      <c r="R251" s="2">
        <v>94</v>
      </c>
      <c r="S251" s="2">
        <v>102.34569999999999</v>
      </c>
      <c r="T251" s="2">
        <v>170</v>
      </c>
      <c r="U251" s="2">
        <v>0.312699</v>
      </c>
      <c r="V251" s="2">
        <v>250</v>
      </c>
      <c r="W251" s="2">
        <v>2015</v>
      </c>
    </row>
    <row r="252" spans="1:23" ht="12.3" x14ac:dyDescent="0.4">
      <c r="A252" s="2" t="s">
        <v>242</v>
      </c>
      <c r="B252" s="2"/>
      <c r="C252" s="2"/>
      <c r="D252" s="2"/>
      <c r="E252" s="2"/>
      <c r="F252" s="2"/>
      <c r="G252" s="2"/>
      <c r="H252" s="2"/>
      <c r="I252" s="2">
        <v>64.088300000000004</v>
      </c>
      <c r="J252" s="2">
        <v>219</v>
      </c>
      <c r="K252" s="2">
        <v>63.222900000000003</v>
      </c>
      <c r="L252" s="2">
        <v>262</v>
      </c>
      <c r="M252" s="2">
        <v>93.459599999999995</v>
      </c>
      <c r="N252" s="2">
        <v>316</v>
      </c>
      <c r="O252" s="2">
        <v>92.4298</v>
      </c>
      <c r="P252" s="2">
        <v>325</v>
      </c>
      <c r="Q252" s="2">
        <v>96.753900000000002</v>
      </c>
      <c r="R252" s="2">
        <v>65</v>
      </c>
      <c r="S252" s="2">
        <v>99.134100000000004</v>
      </c>
      <c r="T252" s="2">
        <v>104</v>
      </c>
      <c r="U252" s="2">
        <v>0.30889899999999998</v>
      </c>
      <c r="V252" s="2">
        <v>251</v>
      </c>
      <c r="W252" s="2">
        <v>2015</v>
      </c>
    </row>
    <row r="253" spans="1:23" ht="12.3" x14ac:dyDescent="0.4">
      <c r="A253" s="2" t="s">
        <v>114</v>
      </c>
      <c r="B253" s="2"/>
      <c r="C253" s="2"/>
      <c r="D253" s="2"/>
      <c r="E253" s="2"/>
      <c r="F253" s="2"/>
      <c r="G253" s="2"/>
      <c r="H253" s="2"/>
      <c r="I253" s="2">
        <v>67.218400000000003</v>
      </c>
      <c r="J253" s="2">
        <v>71</v>
      </c>
      <c r="K253" s="2">
        <v>66.660799999999995</v>
      </c>
      <c r="L253" s="2">
        <v>81</v>
      </c>
      <c r="M253" s="2">
        <v>102.8246</v>
      </c>
      <c r="N253" s="2">
        <v>157</v>
      </c>
      <c r="O253" s="2">
        <v>102.29810000000001</v>
      </c>
      <c r="P253" s="2">
        <v>165</v>
      </c>
      <c r="Q253" s="2">
        <v>106.9594</v>
      </c>
      <c r="R253" s="2">
        <v>283</v>
      </c>
      <c r="S253" s="2">
        <v>109.7479</v>
      </c>
      <c r="T253" s="2">
        <v>317</v>
      </c>
      <c r="U253" s="2">
        <v>0.30823200000000001</v>
      </c>
      <c r="V253" s="2">
        <v>252</v>
      </c>
      <c r="W253" s="2">
        <v>2015</v>
      </c>
    </row>
    <row r="254" spans="1:23" ht="12.3" x14ac:dyDescent="0.4">
      <c r="A254" s="2" t="s">
        <v>379</v>
      </c>
      <c r="B254" s="2"/>
      <c r="C254" s="2"/>
      <c r="D254" s="2"/>
      <c r="E254" s="2"/>
      <c r="F254" s="2"/>
      <c r="G254" s="2"/>
      <c r="H254" s="2"/>
      <c r="I254" s="2">
        <v>73.401300000000006</v>
      </c>
      <c r="J254" s="2">
        <v>4</v>
      </c>
      <c r="K254" s="2">
        <v>73.897300000000001</v>
      </c>
      <c r="L254" s="2">
        <v>3</v>
      </c>
      <c r="M254" s="2">
        <v>102.9868</v>
      </c>
      <c r="N254" s="2">
        <v>153</v>
      </c>
      <c r="O254" s="2">
        <v>100.68210000000001</v>
      </c>
      <c r="P254" s="2">
        <v>204</v>
      </c>
      <c r="Q254" s="2">
        <v>105.9268</v>
      </c>
      <c r="R254" s="2">
        <v>259</v>
      </c>
      <c r="S254" s="2">
        <v>108.0519</v>
      </c>
      <c r="T254" s="2">
        <v>290</v>
      </c>
      <c r="U254" s="2">
        <v>0.30737700000000001</v>
      </c>
      <c r="V254" s="2">
        <v>253</v>
      </c>
      <c r="W254" s="2">
        <v>2015</v>
      </c>
    </row>
    <row r="255" spans="1:23" ht="12.3" x14ac:dyDescent="0.4">
      <c r="A255" s="2" t="s">
        <v>306</v>
      </c>
      <c r="B255" s="2"/>
      <c r="C255" s="2"/>
      <c r="D255" s="2"/>
      <c r="E255" s="2"/>
      <c r="F255" s="2"/>
      <c r="G255" s="2"/>
      <c r="H255" s="2"/>
      <c r="I255" s="2">
        <v>68.188900000000004</v>
      </c>
      <c r="J255" s="2">
        <v>38</v>
      </c>
      <c r="K255" s="2">
        <v>68.212299999999999</v>
      </c>
      <c r="L255" s="2">
        <v>31</v>
      </c>
      <c r="M255" s="2">
        <v>98.270399999999995</v>
      </c>
      <c r="N255" s="2">
        <v>255</v>
      </c>
      <c r="O255" s="2">
        <v>96.865799999999993</v>
      </c>
      <c r="P255" s="2">
        <v>275</v>
      </c>
      <c r="Q255" s="2">
        <v>103.45050000000001</v>
      </c>
      <c r="R255" s="2">
        <v>199</v>
      </c>
      <c r="S255" s="2">
        <v>104.1208</v>
      </c>
      <c r="T255" s="2">
        <v>204</v>
      </c>
      <c r="U255" s="2">
        <v>0.30352000000000001</v>
      </c>
      <c r="V255" s="2">
        <v>254</v>
      </c>
      <c r="W255" s="2">
        <v>2015</v>
      </c>
    </row>
    <row r="256" spans="1:23" ht="12.3" x14ac:dyDescent="0.4">
      <c r="A256" s="2" t="s">
        <v>269</v>
      </c>
      <c r="B256" s="2"/>
      <c r="C256" s="2"/>
      <c r="D256" s="2"/>
      <c r="E256" s="2"/>
      <c r="F256" s="2"/>
      <c r="G256" s="2"/>
      <c r="H256" s="2"/>
      <c r="I256" s="2">
        <v>66.956900000000005</v>
      </c>
      <c r="J256" s="2">
        <v>76</v>
      </c>
      <c r="K256" s="2">
        <v>66.245900000000006</v>
      </c>
      <c r="L256" s="2">
        <v>101</v>
      </c>
      <c r="M256" s="2">
        <v>104.6827</v>
      </c>
      <c r="N256" s="2">
        <v>113</v>
      </c>
      <c r="O256" s="2">
        <v>100.8249</v>
      </c>
      <c r="P256" s="2">
        <v>200</v>
      </c>
      <c r="Q256" s="2">
        <v>109.3064</v>
      </c>
      <c r="R256" s="2">
        <v>315</v>
      </c>
      <c r="S256" s="2">
        <v>108.37779999999999</v>
      </c>
      <c r="T256" s="2">
        <v>295</v>
      </c>
      <c r="U256" s="2">
        <v>0.30348999999999998</v>
      </c>
      <c r="V256" s="2">
        <v>255</v>
      </c>
      <c r="W256" s="2">
        <v>2015</v>
      </c>
    </row>
    <row r="257" spans="1:23" ht="12.3" x14ac:dyDescent="0.4">
      <c r="A257" s="2" t="s">
        <v>233</v>
      </c>
      <c r="B257" s="2"/>
      <c r="C257" s="2"/>
      <c r="D257" s="2"/>
      <c r="E257" s="2"/>
      <c r="F257" s="2"/>
      <c r="G257" s="2"/>
      <c r="H257" s="2"/>
      <c r="I257" s="2">
        <v>67.105599999999995</v>
      </c>
      <c r="J257" s="2">
        <v>75</v>
      </c>
      <c r="K257" s="2">
        <v>67.974999999999994</v>
      </c>
      <c r="L257" s="2">
        <v>36</v>
      </c>
      <c r="M257" s="2">
        <v>96.493600000000001</v>
      </c>
      <c r="N257" s="2">
        <v>283</v>
      </c>
      <c r="O257" s="2">
        <v>97.595699999999994</v>
      </c>
      <c r="P257" s="2">
        <v>264</v>
      </c>
      <c r="Q257" s="2">
        <v>104.377</v>
      </c>
      <c r="R257" s="2">
        <v>220</v>
      </c>
      <c r="S257" s="2">
        <v>104.961</v>
      </c>
      <c r="T257" s="2">
        <v>222</v>
      </c>
      <c r="U257" s="2">
        <v>0.30223299999999997</v>
      </c>
      <c r="V257" s="2">
        <v>256</v>
      </c>
      <c r="W257" s="2">
        <v>2015</v>
      </c>
    </row>
    <row r="258" spans="1:23" ht="12.3" x14ac:dyDescent="0.4">
      <c r="A258" s="2" t="s">
        <v>370</v>
      </c>
      <c r="B258" s="2"/>
      <c r="C258" s="2"/>
      <c r="D258" s="2"/>
      <c r="E258" s="2"/>
      <c r="F258" s="2"/>
      <c r="G258" s="2"/>
      <c r="H258" s="2"/>
      <c r="I258" s="2">
        <v>60.524299999999997</v>
      </c>
      <c r="J258" s="2">
        <v>336</v>
      </c>
      <c r="K258" s="2">
        <v>61.014899999999997</v>
      </c>
      <c r="L258" s="2">
        <v>326</v>
      </c>
      <c r="M258" s="2">
        <v>99.523799999999994</v>
      </c>
      <c r="N258" s="2">
        <v>233</v>
      </c>
      <c r="O258" s="2">
        <v>98.23</v>
      </c>
      <c r="P258" s="2">
        <v>252</v>
      </c>
      <c r="Q258" s="2">
        <v>100.0975</v>
      </c>
      <c r="R258" s="2">
        <v>125</v>
      </c>
      <c r="S258" s="2">
        <v>105.6807</v>
      </c>
      <c r="T258" s="2">
        <v>237</v>
      </c>
      <c r="U258" s="2">
        <v>0.30137199999999997</v>
      </c>
      <c r="V258" s="2">
        <v>257</v>
      </c>
      <c r="W258" s="2">
        <v>2015</v>
      </c>
    </row>
    <row r="259" spans="1:23" ht="12.3" x14ac:dyDescent="0.4">
      <c r="A259" s="2" t="s">
        <v>297</v>
      </c>
      <c r="B259" s="2"/>
      <c r="C259" s="2"/>
      <c r="D259" s="2"/>
      <c r="E259" s="2"/>
      <c r="F259" s="2"/>
      <c r="G259" s="2"/>
      <c r="H259" s="2"/>
      <c r="I259" s="2">
        <v>69.219700000000003</v>
      </c>
      <c r="J259" s="2">
        <v>17</v>
      </c>
      <c r="K259" s="2">
        <v>67.537700000000001</v>
      </c>
      <c r="L259" s="2">
        <v>51</v>
      </c>
      <c r="M259" s="2">
        <v>101.64060000000001</v>
      </c>
      <c r="N259" s="2">
        <v>183</v>
      </c>
      <c r="O259" s="2">
        <v>95.815299999999993</v>
      </c>
      <c r="P259" s="2">
        <v>296</v>
      </c>
      <c r="Q259" s="2">
        <v>96.0745</v>
      </c>
      <c r="R259" s="2">
        <v>47</v>
      </c>
      <c r="S259" s="2">
        <v>103.2803</v>
      </c>
      <c r="T259" s="2">
        <v>183</v>
      </c>
      <c r="U259" s="2">
        <v>0.29675800000000002</v>
      </c>
      <c r="V259" s="2">
        <v>258</v>
      </c>
      <c r="W259" s="2">
        <v>2015</v>
      </c>
    </row>
    <row r="260" spans="1:23" ht="12.3" x14ac:dyDescent="0.4">
      <c r="A260" s="2" t="s">
        <v>358</v>
      </c>
      <c r="B260" s="2"/>
      <c r="C260" s="2"/>
      <c r="D260" s="2"/>
      <c r="E260" s="2"/>
      <c r="F260" s="2"/>
      <c r="G260" s="2"/>
      <c r="H260" s="2"/>
      <c r="I260" s="2">
        <v>64.174599999999998</v>
      </c>
      <c r="J260" s="2">
        <v>212</v>
      </c>
      <c r="K260" s="2">
        <v>63.565600000000003</v>
      </c>
      <c r="L260" s="2">
        <v>248</v>
      </c>
      <c r="M260" s="2">
        <v>113.01220000000001</v>
      </c>
      <c r="N260" s="2">
        <v>18</v>
      </c>
      <c r="O260" s="2">
        <v>107.6771</v>
      </c>
      <c r="P260" s="2">
        <v>65</v>
      </c>
      <c r="Q260" s="2">
        <v>114.1934</v>
      </c>
      <c r="R260" s="2">
        <v>349</v>
      </c>
      <c r="S260" s="2">
        <v>116.1155</v>
      </c>
      <c r="T260" s="2">
        <v>350</v>
      </c>
      <c r="U260" s="2">
        <v>0.295742</v>
      </c>
      <c r="V260" s="2">
        <v>259</v>
      </c>
      <c r="W260" s="2">
        <v>2015</v>
      </c>
    </row>
    <row r="261" spans="1:23" ht="12.3" x14ac:dyDescent="0.4">
      <c r="A261" s="2" t="s">
        <v>205</v>
      </c>
      <c r="B261" s="2"/>
      <c r="C261" s="2"/>
      <c r="D261" s="2"/>
      <c r="E261" s="2"/>
      <c r="F261" s="2"/>
      <c r="G261" s="2"/>
      <c r="H261" s="2"/>
      <c r="I261" s="2">
        <v>58.794199999999996</v>
      </c>
      <c r="J261" s="2">
        <v>346</v>
      </c>
      <c r="K261" s="2">
        <v>59.144799999999996</v>
      </c>
      <c r="L261" s="2">
        <v>345</v>
      </c>
      <c r="M261" s="2">
        <v>98.940299999999993</v>
      </c>
      <c r="N261" s="2">
        <v>246</v>
      </c>
      <c r="O261" s="2">
        <v>103.8233</v>
      </c>
      <c r="P261" s="2">
        <v>127</v>
      </c>
      <c r="Q261" s="2">
        <v>113.2597</v>
      </c>
      <c r="R261" s="2">
        <v>346</v>
      </c>
      <c r="S261" s="2">
        <v>112.07470000000001</v>
      </c>
      <c r="T261" s="2">
        <v>333</v>
      </c>
      <c r="U261" s="2">
        <v>0.29328900000000002</v>
      </c>
      <c r="V261" s="2">
        <v>260</v>
      </c>
      <c r="W261" s="2">
        <v>2015</v>
      </c>
    </row>
    <row r="262" spans="1:23" ht="12.3" x14ac:dyDescent="0.4">
      <c r="A262" s="2" t="s">
        <v>101</v>
      </c>
      <c r="B262" s="2"/>
      <c r="C262" s="2"/>
      <c r="D262" s="2"/>
      <c r="E262" s="2"/>
      <c r="F262" s="2"/>
      <c r="G262" s="2"/>
      <c r="H262" s="2"/>
      <c r="I262" s="2">
        <v>63.640700000000002</v>
      </c>
      <c r="J262" s="2">
        <v>244</v>
      </c>
      <c r="K262" s="2">
        <v>63.753100000000003</v>
      </c>
      <c r="L262" s="2">
        <v>230</v>
      </c>
      <c r="M262" s="2">
        <v>98.497500000000002</v>
      </c>
      <c r="N262" s="2">
        <v>253</v>
      </c>
      <c r="O262" s="2">
        <v>98.238100000000003</v>
      </c>
      <c r="P262" s="2">
        <v>251</v>
      </c>
      <c r="Q262" s="2">
        <v>106.6764</v>
      </c>
      <c r="R262" s="2">
        <v>278</v>
      </c>
      <c r="S262" s="2">
        <v>106.0946</v>
      </c>
      <c r="T262" s="2">
        <v>245</v>
      </c>
      <c r="U262" s="2">
        <v>0.292188</v>
      </c>
      <c r="V262" s="2">
        <v>261</v>
      </c>
      <c r="W262" s="2">
        <v>2015</v>
      </c>
    </row>
    <row r="263" spans="1:23" ht="12.3" x14ac:dyDescent="0.4">
      <c r="A263" s="2" t="s">
        <v>314</v>
      </c>
      <c r="B263" s="2"/>
      <c r="C263" s="2"/>
      <c r="D263" s="2"/>
      <c r="E263" s="2"/>
      <c r="F263" s="2"/>
      <c r="G263" s="2"/>
      <c r="H263" s="2"/>
      <c r="I263" s="2">
        <v>69.138000000000005</v>
      </c>
      <c r="J263" s="2">
        <v>20</v>
      </c>
      <c r="K263" s="2">
        <v>69.927899999999994</v>
      </c>
      <c r="L263" s="2">
        <v>11</v>
      </c>
      <c r="M263" s="2">
        <v>102.3202</v>
      </c>
      <c r="N263" s="2">
        <v>170</v>
      </c>
      <c r="O263" s="2">
        <v>97.357600000000005</v>
      </c>
      <c r="P263" s="2">
        <v>267</v>
      </c>
      <c r="Q263" s="2">
        <v>104.4452</v>
      </c>
      <c r="R263" s="2">
        <v>223</v>
      </c>
      <c r="S263" s="2">
        <v>105.21129999999999</v>
      </c>
      <c r="T263" s="2">
        <v>226</v>
      </c>
      <c r="U263" s="2">
        <v>0.290663</v>
      </c>
      <c r="V263" s="2">
        <v>262</v>
      </c>
      <c r="W263" s="2">
        <v>2015</v>
      </c>
    </row>
    <row r="264" spans="1:23" ht="12.3" x14ac:dyDescent="0.4">
      <c r="A264" s="2" t="s">
        <v>376</v>
      </c>
      <c r="B264" s="2"/>
      <c r="C264" s="2"/>
      <c r="D264" s="2"/>
      <c r="E264" s="2"/>
      <c r="F264" s="2"/>
      <c r="G264" s="2"/>
      <c r="H264" s="2"/>
      <c r="I264" s="2">
        <v>61.653399999999998</v>
      </c>
      <c r="J264" s="2">
        <v>315</v>
      </c>
      <c r="K264" s="2">
        <v>62.092399999999998</v>
      </c>
      <c r="L264" s="2">
        <v>300</v>
      </c>
      <c r="M264" s="2">
        <v>99.637699999999995</v>
      </c>
      <c r="N264" s="2">
        <v>227</v>
      </c>
      <c r="O264" s="2">
        <v>96.459199999999996</v>
      </c>
      <c r="P264" s="2">
        <v>281</v>
      </c>
      <c r="Q264" s="2">
        <v>101.34699999999999</v>
      </c>
      <c r="R264" s="2">
        <v>160</v>
      </c>
      <c r="S264" s="2">
        <v>104.3807</v>
      </c>
      <c r="T264" s="2">
        <v>210</v>
      </c>
      <c r="U264" s="2">
        <v>0.28748400000000002</v>
      </c>
      <c r="V264" s="2">
        <v>263</v>
      </c>
      <c r="W264" s="2">
        <v>2015</v>
      </c>
    </row>
    <row r="265" spans="1:23" ht="12.3" x14ac:dyDescent="0.4">
      <c r="A265" s="2" t="s">
        <v>197</v>
      </c>
      <c r="B265" s="2"/>
      <c r="C265" s="2"/>
      <c r="D265" s="2"/>
      <c r="E265" s="2"/>
      <c r="F265" s="2"/>
      <c r="G265" s="2"/>
      <c r="H265" s="2"/>
      <c r="I265" s="2">
        <v>70.366200000000006</v>
      </c>
      <c r="J265" s="2">
        <v>9</v>
      </c>
      <c r="K265" s="2">
        <v>70.2333</v>
      </c>
      <c r="L265" s="2">
        <v>7</v>
      </c>
      <c r="M265" s="2">
        <v>92.729500000000002</v>
      </c>
      <c r="N265" s="2">
        <v>324</v>
      </c>
      <c r="O265" s="2">
        <v>94.53</v>
      </c>
      <c r="P265" s="2">
        <v>313</v>
      </c>
      <c r="Q265" s="2">
        <v>101.2342</v>
      </c>
      <c r="R265" s="2">
        <v>154</v>
      </c>
      <c r="S265" s="2">
        <v>102.30759999999999</v>
      </c>
      <c r="T265" s="2">
        <v>168</v>
      </c>
      <c r="U265" s="2">
        <v>0.28715000000000002</v>
      </c>
      <c r="V265" s="2">
        <v>264</v>
      </c>
      <c r="W265" s="2">
        <v>2015</v>
      </c>
    </row>
    <row r="266" spans="1:23" ht="12.3" x14ac:dyDescent="0.4">
      <c r="A266" s="2" t="s">
        <v>293</v>
      </c>
      <c r="B266" s="2"/>
      <c r="C266" s="2"/>
      <c r="D266" s="2"/>
      <c r="E266" s="2"/>
      <c r="F266" s="2"/>
      <c r="G266" s="2"/>
      <c r="H266" s="2"/>
      <c r="I266" s="2">
        <v>61.227400000000003</v>
      </c>
      <c r="J266" s="2">
        <v>322</v>
      </c>
      <c r="K266" s="2">
        <v>60.930799999999998</v>
      </c>
      <c r="L266" s="2">
        <v>328</v>
      </c>
      <c r="M266" s="2">
        <v>99.957599999999999</v>
      </c>
      <c r="N266" s="2">
        <v>218</v>
      </c>
      <c r="O266" s="2">
        <v>98.961200000000005</v>
      </c>
      <c r="P266" s="2">
        <v>241</v>
      </c>
      <c r="Q266" s="2">
        <v>105.5526</v>
      </c>
      <c r="R266" s="2">
        <v>253</v>
      </c>
      <c r="S266" s="2">
        <v>107.1322</v>
      </c>
      <c r="T266" s="2">
        <v>271</v>
      </c>
      <c r="U266" s="2">
        <v>0.28651599999999999</v>
      </c>
      <c r="V266" s="2">
        <v>265</v>
      </c>
      <c r="W266" s="2">
        <v>2015</v>
      </c>
    </row>
    <row r="267" spans="1:23" ht="12.3" x14ac:dyDescent="0.4">
      <c r="A267" s="2" t="s">
        <v>22</v>
      </c>
      <c r="B267" s="2"/>
      <c r="C267" s="2"/>
      <c r="D267" s="2"/>
      <c r="E267" s="2"/>
      <c r="F267" s="2"/>
      <c r="G267" s="2"/>
      <c r="H267" s="2"/>
      <c r="I267" s="2">
        <v>60.738900000000001</v>
      </c>
      <c r="J267" s="2">
        <v>333</v>
      </c>
      <c r="K267" s="2">
        <v>61.953000000000003</v>
      </c>
      <c r="L267" s="2">
        <v>301</v>
      </c>
      <c r="M267" s="2">
        <v>95.199200000000005</v>
      </c>
      <c r="N267" s="2">
        <v>299</v>
      </c>
      <c r="O267" s="2">
        <v>96.073099999999997</v>
      </c>
      <c r="P267" s="2">
        <v>290</v>
      </c>
      <c r="Q267" s="2">
        <v>105.81870000000001</v>
      </c>
      <c r="R267" s="2">
        <v>258</v>
      </c>
      <c r="S267" s="2">
        <v>104.03619999999999</v>
      </c>
      <c r="T267" s="2">
        <v>202</v>
      </c>
      <c r="U267" s="2">
        <v>0.28582800000000003</v>
      </c>
      <c r="V267" s="2">
        <v>266</v>
      </c>
      <c r="W267" s="2">
        <v>2015</v>
      </c>
    </row>
    <row r="268" spans="1:23" ht="12.3" x14ac:dyDescent="0.4">
      <c r="A268" s="2" t="s">
        <v>300</v>
      </c>
      <c r="B268" s="2"/>
      <c r="C268" s="2"/>
      <c r="D268" s="2"/>
      <c r="E268" s="2"/>
      <c r="F268" s="2"/>
      <c r="G268" s="2"/>
      <c r="H268" s="2"/>
      <c r="I268" s="2">
        <v>61.158900000000003</v>
      </c>
      <c r="J268" s="2">
        <v>324</v>
      </c>
      <c r="K268" s="2">
        <v>61.4816</v>
      </c>
      <c r="L268" s="2">
        <v>318</v>
      </c>
      <c r="M268" s="2">
        <v>99.585700000000003</v>
      </c>
      <c r="N268" s="2">
        <v>231</v>
      </c>
      <c r="O268" s="2">
        <v>97.225999999999999</v>
      </c>
      <c r="P268" s="2">
        <v>269</v>
      </c>
      <c r="Q268" s="2">
        <v>106.3228</v>
      </c>
      <c r="R268" s="2">
        <v>267</v>
      </c>
      <c r="S268" s="2">
        <v>105.2903</v>
      </c>
      <c r="T268" s="2">
        <v>229</v>
      </c>
      <c r="U268" s="2">
        <v>0.28570000000000001</v>
      </c>
      <c r="V268" s="2">
        <v>267</v>
      </c>
      <c r="W268" s="2">
        <v>2015</v>
      </c>
    </row>
    <row r="269" spans="1:23" ht="12.3" x14ac:dyDescent="0.4">
      <c r="A269" s="2" t="s">
        <v>260</v>
      </c>
      <c r="B269" s="2"/>
      <c r="C269" s="2"/>
      <c r="D269" s="2"/>
      <c r="E269" s="2"/>
      <c r="F269" s="2"/>
      <c r="G269" s="2"/>
      <c r="H269" s="2"/>
      <c r="I269" s="2">
        <v>65.433400000000006</v>
      </c>
      <c r="J269" s="2">
        <v>145</v>
      </c>
      <c r="K269" s="2">
        <v>65.322800000000001</v>
      </c>
      <c r="L269" s="2">
        <v>145</v>
      </c>
      <c r="M269" s="2">
        <v>94.008399999999995</v>
      </c>
      <c r="N269" s="2">
        <v>308</v>
      </c>
      <c r="O269" s="2">
        <v>94.536000000000001</v>
      </c>
      <c r="P269" s="2">
        <v>312</v>
      </c>
      <c r="Q269" s="2">
        <v>100.47490000000001</v>
      </c>
      <c r="R269" s="2">
        <v>134</v>
      </c>
      <c r="S269" s="2">
        <v>102.4408</v>
      </c>
      <c r="T269" s="2">
        <v>172</v>
      </c>
      <c r="U269" s="2">
        <v>0.28424500000000003</v>
      </c>
      <c r="V269" s="2">
        <v>268</v>
      </c>
      <c r="W269" s="2">
        <v>2015</v>
      </c>
    </row>
    <row r="270" spans="1:23" ht="12.3" x14ac:dyDescent="0.4">
      <c r="A270" s="2" t="s">
        <v>170</v>
      </c>
      <c r="B270" s="2"/>
      <c r="C270" s="2"/>
      <c r="D270" s="2"/>
      <c r="E270" s="2"/>
      <c r="F270" s="2"/>
      <c r="G270" s="2"/>
      <c r="H270" s="2"/>
      <c r="I270" s="2">
        <v>64.246200000000002</v>
      </c>
      <c r="J270" s="2">
        <v>206</v>
      </c>
      <c r="K270" s="2">
        <v>63.351399999999998</v>
      </c>
      <c r="L270" s="2">
        <v>255</v>
      </c>
      <c r="M270" s="2">
        <v>100.9087</v>
      </c>
      <c r="N270" s="2">
        <v>199</v>
      </c>
      <c r="O270" s="2">
        <v>97.7346</v>
      </c>
      <c r="P270" s="2">
        <v>258</v>
      </c>
      <c r="Q270" s="2">
        <v>106.66030000000001</v>
      </c>
      <c r="R270" s="2">
        <v>277</v>
      </c>
      <c r="S270" s="2">
        <v>105.92740000000001</v>
      </c>
      <c r="T270" s="2">
        <v>241</v>
      </c>
      <c r="U270" s="2">
        <v>0.28379100000000002</v>
      </c>
      <c r="V270" s="2">
        <v>269</v>
      </c>
      <c r="W270" s="2">
        <v>2015</v>
      </c>
    </row>
    <row r="271" spans="1:23" ht="12.3" x14ac:dyDescent="0.4">
      <c r="A271" s="2" t="s">
        <v>253</v>
      </c>
      <c r="B271" s="2"/>
      <c r="C271" s="2"/>
      <c r="D271" s="2"/>
      <c r="E271" s="2"/>
      <c r="F271" s="2"/>
      <c r="G271" s="2"/>
      <c r="H271" s="2"/>
      <c r="I271" s="2">
        <v>66.474100000000007</v>
      </c>
      <c r="J271" s="2">
        <v>97</v>
      </c>
      <c r="K271" s="2">
        <v>65.826999999999998</v>
      </c>
      <c r="L271" s="2">
        <v>121</v>
      </c>
      <c r="M271" s="2">
        <v>95.525099999999995</v>
      </c>
      <c r="N271" s="2">
        <v>296</v>
      </c>
      <c r="O271" s="2">
        <v>97.370400000000004</v>
      </c>
      <c r="P271" s="2">
        <v>266</v>
      </c>
      <c r="Q271" s="2">
        <v>105.15179999999999</v>
      </c>
      <c r="R271" s="2">
        <v>241</v>
      </c>
      <c r="S271" s="2">
        <v>105.58280000000001</v>
      </c>
      <c r="T271" s="2">
        <v>235</v>
      </c>
      <c r="U271" s="2">
        <v>0.28268300000000002</v>
      </c>
      <c r="V271" s="2">
        <v>270</v>
      </c>
      <c r="W271" s="2">
        <v>2015</v>
      </c>
    </row>
    <row r="272" spans="1:23" ht="12.3" x14ac:dyDescent="0.4">
      <c r="A272" s="2" t="s">
        <v>381</v>
      </c>
      <c r="B272" s="2"/>
      <c r="C272" s="2"/>
      <c r="D272" s="2"/>
      <c r="E272" s="2"/>
      <c r="F272" s="2"/>
      <c r="G272" s="2"/>
      <c r="H272" s="2"/>
      <c r="I272" s="2">
        <v>63.989199999999997</v>
      </c>
      <c r="J272" s="2">
        <v>226</v>
      </c>
      <c r="K272" s="2">
        <v>64.775599999999997</v>
      </c>
      <c r="L272" s="2">
        <v>165</v>
      </c>
      <c r="M272" s="2">
        <v>106.5008</v>
      </c>
      <c r="N272" s="2">
        <v>76</v>
      </c>
      <c r="O272" s="2">
        <v>105.259</v>
      </c>
      <c r="P272" s="2">
        <v>106</v>
      </c>
      <c r="Q272" s="2">
        <v>107.4695</v>
      </c>
      <c r="R272" s="2">
        <v>292</v>
      </c>
      <c r="S272" s="2">
        <v>114.1506</v>
      </c>
      <c r="T272" s="2">
        <v>342</v>
      </c>
      <c r="U272" s="2">
        <v>0.28240100000000001</v>
      </c>
      <c r="V272" s="2">
        <v>271</v>
      </c>
      <c r="W272" s="2">
        <v>2015</v>
      </c>
    </row>
    <row r="273" spans="1:23" ht="12.3" x14ac:dyDescent="0.4">
      <c r="A273" s="2" t="s">
        <v>338</v>
      </c>
      <c r="B273" s="2"/>
      <c r="C273" s="2"/>
      <c r="D273" s="2"/>
      <c r="E273" s="2"/>
      <c r="F273" s="2"/>
      <c r="G273" s="2"/>
      <c r="H273" s="2"/>
      <c r="I273" s="2">
        <v>65.971699999999998</v>
      </c>
      <c r="J273" s="2">
        <v>120</v>
      </c>
      <c r="K273" s="2">
        <v>65.217200000000005</v>
      </c>
      <c r="L273" s="2">
        <v>149</v>
      </c>
      <c r="M273" s="2">
        <v>94.244900000000001</v>
      </c>
      <c r="N273" s="2">
        <v>306</v>
      </c>
      <c r="O273" s="2">
        <v>92.930800000000005</v>
      </c>
      <c r="P273" s="2">
        <v>320</v>
      </c>
      <c r="Q273" s="2">
        <v>96.593199999999996</v>
      </c>
      <c r="R273" s="2">
        <v>61</v>
      </c>
      <c r="S273" s="2">
        <v>100.782</v>
      </c>
      <c r="T273" s="2">
        <v>135</v>
      </c>
      <c r="U273" s="2">
        <v>0.28237699999999999</v>
      </c>
      <c r="V273" s="2">
        <v>272</v>
      </c>
      <c r="W273" s="2">
        <v>2015</v>
      </c>
    </row>
    <row r="274" spans="1:23" ht="12.3" x14ac:dyDescent="0.4">
      <c r="A274" s="2" t="s">
        <v>145</v>
      </c>
      <c r="B274" s="2"/>
      <c r="C274" s="2"/>
      <c r="D274" s="2"/>
      <c r="E274" s="2"/>
      <c r="F274" s="2"/>
      <c r="G274" s="2"/>
      <c r="H274" s="2"/>
      <c r="I274" s="2">
        <v>63.461199999999998</v>
      </c>
      <c r="J274" s="2">
        <v>252</v>
      </c>
      <c r="K274" s="2">
        <v>64.434600000000003</v>
      </c>
      <c r="L274" s="2">
        <v>188</v>
      </c>
      <c r="M274" s="2">
        <v>93.647599999999997</v>
      </c>
      <c r="N274" s="2">
        <v>315</v>
      </c>
      <c r="O274" s="2">
        <v>95.714299999999994</v>
      </c>
      <c r="P274" s="2">
        <v>298</v>
      </c>
      <c r="Q274" s="2">
        <v>104.9014</v>
      </c>
      <c r="R274" s="2">
        <v>235</v>
      </c>
      <c r="S274" s="2">
        <v>103.8916</v>
      </c>
      <c r="T274" s="2">
        <v>200</v>
      </c>
      <c r="U274" s="2">
        <v>0.28034199999999998</v>
      </c>
      <c r="V274" s="2">
        <v>273</v>
      </c>
      <c r="W274" s="2">
        <v>2015</v>
      </c>
    </row>
    <row r="275" spans="1:23" ht="12.3" x14ac:dyDescent="0.4">
      <c r="A275" s="2" t="s">
        <v>198</v>
      </c>
      <c r="B275" s="2"/>
      <c r="C275" s="2"/>
      <c r="D275" s="2"/>
      <c r="E275" s="2"/>
      <c r="F275" s="2"/>
      <c r="G275" s="2"/>
      <c r="H275" s="2"/>
      <c r="I275" s="2">
        <v>65.618099999999998</v>
      </c>
      <c r="J275" s="2">
        <v>136</v>
      </c>
      <c r="K275" s="2">
        <v>65.441699999999997</v>
      </c>
      <c r="L275" s="2">
        <v>138</v>
      </c>
      <c r="M275" s="2">
        <v>97.119799999999998</v>
      </c>
      <c r="N275" s="2">
        <v>271</v>
      </c>
      <c r="O275" s="2">
        <v>98.877600000000001</v>
      </c>
      <c r="P275" s="2">
        <v>244</v>
      </c>
      <c r="Q275" s="2">
        <v>107.5761</v>
      </c>
      <c r="R275" s="2">
        <v>294</v>
      </c>
      <c r="S275" s="2">
        <v>107.3681</v>
      </c>
      <c r="T275" s="2">
        <v>273</v>
      </c>
      <c r="U275" s="2">
        <v>0.27941199999999999</v>
      </c>
      <c r="V275" s="2">
        <v>274</v>
      </c>
      <c r="W275" s="2">
        <v>2015</v>
      </c>
    </row>
    <row r="276" spans="1:23" ht="12.3" x14ac:dyDescent="0.4">
      <c r="A276" s="2" t="s">
        <v>144</v>
      </c>
      <c r="B276" s="2"/>
      <c r="C276" s="2"/>
      <c r="D276" s="2"/>
      <c r="E276" s="2"/>
      <c r="F276" s="2"/>
      <c r="G276" s="2"/>
      <c r="H276" s="2"/>
      <c r="I276" s="2">
        <v>64.736099999999993</v>
      </c>
      <c r="J276" s="2">
        <v>178</v>
      </c>
      <c r="K276" s="2">
        <v>64.747600000000006</v>
      </c>
      <c r="L276" s="2">
        <v>167</v>
      </c>
      <c r="M276" s="2">
        <v>97.852000000000004</v>
      </c>
      <c r="N276" s="2">
        <v>264</v>
      </c>
      <c r="O276" s="2">
        <v>100.45059999999999</v>
      </c>
      <c r="P276" s="2">
        <v>215</v>
      </c>
      <c r="Q276" s="2">
        <v>109.52809999999999</v>
      </c>
      <c r="R276" s="2">
        <v>318</v>
      </c>
      <c r="S276" s="2">
        <v>109.1075</v>
      </c>
      <c r="T276" s="2">
        <v>307</v>
      </c>
      <c r="U276" s="2">
        <v>0.27875</v>
      </c>
      <c r="V276" s="2">
        <v>275</v>
      </c>
      <c r="W276" s="2">
        <v>2015</v>
      </c>
    </row>
    <row r="277" spans="1:23" ht="12.3" x14ac:dyDescent="0.4">
      <c r="A277" s="2" t="s">
        <v>127</v>
      </c>
      <c r="B277" s="2"/>
      <c r="C277" s="2"/>
      <c r="D277" s="2"/>
      <c r="E277" s="2"/>
      <c r="F277" s="2"/>
      <c r="G277" s="2"/>
      <c r="H277" s="2"/>
      <c r="I277" s="2">
        <v>66.706699999999998</v>
      </c>
      <c r="J277" s="2">
        <v>86</v>
      </c>
      <c r="K277" s="2">
        <v>65.9435</v>
      </c>
      <c r="L277" s="2">
        <v>115</v>
      </c>
      <c r="M277" s="2">
        <v>101.1036</v>
      </c>
      <c r="N277" s="2">
        <v>193</v>
      </c>
      <c r="O277" s="2">
        <v>97.871700000000004</v>
      </c>
      <c r="P277" s="2">
        <v>257</v>
      </c>
      <c r="Q277" s="2">
        <v>106.771</v>
      </c>
      <c r="R277" s="2">
        <v>280</v>
      </c>
      <c r="S277" s="2">
        <v>106.47190000000001</v>
      </c>
      <c r="T277" s="2">
        <v>257</v>
      </c>
      <c r="U277" s="2">
        <v>0.27516600000000002</v>
      </c>
      <c r="V277" s="2">
        <v>276</v>
      </c>
      <c r="W277" s="2">
        <v>2015</v>
      </c>
    </row>
    <row r="278" spans="1:23" ht="12.3" x14ac:dyDescent="0.4">
      <c r="A278" s="2" t="s">
        <v>196</v>
      </c>
      <c r="B278" s="2"/>
      <c r="C278" s="2"/>
      <c r="D278" s="2"/>
      <c r="E278" s="2"/>
      <c r="F278" s="2"/>
      <c r="G278" s="2"/>
      <c r="H278" s="2"/>
      <c r="I278" s="2">
        <v>66.928700000000006</v>
      </c>
      <c r="J278" s="2">
        <v>77</v>
      </c>
      <c r="K278" s="2">
        <v>66.293800000000005</v>
      </c>
      <c r="L278" s="2">
        <v>98</v>
      </c>
      <c r="M278" s="2">
        <v>104.0831</v>
      </c>
      <c r="N278" s="2">
        <v>122</v>
      </c>
      <c r="O278" s="2">
        <v>102.9391</v>
      </c>
      <c r="P278" s="2">
        <v>150</v>
      </c>
      <c r="Q278" s="2">
        <v>109.9513</v>
      </c>
      <c r="R278" s="2">
        <v>323</v>
      </c>
      <c r="S278" s="2">
        <v>112.0898</v>
      </c>
      <c r="T278" s="2">
        <v>334</v>
      </c>
      <c r="U278" s="2">
        <v>0.27301700000000001</v>
      </c>
      <c r="V278" s="2">
        <v>277</v>
      </c>
      <c r="W278" s="2">
        <v>2015</v>
      </c>
    </row>
    <row r="279" spans="1:23" ht="12.3" x14ac:dyDescent="0.4">
      <c r="A279" s="2" t="s">
        <v>245</v>
      </c>
      <c r="B279" s="2"/>
      <c r="C279" s="2"/>
      <c r="D279" s="2"/>
      <c r="E279" s="2"/>
      <c r="F279" s="2"/>
      <c r="G279" s="2"/>
      <c r="H279" s="2"/>
      <c r="I279" s="2">
        <v>60.985500000000002</v>
      </c>
      <c r="J279" s="2">
        <v>328</v>
      </c>
      <c r="K279" s="2">
        <v>62.363900000000001</v>
      </c>
      <c r="L279" s="2">
        <v>291</v>
      </c>
      <c r="M279" s="2">
        <v>90.8005</v>
      </c>
      <c r="N279" s="2">
        <v>339</v>
      </c>
      <c r="O279" s="2">
        <v>91.034199999999998</v>
      </c>
      <c r="P279" s="2">
        <v>336</v>
      </c>
      <c r="Q279" s="2">
        <v>100.4344</v>
      </c>
      <c r="R279" s="2">
        <v>133</v>
      </c>
      <c r="S279" s="2">
        <v>99.140199999999993</v>
      </c>
      <c r="T279" s="2">
        <v>105</v>
      </c>
      <c r="U279" s="2">
        <v>0.272704</v>
      </c>
      <c r="V279" s="2">
        <v>278</v>
      </c>
      <c r="W279" s="2">
        <v>2015</v>
      </c>
    </row>
    <row r="280" spans="1:23" ht="12.3" x14ac:dyDescent="0.4">
      <c r="A280" s="2" t="s">
        <v>291</v>
      </c>
      <c r="B280" s="2"/>
      <c r="C280" s="2"/>
      <c r="D280" s="2"/>
      <c r="E280" s="2"/>
      <c r="F280" s="2"/>
      <c r="G280" s="2"/>
      <c r="H280" s="2"/>
      <c r="I280" s="2">
        <v>62.732599999999998</v>
      </c>
      <c r="J280" s="2">
        <v>283</v>
      </c>
      <c r="K280" s="2">
        <v>62.8874</v>
      </c>
      <c r="L280" s="2">
        <v>272</v>
      </c>
      <c r="M280" s="2">
        <v>97.672399999999996</v>
      </c>
      <c r="N280" s="2">
        <v>267</v>
      </c>
      <c r="O280" s="2">
        <v>100.74679999999999</v>
      </c>
      <c r="P280" s="2">
        <v>202</v>
      </c>
      <c r="Q280" s="2">
        <v>112.7184</v>
      </c>
      <c r="R280" s="2">
        <v>345</v>
      </c>
      <c r="S280" s="2">
        <v>109.9572</v>
      </c>
      <c r="T280" s="2">
        <v>318</v>
      </c>
      <c r="U280" s="2">
        <v>0.26775900000000002</v>
      </c>
      <c r="V280" s="2">
        <v>279</v>
      </c>
      <c r="W280" s="2">
        <v>2015</v>
      </c>
    </row>
    <row r="281" spans="1:23" ht="12.3" x14ac:dyDescent="0.4">
      <c r="A281" s="2" t="s">
        <v>177</v>
      </c>
      <c r="B281" s="2"/>
      <c r="C281" s="2"/>
      <c r="D281" s="2"/>
      <c r="E281" s="2"/>
      <c r="F281" s="2"/>
      <c r="G281" s="2"/>
      <c r="H281" s="2"/>
      <c r="I281" s="2">
        <v>64.020200000000003</v>
      </c>
      <c r="J281" s="2">
        <v>223</v>
      </c>
      <c r="K281" s="2">
        <v>64.6541</v>
      </c>
      <c r="L281" s="2">
        <v>173</v>
      </c>
      <c r="M281" s="2">
        <v>99.945300000000003</v>
      </c>
      <c r="N281" s="2">
        <v>220</v>
      </c>
      <c r="O281" s="2">
        <v>100.5021</v>
      </c>
      <c r="P281" s="2">
        <v>213</v>
      </c>
      <c r="Q281" s="2">
        <v>109.45910000000001</v>
      </c>
      <c r="R281" s="2">
        <v>317</v>
      </c>
      <c r="S281" s="2">
        <v>109.7428</v>
      </c>
      <c r="T281" s="2">
        <v>316</v>
      </c>
      <c r="U281" s="2">
        <v>0.26667600000000002</v>
      </c>
      <c r="V281" s="2">
        <v>280</v>
      </c>
      <c r="W281" s="2">
        <v>2015</v>
      </c>
    </row>
    <row r="282" spans="1:23" ht="12.3" x14ac:dyDescent="0.4">
      <c r="A282" s="2" t="s">
        <v>317</v>
      </c>
      <c r="B282" s="2"/>
      <c r="C282" s="2"/>
      <c r="D282" s="2"/>
      <c r="E282" s="2"/>
      <c r="F282" s="2"/>
      <c r="G282" s="2"/>
      <c r="H282" s="2"/>
      <c r="I282" s="2">
        <v>67.752700000000004</v>
      </c>
      <c r="J282" s="2">
        <v>51</v>
      </c>
      <c r="K282" s="2">
        <v>67.696299999999994</v>
      </c>
      <c r="L282" s="2">
        <v>42</v>
      </c>
      <c r="M282" s="2">
        <v>103.6228</v>
      </c>
      <c r="N282" s="2">
        <v>136</v>
      </c>
      <c r="O282" s="2">
        <v>103.73779999999999</v>
      </c>
      <c r="P282" s="2">
        <v>132</v>
      </c>
      <c r="Q282" s="2">
        <v>112.3669</v>
      </c>
      <c r="R282" s="2">
        <v>342</v>
      </c>
      <c r="S282" s="2">
        <v>113.3163</v>
      </c>
      <c r="T282" s="2">
        <v>339</v>
      </c>
      <c r="U282" s="2">
        <v>0.265878</v>
      </c>
      <c r="V282" s="2">
        <v>281</v>
      </c>
      <c r="W282" s="2">
        <v>2015</v>
      </c>
    </row>
    <row r="283" spans="1:23" ht="12.3" x14ac:dyDescent="0.4">
      <c r="A283" s="2" t="s">
        <v>107</v>
      </c>
      <c r="B283" s="2"/>
      <c r="C283" s="2"/>
      <c r="D283" s="2"/>
      <c r="E283" s="2"/>
      <c r="F283" s="2"/>
      <c r="G283" s="2"/>
      <c r="H283" s="2"/>
      <c r="I283" s="2">
        <v>65.600899999999996</v>
      </c>
      <c r="J283" s="2">
        <v>138</v>
      </c>
      <c r="K283" s="2">
        <v>63.188600000000001</v>
      </c>
      <c r="L283" s="2">
        <v>264</v>
      </c>
      <c r="M283" s="2">
        <v>102.151</v>
      </c>
      <c r="N283" s="2">
        <v>175</v>
      </c>
      <c r="O283" s="2">
        <v>100.13979999999999</v>
      </c>
      <c r="P283" s="2">
        <v>222</v>
      </c>
      <c r="Q283" s="2">
        <v>109.1062</v>
      </c>
      <c r="R283" s="2">
        <v>313</v>
      </c>
      <c r="S283" s="2">
        <v>109.4769</v>
      </c>
      <c r="T283" s="2">
        <v>312</v>
      </c>
      <c r="U283" s="2">
        <v>0.26401799999999997</v>
      </c>
      <c r="V283" s="2">
        <v>282</v>
      </c>
      <c r="W283" s="2">
        <v>2015</v>
      </c>
    </row>
    <row r="284" spans="1:23" ht="12.3" x14ac:dyDescent="0.4">
      <c r="A284" s="2" t="s">
        <v>105</v>
      </c>
      <c r="B284" s="2"/>
      <c r="C284" s="2"/>
      <c r="D284" s="2"/>
      <c r="E284" s="2"/>
      <c r="F284" s="2"/>
      <c r="G284" s="2"/>
      <c r="H284" s="2"/>
      <c r="I284" s="2">
        <v>61.7181</v>
      </c>
      <c r="J284" s="2">
        <v>312</v>
      </c>
      <c r="K284" s="2">
        <v>61.351599999999998</v>
      </c>
      <c r="L284" s="2">
        <v>319</v>
      </c>
      <c r="M284" s="2">
        <v>94.658900000000003</v>
      </c>
      <c r="N284" s="2">
        <v>303</v>
      </c>
      <c r="O284" s="2">
        <v>94.646500000000003</v>
      </c>
      <c r="P284" s="2">
        <v>308</v>
      </c>
      <c r="Q284" s="2">
        <v>103.71120000000001</v>
      </c>
      <c r="R284" s="2">
        <v>206</v>
      </c>
      <c r="S284" s="2">
        <v>103.5275</v>
      </c>
      <c r="T284" s="2">
        <v>192</v>
      </c>
      <c r="U284" s="2">
        <v>0.26280999999999999</v>
      </c>
      <c r="V284" s="2">
        <v>283</v>
      </c>
      <c r="W284" s="2">
        <v>2015</v>
      </c>
    </row>
    <row r="285" spans="1:23" ht="12.3" x14ac:dyDescent="0.4">
      <c r="A285" s="2" t="s">
        <v>343</v>
      </c>
      <c r="B285" s="2"/>
      <c r="C285" s="2"/>
      <c r="D285" s="2"/>
      <c r="E285" s="2"/>
      <c r="F285" s="2"/>
      <c r="G285" s="2"/>
      <c r="H285" s="2"/>
      <c r="I285" s="2">
        <v>68.137</v>
      </c>
      <c r="J285" s="2">
        <v>40</v>
      </c>
      <c r="K285" s="2">
        <v>67.825299999999999</v>
      </c>
      <c r="L285" s="2">
        <v>37</v>
      </c>
      <c r="M285" s="2">
        <v>96.564800000000005</v>
      </c>
      <c r="N285" s="2">
        <v>281</v>
      </c>
      <c r="O285" s="2">
        <v>95.206299999999999</v>
      </c>
      <c r="P285" s="2">
        <v>305</v>
      </c>
      <c r="Q285" s="2">
        <v>102.0838</v>
      </c>
      <c r="R285" s="2">
        <v>170</v>
      </c>
      <c r="S285" s="2">
        <v>104.32559999999999</v>
      </c>
      <c r="T285" s="2">
        <v>208</v>
      </c>
      <c r="U285" s="2">
        <v>0.258857</v>
      </c>
      <c r="V285" s="2">
        <v>284</v>
      </c>
      <c r="W285" s="2">
        <v>2015</v>
      </c>
    </row>
    <row r="286" spans="1:23" ht="12.3" x14ac:dyDescent="0.4">
      <c r="A286" s="2" t="s">
        <v>356</v>
      </c>
      <c r="B286" s="2"/>
      <c r="C286" s="2"/>
      <c r="D286" s="2"/>
      <c r="E286" s="2"/>
      <c r="F286" s="2"/>
      <c r="G286" s="2"/>
      <c r="H286" s="2"/>
      <c r="I286" s="2">
        <v>65.947500000000005</v>
      </c>
      <c r="J286" s="2">
        <v>122</v>
      </c>
      <c r="K286" s="2">
        <v>65.123900000000006</v>
      </c>
      <c r="L286" s="2">
        <v>152</v>
      </c>
      <c r="M286" s="2">
        <v>99.152699999999996</v>
      </c>
      <c r="N286" s="2">
        <v>243</v>
      </c>
      <c r="O286" s="2">
        <v>97.916899999999998</v>
      </c>
      <c r="P286" s="2">
        <v>256</v>
      </c>
      <c r="Q286" s="2">
        <v>104.4697</v>
      </c>
      <c r="R286" s="2">
        <v>224</v>
      </c>
      <c r="S286" s="2">
        <v>107.39660000000001</v>
      </c>
      <c r="T286" s="2">
        <v>275</v>
      </c>
      <c r="U286" s="2">
        <v>0.25679400000000002</v>
      </c>
      <c r="V286" s="2">
        <v>285</v>
      </c>
      <c r="W286" s="2">
        <v>2015</v>
      </c>
    </row>
    <row r="287" spans="1:23" ht="12.3" x14ac:dyDescent="0.4">
      <c r="A287" s="2" t="s">
        <v>208</v>
      </c>
      <c r="B287" s="2"/>
      <c r="C287" s="2"/>
      <c r="D287" s="2"/>
      <c r="E287" s="2"/>
      <c r="F287" s="2"/>
      <c r="G287" s="2"/>
      <c r="H287" s="2"/>
      <c r="I287" s="2">
        <v>66.914199999999994</v>
      </c>
      <c r="J287" s="2">
        <v>78</v>
      </c>
      <c r="K287" s="2">
        <v>66.770899999999997</v>
      </c>
      <c r="L287" s="2">
        <v>74</v>
      </c>
      <c r="M287" s="2">
        <v>102.3492</v>
      </c>
      <c r="N287" s="2">
        <v>169</v>
      </c>
      <c r="O287" s="2">
        <v>100.539</v>
      </c>
      <c r="P287" s="2">
        <v>209</v>
      </c>
      <c r="Q287" s="2">
        <v>108.014</v>
      </c>
      <c r="R287" s="2">
        <v>301</v>
      </c>
      <c r="S287" s="2">
        <v>110.29519999999999</v>
      </c>
      <c r="T287" s="2">
        <v>321</v>
      </c>
      <c r="U287" s="2">
        <v>0.25634200000000001</v>
      </c>
      <c r="V287" s="2">
        <v>286</v>
      </c>
      <c r="W287" s="2">
        <v>2015</v>
      </c>
    </row>
    <row r="288" spans="1:23" ht="12.3" x14ac:dyDescent="0.4">
      <c r="A288" s="2" t="s">
        <v>103</v>
      </c>
      <c r="B288" s="2"/>
      <c r="C288" s="2"/>
      <c r="D288" s="2"/>
      <c r="E288" s="2"/>
      <c r="F288" s="2"/>
      <c r="G288" s="2"/>
      <c r="H288" s="2"/>
      <c r="I288" s="2">
        <v>63.959299999999999</v>
      </c>
      <c r="J288" s="2">
        <v>228</v>
      </c>
      <c r="K288" s="2">
        <v>64.049300000000002</v>
      </c>
      <c r="L288" s="2">
        <v>206</v>
      </c>
      <c r="M288" s="2">
        <v>94.516999999999996</v>
      </c>
      <c r="N288" s="2">
        <v>305</v>
      </c>
      <c r="O288" s="2">
        <v>96.926500000000004</v>
      </c>
      <c r="P288" s="2">
        <v>273</v>
      </c>
      <c r="Q288" s="2">
        <v>106.44070000000001</v>
      </c>
      <c r="R288" s="2">
        <v>271</v>
      </c>
      <c r="S288" s="2">
        <v>106.49590000000001</v>
      </c>
      <c r="T288" s="2">
        <v>258</v>
      </c>
      <c r="U288" s="2">
        <v>0.25298399999999999</v>
      </c>
      <c r="V288" s="2">
        <v>287</v>
      </c>
      <c r="W288" s="2">
        <v>2015</v>
      </c>
    </row>
    <row r="289" spans="1:23" ht="12.3" x14ac:dyDescent="0.4">
      <c r="A289" s="2" t="s">
        <v>191</v>
      </c>
      <c r="B289" s="2"/>
      <c r="C289" s="2"/>
      <c r="D289" s="2"/>
      <c r="E289" s="2"/>
      <c r="F289" s="2"/>
      <c r="G289" s="2"/>
      <c r="H289" s="2"/>
      <c r="I289" s="2">
        <v>64.014499999999998</v>
      </c>
      <c r="J289" s="2">
        <v>224</v>
      </c>
      <c r="K289" s="2">
        <v>63.6892</v>
      </c>
      <c r="L289" s="2">
        <v>237</v>
      </c>
      <c r="M289" s="2">
        <v>98.364800000000002</v>
      </c>
      <c r="N289" s="2">
        <v>254</v>
      </c>
      <c r="O289" s="2">
        <v>96.391999999999996</v>
      </c>
      <c r="P289" s="2">
        <v>284</v>
      </c>
      <c r="Q289" s="2">
        <v>103.32089999999999</v>
      </c>
      <c r="R289" s="2">
        <v>196</v>
      </c>
      <c r="S289" s="2">
        <v>106.1579</v>
      </c>
      <c r="T289" s="2">
        <v>247</v>
      </c>
      <c r="U289" s="2">
        <v>0.24790899999999999</v>
      </c>
      <c r="V289" s="2">
        <v>288</v>
      </c>
      <c r="W289" s="2">
        <v>2015</v>
      </c>
    </row>
    <row r="290" spans="1:23" ht="12.3" x14ac:dyDescent="0.4">
      <c r="A290" s="2" t="s">
        <v>77</v>
      </c>
      <c r="B290" s="2"/>
      <c r="C290" s="2"/>
      <c r="D290" s="2"/>
      <c r="E290" s="2"/>
      <c r="F290" s="2"/>
      <c r="G290" s="2"/>
      <c r="H290" s="2"/>
      <c r="I290" s="2">
        <v>63.177300000000002</v>
      </c>
      <c r="J290" s="2">
        <v>266</v>
      </c>
      <c r="K290" s="2">
        <v>63.428400000000003</v>
      </c>
      <c r="L290" s="2">
        <v>253</v>
      </c>
      <c r="M290" s="2">
        <v>94.579099999999997</v>
      </c>
      <c r="N290" s="2">
        <v>304</v>
      </c>
      <c r="O290" s="2">
        <v>96.085999999999999</v>
      </c>
      <c r="P290" s="2">
        <v>289</v>
      </c>
      <c r="Q290" s="2">
        <v>106.0915</v>
      </c>
      <c r="R290" s="2">
        <v>264</v>
      </c>
      <c r="S290" s="2">
        <v>105.9088</v>
      </c>
      <c r="T290" s="2">
        <v>240</v>
      </c>
      <c r="U290" s="2">
        <v>0.24613199999999999</v>
      </c>
      <c r="V290" s="2">
        <v>289</v>
      </c>
      <c r="W290" s="2">
        <v>2015</v>
      </c>
    </row>
    <row r="291" spans="1:23" ht="12.3" x14ac:dyDescent="0.4">
      <c r="A291" s="2" t="s">
        <v>337</v>
      </c>
      <c r="B291" s="2"/>
      <c r="C291" s="2"/>
      <c r="D291" s="2"/>
      <c r="E291" s="2"/>
      <c r="F291" s="2"/>
      <c r="G291" s="2"/>
      <c r="H291" s="2"/>
      <c r="I291" s="2">
        <v>68.645300000000006</v>
      </c>
      <c r="J291" s="2">
        <v>30</v>
      </c>
      <c r="K291" s="2">
        <v>68.331699999999998</v>
      </c>
      <c r="L291" s="2">
        <v>28</v>
      </c>
      <c r="M291" s="2">
        <v>101.414</v>
      </c>
      <c r="N291" s="2">
        <v>186</v>
      </c>
      <c r="O291" s="2">
        <v>99.272999999999996</v>
      </c>
      <c r="P291" s="2">
        <v>233</v>
      </c>
      <c r="Q291" s="2">
        <v>109.8152</v>
      </c>
      <c r="R291" s="2">
        <v>321</v>
      </c>
      <c r="S291" s="2">
        <v>109.4678</v>
      </c>
      <c r="T291" s="2">
        <v>311</v>
      </c>
      <c r="U291" s="2">
        <v>0.24523200000000001</v>
      </c>
      <c r="V291" s="2">
        <v>290</v>
      </c>
      <c r="W291" s="2">
        <v>2015</v>
      </c>
    </row>
    <row r="292" spans="1:23" ht="12.3" x14ac:dyDescent="0.4">
      <c r="A292" s="2" t="s">
        <v>199</v>
      </c>
      <c r="B292" s="2"/>
      <c r="C292" s="2"/>
      <c r="D292" s="2"/>
      <c r="E292" s="2"/>
      <c r="F292" s="2"/>
      <c r="G292" s="2"/>
      <c r="H292" s="2"/>
      <c r="I292" s="2">
        <v>64.023499999999999</v>
      </c>
      <c r="J292" s="2">
        <v>222</v>
      </c>
      <c r="K292" s="2">
        <v>63.8992</v>
      </c>
      <c r="L292" s="2">
        <v>223</v>
      </c>
      <c r="M292" s="2">
        <v>92.306200000000004</v>
      </c>
      <c r="N292" s="2">
        <v>329</v>
      </c>
      <c r="O292" s="2">
        <v>92.099599999999995</v>
      </c>
      <c r="P292" s="2">
        <v>329</v>
      </c>
      <c r="Q292" s="2">
        <v>101.893</v>
      </c>
      <c r="R292" s="2">
        <v>169</v>
      </c>
      <c r="S292" s="2">
        <v>101.6696</v>
      </c>
      <c r="T292" s="2">
        <v>152</v>
      </c>
      <c r="U292" s="2">
        <v>0.242898</v>
      </c>
      <c r="V292" s="2">
        <v>291</v>
      </c>
      <c r="W292" s="2">
        <v>2015</v>
      </c>
    </row>
    <row r="293" spans="1:23" ht="12.3" x14ac:dyDescent="0.4">
      <c r="A293" s="2" t="s">
        <v>194</v>
      </c>
      <c r="B293" s="2"/>
      <c r="C293" s="2"/>
      <c r="D293" s="2"/>
      <c r="E293" s="2"/>
      <c r="F293" s="2"/>
      <c r="G293" s="2"/>
      <c r="H293" s="2"/>
      <c r="I293" s="2">
        <v>65.4512</v>
      </c>
      <c r="J293" s="2">
        <v>143</v>
      </c>
      <c r="K293" s="2">
        <v>64.869699999999995</v>
      </c>
      <c r="L293" s="2">
        <v>161</v>
      </c>
      <c r="M293" s="2">
        <v>97.343599999999995</v>
      </c>
      <c r="N293" s="2">
        <v>270</v>
      </c>
      <c r="O293" s="2">
        <v>99.137299999999996</v>
      </c>
      <c r="P293" s="2">
        <v>234</v>
      </c>
      <c r="Q293" s="2">
        <v>108.434</v>
      </c>
      <c r="R293" s="2">
        <v>305</v>
      </c>
      <c r="S293" s="2">
        <v>109.5624</v>
      </c>
      <c r="T293" s="2">
        <v>313</v>
      </c>
      <c r="U293" s="2">
        <v>0.240512</v>
      </c>
      <c r="V293" s="2">
        <v>292</v>
      </c>
      <c r="W293" s="2">
        <v>2015</v>
      </c>
    </row>
    <row r="294" spans="1:23" ht="12.3" x14ac:dyDescent="0.4">
      <c r="A294" s="2" t="s">
        <v>295</v>
      </c>
      <c r="B294" s="2"/>
      <c r="C294" s="2"/>
      <c r="D294" s="2"/>
      <c r="E294" s="2"/>
      <c r="F294" s="2"/>
      <c r="G294" s="2"/>
      <c r="H294" s="2"/>
      <c r="I294" s="2">
        <v>63.214399999999998</v>
      </c>
      <c r="J294" s="2">
        <v>262</v>
      </c>
      <c r="K294" s="2">
        <v>63.768500000000003</v>
      </c>
      <c r="L294" s="2">
        <v>229</v>
      </c>
      <c r="M294" s="2">
        <v>95.878500000000003</v>
      </c>
      <c r="N294" s="2">
        <v>292</v>
      </c>
      <c r="O294" s="2">
        <v>95.778599999999997</v>
      </c>
      <c r="P294" s="2">
        <v>297</v>
      </c>
      <c r="Q294" s="2">
        <v>100.86239999999999</v>
      </c>
      <c r="R294" s="2">
        <v>146</v>
      </c>
      <c r="S294" s="2">
        <v>105.85080000000001</v>
      </c>
      <c r="T294" s="2">
        <v>239</v>
      </c>
      <c r="U294" s="2">
        <v>0.240508</v>
      </c>
      <c r="V294" s="2">
        <v>293</v>
      </c>
      <c r="W294" s="2">
        <v>2015</v>
      </c>
    </row>
    <row r="295" spans="1:23" ht="12.3" x14ac:dyDescent="0.4">
      <c r="A295" s="2" t="s">
        <v>116</v>
      </c>
      <c r="B295" s="2"/>
      <c r="C295" s="2"/>
      <c r="D295" s="2"/>
      <c r="E295" s="2"/>
      <c r="F295" s="2"/>
      <c r="G295" s="2"/>
      <c r="H295" s="2"/>
      <c r="I295" s="2">
        <v>63.579799999999999</v>
      </c>
      <c r="J295" s="2">
        <v>249</v>
      </c>
      <c r="K295" s="2">
        <v>63.529499999999999</v>
      </c>
      <c r="L295" s="2">
        <v>249</v>
      </c>
      <c r="M295" s="2">
        <v>92.134699999999995</v>
      </c>
      <c r="N295" s="2">
        <v>331</v>
      </c>
      <c r="O295" s="2">
        <v>93.260999999999996</v>
      </c>
      <c r="P295" s="2">
        <v>316</v>
      </c>
      <c r="Q295" s="2">
        <v>104.5176</v>
      </c>
      <c r="R295" s="2">
        <v>226</v>
      </c>
      <c r="S295" s="2">
        <v>103.39919999999999</v>
      </c>
      <c r="T295" s="2">
        <v>187</v>
      </c>
      <c r="U295" s="2">
        <v>0.23383999999999999</v>
      </c>
      <c r="V295" s="2">
        <v>294</v>
      </c>
      <c r="W295" s="2">
        <v>2015</v>
      </c>
    </row>
    <row r="296" spans="1:23" ht="12.3" x14ac:dyDescent="0.4">
      <c r="A296" s="2" t="s">
        <v>172</v>
      </c>
      <c r="B296" s="2"/>
      <c r="C296" s="2"/>
      <c r="D296" s="2"/>
      <c r="E296" s="2"/>
      <c r="F296" s="2"/>
      <c r="G296" s="2"/>
      <c r="H296" s="2"/>
      <c r="I296" s="2">
        <v>66.811300000000003</v>
      </c>
      <c r="J296" s="2">
        <v>81</v>
      </c>
      <c r="K296" s="2">
        <v>66.492699999999999</v>
      </c>
      <c r="L296" s="2">
        <v>90</v>
      </c>
      <c r="M296" s="2">
        <v>94.123900000000006</v>
      </c>
      <c r="N296" s="2">
        <v>307</v>
      </c>
      <c r="O296" s="2">
        <v>94.704899999999995</v>
      </c>
      <c r="P296" s="2">
        <v>307</v>
      </c>
      <c r="Q296" s="2">
        <v>103.2885</v>
      </c>
      <c r="R296" s="2">
        <v>194</v>
      </c>
      <c r="S296" s="2">
        <v>105.09529999999999</v>
      </c>
      <c r="T296" s="2">
        <v>225</v>
      </c>
      <c r="U296" s="2">
        <v>0.23197999999999999</v>
      </c>
      <c r="V296" s="2">
        <v>295</v>
      </c>
      <c r="W296" s="2">
        <v>2015</v>
      </c>
    </row>
    <row r="297" spans="1:23" ht="12.3" x14ac:dyDescent="0.4">
      <c r="A297" s="2" t="s">
        <v>218</v>
      </c>
      <c r="B297" s="2"/>
      <c r="C297" s="2"/>
      <c r="D297" s="2"/>
      <c r="E297" s="2"/>
      <c r="F297" s="2"/>
      <c r="G297" s="2"/>
      <c r="H297" s="2"/>
      <c r="I297" s="2">
        <v>64.4923</v>
      </c>
      <c r="J297" s="2">
        <v>192</v>
      </c>
      <c r="K297" s="2">
        <v>64.203000000000003</v>
      </c>
      <c r="L297" s="2">
        <v>199</v>
      </c>
      <c r="M297" s="2">
        <v>96.67</v>
      </c>
      <c r="N297" s="2">
        <v>278</v>
      </c>
      <c r="O297" s="2">
        <v>97.328999999999994</v>
      </c>
      <c r="P297" s="2">
        <v>268</v>
      </c>
      <c r="Q297" s="2">
        <v>105.2787</v>
      </c>
      <c r="R297" s="2">
        <v>246</v>
      </c>
      <c r="S297" s="2">
        <v>108.0543</v>
      </c>
      <c r="T297" s="2">
        <v>291</v>
      </c>
      <c r="U297" s="2">
        <v>0.23108699999999999</v>
      </c>
      <c r="V297" s="2">
        <v>296</v>
      </c>
      <c r="W297" s="2">
        <v>2015</v>
      </c>
    </row>
    <row r="298" spans="1:23" ht="12.3" x14ac:dyDescent="0.4">
      <c r="A298" s="2" t="s">
        <v>263</v>
      </c>
      <c r="B298" s="2"/>
      <c r="C298" s="2"/>
      <c r="D298" s="2"/>
      <c r="E298" s="2"/>
      <c r="F298" s="2"/>
      <c r="G298" s="2"/>
      <c r="H298" s="2"/>
      <c r="I298" s="2">
        <v>76.533799999999999</v>
      </c>
      <c r="J298" s="2">
        <v>1</v>
      </c>
      <c r="K298" s="2">
        <v>77.138400000000004</v>
      </c>
      <c r="L298" s="2">
        <v>1</v>
      </c>
      <c r="M298" s="2">
        <v>99.599699999999999</v>
      </c>
      <c r="N298" s="2">
        <v>230</v>
      </c>
      <c r="O298" s="2">
        <v>96.023099999999999</v>
      </c>
      <c r="P298" s="2">
        <v>293</v>
      </c>
      <c r="Q298" s="2">
        <v>106.57599999999999</v>
      </c>
      <c r="R298" s="2">
        <v>276</v>
      </c>
      <c r="S298" s="2">
        <v>106.63339999999999</v>
      </c>
      <c r="T298" s="2">
        <v>262</v>
      </c>
      <c r="U298" s="2">
        <v>0.23053599999999999</v>
      </c>
      <c r="V298" s="2">
        <v>297</v>
      </c>
      <c r="W298" s="2">
        <v>2015</v>
      </c>
    </row>
    <row r="299" spans="1:23" ht="12.3" x14ac:dyDescent="0.4">
      <c r="A299" s="2" t="s">
        <v>319</v>
      </c>
      <c r="B299" s="2"/>
      <c r="C299" s="2"/>
      <c r="D299" s="2"/>
      <c r="E299" s="2"/>
      <c r="F299" s="2"/>
      <c r="G299" s="2"/>
      <c r="H299" s="2"/>
      <c r="I299" s="2">
        <v>62.6006</v>
      </c>
      <c r="J299" s="2">
        <v>287</v>
      </c>
      <c r="K299" s="2">
        <v>61.572200000000002</v>
      </c>
      <c r="L299" s="2">
        <v>315</v>
      </c>
      <c r="M299" s="2">
        <v>98.660399999999996</v>
      </c>
      <c r="N299" s="2">
        <v>250</v>
      </c>
      <c r="O299" s="2">
        <v>96.517899999999997</v>
      </c>
      <c r="P299" s="2">
        <v>279</v>
      </c>
      <c r="Q299" s="2">
        <v>107.61109999999999</v>
      </c>
      <c r="R299" s="2">
        <v>295</v>
      </c>
      <c r="S299" s="2">
        <v>107.3798</v>
      </c>
      <c r="T299" s="2">
        <v>274</v>
      </c>
      <c r="U299" s="2">
        <v>0.22681100000000001</v>
      </c>
      <c r="V299" s="2">
        <v>298</v>
      </c>
      <c r="W299" s="2">
        <v>2015</v>
      </c>
    </row>
    <row r="300" spans="1:23" ht="12.3" x14ac:dyDescent="0.4">
      <c r="A300" s="2" t="s">
        <v>221</v>
      </c>
      <c r="B300" s="2"/>
      <c r="C300" s="2"/>
      <c r="D300" s="2"/>
      <c r="E300" s="2"/>
      <c r="F300" s="2"/>
      <c r="G300" s="2"/>
      <c r="H300" s="2"/>
      <c r="I300" s="2">
        <v>62.143300000000004</v>
      </c>
      <c r="J300" s="2">
        <v>301</v>
      </c>
      <c r="K300" s="2">
        <v>61.722499999999997</v>
      </c>
      <c r="L300" s="2">
        <v>310</v>
      </c>
      <c r="M300" s="2">
        <v>93.902500000000003</v>
      </c>
      <c r="N300" s="2">
        <v>312</v>
      </c>
      <c r="O300" s="2">
        <v>93.452299999999994</v>
      </c>
      <c r="P300" s="2">
        <v>315</v>
      </c>
      <c r="Q300" s="2">
        <v>103.8458</v>
      </c>
      <c r="R300" s="2">
        <v>211</v>
      </c>
      <c r="S300" s="2">
        <v>103.98099999999999</v>
      </c>
      <c r="T300" s="2">
        <v>201</v>
      </c>
      <c r="U300" s="2">
        <v>0.22658500000000001</v>
      </c>
      <c r="V300" s="2">
        <v>299</v>
      </c>
      <c r="W300" s="2">
        <v>2015</v>
      </c>
    </row>
    <row r="301" spans="1:23" ht="12.3" x14ac:dyDescent="0.4">
      <c r="A301" s="2" t="s">
        <v>311</v>
      </c>
      <c r="B301" s="2"/>
      <c r="C301" s="2"/>
      <c r="D301" s="2"/>
      <c r="E301" s="2"/>
      <c r="F301" s="2"/>
      <c r="G301" s="2"/>
      <c r="H301" s="2"/>
      <c r="I301" s="2">
        <v>65.7286</v>
      </c>
      <c r="J301" s="2">
        <v>129</v>
      </c>
      <c r="K301" s="2">
        <v>66.278700000000001</v>
      </c>
      <c r="L301" s="2">
        <v>99</v>
      </c>
      <c r="M301" s="2">
        <v>95.409499999999994</v>
      </c>
      <c r="N301" s="2">
        <v>298</v>
      </c>
      <c r="O301" s="2">
        <v>96.959699999999998</v>
      </c>
      <c r="P301" s="2">
        <v>272</v>
      </c>
      <c r="Q301" s="2">
        <v>106.5094</v>
      </c>
      <c r="R301" s="2">
        <v>273</v>
      </c>
      <c r="S301" s="2">
        <v>108.0124</v>
      </c>
      <c r="T301" s="2">
        <v>289</v>
      </c>
      <c r="U301" s="2">
        <v>0.224185</v>
      </c>
      <c r="V301" s="2">
        <v>300</v>
      </c>
      <c r="W301" s="2">
        <v>2015</v>
      </c>
    </row>
    <row r="302" spans="1:23" ht="12.3" x14ac:dyDescent="0.4">
      <c r="A302" s="2" t="s">
        <v>215</v>
      </c>
      <c r="B302" s="2"/>
      <c r="C302" s="2"/>
      <c r="D302" s="2"/>
      <c r="E302" s="2"/>
      <c r="F302" s="2"/>
      <c r="G302" s="2"/>
      <c r="H302" s="2"/>
      <c r="I302" s="2">
        <v>67.727999999999994</v>
      </c>
      <c r="J302" s="2">
        <v>53</v>
      </c>
      <c r="K302" s="2">
        <v>67.643600000000006</v>
      </c>
      <c r="L302" s="2">
        <v>45</v>
      </c>
      <c r="M302" s="2">
        <v>98.235100000000003</v>
      </c>
      <c r="N302" s="2">
        <v>256</v>
      </c>
      <c r="O302" s="2">
        <v>96.6982</v>
      </c>
      <c r="P302" s="2">
        <v>277</v>
      </c>
      <c r="Q302" s="2">
        <v>107.9661</v>
      </c>
      <c r="R302" s="2">
        <v>298</v>
      </c>
      <c r="S302" s="2">
        <v>107.8539</v>
      </c>
      <c r="T302" s="2">
        <v>285</v>
      </c>
      <c r="U302" s="2">
        <v>0.22173300000000001</v>
      </c>
      <c r="V302" s="2">
        <v>301</v>
      </c>
      <c r="W302" s="2">
        <v>2015</v>
      </c>
    </row>
    <row r="303" spans="1:23" ht="12.3" x14ac:dyDescent="0.4">
      <c r="A303" s="2" t="s">
        <v>287</v>
      </c>
      <c r="B303" s="2"/>
      <c r="C303" s="2"/>
      <c r="D303" s="2"/>
      <c r="E303" s="2"/>
      <c r="F303" s="2"/>
      <c r="G303" s="2"/>
      <c r="H303" s="2"/>
      <c r="I303" s="2">
        <v>68.652100000000004</v>
      </c>
      <c r="J303" s="2">
        <v>29</v>
      </c>
      <c r="K303" s="2">
        <v>69.173699999999997</v>
      </c>
      <c r="L303" s="2">
        <v>22</v>
      </c>
      <c r="M303" s="2">
        <v>98.089399999999998</v>
      </c>
      <c r="N303" s="2">
        <v>259</v>
      </c>
      <c r="O303" s="2">
        <v>99.672300000000007</v>
      </c>
      <c r="P303" s="2">
        <v>230</v>
      </c>
      <c r="Q303" s="2">
        <v>107.8574</v>
      </c>
      <c r="R303" s="2">
        <v>297</v>
      </c>
      <c r="S303" s="2">
        <v>111.1849</v>
      </c>
      <c r="T303" s="2">
        <v>328</v>
      </c>
      <c r="U303" s="2">
        <v>0.22148699999999999</v>
      </c>
      <c r="V303" s="2">
        <v>302</v>
      </c>
      <c r="W303" s="2">
        <v>2015</v>
      </c>
    </row>
    <row r="304" spans="1:23" ht="12.3" x14ac:dyDescent="0.4">
      <c r="A304" s="2" t="s">
        <v>342</v>
      </c>
      <c r="B304" s="2"/>
      <c r="C304" s="2"/>
      <c r="D304" s="2"/>
      <c r="E304" s="2"/>
      <c r="F304" s="2"/>
      <c r="G304" s="2"/>
      <c r="H304" s="2"/>
      <c r="I304" s="2">
        <v>69.418000000000006</v>
      </c>
      <c r="J304" s="2">
        <v>16</v>
      </c>
      <c r="K304" s="2">
        <v>69.332800000000006</v>
      </c>
      <c r="L304" s="2">
        <v>19</v>
      </c>
      <c r="M304" s="2">
        <v>96.3703</v>
      </c>
      <c r="N304" s="2">
        <v>286</v>
      </c>
      <c r="O304" s="2">
        <v>96.302700000000002</v>
      </c>
      <c r="P304" s="2">
        <v>285</v>
      </c>
      <c r="Q304" s="2">
        <v>101.0844</v>
      </c>
      <c r="R304" s="2">
        <v>150</v>
      </c>
      <c r="S304" s="2">
        <v>107.6399</v>
      </c>
      <c r="T304" s="2">
        <v>277</v>
      </c>
      <c r="U304" s="2">
        <v>0.21757000000000001</v>
      </c>
      <c r="V304" s="2">
        <v>303</v>
      </c>
      <c r="W304" s="2">
        <v>2015</v>
      </c>
    </row>
    <row r="305" spans="1:23" ht="12.3" x14ac:dyDescent="0.4">
      <c r="A305" s="2" t="s">
        <v>183</v>
      </c>
      <c r="B305" s="2"/>
      <c r="C305" s="2"/>
      <c r="D305" s="2"/>
      <c r="E305" s="2"/>
      <c r="F305" s="2"/>
      <c r="G305" s="2"/>
      <c r="H305" s="2"/>
      <c r="I305" s="2">
        <v>68.553700000000006</v>
      </c>
      <c r="J305" s="2">
        <v>31</v>
      </c>
      <c r="K305" s="2">
        <v>67.706999999999994</v>
      </c>
      <c r="L305" s="2">
        <v>40</v>
      </c>
      <c r="M305" s="2">
        <v>99.200699999999998</v>
      </c>
      <c r="N305" s="2">
        <v>239</v>
      </c>
      <c r="O305" s="2">
        <v>96.533799999999999</v>
      </c>
      <c r="P305" s="2">
        <v>278</v>
      </c>
      <c r="Q305" s="2">
        <v>107.2191</v>
      </c>
      <c r="R305" s="2">
        <v>288</v>
      </c>
      <c r="S305" s="2">
        <v>107.90349999999999</v>
      </c>
      <c r="T305" s="2">
        <v>286</v>
      </c>
      <c r="U305" s="2">
        <v>0.217473</v>
      </c>
      <c r="V305" s="2">
        <v>304</v>
      </c>
      <c r="W305" s="2">
        <v>2015</v>
      </c>
    </row>
    <row r="306" spans="1:23" ht="12.3" x14ac:dyDescent="0.4">
      <c r="A306" s="2" t="s">
        <v>195</v>
      </c>
      <c r="B306" s="2"/>
      <c r="C306" s="2"/>
      <c r="D306" s="2"/>
      <c r="E306" s="2"/>
      <c r="F306" s="2"/>
      <c r="G306" s="2"/>
      <c r="H306" s="2"/>
      <c r="I306" s="2">
        <v>62.933799999999998</v>
      </c>
      <c r="J306" s="2">
        <v>274</v>
      </c>
      <c r="K306" s="2">
        <v>62.441400000000002</v>
      </c>
      <c r="L306" s="2">
        <v>288</v>
      </c>
      <c r="M306" s="2">
        <v>99.2376</v>
      </c>
      <c r="N306" s="2">
        <v>237</v>
      </c>
      <c r="O306" s="2">
        <v>97.044899999999998</v>
      </c>
      <c r="P306" s="2">
        <v>270</v>
      </c>
      <c r="Q306" s="2">
        <v>110.59010000000001</v>
      </c>
      <c r="R306" s="2">
        <v>326</v>
      </c>
      <c r="S306" s="2">
        <v>108.8603</v>
      </c>
      <c r="T306" s="2">
        <v>303</v>
      </c>
      <c r="U306" s="2">
        <v>0.21060899999999999</v>
      </c>
      <c r="V306" s="2">
        <v>305</v>
      </c>
      <c r="W306" s="2">
        <v>2015</v>
      </c>
    </row>
    <row r="307" spans="1:23" ht="12.3" x14ac:dyDescent="0.4">
      <c r="A307" s="2" t="s">
        <v>328</v>
      </c>
      <c r="B307" s="2"/>
      <c r="C307" s="2"/>
      <c r="D307" s="2"/>
      <c r="E307" s="2"/>
      <c r="F307" s="2"/>
      <c r="G307" s="2"/>
      <c r="H307" s="2"/>
      <c r="I307" s="2">
        <v>68.225800000000007</v>
      </c>
      <c r="J307" s="2">
        <v>36</v>
      </c>
      <c r="K307" s="2">
        <v>66.729600000000005</v>
      </c>
      <c r="L307" s="2">
        <v>77</v>
      </c>
      <c r="M307" s="2">
        <v>97.948700000000002</v>
      </c>
      <c r="N307" s="2">
        <v>262</v>
      </c>
      <c r="O307" s="2">
        <v>94.5976</v>
      </c>
      <c r="P307" s="2">
        <v>310</v>
      </c>
      <c r="Q307" s="2">
        <v>104.7239</v>
      </c>
      <c r="R307" s="2">
        <v>229</v>
      </c>
      <c r="S307" s="2">
        <v>106.34</v>
      </c>
      <c r="T307" s="2">
        <v>251</v>
      </c>
      <c r="U307" s="2">
        <v>0.20659</v>
      </c>
      <c r="V307" s="2">
        <v>306</v>
      </c>
      <c r="W307" s="2">
        <v>2015</v>
      </c>
    </row>
    <row r="308" spans="1:23" ht="12.3" x14ac:dyDescent="0.4">
      <c r="A308" s="2" t="s">
        <v>374</v>
      </c>
      <c r="B308" s="2"/>
      <c r="C308" s="2"/>
      <c r="D308" s="2"/>
      <c r="E308" s="2"/>
      <c r="F308" s="2"/>
      <c r="G308" s="2"/>
      <c r="H308" s="2"/>
      <c r="I308" s="2">
        <v>67.717200000000005</v>
      </c>
      <c r="J308" s="2">
        <v>54</v>
      </c>
      <c r="K308" s="2">
        <v>67.055499999999995</v>
      </c>
      <c r="L308" s="2">
        <v>67</v>
      </c>
      <c r="M308" s="2">
        <v>101.4469</v>
      </c>
      <c r="N308" s="2">
        <v>184</v>
      </c>
      <c r="O308" s="2">
        <v>100.5381</v>
      </c>
      <c r="P308" s="2">
        <v>210</v>
      </c>
      <c r="Q308" s="2">
        <v>112.09820000000001</v>
      </c>
      <c r="R308" s="2">
        <v>340</v>
      </c>
      <c r="S308" s="2">
        <v>113.1373</v>
      </c>
      <c r="T308" s="2">
        <v>337</v>
      </c>
      <c r="U308" s="2">
        <v>0.20460600000000001</v>
      </c>
      <c r="V308" s="2">
        <v>307</v>
      </c>
      <c r="W308" s="2">
        <v>2015</v>
      </c>
    </row>
    <row r="309" spans="1:23" ht="12.3" x14ac:dyDescent="0.4">
      <c r="A309" s="2" t="s">
        <v>143</v>
      </c>
      <c r="B309" s="2"/>
      <c r="C309" s="2"/>
      <c r="D309" s="2"/>
      <c r="E309" s="2"/>
      <c r="F309" s="2"/>
      <c r="G309" s="2"/>
      <c r="H309" s="2"/>
      <c r="I309" s="2">
        <v>66.427300000000002</v>
      </c>
      <c r="J309" s="2">
        <v>100</v>
      </c>
      <c r="K309" s="2">
        <v>65.509399999999999</v>
      </c>
      <c r="L309" s="2">
        <v>134</v>
      </c>
      <c r="M309" s="2">
        <v>92.354699999999994</v>
      </c>
      <c r="N309" s="2">
        <v>327</v>
      </c>
      <c r="O309" s="2">
        <v>93.653899999999993</v>
      </c>
      <c r="P309" s="2">
        <v>314</v>
      </c>
      <c r="Q309" s="2">
        <v>103.7085</v>
      </c>
      <c r="R309" s="2">
        <v>205</v>
      </c>
      <c r="S309" s="2">
        <v>105.4264</v>
      </c>
      <c r="T309" s="2">
        <v>231</v>
      </c>
      <c r="U309" s="2">
        <v>0.20396700000000001</v>
      </c>
      <c r="V309" s="2">
        <v>308</v>
      </c>
      <c r="W309" s="2">
        <v>2015</v>
      </c>
    </row>
    <row r="310" spans="1:23" ht="12.3" x14ac:dyDescent="0.4">
      <c r="A310" s="2" t="s">
        <v>237</v>
      </c>
      <c r="B310" s="2"/>
      <c r="C310" s="2"/>
      <c r="D310" s="2"/>
      <c r="E310" s="2"/>
      <c r="F310" s="2"/>
      <c r="G310" s="2"/>
      <c r="H310" s="2"/>
      <c r="I310" s="2">
        <v>67.788700000000006</v>
      </c>
      <c r="J310" s="2">
        <v>49</v>
      </c>
      <c r="K310" s="2">
        <v>67.813100000000006</v>
      </c>
      <c r="L310" s="2">
        <v>39</v>
      </c>
      <c r="M310" s="2">
        <v>100.2597</v>
      </c>
      <c r="N310" s="2">
        <v>212</v>
      </c>
      <c r="O310" s="2">
        <v>96.995199999999997</v>
      </c>
      <c r="P310" s="2">
        <v>271</v>
      </c>
      <c r="Q310" s="2">
        <v>109.73520000000001</v>
      </c>
      <c r="R310" s="2">
        <v>320</v>
      </c>
      <c r="S310" s="2">
        <v>109.3425</v>
      </c>
      <c r="T310" s="2">
        <v>309</v>
      </c>
      <c r="U310" s="2">
        <v>0.20133599999999999</v>
      </c>
      <c r="V310" s="2">
        <v>309</v>
      </c>
      <c r="W310" s="2">
        <v>2015</v>
      </c>
    </row>
    <row r="311" spans="1:23" ht="12.3" x14ac:dyDescent="0.4">
      <c r="A311" s="2" t="s">
        <v>275</v>
      </c>
      <c r="B311" s="2"/>
      <c r="C311" s="2"/>
      <c r="D311" s="2"/>
      <c r="E311" s="2"/>
      <c r="F311" s="2"/>
      <c r="G311" s="2"/>
      <c r="H311" s="2"/>
      <c r="I311" s="2">
        <v>64.322699999999998</v>
      </c>
      <c r="J311" s="2">
        <v>202</v>
      </c>
      <c r="K311" s="2">
        <v>63.88</v>
      </c>
      <c r="L311" s="2">
        <v>224</v>
      </c>
      <c r="M311" s="2">
        <v>93.740899999999996</v>
      </c>
      <c r="N311" s="2">
        <v>314</v>
      </c>
      <c r="O311" s="2">
        <v>93.233800000000002</v>
      </c>
      <c r="P311" s="2">
        <v>317</v>
      </c>
      <c r="Q311" s="2">
        <v>106.038</v>
      </c>
      <c r="R311" s="2">
        <v>262</v>
      </c>
      <c r="S311" s="2">
        <v>105.2467</v>
      </c>
      <c r="T311" s="2">
        <v>228</v>
      </c>
      <c r="U311" s="2">
        <v>0.19880700000000001</v>
      </c>
      <c r="V311" s="2">
        <v>310</v>
      </c>
      <c r="W311" s="2">
        <v>2015</v>
      </c>
    </row>
    <row r="312" spans="1:23" ht="12.3" x14ac:dyDescent="0.4">
      <c r="A312" s="2" t="s">
        <v>383</v>
      </c>
      <c r="B312" s="2"/>
      <c r="C312" s="2"/>
      <c r="D312" s="2"/>
      <c r="E312" s="2"/>
      <c r="F312" s="2"/>
      <c r="G312" s="2"/>
      <c r="H312" s="2"/>
      <c r="I312" s="2">
        <v>64.259799999999998</v>
      </c>
      <c r="J312" s="2">
        <v>205</v>
      </c>
      <c r="K312" s="2">
        <v>64.412400000000005</v>
      </c>
      <c r="L312" s="2">
        <v>191</v>
      </c>
      <c r="M312" s="2">
        <v>92.104100000000003</v>
      </c>
      <c r="N312" s="2">
        <v>333</v>
      </c>
      <c r="O312" s="2">
        <v>92.421999999999997</v>
      </c>
      <c r="P312" s="2">
        <v>326</v>
      </c>
      <c r="Q312" s="2">
        <v>103.0843</v>
      </c>
      <c r="R312" s="2">
        <v>191</v>
      </c>
      <c r="S312" s="2">
        <v>104.45820000000001</v>
      </c>
      <c r="T312" s="2">
        <v>212</v>
      </c>
      <c r="U312" s="2">
        <v>0.196574</v>
      </c>
      <c r="V312" s="2">
        <v>311</v>
      </c>
      <c r="W312" s="2">
        <v>2015</v>
      </c>
    </row>
    <row r="313" spans="1:23" ht="12.3" x14ac:dyDescent="0.4">
      <c r="A313" s="2" t="s">
        <v>340</v>
      </c>
      <c r="B313" s="2"/>
      <c r="C313" s="2"/>
      <c r="D313" s="2"/>
      <c r="E313" s="2"/>
      <c r="F313" s="2"/>
      <c r="G313" s="2"/>
      <c r="H313" s="2"/>
      <c r="I313" s="2">
        <v>62.326799999999999</v>
      </c>
      <c r="J313" s="2">
        <v>296</v>
      </c>
      <c r="K313" s="2">
        <v>63.013800000000003</v>
      </c>
      <c r="L313" s="2">
        <v>268</v>
      </c>
      <c r="M313" s="2">
        <v>91.952100000000002</v>
      </c>
      <c r="N313" s="2">
        <v>334</v>
      </c>
      <c r="O313" s="2">
        <v>91.418199999999999</v>
      </c>
      <c r="P313" s="2">
        <v>334</v>
      </c>
      <c r="Q313" s="2">
        <v>103.9393</v>
      </c>
      <c r="R313" s="2">
        <v>214</v>
      </c>
      <c r="S313" s="2">
        <v>103.3369</v>
      </c>
      <c r="T313" s="2">
        <v>186</v>
      </c>
      <c r="U313" s="2">
        <v>0.19634099999999999</v>
      </c>
      <c r="V313" s="2">
        <v>312</v>
      </c>
      <c r="W313" s="2">
        <v>2015</v>
      </c>
    </row>
    <row r="314" spans="1:23" ht="12.3" x14ac:dyDescent="0.4">
      <c r="A314" s="2" t="s">
        <v>175</v>
      </c>
      <c r="B314" s="2"/>
      <c r="C314" s="2"/>
      <c r="D314" s="2"/>
      <c r="E314" s="2"/>
      <c r="F314" s="2"/>
      <c r="G314" s="2"/>
      <c r="H314" s="2"/>
      <c r="I314" s="2">
        <v>62.5077</v>
      </c>
      <c r="J314" s="2">
        <v>292</v>
      </c>
      <c r="K314" s="2">
        <v>62.480400000000003</v>
      </c>
      <c r="L314" s="2">
        <v>287</v>
      </c>
      <c r="M314" s="2">
        <v>93.1995</v>
      </c>
      <c r="N314" s="2">
        <v>319</v>
      </c>
      <c r="O314" s="2">
        <v>95.677800000000005</v>
      </c>
      <c r="P314" s="2">
        <v>300</v>
      </c>
      <c r="Q314" s="2">
        <v>109.3857</v>
      </c>
      <c r="R314" s="2">
        <v>316</v>
      </c>
      <c r="S314" s="2">
        <v>108.2491</v>
      </c>
      <c r="T314" s="2">
        <v>292</v>
      </c>
      <c r="U314" s="2">
        <v>0.194715</v>
      </c>
      <c r="V314" s="2">
        <v>313</v>
      </c>
      <c r="W314" s="2">
        <v>2015</v>
      </c>
    </row>
    <row r="315" spans="1:23" ht="12.3" x14ac:dyDescent="0.4">
      <c r="A315" s="2" t="s">
        <v>359</v>
      </c>
      <c r="B315" s="2"/>
      <c r="C315" s="2"/>
      <c r="D315" s="2"/>
      <c r="E315" s="2"/>
      <c r="F315" s="2"/>
      <c r="G315" s="2"/>
      <c r="H315" s="2"/>
      <c r="I315" s="2">
        <v>67.200800000000001</v>
      </c>
      <c r="J315" s="2">
        <v>72</v>
      </c>
      <c r="K315" s="2">
        <v>66.933899999999994</v>
      </c>
      <c r="L315" s="2">
        <v>72</v>
      </c>
      <c r="M315" s="2">
        <v>97.690600000000003</v>
      </c>
      <c r="N315" s="2">
        <v>266</v>
      </c>
      <c r="O315" s="2">
        <v>95.709100000000007</v>
      </c>
      <c r="P315" s="2">
        <v>299</v>
      </c>
      <c r="Q315" s="2">
        <v>108.55500000000001</v>
      </c>
      <c r="R315" s="2">
        <v>306</v>
      </c>
      <c r="S315" s="2">
        <v>108.3218</v>
      </c>
      <c r="T315" s="2">
        <v>293</v>
      </c>
      <c r="U315" s="2">
        <v>0.19409499999999999</v>
      </c>
      <c r="V315" s="2">
        <v>314</v>
      </c>
      <c r="W315" s="2">
        <v>2015</v>
      </c>
    </row>
    <row r="316" spans="1:23" ht="12.3" x14ac:dyDescent="0.4">
      <c r="A316" s="2" t="s">
        <v>294</v>
      </c>
      <c r="B316" s="2"/>
      <c r="C316" s="2"/>
      <c r="D316" s="2"/>
      <c r="E316" s="2"/>
      <c r="F316" s="2"/>
      <c r="G316" s="2"/>
      <c r="H316" s="2"/>
      <c r="I316" s="2">
        <v>63.806399999999996</v>
      </c>
      <c r="J316" s="2">
        <v>237</v>
      </c>
      <c r="K316" s="2">
        <v>64.004999999999995</v>
      </c>
      <c r="L316" s="2">
        <v>212</v>
      </c>
      <c r="M316" s="2">
        <v>99.119100000000003</v>
      </c>
      <c r="N316" s="2">
        <v>244</v>
      </c>
      <c r="O316" s="2">
        <v>96.448700000000002</v>
      </c>
      <c r="P316" s="2">
        <v>282</v>
      </c>
      <c r="Q316" s="2">
        <v>108.60429999999999</v>
      </c>
      <c r="R316" s="2">
        <v>307</v>
      </c>
      <c r="S316" s="2">
        <v>109.56529999999999</v>
      </c>
      <c r="T316" s="2">
        <v>314</v>
      </c>
      <c r="U316" s="2">
        <v>0.187496</v>
      </c>
      <c r="V316" s="2">
        <v>315</v>
      </c>
      <c r="W316" s="2">
        <v>2015</v>
      </c>
    </row>
    <row r="317" spans="1:23" ht="12.3" x14ac:dyDescent="0.4">
      <c r="A317" s="2" t="s">
        <v>312</v>
      </c>
      <c r="B317" s="2"/>
      <c r="C317" s="2"/>
      <c r="D317" s="2"/>
      <c r="E317" s="2"/>
      <c r="F317" s="2"/>
      <c r="G317" s="2"/>
      <c r="H317" s="2"/>
      <c r="I317" s="2">
        <v>64.892899999999997</v>
      </c>
      <c r="J317" s="2">
        <v>165</v>
      </c>
      <c r="K317" s="2">
        <v>63.670400000000001</v>
      </c>
      <c r="L317" s="2">
        <v>238</v>
      </c>
      <c r="M317" s="2">
        <v>93.093199999999996</v>
      </c>
      <c r="N317" s="2">
        <v>320</v>
      </c>
      <c r="O317" s="2">
        <v>89.682100000000005</v>
      </c>
      <c r="P317" s="2">
        <v>344</v>
      </c>
      <c r="Q317" s="2">
        <v>97.008200000000002</v>
      </c>
      <c r="R317" s="2">
        <v>70</v>
      </c>
      <c r="S317" s="2">
        <v>102.0677</v>
      </c>
      <c r="T317" s="2">
        <v>162</v>
      </c>
      <c r="U317" s="2">
        <v>0.18426799999999999</v>
      </c>
      <c r="V317" s="2">
        <v>316</v>
      </c>
      <c r="W317" s="2">
        <v>2015</v>
      </c>
    </row>
    <row r="318" spans="1:23" ht="12.3" x14ac:dyDescent="0.4">
      <c r="A318" s="2" t="s">
        <v>378</v>
      </c>
      <c r="B318" s="2"/>
      <c r="C318" s="2"/>
      <c r="D318" s="2"/>
      <c r="E318" s="2"/>
      <c r="F318" s="2"/>
      <c r="G318" s="2"/>
      <c r="H318" s="2"/>
      <c r="I318" s="2">
        <v>68.017600000000002</v>
      </c>
      <c r="J318" s="2">
        <v>43</v>
      </c>
      <c r="K318" s="2">
        <v>68.052700000000002</v>
      </c>
      <c r="L318" s="2">
        <v>32</v>
      </c>
      <c r="M318" s="2">
        <v>97.474699999999999</v>
      </c>
      <c r="N318" s="2">
        <v>268</v>
      </c>
      <c r="O318" s="2">
        <v>95.395700000000005</v>
      </c>
      <c r="P318" s="2">
        <v>304</v>
      </c>
      <c r="Q318" s="2">
        <v>109.9978</v>
      </c>
      <c r="R318" s="2">
        <v>324</v>
      </c>
      <c r="S318" s="2">
        <v>109.0568</v>
      </c>
      <c r="T318" s="2">
        <v>306</v>
      </c>
      <c r="U318" s="2">
        <v>0.17666499999999999</v>
      </c>
      <c r="V318" s="2">
        <v>317</v>
      </c>
      <c r="W318" s="2">
        <v>2015</v>
      </c>
    </row>
    <row r="319" spans="1:23" ht="12.3" x14ac:dyDescent="0.4">
      <c r="A319" s="2" t="s">
        <v>227</v>
      </c>
      <c r="B319" s="2"/>
      <c r="C319" s="2"/>
      <c r="D319" s="2"/>
      <c r="E319" s="2"/>
      <c r="F319" s="2"/>
      <c r="G319" s="2"/>
      <c r="H319" s="2"/>
      <c r="I319" s="2">
        <v>68.127200000000002</v>
      </c>
      <c r="J319" s="2">
        <v>41</v>
      </c>
      <c r="K319" s="2">
        <v>67.212599999999995</v>
      </c>
      <c r="L319" s="2">
        <v>58</v>
      </c>
      <c r="M319" s="2">
        <v>93.984999999999999</v>
      </c>
      <c r="N319" s="2">
        <v>310</v>
      </c>
      <c r="O319" s="2">
        <v>92.735500000000002</v>
      </c>
      <c r="P319" s="2">
        <v>321</v>
      </c>
      <c r="Q319" s="2">
        <v>108.1296</v>
      </c>
      <c r="R319" s="2">
        <v>302</v>
      </c>
      <c r="S319" s="2">
        <v>106.3943</v>
      </c>
      <c r="T319" s="2">
        <v>254</v>
      </c>
      <c r="U319" s="2">
        <v>0.17077999999999999</v>
      </c>
      <c r="V319" s="2">
        <v>318</v>
      </c>
      <c r="W319" s="2">
        <v>2015</v>
      </c>
    </row>
    <row r="320" spans="1:23" ht="12.3" x14ac:dyDescent="0.4">
      <c r="A320" s="2" t="s">
        <v>163</v>
      </c>
      <c r="B320" s="2"/>
      <c r="C320" s="2"/>
      <c r="D320" s="2"/>
      <c r="E320" s="2"/>
      <c r="F320" s="2"/>
      <c r="G320" s="2"/>
      <c r="H320" s="2"/>
      <c r="I320" s="2">
        <v>66.170299999999997</v>
      </c>
      <c r="J320" s="2">
        <v>109</v>
      </c>
      <c r="K320" s="2">
        <v>66.243399999999994</v>
      </c>
      <c r="L320" s="2">
        <v>102</v>
      </c>
      <c r="M320" s="2">
        <v>95.721500000000006</v>
      </c>
      <c r="N320" s="2">
        <v>294</v>
      </c>
      <c r="O320" s="2">
        <v>94.604500000000002</v>
      </c>
      <c r="P320" s="2">
        <v>309</v>
      </c>
      <c r="Q320" s="2">
        <v>109.8999</v>
      </c>
      <c r="R320" s="2">
        <v>322</v>
      </c>
      <c r="S320" s="2">
        <v>108.7619</v>
      </c>
      <c r="T320" s="2">
        <v>301</v>
      </c>
      <c r="U320" s="2">
        <v>0.167459</v>
      </c>
      <c r="V320" s="2">
        <v>319</v>
      </c>
      <c r="W320" s="2">
        <v>2015</v>
      </c>
    </row>
    <row r="321" spans="1:23" ht="12.3" x14ac:dyDescent="0.4">
      <c r="A321" s="2" t="s">
        <v>344</v>
      </c>
      <c r="B321" s="2"/>
      <c r="C321" s="2"/>
      <c r="D321" s="2"/>
      <c r="E321" s="2"/>
      <c r="F321" s="2"/>
      <c r="G321" s="2"/>
      <c r="H321" s="2"/>
      <c r="I321" s="2">
        <v>67.394400000000005</v>
      </c>
      <c r="J321" s="2">
        <v>63</v>
      </c>
      <c r="K321" s="2">
        <v>67.701999999999998</v>
      </c>
      <c r="L321" s="2">
        <v>41</v>
      </c>
      <c r="M321" s="2">
        <v>96.736699999999999</v>
      </c>
      <c r="N321" s="2">
        <v>276</v>
      </c>
      <c r="O321" s="2">
        <v>96.048699999999997</v>
      </c>
      <c r="P321" s="2">
        <v>292</v>
      </c>
      <c r="Q321" s="2">
        <v>108.4136</v>
      </c>
      <c r="R321" s="2">
        <v>304</v>
      </c>
      <c r="S321" s="2">
        <v>111.08459999999999</v>
      </c>
      <c r="T321" s="2">
        <v>327</v>
      </c>
      <c r="U321" s="2">
        <v>0.15808900000000001</v>
      </c>
      <c r="V321" s="2">
        <v>320</v>
      </c>
      <c r="W321" s="2">
        <v>2015</v>
      </c>
    </row>
    <row r="322" spans="1:23" ht="12.3" x14ac:dyDescent="0.4">
      <c r="A322" s="2" t="s">
        <v>347</v>
      </c>
      <c r="B322" s="2"/>
      <c r="C322" s="2"/>
      <c r="D322" s="2"/>
      <c r="E322" s="2"/>
      <c r="F322" s="2"/>
      <c r="G322" s="2"/>
      <c r="H322" s="2"/>
      <c r="I322" s="2">
        <v>68.373999999999995</v>
      </c>
      <c r="J322" s="2">
        <v>34</v>
      </c>
      <c r="K322" s="2">
        <v>66.696899999999999</v>
      </c>
      <c r="L322" s="2">
        <v>80</v>
      </c>
      <c r="M322" s="2">
        <v>91.452600000000004</v>
      </c>
      <c r="N322" s="2">
        <v>336</v>
      </c>
      <c r="O322" s="2">
        <v>90.878399999999999</v>
      </c>
      <c r="P322" s="2">
        <v>338</v>
      </c>
      <c r="Q322" s="2">
        <v>106.97110000000001</v>
      </c>
      <c r="R322" s="2">
        <v>284</v>
      </c>
      <c r="S322" s="2">
        <v>105.5252</v>
      </c>
      <c r="T322" s="2">
        <v>234</v>
      </c>
      <c r="U322" s="2">
        <v>0.15207599999999999</v>
      </c>
      <c r="V322" s="2">
        <v>321</v>
      </c>
      <c r="W322" s="2">
        <v>2015</v>
      </c>
    </row>
    <row r="323" spans="1:23" ht="12.3" x14ac:dyDescent="0.4">
      <c r="A323" s="2" t="s">
        <v>214</v>
      </c>
      <c r="B323" s="2"/>
      <c r="C323" s="2"/>
      <c r="D323" s="2"/>
      <c r="E323" s="2"/>
      <c r="F323" s="2"/>
      <c r="G323" s="2"/>
      <c r="H323" s="2"/>
      <c r="I323" s="2">
        <v>64.460400000000007</v>
      </c>
      <c r="J323" s="2">
        <v>194</v>
      </c>
      <c r="K323" s="2">
        <v>64.043099999999995</v>
      </c>
      <c r="L323" s="2">
        <v>208</v>
      </c>
      <c r="M323" s="2">
        <v>95.991399999999999</v>
      </c>
      <c r="N323" s="2">
        <v>290</v>
      </c>
      <c r="O323" s="2">
        <v>96.911000000000001</v>
      </c>
      <c r="P323" s="2">
        <v>274</v>
      </c>
      <c r="Q323" s="2">
        <v>112.57550000000001</v>
      </c>
      <c r="R323" s="2">
        <v>343</v>
      </c>
      <c r="S323" s="2">
        <v>112.5373</v>
      </c>
      <c r="T323" s="2">
        <v>336</v>
      </c>
      <c r="U323" s="2">
        <v>0.151981</v>
      </c>
      <c r="V323" s="2">
        <v>322</v>
      </c>
      <c r="W323" s="2">
        <v>2015</v>
      </c>
    </row>
    <row r="324" spans="1:23" ht="12.3" x14ac:dyDescent="0.4">
      <c r="A324" s="2" t="s">
        <v>341</v>
      </c>
      <c r="B324" s="2"/>
      <c r="C324" s="2"/>
      <c r="D324" s="2"/>
      <c r="E324" s="2"/>
      <c r="F324" s="2"/>
      <c r="G324" s="2"/>
      <c r="H324" s="2"/>
      <c r="I324" s="2">
        <v>73.488699999999994</v>
      </c>
      <c r="J324" s="2">
        <v>3</v>
      </c>
      <c r="K324" s="2">
        <v>74.168800000000005</v>
      </c>
      <c r="L324" s="2">
        <v>2</v>
      </c>
      <c r="M324" s="2">
        <v>96.076300000000003</v>
      </c>
      <c r="N324" s="2">
        <v>289</v>
      </c>
      <c r="O324" s="2">
        <v>99.002300000000005</v>
      </c>
      <c r="P324" s="2">
        <v>240</v>
      </c>
      <c r="Q324" s="2">
        <v>113.626</v>
      </c>
      <c r="R324" s="2">
        <v>347</v>
      </c>
      <c r="S324" s="2">
        <v>115.00490000000001</v>
      </c>
      <c r="T324" s="2">
        <v>345</v>
      </c>
      <c r="U324" s="2">
        <v>0.151478</v>
      </c>
      <c r="V324" s="2">
        <v>323</v>
      </c>
      <c r="W324" s="2">
        <v>2015</v>
      </c>
    </row>
    <row r="325" spans="1:23" ht="12.3" x14ac:dyDescent="0.4">
      <c r="A325" s="2" t="s">
        <v>351</v>
      </c>
      <c r="B325" s="2"/>
      <c r="C325" s="2"/>
      <c r="D325" s="2"/>
      <c r="E325" s="2"/>
      <c r="F325" s="2"/>
      <c r="G325" s="2"/>
      <c r="H325" s="2"/>
      <c r="I325" s="2">
        <v>64.655799999999999</v>
      </c>
      <c r="J325" s="2">
        <v>182</v>
      </c>
      <c r="K325" s="2">
        <v>64.114800000000002</v>
      </c>
      <c r="L325" s="2">
        <v>205</v>
      </c>
      <c r="M325" s="2">
        <v>92.108999999999995</v>
      </c>
      <c r="N325" s="2">
        <v>332</v>
      </c>
      <c r="O325" s="2">
        <v>91.542100000000005</v>
      </c>
      <c r="P325" s="2">
        <v>333</v>
      </c>
      <c r="Q325" s="2">
        <v>103.0091</v>
      </c>
      <c r="R325" s="2">
        <v>189</v>
      </c>
      <c r="S325" s="2">
        <v>106.7758</v>
      </c>
      <c r="T325" s="2">
        <v>263</v>
      </c>
      <c r="U325" s="2">
        <v>0.14551500000000001</v>
      </c>
      <c r="V325" s="2">
        <v>324</v>
      </c>
      <c r="W325" s="2">
        <v>2015</v>
      </c>
    </row>
    <row r="326" spans="1:23" ht="12.3" x14ac:dyDescent="0.4">
      <c r="A326" s="2" t="s">
        <v>368</v>
      </c>
      <c r="B326" s="2"/>
      <c r="C326" s="2"/>
      <c r="D326" s="2"/>
      <c r="E326" s="2"/>
      <c r="F326" s="2"/>
      <c r="G326" s="2"/>
      <c r="H326" s="2"/>
      <c r="I326" s="2">
        <v>62.510300000000001</v>
      </c>
      <c r="J326" s="2">
        <v>291</v>
      </c>
      <c r="K326" s="2">
        <v>62.624000000000002</v>
      </c>
      <c r="L326" s="2">
        <v>278</v>
      </c>
      <c r="M326" s="2">
        <v>95.443600000000004</v>
      </c>
      <c r="N326" s="2">
        <v>297</v>
      </c>
      <c r="O326" s="2">
        <v>95.591200000000001</v>
      </c>
      <c r="P326" s="2">
        <v>301</v>
      </c>
      <c r="Q326" s="2">
        <v>114.1002</v>
      </c>
      <c r="R326" s="2">
        <v>348</v>
      </c>
      <c r="S326" s="2">
        <v>111.51</v>
      </c>
      <c r="T326" s="2">
        <v>332</v>
      </c>
      <c r="U326" s="2">
        <v>0.14537</v>
      </c>
      <c r="V326" s="2">
        <v>325</v>
      </c>
      <c r="W326" s="2">
        <v>2015</v>
      </c>
    </row>
    <row r="327" spans="1:23" ht="12.3" x14ac:dyDescent="0.4">
      <c r="A327" s="2" t="s">
        <v>315</v>
      </c>
      <c r="B327" s="2"/>
      <c r="C327" s="2"/>
      <c r="D327" s="2"/>
      <c r="E327" s="2"/>
      <c r="F327" s="2"/>
      <c r="G327" s="2"/>
      <c r="H327" s="2"/>
      <c r="I327" s="2">
        <v>63.244900000000001</v>
      </c>
      <c r="J327" s="2">
        <v>259</v>
      </c>
      <c r="K327" s="2">
        <v>63.2986</v>
      </c>
      <c r="L327" s="2">
        <v>257</v>
      </c>
      <c r="M327" s="2">
        <v>90.057199999999995</v>
      </c>
      <c r="N327" s="2">
        <v>341</v>
      </c>
      <c r="O327" s="2">
        <v>92.997299999999996</v>
      </c>
      <c r="P327" s="2">
        <v>318</v>
      </c>
      <c r="Q327" s="2">
        <v>105.699</v>
      </c>
      <c r="R327" s="2">
        <v>256</v>
      </c>
      <c r="S327" s="2">
        <v>108.5744</v>
      </c>
      <c r="T327" s="2">
        <v>297</v>
      </c>
      <c r="U327" s="2">
        <v>0.14418600000000001</v>
      </c>
      <c r="V327" s="2">
        <v>326</v>
      </c>
      <c r="W327" s="2">
        <v>2015</v>
      </c>
    </row>
    <row r="328" spans="1:23" ht="12.3" x14ac:dyDescent="0.4">
      <c r="A328" s="2" t="s">
        <v>285</v>
      </c>
      <c r="B328" s="2"/>
      <c r="C328" s="2"/>
      <c r="D328" s="2"/>
      <c r="E328" s="2"/>
      <c r="F328" s="2"/>
      <c r="G328" s="2"/>
      <c r="H328" s="2"/>
      <c r="I328" s="2">
        <v>67.282399999999996</v>
      </c>
      <c r="J328" s="2">
        <v>66</v>
      </c>
      <c r="K328" s="2">
        <v>67.068600000000004</v>
      </c>
      <c r="L328" s="2">
        <v>66</v>
      </c>
      <c r="M328" s="2">
        <v>89.989599999999996</v>
      </c>
      <c r="N328" s="2">
        <v>342</v>
      </c>
      <c r="O328" s="2">
        <v>90.579800000000006</v>
      </c>
      <c r="P328" s="2">
        <v>340</v>
      </c>
      <c r="Q328" s="2">
        <v>106.54340000000001</v>
      </c>
      <c r="R328" s="2">
        <v>274</v>
      </c>
      <c r="S328" s="2">
        <v>106.374</v>
      </c>
      <c r="T328" s="2">
        <v>253</v>
      </c>
      <c r="U328" s="2">
        <v>0.13606199999999999</v>
      </c>
      <c r="V328" s="2">
        <v>327</v>
      </c>
      <c r="W328" s="2">
        <v>2015</v>
      </c>
    </row>
    <row r="329" spans="1:23" ht="12.3" x14ac:dyDescent="0.4">
      <c r="A329" s="2" t="s">
        <v>372</v>
      </c>
      <c r="B329" s="2"/>
      <c r="C329" s="2"/>
      <c r="D329" s="2"/>
      <c r="E329" s="2"/>
      <c r="F329" s="2"/>
      <c r="G329" s="2"/>
      <c r="H329" s="2"/>
      <c r="I329" s="2">
        <v>61.827199999999998</v>
      </c>
      <c r="J329" s="2">
        <v>307</v>
      </c>
      <c r="K329" s="2">
        <v>62.384799999999998</v>
      </c>
      <c r="L329" s="2">
        <v>290</v>
      </c>
      <c r="M329" s="2">
        <v>92.403800000000004</v>
      </c>
      <c r="N329" s="2">
        <v>326</v>
      </c>
      <c r="O329" s="2">
        <v>91.162999999999997</v>
      </c>
      <c r="P329" s="2">
        <v>335</v>
      </c>
      <c r="Q329" s="2">
        <v>104.95959999999999</v>
      </c>
      <c r="R329" s="2">
        <v>237</v>
      </c>
      <c r="S329" s="2">
        <v>107.09350000000001</v>
      </c>
      <c r="T329" s="2">
        <v>270</v>
      </c>
      <c r="U329" s="2">
        <v>0.135625</v>
      </c>
      <c r="V329" s="2">
        <v>328</v>
      </c>
      <c r="W329" s="2">
        <v>2015</v>
      </c>
    </row>
    <row r="330" spans="1:23" ht="12.3" x14ac:dyDescent="0.4">
      <c r="A330" s="2" t="s">
        <v>179</v>
      </c>
      <c r="B330" s="2"/>
      <c r="C330" s="2"/>
      <c r="D330" s="2"/>
      <c r="E330" s="2"/>
      <c r="F330" s="2"/>
      <c r="G330" s="2"/>
      <c r="H330" s="2"/>
      <c r="I330" s="2">
        <v>59.6126</v>
      </c>
      <c r="J330" s="2">
        <v>341</v>
      </c>
      <c r="K330" s="2">
        <v>59.345700000000001</v>
      </c>
      <c r="L330" s="2">
        <v>343</v>
      </c>
      <c r="M330" s="2">
        <v>103.7441</v>
      </c>
      <c r="N330" s="2">
        <v>132</v>
      </c>
      <c r="O330" s="2">
        <v>101.6238</v>
      </c>
      <c r="P330" s="2">
        <v>179</v>
      </c>
      <c r="Q330" s="2">
        <v>117.8852</v>
      </c>
      <c r="R330" s="2">
        <v>351</v>
      </c>
      <c r="S330" s="2">
        <v>120.408</v>
      </c>
      <c r="T330" s="2">
        <v>351</v>
      </c>
      <c r="U330" s="2">
        <v>0.1245</v>
      </c>
      <c r="V330" s="2">
        <v>329</v>
      </c>
      <c r="W330" s="2">
        <v>2015</v>
      </c>
    </row>
    <row r="331" spans="1:23" ht="12.3" x14ac:dyDescent="0.4">
      <c r="A331" s="2" t="s">
        <v>272</v>
      </c>
      <c r="B331" s="2"/>
      <c r="C331" s="2"/>
      <c r="D331" s="2"/>
      <c r="E331" s="2"/>
      <c r="F331" s="2"/>
      <c r="G331" s="2"/>
      <c r="H331" s="2"/>
      <c r="I331" s="2">
        <v>64.371300000000005</v>
      </c>
      <c r="J331" s="2">
        <v>198</v>
      </c>
      <c r="K331" s="2">
        <v>63.691000000000003</v>
      </c>
      <c r="L331" s="2">
        <v>236</v>
      </c>
      <c r="M331" s="2">
        <v>94.785499999999999</v>
      </c>
      <c r="N331" s="2">
        <v>301</v>
      </c>
      <c r="O331" s="2">
        <v>94.733900000000006</v>
      </c>
      <c r="P331" s="2">
        <v>306</v>
      </c>
      <c r="Q331" s="2">
        <v>106.4526</v>
      </c>
      <c r="R331" s="2">
        <v>272</v>
      </c>
      <c r="S331" s="2">
        <v>112.3258</v>
      </c>
      <c r="T331" s="2">
        <v>335</v>
      </c>
      <c r="U331" s="2">
        <v>0.123595</v>
      </c>
      <c r="V331" s="2">
        <v>330</v>
      </c>
      <c r="W331" s="2">
        <v>2015</v>
      </c>
    </row>
    <row r="332" spans="1:23" ht="12.3" x14ac:dyDescent="0.4">
      <c r="A332" s="2" t="s">
        <v>346</v>
      </c>
      <c r="B332" s="2"/>
      <c r="C332" s="2"/>
      <c r="D332" s="2"/>
      <c r="E332" s="2"/>
      <c r="F332" s="2"/>
      <c r="G332" s="2"/>
      <c r="H332" s="2"/>
      <c r="I332" s="2">
        <v>66.605099999999993</v>
      </c>
      <c r="J332" s="2">
        <v>89</v>
      </c>
      <c r="K332" s="2">
        <v>66.421000000000006</v>
      </c>
      <c r="L332" s="2">
        <v>93</v>
      </c>
      <c r="M332" s="2">
        <v>91.9238</v>
      </c>
      <c r="N332" s="2">
        <v>335</v>
      </c>
      <c r="O332" s="2">
        <v>90.555999999999997</v>
      </c>
      <c r="P332" s="2">
        <v>341</v>
      </c>
      <c r="Q332" s="2">
        <v>106.3501</v>
      </c>
      <c r="R332" s="2">
        <v>268</v>
      </c>
      <c r="S332" s="2">
        <v>107.6855</v>
      </c>
      <c r="T332" s="2">
        <v>280</v>
      </c>
      <c r="U332" s="2">
        <v>0.12001000000000001</v>
      </c>
      <c r="V332" s="2">
        <v>331</v>
      </c>
      <c r="W332" s="2">
        <v>2015</v>
      </c>
    </row>
    <row r="333" spans="1:23" ht="12.3" x14ac:dyDescent="0.4">
      <c r="A333" s="2" t="s">
        <v>384</v>
      </c>
      <c r="B333" s="2"/>
      <c r="C333" s="2"/>
      <c r="D333" s="2"/>
      <c r="E333" s="2"/>
      <c r="F333" s="2"/>
      <c r="G333" s="2"/>
      <c r="H333" s="2"/>
      <c r="I333" s="2">
        <v>64.841499999999996</v>
      </c>
      <c r="J333" s="2">
        <v>171</v>
      </c>
      <c r="K333" s="2">
        <v>63.627299999999998</v>
      </c>
      <c r="L333" s="2">
        <v>244</v>
      </c>
      <c r="M333" s="2">
        <v>93.329499999999996</v>
      </c>
      <c r="N333" s="2">
        <v>318</v>
      </c>
      <c r="O333" s="2">
        <v>92.950100000000006</v>
      </c>
      <c r="P333" s="2">
        <v>319</v>
      </c>
      <c r="Q333" s="2">
        <v>111.039</v>
      </c>
      <c r="R333" s="2">
        <v>331</v>
      </c>
      <c r="S333" s="2">
        <v>110.61450000000001</v>
      </c>
      <c r="T333" s="2">
        <v>324</v>
      </c>
      <c r="U333" s="2">
        <v>0.11911099999999999</v>
      </c>
      <c r="V333" s="2">
        <v>332</v>
      </c>
      <c r="W333" s="2">
        <v>2015</v>
      </c>
    </row>
    <row r="334" spans="1:23" ht="12.3" x14ac:dyDescent="0.4">
      <c r="A334" s="2" t="s">
        <v>313</v>
      </c>
      <c r="B334" s="2"/>
      <c r="C334" s="2"/>
      <c r="D334" s="2"/>
      <c r="E334" s="2"/>
      <c r="F334" s="2"/>
      <c r="G334" s="2"/>
      <c r="H334" s="2"/>
      <c r="I334" s="2">
        <v>60.575000000000003</v>
      </c>
      <c r="J334" s="2">
        <v>334</v>
      </c>
      <c r="K334" s="2">
        <v>60.488399999999999</v>
      </c>
      <c r="L334" s="2">
        <v>336</v>
      </c>
      <c r="M334" s="2">
        <v>93.969499999999996</v>
      </c>
      <c r="N334" s="2">
        <v>311</v>
      </c>
      <c r="O334" s="2">
        <v>90.580399999999997</v>
      </c>
      <c r="P334" s="2">
        <v>339</v>
      </c>
      <c r="Q334" s="2">
        <v>102.7555</v>
      </c>
      <c r="R334" s="2">
        <v>185</v>
      </c>
      <c r="S334" s="2">
        <v>107.82599999999999</v>
      </c>
      <c r="T334" s="2">
        <v>283</v>
      </c>
      <c r="U334" s="2">
        <v>0.118759</v>
      </c>
      <c r="V334" s="2">
        <v>333</v>
      </c>
      <c r="W334" s="2">
        <v>2015</v>
      </c>
    </row>
    <row r="335" spans="1:23" ht="12.3" x14ac:dyDescent="0.4">
      <c r="A335" s="2" t="s">
        <v>298</v>
      </c>
      <c r="B335" s="2"/>
      <c r="C335" s="2"/>
      <c r="D335" s="2"/>
      <c r="E335" s="2"/>
      <c r="F335" s="2"/>
      <c r="G335" s="2"/>
      <c r="H335" s="2"/>
      <c r="I335" s="2">
        <v>66.408900000000003</v>
      </c>
      <c r="J335" s="2">
        <v>102</v>
      </c>
      <c r="K335" s="2">
        <v>66.942700000000002</v>
      </c>
      <c r="L335" s="2">
        <v>71</v>
      </c>
      <c r="M335" s="2">
        <v>97.784099999999995</v>
      </c>
      <c r="N335" s="2">
        <v>265</v>
      </c>
      <c r="O335" s="2">
        <v>95.479399999999998</v>
      </c>
      <c r="P335" s="2">
        <v>303</v>
      </c>
      <c r="Q335" s="2">
        <v>111.8633</v>
      </c>
      <c r="R335" s="2">
        <v>337</v>
      </c>
      <c r="S335" s="2">
        <v>113.7099</v>
      </c>
      <c r="T335" s="2">
        <v>340</v>
      </c>
      <c r="U335" s="2">
        <v>0.11820899999999999</v>
      </c>
      <c r="V335" s="2">
        <v>334</v>
      </c>
      <c r="W335" s="2">
        <v>2015</v>
      </c>
    </row>
    <row r="336" spans="1:23" ht="12.3" x14ac:dyDescent="0.4">
      <c r="A336" s="2" t="s">
        <v>288</v>
      </c>
      <c r="B336" s="2"/>
      <c r="C336" s="2"/>
      <c r="D336" s="2"/>
      <c r="E336" s="2"/>
      <c r="F336" s="2"/>
      <c r="G336" s="2"/>
      <c r="H336" s="2"/>
      <c r="I336" s="2">
        <v>64.881500000000003</v>
      </c>
      <c r="J336" s="2">
        <v>166</v>
      </c>
      <c r="K336" s="2">
        <v>64.640199999999993</v>
      </c>
      <c r="L336" s="2">
        <v>174</v>
      </c>
      <c r="M336" s="2">
        <v>89.067099999999996</v>
      </c>
      <c r="N336" s="2">
        <v>344</v>
      </c>
      <c r="O336" s="2">
        <v>89.868099999999998</v>
      </c>
      <c r="P336" s="2">
        <v>343</v>
      </c>
      <c r="Q336" s="2">
        <v>103.85169999999999</v>
      </c>
      <c r="R336" s="2">
        <v>212</v>
      </c>
      <c r="S336" s="2">
        <v>107.33150000000001</v>
      </c>
      <c r="T336" s="2">
        <v>272</v>
      </c>
      <c r="U336" s="2">
        <v>0.11484800000000001</v>
      </c>
      <c r="V336" s="2">
        <v>335</v>
      </c>
      <c r="W336" s="2">
        <v>2015</v>
      </c>
    </row>
    <row r="337" spans="1:23" ht="12.3" x14ac:dyDescent="0.4">
      <c r="A337" s="2" t="s">
        <v>348</v>
      </c>
      <c r="B337" s="2"/>
      <c r="C337" s="2"/>
      <c r="D337" s="2"/>
      <c r="E337" s="2"/>
      <c r="F337" s="2"/>
      <c r="G337" s="2"/>
      <c r="H337" s="2"/>
      <c r="I337" s="2">
        <v>63.218499999999999</v>
      </c>
      <c r="J337" s="2">
        <v>261</v>
      </c>
      <c r="K337" s="2">
        <v>63.091799999999999</v>
      </c>
      <c r="L337" s="2">
        <v>266</v>
      </c>
      <c r="M337" s="2">
        <v>87.253</v>
      </c>
      <c r="N337" s="2">
        <v>345</v>
      </c>
      <c r="O337" s="2">
        <v>88.762299999999996</v>
      </c>
      <c r="P337" s="2">
        <v>345</v>
      </c>
      <c r="Q337" s="2">
        <v>106.4271</v>
      </c>
      <c r="R337" s="2">
        <v>270</v>
      </c>
      <c r="S337" s="2">
        <v>106.18259999999999</v>
      </c>
      <c r="T337" s="2">
        <v>248</v>
      </c>
      <c r="U337" s="2">
        <v>0.112968</v>
      </c>
      <c r="V337" s="2">
        <v>336</v>
      </c>
      <c r="W337" s="2">
        <v>2015</v>
      </c>
    </row>
    <row r="338" spans="1:23" ht="12.3" x14ac:dyDescent="0.4">
      <c r="A338" s="2" t="s">
        <v>345</v>
      </c>
      <c r="B338" s="2"/>
      <c r="C338" s="2"/>
      <c r="D338" s="2"/>
      <c r="E338" s="2"/>
      <c r="F338" s="2"/>
      <c r="G338" s="2"/>
      <c r="H338" s="2"/>
      <c r="I338" s="2">
        <v>65.742900000000006</v>
      </c>
      <c r="J338" s="2">
        <v>127</v>
      </c>
      <c r="K338" s="2">
        <v>65.265100000000004</v>
      </c>
      <c r="L338" s="2">
        <v>146</v>
      </c>
      <c r="M338" s="2">
        <v>92.878799999999998</v>
      </c>
      <c r="N338" s="2">
        <v>322</v>
      </c>
      <c r="O338" s="2">
        <v>92.549400000000006</v>
      </c>
      <c r="P338" s="2">
        <v>322</v>
      </c>
      <c r="Q338" s="2">
        <v>107.4293</v>
      </c>
      <c r="R338" s="2">
        <v>291</v>
      </c>
      <c r="S338" s="2">
        <v>111.0415</v>
      </c>
      <c r="T338" s="2">
        <v>326</v>
      </c>
      <c r="U338" s="2">
        <v>0.109598</v>
      </c>
      <c r="V338" s="2">
        <v>337</v>
      </c>
      <c r="W338" s="2">
        <v>2015</v>
      </c>
    </row>
    <row r="339" spans="1:23" ht="12.3" x14ac:dyDescent="0.4">
      <c r="A339" s="2" t="s">
        <v>361</v>
      </c>
      <c r="B339" s="2"/>
      <c r="C339" s="2"/>
      <c r="D339" s="2"/>
      <c r="E339" s="2"/>
      <c r="F339" s="2"/>
      <c r="G339" s="2"/>
      <c r="H339" s="2"/>
      <c r="I339" s="2">
        <v>66.45</v>
      </c>
      <c r="J339" s="2">
        <v>99</v>
      </c>
      <c r="K339" s="2">
        <v>65.343900000000005</v>
      </c>
      <c r="L339" s="2">
        <v>143</v>
      </c>
      <c r="M339" s="2">
        <v>92.774799999999999</v>
      </c>
      <c r="N339" s="2">
        <v>323</v>
      </c>
      <c r="O339" s="2">
        <v>92.530199999999994</v>
      </c>
      <c r="P339" s="2">
        <v>323</v>
      </c>
      <c r="Q339" s="2">
        <v>111.5168</v>
      </c>
      <c r="R339" s="2">
        <v>335</v>
      </c>
      <c r="S339" s="2">
        <v>111.40089999999999</v>
      </c>
      <c r="T339" s="2">
        <v>331</v>
      </c>
      <c r="U339" s="2">
        <v>0.105798</v>
      </c>
      <c r="V339" s="2">
        <v>338</v>
      </c>
      <c r="W339" s="2">
        <v>2015</v>
      </c>
    </row>
    <row r="340" spans="1:23" ht="12.3" x14ac:dyDescent="0.4">
      <c r="A340" s="2" t="s">
        <v>352</v>
      </c>
      <c r="B340" s="2"/>
      <c r="C340" s="2"/>
      <c r="D340" s="2"/>
      <c r="E340" s="2"/>
      <c r="F340" s="2"/>
      <c r="G340" s="2"/>
      <c r="H340" s="2"/>
      <c r="I340" s="2">
        <v>65.613299999999995</v>
      </c>
      <c r="J340" s="2">
        <v>137</v>
      </c>
      <c r="K340" s="2">
        <v>64.921300000000002</v>
      </c>
      <c r="L340" s="2">
        <v>160</v>
      </c>
      <c r="M340" s="2">
        <v>84.731300000000005</v>
      </c>
      <c r="N340" s="2">
        <v>348</v>
      </c>
      <c r="O340" s="2">
        <v>86.704999999999998</v>
      </c>
      <c r="P340" s="2">
        <v>348</v>
      </c>
      <c r="Q340" s="2">
        <v>102.4204</v>
      </c>
      <c r="R340" s="2">
        <v>177</v>
      </c>
      <c r="S340" s="2">
        <v>104.42059999999999</v>
      </c>
      <c r="T340" s="2">
        <v>211</v>
      </c>
      <c r="U340" s="2">
        <v>0.10545499999999999</v>
      </c>
      <c r="V340" s="2">
        <v>339</v>
      </c>
      <c r="W340" s="2">
        <v>2015</v>
      </c>
    </row>
    <row r="341" spans="1:23" ht="12.3" x14ac:dyDescent="0.4">
      <c r="A341" s="2" t="s">
        <v>296</v>
      </c>
      <c r="B341" s="2"/>
      <c r="C341" s="2"/>
      <c r="D341" s="2"/>
      <c r="E341" s="2"/>
      <c r="F341" s="2"/>
      <c r="G341" s="2"/>
      <c r="H341" s="2"/>
      <c r="I341" s="2">
        <v>62.432600000000001</v>
      </c>
      <c r="J341" s="2">
        <v>293</v>
      </c>
      <c r="K341" s="2">
        <v>62.338900000000002</v>
      </c>
      <c r="L341" s="2">
        <v>292</v>
      </c>
      <c r="M341" s="2">
        <v>92.640299999999996</v>
      </c>
      <c r="N341" s="2">
        <v>325</v>
      </c>
      <c r="O341" s="2">
        <v>92.308300000000003</v>
      </c>
      <c r="P341" s="2">
        <v>328</v>
      </c>
      <c r="Q341" s="2">
        <v>106.1365</v>
      </c>
      <c r="R341" s="2">
        <v>266</v>
      </c>
      <c r="S341" s="2">
        <v>111.24509999999999</v>
      </c>
      <c r="T341" s="2">
        <v>329</v>
      </c>
      <c r="U341" s="2">
        <v>0.104713</v>
      </c>
      <c r="V341" s="2">
        <v>340</v>
      </c>
      <c r="W341" s="2">
        <v>2015</v>
      </c>
    </row>
    <row r="342" spans="1:23" ht="12.3" x14ac:dyDescent="0.4">
      <c r="A342" s="2" t="s">
        <v>156</v>
      </c>
      <c r="B342" s="2"/>
      <c r="C342" s="2"/>
      <c r="D342" s="2"/>
      <c r="E342" s="2"/>
      <c r="F342" s="2"/>
      <c r="G342" s="2"/>
      <c r="H342" s="2"/>
      <c r="I342" s="2">
        <v>63.9587</v>
      </c>
      <c r="J342" s="2">
        <v>229</v>
      </c>
      <c r="K342" s="2">
        <v>63.503900000000002</v>
      </c>
      <c r="L342" s="2">
        <v>250</v>
      </c>
      <c r="M342" s="2">
        <v>92.249099999999999</v>
      </c>
      <c r="N342" s="2">
        <v>330</v>
      </c>
      <c r="O342" s="2">
        <v>91.619200000000006</v>
      </c>
      <c r="P342" s="2">
        <v>331</v>
      </c>
      <c r="Q342" s="2">
        <v>108.979</v>
      </c>
      <c r="R342" s="2">
        <v>310</v>
      </c>
      <c r="S342" s="2">
        <v>110.59010000000001</v>
      </c>
      <c r="T342" s="2">
        <v>323</v>
      </c>
      <c r="U342" s="2">
        <v>0.10301299999999999</v>
      </c>
      <c r="V342" s="2">
        <v>341</v>
      </c>
      <c r="W342" s="2">
        <v>2015</v>
      </c>
    </row>
    <row r="343" spans="1:23" ht="12.3" x14ac:dyDescent="0.4">
      <c r="A343" s="2" t="s">
        <v>268</v>
      </c>
      <c r="B343" s="2"/>
      <c r="C343" s="2"/>
      <c r="D343" s="2"/>
      <c r="E343" s="2"/>
      <c r="F343" s="2"/>
      <c r="G343" s="2"/>
      <c r="H343" s="2"/>
      <c r="I343" s="2">
        <v>63.998699999999999</v>
      </c>
      <c r="J343" s="2">
        <v>225</v>
      </c>
      <c r="K343" s="2">
        <v>63.927500000000002</v>
      </c>
      <c r="L343" s="2">
        <v>222</v>
      </c>
      <c r="M343" s="2">
        <v>87.012100000000004</v>
      </c>
      <c r="N343" s="2">
        <v>346</v>
      </c>
      <c r="O343" s="2">
        <v>87.511700000000005</v>
      </c>
      <c r="P343" s="2">
        <v>347</v>
      </c>
      <c r="Q343" s="2">
        <v>106.9114</v>
      </c>
      <c r="R343" s="2">
        <v>281</v>
      </c>
      <c r="S343" s="2">
        <v>105.7753</v>
      </c>
      <c r="T343" s="2">
        <v>238</v>
      </c>
      <c r="U343" s="2">
        <v>0.10158200000000001</v>
      </c>
      <c r="V343" s="2">
        <v>342</v>
      </c>
      <c r="W343" s="2">
        <v>2015</v>
      </c>
    </row>
    <row r="344" spans="1:23" ht="12.3" x14ac:dyDescent="0.4">
      <c r="A344" s="2" t="s">
        <v>202</v>
      </c>
      <c r="B344" s="2"/>
      <c r="C344" s="2"/>
      <c r="D344" s="2"/>
      <c r="E344" s="2"/>
      <c r="F344" s="2"/>
      <c r="G344" s="2"/>
      <c r="H344" s="2"/>
      <c r="I344" s="2">
        <v>64.043800000000005</v>
      </c>
      <c r="J344" s="2">
        <v>220</v>
      </c>
      <c r="K344" s="2">
        <v>64.046400000000006</v>
      </c>
      <c r="L344" s="2">
        <v>207</v>
      </c>
      <c r="M344" s="2">
        <v>93.088499999999996</v>
      </c>
      <c r="N344" s="2">
        <v>321</v>
      </c>
      <c r="O344" s="2">
        <v>91.9315</v>
      </c>
      <c r="P344" s="2">
        <v>330</v>
      </c>
      <c r="Q344" s="2">
        <v>108.6922</v>
      </c>
      <c r="R344" s="2">
        <v>308</v>
      </c>
      <c r="S344" s="2">
        <v>111.3929</v>
      </c>
      <c r="T344" s="2">
        <v>330</v>
      </c>
      <c r="U344" s="2">
        <v>9.9014000000000005E-2</v>
      </c>
      <c r="V344" s="2">
        <v>343</v>
      </c>
      <c r="W344" s="2">
        <v>2015</v>
      </c>
    </row>
    <row r="345" spans="1:23" ht="12.3" x14ac:dyDescent="0.4">
      <c r="A345" s="2" t="s">
        <v>252</v>
      </c>
      <c r="B345" s="2"/>
      <c r="C345" s="2"/>
      <c r="D345" s="2"/>
      <c r="E345" s="2"/>
      <c r="F345" s="2"/>
      <c r="G345" s="2"/>
      <c r="H345" s="2"/>
      <c r="I345" s="2">
        <v>64.442599999999999</v>
      </c>
      <c r="J345" s="2">
        <v>195</v>
      </c>
      <c r="K345" s="2">
        <v>64.989400000000003</v>
      </c>
      <c r="L345" s="2">
        <v>157</v>
      </c>
      <c r="M345" s="2">
        <v>86.969300000000004</v>
      </c>
      <c r="N345" s="2">
        <v>347</v>
      </c>
      <c r="O345" s="2">
        <v>88.148200000000003</v>
      </c>
      <c r="P345" s="2">
        <v>346</v>
      </c>
      <c r="Q345" s="2">
        <v>103.938</v>
      </c>
      <c r="R345" s="2">
        <v>213</v>
      </c>
      <c r="S345" s="2">
        <v>108.33159999999999</v>
      </c>
      <c r="T345" s="2">
        <v>294</v>
      </c>
      <c r="U345" s="2">
        <v>8.5407999999999998E-2</v>
      </c>
      <c r="V345" s="2">
        <v>344</v>
      </c>
      <c r="W345" s="2">
        <v>2015</v>
      </c>
    </row>
    <row r="346" spans="1:23" ht="12.3" x14ac:dyDescent="0.4">
      <c r="A346" s="2" t="s">
        <v>309</v>
      </c>
      <c r="B346" s="2"/>
      <c r="C346" s="2"/>
      <c r="D346" s="2"/>
      <c r="E346" s="2"/>
      <c r="F346" s="2"/>
      <c r="G346" s="2"/>
      <c r="H346" s="2"/>
      <c r="I346" s="2">
        <v>66.233599999999996</v>
      </c>
      <c r="J346" s="2">
        <v>106</v>
      </c>
      <c r="K346" s="2">
        <v>66.448800000000006</v>
      </c>
      <c r="L346" s="2">
        <v>92</v>
      </c>
      <c r="M346" s="2">
        <v>90.328299999999999</v>
      </c>
      <c r="N346" s="2">
        <v>340</v>
      </c>
      <c r="O346" s="2">
        <v>92.376300000000001</v>
      </c>
      <c r="P346" s="2">
        <v>327</v>
      </c>
      <c r="Q346" s="2">
        <v>112.13160000000001</v>
      </c>
      <c r="R346" s="2">
        <v>341</v>
      </c>
      <c r="S346" s="2">
        <v>114.00830000000001</v>
      </c>
      <c r="T346" s="2">
        <v>341</v>
      </c>
      <c r="U346" s="2">
        <v>8.1689999999999999E-2</v>
      </c>
      <c r="V346" s="2">
        <v>345</v>
      </c>
      <c r="W346" s="2">
        <v>2015</v>
      </c>
    </row>
    <row r="347" spans="1:23" ht="12.3" x14ac:dyDescent="0.4">
      <c r="A347" s="2" t="s">
        <v>261</v>
      </c>
      <c r="B347" s="2"/>
      <c r="C347" s="2"/>
      <c r="D347" s="2"/>
      <c r="E347" s="2"/>
      <c r="F347" s="2"/>
      <c r="G347" s="2"/>
      <c r="H347" s="2"/>
      <c r="I347" s="2">
        <v>67.710400000000007</v>
      </c>
      <c r="J347" s="2">
        <v>55</v>
      </c>
      <c r="K347" s="2">
        <v>67.093299999999999</v>
      </c>
      <c r="L347" s="2">
        <v>62</v>
      </c>
      <c r="M347" s="2">
        <v>93.360200000000006</v>
      </c>
      <c r="N347" s="2">
        <v>317</v>
      </c>
      <c r="O347" s="2">
        <v>92.458100000000002</v>
      </c>
      <c r="P347" s="2">
        <v>324</v>
      </c>
      <c r="Q347" s="2">
        <v>109.63849999999999</v>
      </c>
      <c r="R347" s="2">
        <v>319</v>
      </c>
      <c r="S347" s="2">
        <v>115.4455</v>
      </c>
      <c r="T347" s="2">
        <v>349</v>
      </c>
      <c r="U347" s="2">
        <v>7.2192000000000006E-2</v>
      </c>
      <c r="V347" s="2">
        <v>346</v>
      </c>
      <c r="W347" s="2">
        <v>2015</v>
      </c>
    </row>
    <row r="348" spans="1:23" ht="12.3" x14ac:dyDescent="0.4">
      <c r="A348" s="2" t="s">
        <v>299</v>
      </c>
      <c r="B348" s="2"/>
      <c r="C348" s="2"/>
      <c r="D348" s="2"/>
      <c r="E348" s="2"/>
      <c r="F348" s="2"/>
      <c r="G348" s="2"/>
      <c r="H348" s="2"/>
      <c r="I348" s="2">
        <v>71.118200000000002</v>
      </c>
      <c r="J348" s="2">
        <v>6</v>
      </c>
      <c r="K348" s="2">
        <v>71.018699999999995</v>
      </c>
      <c r="L348" s="2">
        <v>5</v>
      </c>
      <c r="M348" s="2">
        <v>89.267099999999999</v>
      </c>
      <c r="N348" s="2">
        <v>343</v>
      </c>
      <c r="O348" s="2">
        <v>90.955399999999997</v>
      </c>
      <c r="P348" s="2">
        <v>337</v>
      </c>
      <c r="Q348" s="2">
        <v>111.41549999999999</v>
      </c>
      <c r="R348" s="2">
        <v>333</v>
      </c>
      <c r="S348" s="2">
        <v>115.1439</v>
      </c>
      <c r="T348" s="2">
        <v>346</v>
      </c>
      <c r="U348" s="2">
        <v>6.2276999999999999E-2</v>
      </c>
      <c r="V348" s="2">
        <v>347</v>
      </c>
      <c r="W348" s="2">
        <v>2015</v>
      </c>
    </row>
    <row r="349" spans="1:23" ht="12.3" x14ac:dyDescent="0.4">
      <c r="A349" s="2" t="s">
        <v>364</v>
      </c>
      <c r="B349" s="2"/>
      <c r="C349" s="2"/>
      <c r="D349" s="2"/>
      <c r="E349" s="2"/>
      <c r="F349" s="2"/>
      <c r="G349" s="2"/>
      <c r="H349" s="2"/>
      <c r="I349" s="2">
        <v>71.298699999999997</v>
      </c>
      <c r="J349" s="2">
        <v>5</v>
      </c>
      <c r="K349" s="2">
        <v>69.432699999999997</v>
      </c>
      <c r="L349" s="2">
        <v>18</v>
      </c>
      <c r="M349" s="2">
        <v>91.4465</v>
      </c>
      <c r="N349" s="2">
        <v>337</v>
      </c>
      <c r="O349" s="2">
        <v>90.361699999999999</v>
      </c>
      <c r="P349" s="2">
        <v>342</v>
      </c>
      <c r="Q349" s="2">
        <v>115.2538</v>
      </c>
      <c r="R349" s="2">
        <v>350</v>
      </c>
      <c r="S349" s="2">
        <v>115.1825</v>
      </c>
      <c r="T349" s="2">
        <v>347</v>
      </c>
      <c r="U349" s="2">
        <v>5.7811000000000001E-2</v>
      </c>
      <c r="V349" s="2">
        <v>348</v>
      </c>
      <c r="W349" s="2">
        <v>2015</v>
      </c>
    </row>
    <row r="350" spans="1:23" ht="12.3" x14ac:dyDescent="0.4">
      <c r="A350" s="2" t="s">
        <v>278</v>
      </c>
      <c r="B350" s="2"/>
      <c r="C350" s="2"/>
      <c r="D350" s="2"/>
      <c r="E350" s="2"/>
      <c r="F350" s="2"/>
      <c r="G350" s="2"/>
      <c r="H350" s="2"/>
      <c r="I350" s="2">
        <v>63.634700000000002</v>
      </c>
      <c r="J350" s="2">
        <v>245</v>
      </c>
      <c r="K350" s="2">
        <v>64.608800000000002</v>
      </c>
      <c r="L350" s="2">
        <v>178</v>
      </c>
      <c r="M350" s="2">
        <v>82.379800000000003</v>
      </c>
      <c r="N350" s="2">
        <v>350</v>
      </c>
      <c r="O350" s="2">
        <v>85.178100000000001</v>
      </c>
      <c r="P350" s="2">
        <v>350</v>
      </c>
      <c r="Q350" s="2">
        <v>110.78189999999999</v>
      </c>
      <c r="R350" s="2">
        <v>328</v>
      </c>
      <c r="S350" s="2">
        <v>108.6446</v>
      </c>
      <c r="T350" s="2">
        <v>298</v>
      </c>
      <c r="U350" s="2">
        <v>5.7410999999999997E-2</v>
      </c>
      <c r="V350" s="2">
        <v>349</v>
      </c>
      <c r="W350" s="2">
        <v>2015</v>
      </c>
    </row>
    <row r="351" spans="1:23" ht="12.3" x14ac:dyDescent="0.4">
      <c r="A351" s="2" t="s">
        <v>301</v>
      </c>
      <c r="B351" s="2"/>
      <c r="C351" s="2"/>
      <c r="D351" s="2"/>
      <c r="E351" s="2"/>
      <c r="F351" s="2"/>
      <c r="G351" s="2"/>
      <c r="H351" s="2"/>
      <c r="I351" s="2">
        <v>65.708200000000005</v>
      </c>
      <c r="J351" s="2">
        <v>130</v>
      </c>
      <c r="K351" s="2">
        <v>66.2517</v>
      </c>
      <c r="L351" s="2">
        <v>100</v>
      </c>
      <c r="M351" s="2">
        <v>84.436099999999996</v>
      </c>
      <c r="N351" s="2">
        <v>349</v>
      </c>
      <c r="O351" s="2">
        <v>85.374700000000004</v>
      </c>
      <c r="P351" s="2">
        <v>349</v>
      </c>
      <c r="Q351" s="2">
        <v>110.9158</v>
      </c>
      <c r="R351" s="2">
        <v>329</v>
      </c>
      <c r="S351" s="2">
        <v>114.542</v>
      </c>
      <c r="T351" s="2">
        <v>344</v>
      </c>
      <c r="U351" s="2">
        <v>3.2933999999999998E-2</v>
      </c>
      <c r="V351" s="2">
        <v>350</v>
      </c>
      <c r="W351" s="2">
        <v>2015</v>
      </c>
    </row>
    <row r="352" spans="1:23" ht="12.3" x14ac:dyDescent="0.4">
      <c r="A352" s="2" t="s">
        <v>329</v>
      </c>
      <c r="B352" s="2"/>
      <c r="C352" s="2"/>
      <c r="D352" s="2"/>
      <c r="E352" s="2"/>
      <c r="F352" s="2"/>
      <c r="G352" s="2"/>
      <c r="H352" s="2"/>
      <c r="I352" s="2">
        <v>66.054599999999994</v>
      </c>
      <c r="J352" s="2">
        <v>116</v>
      </c>
      <c r="K352" s="2">
        <v>65.539400000000001</v>
      </c>
      <c r="L352" s="2">
        <v>132</v>
      </c>
      <c r="M352" s="2">
        <v>77.478300000000004</v>
      </c>
      <c r="N352" s="2">
        <v>351</v>
      </c>
      <c r="O352" s="2">
        <v>79.896799999999999</v>
      </c>
      <c r="P352" s="2">
        <v>351</v>
      </c>
      <c r="Q352" s="2">
        <v>112.0304</v>
      </c>
      <c r="R352" s="2">
        <v>339</v>
      </c>
      <c r="S352" s="2">
        <v>114.3224</v>
      </c>
      <c r="T352" s="2">
        <v>343</v>
      </c>
      <c r="U352" s="2">
        <v>1.5980000000000001E-2</v>
      </c>
      <c r="V352" s="2">
        <v>351</v>
      </c>
      <c r="W352" s="2">
        <v>2015</v>
      </c>
    </row>
  </sheetData>
  <autoFilter ref="A1:W352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352"/>
  <sheetViews>
    <sheetView workbookViewId="0"/>
  </sheetViews>
  <sheetFormatPr defaultColWidth="14.44140625" defaultRowHeight="15.75" customHeight="1" x14ac:dyDescent="0.4"/>
  <cols>
    <col min="1" max="1" width="14.44140625" customWidth="1"/>
    <col min="2" max="2" width="5.109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109375" customWidth="1"/>
    <col min="11" max="11" width="9.44140625" customWidth="1"/>
    <col min="12" max="12" width="13.83203125" customWidth="1"/>
    <col min="13" max="13" width="8.71875" customWidth="1"/>
    <col min="14" max="14" width="8" customWidth="1"/>
    <col min="15" max="15" width="8.71875" customWidth="1"/>
    <col min="16" max="16" width="10.71875" customWidth="1"/>
    <col min="17" max="17" width="8.71875" customWidth="1"/>
    <col min="18" max="18" width="7.83203125" customWidth="1"/>
    <col min="19" max="19" width="8.71875" customWidth="1"/>
    <col min="20" max="20" width="10.5546875" customWidth="1"/>
    <col min="21" max="21" width="8.71875" customWidth="1"/>
    <col min="22" max="23" width="11.1093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45</v>
      </c>
      <c r="B2" s="2">
        <v>1</v>
      </c>
      <c r="C2" s="3"/>
      <c r="D2" s="3"/>
      <c r="E2" s="3"/>
      <c r="F2" s="2"/>
      <c r="G2" s="2"/>
      <c r="H2" s="2"/>
      <c r="I2" s="2">
        <v>63.865900000000003</v>
      </c>
      <c r="J2" s="2">
        <v>233</v>
      </c>
      <c r="K2" s="2">
        <v>63.442799999999998</v>
      </c>
      <c r="L2" s="2">
        <v>251</v>
      </c>
      <c r="M2" s="2">
        <v>115.89579999999999</v>
      </c>
      <c r="N2" s="2">
        <v>9</v>
      </c>
      <c r="O2" s="2">
        <v>119.72499999999999</v>
      </c>
      <c r="P2" s="2">
        <v>5</v>
      </c>
      <c r="Q2" s="2">
        <v>83.647400000000005</v>
      </c>
      <c r="R2" s="2">
        <v>1</v>
      </c>
      <c r="S2" s="2">
        <v>85.8155</v>
      </c>
      <c r="T2" s="2">
        <v>2</v>
      </c>
      <c r="U2" s="2">
        <v>0.97874099999999997</v>
      </c>
      <c r="V2" s="2">
        <v>1</v>
      </c>
      <c r="W2" s="2">
        <v>2015</v>
      </c>
    </row>
    <row r="3" spans="1:23" ht="15.75" customHeight="1" x14ac:dyDescent="0.4">
      <c r="A3" s="2" t="s">
        <v>43</v>
      </c>
      <c r="B3" s="2">
        <v>2</v>
      </c>
      <c r="C3" s="3"/>
      <c r="D3" s="3"/>
      <c r="E3" s="2"/>
      <c r="F3" s="2"/>
      <c r="G3" s="2"/>
      <c r="H3" s="2"/>
      <c r="I3" s="2">
        <v>66.842799999999997</v>
      </c>
      <c r="J3" s="2">
        <v>79</v>
      </c>
      <c r="K3" s="2">
        <v>66.727699999999999</v>
      </c>
      <c r="L3" s="2">
        <v>78</v>
      </c>
      <c r="M3" s="2">
        <v>113.6254</v>
      </c>
      <c r="N3" s="2">
        <v>17</v>
      </c>
      <c r="O3" s="2">
        <v>116.0039</v>
      </c>
      <c r="P3" s="2">
        <v>11</v>
      </c>
      <c r="Q3" s="2">
        <v>87.414000000000001</v>
      </c>
      <c r="R3" s="2">
        <v>4</v>
      </c>
      <c r="S3" s="2">
        <v>86.383099999999999</v>
      </c>
      <c r="T3" s="2">
        <v>3</v>
      </c>
      <c r="U3" s="2">
        <v>0.96740800000000005</v>
      </c>
      <c r="V3" s="2">
        <v>2</v>
      </c>
      <c r="W3" s="2">
        <v>2015</v>
      </c>
    </row>
    <row r="4" spans="1:23" ht="15.75" customHeight="1" x14ac:dyDescent="0.4">
      <c r="A4" s="2" t="s">
        <v>76</v>
      </c>
      <c r="B4" s="2">
        <v>1</v>
      </c>
      <c r="C4" s="3"/>
      <c r="D4" s="3"/>
      <c r="E4" s="3"/>
      <c r="F4" s="3"/>
      <c r="G4" s="2"/>
      <c r="H4" s="2"/>
      <c r="I4" s="2">
        <v>59.265599999999999</v>
      </c>
      <c r="J4" s="2">
        <v>345</v>
      </c>
      <c r="K4" s="2">
        <v>58.743299999999998</v>
      </c>
      <c r="L4" s="2">
        <v>347</v>
      </c>
      <c r="M4" s="2">
        <v>120.4953</v>
      </c>
      <c r="N4" s="2">
        <v>3</v>
      </c>
      <c r="O4" s="2">
        <v>124.69499999999999</v>
      </c>
      <c r="P4" s="2">
        <v>1</v>
      </c>
      <c r="Q4" s="2">
        <v>94.464600000000004</v>
      </c>
      <c r="R4" s="2">
        <v>27</v>
      </c>
      <c r="S4" s="2">
        <v>94.260499999999993</v>
      </c>
      <c r="T4" s="2">
        <v>30</v>
      </c>
      <c r="U4" s="2">
        <v>0.96149799999999996</v>
      </c>
      <c r="V4" s="2">
        <v>3</v>
      </c>
      <c r="W4" s="2">
        <v>2015</v>
      </c>
    </row>
    <row r="5" spans="1:23" ht="15.75" customHeight="1" x14ac:dyDescent="0.4">
      <c r="A5" s="2" t="s">
        <v>87</v>
      </c>
      <c r="B5" s="2">
        <v>2</v>
      </c>
      <c r="C5" s="3"/>
      <c r="D5" s="3"/>
      <c r="E5" s="2"/>
      <c r="F5" s="2"/>
      <c r="G5" s="2"/>
      <c r="H5" s="2"/>
      <c r="I5" s="2">
        <v>58.496299999999998</v>
      </c>
      <c r="J5" s="2">
        <v>347</v>
      </c>
      <c r="K5" s="2">
        <v>58.158000000000001</v>
      </c>
      <c r="L5" s="2">
        <v>349</v>
      </c>
      <c r="M5" s="2">
        <v>110.6799</v>
      </c>
      <c r="N5" s="2">
        <v>31</v>
      </c>
      <c r="O5" s="2">
        <v>112.22499999999999</v>
      </c>
      <c r="P5" s="2">
        <v>27</v>
      </c>
      <c r="Q5" s="2">
        <v>85.616200000000006</v>
      </c>
      <c r="R5" s="2">
        <v>2</v>
      </c>
      <c r="S5" s="2">
        <v>85.371399999999994</v>
      </c>
      <c r="T5" s="2">
        <v>1</v>
      </c>
      <c r="U5" s="2">
        <v>0.95871899999999999</v>
      </c>
      <c r="V5" s="2">
        <v>4</v>
      </c>
      <c r="W5" s="2">
        <v>2015</v>
      </c>
    </row>
    <row r="6" spans="1:23" ht="15.75" customHeight="1" x14ac:dyDescent="0.4">
      <c r="A6" s="2" t="s">
        <v>78</v>
      </c>
      <c r="B6" s="2">
        <v>1</v>
      </c>
      <c r="C6" s="3"/>
      <c r="D6" s="2"/>
      <c r="E6" s="2"/>
      <c r="F6" s="2"/>
      <c r="G6" s="2"/>
      <c r="H6" s="2"/>
      <c r="I6" s="2">
        <v>65.056799999999996</v>
      </c>
      <c r="J6" s="2">
        <v>158</v>
      </c>
      <c r="K6" s="2">
        <v>64.479699999999994</v>
      </c>
      <c r="L6" s="2">
        <v>181</v>
      </c>
      <c r="M6" s="2">
        <v>116.6189</v>
      </c>
      <c r="N6" s="2">
        <v>6</v>
      </c>
      <c r="O6" s="2">
        <v>120.8395</v>
      </c>
      <c r="P6" s="2">
        <v>4</v>
      </c>
      <c r="Q6" s="2">
        <v>92.974100000000007</v>
      </c>
      <c r="R6" s="2">
        <v>18</v>
      </c>
      <c r="S6" s="2">
        <v>92.245999999999995</v>
      </c>
      <c r="T6" s="2">
        <v>13</v>
      </c>
      <c r="U6" s="2">
        <v>0.95710099999999998</v>
      </c>
      <c r="V6" s="2">
        <v>5</v>
      </c>
      <c r="W6" s="2">
        <v>2015</v>
      </c>
    </row>
    <row r="7" spans="1:23" ht="15.75" customHeight="1" x14ac:dyDescent="0.4">
      <c r="A7" s="2" t="s">
        <v>47</v>
      </c>
      <c r="B7" s="2">
        <v>2</v>
      </c>
      <c r="C7" s="3"/>
      <c r="D7" s="2"/>
      <c r="E7" s="2"/>
      <c r="F7" s="2"/>
      <c r="G7" s="2"/>
      <c r="H7" s="2"/>
      <c r="I7" s="2">
        <v>64.950900000000004</v>
      </c>
      <c r="J7" s="2">
        <v>162</v>
      </c>
      <c r="K7" s="2">
        <v>65.060500000000005</v>
      </c>
      <c r="L7" s="2">
        <v>153</v>
      </c>
      <c r="M7" s="2">
        <v>120.00660000000001</v>
      </c>
      <c r="N7" s="2">
        <v>4</v>
      </c>
      <c r="O7" s="2">
        <v>119.4414</v>
      </c>
      <c r="P7" s="2">
        <v>6</v>
      </c>
      <c r="Q7" s="2">
        <v>93.631100000000004</v>
      </c>
      <c r="R7" s="2">
        <v>19</v>
      </c>
      <c r="S7" s="2">
        <v>93.431299999999993</v>
      </c>
      <c r="T7" s="2">
        <v>20</v>
      </c>
      <c r="U7" s="2">
        <v>0.94398000000000004</v>
      </c>
      <c r="V7" s="2">
        <v>6</v>
      </c>
      <c r="W7" s="2">
        <v>2015</v>
      </c>
    </row>
    <row r="8" spans="1:23" ht="15.75" customHeight="1" x14ac:dyDescent="0.4">
      <c r="A8" s="2" t="s">
        <v>32</v>
      </c>
      <c r="B8" s="2">
        <v>1</v>
      </c>
      <c r="C8" s="2"/>
      <c r="D8" s="2"/>
      <c r="E8" s="2"/>
      <c r="F8" s="2"/>
      <c r="G8" s="2"/>
      <c r="H8" s="2"/>
      <c r="I8" s="2">
        <v>66.573499999999996</v>
      </c>
      <c r="J8" s="2">
        <v>91</v>
      </c>
      <c r="K8" s="2">
        <v>66.236500000000007</v>
      </c>
      <c r="L8" s="2">
        <v>103</v>
      </c>
      <c r="M8" s="2">
        <v>120.49890000000001</v>
      </c>
      <c r="N8" s="2">
        <v>2</v>
      </c>
      <c r="O8" s="2">
        <v>122.0286</v>
      </c>
      <c r="P8" s="2">
        <v>3</v>
      </c>
      <c r="Q8" s="2">
        <v>97.777900000000002</v>
      </c>
      <c r="R8" s="2">
        <v>80</v>
      </c>
      <c r="S8" s="2">
        <v>96.131299999999996</v>
      </c>
      <c r="T8" s="2">
        <v>57</v>
      </c>
      <c r="U8" s="2">
        <v>0.93952999999999998</v>
      </c>
      <c r="V8" s="2">
        <v>7</v>
      </c>
      <c r="W8" s="2">
        <v>2015</v>
      </c>
    </row>
    <row r="9" spans="1:23" ht="15.75" customHeight="1" x14ac:dyDescent="0.4">
      <c r="A9" s="2" t="s">
        <v>70</v>
      </c>
      <c r="B9" s="2">
        <v>5</v>
      </c>
      <c r="C9" s="3"/>
      <c r="D9" s="2"/>
      <c r="E9" s="2"/>
      <c r="F9" s="2"/>
      <c r="G9" s="2"/>
      <c r="H9" s="2"/>
      <c r="I9" s="2">
        <v>62.686500000000002</v>
      </c>
      <c r="J9" s="2">
        <v>284</v>
      </c>
      <c r="K9" s="2">
        <v>61.168500000000002</v>
      </c>
      <c r="L9" s="2">
        <v>322</v>
      </c>
      <c r="M9" s="2">
        <v>113.6498</v>
      </c>
      <c r="N9" s="2">
        <v>16</v>
      </c>
      <c r="O9" s="2">
        <v>113.0478</v>
      </c>
      <c r="P9" s="2">
        <v>18</v>
      </c>
      <c r="Q9" s="2">
        <v>91.083799999999997</v>
      </c>
      <c r="R9" s="2">
        <v>10</v>
      </c>
      <c r="S9" s="2">
        <v>90.569100000000006</v>
      </c>
      <c r="T9" s="2">
        <v>8</v>
      </c>
      <c r="U9" s="2">
        <v>0.92754199999999998</v>
      </c>
      <c r="V9" s="2">
        <v>8</v>
      </c>
      <c r="W9" s="2">
        <v>2015</v>
      </c>
    </row>
    <row r="10" spans="1:23" ht="15.75" customHeight="1" x14ac:dyDescent="0.4">
      <c r="A10" s="2" t="s">
        <v>38</v>
      </c>
      <c r="B10" s="2">
        <v>3</v>
      </c>
      <c r="C10" s="3"/>
      <c r="D10" s="2"/>
      <c r="E10" s="2"/>
      <c r="F10" s="2"/>
      <c r="G10" s="2"/>
      <c r="H10" s="2"/>
      <c r="I10" s="2">
        <v>68.155199999999994</v>
      </c>
      <c r="J10" s="2">
        <v>39</v>
      </c>
      <c r="K10" s="2">
        <v>67.644900000000007</v>
      </c>
      <c r="L10" s="2">
        <v>44</v>
      </c>
      <c r="M10" s="2">
        <v>104.8258</v>
      </c>
      <c r="N10" s="2">
        <v>108</v>
      </c>
      <c r="O10" s="2">
        <v>109.3152</v>
      </c>
      <c r="P10" s="2">
        <v>50</v>
      </c>
      <c r="Q10" s="2">
        <v>91.352400000000003</v>
      </c>
      <c r="R10" s="2">
        <v>12</v>
      </c>
      <c r="S10" s="2">
        <v>88.907799999999995</v>
      </c>
      <c r="T10" s="2">
        <v>5</v>
      </c>
      <c r="U10" s="2">
        <v>0.91500199999999998</v>
      </c>
      <c r="V10" s="2">
        <v>9</v>
      </c>
      <c r="W10" s="2">
        <v>2015</v>
      </c>
    </row>
    <row r="11" spans="1:23" ht="15.75" customHeight="1" x14ac:dyDescent="0.4">
      <c r="A11" s="2" t="s">
        <v>56</v>
      </c>
      <c r="B11" s="2">
        <v>3</v>
      </c>
      <c r="C11" s="3"/>
      <c r="D11" s="3"/>
      <c r="E11" s="3"/>
      <c r="F11" s="2"/>
      <c r="G11" s="2"/>
      <c r="H11" s="2"/>
      <c r="I11" s="2">
        <v>64.113699999999994</v>
      </c>
      <c r="J11" s="2">
        <v>217</v>
      </c>
      <c r="K11" s="2">
        <v>64.128299999999996</v>
      </c>
      <c r="L11" s="2">
        <v>204</v>
      </c>
      <c r="M11" s="2">
        <v>121.2585</v>
      </c>
      <c r="N11" s="2">
        <v>1</v>
      </c>
      <c r="O11" s="2">
        <v>122.2296</v>
      </c>
      <c r="P11" s="2">
        <v>2</v>
      </c>
      <c r="Q11" s="2">
        <v>101.40730000000001</v>
      </c>
      <c r="R11" s="2">
        <v>162</v>
      </c>
      <c r="S11" s="2">
        <v>99.664900000000003</v>
      </c>
      <c r="T11" s="2">
        <v>112</v>
      </c>
      <c r="U11" s="2">
        <v>0.91269599999999995</v>
      </c>
      <c r="V11" s="2">
        <v>10</v>
      </c>
      <c r="W11" s="2">
        <v>2015</v>
      </c>
    </row>
    <row r="12" spans="1:23" ht="15.75" customHeight="1" x14ac:dyDescent="0.4">
      <c r="A12" s="2" t="s">
        <v>35</v>
      </c>
      <c r="B12" s="2">
        <v>2</v>
      </c>
      <c r="C12" s="3"/>
      <c r="D12" s="3"/>
      <c r="E12" s="3"/>
      <c r="F12" s="3"/>
      <c r="G12" s="2"/>
      <c r="H12" s="2"/>
      <c r="I12" s="2">
        <v>66.792400000000001</v>
      </c>
      <c r="J12" s="2">
        <v>82</v>
      </c>
      <c r="K12" s="2">
        <v>67.438199999999995</v>
      </c>
      <c r="L12" s="2">
        <v>55</v>
      </c>
      <c r="M12" s="2">
        <v>106.3417</v>
      </c>
      <c r="N12" s="2">
        <v>80</v>
      </c>
      <c r="O12" s="2">
        <v>110.7779</v>
      </c>
      <c r="P12" s="2">
        <v>37</v>
      </c>
      <c r="Q12" s="2">
        <v>96.674999999999997</v>
      </c>
      <c r="R12" s="2">
        <v>62</v>
      </c>
      <c r="S12" s="2">
        <v>90.479600000000005</v>
      </c>
      <c r="T12" s="2">
        <v>7</v>
      </c>
      <c r="U12" s="2">
        <v>0.91113900000000003</v>
      </c>
      <c r="V12" s="2">
        <v>11</v>
      </c>
      <c r="W12" s="2">
        <v>2015</v>
      </c>
    </row>
    <row r="13" spans="1:23" ht="15.75" customHeight="1" x14ac:dyDescent="0.4">
      <c r="A13" s="2" t="s">
        <v>216</v>
      </c>
      <c r="B13" s="2">
        <v>5</v>
      </c>
      <c r="C13" s="2"/>
      <c r="D13" s="2"/>
      <c r="E13" s="2"/>
      <c r="F13" s="2"/>
      <c r="G13" s="2"/>
      <c r="H13" s="2"/>
      <c r="I13" s="2">
        <v>57.4039</v>
      </c>
      <c r="J13" s="2">
        <v>350</v>
      </c>
      <c r="K13" s="2">
        <v>58.500599999999999</v>
      </c>
      <c r="L13" s="2">
        <v>348</v>
      </c>
      <c r="M13" s="2">
        <v>112.49720000000001</v>
      </c>
      <c r="N13" s="2">
        <v>22</v>
      </c>
      <c r="O13" s="2">
        <v>113.78660000000001</v>
      </c>
      <c r="P13" s="2">
        <v>15</v>
      </c>
      <c r="Q13" s="2">
        <v>92.710700000000003</v>
      </c>
      <c r="R13" s="2">
        <v>16</v>
      </c>
      <c r="S13" s="2">
        <v>93.2423</v>
      </c>
      <c r="T13" s="2">
        <v>16</v>
      </c>
      <c r="U13" s="2">
        <v>0.90803800000000001</v>
      </c>
      <c r="V13" s="2">
        <v>12</v>
      </c>
      <c r="W13" s="2">
        <v>2015</v>
      </c>
    </row>
    <row r="14" spans="1:23" ht="15.75" customHeight="1" x14ac:dyDescent="0.4">
      <c r="A14" s="2" t="s">
        <v>146</v>
      </c>
      <c r="B14" s="2">
        <v>3</v>
      </c>
      <c r="C14" s="3"/>
      <c r="D14" s="3"/>
      <c r="E14" s="2"/>
      <c r="F14" s="2"/>
      <c r="G14" s="2"/>
      <c r="H14" s="2"/>
      <c r="I14" s="2">
        <v>69.847700000000003</v>
      </c>
      <c r="J14" s="2">
        <v>12</v>
      </c>
      <c r="K14" s="2">
        <v>69.557900000000004</v>
      </c>
      <c r="L14" s="2">
        <v>15</v>
      </c>
      <c r="M14" s="2">
        <v>112.19499999999999</v>
      </c>
      <c r="N14" s="2">
        <v>23</v>
      </c>
      <c r="O14" s="2">
        <v>118.86069999999999</v>
      </c>
      <c r="P14" s="2">
        <v>7</v>
      </c>
      <c r="Q14" s="2">
        <v>99.106899999999996</v>
      </c>
      <c r="R14" s="2">
        <v>106</v>
      </c>
      <c r="S14" s="2">
        <v>97.734999999999999</v>
      </c>
      <c r="T14" s="2">
        <v>82</v>
      </c>
      <c r="U14" s="2">
        <v>0.90469100000000002</v>
      </c>
      <c r="V14" s="2">
        <v>13</v>
      </c>
      <c r="W14" s="2">
        <v>2015</v>
      </c>
    </row>
    <row r="15" spans="1:23" ht="15.75" customHeight="1" x14ac:dyDescent="0.4">
      <c r="A15" s="2" t="s">
        <v>192</v>
      </c>
      <c r="B15" s="2">
        <v>7</v>
      </c>
      <c r="C15" s="3"/>
      <c r="D15" s="3"/>
      <c r="E15" s="3"/>
      <c r="F15" s="2"/>
      <c r="G15" s="2"/>
      <c r="H15" s="2"/>
      <c r="I15" s="2">
        <v>60.910600000000002</v>
      </c>
      <c r="J15" s="2">
        <v>330</v>
      </c>
      <c r="K15" s="2">
        <v>62.147199999999998</v>
      </c>
      <c r="L15" s="2">
        <v>298</v>
      </c>
      <c r="M15" s="2">
        <v>111.9834</v>
      </c>
      <c r="N15" s="2">
        <v>24</v>
      </c>
      <c r="O15" s="2">
        <v>112.9808</v>
      </c>
      <c r="P15" s="2">
        <v>20</v>
      </c>
      <c r="Q15" s="2">
        <v>90.987099999999998</v>
      </c>
      <c r="R15" s="2">
        <v>8</v>
      </c>
      <c r="S15" s="2">
        <v>92.925399999999996</v>
      </c>
      <c r="T15" s="2">
        <v>15</v>
      </c>
      <c r="U15" s="2">
        <v>0.90442100000000003</v>
      </c>
      <c r="V15" s="2">
        <v>14</v>
      </c>
      <c r="W15" s="2">
        <v>2015</v>
      </c>
    </row>
    <row r="16" spans="1:23" ht="15.75" customHeight="1" x14ac:dyDescent="0.4">
      <c r="A16" s="2" t="s">
        <v>158</v>
      </c>
      <c r="B16" s="2">
        <v>3</v>
      </c>
      <c r="C16" s="3"/>
      <c r="D16" s="2"/>
      <c r="E16" s="2"/>
      <c r="F16" s="2"/>
      <c r="G16" s="2"/>
      <c r="H16" s="2"/>
      <c r="I16" s="2">
        <v>62.660200000000003</v>
      </c>
      <c r="J16" s="2">
        <v>286</v>
      </c>
      <c r="K16" s="2">
        <v>62.177300000000002</v>
      </c>
      <c r="L16" s="2">
        <v>296</v>
      </c>
      <c r="M16" s="2">
        <v>109.56440000000001</v>
      </c>
      <c r="N16" s="2">
        <v>38</v>
      </c>
      <c r="O16" s="2">
        <v>114.8484</v>
      </c>
      <c r="P16" s="2">
        <v>13</v>
      </c>
      <c r="Q16" s="2">
        <v>95.708500000000001</v>
      </c>
      <c r="R16" s="2">
        <v>41</v>
      </c>
      <c r="S16" s="2">
        <v>94.519000000000005</v>
      </c>
      <c r="T16" s="2">
        <v>33</v>
      </c>
      <c r="U16" s="2">
        <v>0.90381299999999998</v>
      </c>
      <c r="V16" s="2">
        <v>15</v>
      </c>
      <c r="W16" s="2">
        <v>2015</v>
      </c>
    </row>
    <row r="17" spans="1:23" ht="15.75" customHeight="1" x14ac:dyDescent="0.4">
      <c r="A17" s="2" t="s">
        <v>168</v>
      </c>
      <c r="B17" s="2">
        <v>4</v>
      </c>
      <c r="C17" s="3"/>
      <c r="D17" s="3"/>
      <c r="E17" s="2"/>
      <c r="F17" s="2"/>
      <c r="G17" s="2"/>
      <c r="H17" s="2"/>
      <c r="I17" s="2">
        <v>69.453699999999998</v>
      </c>
      <c r="J17" s="2">
        <v>15</v>
      </c>
      <c r="K17" s="2">
        <v>69.958100000000002</v>
      </c>
      <c r="L17" s="2">
        <v>10</v>
      </c>
      <c r="M17" s="2">
        <v>111.20740000000001</v>
      </c>
      <c r="N17" s="2">
        <v>27</v>
      </c>
      <c r="O17" s="2">
        <v>115.2564</v>
      </c>
      <c r="P17" s="2">
        <v>12</v>
      </c>
      <c r="Q17" s="2">
        <v>98.121600000000001</v>
      </c>
      <c r="R17" s="2">
        <v>87</v>
      </c>
      <c r="S17" s="2">
        <v>95.036600000000007</v>
      </c>
      <c r="T17" s="2">
        <v>45</v>
      </c>
      <c r="U17" s="2">
        <v>0.90188199999999996</v>
      </c>
      <c r="V17" s="2">
        <v>16</v>
      </c>
      <c r="W17" s="2">
        <v>2015</v>
      </c>
    </row>
    <row r="18" spans="1:23" ht="15.75" customHeight="1" x14ac:dyDescent="0.4">
      <c r="A18" s="2" t="s">
        <v>58</v>
      </c>
      <c r="B18" s="2">
        <v>7</v>
      </c>
      <c r="C18" s="3"/>
      <c r="D18" s="3"/>
      <c r="E18" s="3"/>
      <c r="F18" s="3"/>
      <c r="G18" s="3"/>
      <c r="H18" s="2"/>
      <c r="I18" s="2">
        <v>63.132599999999996</v>
      </c>
      <c r="J18" s="2">
        <v>267</v>
      </c>
      <c r="K18" s="2">
        <v>63.700499999999998</v>
      </c>
      <c r="L18" s="2">
        <v>235</v>
      </c>
      <c r="M18" s="2">
        <v>110.8472</v>
      </c>
      <c r="N18" s="2">
        <v>29</v>
      </c>
      <c r="O18" s="2">
        <v>114.1116</v>
      </c>
      <c r="P18" s="2">
        <v>14</v>
      </c>
      <c r="Q18" s="2">
        <v>97.901899999999998</v>
      </c>
      <c r="R18" s="2">
        <v>83</v>
      </c>
      <c r="S18" s="2">
        <v>96.071799999999996</v>
      </c>
      <c r="T18" s="2">
        <v>53</v>
      </c>
      <c r="U18" s="2">
        <v>0.87856699999999999</v>
      </c>
      <c r="V18" s="2">
        <v>17</v>
      </c>
      <c r="W18" s="2">
        <v>2015</v>
      </c>
    </row>
    <row r="19" spans="1:23" ht="15.75" customHeight="1" x14ac:dyDescent="0.4">
      <c r="A19" s="2" t="s">
        <v>86</v>
      </c>
      <c r="B19" s="2">
        <v>4</v>
      </c>
      <c r="C19" s="3"/>
      <c r="D19" s="2"/>
      <c r="E19" s="2"/>
      <c r="F19" s="2"/>
      <c r="G19" s="2"/>
      <c r="H19" s="2"/>
      <c r="I19" s="2">
        <v>66.242000000000004</v>
      </c>
      <c r="J19" s="2">
        <v>105</v>
      </c>
      <c r="K19" s="2">
        <v>65.4983</v>
      </c>
      <c r="L19" s="2">
        <v>136</v>
      </c>
      <c r="M19" s="2">
        <v>103.4782</v>
      </c>
      <c r="N19" s="2">
        <v>139</v>
      </c>
      <c r="O19" s="2">
        <v>105.8796</v>
      </c>
      <c r="P19" s="2">
        <v>95</v>
      </c>
      <c r="Q19" s="2">
        <v>89.928200000000004</v>
      </c>
      <c r="R19" s="2">
        <v>6</v>
      </c>
      <c r="S19" s="2">
        <v>89.357799999999997</v>
      </c>
      <c r="T19" s="2">
        <v>6</v>
      </c>
      <c r="U19" s="2">
        <v>0.87555799999999995</v>
      </c>
      <c r="V19" s="2">
        <v>18</v>
      </c>
      <c r="W19" s="2">
        <v>2015</v>
      </c>
    </row>
    <row r="20" spans="1:23" ht="15.75" customHeight="1" x14ac:dyDescent="0.4">
      <c r="A20" s="2" t="s">
        <v>140</v>
      </c>
      <c r="B20" s="2">
        <v>6</v>
      </c>
      <c r="C20" s="2"/>
      <c r="D20" s="2"/>
      <c r="E20" s="2"/>
      <c r="F20" s="2"/>
      <c r="G20" s="2"/>
      <c r="H20" s="2"/>
      <c r="I20" s="2">
        <v>62.933100000000003</v>
      </c>
      <c r="J20" s="2">
        <v>275</v>
      </c>
      <c r="K20" s="2">
        <v>63.799599999999998</v>
      </c>
      <c r="L20" s="2">
        <v>226</v>
      </c>
      <c r="M20" s="2">
        <v>109.9414</v>
      </c>
      <c r="N20" s="2">
        <v>33</v>
      </c>
      <c r="O20" s="2">
        <v>112.30929999999999</v>
      </c>
      <c r="P20" s="2">
        <v>24</v>
      </c>
      <c r="Q20" s="2">
        <v>94.651300000000006</v>
      </c>
      <c r="R20" s="2">
        <v>30</v>
      </c>
      <c r="S20" s="2">
        <v>94.944400000000002</v>
      </c>
      <c r="T20" s="2">
        <v>43</v>
      </c>
      <c r="U20" s="2">
        <v>0.87342600000000004</v>
      </c>
      <c r="V20" s="2">
        <v>19</v>
      </c>
      <c r="W20" s="2">
        <v>2015</v>
      </c>
    </row>
    <row r="21" spans="1:23" ht="15.75" customHeight="1" x14ac:dyDescent="0.4">
      <c r="A21" s="2" t="s">
        <v>67</v>
      </c>
      <c r="B21" s="2">
        <v>11</v>
      </c>
      <c r="C21" s="3"/>
      <c r="D21" s="2"/>
      <c r="E21" s="2"/>
      <c r="F21" s="2"/>
      <c r="G21" s="2"/>
      <c r="H21" s="2"/>
      <c r="I21" s="2">
        <v>63.084699999999998</v>
      </c>
      <c r="J21" s="2">
        <v>269</v>
      </c>
      <c r="K21" s="2">
        <v>62.279299999999999</v>
      </c>
      <c r="L21" s="2">
        <v>294</v>
      </c>
      <c r="M21" s="2">
        <v>106.4896</v>
      </c>
      <c r="N21" s="2">
        <v>77</v>
      </c>
      <c r="O21" s="2">
        <v>110.2882</v>
      </c>
      <c r="P21" s="2">
        <v>42</v>
      </c>
      <c r="Q21" s="2">
        <v>94.586500000000001</v>
      </c>
      <c r="R21" s="2">
        <v>28</v>
      </c>
      <c r="S21" s="2">
        <v>93.307100000000005</v>
      </c>
      <c r="T21" s="2">
        <v>19</v>
      </c>
      <c r="U21" s="2">
        <v>0.87245200000000001</v>
      </c>
      <c r="V21" s="2">
        <v>20</v>
      </c>
      <c r="W21" s="2">
        <v>2015</v>
      </c>
    </row>
    <row r="22" spans="1:23" ht="15.75" customHeight="1" x14ac:dyDescent="0.4">
      <c r="A22" s="2" t="s">
        <v>21</v>
      </c>
      <c r="B22" s="2">
        <v>10</v>
      </c>
      <c r="C22" s="3"/>
      <c r="D22" s="3"/>
      <c r="E22" s="2"/>
      <c r="F22" s="2"/>
      <c r="G22" s="2"/>
      <c r="H22" s="2"/>
      <c r="I22" s="2">
        <v>66.177800000000005</v>
      </c>
      <c r="J22" s="2">
        <v>108</v>
      </c>
      <c r="K22" s="2">
        <v>66.353399999999993</v>
      </c>
      <c r="L22" s="2">
        <v>96</v>
      </c>
      <c r="M22" s="2">
        <v>113.80029999999999</v>
      </c>
      <c r="N22" s="2">
        <v>14</v>
      </c>
      <c r="O22" s="2">
        <v>111.6073</v>
      </c>
      <c r="P22" s="2">
        <v>29</v>
      </c>
      <c r="Q22" s="2">
        <v>94.655000000000001</v>
      </c>
      <c r="R22" s="2">
        <v>31</v>
      </c>
      <c r="S22" s="2">
        <v>94.745500000000007</v>
      </c>
      <c r="T22" s="2">
        <v>40</v>
      </c>
      <c r="U22" s="2">
        <v>0.86802500000000005</v>
      </c>
      <c r="V22" s="2">
        <v>21</v>
      </c>
      <c r="W22" s="2">
        <v>2015</v>
      </c>
    </row>
    <row r="23" spans="1:23" ht="15.75" customHeight="1" x14ac:dyDescent="0.4">
      <c r="A23" s="2" t="s">
        <v>62</v>
      </c>
      <c r="B23" s="2">
        <v>4</v>
      </c>
      <c r="C23" s="2"/>
      <c r="D23" s="2"/>
      <c r="E23" s="2"/>
      <c r="F23" s="2"/>
      <c r="G23" s="2"/>
      <c r="H23" s="2"/>
      <c r="I23" s="2">
        <v>64.674599999999998</v>
      </c>
      <c r="J23" s="2">
        <v>180</v>
      </c>
      <c r="K23" s="2">
        <v>64.438999999999993</v>
      </c>
      <c r="L23" s="2">
        <v>187</v>
      </c>
      <c r="M23" s="2">
        <v>107.5475</v>
      </c>
      <c r="N23" s="2">
        <v>59</v>
      </c>
      <c r="O23" s="2">
        <v>110.29600000000001</v>
      </c>
      <c r="P23" s="2">
        <v>41</v>
      </c>
      <c r="Q23" s="2">
        <v>98.203100000000006</v>
      </c>
      <c r="R23" s="2">
        <v>89</v>
      </c>
      <c r="S23" s="2">
        <v>93.704999999999998</v>
      </c>
      <c r="T23" s="2">
        <v>25</v>
      </c>
      <c r="U23" s="2">
        <v>0.86699899999999996</v>
      </c>
      <c r="V23" s="2">
        <v>22</v>
      </c>
      <c r="W23" s="2">
        <v>2015</v>
      </c>
    </row>
    <row r="24" spans="1:23" ht="15.75" customHeight="1" x14ac:dyDescent="0.4">
      <c r="A24" s="2" t="s">
        <v>18</v>
      </c>
      <c r="B24" s="2">
        <v>6</v>
      </c>
      <c r="C24" s="3"/>
      <c r="D24" s="3"/>
      <c r="E24" s="2"/>
      <c r="F24" s="2"/>
      <c r="G24" s="2"/>
      <c r="H24" s="2"/>
      <c r="I24" s="2">
        <v>64.577299999999994</v>
      </c>
      <c r="J24" s="2">
        <v>190</v>
      </c>
      <c r="K24" s="2">
        <v>63.750500000000002</v>
      </c>
      <c r="L24" s="2">
        <v>231</v>
      </c>
      <c r="M24" s="2">
        <v>106.5519</v>
      </c>
      <c r="N24" s="2">
        <v>74</v>
      </c>
      <c r="O24" s="2">
        <v>107.51990000000001</v>
      </c>
      <c r="P24" s="2">
        <v>67</v>
      </c>
      <c r="Q24" s="2">
        <v>93.881299999999996</v>
      </c>
      <c r="R24" s="2">
        <v>22</v>
      </c>
      <c r="S24" s="2">
        <v>91.659199999999998</v>
      </c>
      <c r="T24" s="2">
        <v>10</v>
      </c>
      <c r="U24" s="2">
        <v>0.862402</v>
      </c>
      <c r="V24" s="2">
        <v>23</v>
      </c>
      <c r="W24" s="2">
        <v>2015</v>
      </c>
    </row>
    <row r="25" spans="1:23" ht="15.75" customHeight="1" x14ac:dyDescent="0.4">
      <c r="A25" s="2" t="s">
        <v>84</v>
      </c>
      <c r="B25" s="2">
        <v>7</v>
      </c>
      <c r="C25" s="2"/>
      <c r="D25" s="2"/>
      <c r="E25" s="2"/>
      <c r="F25" s="2"/>
      <c r="G25" s="2"/>
      <c r="H25" s="2"/>
      <c r="I25" s="2">
        <v>64.412400000000005</v>
      </c>
      <c r="J25" s="2">
        <v>196</v>
      </c>
      <c r="K25" s="2">
        <v>64.261200000000002</v>
      </c>
      <c r="L25" s="2">
        <v>198</v>
      </c>
      <c r="M25" s="2">
        <v>107.03579999999999</v>
      </c>
      <c r="N25" s="2">
        <v>66</v>
      </c>
      <c r="O25" s="2">
        <v>111.1324</v>
      </c>
      <c r="P25" s="2">
        <v>35</v>
      </c>
      <c r="Q25" s="2">
        <v>96.219399999999993</v>
      </c>
      <c r="R25" s="2">
        <v>49</v>
      </c>
      <c r="S25" s="2">
        <v>94.942499999999995</v>
      </c>
      <c r="T25" s="2">
        <v>42</v>
      </c>
      <c r="U25" s="2">
        <v>0.85944500000000001</v>
      </c>
      <c r="V25" s="2">
        <v>24</v>
      </c>
      <c r="W25" s="2">
        <v>2015</v>
      </c>
    </row>
    <row r="26" spans="1:23" ht="15.75" customHeight="1" x14ac:dyDescent="0.4">
      <c r="A26" s="2" t="s">
        <v>229</v>
      </c>
      <c r="B26" s="2">
        <v>5</v>
      </c>
      <c r="C26" s="3"/>
      <c r="D26" s="3"/>
      <c r="E26" s="3"/>
      <c r="F26" s="3"/>
      <c r="G26" s="3"/>
      <c r="H26" s="3"/>
      <c r="I26" s="2">
        <v>69.122699999999995</v>
      </c>
      <c r="J26" s="2">
        <v>21</v>
      </c>
      <c r="K26" s="2">
        <v>68.691299999999998</v>
      </c>
      <c r="L26" s="2">
        <v>26</v>
      </c>
      <c r="M26" s="2">
        <v>106.45229999999999</v>
      </c>
      <c r="N26" s="2">
        <v>78</v>
      </c>
      <c r="O26" s="2">
        <v>111.2441</v>
      </c>
      <c r="P26" s="2">
        <v>33</v>
      </c>
      <c r="Q26" s="2">
        <v>96.350499999999997</v>
      </c>
      <c r="R26" s="2">
        <v>52</v>
      </c>
      <c r="S26" s="2">
        <v>95.414500000000004</v>
      </c>
      <c r="T26" s="2">
        <v>47</v>
      </c>
      <c r="U26" s="2">
        <v>0.85385999999999995</v>
      </c>
      <c r="V26" s="2">
        <v>25</v>
      </c>
      <c r="W26" s="2">
        <v>2015</v>
      </c>
    </row>
    <row r="27" spans="1:23" ht="15.75" customHeight="1" x14ac:dyDescent="0.4">
      <c r="A27" s="2" t="s">
        <v>50</v>
      </c>
      <c r="B27" s="2">
        <v>6</v>
      </c>
      <c r="C27" s="3"/>
      <c r="D27" s="2"/>
      <c r="E27" s="2"/>
      <c r="F27" s="2"/>
      <c r="G27" s="2"/>
      <c r="H27" s="2"/>
      <c r="I27" s="2">
        <v>66.031800000000004</v>
      </c>
      <c r="J27" s="2">
        <v>118</v>
      </c>
      <c r="K27" s="2">
        <v>65.672200000000004</v>
      </c>
      <c r="L27" s="2">
        <v>128</v>
      </c>
      <c r="M27" s="2">
        <v>109.35080000000001</v>
      </c>
      <c r="N27" s="2">
        <v>40</v>
      </c>
      <c r="O27" s="2">
        <v>111.88639999999999</v>
      </c>
      <c r="P27" s="2">
        <v>28</v>
      </c>
      <c r="Q27" s="2">
        <v>100.52809999999999</v>
      </c>
      <c r="R27" s="2">
        <v>135</v>
      </c>
      <c r="S27" s="2">
        <v>96.102900000000005</v>
      </c>
      <c r="T27" s="2">
        <v>55</v>
      </c>
      <c r="U27" s="2">
        <v>0.85179300000000002</v>
      </c>
      <c r="V27" s="2">
        <v>26</v>
      </c>
      <c r="W27" s="2">
        <v>2015</v>
      </c>
    </row>
    <row r="28" spans="1:23" ht="15.75" customHeight="1" x14ac:dyDescent="0.4">
      <c r="A28" s="2" t="s">
        <v>97</v>
      </c>
      <c r="B28" s="2">
        <v>8</v>
      </c>
      <c r="C28" s="2"/>
      <c r="D28" s="2"/>
      <c r="E28" s="2"/>
      <c r="F28" s="2"/>
      <c r="G28" s="2"/>
      <c r="H28" s="2"/>
      <c r="I28" s="2">
        <v>60.249400000000001</v>
      </c>
      <c r="J28" s="2">
        <v>339</v>
      </c>
      <c r="K28" s="2">
        <v>60.672400000000003</v>
      </c>
      <c r="L28" s="2">
        <v>334</v>
      </c>
      <c r="M28" s="2">
        <v>100.6559</v>
      </c>
      <c r="N28" s="2">
        <v>206</v>
      </c>
      <c r="O28" s="2">
        <v>102.4036</v>
      </c>
      <c r="P28" s="2">
        <v>161</v>
      </c>
      <c r="Q28" s="2">
        <v>87.338099999999997</v>
      </c>
      <c r="R28" s="2">
        <v>3</v>
      </c>
      <c r="S28" s="2">
        <v>88.254499999999993</v>
      </c>
      <c r="T28" s="2">
        <v>4</v>
      </c>
      <c r="U28" s="2">
        <v>0.84683799999999998</v>
      </c>
      <c r="V28" s="2">
        <v>27</v>
      </c>
      <c r="W28" s="2">
        <v>2015</v>
      </c>
    </row>
    <row r="29" spans="1:23" ht="12.3" x14ac:dyDescent="0.4">
      <c r="A29" s="2" t="s">
        <v>120</v>
      </c>
      <c r="B29" s="2">
        <v>6</v>
      </c>
      <c r="C29" s="2"/>
      <c r="D29" s="2"/>
      <c r="E29" s="2"/>
      <c r="F29" s="2"/>
      <c r="G29" s="2"/>
      <c r="H29" s="2"/>
      <c r="I29" s="2">
        <v>65.701300000000003</v>
      </c>
      <c r="J29" s="2">
        <v>131</v>
      </c>
      <c r="K29" s="2">
        <v>65.740300000000005</v>
      </c>
      <c r="L29" s="2">
        <v>125</v>
      </c>
      <c r="M29" s="2">
        <v>106.0313</v>
      </c>
      <c r="N29" s="2">
        <v>85</v>
      </c>
      <c r="O29" s="2">
        <v>110.7193</v>
      </c>
      <c r="P29" s="2">
        <v>38</v>
      </c>
      <c r="Q29" s="2">
        <v>99.275999999999996</v>
      </c>
      <c r="R29" s="2">
        <v>112</v>
      </c>
      <c r="S29" s="2">
        <v>95.485200000000006</v>
      </c>
      <c r="T29" s="2">
        <v>48</v>
      </c>
      <c r="U29" s="2">
        <v>0.84583600000000003</v>
      </c>
      <c r="V29" s="2">
        <v>28</v>
      </c>
      <c r="W29" s="2">
        <v>2015</v>
      </c>
    </row>
    <row r="30" spans="1:23" ht="12.3" x14ac:dyDescent="0.4">
      <c r="A30" s="2" t="s">
        <v>80</v>
      </c>
      <c r="B30" s="2">
        <v>5</v>
      </c>
      <c r="C30" s="2"/>
      <c r="D30" s="2"/>
      <c r="E30" s="2"/>
      <c r="F30" s="2"/>
      <c r="G30" s="2"/>
      <c r="H30" s="2"/>
      <c r="I30" s="2">
        <v>70.318100000000001</v>
      </c>
      <c r="J30" s="2">
        <v>10</v>
      </c>
      <c r="K30" s="2">
        <v>69.979600000000005</v>
      </c>
      <c r="L30" s="2">
        <v>9</v>
      </c>
      <c r="M30" s="2">
        <v>109.87739999999999</v>
      </c>
      <c r="N30" s="2">
        <v>36</v>
      </c>
      <c r="O30" s="2">
        <v>112.9615</v>
      </c>
      <c r="P30" s="2">
        <v>21</v>
      </c>
      <c r="Q30" s="2">
        <v>99.305800000000005</v>
      </c>
      <c r="R30" s="2">
        <v>114</v>
      </c>
      <c r="S30" s="2">
        <v>97.691800000000001</v>
      </c>
      <c r="T30" s="2">
        <v>81</v>
      </c>
      <c r="U30" s="2">
        <v>0.84159399999999995</v>
      </c>
      <c r="V30" s="2">
        <v>29</v>
      </c>
      <c r="W30" s="2">
        <v>2015</v>
      </c>
    </row>
    <row r="31" spans="1:23" ht="12.3" x14ac:dyDescent="0.4">
      <c r="A31" s="2" t="s">
        <v>137</v>
      </c>
      <c r="B31" s="2">
        <v>7</v>
      </c>
      <c r="C31" s="3"/>
      <c r="D31" s="2"/>
      <c r="E31" s="2"/>
      <c r="F31" s="2"/>
      <c r="G31" s="2"/>
      <c r="H31" s="2"/>
      <c r="I31" s="2">
        <v>66.6751</v>
      </c>
      <c r="J31" s="2">
        <v>87</v>
      </c>
      <c r="K31" s="2">
        <v>67.088300000000004</v>
      </c>
      <c r="L31" s="2">
        <v>64</v>
      </c>
      <c r="M31" s="2">
        <v>106.5592</v>
      </c>
      <c r="N31" s="2">
        <v>73</v>
      </c>
      <c r="O31" s="2">
        <v>108.11839999999999</v>
      </c>
      <c r="P31" s="2">
        <v>61</v>
      </c>
      <c r="Q31" s="2">
        <v>96.571399999999997</v>
      </c>
      <c r="R31" s="2">
        <v>59</v>
      </c>
      <c r="S31" s="2">
        <v>93.600399999999993</v>
      </c>
      <c r="T31" s="2">
        <v>23</v>
      </c>
      <c r="U31" s="2">
        <v>0.83999800000000002</v>
      </c>
      <c r="V31" s="2">
        <v>30</v>
      </c>
      <c r="W31" s="2">
        <v>2015</v>
      </c>
    </row>
    <row r="32" spans="1:23" ht="12.3" x14ac:dyDescent="0.4">
      <c r="A32" s="2" t="s">
        <v>96</v>
      </c>
      <c r="B32" s="2">
        <v>11</v>
      </c>
      <c r="C32" s="3"/>
      <c r="D32" s="3"/>
      <c r="E32" s="2"/>
      <c r="F32" s="2"/>
      <c r="G32" s="2"/>
      <c r="H32" s="2"/>
      <c r="I32" s="2">
        <v>69.656400000000005</v>
      </c>
      <c r="J32" s="2">
        <v>14</v>
      </c>
      <c r="K32" s="2">
        <v>70.376199999999997</v>
      </c>
      <c r="L32" s="2">
        <v>6</v>
      </c>
      <c r="M32" s="2">
        <v>116.02849999999999</v>
      </c>
      <c r="N32" s="2">
        <v>7</v>
      </c>
      <c r="O32" s="2">
        <v>116.7226</v>
      </c>
      <c r="P32" s="2">
        <v>9</v>
      </c>
      <c r="Q32" s="2">
        <v>102.9773</v>
      </c>
      <c r="R32" s="2">
        <v>187</v>
      </c>
      <c r="S32" s="2">
        <v>101.07859999999999</v>
      </c>
      <c r="T32" s="2">
        <v>139</v>
      </c>
      <c r="U32" s="2">
        <v>0.83954799999999996</v>
      </c>
      <c r="V32" s="2">
        <v>31</v>
      </c>
      <c r="W32" s="2">
        <v>2015</v>
      </c>
    </row>
    <row r="33" spans="1:23" ht="12.3" x14ac:dyDescent="0.4">
      <c r="A33" s="2" t="s">
        <v>134</v>
      </c>
      <c r="B33" s="2">
        <v>10</v>
      </c>
      <c r="C33" s="2"/>
      <c r="D33" s="2"/>
      <c r="E33" s="2"/>
      <c r="F33" s="2"/>
      <c r="G33" s="2"/>
      <c r="H33" s="2"/>
      <c r="I33" s="2">
        <v>67.252700000000004</v>
      </c>
      <c r="J33" s="2">
        <v>69</v>
      </c>
      <c r="K33" s="2">
        <v>67.004800000000003</v>
      </c>
      <c r="L33" s="2">
        <v>68</v>
      </c>
      <c r="M33" s="2">
        <v>117.1584</v>
      </c>
      <c r="N33" s="2">
        <v>5</v>
      </c>
      <c r="O33" s="2">
        <v>118.4924</v>
      </c>
      <c r="P33" s="2">
        <v>8</v>
      </c>
      <c r="Q33" s="2">
        <v>102.4216</v>
      </c>
      <c r="R33" s="2">
        <v>179</v>
      </c>
      <c r="S33" s="2">
        <v>103.107</v>
      </c>
      <c r="T33" s="2">
        <v>181</v>
      </c>
      <c r="U33" s="2">
        <v>0.83194000000000001</v>
      </c>
      <c r="V33" s="2">
        <v>32</v>
      </c>
      <c r="W33" s="2">
        <v>2015</v>
      </c>
    </row>
    <row r="34" spans="1:23" ht="12.3" x14ac:dyDescent="0.4">
      <c r="A34" s="2" t="s">
        <v>36</v>
      </c>
      <c r="B34" s="2">
        <v>4</v>
      </c>
      <c r="C34" s="3"/>
      <c r="D34" s="2"/>
      <c r="E34" s="2"/>
      <c r="F34" s="2"/>
      <c r="G34" s="2"/>
      <c r="H34" s="2"/>
      <c r="I34" s="2">
        <v>64.756799999999998</v>
      </c>
      <c r="J34" s="2">
        <v>176</v>
      </c>
      <c r="K34" s="2">
        <v>64.447199999999995</v>
      </c>
      <c r="L34" s="2">
        <v>184</v>
      </c>
      <c r="M34" s="2">
        <v>106.60509999999999</v>
      </c>
      <c r="N34" s="2">
        <v>70</v>
      </c>
      <c r="O34" s="2">
        <v>108.5398</v>
      </c>
      <c r="P34" s="2">
        <v>56</v>
      </c>
      <c r="Q34" s="2">
        <v>97.330200000000005</v>
      </c>
      <c r="R34" s="2">
        <v>74</v>
      </c>
      <c r="S34" s="2">
        <v>94.622900000000001</v>
      </c>
      <c r="T34" s="2">
        <v>36</v>
      </c>
      <c r="U34" s="2">
        <v>0.82892100000000002</v>
      </c>
      <c r="V34" s="2">
        <v>33</v>
      </c>
      <c r="W34" s="2">
        <v>2015</v>
      </c>
    </row>
    <row r="35" spans="1:23" ht="12.3" x14ac:dyDescent="0.4">
      <c r="A35" s="2" t="s">
        <v>34</v>
      </c>
      <c r="B35" s="2">
        <v>8</v>
      </c>
      <c r="C35" s="3"/>
      <c r="D35" s="2"/>
      <c r="E35" s="2"/>
      <c r="F35" s="2"/>
      <c r="G35" s="2"/>
      <c r="H35" s="2"/>
      <c r="I35" s="2">
        <v>59.401299999999999</v>
      </c>
      <c r="J35" s="2">
        <v>343</v>
      </c>
      <c r="K35" s="2">
        <v>59.9908</v>
      </c>
      <c r="L35" s="2">
        <v>341</v>
      </c>
      <c r="M35" s="2">
        <v>104.0583</v>
      </c>
      <c r="N35" s="2">
        <v>123</v>
      </c>
      <c r="O35" s="2">
        <v>106.6968</v>
      </c>
      <c r="P35" s="2">
        <v>76</v>
      </c>
      <c r="Q35" s="2">
        <v>92.421599999999998</v>
      </c>
      <c r="R35" s="2">
        <v>13</v>
      </c>
      <c r="S35" s="2">
        <v>93.2851</v>
      </c>
      <c r="T35" s="2">
        <v>18</v>
      </c>
      <c r="U35" s="2">
        <v>0.82416299999999998</v>
      </c>
      <c r="V35" s="2">
        <v>34</v>
      </c>
      <c r="W35" s="2">
        <v>2015</v>
      </c>
    </row>
    <row r="36" spans="1:23" ht="12.3" x14ac:dyDescent="0.4">
      <c r="A36" s="2" t="s">
        <v>282</v>
      </c>
      <c r="B36" s="2">
        <v>12</v>
      </c>
      <c r="C36" s="2"/>
      <c r="D36" s="2"/>
      <c r="E36" s="2"/>
      <c r="F36" s="2"/>
      <c r="G36" s="2"/>
      <c r="H36" s="2"/>
      <c r="I36" s="2">
        <v>67.862300000000005</v>
      </c>
      <c r="J36" s="2">
        <v>47</v>
      </c>
      <c r="K36" s="2">
        <v>66.766599999999997</v>
      </c>
      <c r="L36" s="2">
        <v>75</v>
      </c>
      <c r="M36" s="2">
        <v>115.7403</v>
      </c>
      <c r="N36" s="2">
        <v>10</v>
      </c>
      <c r="O36" s="2">
        <v>112.9876</v>
      </c>
      <c r="P36" s="2">
        <v>19</v>
      </c>
      <c r="Q36" s="2">
        <v>96.518699999999995</v>
      </c>
      <c r="R36" s="2">
        <v>57</v>
      </c>
      <c r="S36" s="2">
        <v>99.130899999999997</v>
      </c>
      <c r="T36" s="2">
        <v>103</v>
      </c>
      <c r="U36" s="2">
        <v>0.81826299999999996</v>
      </c>
      <c r="V36" s="2">
        <v>35</v>
      </c>
      <c r="W36" s="2">
        <v>2015</v>
      </c>
    </row>
    <row r="37" spans="1:23" ht="12.3" x14ac:dyDescent="0.4">
      <c r="A37" s="2" t="s">
        <v>19</v>
      </c>
      <c r="B37" s="2">
        <v>10</v>
      </c>
      <c r="C37" s="2"/>
      <c r="D37" s="2"/>
      <c r="E37" s="2"/>
      <c r="F37" s="2"/>
      <c r="G37" s="2"/>
      <c r="H37" s="2"/>
      <c r="I37" s="2">
        <v>64.773700000000005</v>
      </c>
      <c r="J37" s="2">
        <v>173</v>
      </c>
      <c r="K37" s="2">
        <v>64.1785</v>
      </c>
      <c r="L37" s="2">
        <v>201</v>
      </c>
      <c r="M37" s="2">
        <v>103.2958</v>
      </c>
      <c r="N37" s="2">
        <v>144</v>
      </c>
      <c r="O37" s="2">
        <v>107.01519999999999</v>
      </c>
      <c r="P37" s="2">
        <v>74</v>
      </c>
      <c r="Q37" s="2">
        <v>96.905600000000007</v>
      </c>
      <c r="R37" s="2">
        <v>67</v>
      </c>
      <c r="S37" s="2">
        <v>93.9191</v>
      </c>
      <c r="T37" s="2">
        <v>28</v>
      </c>
      <c r="U37" s="2">
        <v>0.81775100000000001</v>
      </c>
      <c r="V37" s="2">
        <v>36</v>
      </c>
      <c r="W37" s="2">
        <v>2015</v>
      </c>
    </row>
    <row r="38" spans="1:23" ht="12.3" x14ac:dyDescent="0.4">
      <c r="A38" s="2" t="s">
        <v>72</v>
      </c>
      <c r="B38" s="2">
        <v>9</v>
      </c>
      <c r="C38" s="3"/>
      <c r="D38" s="3"/>
      <c r="E38" s="2"/>
      <c r="F38" s="2"/>
      <c r="G38" s="2"/>
      <c r="H38" s="2"/>
      <c r="I38" s="2">
        <v>64.140100000000004</v>
      </c>
      <c r="J38" s="2">
        <v>214</v>
      </c>
      <c r="K38" s="2">
        <v>63.2804</v>
      </c>
      <c r="L38" s="2">
        <v>259</v>
      </c>
      <c r="M38" s="2">
        <v>103.2058</v>
      </c>
      <c r="N38" s="2">
        <v>146</v>
      </c>
      <c r="O38" s="2">
        <v>109.4165</v>
      </c>
      <c r="P38" s="2">
        <v>49</v>
      </c>
      <c r="Q38" s="2">
        <v>97.563699999999997</v>
      </c>
      <c r="R38" s="2">
        <v>78</v>
      </c>
      <c r="S38" s="2">
        <v>96.230599999999995</v>
      </c>
      <c r="T38" s="2">
        <v>58</v>
      </c>
      <c r="U38" s="2">
        <v>0.81408400000000003</v>
      </c>
      <c r="V38" s="2">
        <v>37</v>
      </c>
      <c r="W38" s="2">
        <v>2015</v>
      </c>
    </row>
    <row r="39" spans="1:23" ht="12.3" x14ac:dyDescent="0.4">
      <c r="A39" s="2" t="s">
        <v>55</v>
      </c>
      <c r="B39" s="2">
        <v>8</v>
      </c>
      <c r="C39" s="2"/>
      <c r="D39" s="2"/>
      <c r="E39" s="2"/>
      <c r="F39" s="2"/>
      <c r="G39" s="2"/>
      <c r="H39" s="2"/>
      <c r="I39" s="2">
        <v>64.474100000000007</v>
      </c>
      <c r="J39" s="2">
        <v>193</v>
      </c>
      <c r="K39" s="2">
        <v>64.434399999999997</v>
      </c>
      <c r="L39" s="2">
        <v>189</v>
      </c>
      <c r="M39" s="2">
        <v>108.15179999999999</v>
      </c>
      <c r="N39" s="2">
        <v>54</v>
      </c>
      <c r="O39" s="2">
        <v>111.4712</v>
      </c>
      <c r="P39" s="2">
        <v>30</v>
      </c>
      <c r="Q39" s="2">
        <v>101.0564</v>
      </c>
      <c r="R39" s="2">
        <v>148</v>
      </c>
      <c r="S39" s="2">
        <v>98.203000000000003</v>
      </c>
      <c r="T39" s="2">
        <v>89</v>
      </c>
      <c r="U39" s="2">
        <v>0.81113400000000002</v>
      </c>
      <c r="V39" s="2">
        <v>38</v>
      </c>
      <c r="W39" s="2">
        <v>2015</v>
      </c>
    </row>
    <row r="40" spans="1:23" ht="12.3" x14ac:dyDescent="0.4">
      <c r="A40" s="2" t="s">
        <v>212</v>
      </c>
      <c r="B40" s="2">
        <v>11</v>
      </c>
      <c r="C40" s="3"/>
      <c r="D40" s="2"/>
      <c r="E40" s="2"/>
      <c r="F40" s="2"/>
      <c r="G40" s="2"/>
      <c r="H40" s="2"/>
      <c r="I40" s="2">
        <v>62.3307</v>
      </c>
      <c r="J40" s="2">
        <v>295</v>
      </c>
      <c r="K40" s="2">
        <v>63.736899999999999</v>
      </c>
      <c r="L40" s="2">
        <v>232</v>
      </c>
      <c r="M40" s="2">
        <v>109.92400000000001</v>
      </c>
      <c r="N40" s="2">
        <v>34</v>
      </c>
      <c r="O40" s="2">
        <v>109.42149999999999</v>
      </c>
      <c r="P40" s="2">
        <v>48</v>
      </c>
      <c r="Q40" s="2">
        <v>95.963899999999995</v>
      </c>
      <c r="R40" s="2">
        <v>45</v>
      </c>
      <c r="S40" s="2">
        <v>96.506699999999995</v>
      </c>
      <c r="T40" s="2">
        <v>64</v>
      </c>
      <c r="U40" s="2">
        <v>0.80912499999999998</v>
      </c>
      <c r="V40" s="2">
        <v>39</v>
      </c>
      <c r="W40" s="2">
        <v>2015</v>
      </c>
    </row>
    <row r="41" spans="1:23" ht="12.3" x14ac:dyDescent="0.4">
      <c r="A41" s="2" t="s">
        <v>64</v>
      </c>
      <c r="B41" s="2">
        <v>11</v>
      </c>
      <c r="C41" s="2"/>
      <c r="D41" s="2"/>
      <c r="E41" s="2"/>
      <c r="F41" s="2"/>
      <c r="G41" s="2"/>
      <c r="H41" s="2"/>
      <c r="I41" s="2">
        <v>64.366</v>
      </c>
      <c r="J41" s="2">
        <v>199</v>
      </c>
      <c r="K41" s="2">
        <v>63.979500000000002</v>
      </c>
      <c r="L41" s="2">
        <v>214</v>
      </c>
      <c r="M41" s="2">
        <v>105.5587</v>
      </c>
      <c r="N41" s="2">
        <v>93</v>
      </c>
      <c r="O41" s="2">
        <v>107.1481</v>
      </c>
      <c r="P41" s="2">
        <v>73</v>
      </c>
      <c r="Q41" s="2">
        <v>94.128699999999995</v>
      </c>
      <c r="R41" s="2">
        <v>24</v>
      </c>
      <c r="S41" s="2">
        <v>94.681200000000004</v>
      </c>
      <c r="T41" s="2">
        <v>38</v>
      </c>
      <c r="U41" s="2">
        <v>0.80573099999999998</v>
      </c>
      <c r="V41" s="2">
        <v>40</v>
      </c>
      <c r="W41" s="2">
        <v>2015</v>
      </c>
    </row>
    <row r="42" spans="1:23" ht="12.3" x14ac:dyDescent="0.4">
      <c r="A42" s="2" t="s">
        <v>65</v>
      </c>
      <c r="B42" s="2">
        <v>11</v>
      </c>
      <c r="C42" s="2"/>
      <c r="D42" s="2"/>
      <c r="E42" s="2"/>
      <c r="F42" s="2"/>
      <c r="G42" s="2"/>
      <c r="H42" s="2"/>
      <c r="I42" s="2">
        <v>67.521600000000007</v>
      </c>
      <c r="J42" s="2">
        <v>60</v>
      </c>
      <c r="K42" s="2">
        <v>66.040800000000004</v>
      </c>
      <c r="L42" s="2">
        <v>111</v>
      </c>
      <c r="M42" s="2">
        <v>105.51690000000001</v>
      </c>
      <c r="N42" s="2">
        <v>95</v>
      </c>
      <c r="O42" s="2">
        <v>110.1957</v>
      </c>
      <c r="P42" s="2">
        <v>45</v>
      </c>
      <c r="Q42" s="2">
        <v>100.3759</v>
      </c>
      <c r="R42" s="2">
        <v>132</v>
      </c>
      <c r="S42" s="2">
        <v>97.382400000000004</v>
      </c>
      <c r="T42" s="2">
        <v>76</v>
      </c>
      <c r="U42" s="2">
        <v>0.80557999999999996</v>
      </c>
      <c r="V42" s="2">
        <v>41</v>
      </c>
      <c r="W42" s="2">
        <v>2015</v>
      </c>
    </row>
    <row r="43" spans="1:23" ht="12.3" x14ac:dyDescent="0.4">
      <c r="A43" s="2" t="s">
        <v>102</v>
      </c>
      <c r="B43" s="2">
        <v>9</v>
      </c>
      <c r="C43" s="2"/>
      <c r="D43" s="2"/>
      <c r="E43" s="2"/>
      <c r="F43" s="2"/>
      <c r="G43" s="2"/>
      <c r="H43" s="2"/>
      <c r="I43" s="2">
        <v>67.391999999999996</v>
      </c>
      <c r="J43" s="2">
        <v>64</v>
      </c>
      <c r="K43" s="2">
        <v>67.1036</v>
      </c>
      <c r="L43" s="2">
        <v>61</v>
      </c>
      <c r="M43" s="2">
        <v>104.3664</v>
      </c>
      <c r="N43" s="2">
        <v>117</v>
      </c>
      <c r="O43" s="2">
        <v>108.0677</v>
      </c>
      <c r="P43" s="2">
        <v>62</v>
      </c>
      <c r="Q43" s="2">
        <v>99.385199999999998</v>
      </c>
      <c r="R43" s="2">
        <v>115</v>
      </c>
      <c r="S43" s="2">
        <v>95.694500000000005</v>
      </c>
      <c r="T43" s="2">
        <v>51</v>
      </c>
      <c r="U43" s="2">
        <v>0.801925</v>
      </c>
      <c r="V43" s="2">
        <v>42</v>
      </c>
      <c r="W43" s="2">
        <v>2015</v>
      </c>
    </row>
    <row r="44" spans="1:23" ht="12.3" x14ac:dyDescent="0.4">
      <c r="A44" s="2" t="s">
        <v>85</v>
      </c>
      <c r="B44" s="2">
        <v>9</v>
      </c>
      <c r="C44" s="2"/>
      <c r="D44" s="2"/>
      <c r="E44" s="2"/>
      <c r="F44" s="2"/>
      <c r="G44" s="2"/>
      <c r="H44" s="2"/>
      <c r="I44" s="2">
        <v>69.757999999999996</v>
      </c>
      <c r="J44" s="2">
        <v>13</v>
      </c>
      <c r="K44" s="2">
        <v>69.774799999999999</v>
      </c>
      <c r="L44" s="2">
        <v>13</v>
      </c>
      <c r="M44" s="2">
        <v>103.49469999999999</v>
      </c>
      <c r="N44" s="2">
        <v>138</v>
      </c>
      <c r="O44" s="2">
        <v>106.8287</v>
      </c>
      <c r="P44" s="2">
        <v>75</v>
      </c>
      <c r="Q44" s="2">
        <v>95.167500000000004</v>
      </c>
      <c r="R44" s="2">
        <v>36</v>
      </c>
      <c r="S44" s="2">
        <v>94.665899999999993</v>
      </c>
      <c r="T44" s="2">
        <v>37</v>
      </c>
      <c r="U44" s="2">
        <v>0.80059899999999995</v>
      </c>
      <c r="V44" s="2">
        <v>43</v>
      </c>
      <c r="W44" s="2">
        <v>2015</v>
      </c>
    </row>
    <row r="45" spans="1:23" ht="12.3" x14ac:dyDescent="0.4">
      <c r="A45" s="2" t="s">
        <v>51</v>
      </c>
      <c r="B45" s="2">
        <v>11</v>
      </c>
      <c r="C45" s="2"/>
      <c r="D45" s="2"/>
      <c r="E45" s="2"/>
      <c r="F45" s="2"/>
      <c r="G45" s="2"/>
      <c r="H45" s="2"/>
      <c r="I45" s="2">
        <v>66.566199999999995</v>
      </c>
      <c r="J45" s="2">
        <v>92</v>
      </c>
      <c r="K45" s="2">
        <v>66.4054</v>
      </c>
      <c r="L45" s="2">
        <v>94</v>
      </c>
      <c r="M45" s="2">
        <v>108.54</v>
      </c>
      <c r="N45" s="2">
        <v>50</v>
      </c>
      <c r="O45" s="2">
        <v>112.9358</v>
      </c>
      <c r="P45" s="2">
        <v>22</v>
      </c>
      <c r="Q45" s="2">
        <v>100.5981</v>
      </c>
      <c r="R45" s="2">
        <v>137</v>
      </c>
      <c r="S45" s="2">
        <v>100.13460000000001</v>
      </c>
      <c r="T45" s="2">
        <v>125</v>
      </c>
      <c r="U45" s="2">
        <v>0.79955399999999999</v>
      </c>
      <c r="V45" s="2">
        <v>44</v>
      </c>
      <c r="W45" s="2">
        <v>2015</v>
      </c>
    </row>
    <row r="46" spans="1:23" ht="12.3" x14ac:dyDescent="0.4">
      <c r="A46" s="2" t="s">
        <v>37</v>
      </c>
      <c r="B46" s="2"/>
      <c r="C46" s="3"/>
      <c r="D46" s="2"/>
      <c r="E46" s="2"/>
      <c r="F46" s="2"/>
      <c r="G46" s="2"/>
      <c r="H46" s="2"/>
      <c r="I46" s="2">
        <v>62.8063</v>
      </c>
      <c r="J46" s="2">
        <v>280</v>
      </c>
      <c r="K46" s="2">
        <v>62.878300000000003</v>
      </c>
      <c r="L46" s="2">
        <v>273</v>
      </c>
      <c r="M46" s="2">
        <v>101.3845</v>
      </c>
      <c r="N46" s="2">
        <v>187</v>
      </c>
      <c r="O46" s="2">
        <v>103.38549999999999</v>
      </c>
      <c r="P46" s="2">
        <v>142</v>
      </c>
      <c r="Q46" s="2">
        <v>94.7196</v>
      </c>
      <c r="R46" s="2">
        <v>32</v>
      </c>
      <c r="S46" s="2">
        <v>91.701700000000002</v>
      </c>
      <c r="T46" s="2">
        <v>11</v>
      </c>
      <c r="U46" s="2">
        <v>0.79884999999999995</v>
      </c>
      <c r="V46" s="2">
        <v>45</v>
      </c>
      <c r="W46" s="2">
        <v>2015</v>
      </c>
    </row>
    <row r="47" spans="1:23" ht="12.3" x14ac:dyDescent="0.4">
      <c r="A47" s="2" t="s">
        <v>41</v>
      </c>
      <c r="B47" s="2">
        <v>8</v>
      </c>
      <c r="C47" s="2"/>
      <c r="D47" s="2"/>
      <c r="E47" s="2"/>
      <c r="F47" s="2"/>
      <c r="G47" s="2"/>
      <c r="H47" s="2"/>
      <c r="I47" s="2">
        <v>67.776600000000002</v>
      </c>
      <c r="J47" s="2">
        <v>50</v>
      </c>
      <c r="K47" s="2">
        <v>66.543999999999997</v>
      </c>
      <c r="L47" s="2">
        <v>87</v>
      </c>
      <c r="M47" s="2">
        <v>108.9756</v>
      </c>
      <c r="N47" s="2">
        <v>44</v>
      </c>
      <c r="O47" s="2">
        <v>113.3464</v>
      </c>
      <c r="P47" s="2">
        <v>16</v>
      </c>
      <c r="Q47" s="2">
        <v>103.4173</v>
      </c>
      <c r="R47" s="2">
        <v>198</v>
      </c>
      <c r="S47" s="2">
        <v>100.6238</v>
      </c>
      <c r="T47" s="2">
        <v>134</v>
      </c>
      <c r="U47" s="2">
        <v>0.79724899999999999</v>
      </c>
      <c r="V47" s="2">
        <v>46</v>
      </c>
      <c r="W47" s="2">
        <v>2015</v>
      </c>
    </row>
    <row r="48" spans="1:23" ht="12.3" x14ac:dyDescent="0.4">
      <c r="A48" s="2" t="s">
        <v>111</v>
      </c>
      <c r="B48" s="2"/>
      <c r="C48" s="2"/>
      <c r="D48" s="2"/>
      <c r="E48" s="2"/>
      <c r="F48" s="2"/>
      <c r="G48" s="2"/>
      <c r="H48" s="2"/>
      <c r="I48" s="2">
        <v>62.686100000000003</v>
      </c>
      <c r="J48" s="2">
        <v>285</v>
      </c>
      <c r="K48" s="2">
        <v>63.442599999999999</v>
      </c>
      <c r="L48" s="2">
        <v>252</v>
      </c>
      <c r="M48" s="2">
        <v>108.7739</v>
      </c>
      <c r="N48" s="2">
        <v>46</v>
      </c>
      <c r="O48" s="2">
        <v>112.3048</v>
      </c>
      <c r="P48" s="2">
        <v>25</v>
      </c>
      <c r="Q48" s="2">
        <v>100.07250000000001</v>
      </c>
      <c r="R48" s="2">
        <v>124</v>
      </c>
      <c r="S48" s="2">
        <v>99.723500000000001</v>
      </c>
      <c r="T48" s="2">
        <v>113</v>
      </c>
      <c r="U48" s="2">
        <v>0.796794</v>
      </c>
      <c r="V48" s="2">
        <v>47</v>
      </c>
      <c r="W48" s="2">
        <v>2015</v>
      </c>
    </row>
    <row r="49" spans="1:23" ht="12.3" x14ac:dyDescent="0.4">
      <c r="A49" s="2" t="s">
        <v>52</v>
      </c>
      <c r="B49" s="2"/>
      <c r="C49" s="2"/>
      <c r="D49" s="2"/>
      <c r="E49" s="2"/>
      <c r="F49" s="2"/>
      <c r="G49" s="2"/>
      <c r="H49" s="2"/>
      <c r="I49" s="2">
        <v>65.590900000000005</v>
      </c>
      <c r="J49" s="2">
        <v>139</v>
      </c>
      <c r="K49" s="2">
        <v>65.329700000000003</v>
      </c>
      <c r="L49" s="2">
        <v>144</v>
      </c>
      <c r="M49" s="2">
        <v>108.6934</v>
      </c>
      <c r="N49" s="2">
        <v>47</v>
      </c>
      <c r="O49" s="2">
        <v>111.0924</v>
      </c>
      <c r="P49" s="2">
        <v>36</v>
      </c>
      <c r="Q49" s="2">
        <v>101.3027</v>
      </c>
      <c r="R49" s="2">
        <v>156</v>
      </c>
      <c r="S49" s="2">
        <v>99.250799999999998</v>
      </c>
      <c r="T49" s="2">
        <v>107</v>
      </c>
      <c r="U49" s="2">
        <v>0.78519300000000003</v>
      </c>
      <c r="V49" s="2">
        <v>48</v>
      </c>
      <c r="W49" s="2">
        <v>2015</v>
      </c>
    </row>
    <row r="50" spans="1:23" ht="12.3" x14ac:dyDescent="0.4">
      <c r="A50" s="2" t="s">
        <v>121</v>
      </c>
      <c r="B50" s="2">
        <v>9</v>
      </c>
      <c r="C50" s="2"/>
      <c r="D50" s="2"/>
      <c r="E50" s="2"/>
      <c r="F50" s="2"/>
      <c r="G50" s="2"/>
      <c r="H50" s="2"/>
      <c r="I50" s="2">
        <v>65.047399999999996</v>
      </c>
      <c r="J50" s="2">
        <v>159</v>
      </c>
      <c r="K50" s="2">
        <v>64.540499999999994</v>
      </c>
      <c r="L50" s="2">
        <v>180</v>
      </c>
      <c r="M50" s="2">
        <v>106.5732</v>
      </c>
      <c r="N50" s="2">
        <v>71</v>
      </c>
      <c r="O50" s="2">
        <v>108.4853</v>
      </c>
      <c r="P50" s="2">
        <v>57</v>
      </c>
      <c r="Q50" s="2">
        <v>98.530299999999997</v>
      </c>
      <c r="R50" s="2">
        <v>95</v>
      </c>
      <c r="S50" s="2">
        <v>97.056399999999996</v>
      </c>
      <c r="T50" s="2">
        <v>69</v>
      </c>
      <c r="U50" s="2">
        <v>0.78248499999999999</v>
      </c>
      <c r="V50" s="2">
        <v>49</v>
      </c>
      <c r="W50" s="2">
        <v>2015</v>
      </c>
    </row>
    <row r="51" spans="1:23" ht="12.3" x14ac:dyDescent="0.4">
      <c r="A51" s="2" t="s">
        <v>248</v>
      </c>
      <c r="B51" s="2"/>
      <c r="C51" s="2"/>
      <c r="D51" s="2"/>
      <c r="E51" s="2"/>
      <c r="F51" s="2"/>
      <c r="G51" s="2"/>
      <c r="H51" s="2"/>
      <c r="I51" s="2">
        <v>64.2</v>
      </c>
      <c r="J51" s="2">
        <v>210</v>
      </c>
      <c r="K51" s="2">
        <v>63.987400000000001</v>
      </c>
      <c r="L51" s="2">
        <v>213</v>
      </c>
      <c r="M51" s="2">
        <v>104.0296</v>
      </c>
      <c r="N51" s="2">
        <v>125</v>
      </c>
      <c r="O51" s="2">
        <v>105.8927</v>
      </c>
      <c r="P51" s="2">
        <v>94</v>
      </c>
      <c r="Q51" s="2">
        <v>96.528499999999994</v>
      </c>
      <c r="R51" s="2">
        <v>58</v>
      </c>
      <c r="S51" s="2">
        <v>94.817599999999999</v>
      </c>
      <c r="T51" s="2">
        <v>41</v>
      </c>
      <c r="U51" s="2">
        <v>0.78081500000000004</v>
      </c>
      <c r="V51" s="2">
        <v>50</v>
      </c>
      <c r="W51" s="2">
        <v>2015</v>
      </c>
    </row>
    <row r="52" spans="1:23" ht="12.3" x14ac:dyDescent="0.4">
      <c r="A52" s="2" t="s">
        <v>100</v>
      </c>
      <c r="B52" s="2"/>
      <c r="C52" s="2"/>
      <c r="D52" s="2"/>
      <c r="E52" s="2"/>
      <c r="F52" s="2"/>
      <c r="G52" s="2"/>
      <c r="H52" s="2"/>
      <c r="I52" s="2">
        <v>61.409500000000001</v>
      </c>
      <c r="J52" s="2">
        <v>318</v>
      </c>
      <c r="K52" s="2">
        <v>61.720599999999997</v>
      </c>
      <c r="L52" s="2">
        <v>311</v>
      </c>
      <c r="M52" s="2">
        <v>104.7623</v>
      </c>
      <c r="N52" s="2">
        <v>111</v>
      </c>
      <c r="O52" s="2">
        <v>106.01390000000001</v>
      </c>
      <c r="P52" s="2">
        <v>89</v>
      </c>
      <c r="Q52" s="2">
        <v>96.719200000000001</v>
      </c>
      <c r="R52" s="2">
        <v>63</v>
      </c>
      <c r="S52" s="2">
        <v>94.947100000000006</v>
      </c>
      <c r="T52" s="2">
        <v>44</v>
      </c>
      <c r="U52" s="2">
        <v>0.78037999999999996</v>
      </c>
      <c r="V52" s="2">
        <v>51</v>
      </c>
      <c r="W52" s="2">
        <v>2015</v>
      </c>
    </row>
    <row r="53" spans="1:23" ht="12.3" x14ac:dyDescent="0.4">
      <c r="A53" s="2" t="s">
        <v>60</v>
      </c>
      <c r="B53" s="2"/>
      <c r="C53" s="2"/>
      <c r="D53" s="2"/>
      <c r="E53" s="2"/>
      <c r="F53" s="2"/>
      <c r="G53" s="2"/>
      <c r="H53" s="2"/>
      <c r="I53" s="2">
        <v>62.518900000000002</v>
      </c>
      <c r="J53" s="2">
        <v>289</v>
      </c>
      <c r="K53" s="2">
        <v>62.515999999999998</v>
      </c>
      <c r="L53" s="2">
        <v>284</v>
      </c>
      <c r="M53" s="2">
        <v>107.6332</v>
      </c>
      <c r="N53" s="2">
        <v>56</v>
      </c>
      <c r="O53" s="2">
        <v>109.23050000000001</v>
      </c>
      <c r="P53" s="2">
        <v>51</v>
      </c>
      <c r="Q53" s="2">
        <v>99.189499999999995</v>
      </c>
      <c r="R53" s="2">
        <v>107</v>
      </c>
      <c r="S53" s="2">
        <v>98.026499999999999</v>
      </c>
      <c r="T53" s="2">
        <v>88</v>
      </c>
      <c r="U53" s="2">
        <v>0.77635600000000005</v>
      </c>
      <c r="V53" s="2">
        <v>52</v>
      </c>
      <c r="W53" s="2">
        <v>2015</v>
      </c>
    </row>
    <row r="54" spans="1:23" ht="12.3" x14ac:dyDescent="0.4">
      <c r="A54" s="2" t="s">
        <v>40</v>
      </c>
      <c r="B54" s="2">
        <v>10</v>
      </c>
      <c r="C54" s="3"/>
      <c r="D54" s="3"/>
      <c r="E54" s="3"/>
      <c r="F54" s="2"/>
      <c r="G54" s="2"/>
      <c r="H54" s="2"/>
      <c r="I54" s="2">
        <v>66.840699999999998</v>
      </c>
      <c r="J54" s="2">
        <v>80</v>
      </c>
      <c r="K54" s="2">
        <v>66.5749</v>
      </c>
      <c r="L54" s="2">
        <v>84</v>
      </c>
      <c r="M54" s="2">
        <v>115.3436</v>
      </c>
      <c r="N54" s="2">
        <v>12</v>
      </c>
      <c r="O54" s="2">
        <v>116.60550000000001</v>
      </c>
      <c r="P54" s="2">
        <v>10</v>
      </c>
      <c r="Q54" s="2">
        <v>106.7491</v>
      </c>
      <c r="R54" s="2">
        <v>279</v>
      </c>
      <c r="S54" s="2">
        <v>104.6528</v>
      </c>
      <c r="T54" s="2">
        <v>216</v>
      </c>
      <c r="U54" s="2">
        <v>0.77620900000000004</v>
      </c>
      <c r="V54" s="2">
        <v>53</v>
      </c>
      <c r="W54" s="2">
        <v>2015</v>
      </c>
    </row>
    <row r="55" spans="1:23" ht="12.3" x14ac:dyDescent="0.4">
      <c r="A55" s="2" t="s">
        <v>213</v>
      </c>
      <c r="B55" s="2">
        <v>12</v>
      </c>
      <c r="C55" s="2"/>
      <c r="D55" s="2"/>
      <c r="E55" s="2"/>
      <c r="F55" s="2"/>
      <c r="G55" s="2"/>
      <c r="H55" s="2"/>
      <c r="I55" s="2">
        <v>68.8703</v>
      </c>
      <c r="J55" s="2">
        <v>24</v>
      </c>
      <c r="K55" s="2">
        <v>69.258899999999997</v>
      </c>
      <c r="L55" s="2">
        <v>20</v>
      </c>
      <c r="M55" s="2">
        <v>108.9585</v>
      </c>
      <c r="N55" s="2">
        <v>45</v>
      </c>
      <c r="O55" s="2">
        <v>109.75109999999999</v>
      </c>
      <c r="P55" s="2">
        <v>47</v>
      </c>
      <c r="Q55" s="2">
        <v>99.291399999999996</v>
      </c>
      <c r="R55" s="2">
        <v>113</v>
      </c>
      <c r="S55" s="2">
        <v>98.515000000000001</v>
      </c>
      <c r="T55" s="2">
        <v>94</v>
      </c>
      <c r="U55" s="2">
        <v>0.77592300000000003</v>
      </c>
      <c r="V55" s="2">
        <v>54</v>
      </c>
      <c r="W55" s="2">
        <v>2015</v>
      </c>
    </row>
    <row r="56" spans="1:23" ht="12.3" x14ac:dyDescent="0.4">
      <c r="A56" s="2" t="s">
        <v>258</v>
      </c>
      <c r="B56" s="2"/>
      <c r="C56" s="3"/>
      <c r="D56" s="2"/>
      <c r="E56" s="2"/>
      <c r="F56" s="2"/>
      <c r="G56" s="2"/>
      <c r="H56" s="2"/>
      <c r="I56" s="2">
        <v>65.533100000000005</v>
      </c>
      <c r="J56" s="2">
        <v>140</v>
      </c>
      <c r="K56" s="2">
        <v>65.833500000000001</v>
      </c>
      <c r="L56" s="2">
        <v>120</v>
      </c>
      <c r="M56" s="2">
        <v>100.7038</v>
      </c>
      <c r="N56" s="2">
        <v>203</v>
      </c>
      <c r="O56" s="2">
        <v>101.3689</v>
      </c>
      <c r="P56" s="2">
        <v>186</v>
      </c>
      <c r="Q56" s="2">
        <v>90.558000000000007</v>
      </c>
      <c r="R56" s="2">
        <v>7</v>
      </c>
      <c r="S56" s="2">
        <v>91.155000000000001</v>
      </c>
      <c r="T56" s="2">
        <v>9</v>
      </c>
      <c r="U56" s="2">
        <v>0.77230299999999996</v>
      </c>
      <c r="V56" s="2">
        <v>55</v>
      </c>
      <c r="W56" s="2">
        <v>2015</v>
      </c>
    </row>
    <row r="57" spans="1:23" ht="12.3" x14ac:dyDescent="0.4">
      <c r="A57" s="2" t="s">
        <v>88</v>
      </c>
      <c r="B57" s="2"/>
      <c r="C57" s="2"/>
      <c r="D57" s="2"/>
      <c r="E57" s="2"/>
      <c r="F57" s="2"/>
      <c r="G57" s="2"/>
      <c r="H57" s="2"/>
      <c r="I57" s="2">
        <v>65.075599999999994</v>
      </c>
      <c r="J57" s="2">
        <v>155</v>
      </c>
      <c r="K57" s="2">
        <v>65.760000000000005</v>
      </c>
      <c r="L57" s="2">
        <v>123</v>
      </c>
      <c r="M57" s="2">
        <v>99.273899999999998</v>
      </c>
      <c r="N57" s="2">
        <v>236</v>
      </c>
      <c r="O57" s="2">
        <v>101.9924</v>
      </c>
      <c r="P57" s="2">
        <v>172</v>
      </c>
      <c r="Q57" s="2">
        <v>92.648099999999999</v>
      </c>
      <c r="R57" s="2">
        <v>15</v>
      </c>
      <c r="S57" s="2">
        <v>91.746300000000005</v>
      </c>
      <c r="T57" s="2">
        <v>12</v>
      </c>
      <c r="U57" s="2">
        <v>0.77162799999999998</v>
      </c>
      <c r="V57" s="2">
        <v>56</v>
      </c>
      <c r="W57" s="2">
        <v>2015</v>
      </c>
    </row>
    <row r="58" spans="1:23" ht="12.3" x14ac:dyDescent="0.4">
      <c r="A58" s="2" t="s">
        <v>142</v>
      </c>
      <c r="B58" s="2"/>
      <c r="C58" s="2"/>
      <c r="D58" s="2"/>
      <c r="E58" s="2"/>
      <c r="F58" s="2"/>
      <c r="G58" s="2"/>
      <c r="H58" s="2"/>
      <c r="I58" s="2">
        <v>64.674300000000002</v>
      </c>
      <c r="J58" s="2">
        <v>181</v>
      </c>
      <c r="K58" s="2">
        <v>64.320700000000002</v>
      </c>
      <c r="L58" s="2">
        <v>196</v>
      </c>
      <c r="M58" s="2">
        <v>104.4496</v>
      </c>
      <c r="N58" s="2">
        <v>116</v>
      </c>
      <c r="O58" s="2">
        <v>105.9772</v>
      </c>
      <c r="P58" s="2">
        <v>91</v>
      </c>
      <c r="Q58" s="2">
        <v>95.657499999999999</v>
      </c>
      <c r="R58" s="2">
        <v>40</v>
      </c>
      <c r="S58" s="2">
        <v>95.607200000000006</v>
      </c>
      <c r="T58" s="2">
        <v>50</v>
      </c>
      <c r="U58" s="2">
        <v>0.76570499999999997</v>
      </c>
      <c r="V58" s="2">
        <v>57</v>
      </c>
      <c r="W58" s="2">
        <v>2015</v>
      </c>
    </row>
    <row r="59" spans="1:23" ht="12.3" x14ac:dyDescent="0.4">
      <c r="A59" s="2" t="s">
        <v>75</v>
      </c>
      <c r="B59" s="2"/>
      <c r="C59" s="2"/>
      <c r="D59" s="2"/>
      <c r="E59" s="2"/>
      <c r="F59" s="2"/>
      <c r="G59" s="2"/>
      <c r="H59" s="2"/>
      <c r="I59" s="2">
        <v>67.979299999999995</v>
      </c>
      <c r="J59" s="2">
        <v>44</v>
      </c>
      <c r="K59" s="2">
        <v>67.630600000000001</v>
      </c>
      <c r="L59" s="2">
        <v>46</v>
      </c>
      <c r="M59" s="2">
        <v>106.5629</v>
      </c>
      <c r="N59" s="2">
        <v>72</v>
      </c>
      <c r="O59" s="2">
        <v>110.2149</v>
      </c>
      <c r="P59" s="2">
        <v>44</v>
      </c>
      <c r="Q59" s="2">
        <v>99.699200000000005</v>
      </c>
      <c r="R59" s="2">
        <v>118</v>
      </c>
      <c r="S59" s="2">
        <v>99.758899999999997</v>
      </c>
      <c r="T59" s="2">
        <v>114</v>
      </c>
      <c r="U59" s="2">
        <v>0.75882899999999998</v>
      </c>
      <c r="V59" s="2">
        <v>58</v>
      </c>
      <c r="W59" s="2">
        <v>2015</v>
      </c>
    </row>
    <row r="60" spans="1:23" ht="12.3" x14ac:dyDescent="0.4">
      <c r="A60" s="2" t="s">
        <v>54</v>
      </c>
      <c r="B60" s="2"/>
      <c r="C60" s="3"/>
      <c r="D60" s="2"/>
      <c r="E60" s="2"/>
      <c r="F60" s="2"/>
      <c r="G60" s="2"/>
      <c r="H60" s="2"/>
      <c r="I60" s="2">
        <v>61.758699999999997</v>
      </c>
      <c r="J60" s="2">
        <v>311</v>
      </c>
      <c r="K60" s="2">
        <v>61.917200000000001</v>
      </c>
      <c r="L60" s="2">
        <v>303</v>
      </c>
      <c r="M60" s="2">
        <v>103.6451</v>
      </c>
      <c r="N60" s="2">
        <v>134</v>
      </c>
      <c r="O60" s="2">
        <v>105.9499</v>
      </c>
      <c r="P60" s="2">
        <v>92</v>
      </c>
      <c r="Q60" s="2">
        <v>96.214100000000002</v>
      </c>
      <c r="R60" s="2">
        <v>48</v>
      </c>
      <c r="S60" s="2">
        <v>96.102900000000005</v>
      </c>
      <c r="T60" s="2">
        <v>54</v>
      </c>
      <c r="U60" s="2">
        <v>0.75431999999999999</v>
      </c>
      <c r="V60" s="2">
        <v>59</v>
      </c>
      <c r="W60" s="2">
        <v>2015</v>
      </c>
    </row>
    <row r="61" spans="1:23" ht="12.3" x14ac:dyDescent="0.4">
      <c r="A61" s="2" t="s">
        <v>164</v>
      </c>
      <c r="B61" s="2"/>
      <c r="C61" s="2"/>
      <c r="D61" s="2"/>
      <c r="E61" s="2"/>
      <c r="F61" s="2"/>
      <c r="G61" s="2"/>
      <c r="H61" s="2"/>
      <c r="I61" s="2">
        <v>63.791400000000003</v>
      </c>
      <c r="J61" s="2">
        <v>240</v>
      </c>
      <c r="K61" s="2">
        <v>65.028300000000002</v>
      </c>
      <c r="L61" s="2">
        <v>154</v>
      </c>
      <c r="M61" s="2">
        <v>104.9824</v>
      </c>
      <c r="N61" s="2">
        <v>101</v>
      </c>
      <c r="O61" s="2">
        <v>106.33969999999999</v>
      </c>
      <c r="P61" s="2">
        <v>83</v>
      </c>
      <c r="Q61" s="2">
        <v>97.115200000000002</v>
      </c>
      <c r="R61" s="2">
        <v>72</v>
      </c>
      <c r="S61" s="2">
        <v>96.474000000000004</v>
      </c>
      <c r="T61" s="2">
        <v>63</v>
      </c>
      <c r="U61" s="2">
        <v>0.75393200000000005</v>
      </c>
      <c r="V61" s="2">
        <v>60</v>
      </c>
      <c r="W61" s="2">
        <v>2015</v>
      </c>
    </row>
    <row r="62" spans="1:23" ht="12.3" x14ac:dyDescent="0.4">
      <c r="A62" s="2" t="s">
        <v>49</v>
      </c>
      <c r="B62" s="2"/>
      <c r="C62" s="2"/>
      <c r="D62" s="2"/>
      <c r="E62" s="2"/>
      <c r="F62" s="2"/>
      <c r="G62" s="2"/>
      <c r="H62" s="2"/>
      <c r="I62" s="2">
        <v>62.840899999999998</v>
      </c>
      <c r="J62" s="2">
        <v>279</v>
      </c>
      <c r="K62" s="2">
        <v>62.148200000000003</v>
      </c>
      <c r="L62" s="2">
        <v>297</v>
      </c>
      <c r="M62" s="2">
        <v>104.92230000000001</v>
      </c>
      <c r="N62" s="2">
        <v>103</v>
      </c>
      <c r="O62" s="2">
        <v>108.2912</v>
      </c>
      <c r="P62" s="2">
        <v>60</v>
      </c>
      <c r="Q62" s="2">
        <v>101.6914</v>
      </c>
      <c r="R62" s="2">
        <v>164</v>
      </c>
      <c r="S62" s="2">
        <v>98.311300000000003</v>
      </c>
      <c r="T62" s="2">
        <v>93</v>
      </c>
      <c r="U62" s="2">
        <v>0.75247900000000001</v>
      </c>
      <c r="V62" s="2">
        <v>61</v>
      </c>
      <c r="W62" s="2">
        <v>2015</v>
      </c>
    </row>
    <row r="63" spans="1:23" ht="12.3" x14ac:dyDescent="0.4">
      <c r="A63" s="2" t="s">
        <v>23</v>
      </c>
      <c r="B63" s="2"/>
      <c r="C63" s="2"/>
      <c r="D63" s="2"/>
      <c r="E63" s="2"/>
      <c r="F63" s="2"/>
      <c r="G63" s="2"/>
      <c r="H63" s="2"/>
      <c r="I63" s="2">
        <v>66.059200000000004</v>
      </c>
      <c r="J63" s="2">
        <v>115</v>
      </c>
      <c r="K63" s="2">
        <v>66.563699999999997</v>
      </c>
      <c r="L63" s="2">
        <v>85</v>
      </c>
      <c r="M63" s="2">
        <v>101.3741</v>
      </c>
      <c r="N63" s="2">
        <v>188</v>
      </c>
      <c r="O63" s="2">
        <v>103.0368</v>
      </c>
      <c r="P63" s="2">
        <v>147</v>
      </c>
      <c r="Q63" s="2">
        <v>95.037300000000002</v>
      </c>
      <c r="R63" s="2">
        <v>34</v>
      </c>
      <c r="S63" s="2">
        <v>93.6083</v>
      </c>
      <c r="T63" s="2">
        <v>24</v>
      </c>
      <c r="U63" s="2">
        <v>0.75093699999999997</v>
      </c>
      <c r="V63" s="2">
        <v>62</v>
      </c>
      <c r="W63" s="2">
        <v>2015</v>
      </c>
    </row>
    <row r="64" spans="1:23" ht="12.3" x14ac:dyDescent="0.4">
      <c r="A64" s="2" t="s">
        <v>74</v>
      </c>
      <c r="B64" s="2">
        <v>13</v>
      </c>
      <c r="C64" s="2"/>
      <c r="D64" s="2"/>
      <c r="E64" s="2"/>
      <c r="F64" s="2"/>
      <c r="G64" s="2"/>
      <c r="H64" s="2"/>
      <c r="I64" s="2">
        <v>63.183</v>
      </c>
      <c r="J64" s="2">
        <v>264</v>
      </c>
      <c r="K64" s="2">
        <v>62.755800000000001</v>
      </c>
      <c r="L64" s="2">
        <v>275</v>
      </c>
      <c r="M64" s="2">
        <v>107.5521</v>
      </c>
      <c r="N64" s="2">
        <v>58</v>
      </c>
      <c r="O64" s="2">
        <v>103.7859</v>
      </c>
      <c r="P64" s="2">
        <v>129</v>
      </c>
      <c r="Q64" s="2">
        <v>93.935900000000004</v>
      </c>
      <c r="R64" s="2">
        <v>23</v>
      </c>
      <c r="S64" s="2">
        <v>94.3339</v>
      </c>
      <c r="T64" s="2">
        <v>31</v>
      </c>
      <c r="U64" s="2">
        <v>0.74990999999999997</v>
      </c>
      <c r="V64" s="2">
        <v>63</v>
      </c>
      <c r="W64" s="2">
        <v>2015</v>
      </c>
    </row>
    <row r="65" spans="1:23" ht="12.3" x14ac:dyDescent="0.4">
      <c r="A65" s="2" t="s">
        <v>190</v>
      </c>
      <c r="B65" s="2"/>
      <c r="C65" s="2"/>
      <c r="D65" s="2"/>
      <c r="E65" s="2"/>
      <c r="F65" s="2"/>
      <c r="G65" s="2"/>
      <c r="H65" s="2"/>
      <c r="I65" s="2">
        <v>61.014699999999998</v>
      </c>
      <c r="J65" s="2">
        <v>327</v>
      </c>
      <c r="K65" s="2">
        <v>60.412999999999997</v>
      </c>
      <c r="L65" s="2">
        <v>338</v>
      </c>
      <c r="M65" s="2">
        <v>106.5012</v>
      </c>
      <c r="N65" s="2">
        <v>75</v>
      </c>
      <c r="O65" s="2">
        <v>105.0117</v>
      </c>
      <c r="P65" s="2">
        <v>108</v>
      </c>
      <c r="Q65" s="2">
        <v>92.589100000000002</v>
      </c>
      <c r="R65" s="2">
        <v>14</v>
      </c>
      <c r="S65" s="2">
        <v>95.563599999999994</v>
      </c>
      <c r="T65" s="2">
        <v>49</v>
      </c>
      <c r="U65" s="2">
        <v>0.74729000000000001</v>
      </c>
      <c r="V65" s="2">
        <v>64</v>
      </c>
      <c r="W65" s="2">
        <v>2015</v>
      </c>
    </row>
    <row r="66" spans="1:23" ht="12.3" x14ac:dyDescent="0.4">
      <c r="A66" s="2" t="s">
        <v>44</v>
      </c>
      <c r="B66" s="2"/>
      <c r="C66" s="2"/>
      <c r="D66" s="2"/>
      <c r="E66" s="2"/>
      <c r="F66" s="2"/>
      <c r="G66" s="2"/>
      <c r="H66" s="2"/>
      <c r="I66" s="2">
        <v>65.145399999999995</v>
      </c>
      <c r="J66" s="2">
        <v>152</v>
      </c>
      <c r="K66" s="2">
        <v>65.150899999999993</v>
      </c>
      <c r="L66" s="2">
        <v>151</v>
      </c>
      <c r="M66" s="2">
        <v>105.23569999999999</v>
      </c>
      <c r="N66" s="2">
        <v>98</v>
      </c>
      <c r="O66" s="2">
        <v>104.0244</v>
      </c>
      <c r="P66" s="2">
        <v>122</v>
      </c>
      <c r="Q66" s="2">
        <v>96.927800000000005</v>
      </c>
      <c r="R66" s="2">
        <v>68</v>
      </c>
      <c r="S66" s="2">
        <v>94.691599999999994</v>
      </c>
      <c r="T66" s="2">
        <v>39</v>
      </c>
      <c r="U66" s="2">
        <v>0.74668299999999999</v>
      </c>
      <c r="V66" s="2">
        <v>65</v>
      </c>
      <c r="W66" s="2">
        <v>2015</v>
      </c>
    </row>
    <row r="67" spans="1:23" ht="12.3" x14ac:dyDescent="0.4">
      <c r="A67" s="2" t="s">
        <v>262</v>
      </c>
      <c r="B67" s="2"/>
      <c r="C67" s="2"/>
      <c r="D67" s="2"/>
      <c r="E67" s="2"/>
      <c r="F67" s="2"/>
      <c r="G67" s="2"/>
      <c r="H67" s="2"/>
      <c r="I67" s="2">
        <v>62.175199999999997</v>
      </c>
      <c r="J67" s="2">
        <v>299</v>
      </c>
      <c r="K67" s="2">
        <v>62.5505</v>
      </c>
      <c r="L67" s="2">
        <v>281</v>
      </c>
      <c r="M67" s="2">
        <v>109.16249999999999</v>
      </c>
      <c r="N67" s="2">
        <v>42</v>
      </c>
      <c r="O67" s="2">
        <v>108.5664</v>
      </c>
      <c r="P67" s="2">
        <v>55</v>
      </c>
      <c r="Q67" s="2">
        <v>100.6049</v>
      </c>
      <c r="R67" s="2">
        <v>138</v>
      </c>
      <c r="S67" s="2">
        <v>98.965000000000003</v>
      </c>
      <c r="T67" s="2">
        <v>99</v>
      </c>
      <c r="U67" s="2">
        <v>0.74361699999999997</v>
      </c>
      <c r="V67" s="2">
        <v>66</v>
      </c>
      <c r="W67" s="2">
        <v>2015</v>
      </c>
    </row>
    <row r="68" spans="1:23" ht="12.3" x14ac:dyDescent="0.4">
      <c r="A68" s="2" t="s">
        <v>17</v>
      </c>
      <c r="B68" s="2"/>
      <c r="C68" s="2"/>
      <c r="D68" s="2"/>
      <c r="E68" s="2"/>
      <c r="F68" s="2"/>
      <c r="G68" s="2"/>
      <c r="H68" s="2"/>
      <c r="I68" s="2">
        <v>65.131200000000007</v>
      </c>
      <c r="J68" s="2">
        <v>153</v>
      </c>
      <c r="K68" s="2">
        <v>64.378600000000006</v>
      </c>
      <c r="L68" s="2">
        <v>192</v>
      </c>
      <c r="M68" s="2">
        <v>99.167199999999994</v>
      </c>
      <c r="N68" s="2">
        <v>240</v>
      </c>
      <c r="O68" s="2">
        <v>102.9397</v>
      </c>
      <c r="P68" s="2">
        <v>149</v>
      </c>
      <c r="Q68" s="2">
        <v>96.281099999999995</v>
      </c>
      <c r="R68" s="2">
        <v>51</v>
      </c>
      <c r="S68" s="2">
        <v>93.880899999999997</v>
      </c>
      <c r="T68" s="2">
        <v>27</v>
      </c>
      <c r="U68" s="2">
        <v>0.74256500000000003</v>
      </c>
      <c r="V68" s="2">
        <v>67</v>
      </c>
      <c r="W68" s="2">
        <v>2015</v>
      </c>
    </row>
    <row r="69" spans="1:23" ht="12.3" x14ac:dyDescent="0.4">
      <c r="A69" s="2" t="s">
        <v>157</v>
      </c>
      <c r="B69" s="2"/>
      <c r="C69" s="2"/>
      <c r="D69" s="2"/>
      <c r="E69" s="2"/>
      <c r="F69" s="2"/>
      <c r="G69" s="2"/>
      <c r="H69" s="2"/>
      <c r="I69" s="2">
        <v>64.941800000000001</v>
      </c>
      <c r="J69" s="2">
        <v>163</v>
      </c>
      <c r="K69" s="2">
        <v>66.905199999999994</v>
      </c>
      <c r="L69" s="2">
        <v>73</v>
      </c>
      <c r="M69" s="2">
        <v>109.8995</v>
      </c>
      <c r="N69" s="2">
        <v>35</v>
      </c>
      <c r="O69" s="2">
        <v>108.97790000000001</v>
      </c>
      <c r="P69" s="2">
        <v>52</v>
      </c>
      <c r="Q69" s="2">
        <v>97.795199999999994</v>
      </c>
      <c r="R69" s="2">
        <v>82</v>
      </c>
      <c r="S69" s="2">
        <v>99.486999999999995</v>
      </c>
      <c r="T69" s="2">
        <v>110</v>
      </c>
      <c r="U69" s="2">
        <v>0.74036400000000002</v>
      </c>
      <c r="V69" s="2">
        <v>68</v>
      </c>
      <c r="W69" s="2">
        <v>2015</v>
      </c>
    </row>
    <row r="70" spans="1:23" ht="12.3" x14ac:dyDescent="0.4">
      <c r="A70" s="2" t="s">
        <v>236</v>
      </c>
      <c r="B70" s="2"/>
      <c r="C70" s="2"/>
      <c r="D70" s="2"/>
      <c r="E70" s="2"/>
      <c r="F70" s="2"/>
      <c r="G70" s="2"/>
      <c r="H70" s="2"/>
      <c r="I70" s="2">
        <v>64.586699999999993</v>
      </c>
      <c r="J70" s="2">
        <v>188</v>
      </c>
      <c r="K70" s="2">
        <v>65.216999999999999</v>
      </c>
      <c r="L70" s="2">
        <v>150</v>
      </c>
      <c r="M70" s="2">
        <v>104.2056</v>
      </c>
      <c r="N70" s="2">
        <v>120</v>
      </c>
      <c r="O70" s="2">
        <v>102.3317</v>
      </c>
      <c r="P70" s="2">
        <v>164</v>
      </c>
      <c r="Q70" s="2">
        <v>93.858699999999999</v>
      </c>
      <c r="R70" s="2">
        <v>21</v>
      </c>
      <c r="S70" s="2">
        <v>93.536100000000005</v>
      </c>
      <c r="T70" s="2">
        <v>22</v>
      </c>
      <c r="U70" s="2">
        <v>0.73760000000000003</v>
      </c>
      <c r="V70" s="2">
        <v>69</v>
      </c>
      <c r="W70" s="2">
        <v>2015</v>
      </c>
    </row>
    <row r="71" spans="1:23" ht="12.3" x14ac:dyDescent="0.4">
      <c r="A71" s="2" t="s">
        <v>99</v>
      </c>
      <c r="B71" s="2"/>
      <c r="C71" s="2"/>
      <c r="D71" s="2"/>
      <c r="E71" s="2"/>
      <c r="F71" s="2"/>
      <c r="G71" s="2"/>
      <c r="H71" s="2"/>
      <c r="I71" s="2">
        <v>66.0124</v>
      </c>
      <c r="J71" s="2">
        <v>119</v>
      </c>
      <c r="K71" s="2">
        <v>66.026700000000005</v>
      </c>
      <c r="L71" s="2">
        <v>112</v>
      </c>
      <c r="M71" s="2">
        <v>103.4195</v>
      </c>
      <c r="N71" s="2">
        <v>141</v>
      </c>
      <c r="O71" s="2">
        <v>107.3888</v>
      </c>
      <c r="P71" s="2">
        <v>69</v>
      </c>
      <c r="Q71" s="2">
        <v>99.225800000000007</v>
      </c>
      <c r="R71" s="2">
        <v>109</v>
      </c>
      <c r="S71" s="2">
        <v>98.223799999999997</v>
      </c>
      <c r="T71" s="2">
        <v>90</v>
      </c>
      <c r="U71" s="2">
        <v>0.73611700000000002</v>
      </c>
      <c r="V71" s="2">
        <v>70</v>
      </c>
      <c r="W71" s="2">
        <v>2015</v>
      </c>
    </row>
    <row r="72" spans="1:23" ht="12.3" x14ac:dyDescent="0.4">
      <c r="A72" s="2" t="s">
        <v>152</v>
      </c>
      <c r="B72" s="2">
        <v>14</v>
      </c>
      <c r="C72" s="2"/>
      <c r="D72" s="2"/>
      <c r="E72" s="2"/>
      <c r="F72" s="2"/>
      <c r="G72" s="2"/>
      <c r="H72" s="2"/>
      <c r="I72" s="2">
        <v>64.316800000000001</v>
      </c>
      <c r="J72" s="2">
        <v>203</v>
      </c>
      <c r="K72" s="2">
        <v>63.297199999999997</v>
      </c>
      <c r="L72" s="2">
        <v>258</v>
      </c>
      <c r="M72" s="2">
        <v>108.6194</v>
      </c>
      <c r="N72" s="2">
        <v>48</v>
      </c>
      <c r="O72" s="2">
        <v>108.4051</v>
      </c>
      <c r="P72" s="2">
        <v>58</v>
      </c>
      <c r="Q72" s="2">
        <v>95.783299999999997</v>
      </c>
      <c r="R72" s="2">
        <v>43</v>
      </c>
      <c r="S72" s="2">
        <v>99.227999999999994</v>
      </c>
      <c r="T72" s="2">
        <v>106</v>
      </c>
      <c r="U72" s="2">
        <v>0.73443199999999997</v>
      </c>
      <c r="V72" s="2">
        <v>71</v>
      </c>
      <c r="W72" s="2">
        <v>2015</v>
      </c>
    </row>
    <row r="73" spans="1:23" ht="12.3" x14ac:dyDescent="0.4">
      <c r="A73" s="2" t="s">
        <v>69</v>
      </c>
      <c r="B73" s="2"/>
      <c r="C73" s="2"/>
      <c r="D73" s="2"/>
      <c r="E73" s="2"/>
      <c r="F73" s="2"/>
      <c r="G73" s="2"/>
      <c r="H73" s="2"/>
      <c r="I73" s="2">
        <v>63.829900000000002</v>
      </c>
      <c r="J73" s="2">
        <v>236</v>
      </c>
      <c r="K73" s="2">
        <v>63.977499999999999</v>
      </c>
      <c r="L73" s="2">
        <v>215</v>
      </c>
      <c r="M73" s="2">
        <v>99.688800000000001</v>
      </c>
      <c r="N73" s="2">
        <v>226</v>
      </c>
      <c r="O73" s="2">
        <v>100.5658</v>
      </c>
      <c r="P73" s="2">
        <v>207</v>
      </c>
      <c r="Q73" s="2">
        <v>92.921899999999994</v>
      </c>
      <c r="R73" s="2">
        <v>17</v>
      </c>
      <c r="S73" s="2">
        <v>92.281800000000004</v>
      </c>
      <c r="T73" s="2">
        <v>14</v>
      </c>
      <c r="U73" s="2">
        <v>0.72881200000000002</v>
      </c>
      <c r="V73" s="2">
        <v>72</v>
      </c>
      <c r="W73" s="2">
        <v>2015</v>
      </c>
    </row>
    <row r="74" spans="1:23" ht="12.3" x14ac:dyDescent="0.4">
      <c r="A74" s="2" t="s">
        <v>181</v>
      </c>
      <c r="B74" s="2"/>
      <c r="C74" s="2"/>
      <c r="D74" s="2"/>
      <c r="E74" s="2"/>
      <c r="F74" s="2"/>
      <c r="G74" s="2"/>
      <c r="H74" s="2"/>
      <c r="I74" s="2">
        <v>66.733999999999995</v>
      </c>
      <c r="J74" s="2">
        <v>84</v>
      </c>
      <c r="K74" s="2">
        <v>66.650000000000006</v>
      </c>
      <c r="L74" s="2">
        <v>82</v>
      </c>
      <c r="M74" s="2">
        <v>116.02509999999999</v>
      </c>
      <c r="N74" s="2">
        <v>8</v>
      </c>
      <c r="O74" s="2">
        <v>113.0887</v>
      </c>
      <c r="P74" s="2">
        <v>17</v>
      </c>
      <c r="Q74" s="2">
        <v>100.83759999999999</v>
      </c>
      <c r="R74" s="2">
        <v>144</v>
      </c>
      <c r="S74" s="2">
        <v>104.0421</v>
      </c>
      <c r="T74" s="2">
        <v>203</v>
      </c>
      <c r="U74" s="2">
        <v>0.72288799999999998</v>
      </c>
      <c r="V74" s="2">
        <v>73</v>
      </c>
      <c r="W74" s="2">
        <v>2015</v>
      </c>
    </row>
    <row r="75" spans="1:23" ht="12.3" x14ac:dyDescent="0.4">
      <c r="A75" s="2" t="s">
        <v>160</v>
      </c>
      <c r="B75" s="2"/>
      <c r="C75" s="2"/>
      <c r="D75" s="2"/>
      <c r="E75" s="2"/>
      <c r="F75" s="2"/>
      <c r="G75" s="2"/>
      <c r="H75" s="2"/>
      <c r="I75" s="2">
        <v>61.818399999999997</v>
      </c>
      <c r="J75" s="2">
        <v>308</v>
      </c>
      <c r="K75" s="2">
        <v>62.4146</v>
      </c>
      <c r="L75" s="2">
        <v>289</v>
      </c>
      <c r="M75" s="2">
        <v>104.017</v>
      </c>
      <c r="N75" s="2">
        <v>126</v>
      </c>
      <c r="O75" s="2">
        <v>104.7351</v>
      </c>
      <c r="P75" s="2">
        <v>112</v>
      </c>
      <c r="Q75" s="2">
        <v>97.147000000000006</v>
      </c>
      <c r="R75" s="2">
        <v>73</v>
      </c>
      <c r="S75" s="2">
        <v>96.450199999999995</v>
      </c>
      <c r="T75" s="2">
        <v>62</v>
      </c>
      <c r="U75" s="2">
        <v>0.72064899999999998</v>
      </c>
      <c r="V75" s="2">
        <v>74</v>
      </c>
      <c r="W75" s="2">
        <v>2015</v>
      </c>
    </row>
    <row r="76" spans="1:23" ht="12.3" x14ac:dyDescent="0.4">
      <c r="A76" s="2" t="s">
        <v>232</v>
      </c>
      <c r="B76" s="2"/>
      <c r="C76" s="2"/>
      <c r="D76" s="2"/>
      <c r="E76" s="2"/>
      <c r="F76" s="2"/>
      <c r="G76" s="2"/>
      <c r="H76" s="2"/>
      <c r="I76" s="2">
        <v>63.314700000000002</v>
      </c>
      <c r="J76" s="2">
        <v>257</v>
      </c>
      <c r="K76" s="2">
        <v>61.851799999999997</v>
      </c>
      <c r="L76" s="2">
        <v>307</v>
      </c>
      <c r="M76" s="2">
        <v>104.9117</v>
      </c>
      <c r="N76" s="2">
        <v>105</v>
      </c>
      <c r="O76" s="2">
        <v>105.4472</v>
      </c>
      <c r="P76" s="2">
        <v>103</v>
      </c>
      <c r="Q76" s="2">
        <v>96.414100000000005</v>
      </c>
      <c r="R76" s="2">
        <v>56</v>
      </c>
      <c r="S76" s="2">
        <v>97.174599999999998</v>
      </c>
      <c r="T76" s="2">
        <v>74</v>
      </c>
      <c r="U76" s="2">
        <v>0.71901099999999996</v>
      </c>
      <c r="V76" s="2">
        <v>75</v>
      </c>
      <c r="W76" s="2">
        <v>2015</v>
      </c>
    </row>
    <row r="77" spans="1:23" ht="12.3" x14ac:dyDescent="0.4">
      <c r="A77" s="2" t="s">
        <v>94</v>
      </c>
      <c r="B77" s="2"/>
      <c r="C77" s="2"/>
      <c r="D77" s="2"/>
      <c r="E77" s="2"/>
      <c r="F77" s="2"/>
      <c r="G77" s="2"/>
      <c r="H77" s="2"/>
      <c r="I77" s="2">
        <v>67.734099999999998</v>
      </c>
      <c r="J77" s="2">
        <v>52</v>
      </c>
      <c r="K77" s="2">
        <v>67.543599999999998</v>
      </c>
      <c r="L77" s="2">
        <v>50</v>
      </c>
      <c r="M77" s="2">
        <v>106.70829999999999</v>
      </c>
      <c r="N77" s="2">
        <v>68</v>
      </c>
      <c r="O77" s="2">
        <v>104.68680000000001</v>
      </c>
      <c r="P77" s="2">
        <v>114</v>
      </c>
      <c r="Q77" s="2">
        <v>95.075199999999995</v>
      </c>
      <c r="R77" s="2">
        <v>35</v>
      </c>
      <c r="S77" s="2">
        <v>96.876800000000003</v>
      </c>
      <c r="T77" s="2">
        <v>66</v>
      </c>
      <c r="U77" s="2">
        <v>0.70922700000000005</v>
      </c>
      <c r="V77" s="2">
        <v>76</v>
      </c>
      <c r="W77" s="2">
        <v>2015</v>
      </c>
    </row>
    <row r="78" spans="1:23" ht="12.3" x14ac:dyDescent="0.4">
      <c r="A78" s="2" t="s">
        <v>154</v>
      </c>
      <c r="B78" s="2"/>
      <c r="C78" s="2"/>
      <c r="D78" s="2"/>
      <c r="E78" s="2"/>
      <c r="F78" s="2"/>
      <c r="G78" s="2"/>
      <c r="H78" s="2"/>
      <c r="I78" s="2">
        <v>60.5441</v>
      </c>
      <c r="J78" s="2">
        <v>335</v>
      </c>
      <c r="K78" s="2">
        <v>60.083500000000001</v>
      </c>
      <c r="L78" s="2">
        <v>340</v>
      </c>
      <c r="M78" s="2">
        <v>103.17359999999999</v>
      </c>
      <c r="N78" s="2">
        <v>148</v>
      </c>
      <c r="O78" s="2">
        <v>107.9328</v>
      </c>
      <c r="P78" s="2">
        <v>63</v>
      </c>
      <c r="Q78" s="2">
        <v>103.595</v>
      </c>
      <c r="R78" s="2">
        <v>200</v>
      </c>
      <c r="S78" s="2">
        <v>99.884799999999998</v>
      </c>
      <c r="T78" s="2">
        <v>117</v>
      </c>
      <c r="U78" s="2">
        <v>0.70912900000000001</v>
      </c>
      <c r="V78" s="2">
        <v>77</v>
      </c>
      <c r="W78" s="2">
        <v>2015</v>
      </c>
    </row>
    <row r="79" spans="1:23" ht="12.3" x14ac:dyDescent="0.4">
      <c r="A79" s="2" t="s">
        <v>255</v>
      </c>
      <c r="B79" s="2">
        <v>13</v>
      </c>
      <c r="C79" s="2"/>
      <c r="D79" s="2"/>
      <c r="E79" s="2"/>
      <c r="F79" s="2"/>
      <c r="G79" s="2"/>
      <c r="H79" s="2"/>
      <c r="I79" s="2">
        <v>61.022599999999997</v>
      </c>
      <c r="J79" s="2">
        <v>326</v>
      </c>
      <c r="K79" s="2">
        <v>61.493699999999997</v>
      </c>
      <c r="L79" s="2">
        <v>317</v>
      </c>
      <c r="M79" s="2">
        <v>101.7488</v>
      </c>
      <c r="N79" s="2">
        <v>181</v>
      </c>
      <c r="O79" s="2">
        <v>102.02209999999999</v>
      </c>
      <c r="P79" s="2">
        <v>170</v>
      </c>
      <c r="Q79" s="2">
        <v>93.631200000000007</v>
      </c>
      <c r="R79" s="2">
        <v>20</v>
      </c>
      <c r="S79" s="2">
        <v>94.544600000000003</v>
      </c>
      <c r="T79" s="2">
        <v>34</v>
      </c>
      <c r="U79" s="2">
        <v>0.70585900000000001</v>
      </c>
      <c r="V79" s="2">
        <v>78</v>
      </c>
      <c r="W79" s="2">
        <v>2015</v>
      </c>
    </row>
    <row r="80" spans="1:23" ht="12.3" x14ac:dyDescent="0.4">
      <c r="A80" s="2" t="s">
        <v>225</v>
      </c>
      <c r="B80" s="2"/>
      <c r="C80" s="2"/>
      <c r="D80" s="2"/>
      <c r="E80" s="2"/>
      <c r="F80" s="2"/>
      <c r="G80" s="2"/>
      <c r="H80" s="2"/>
      <c r="I80" s="2">
        <v>66.089299999999994</v>
      </c>
      <c r="J80" s="2">
        <v>112</v>
      </c>
      <c r="K80" s="2">
        <v>64.838099999999997</v>
      </c>
      <c r="L80" s="2">
        <v>162</v>
      </c>
      <c r="M80" s="2">
        <v>105.21729999999999</v>
      </c>
      <c r="N80" s="2">
        <v>99</v>
      </c>
      <c r="O80" s="2">
        <v>100.8698</v>
      </c>
      <c r="P80" s="2">
        <v>197</v>
      </c>
      <c r="Q80" s="2">
        <v>91.038600000000002</v>
      </c>
      <c r="R80" s="2">
        <v>9</v>
      </c>
      <c r="S80" s="2">
        <v>93.782700000000006</v>
      </c>
      <c r="T80" s="2">
        <v>26</v>
      </c>
      <c r="U80" s="2">
        <v>0.69799500000000003</v>
      </c>
      <c r="V80" s="2">
        <v>79</v>
      </c>
      <c r="W80" s="2">
        <v>2015</v>
      </c>
    </row>
    <row r="81" spans="1:23" ht="12.3" x14ac:dyDescent="0.4">
      <c r="A81" s="2" t="s">
        <v>46</v>
      </c>
      <c r="B81" s="2"/>
      <c r="C81" s="2"/>
      <c r="D81" s="2"/>
      <c r="E81" s="2"/>
      <c r="F81" s="2"/>
      <c r="G81" s="2"/>
      <c r="H81" s="2"/>
      <c r="I81" s="2">
        <v>61.058100000000003</v>
      </c>
      <c r="J81" s="2">
        <v>325</v>
      </c>
      <c r="K81" s="2">
        <v>60.982300000000002</v>
      </c>
      <c r="L81" s="2">
        <v>327</v>
      </c>
      <c r="M81" s="2">
        <v>108.5946</v>
      </c>
      <c r="N81" s="2">
        <v>49</v>
      </c>
      <c r="O81" s="2">
        <v>112.7343</v>
      </c>
      <c r="P81" s="2">
        <v>23</v>
      </c>
      <c r="Q81" s="2">
        <v>106.55200000000001</v>
      </c>
      <c r="R81" s="2">
        <v>275</v>
      </c>
      <c r="S81" s="2">
        <v>104.83759999999999</v>
      </c>
      <c r="T81" s="2">
        <v>218</v>
      </c>
      <c r="U81" s="2">
        <v>0.69743999999999995</v>
      </c>
      <c r="V81" s="2">
        <v>80</v>
      </c>
      <c r="W81" s="2">
        <v>2015</v>
      </c>
    </row>
    <row r="82" spans="1:23" ht="12.3" x14ac:dyDescent="0.4">
      <c r="A82" s="2" t="s">
        <v>148</v>
      </c>
      <c r="B82" s="2"/>
      <c r="C82" s="2"/>
      <c r="D82" s="2"/>
      <c r="E82" s="2"/>
      <c r="F82" s="2"/>
      <c r="G82" s="2"/>
      <c r="H82" s="2"/>
      <c r="I82" s="2">
        <v>63.071599999999997</v>
      </c>
      <c r="J82" s="2">
        <v>270</v>
      </c>
      <c r="K82" s="2">
        <v>62.5411</v>
      </c>
      <c r="L82" s="2">
        <v>283</v>
      </c>
      <c r="M82" s="2">
        <v>99.165199999999999</v>
      </c>
      <c r="N82" s="2">
        <v>242</v>
      </c>
      <c r="O82" s="2">
        <v>103.2577</v>
      </c>
      <c r="P82" s="2">
        <v>144</v>
      </c>
      <c r="Q82" s="2">
        <v>101.16970000000001</v>
      </c>
      <c r="R82" s="2">
        <v>152</v>
      </c>
      <c r="S82" s="2">
        <v>96.3249</v>
      </c>
      <c r="T82" s="2">
        <v>59</v>
      </c>
      <c r="U82" s="2">
        <v>0.68981700000000001</v>
      </c>
      <c r="V82" s="2">
        <v>81</v>
      </c>
      <c r="W82" s="2">
        <v>2015</v>
      </c>
    </row>
    <row r="83" spans="1:23" ht="12.3" x14ac:dyDescent="0.4">
      <c r="A83" s="2" t="s">
        <v>90</v>
      </c>
      <c r="B83" s="2"/>
      <c r="C83" s="2"/>
      <c r="D83" s="2"/>
      <c r="E83" s="2"/>
      <c r="F83" s="2"/>
      <c r="G83" s="2"/>
      <c r="H83" s="2"/>
      <c r="I83" s="2">
        <v>63.324399999999997</v>
      </c>
      <c r="J83" s="2">
        <v>255</v>
      </c>
      <c r="K83" s="2">
        <v>62.7592</v>
      </c>
      <c r="L83" s="2">
        <v>274</v>
      </c>
      <c r="M83" s="2">
        <v>104.5754</v>
      </c>
      <c r="N83" s="2">
        <v>115</v>
      </c>
      <c r="O83" s="2">
        <v>108.3368</v>
      </c>
      <c r="P83" s="2">
        <v>59</v>
      </c>
      <c r="Q83" s="2">
        <v>104.22320000000001</v>
      </c>
      <c r="R83" s="2">
        <v>217</v>
      </c>
      <c r="S83" s="2">
        <v>101.4216</v>
      </c>
      <c r="T83" s="2">
        <v>147</v>
      </c>
      <c r="U83" s="2">
        <v>0.68103400000000003</v>
      </c>
      <c r="V83" s="2">
        <v>82</v>
      </c>
      <c r="W83" s="2">
        <v>2015</v>
      </c>
    </row>
    <row r="84" spans="1:23" ht="12.3" x14ac:dyDescent="0.4">
      <c r="A84" s="2" t="s">
        <v>230</v>
      </c>
      <c r="B84" s="2"/>
      <c r="C84" s="2"/>
      <c r="D84" s="2"/>
      <c r="E84" s="2"/>
      <c r="F84" s="2"/>
      <c r="G84" s="2"/>
      <c r="H84" s="2"/>
      <c r="I84" s="2">
        <v>65.7316</v>
      </c>
      <c r="J84" s="2">
        <v>128</v>
      </c>
      <c r="K84" s="2">
        <v>65.895499999999998</v>
      </c>
      <c r="L84" s="2">
        <v>117</v>
      </c>
      <c r="M84" s="2">
        <v>99.882999999999996</v>
      </c>
      <c r="N84" s="2">
        <v>224</v>
      </c>
      <c r="O84" s="2">
        <v>102.2462</v>
      </c>
      <c r="P84" s="2">
        <v>167</v>
      </c>
      <c r="Q84" s="2">
        <v>98.815600000000003</v>
      </c>
      <c r="R84" s="2">
        <v>102</v>
      </c>
      <c r="S84" s="2">
        <v>95.785899999999998</v>
      </c>
      <c r="T84" s="2">
        <v>52</v>
      </c>
      <c r="U84" s="2">
        <v>0.67930500000000005</v>
      </c>
      <c r="V84" s="2">
        <v>83</v>
      </c>
      <c r="W84" s="2">
        <v>2015</v>
      </c>
    </row>
    <row r="85" spans="1:23" ht="12.3" x14ac:dyDescent="0.4">
      <c r="A85" s="2" t="s">
        <v>235</v>
      </c>
      <c r="B85" s="2"/>
      <c r="C85" s="2"/>
      <c r="D85" s="2"/>
      <c r="E85" s="2"/>
      <c r="F85" s="2"/>
      <c r="G85" s="2"/>
      <c r="H85" s="2"/>
      <c r="I85" s="2">
        <v>64.681600000000003</v>
      </c>
      <c r="J85" s="2">
        <v>179</v>
      </c>
      <c r="K85" s="2">
        <v>63.947200000000002</v>
      </c>
      <c r="L85" s="2">
        <v>218</v>
      </c>
      <c r="M85" s="2">
        <v>115.64409999999999</v>
      </c>
      <c r="N85" s="2">
        <v>11</v>
      </c>
      <c r="O85" s="2">
        <v>112.292</v>
      </c>
      <c r="P85" s="2">
        <v>26</v>
      </c>
      <c r="Q85" s="2">
        <v>104.133</v>
      </c>
      <c r="R85" s="2">
        <v>216</v>
      </c>
      <c r="S85" s="2">
        <v>105.2315</v>
      </c>
      <c r="T85" s="2">
        <v>227</v>
      </c>
      <c r="U85" s="2">
        <v>0.67848299999999995</v>
      </c>
      <c r="V85" s="2">
        <v>84</v>
      </c>
      <c r="W85" s="2">
        <v>2015</v>
      </c>
    </row>
    <row r="86" spans="1:23" ht="12.3" x14ac:dyDescent="0.4">
      <c r="A86" s="2" t="s">
        <v>71</v>
      </c>
      <c r="B86" s="2"/>
      <c r="C86" s="2"/>
      <c r="D86" s="2"/>
      <c r="E86" s="2"/>
      <c r="F86" s="2"/>
      <c r="G86" s="2"/>
      <c r="H86" s="2"/>
      <c r="I86" s="2">
        <v>65.653199999999998</v>
      </c>
      <c r="J86" s="2">
        <v>134</v>
      </c>
      <c r="K86" s="2">
        <v>66.528899999999993</v>
      </c>
      <c r="L86" s="2">
        <v>88</v>
      </c>
      <c r="M86" s="2">
        <v>101.75920000000001</v>
      </c>
      <c r="N86" s="2">
        <v>180</v>
      </c>
      <c r="O86" s="2">
        <v>103.45</v>
      </c>
      <c r="P86" s="2">
        <v>141</v>
      </c>
      <c r="Q86" s="2">
        <v>95.546999999999997</v>
      </c>
      <c r="R86" s="2">
        <v>38</v>
      </c>
      <c r="S86" s="2">
        <v>97.085400000000007</v>
      </c>
      <c r="T86" s="2">
        <v>70</v>
      </c>
      <c r="U86" s="2">
        <v>0.67485300000000004</v>
      </c>
      <c r="V86" s="2">
        <v>85</v>
      </c>
      <c r="W86" s="2">
        <v>2015</v>
      </c>
    </row>
    <row r="87" spans="1:23" ht="12.3" x14ac:dyDescent="0.4">
      <c r="A87" s="2" t="s">
        <v>24</v>
      </c>
      <c r="B87" s="2"/>
      <c r="C87" s="2"/>
      <c r="D87" s="2"/>
      <c r="E87" s="2"/>
      <c r="F87" s="2"/>
      <c r="G87" s="2"/>
      <c r="H87" s="2"/>
      <c r="I87" s="2">
        <v>62.7791</v>
      </c>
      <c r="J87" s="2">
        <v>282</v>
      </c>
      <c r="K87" s="2">
        <v>62.314599999999999</v>
      </c>
      <c r="L87" s="2">
        <v>293</v>
      </c>
      <c r="M87" s="2">
        <v>99.069000000000003</v>
      </c>
      <c r="N87" s="2">
        <v>245</v>
      </c>
      <c r="O87" s="2">
        <v>101.4939</v>
      </c>
      <c r="P87" s="2">
        <v>181</v>
      </c>
      <c r="Q87" s="2">
        <v>98.673500000000004</v>
      </c>
      <c r="R87" s="2">
        <v>99</v>
      </c>
      <c r="S87" s="2">
        <v>95.382199999999997</v>
      </c>
      <c r="T87" s="2">
        <v>46</v>
      </c>
      <c r="U87" s="2">
        <v>0.67133600000000004</v>
      </c>
      <c r="V87" s="2">
        <v>86</v>
      </c>
      <c r="W87" s="2">
        <v>2015</v>
      </c>
    </row>
    <row r="88" spans="1:23" ht="12.3" x14ac:dyDescent="0.4">
      <c r="A88" s="2" t="s">
        <v>186</v>
      </c>
      <c r="B88" s="2"/>
      <c r="C88" s="2"/>
      <c r="D88" s="2"/>
      <c r="E88" s="2"/>
      <c r="F88" s="2"/>
      <c r="G88" s="2"/>
      <c r="H88" s="2"/>
      <c r="I88" s="2">
        <v>67.232699999999994</v>
      </c>
      <c r="J88" s="2">
        <v>70</v>
      </c>
      <c r="K88" s="2">
        <v>67.290800000000004</v>
      </c>
      <c r="L88" s="2">
        <v>57</v>
      </c>
      <c r="M88" s="2">
        <v>111.14</v>
      </c>
      <c r="N88" s="2">
        <v>28</v>
      </c>
      <c r="O88" s="2">
        <v>111.1798</v>
      </c>
      <c r="P88" s="2">
        <v>34</v>
      </c>
      <c r="Q88" s="2">
        <v>104.88930000000001</v>
      </c>
      <c r="R88" s="2">
        <v>234</v>
      </c>
      <c r="S88" s="2">
        <v>104.56610000000001</v>
      </c>
      <c r="T88" s="2">
        <v>213</v>
      </c>
      <c r="U88" s="2">
        <v>0.66936099999999998</v>
      </c>
      <c r="V88" s="2">
        <v>87</v>
      </c>
      <c r="W88" s="2">
        <v>2015</v>
      </c>
    </row>
    <row r="89" spans="1:23" ht="12.3" x14ac:dyDescent="0.4">
      <c r="A89" s="2" t="s">
        <v>118</v>
      </c>
      <c r="B89" s="2">
        <v>15</v>
      </c>
      <c r="C89" s="2"/>
      <c r="D89" s="2"/>
      <c r="E89" s="2"/>
      <c r="F89" s="2"/>
      <c r="G89" s="2"/>
      <c r="H89" s="2"/>
      <c r="I89" s="2">
        <v>62.7971</v>
      </c>
      <c r="J89" s="2">
        <v>281</v>
      </c>
      <c r="K89" s="2">
        <v>63.728200000000001</v>
      </c>
      <c r="L89" s="2">
        <v>233</v>
      </c>
      <c r="M89" s="2">
        <v>107.3347</v>
      </c>
      <c r="N89" s="2">
        <v>61</v>
      </c>
      <c r="O89" s="2">
        <v>104.06180000000001</v>
      </c>
      <c r="P89" s="2">
        <v>120</v>
      </c>
      <c r="Q89" s="2">
        <v>94.170599999999993</v>
      </c>
      <c r="R89" s="2">
        <v>25</v>
      </c>
      <c r="S89" s="2">
        <v>97.947000000000003</v>
      </c>
      <c r="T89" s="2">
        <v>87</v>
      </c>
      <c r="U89" s="2">
        <v>0.66739300000000001</v>
      </c>
      <c r="V89" s="2">
        <v>88</v>
      </c>
      <c r="W89" s="2">
        <v>2015</v>
      </c>
    </row>
    <row r="90" spans="1:23" ht="12.3" x14ac:dyDescent="0.4">
      <c r="A90" s="2" t="s">
        <v>81</v>
      </c>
      <c r="B90" s="2"/>
      <c r="C90" s="2"/>
      <c r="D90" s="2"/>
      <c r="E90" s="2"/>
      <c r="F90" s="2"/>
      <c r="G90" s="2"/>
      <c r="H90" s="2"/>
      <c r="I90" s="2">
        <v>61.183199999999999</v>
      </c>
      <c r="J90" s="2">
        <v>323</v>
      </c>
      <c r="K90" s="2">
        <v>60.581400000000002</v>
      </c>
      <c r="L90" s="2">
        <v>335</v>
      </c>
      <c r="M90" s="2">
        <v>103.0849</v>
      </c>
      <c r="N90" s="2">
        <v>150</v>
      </c>
      <c r="O90" s="2">
        <v>107.4029</v>
      </c>
      <c r="P90" s="2">
        <v>68</v>
      </c>
      <c r="Q90" s="2">
        <v>104.5068</v>
      </c>
      <c r="R90" s="2">
        <v>225</v>
      </c>
      <c r="S90" s="2">
        <v>101.12439999999999</v>
      </c>
      <c r="T90" s="2">
        <v>142</v>
      </c>
      <c r="U90" s="2">
        <v>0.66657</v>
      </c>
      <c r="V90" s="2">
        <v>89</v>
      </c>
      <c r="W90" s="2">
        <v>2015</v>
      </c>
    </row>
    <row r="91" spans="1:23" ht="12.3" x14ac:dyDescent="0.4">
      <c r="A91" s="2" t="s">
        <v>279</v>
      </c>
      <c r="B91" s="2">
        <v>12</v>
      </c>
      <c r="C91" s="2"/>
      <c r="D91" s="2"/>
      <c r="E91" s="2"/>
      <c r="F91" s="2"/>
      <c r="G91" s="2"/>
      <c r="H91" s="2"/>
      <c r="I91" s="2">
        <v>62.146500000000003</v>
      </c>
      <c r="J91" s="2">
        <v>300</v>
      </c>
      <c r="K91" s="2">
        <v>61.510899999999999</v>
      </c>
      <c r="L91" s="2">
        <v>316</v>
      </c>
      <c r="M91" s="2">
        <v>106.367</v>
      </c>
      <c r="N91" s="2">
        <v>79</v>
      </c>
      <c r="O91" s="2">
        <v>103.3306</v>
      </c>
      <c r="P91" s="2">
        <v>143</v>
      </c>
      <c r="Q91" s="2">
        <v>96.729200000000006</v>
      </c>
      <c r="R91" s="2">
        <v>64</v>
      </c>
      <c r="S91" s="2">
        <v>97.473799999999997</v>
      </c>
      <c r="T91" s="2">
        <v>78</v>
      </c>
      <c r="U91" s="2">
        <v>0.66173300000000002</v>
      </c>
      <c r="V91" s="2">
        <v>90</v>
      </c>
      <c r="W91" s="2">
        <v>2015</v>
      </c>
    </row>
    <row r="92" spans="1:23" ht="12.3" x14ac:dyDescent="0.4">
      <c r="A92" s="2" t="s">
        <v>92</v>
      </c>
      <c r="B92" s="2"/>
      <c r="C92" s="2"/>
      <c r="D92" s="2"/>
      <c r="E92" s="2"/>
      <c r="F92" s="2"/>
      <c r="G92" s="2"/>
      <c r="H92" s="2"/>
      <c r="I92" s="2">
        <v>63.984299999999998</v>
      </c>
      <c r="J92" s="2">
        <v>227</v>
      </c>
      <c r="K92" s="2">
        <v>63.929699999999997</v>
      </c>
      <c r="L92" s="2">
        <v>220</v>
      </c>
      <c r="M92" s="2">
        <v>97.111999999999995</v>
      </c>
      <c r="N92" s="2">
        <v>272</v>
      </c>
      <c r="O92" s="2">
        <v>100.1186</v>
      </c>
      <c r="P92" s="2">
        <v>224</v>
      </c>
      <c r="Q92" s="2">
        <v>99.2363</v>
      </c>
      <c r="R92" s="2">
        <v>110</v>
      </c>
      <c r="S92" s="2">
        <v>94.491200000000006</v>
      </c>
      <c r="T92" s="2">
        <v>32</v>
      </c>
      <c r="U92" s="2">
        <v>0.660443</v>
      </c>
      <c r="V92" s="2">
        <v>91</v>
      </c>
      <c r="W92" s="2">
        <v>2015</v>
      </c>
    </row>
    <row r="93" spans="1:23" ht="12.3" x14ac:dyDescent="0.4">
      <c r="A93" s="2" t="s">
        <v>256</v>
      </c>
      <c r="B93" s="2"/>
      <c r="C93" s="2"/>
      <c r="D93" s="2"/>
      <c r="E93" s="2"/>
      <c r="F93" s="2"/>
      <c r="G93" s="2"/>
      <c r="H93" s="2"/>
      <c r="I93" s="2">
        <v>64.599699999999999</v>
      </c>
      <c r="J93" s="2">
        <v>185</v>
      </c>
      <c r="K93" s="2">
        <v>63.785299999999999</v>
      </c>
      <c r="L93" s="2">
        <v>227</v>
      </c>
      <c r="M93" s="2">
        <v>103.9374</v>
      </c>
      <c r="N93" s="2">
        <v>128</v>
      </c>
      <c r="O93" s="2">
        <v>102.7533</v>
      </c>
      <c r="P93" s="2">
        <v>157</v>
      </c>
      <c r="Q93" s="2">
        <v>97.551299999999998</v>
      </c>
      <c r="R93" s="2">
        <v>77</v>
      </c>
      <c r="S93" s="2">
        <v>96.980999999999995</v>
      </c>
      <c r="T93" s="2">
        <v>68</v>
      </c>
      <c r="U93" s="2">
        <v>0.66035500000000003</v>
      </c>
      <c r="V93" s="2">
        <v>92</v>
      </c>
      <c r="W93" s="2">
        <v>2015</v>
      </c>
    </row>
    <row r="94" spans="1:23" ht="12.3" x14ac:dyDescent="0.4">
      <c r="A94" s="2" t="s">
        <v>357</v>
      </c>
      <c r="B94" s="2"/>
      <c r="C94" s="2"/>
      <c r="D94" s="2"/>
      <c r="E94" s="2"/>
      <c r="F94" s="2"/>
      <c r="G94" s="2"/>
      <c r="H94" s="2"/>
      <c r="I94" s="2">
        <v>63.015999999999998</v>
      </c>
      <c r="J94" s="2">
        <v>271</v>
      </c>
      <c r="K94" s="2">
        <v>63.228999999999999</v>
      </c>
      <c r="L94" s="2">
        <v>261</v>
      </c>
      <c r="M94" s="2">
        <v>111.75620000000001</v>
      </c>
      <c r="N94" s="2">
        <v>25</v>
      </c>
      <c r="O94" s="2">
        <v>110.2679</v>
      </c>
      <c r="P94" s="2">
        <v>43</v>
      </c>
      <c r="Q94" s="2">
        <v>102.97929999999999</v>
      </c>
      <c r="R94" s="2">
        <v>188</v>
      </c>
      <c r="S94" s="2">
        <v>104.14490000000001</v>
      </c>
      <c r="T94" s="2">
        <v>205</v>
      </c>
      <c r="U94" s="2">
        <v>0.65858399999999995</v>
      </c>
      <c r="V94" s="2">
        <v>93</v>
      </c>
      <c r="W94" s="2">
        <v>2015</v>
      </c>
    </row>
    <row r="95" spans="1:23" ht="12.3" x14ac:dyDescent="0.4">
      <c r="A95" s="2" t="s">
        <v>110</v>
      </c>
      <c r="B95" s="2">
        <v>13</v>
      </c>
      <c r="C95" s="2"/>
      <c r="D95" s="2"/>
      <c r="E95" s="2"/>
      <c r="F95" s="2"/>
      <c r="G95" s="2"/>
      <c r="H95" s="2"/>
      <c r="I95" s="2">
        <v>64.040499999999994</v>
      </c>
      <c r="J95" s="2">
        <v>221</v>
      </c>
      <c r="K95" s="2">
        <v>63.725900000000003</v>
      </c>
      <c r="L95" s="2">
        <v>234</v>
      </c>
      <c r="M95" s="2">
        <v>103.69370000000001</v>
      </c>
      <c r="N95" s="2">
        <v>133</v>
      </c>
      <c r="O95" s="2">
        <v>103.9436</v>
      </c>
      <c r="P95" s="2">
        <v>123</v>
      </c>
      <c r="Q95" s="2">
        <v>98.204400000000007</v>
      </c>
      <c r="R95" s="2">
        <v>90</v>
      </c>
      <c r="S95" s="2">
        <v>98.272199999999998</v>
      </c>
      <c r="T95" s="2">
        <v>92</v>
      </c>
      <c r="U95" s="2">
        <v>0.65593599999999996</v>
      </c>
      <c r="V95" s="2">
        <v>94</v>
      </c>
      <c r="W95" s="2">
        <v>2015</v>
      </c>
    </row>
    <row r="96" spans="1:23" ht="12.3" x14ac:dyDescent="0.4">
      <c r="A96" s="2" t="s">
        <v>129</v>
      </c>
      <c r="B96" s="2"/>
      <c r="C96" s="2"/>
      <c r="D96" s="2"/>
      <c r="E96" s="2"/>
      <c r="F96" s="2"/>
      <c r="G96" s="2"/>
      <c r="H96" s="2"/>
      <c r="I96" s="2">
        <v>65.445400000000006</v>
      </c>
      <c r="J96" s="2">
        <v>144</v>
      </c>
      <c r="K96" s="2">
        <v>65.502499999999998</v>
      </c>
      <c r="L96" s="2">
        <v>135</v>
      </c>
      <c r="M96" s="2">
        <v>102.45780000000001</v>
      </c>
      <c r="N96" s="2">
        <v>168</v>
      </c>
      <c r="O96" s="2">
        <v>104.7274</v>
      </c>
      <c r="P96" s="2">
        <v>113</v>
      </c>
      <c r="Q96" s="2">
        <v>101.7471</v>
      </c>
      <c r="R96" s="2">
        <v>165</v>
      </c>
      <c r="S96" s="2">
        <v>99.024199999999993</v>
      </c>
      <c r="T96" s="2">
        <v>101</v>
      </c>
      <c r="U96" s="2">
        <v>0.65564800000000001</v>
      </c>
      <c r="V96" s="2">
        <v>95</v>
      </c>
      <c r="W96" s="2">
        <v>2015</v>
      </c>
    </row>
    <row r="97" spans="1:23" ht="12.3" x14ac:dyDescent="0.4">
      <c r="A97" s="2" t="s">
        <v>89</v>
      </c>
      <c r="B97" s="2"/>
      <c r="C97" s="2"/>
      <c r="D97" s="2"/>
      <c r="E97" s="2"/>
      <c r="F97" s="2"/>
      <c r="G97" s="2"/>
      <c r="H97" s="2"/>
      <c r="I97" s="2">
        <v>63.6008</v>
      </c>
      <c r="J97" s="2">
        <v>247</v>
      </c>
      <c r="K97" s="2">
        <v>63.778100000000002</v>
      </c>
      <c r="L97" s="2">
        <v>228</v>
      </c>
      <c r="M97" s="2">
        <v>104.8595</v>
      </c>
      <c r="N97" s="2">
        <v>106</v>
      </c>
      <c r="O97" s="2">
        <v>104.6544</v>
      </c>
      <c r="P97" s="2">
        <v>115</v>
      </c>
      <c r="Q97" s="2">
        <v>96.375200000000007</v>
      </c>
      <c r="R97" s="2">
        <v>54</v>
      </c>
      <c r="S97" s="2">
        <v>99.078599999999994</v>
      </c>
      <c r="T97" s="2">
        <v>102</v>
      </c>
      <c r="U97" s="2">
        <v>0.65240600000000004</v>
      </c>
      <c r="V97" s="2">
        <v>96</v>
      </c>
      <c r="W97" s="2">
        <v>2015</v>
      </c>
    </row>
    <row r="98" spans="1:23" ht="12.3" x14ac:dyDescent="0.4">
      <c r="A98" s="2" t="s">
        <v>219</v>
      </c>
      <c r="B98" s="2"/>
      <c r="C98" s="2"/>
      <c r="D98" s="2"/>
      <c r="E98" s="2"/>
      <c r="F98" s="2"/>
      <c r="G98" s="2"/>
      <c r="H98" s="2"/>
      <c r="I98" s="2">
        <v>65.251999999999995</v>
      </c>
      <c r="J98" s="2">
        <v>151</v>
      </c>
      <c r="K98" s="2">
        <v>64.749600000000001</v>
      </c>
      <c r="L98" s="2">
        <v>166</v>
      </c>
      <c r="M98" s="2">
        <v>105.8853</v>
      </c>
      <c r="N98" s="2">
        <v>90</v>
      </c>
      <c r="O98" s="2">
        <v>104.0536</v>
      </c>
      <c r="P98" s="2">
        <v>121</v>
      </c>
      <c r="Q98" s="2">
        <v>96.365600000000001</v>
      </c>
      <c r="R98" s="2">
        <v>53</v>
      </c>
      <c r="S98" s="2">
        <v>98.545599999999993</v>
      </c>
      <c r="T98" s="2">
        <v>95</v>
      </c>
      <c r="U98" s="2">
        <v>0.65145799999999998</v>
      </c>
      <c r="V98" s="2">
        <v>97</v>
      </c>
      <c r="W98" s="2">
        <v>2015</v>
      </c>
    </row>
    <row r="99" spans="1:23" ht="12.3" x14ac:dyDescent="0.4">
      <c r="A99" s="2" t="s">
        <v>133</v>
      </c>
      <c r="B99" s="2"/>
      <c r="C99" s="2"/>
      <c r="D99" s="2"/>
      <c r="E99" s="2"/>
      <c r="F99" s="2"/>
      <c r="G99" s="2"/>
      <c r="H99" s="2"/>
      <c r="I99" s="2">
        <v>63.338299999999997</v>
      </c>
      <c r="J99" s="2">
        <v>254</v>
      </c>
      <c r="K99" s="2">
        <v>63.065199999999997</v>
      </c>
      <c r="L99" s="2">
        <v>267</v>
      </c>
      <c r="M99" s="2">
        <v>100.96040000000001</v>
      </c>
      <c r="N99" s="2">
        <v>197</v>
      </c>
      <c r="O99" s="2">
        <v>101.4466</v>
      </c>
      <c r="P99" s="2">
        <v>183</v>
      </c>
      <c r="Q99" s="2">
        <v>98.790300000000002</v>
      </c>
      <c r="R99" s="2">
        <v>100</v>
      </c>
      <c r="S99" s="2">
        <v>96.123900000000006</v>
      </c>
      <c r="T99" s="2">
        <v>56</v>
      </c>
      <c r="U99" s="2">
        <v>0.650169</v>
      </c>
      <c r="V99" s="2">
        <v>98</v>
      </c>
      <c r="W99" s="2">
        <v>2015</v>
      </c>
    </row>
    <row r="100" spans="1:23" ht="12.3" x14ac:dyDescent="0.4">
      <c r="A100" s="2" t="s">
        <v>222</v>
      </c>
      <c r="B100" s="2"/>
      <c r="C100" s="3"/>
      <c r="D100" s="2"/>
      <c r="E100" s="2"/>
      <c r="F100" s="2"/>
      <c r="G100" s="2"/>
      <c r="H100" s="2"/>
      <c r="I100" s="2">
        <v>61.686500000000002</v>
      </c>
      <c r="J100" s="2">
        <v>313</v>
      </c>
      <c r="K100" s="2">
        <v>60.901000000000003</v>
      </c>
      <c r="L100" s="2">
        <v>330</v>
      </c>
      <c r="M100" s="2">
        <v>104.7013</v>
      </c>
      <c r="N100" s="2">
        <v>112</v>
      </c>
      <c r="O100" s="2">
        <v>105.2698</v>
      </c>
      <c r="P100" s="2">
        <v>104</v>
      </c>
      <c r="Q100" s="2">
        <v>99.659099999999995</v>
      </c>
      <c r="R100" s="2">
        <v>117</v>
      </c>
      <c r="S100" s="2">
        <v>99.789900000000003</v>
      </c>
      <c r="T100" s="2">
        <v>115</v>
      </c>
      <c r="U100" s="2">
        <v>0.64903200000000005</v>
      </c>
      <c r="V100" s="2">
        <v>99</v>
      </c>
      <c r="W100" s="2">
        <v>2015</v>
      </c>
    </row>
    <row r="101" spans="1:23" ht="12.3" x14ac:dyDescent="0.4">
      <c r="A101" s="2" t="s">
        <v>109</v>
      </c>
      <c r="B101" s="2"/>
      <c r="C101" s="2"/>
      <c r="D101" s="2"/>
      <c r="E101" s="2"/>
      <c r="F101" s="2"/>
      <c r="G101" s="2"/>
      <c r="H101" s="2"/>
      <c r="I101" s="2">
        <v>64.580399999999997</v>
      </c>
      <c r="J101" s="2">
        <v>189</v>
      </c>
      <c r="K101" s="2">
        <v>65.459900000000005</v>
      </c>
      <c r="L101" s="2">
        <v>137</v>
      </c>
      <c r="M101" s="2">
        <v>102.48439999999999</v>
      </c>
      <c r="N101" s="2">
        <v>167</v>
      </c>
      <c r="O101" s="2">
        <v>106.4499</v>
      </c>
      <c r="P101" s="2">
        <v>79</v>
      </c>
      <c r="Q101" s="2">
        <v>99.265199999999993</v>
      </c>
      <c r="R101" s="2">
        <v>111</v>
      </c>
      <c r="S101" s="2">
        <v>100.9712</v>
      </c>
      <c r="T101" s="2">
        <v>138</v>
      </c>
      <c r="U101" s="2">
        <v>0.64740500000000001</v>
      </c>
      <c r="V101" s="2">
        <v>100</v>
      </c>
      <c r="W101" s="2">
        <v>2015</v>
      </c>
    </row>
    <row r="102" spans="1:23" ht="12.3" x14ac:dyDescent="0.4">
      <c r="A102" s="2" t="s">
        <v>169</v>
      </c>
      <c r="B102" s="2"/>
      <c r="C102" s="2"/>
      <c r="D102" s="2"/>
      <c r="E102" s="2"/>
      <c r="F102" s="2"/>
      <c r="G102" s="2"/>
      <c r="H102" s="2"/>
      <c r="I102" s="2">
        <v>64.371499999999997</v>
      </c>
      <c r="J102" s="2">
        <v>197</v>
      </c>
      <c r="K102" s="2">
        <v>64.616900000000001</v>
      </c>
      <c r="L102" s="2">
        <v>177</v>
      </c>
      <c r="M102" s="2">
        <v>96.755600000000001</v>
      </c>
      <c r="N102" s="2">
        <v>275</v>
      </c>
      <c r="O102" s="2">
        <v>98.294300000000007</v>
      </c>
      <c r="P102" s="2">
        <v>250</v>
      </c>
      <c r="Q102" s="2">
        <v>95.564899999999994</v>
      </c>
      <c r="R102" s="2">
        <v>39</v>
      </c>
      <c r="S102" s="2">
        <v>93.450599999999994</v>
      </c>
      <c r="T102" s="2">
        <v>21</v>
      </c>
      <c r="U102" s="2">
        <v>0.64132800000000001</v>
      </c>
      <c r="V102" s="2">
        <v>101</v>
      </c>
      <c r="W102" s="2">
        <v>2015</v>
      </c>
    </row>
    <row r="103" spans="1:23" ht="12.3" x14ac:dyDescent="0.4">
      <c r="A103" s="2" t="s">
        <v>93</v>
      </c>
      <c r="B103" s="2">
        <v>12</v>
      </c>
      <c r="C103" s="2"/>
      <c r="D103" s="2"/>
      <c r="E103" s="2"/>
      <c r="F103" s="2"/>
      <c r="G103" s="2"/>
      <c r="H103" s="2"/>
      <c r="I103" s="2">
        <v>58.364800000000002</v>
      </c>
      <c r="J103" s="2">
        <v>348</v>
      </c>
      <c r="K103" s="2">
        <v>59.237099999999998</v>
      </c>
      <c r="L103" s="2">
        <v>344</v>
      </c>
      <c r="M103" s="2">
        <v>103.1922</v>
      </c>
      <c r="N103" s="2">
        <v>147</v>
      </c>
      <c r="O103" s="2">
        <v>101.8455</v>
      </c>
      <c r="P103" s="2">
        <v>175</v>
      </c>
      <c r="Q103" s="2">
        <v>95.343900000000005</v>
      </c>
      <c r="R103" s="2">
        <v>37</v>
      </c>
      <c r="S103" s="2">
        <v>96.974800000000002</v>
      </c>
      <c r="T103" s="2">
        <v>67</v>
      </c>
      <c r="U103" s="2">
        <v>0.63727699999999998</v>
      </c>
      <c r="V103" s="2">
        <v>102</v>
      </c>
      <c r="W103" s="2">
        <v>2015</v>
      </c>
    </row>
    <row r="104" spans="1:23" ht="12.3" x14ac:dyDescent="0.4">
      <c r="A104" s="2" t="s">
        <v>20</v>
      </c>
      <c r="B104" s="2"/>
      <c r="C104" s="2"/>
      <c r="D104" s="2"/>
      <c r="E104" s="2"/>
      <c r="F104" s="2"/>
      <c r="G104" s="2"/>
      <c r="H104" s="2"/>
      <c r="I104" s="2">
        <v>65.778000000000006</v>
      </c>
      <c r="J104" s="2">
        <v>125</v>
      </c>
      <c r="K104" s="2">
        <v>66.360600000000005</v>
      </c>
      <c r="L104" s="2">
        <v>95</v>
      </c>
      <c r="M104" s="2">
        <v>100.288</v>
      </c>
      <c r="N104" s="2">
        <v>209</v>
      </c>
      <c r="O104" s="2">
        <v>102.3403</v>
      </c>
      <c r="P104" s="2">
        <v>163</v>
      </c>
      <c r="Q104" s="2">
        <v>101.2564</v>
      </c>
      <c r="R104" s="2">
        <v>155</v>
      </c>
      <c r="S104" s="2">
        <v>97.564099999999996</v>
      </c>
      <c r="T104" s="2">
        <v>79</v>
      </c>
      <c r="U104" s="2">
        <v>0.63405199999999995</v>
      </c>
      <c r="V104" s="2">
        <v>103</v>
      </c>
      <c r="W104" s="2">
        <v>2015</v>
      </c>
    </row>
    <row r="105" spans="1:23" ht="12.3" x14ac:dyDescent="0.4">
      <c r="A105" s="2" t="s">
        <v>119</v>
      </c>
      <c r="B105" s="2"/>
      <c r="C105" s="2"/>
      <c r="D105" s="2"/>
      <c r="E105" s="2"/>
      <c r="F105" s="2"/>
      <c r="G105" s="2"/>
      <c r="H105" s="2"/>
      <c r="I105" s="2">
        <v>66.049899999999994</v>
      </c>
      <c r="J105" s="2">
        <v>117</v>
      </c>
      <c r="K105" s="2">
        <v>66.203599999999994</v>
      </c>
      <c r="L105" s="2">
        <v>104</v>
      </c>
      <c r="M105" s="2">
        <v>102.68680000000001</v>
      </c>
      <c r="N105" s="2">
        <v>163</v>
      </c>
      <c r="O105" s="2">
        <v>106.0894</v>
      </c>
      <c r="P105" s="2">
        <v>87</v>
      </c>
      <c r="Q105" s="2">
        <v>102.4281</v>
      </c>
      <c r="R105" s="2">
        <v>180</v>
      </c>
      <c r="S105" s="2">
        <v>101.1507</v>
      </c>
      <c r="T105" s="2">
        <v>143</v>
      </c>
      <c r="U105" s="2">
        <v>0.63372200000000001</v>
      </c>
      <c r="V105" s="2">
        <v>104</v>
      </c>
      <c r="W105" s="2">
        <v>2015</v>
      </c>
    </row>
    <row r="106" spans="1:23" ht="12.3" x14ac:dyDescent="0.4">
      <c r="A106" s="2" t="s">
        <v>362</v>
      </c>
      <c r="B106" s="2"/>
      <c r="C106" s="2"/>
      <c r="D106" s="2"/>
      <c r="E106" s="2"/>
      <c r="F106" s="2"/>
      <c r="G106" s="2"/>
      <c r="H106" s="2"/>
      <c r="I106" s="2">
        <v>66.071299999999994</v>
      </c>
      <c r="J106" s="2">
        <v>113</v>
      </c>
      <c r="K106" s="2">
        <v>66.115399999999994</v>
      </c>
      <c r="L106" s="2">
        <v>108</v>
      </c>
      <c r="M106" s="2">
        <v>108.4213</v>
      </c>
      <c r="N106" s="2">
        <v>52</v>
      </c>
      <c r="O106" s="2">
        <v>104.9011</v>
      </c>
      <c r="P106" s="2">
        <v>111</v>
      </c>
      <c r="Q106" s="2">
        <v>97.365399999999994</v>
      </c>
      <c r="R106" s="2">
        <v>75</v>
      </c>
      <c r="S106" s="2">
        <v>100.0656</v>
      </c>
      <c r="T106" s="2">
        <v>123</v>
      </c>
      <c r="U106" s="2">
        <v>0.63244299999999998</v>
      </c>
      <c r="V106" s="2">
        <v>105</v>
      </c>
      <c r="W106" s="2">
        <v>2015</v>
      </c>
    </row>
    <row r="107" spans="1:23" ht="12.3" x14ac:dyDescent="0.4">
      <c r="A107" s="2" t="s">
        <v>79</v>
      </c>
      <c r="B107" s="2"/>
      <c r="C107" s="2"/>
      <c r="D107" s="2"/>
      <c r="E107" s="2"/>
      <c r="F107" s="2"/>
      <c r="G107" s="2"/>
      <c r="H107" s="2"/>
      <c r="I107" s="2">
        <v>63.7029</v>
      </c>
      <c r="J107" s="2">
        <v>243</v>
      </c>
      <c r="K107" s="2">
        <v>63.631599999999999</v>
      </c>
      <c r="L107" s="2">
        <v>243</v>
      </c>
      <c r="M107" s="2">
        <v>99.200999999999993</v>
      </c>
      <c r="N107" s="2">
        <v>238</v>
      </c>
      <c r="O107" s="2">
        <v>99.101100000000002</v>
      </c>
      <c r="P107" s="2">
        <v>235</v>
      </c>
      <c r="Q107" s="2">
        <v>96.769400000000005</v>
      </c>
      <c r="R107" s="2">
        <v>66</v>
      </c>
      <c r="S107" s="2">
        <v>94.591499999999996</v>
      </c>
      <c r="T107" s="2">
        <v>35</v>
      </c>
      <c r="U107" s="2">
        <v>0.63078500000000004</v>
      </c>
      <c r="V107" s="2">
        <v>106</v>
      </c>
      <c r="W107" s="2">
        <v>2015</v>
      </c>
    </row>
    <row r="108" spans="1:23" ht="12.3" x14ac:dyDescent="0.4">
      <c r="A108" s="2" t="s">
        <v>106</v>
      </c>
      <c r="B108" s="2"/>
      <c r="C108" s="2"/>
      <c r="D108" s="2"/>
      <c r="E108" s="2"/>
      <c r="F108" s="2"/>
      <c r="G108" s="2"/>
      <c r="H108" s="2"/>
      <c r="I108" s="2">
        <v>65.071600000000004</v>
      </c>
      <c r="J108" s="2">
        <v>157</v>
      </c>
      <c r="K108" s="2">
        <v>64.733500000000006</v>
      </c>
      <c r="L108" s="2">
        <v>169</v>
      </c>
      <c r="M108" s="2">
        <v>102.1118</v>
      </c>
      <c r="N108" s="2">
        <v>176</v>
      </c>
      <c r="O108" s="2">
        <v>102.7805</v>
      </c>
      <c r="P108" s="2">
        <v>154</v>
      </c>
      <c r="Q108" s="2">
        <v>98.661799999999999</v>
      </c>
      <c r="R108" s="2">
        <v>98</v>
      </c>
      <c r="S108" s="2">
        <v>98.234800000000007</v>
      </c>
      <c r="T108" s="2">
        <v>91</v>
      </c>
      <c r="U108" s="2">
        <v>0.62719499999999995</v>
      </c>
      <c r="V108" s="2">
        <v>107</v>
      </c>
      <c r="W108" s="2">
        <v>2015</v>
      </c>
    </row>
    <row r="109" spans="1:23" ht="12.3" x14ac:dyDescent="0.4">
      <c r="A109" s="2" t="s">
        <v>241</v>
      </c>
      <c r="B109" s="2"/>
      <c r="C109" s="2"/>
      <c r="D109" s="2"/>
      <c r="E109" s="2"/>
      <c r="F109" s="2"/>
      <c r="G109" s="2"/>
      <c r="H109" s="2"/>
      <c r="I109" s="2">
        <v>70.379000000000005</v>
      </c>
      <c r="J109" s="2">
        <v>8</v>
      </c>
      <c r="K109" s="2">
        <v>69.531899999999993</v>
      </c>
      <c r="L109" s="2">
        <v>17</v>
      </c>
      <c r="M109" s="2">
        <v>112.8446</v>
      </c>
      <c r="N109" s="2">
        <v>19</v>
      </c>
      <c r="O109" s="2">
        <v>110.3827</v>
      </c>
      <c r="P109" s="2">
        <v>39</v>
      </c>
      <c r="Q109" s="2">
        <v>103.2941</v>
      </c>
      <c r="R109" s="2">
        <v>195</v>
      </c>
      <c r="S109" s="2">
        <v>105.50620000000001</v>
      </c>
      <c r="T109" s="2">
        <v>233</v>
      </c>
      <c r="U109" s="2">
        <v>0.62705599999999995</v>
      </c>
      <c r="V109" s="2">
        <v>108</v>
      </c>
      <c r="W109" s="2">
        <v>2015</v>
      </c>
    </row>
    <row r="110" spans="1:23" ht="12.3" x14ac:dyDescent="0.4">
      <c r="A110" s="2" t="s">
        <v>371</v>
      </c>
      <c r="B110" s="2"/>
      <c r="C110" s="2"/>
      <c r="D110" s="2"/>
      <c r="E110" s="2"/>
      <c r="F110" s="2"/>
      <c r="G110" s="2"/>
      <c r="H110" s="2"/>
      <c r="I110" s="2">
        <v>60.780500000000004</v>
      </c>
      <c r="J110" s="2">
        <v>332</v>
      </c>
      <c r="K110" s="2">
        <v>59.947200000000002</v>
      </c>
      <c r="L110" s="2">
        <v>342</v>
      </c>
      <c r="M110" s="2">
        <v>106.1863</v>
      </c>
      <c r="N110" s="2">
        <v>84</v>
      </c>
      <c r="O110" s="2">
        <v>100.8309</v>
      </c>
      <c r="P110" s="2">
        <v>198</v>
      </c>
      <c r="Q110" s="2">
        <v>89.814300000000003</v>
      </c>
      <c r="R110" s="2">
        <v>5</v>
      </c>
      <c r="S110" s="2">
        <v>96.398700000000005</v>
      </c>
      <c r="T110" s="2">
        <v>61</v>
      </c>
      <c r="U110" s="2">
        <v>0.62643499999999996</v>
      </c>
      <c r="V110" s="2">
        <v>109</v>
      </c>
      <c r="W110" s="2">
        <v>2015</v>
      </c>
    </row>
    <row r="111" spans="1:23" ht="12.3" x14ac:dyDescent="0.4">
      <c r="A111" s="2" t="s">
        <v>104</v>
      </c>
      <c r="B111" s="2"/>
      <c r="C111" s="2"/>
      <c r="D111" s="2"/>
      <c r="E111" s="2"/>
      <c r="F111" s="2"/>
      <c r="G111" s="2"/>
      <c r="H111" s="2"/>
      <c r="I111" s="2">
        <v>62.243099999999998</v>
      </c>
      <c r="J111" s="2">
        <v>297</v>
      </c>
      <c r="K111" s="2">
        <v>62.564100000000003</v>
      </c>
      <c r="L111" s="2">
        <v>279</v>
      </c>
      <c r="M111" s="2">
        <v>105.53440000000001</v>
      </c>
      <c r="N111" s="2">
        <v>94</v>
      </c>
      <c r="O111" s="2">
        <v>106.4174</v>
      </c>
      <c r="P111" s="2">
        <v>80</v>
      </c>
      <c r="Q111" s="2">
        <v>100.70569999999999</v>
      </c>
      <c r="R111" s="2">
        <v>141</v>
      </c>
      <c r="S111" s="2">
        <v>101.7565</v>
      </c>
      <c r="T111" s="2">
        <v>156</v>
      </c>
      <c r="U111" s="2">
        <v>0.62598900000000002</v>
      </c>
      <c r="V111" s="2">
        <v>110</v>
      </c>
      <c r="W111" s="2">
        <v>2015</v>
      </c>
    </row>
    <row r="112" spans="1:23" ht="12.3" x14ac:dyDescent="0.4">
      <c r="A112" s="2" t="s">
        <v>39</v>
      </c>
      <c r="B112" s="2"/>
      <c r="C112" s="2"/>
      <c r="D112" s="2"/>
      <c r="E112" s="2"/>
      <c r="F112" s="2"/>
      <c r="G112" s="2"/>
      <c r="H112" s="2"/>
      <c r="I112" s="2">
        <v>64.630099999999999</v>
      </c>
      <c r="J112" s="2">
        <v>183</v>
      </c>
      <c r="K112" s="2">
        <v>64.182599999999994</v>
      </c>
      <c r="L112" s="2">
        <v>200</v>
      </c>
      <c r="M112" s="2">
        <v>99.631200000000007</v>
      </c>
      <c r="N112" s="2">
        <v>228</v>
      </c>
      <c r="O112" s="2">
        <v>101.661</v>
      </c>
      <c r="P112" s="2">
        <v>178</v>
      </c>
      <c r="Q112" s="2">
        <v>102.60939999999999</v>
      </c>
      <c r="R112" s="2">
        <v>184</v>
      </c>
      <c r="S112" s="2">
        <v>97.408000000000001</v>
      </c>
      <c r="T112" s="2">
        <v>77</v>
      </c>
      <c r="U112" s="2">
        <v>0.62044900000000003</v>
      </c>
      <c r="V112" s="2">
        <v>111</v>
      </c>
      <c r="W112" s="2">
        <v>2015</v>
      </c>
    </row>
    <row r="113" spans="1:23" ht="12.3" x14ac:dyDescent="0.4">
      <c r="A113" s="2" t="s">
        <v>95</v>
      </c>
      <c r="B113" s="2"/>
      <c r="C113" s="2"/>
      <c r="D113" s="2"/>
      <c r="E113" s="2"/>
      <c r="F113" s="2"/>
      <c r="G113" s="2"/>
      <c r="H113" s="2"/>
      <c r="I113" s="2">
        <v>63.8643</v>
      </c>
      <c r="J113" s="2">
        <v>234</v>
      </c>
      <c r="K113" s="2">
        <v>63.660600000000002</v>
      </c>
      <c r="L113" s="2">
        <v>240</v>
      </c>
      <c r="M113" s="2">
        <v>101.4389</v>
      </c>
      <c r="N113" s="2">
        <v>185</v>
      </c>
      <c r="O113" s="2">
        <v>105.6427</v>
      </c>
      <c r="P113" s="2">
        <v>99</v>
      </c>
      <c r="Q113" s="2">
        <v>104.236</v>
      </c>
      <c r="R113" s="2">
        <v>218</v>
      </c>
      <c r="S113" s="2">
        <v>101.35599999999999</v>
      </c>
      <c r="T113" s="2">
        <v>146</v>
      </c>
      <c r="U113" s="2">
        <v>0.616892</v>
      </c>
      <c r="V113" s="2">
        <v>112</v>
      </c>
      <c r="W113" s="2">
        <v>2015</v>
      </c>
    </row>
    <row r="114" spans="1:23" ht="12.3" x14ac:dyDescent="0.4">
      <c r="A114" s="2" t="s">
        <v>53</v>
      </c>
      <c r="B114" s="2"/>
      <c r="C114" s="2"/>
      <c r="D114" s="2"/>
      <c r="E114" s="2"/>
      <c r="F114" s="2"/>
      <c r="G114" s="2"/>
      <c r="H114" s="2"/>
      <c r="I114" s="2">
        <v>62.073900000000002</v>
      </c>
      <c r="J114" s="2">
        <v>303</v>
      </c>
      <c r="K114" s="2">
        <v>61.810600000000001</v>
      </c>
      <c r="L114" s="2">
        <v>309</v>
      </c>
      <c r="M114" s="2">
        <v>104.785</v>
      </c>
      <c r="N114" s="2">
        <v>109</v>
      </c>
      <c r="O114" s="2">
        <v>105.1349</v>
      </c>
      <c r="P114" s="2">
        <v>107</v>
      </c>
      <c r="Q114" s="2">
        <v>100.3544</v>
      </c>
      <c r="R114" s="2">
        <v>131</v>
      </c>
      <c r="S114" s="2">
        <v>100.9268</v>
      </c>
      <c r="T114" s="2">
        <v>137</v>
      </c>
      <c r="U114" s="2">
        <v>0.61532799999999999</v>
      </c>
      <c r="V114" s="2">
        <v>113</v>
      </c>
      <c r="W114" s="2">
        <v>2015</v>
      </c>
    </row>
    <row r="115" spans="1:23" ht="12.3" x14ac:dyDescent="0.4">
      <c r="A115" s="2" t="s">
        <v>324</v>
      </c>
      <c r="B115" s="2"/>
      <c r="C115" s="2"/>
      <c r="D115" s="2"/>
      <c r="E115" s="2"/>
      <c r="F115" s="2"/>
      <c r="G115" s="2"/>
      <c r="H115" s="2"/>
      <c r="I115" s="2">
        <v>64.878200000000007</v>
      </c>
      <c r="J115" s="2">
        <v>168</v>
      </c>
      <c r="K115" s="2">
        <v>63.600999999999999</v>
      </c>
      <c r="L115" s="2">
        <v>246</v>
      </c>
      <c r="M115" s="2">
        <v>105.4774</v>
      </c>
      <c r="N115" s="2">
        <v>96</v>
      </c>
      <c r="O115" s="2">
        <v>104.105</v>
      </c>
      <c r="P115" s="2">
        <v>119</v>
      </c>
      <c r="Q115" s="2">
        <v>98.251800000000003</v>
      </c>
      <c r="R115" s="2">
        <v>91</v>
      </c>
      <c r="S115" s="2">
        <v>99.986400000000003</v>
      </c>
      <c r="T115" s="2">
        <v>122</v>
      </c>
      <c r="U115" s="2">
        <v>0.614012</v>
      </c>
      <c r="V115" s="2">
        <v>114</v>
      </c>
      <c r="W115" s="2">
        <v>2015</v>
      </c>
    </row>
    <row r="116" spans="1:23" ht="12.3" x14ac:dyDescent="0.4">
      <c r="A116" s="2" t="s">
        <v>220</v>
      </c>
      <c r="B116" s="2"/>
      <c r="C116" s="2"/>
      <c r="D116" s="2"/>
      <c r="E116" s="2"/>
      <c r="F116" s="2"/>
      <c r="G116" s="2"/>
      <c r="H116" s="2"/>
      <c r="I116" s="2">
        <v>63.403500000000001</v>
      </c>
      <c r="J116" s="2">
        <v>253</v>
      </c>
      <c r="K116" s="2">
        <v>63.957900000000002</v>
      </c>
      <c r="L116" s="2">
        <v>216</v>
      </c>
      <c r="M116" s="2">
        <v>102.73099999999999</v>
      </c>
      <c r="N116" s="2">
        <v>160</v>
      </c>
      <c r="O116" s="2">
        <v>100.71939999999999</v>
      </c>
      <c r="P116" s="2">
        <v>203</v>
      </c>
      <c r="Q116" s="2">
        <v>91.297200000000004</v>
      </c>
      <c r="R116" s="2">
        <v>11</v>
      </c>
      <c r="S116" s="2">
        <v>96.810400000000001</v>
      </c>
      <c r="T116" s="2">
        <v>65</v>
      </c>
      <c r="U116" s="2">
        <v>0.61187800000000003</v>
      </c>
      <c r="V116" s="2">
        <v>115</v>
      </c>
      <c r="W116" s="2">
        <v>2015</v>
      </c>
    </row>
    <row r="117" spans="1:23" ht="12.3" x14ac:dyDescent="0.4">
      <c r="A117" s="2" t="s">
        <v>57</v>
      </c>
      <c r="B117" s="2"/>
      <c r="C117" s="2"/>
      <c r="D117" s="2"/>
      <c r="E117" s="2"/>
      <c r="F117" s="2"/>
      <c r="G117" s="2"/>
      <c r="H117" s="2"/>
      <c r="I117" s="2">
        <v>66.319599999999994</v>
      </c>
      <c r="J117" s="2">
        <v>103</v>
      </c>
      <c r="K117" s="2">
        <v>66.155799999999999</v>
      </c>
      <c r="L117" s="2">
        <v>106</v>
      </c>
      <c r="M117" s="2">
        <v>99.580600000000004</v>
      </c>
      <c r="N117" s="2">
        <v>232</v>
      </c>
      <c r="O117" s="2">
        <v>101.51479999999999</v>
      </c>
      <c r="P117" s="2">
        <v>180</v>
      </c>
      <c r="Q117" s="2">
        <v>100.61579999999999</v>
      </c>
      <c r="R117" s="2">
        <v>139</v>
      </c>
      <c r="S117" s="2">
        <v>97.740399999999994</v>
      </c>
      <c r="T117" s="2">
        <v>83</v>
      </c>
      <c r="U117" s="2">
        <v>0.60724100000000003</v>
      </c>
      <c r="V117" s="2">
        <v>116</v>
      </c>
      <c r="W117" s="2">
        <v>2015</v>
      </c>
    </row>
    <row r="118" spans="1:23" ht="12.3" x14ac:dyDescent="0.4">
      <c r="A118" s="2" t="s">
        <v>149</v>
      </c>
      <c r="B118" s="2"/>
      <c r="C118" s="2"/>
      <c r="D118" s="2"/>
      <c r="E118" s="2"/>
      <c r="F118" s="2"/>
      <c r="G118" s="2"/>
      <c r="H118" s="2"/>
      <c r="I118" s="2">
        <v>62.009700000000002</v>
      </c>
      <c r="J118" s="2">
        <v>304</v>
      </c>
      <c r="K118" s="2">
        <v>61.133000000000003</v>
      </c>
      <c r="L118" s="2">
        <v>324</v>
      </c>
      <c r="M118" s="2">
        <v>96.090500000000006</v>
      </c>
      <c r="N118" s="2">
        <v>288</v>
      </c>
      <c r="O118" s="2">
        <v>96.816199999999995</v>
      </c>
      <c r="P118" s="2">
        <v>276</v>
      </c>
      <c r="Q118" s="2">
        <v>94.876900000000006</v>
      </c>
      <c r="R118" s="2">
        <v>33</v>
      </c>
      <c r="S118" s="2">
        <v>93.263099999999994</v>
      </c>
      <c r="T118" s="2">
        <v>17</v>
      </c>
      <c r="U118" s="2">
        <v>0.60586899999999999</v>
      </c>
      <c r="V118" s="2">
        <v>117</v>
      </c>
      <c r="W118" s="2">
        <v>2015</v>
      </c>
    </row>
    <row r="119" spans="1:23" ht="12.3" x14ac:dyDescent="0.4">
      <c r="A119" s="2" t="s">
        <v>98</v>
      </c>
      <c r="B119" s="2"/>
      <c r="C119" s="2"/>
      <c r="D119" s="2"/>
      <c r="E119" s="2"/>
      <c r="F119" s="2"/>
      <c r="G119" s="2"/>
      <c r="H119" s="2"/>
      <c r="I119" s="2">
        <v>62.898099999999999</v>
      </c>
      <c r="J119" s="2">
        <v>277</v>
      </c>
      <c r="K119" s="2">
        <v>64.026700000000005</v>
      </c>
      <c r="L119" s="2">
        <v>211</v>
      </c>
      <c r="M119" s="2">
        <v>104.1123</v>
      </c>
      <c r="N119" s="2">
        <v>121</v>
      </c>
      <c r="O119" s="2">
        <v>105.7786</v>
      </c>
      <c r="P119" s="2">
        <v>97</v>
      </c>
      <c r="Q119" s="2">
        <v>99.8489</v>
      </c>
      <c r="R119" s="2">
        <v>120</v>
      </c>
      <c r="S119" s="2">
        <v>102.0248</v>
      </c>
      <c r="T119" s="2">
        <v>160</v>
      </c>
      <c r="U119" s="2">
        <v>0.60241199999999995</v>
      </c>
      <c r="V119" s="2">
        <v>118</v>
      </c>
      <c r="W119" s="2">
        <v>2015</v>
      </c>
    </row>
    <row r="120" spans="1:23" ht="12.3" x14ac:dyDescent="0.4">
      <c r="A120" s="2" t="s">
        <v>124</v>
      </c>
      <c r="B120" s="2"/>
      <c r="C120" s="2"/>
      <c r="D120" s="2"/>
      <c r="E120" s="2"/>
      <c r="F120" s="2"/>
      <c r="G120" s="2"/>
      <c r="H120" s="2"/>
      <c r="I120" s="2">
        <v>60.501399999999997</v>
      </c>
      <c r="J120" s="2">
        <v>337</v>
      </c>
      <c r="K120" s="2">
        <v>60.410800000000002</v>
      </c>
      <c r="L120" s="2">
        <v>339</v>
      </c>
      <c r="M120" s="2">
        <v>102.6982</v>
      </c>
      <c r="N120" s="2">
        <v>161</v>
      </c>
      <c r="O120" s="2">
        <v>105.8665</v>
      </c>
      <c r="P120" s="2">
        <v>96</v>
      </c>
      <c r="Q120" s="2">
        <v>105.23050000000001</v>
      </c>
      <c r="R120" s="2">
        <v>243</v>
      </c>
      <c r="S120" s="2">
        <v>102.2543</v>
      </c>
      <c r="T120" s="2">
        <v>166</v>
      </c>
      <c r="U120" s="2">
        <v>0.59850400000000004</v>
      </c>
      <c r="V120" s="2">
        <v>119</v>
      </c>
      <c r="W120" s="2">
        <v>2015</v>
      </c>
    </row>
    <row r="121" spans="1:23" ht="12.3" x14ac:dyDescent="0.4">
      <c r="A121" s="2" t="s">
        <v>308</v>
      </c>
      <c r="B121" s="2">
        <v>14</v>
      </c>
      <c r="C121" s="2"/>
      <c r="D121" s="2"/>
      <c r="E121" s="2"/>
      <c r="F121" s="2"/>
      <c r="G121" s="2"/>
      <c r="H121" s="2"/>
      <c r="I121" s="2">
        <v>63.4818</v>
      </c>
      <c r="J121" s="2">
        <v>251</v>
      </c>
      <c r="K121" s="2">
        <v>63.667000000000002</v>
      </c>
      <c r="L121" s="2">
        <v>239</v>
      </c>
      <c r="M121" s="2">
        <v>107.29640000000001</v>
      </c>
      <c r="N121" s="2">
        <v>63</v>
      </c>
      <c r="O121" s="2">
        <v>105.9911</v>
      </c>
      <c r="P121" s="2">
        <v>90</v>
      </c>
      <c r="Q121" s="2">
        <v>101.1421</v>
      </c>
      <c r="R121" s="2">
        <v>151</v>
      </c>
      <c r="S121" s="2">
        <v>102.3937</v>
      </c>
      <c r="T121" s="2">
        <v>171</v>
      </c>
      <c r="U121" s="2">
        <v>0.59798799999999996</v>
      </c>
      <c r="V121" s="2">
        <v>120</v>
      </c>
      <c r="W121" s="2">
        <v>2015</v>
      </c>
    </row>
    <row r="122" spans="1:23" ht="12.3" x14ac:dyDescent="0.4">
      <c r="A122" s="2" t="s">
        <v>128</v>
      </c>
      <c r="B122" s="2">
        <v>14</v>
      </c>
      <c r="C122" s="2"/>
      <c r="D122" s="2"/>
      <c r="E122" s="2"/>
      <c r="F122" s="2"/>
      <c r="G122" s="2"/>
      <c r="H122" s="2"/>
      <c r="I122" s="2">
        <v>65.496200000000002</v>
      </c>
      <c r="J122" s="2">
        <v>142</v>
      </c>
      <c r="K122" s="2">
        <v>64.950299999999999</v>
      </c>
      <c r="L122" s="2">
        <v>159</v>
      </c>
      <c r="M122" s="2">
        <v>101.1444</v>
      </c>
      <c r="N122" s="2">
        <v>192</v>
      </c>
      <c r="O122" s="2">
        <v>103.7809</v>
      </c>
      <c r="P122" s="2">
        <v>130</v>
      </c>
      <c r="Q122" s="2">
        <v>99.581400000000002</v>
      </c>
      <c r="R122" s="2">
        <v>116</v>
      </c>
      <c r="S122" s="2">
        <v>100.26009999999999</v>
      </c>
      <c r="T122" s="2">
        <v>130</v>
      </c>
      <c r="U122" s="2">
        <v>0.597943</v>
      </c>
      <c r="V122" s="2">
        <v>121</v>
      </c>
      <c r="W122" s="2">
        <v>2015</v>
      </c>
    </row>
    <row r="123" spans="1:23" ht="12.3" x14ac:dyDescent="0.4">
      <c r="A123" s="2" t="s">
        <v>66</v>
      </c>
      <c r="B123" s="2"/>
      <c r="C123" s="2"/>
      <c r="D123" s="2"/>
      <c r="E123" s="2"/>
      <c r="F123" s="2"/>
      <c r="G123" s="2"/>
      <c r="H123" s="2"/>
      <c r="I123" s="2">
        <v>69.063800000000001</v>
      </c>
      <c r="J123" s="2">
        <v>22</v>
      </c>
      <c r="K123" s="2">
        <v>69.674400000000006</v>
      </c>
      <c r="L123" s="2">
        <v>14</v>
      </c>
      <c r="M123" s="2">
        <v>103.3463</v>
      </c>
      <c r="N123" s="2">
        <v>143</v>
      </c>
      <c r="O123" s="2">
        <v>102.86320000000001</v>
      </c>
      <c r="P123" s="2">
        <v>152</v>
      </c>
      <c r="Q123" s="2">
        <v>98.428299999999993</v>
      </c>
      <c r="R123" s="2">
        <v>93</v>
      </c>
      <c r="S123" s="2">
        <v>99.540400000000005</v>
      </c>
      <c r="T123" s="2">
        <v>111</v>
      </c>
      <c r="U123" s="2">
        <v>0.59329699999999996</v>
      </c>
      <c r="V123" s="2">
        <v>122</v>
      </c>
      <c r="W123" s="2">
        <v>2015</v>
      </c>
    </row>
    <row r="124" spans="1:23" ht="12.3" x14ac:dyDescent="0.4">
      <c r="A124" s="2" t="s">
        <v>131</v>
      </c>
      <c r="B124" s="2"/>
      <c r="C124" s="2"/>
      <c r="D124" s="2"/>
      <c r="E124" s="2"/>
      <c r="F124" s="2"/>
      <c r="G124" s="2"/>
      <c r="H124" s="2"/>
      <c r="I124" s="2">
        <v>66.179100000000005</v>
      </c>
      <c r="J124" s="2">
        <v>107</v>
      </c>
      <c r="K124" s="2">
        <v>65.632099999999994</v>
      </c>
      <c r="L124" s="2">
        <v>130</v>
      </c>
      <c r="M124" s="2">
        <v>103.2264</v>
      </c>
      <c r="N124" s="2">
        <v>145</v>
      </c>
      <c r="O124" s="2">
        <v>106.38420000000001</v>
      </c>
      <c r="P124" s="2">
        <v>82</v>
      </c>
      <c r="Q124" s="2">
        <v>102.2034</v>
      </c>
      <c r="R124" s="2">
        <v>173</v>
      </c>
      <c r="S124" s="2">
        <v>102.9525</v>
      </c>
      <c r="T124" s="2">
        <v>180</v>
      </c>
      <c r="U124" s="2">
        <v>0.59316800000000003</v>
      </c>
      <c r="V124" s="2">
        <v>123</v>
      </c>
      <c r="W124" s="2">
        <v>2015</v>
      </c>
    </row>
    <row r="125" spans="1:23" ht="12.3" x14ac:dyDescent="0.4">
      <c r="A125" s="2" t="s">
        <v>243</v>
      </c>
      <c r="B125" s="2"/>
      <c r="C125" s="2"/>
      <c r="D125" s="2"/>
      <c r="E125" s="2"/>
      <c r="F125" s="2"/>
      <c r="G125" s="2"/>
      <c r="H125" s="2"/>
      <c r="I125" s="2">
        <v>69.139799999999994</v>
      </c>
      <c r="J125" s="2">
        <v>19</v>
      </c>
      <c r="K125" s="2">
        <v>69.212199999999996</v>
      </c>
      <c r="L125" s="2">
        <v>21</v>
      </c>
      <c r="M125" s="2">
        <v>112.7814</v>
      </c>
      <c r="N125" s="2">
        <v>20</v>
      </c>
      <c r="O125" s="2">
        <v>108.8591</v>
      </c>
      <c r="P125" s="2">
        <v>53</v>
      </c>
      <c r="Q125" s="2">
        <v>100.3509</v>
      </c>
      <c r="R125" s="2">
        <v>130</v>
      </c>
      <c r="S125" s="2">
        <v>105.4353</v>
      </c>
      <c r="T125" s="2">
        <v>232</v>
      </c>
      <c r="U125" s="2">
        <v>0.59085699999999997</v>
      </c>
      <c r="V125" s="2">
        <v>124</v>
      </c>
      <c r="W125" s="2">
        <v>2015</v>
      </c>
    </row>
    <row r="126" spans="1:23" ht="12.3" x14ac:dyDescent="0.4">
      <c r="A126" s="2" t="s">
        <v>290</v>
      </c>
      <c r="B126" s="2"/>
      <c r="C126" s="2"/>
      <c r="D126" s="2"/>
      <c r="E126" s="2"/>
      <c r="F126" s="2"/>
      <c r="G126" s="2"/>
      <c r="H126" s="2"/>
      <c r="I126" s="2">
        <v>64.1875</v>
      </c>
      <c r="J126" s="2">
        <v>211</v>
      </c>
      <c r="K126" s="2">
        <v>64.627300000000005</v>
      </c>
      <c r="L126" s="2">
        <v>176</v>
      </c>
      <c r="M126" s="2">
        <v>107.0598</v>
      </c>
      <c r="N126" s="2">
        <v>65</v>
      </c>
      <c r="O126" s="2">
        <v>107.1825</v>
      </c>
      <c r="P126" s="2">
        <v>71</v>
      </c>
      <c r="Q126" s="2">
        <v>105.67400000000001</v>
      </c>
      <c r="R126" s="2">
        <v>255</v>
      </c>
      <c r="S126" s="2">
        <v>103.8222</v>
      </c>
      <c r="T126" s="2">
        <v>198</v>
      </c>
      <c r="U126" s="2">
        <v>0.59056699999999995</v>
      </c>
      <c r="V126" s="2">
        <v>125</v>
      </c>
      <c r="W126" s="2">
        <v>2015</v>
      </c>
    </row>
    <row r="127" spans="1:23" ht="12.3" x14ac:dyDescent="0.4">
      <c r="A127" s="2" t="s">
        <v>61</v>
      </c>
      <c r="B127" s="2"/>
      <c r="C127" s="2"/>
      <c r="D127" s="2"/>
      <c r="E127" s="2"/>
      <c r="F127" s="2"/>
      <c r="G127" s="2"/>
      <c r="H127" s="2"/>
      <c r="I127" s="2">
        <v>68.696700000000007</v>
      </c>
      <c r="J127" s="2">
        <v>28</v>
      </c>
      <c r="K127" s="2">
        <v>68.643100000000004</v>
      </c>
      <c r="L127" s="2">
        <v>27</v>
      </c>
      <c r="M127" s="2">
        <v>99.464399999999998</v>
      </c>
      <c r="N127" s="2">
        <v>234</v>
      </c>
      <c r="O127" s="2">
        <v>103.93640000000001</v>
      </c>
      <c r="P127" s="2">
        <v>124</v>
      </c>
      <c r="Q127" s="2">
        <v>103.751</v>
      </c>
      <c r="R127" s="2">
        <v>207</v>
      </c>
      <c r="S127" s="2">
        <v>101.1138</v>
      </c>
      <c r="T127" s="2">
        <v>141</v>
      </c>
      <c r="U127" s="2">
        <v>0.57850299999999999</v>
      </c>
      <c r="V127" s="2">
        <v>126</v>
      </c>
      <c r="W127" s="2">
        <v>2015</v>
      </c>
    </row>
    <row r="128" spans="1:23" ht="12.3" x14ac:dyDescent="0.4">
      <c r="A128" s="2" t="s">
        <v>363</v>
      </c>
      <c r="B128" s="2">
        <v>16</v>
      </c>
      <c r="C128" s="2"/>
      <c r="D128" s="2"/>
      <c r="E128" s="2"/>
      <c r="F128" s="2"/>
      <c r="G128" s="2"/>
      <c r="H128" s="2"/>
      <c r="I128" s="2">
        <v>67.5625</v>
      </c>
      <c r="J128" s="2">
        <v>59</v>
      </c>
      <c r="K128" s="2">
        <v>67.115399999999994</v>
      </c>
      <c r="L128" s="2">
        <v>60</v>
      </c>
      <c r="M128" s="2">
        <v>109.6328</v>
      </c>
      <c r="N128" s="2">
        <v>37</v>
      </c>
      <c r="O128" s="2">
        <v>105.69</v>
      </c>
      <c r="P128" s="2">
        <v>98</v>
      </c>
      <c r="Q128" s="2">
        <v>101.3077</v>
      </c>
      <c r="R128" s="2">
        <v>157</v>
      </c>
      <c r="S128" s="2">
        <v>102.83750000000001</v>
      </c>
      <c r="T128" s="2">
        <v>178</v>
      </c>
      <c r="U128" s="2">
        <v>0.57801800000000003</v>
      </c>
      <c r="V128" s="2">
        <v>127</v>
      </c>
      <c r="W128" s="2">
        <v>2015</v>
      </c>
    </row>
    <row r="129" spans="1:23" ht="12.3" x14ac:dyDescent="0.4">
      <c r="A129" s="2" t="s">
        <v>336</v>
      </c>
      <c r="B129" s="2"/>
      <c r="C129" s="2"/>
      <c r="D129" s="2"/>
      <c r="E129" s="2"/>
      <c r="F129" s="2"/>
      <c r="G129" s="2"/>
      <c r="H129" s="2"/>
      <c r="I129" s="2">
        <v>63.321399999999997</v>
      </c>
      <c r="J129" s="2">
        <v>256</v>
      </c>
      <c r="K129" s="2">
        <v>64.292900000000003</v>
      </c>
      <c r="L129" s="2">
        <v>197</v>
      </c>
      <c r="M129" s="2">
        <v>101.6561</v>
      </c>
      <c r="N129" s="2">
        <v>182</v>
      </c>
      <c r="O129" s="2">
        <v>99.876999999999995</v>
      </c>
      <c r="P129" s="2">
        <v>228</v>
      </c>
      <c r="Q129" s="2">
        <v>94.642899999999997</v>
      </c>
      <c r="R129" s="2">
        <v>29</v>
      </c>
      <c r="S129" s="2">
        <v>97.270300000000006</v>
      </c>
      <c r="T129" s="2">
        <v>75</v>
      </c>
      <c r="U129" s="2">
        <v>0.57544899999999999</v>
      </c>
      <c r="V129" s="2">
        <v>128</v>
      </c>
      <c r="W129" s="2">
        <v>2015</v>
      </c>
    </row>
    <row r="130" spans="1:23" ht="12.3" x14ac:dyDescent="0.4">
      <c r="A130" s="2" t="s">
        <v>117</v>
      </c>
      <c r="B130" s="2"/>
      <c r="C130" s="2"/>
      <c r="D130" s="2"/>
      <c r="E130" s="2"/>
      <c r="F130" s="2"/>
      <c r="G130" s="2"/>
      <c r="H130" s="2"/>
      <c r="I130" s="2">
        <v>70.852199999999996</v>
      </c>
      <c r="J130" s="2">
        <v>7</v>
      </c>
      <c r="K130" s="2">
        <v>69.8309</v>
      </c>
      <c r="L130" s="2">
        <v>12</v>
      </c>
      <c r="M130" s="2">
        <v>104.3497</v>
      </c>
      <c r="N130" s="2">
        <v>118</v>
      </c>
      <c r="O130" s="2">
        <v>103.62569999999999</v>
      </c>
      <c r="P130" s="2">
        <v>135</v>
      </c>
      <c r="Q130" s="2">
        <v>97.578400000000002</v>
      </c>
      <c r="R130" s="2">
        <v>79</v>
      </c>
      <c r="S130" s="2">
        <v>101.09220000000001</v>
      </c>
      <c r="T130" s="2">
        <v>140</v>
      </c>
      <c r="U130" s="2">
        <v>0.57068799999999997</v>
      </c>
      <c r="V130" s="2">
        <v>129</v>
      </c>
      <c r="W130" s="2">
        <v>2015</v>
      </c>
    </row>
    <row r="131" spans="1:23" ht="12.3" x14ac:dyDescent="0.4">
      <c r="A131" s="2" t="s">
        <v>257</v>
      </c>
      <c r="B131" s="2"/>
      <c r="C131" s="2"/>
      <c r="D131" s="2"/>
      <c r="E131" s="2"/>
      <c r="F131" s="2"/>
      <c r="G131" s="2"/>
      <c r="H131" s="2"/>
      <c r="I131" s="2">
        <v>64.238299999999995</v>
      </c>
      <c r="J131" s="2">
        <v>207</v>
      </c>
      <c r="K131" s="2">
        <v>64.178299999999993</v>
      </c>
      <c r="L131" s="2">
        <v>202</v>
      </c>
      <c r="M131" s="2">
        <v>111.2893</v>
      </c>
      <c r="N131" s="2">
        <v>26</v>
      </c>
      <c r="O131" s="2">
        <v>111.3608</v>
      </c>
      <c r="P131" s="2">
        <v>32</v>
      </c>
      <c r="Q131" s="2">
        <v>105.1348</v>
      </c>
      <c r="R131" s="2">
        <v>240</v>
      </c>
      <c r="S131" s="2">
        <v>108.70059999999999</v>
      </c>
      <c r="T131" s="2">
        <v>299</v>
      </c>
      <c r="U131" s="2">
        <v>0.56906699999999999</v>
      </c>
      <c r="V131" s="2">
        <v>130</v>
      </c>
      <c r="W131" s="2">
        <v>2015</v>
      </c>
    </row>
    <row r="132" spans="1:23" ht="12.3" x14ac:dyDescent="0.4">
      <c r="A132" s="2" t="s">
        <v>339</v>
      </c>
      <c r="B132" s="2">
        <v>14</v>
      </c>
      <c r="C132" s="2"/>
      <c r="D132" s="2"/>
      <c r="E132" s="2"/>
      <c r="F132" s="2"/>
      <c r="G132" s="2"/>
      <c r="H132" s="2"/>
      <c r="I132" s="2">
        <v>61.230899999999998</v>
      </c>
      <c r="J132" s="2">
        <v>321</v>
      </c>
      <c r="K132" s="2">
        <v>61.329700000000003</v>
      </c>
      <c r="L132" s="2">
        <v>320</v>
      </c>
      <c r="M132" s="2">
        <v>106.7968</v>
      </c>
      <c r="N132" s="2">
        <v>67</v>
      </c>
      <c r="O132" s="2">
        <v>104.2175</v>
      </c>
      <c r="P132" s="2">
        <v>117</v>
      </c>
      <c r="Q132" s="2">
        <v>98.084199999999996</v>
      </c>
      <c r="R132" s="2">
        <v>86</v>
      </c>
      <c r="S132" s="2">
        <v>101.7462</v>
      </c>
      <c r="T132" s="2">
        <v>155</v>
      </c>
      <c r="U132" s="2">
        <v>0.56856200000000001</v>
      </c>
      <c r="V132" s="2">
        <v>131</v>
      </c>
      <c r="W132" s="2">
        <v>2015</v>
      </c>
    </row>
    <row r="133" spans="1:23" ht="12.3" x14ac:dyDescent="0.4">
      <c r="A133" s="2" t="s">
        <v>136</v>
      </c>
      <c r="B133" s="2"/>
      <c r="C133" s="2"/>
      <c r="D133" s="2"/>
      <c r="E133" s="2"/>
      <c r="F133" s="2"/>
      <c r="G133" s="2"/>
      <c r="H133" s="2"/>
      <c r="I133" s="2">
        <v>63.871299999999998</v>
      </c>
      <c r="J133" s="2">
        <v>232</v>
      </c>
      <c r="K133" s="2">
        <v>63.604799999999997</v>
      </c>
      <c r="L133" s="2">
        <v>245</v>
      </c>
      <c r="M133" s="2">
        <v>94.679299999999998</v>
      </c>
      <c r="N133" s="2">
        <v>302</v>
      </c>
      <c r="O133" s="2">
        <v>96.395200000000003</v>
      </c>
      <c r="P133" s="2">
        <v>283</v>
      </c>
      <c r="Q133" s="2">
        <v>98.001800000000003</v>
      </c>
      <c r="R133" s="2">
        <v>85</v>
      </c>
      <c r="S133" s="2">
        <v>94.131699999999995</v>
      </c>
      <c r="T133" s="2">
        <v>29</v>
      </c>
      <c r="U133" s="2">
        <v>0.56789199999999995</v>
      </c>
      <c r="V133" s="2">
        <v>132</v>
      </c>
      <c r="W133" s="2">
        <v>2015</v>
      </c>
    </row>
    <row r="134" spans="1:23" ht="12.3" x14ac:dyDescent="0.4">
      <c r="A134" s="2" t="s">
        <v>292</v>
      </c>
      <c r="B134" s="2"/>
      <c r="C134" s="2"/>
      <c r="D134" s="2"/>
      <c r="E134" s="2"/>
      <c r="F134" s="2"/>
      <c r="G134" s="2"/>
      <c r="H134" s="2"/>
      <c r="I134" s="2">
        <v>64.880499999999998</v>
      </c>
      <c r="J134" s="2">
        <v>167</v>
      </c>
      <c r="K134" s="2">
        <v>65.979399999999998</v>
      </c>
      <c r="L134" s="2">
        <v>114</v>
      </c>
      <c r="M134" s="2">
        <v>102.8339</v>
      </c>
      <c r="N134" s="2">
        <v>156</v>
      </c>
      <c r="O134" s="2">
        <v>102.3623</v>
      </c>
      <c r="P134" s="2">
        <v>162</v>
      </c>
      <c r="Q134" s="2">
        <v>99.224400000000003</v>
      </c>
      <c r="R134" s="2">
        <v>108</v>
      </c>
      <c r="S134" s="2">
        <v>99.965699999999998</v>
      </c>
      <c r="T134" s="2">
        <v>121</v>
      </c>
      <c r="U134" s="2">
        <v>0.56769599999999998</v>
      </c>
      <c r="V134" s="2">
        <v>133</v>
      </c>
      <c r="W134" s="2">
        <v>2015</v>
      </c>
    </row>
    <row r="135" spans="1:23" ht="12.3" x14ac:dyDescent="0.4">
      <c r="A135" s="2" t="s">
        <v>331</v>
      </c>
      <c r="B135" s="2"/>
      <c r="C135" s="2"/>
      <c r="D135" s="2"/>
      <c r="E135" s="2"/>
      <c r="F135" s="2"/>
      <c r="G135" s="2"/>
      <c r="H135" s="2"/>
      <c r="I135" s="2">
        <v>66.531199999999998</v>
      </c>
      <c r="J135" s="2">
        <v>93</v>
      </c>
      <c r="K135" s="2">
        <v>66.149799999999999</v>
      </c>
      <c r="L135" s="2">
        <v>107</v>
      </c>
      <c r="M135" s="2">
        <v>101.2353</v>
      </c>
      <c r="N135" s="2">
        <v>190</v>
      </c>
      <c r="O135" s="2">
        <v>100.2362</v>
      </c>
      <c r="P135" s="2">
        <v>220</v>
      </c>
      <c r="Q135" s="2">
        <v>98.316500000000005</v>
      </c>
      <c r="R135" s="2">
        <v>92</v>
      </c>
      <c r="S135" s="2">
        <v>97.932199999999995</v>
      </c>
      <c r="T135" s="2">
        <v>85</v>
      </c>
      <c r="U135" s="2">
        <v>0.56646200000000002</v>
      </c>
      <c r="V135" s="2">
        <v>134</v>
      </c>
      <c r="W135" s="2">
        <v>2015</v>
      </c>
    </row>
    <row r="136" spans="1:23" ht="12.3" x14ac:dyDescent="0.4">
      <c r="A136" s="2" t="s">
        <v>155</v>
      </c>
      <c r="B136" s="2"/>
      <c r="C136" s="2"/>
      <c r="D136" s="2"/>
      <c r="E136" s="2"/>
      <c r="F136" s="2"/>
      <c r="G136" s="2"/>
      <c r="H136" s="2"/>
      <c r="I136" s="2">
        <v>68.347899999999996</v>
      </c>
      <c r="J136" s="2">
        <v>35</v>
      </c>
      <c r="K136" s="2">
        <v>67.553600000000003</v>
      </c>
      <c r="L136" s="2">
        <v>49</v>
      </c>
      <c r="M136" s="2">
        <v>100.7353</v>
      </c>
      <c r="N136" s="2">
        <v>202</v>
      </c>
      <c r="O136" s="2">
        <v>103.80889999999999</v>
      </c>
      <c r="P136" s="2">
        <v>128</v>
      </c>
      <c r="Q136" s="2">
        <v>102.2518</v>
      </c>
      <c r="R136" s="2">
        <v>174</v>
      </c>
      <c r="S136" s="2">
        <v>101.55759999999999</v>
      </c>
      <c r="T136" s="2">
        <v>150</v>
      </c>
      <c r="U136" s="2">
        <v>0.56270399999999998</v>
      </c>
      <c r="V136" s="2">
        <v>135</v>
      </c>
      <c r="W136" s="2">
        <v>2015</v>
      </c>
    </row>
    <row r="137" spans="1:23" ht="12.3" x14ac:dyDescent="0.4">
      <c r="A137" s="2" t="s">
        <v>187</v>
      </c>
      <c r="B137" s="2">
        <v>13</v>
      </c>
      <c r="C137" s="2"/>
      <c r="D137" s="2"/>
      <c r="E137" s="2"/>
      <c r="F137" s="2"/>
      <c r="G137" s="2"/>
      <c r="H137" s="2"/>
      <c r="I137" s="2">
        <v>68.415199999999999</v>
      </c>
      <c r="J137" s="2">
        <v>33</v>
      </c>
      <c r="K137" s="2">
        <v>68.779499999999999</v>
      </c>
      <c r="L137" s="2">
        <v>24</v>
      </c>
      <c r="M137" s="2">
        <v>114.81950000000001</v>
      </c>
      <c r="N137" s="2">
        <v>13</v>
      </c>
      <c r="O137" s="2">
        <v>110.0324</v>
      </c>
      <c r="P137" s="2">
        <v>46</v>
      </c>
      <c r="Q137" s="2">
        <v>107.6451</v>
      </c>
      <c r="R137" s="2">
        <v>296</v>
      </c>
      <c r="S137" s="2">
        <v>107.68</v>
      </c>
      <c r="T137" s="2">
        <v>279</v>
      </c>
      <c r="U137" s="2">
        <v>0.56181300000000001</v>
      </c>
      <c r="V137" s="2">
        <v>136</v>
      </c>
      <c r="W137" s="2">
        <v>2015</v>
      </c>
    </row>
    <row r="138" spans="1:23" ht="12.3" x14ac:dyDescent="0.4">
      <c r="A138" s="2" t="s">
        <v>188</v>
      </c>
      <c r="B138" s="2"/>
      <c r="C138" s="2"/>
      <c r="D138" s="2"/>
      <c r="E138" s="2"/>
      <c r="F138" s="2"/>
      <c r="G138" s="2"/>
      <c r="H138" s="2"/>
      <c r="I138" s="2">
        <v>65.947900000000004</v>
      </c>
      <c r="J138" s="2">
        <v>121</v>
      </c>
      <c r="K138" s="2">
        <v>65.424899999999994</v>
      </c>
      <c r="L138" s="2">
        <v>139</v>
      </c>
      <c r="M138" s="2">
        <v>98.559399999999997</v>
      </c>
      <c r="N138" s="2">
        <v>252</v>
      </c>
      <c r="O138" s="2">
        <v>100.97410000000001</v>
      </c>
      <c r="P138" s="2">
        <v>195</v>
      </c>
      <c r="Q138" s="2">
        <v>102.5891</v>
      </c>
      <c r="R138" s="2">
        <v>183</v>
      </c>
      <c r="S138" s="2">
        <v>99.018699999999995</v>
      </c>
      <c r="T138" s="2">
        <v>100</v>
      </c>
      <c r="U138" s="2">
        <v>0.55598800000000004</v>
      </c>
      <c r="V138" s="2">
        <v>137</v>
      </c>
      <c r="W138" s="2">
        <v>2015</v>
      </c>
    </row>
    <row r="139" spans="1:23" ht="12.3" x14ac:dyDescent="0.4">
      <c r="A139" s="2" t="s">
        <v>68</v>
      </c>
      <c r="B139" s="2"/>
      <c r="C139" s="2"/>
      <c r="D139" s="2"/>
      <c r="E139" s="2"/>
      <c r="F139" s="2"/>
      <c r="G139" s="2"/>
      <c r="H139" s="2"/>
      <c r="I139" s="2">
        <v>67.442099999999996</v>
      </c>
      <c r="J139" s="2">
        <v>62</v>
      </c>
      <c r="K139" s="2">
        <v>66.553399999999996</v>
      </c>
      <c r="L139" s="2">
        <v>86</v>
      </c>
      <c r="M139" s="2">
        <v>102.3048</v>
      </c>
      <c r="N139" s="2">
        <v>171</v>
      </c>
      <c r="O139" s="2">
        <v>102.60120000000001</v>
      </c>
      <c r="P139" s="2">
        <v>159</v>
      </c>
      <c r="Q139" s="2">
        <v>99.929900000000004</v>
      </c>
      <c r="R139" s="2">
        <v>123</v>
      </c>
      <c r="S139" s="2">
        <v>100.6144</v>
      </c>
      <c r="T139" s="2">
        <v>133</v>
      </c>
      <c r="U139" s="2">
        <v>0.55598099999999995</v>
      </c>
      <c r="V139" s="2">
        <v>138</v>
      </c>
      <c r="W139" s="2">
        <v>2015</v>
      </c>
    </row>
    <row r="140" spans="1:23" ht="12.3" x14ac:dyDescent="0.4">
      <c r="A140" s="2" t="s">
        <v>330</v>
      </c>
      <c r="B140" s="2"/>
      <c r="C140" s="2"/>
      <c r="D140" s="2"/>
      <c r="E140" s="2"/>
      <c r="F140" s="2"/>
      <c r="G140" s="2"/>
      <c r="H140" s="2"/>
      <c r="I140" s="2">
        <v>62.913800000000002</v>
      </c>
      <c r="J140" s="2">
        <v>276</v>
      </c>
      <c r="K140" s="2">
        <v>62.485399999999998</v>
      </c>
      <c r="L140" s="2">
        <v>286</v>
      </c>
      <c r="M140" s="2">
        <v>108.5372</v>
      </c>
      <c r="N140" s="2">
        <v>51</v>
      </c>
      <c r="O140" s="2">
        <v>106.1998</v>
      </c>
      <c r="P140" s="2">
        <v>86</v>
      </c>
      <c r="Q140" s="2">
        <v>105.0124</v>
      </c>
      <c r="R140" s="2">
        <v>238</v>
      </c>
      <c r="S140" s="2">
        <v>104.16540000000001</v>
      </c>
      <c r="T140" s="2">
        <v>207</v>
      </c>
      <c r="U140" s="2">
        <v>0.55538100000000001</v>
      </c>
      <c r="V140" s="2">
        <v>139</v>
      </c>
      <c r="W140" s="2">
        <v>2015</v>
      </c>
    </row>
    <row r="141" spans="1:23" ht="12.3" x14ac:dyDescent="0.4">
      <c r="A141" s="2" t="s">
        <v>162</v>
      </c>
      <c r="B141" s="2"/>
      <c r="C141" s="2"/>
      <c r="D141" s="2"/>
      <c r="E141" s="2"/>
      <c r="F141" s="2"/>
      <c r="G141" s="2"/>
      <c r="H141" s="2"/>
      <c r="I141" s="2">
        <v>64.758899999999997</v>
      </c>
      <c r="J141" s="2">
        <v>175</v>
      </c>
      <c r="K141" s="2">
        <v>64.8078</v>
      </c>
      <c r="L141" s="2">
        <v>163</v>
      </c>
      <c r="M141" s="2">
        <v>107.59180000000001</v>
      </c>
      <c r="N141" s="2">
        <v>57</v>
      </c>
      <c r="O141" s="2">
        <v>106.25</v>
      </c>
      <c r="P141" s="2">
        <v>84</v>
      </c>
      <c r="Q141" s="2">
        <v>106.0688</v>
      </c>
      <c r="R141" s="2">
        <v>263</v>
      </c>
      <c r="S141" s="2">
        <v>104.3518</v>
      </c>
      <c r="T141" s="2">
        <v>209</v>
      </c>
      <c r="U141" s="2">
        <v>0.55164299999999999</v>
      </c>
      <c r="V141" s="2">
        <v>140</v>
      </c>
      <c r="W141" s="2">
        <v>2015</v>
      </c>
    </row>
    <row r="142" spans="1:23" ht="12.3" x14ac:dyDescent="0.4">
      <c r="A142" s="2" t="s">
        <v>115</v>
      </c>
      <c r="B142" s="2"/>
      <c r="C142" s="2"/>
      <c r="D142" s="2"/>
      <c r="E142" s="2"/>
      <c r="F142" s="2"/>
      <c r="G142" s="2"/>
      <c r="H142" s="2"/>
      <c r="I142" s="2">
        <v>61.960799999999999</v>
      </c>
      <c r="J142" s="2">
        <v>306</v>
      </c>
      <c r="K142" s="2">
        <v>62.491799999999998</v>
      </c>
      <c r="L142" s="2">
        <v>285</v>
      </c>
      <c r="M142" s="2">
        <v>98.853499999999997</v>
      </c>
      <c r="N142" s="2">
        <v>247</v>
      </c>
      <c r="O142" s="2">
        <v>98.918300000000002</v>
      </c>
      <c r="P142" s="2">
        <v>242</v>
      </c>
      <c r="Q142" s="2">
        <v>96.384600000000006</v>
      </c>
      <c r="R142" s="2">
        <v>55</v>
      </c>
      <c r="S142" s="2">
        <v>97.174000000000007</v>
      </c>
      <c r="T142" s="2">
        <v>73</v>
      </c>
      <c r="U142" s="2">
        <v>0.55096999999999996</v>
      </c>
      <c r="V142" s="2">
        <v>141</v>
      </c>
      <c r="W142" s="2">
        <v>2015</v>
      </c>
    </row>
    <row r="143" spans="1:23" ht="12.3" x14ac:dyDescent="0.4">
      <c r="A143" s="2" t="s">
        <v>113</v>
      </c>
      <c r="B143" s="2"/>
      <c r="C143" s="2"/>
      <c r="D143" s="2"/>
      <c r="E143" s="2"/>
      <c r="F143" s="2"/>
      <c r="G143" s="2"/>
      <c r="H143" s="2"/>
      <c r="I143" s="2">
        <v>67.692999999999998</v>
      </c>
      <c r="J143" s="2">
        <v>57</v>
      </c>
      <c r="K143" s="2">
        <v>67.999799999999993</v>
      </c>
      <c r="L143" s="2">
        <v>34</v>
      </c>
      <c r="M143" s="2">
        <v>98.200199999999995</v>
      </c>
      <c r="N143" s="2">
        <v>257</v>
      </c>
      <c r="O143" s="2">
        <v>103.4796</v>
      </c>
      <c r="P143" s="2">
        <v>138</v>
      </c>
      <c r="Q143" s="2">
        <v>105.4881</v>
      </c>
      <c r="R143" s="2">
        <v>251</v>
      </c>
      <c r="S143" s="2">
        <v>101.745</v>
      </c>
      <c r="T143" s="2">
        <v>154</v>
      </c>
      <c r="U143" s="2">
        <v>0.54844800000000005</v>
      </c>
      <c r="V143" s="2">
        <v>142</v>
      </c>
      <c r="W143" s="2">
        <v>2015</v>
      </c>
    </row>
    <row r="144" spans="1:23" ht="12.3" x14ac:dyDescent="0.4">
      <c r="A144" s="2" t="s">
        <v>228</v>
      </c>
      <c r="B144" s="2"/>
      <c r="C144" s="2"/>
      <c r="D144" s="2"/>
      <c r="E144" s="2"/>
      <c r="F144" s="2"/>
      <c r="G144" s="2"/>
      <c r="H144" s="2"/>
      <c r="I144" s="2">
        <v>61.779000000000003</v>
      </c>
      <c r="J144" s="2">
        <v>309</v>
      </c>
      <c r="K144" s="2">
        <v>61.572899999999997</v>
      </c>
      <c r="L144" s="2">
        <v>314</v>
      </c>
      <c r="M144" s="2">
        <v>99.896900000000002</v>
      </c>
      <c r="N144" s="2">
        <v>222</v>
      </c>
      <c r="O144" s="2">
        <v>100.5522</v>
      </c>
      <c r="P144" s="2">
        <v>208</v>
      </c>
      <c r="Q144" s="2">
        <v>98.623000000000005</v>
      </c>
      <c r="R144" s="2">
        <v>97</v>
      </c>
      <c r="S144" s="2">
        <v>98.9024</v>
      </c>
      <c r="T144" s="2">
        <v>96</v>
      </c>
      <c r="U144" s="2">
        <v>0.54741899999999999</v>
      </c>
      <c r="V144" s="2">
        <v>143</v>
      </c>
      <c r="W144" s="2">
        <v>2015</v>
      </c>
    </row>
    <row r="145" spans="1:23" ht="12.3" x14ac:dyDescent="0.4">
      <c r="A145" s="2" t="s">
        <v>150</v>
      </c>
      <c r="B145" s="2"/>
      <c r="C145" s="2"/>
      <c r="D145" s="2"/>
      <c r="E145" s="2"/>
      <c r="F145" s="2"/>
      <c r="G145" s="2"/>
      <c r="H145" s="2"/>
      <c r="I145" s="2">
        <v>59.482300000000002</v>
      </c>
      <c r="J145" s="2">
        <v>342</v>
      </c>
      <c r="K145" s="2">
        <v>60.724800000000002</v>
      </c>
      <c r="L145" s="2">
        <v>333</v>
      </c>
      <c r="M145" s="2">
        <v>102.22069999999999</v>
      </c>
      <c r="N145" s="2">
        <v>173</v>
      </c>
      <c r="O145" s="2">
        <v>103.1549</v>
      </c>
      <c r="P145" s="2">
        <v>145</v>
      </c>
      <c r="Q145" s="2">
        <v>100.6918</v>
      </c>
      <c r="R145" s="2">
        <v>140</v>
      </c>
      <c r="S145" s="2">
        <v>101.62820000000001</v>
      </c>
      <c r="T145" s="2">
        <v>151</v>
      </c>
      <c r="U145" s="2">
        <v>0.54276400000000002</v>
      </c>
      <c r="V145" s="2">
        <v>144</v>
      </c>
      <c r="W145" s="2">
        <v>2015</v>
      </c>
    </row>
    <row r="146" spans="1:23" ht="12.3" x14ac:dyDescent="0.4">
      <c r="A146" s="2" t="s">
        <v>139</v>
      </c>
      <c r="B146" s="2">
        <v>16</v>
      </c>
      <c r="C146" s="2"/>
      <c r="D146" s="2"/>
      <c r="E146" s="2"/>
      <c r="F146" s="2"/>
      <c r="G146" s="2"/>
      <c r="H146" s="2"/>
      <c r="I146" s="2">
        <v>67.941100000000006</v>
      </c>
      <c r="J146" s="2">
        <v>45</v>
      </c>
      <c r="K146" s="2">
        <v>68.223100000000002</v>
      </c>
      <c r="L146" s="2">
        <v>30</v>
      </c>
      <c r="M146" s="2">
        <v>101.2805</v>
      </c>
      <c r="N146" s="2">
        <v>189</v>
      </c>
      <c r="O146" s="2">
        <v>100.907</v>
      </c>
      <c r="P146" s="2">
        <v>196</v>
      </c>
      <c r="Q146" s="2">
        <v>97.792599999999993</v>
      </c>
      <c r="R146" s="2">
        <v>81</v>
      </c>
      <c r="S146" s="2">
        <v>99.471800000000002</v>
      </c>
      <c r="T146" s="2">
        <v>109</v>
      </c>
      <c r="U146" s="2">
        <v>0.54108999999999996</v>
      </c>
      <c r="V146" s="2">
        <v>145</v>
      </c>
      <c r="W146" s="2">
        <v>2015</v>
      </c>
    </row>
    <row r="147" spans="1:23" ht="12.3" x14ac:dyDescent="0.4">
      <c r="A147" s="2" t="s">
        <v>173</v>
      </c>
      <c r="B147" s="2"/>
      <c r="C147" s="2"/>
      <c r="D147" s="2"/>
      <c r="E147" s="2"/>
      <c r="F147" s="2"/>
      <c r="G147" s="2"/>
      <c r="H147" s="2"/>
      <c r="I147" s="2">
        <v>65.632400000000004</v>
      </c>
      <c r="J147" s="2">
        <v>135</v>
      </c>
      <c r="K147" s="2">
        <v>65.941900000000004</v>
      </c>
      <c r="L147" s="2">
        <v>116</v>
      </c>
      <c r="M147" s="2">
        <v>103.8844</v>
      </c>
      <c r="N147" s="2">
        <v>130</v>
      </c>
      <c r="O147" s="2">
        <v>103.1443</v>
      </c>
      <c r="P147" s="2">
        <v>146</v>
      </c>
      <c r="Q147" s="2">
        <v>103.7987</v>
      </c>
      <c r="R147" s="2">
        <v>208</v>
      </c>
      <c r="S147" s="2">
        <v>101.6806</v>
      </c>
      <c r="T147" s="2">
        <v>153</v>
      </c>
      <c r="U147" s="2">
        <v>0.54099900000000001</v>
      </c>
      <c r="V147" s="2">
        <v>146</v>
      </c>
      <c r="W147" s="2">
        <v>2015</v>
      </c>
    </row>
    <row r="148" spans="1:23" ht="12.3" x14ac:dyDescent="0.4">
      <c r="A148" s="2" t="s">
        <v>153</v>
      </c>
      <c r="B148" s="2"/>
      <c r="C148" s="2"/>
      <c r="D148" s="2"/>
      <c r="E148" s="2"/>
      <c r="F148" s="2"/>
      <c r="G148" s="2"/>
      <c r="H148" s="2"/>
      <c r="I148" s="2">
        <v>64.310500000000005</v>
      </c>
      <c r="J148" s="2">
        <v>204</v>
      </c>
      <c r="K148" s="2">
        <v>63.252600000000001</v>
      </c>
      <c r="L148" s="2">
        <v>260</v>
      </c>
      <c r="M148" s="2">
        <v>100.7567</v>
      </c>
      <c r="N148" s="2">
        <v>201</v>
      </c>
      <c r="O148" s="2">
        <v>97.706299999999999</v>
      </c>
      <c r="P148" s="2">
        <v>260</v>
      </c>
      <c r="Q148" s="2">
        <v>94.275400000000005</v>
      </c>
      <c r="R148" s="2">
        <v>26</v>
      </c>
      <c r="S148" s="2">
        <v>96.342600000000004</v>
      </c>
      <c r="T148" s="2">
        <v>60</v>
      </c>
      <c r="U148" s="2">
        <v>0.54032000000000002</v>
      </c>
      <c r="V148" s="2">
        <v>147</v>
      </c>
      <c r="W148" s="2">
        <v>2015</v>
      </c>
    </row>
    <row r="149" spans="1:23" ht="12.3" x14ac:dyDescent="0.4">
      <c r="A149" s="2" t="s">
        <v>334</v>
      </c>
      <c r="B149" s="2">
        <v>16</v>
      </c>
      <c r="C149" s="2"/>
      <c r="D149" s="2"/>
      <c r="E149" s="2"/>
      <c r="F149" s="2"/>
      <c r="G149" s="2"/>
      <c r="H149" s="2"/>
      <c r="I149" s="2">
        <v>64.762100000000004</v>
      </c>
      <c r="J149" s="2">
        <v>174</v>
      </c>
      <c r="K149" s="2">
        <v>64.417000000000002</v>
      </c>
      <c r="L149" s="2">
        <v>190</v>
      </c>
      <c r="M149" s="2">
        <v>109.07940000000001</v>
      </c>
      <c r="N149" s="2">
        <v>43</v>
      </c>
      <c r="O149" s="2">
        <v>103.5363</v>
      </c>
      <c r="P149" s="2">
        <v>136</v>
      </c>
      <c r="Q149" s="2">
        <v>99.710400000000007</v>
      </c>
      <c r="R149" s="2">
        <v>119</v>
      </c>
      <c r="S149" s="2">
        <v>102.2055</v>
      </c>
      <c r="T149" s="2">
        <v>164</v>
      </c>
      <c r="U149" s="2">
        <v>0.53712300000000002</v>
      </c>
      <c r="V149" s="2">
        <v>148</v>
      </c>
      <c r="W149" s="2">
        <v>2015</v>
      </c>
    </row>
    <row r="150" spans="1:23" ht="12.3" x14ac:dyDescent="0.4">
      <c r="A150" s="2" t="s">
        <v>244</v>
      </c>
      <c r="B150" s="2">
        <v>15</v>
      </c>
      <c r="C150" s="2"/>
      <c r="D150" s="2"/>
      <c r="E150" s="2"/>
      <c r="F150" s="2"/>
      <c r="G150" s="2"/>
      <c r="H150" s="2"/>
      <c r="I150" s="2">
        <v>67.383899999999997</v>
      </c>
      <c r="J150" s="2">
        <v>65</v>
      </c>
      <c r="K150" s="2">
        <v>67.092399999999998</v>
      </c>
      <c r="L150" s="2">
        <v>63</v>
      </c>
      <c r="M150" s="2">
        <v>109.27070000000001</v>
      </c>
      <c r="N150" s="2">
        <v>41</v>
      </c>
      <c r="O150" s="2">
        <v>107.8516</v>
      </c>
      <c r="P150" s="2">
        <v>64</v>
      </c>
      <c r="Q150" s="2">
        <v>104.0763</v>
      </c>
      <c r="R150" s="2">
        <v>215</v>
      </c>
      <c r="S150" s="2">
        <v>106.4962</v>
      </c>
      <c r="T150" s="2">
        <v>259</v>
      </c>
      <c r="U150" s="2">
        <v>0.53629599999999999</v>
      </c>
      <c r="V150" s="2">
        <v>149</v>
      </c>
      <c r="W150" s="2">
        <v>2015</v>
      </c>
    </row>
    <row r="151" spans="1:23" ht="12.3" x14ac:dyDescent="0.4">
      <c r="A151" s="2" t="s">
        <v>176</v>
      </c>
      <c r="B151" s="2"/>
      <c r="C151" s="2"/>
      <c r="D151" s="2"/>
      <c r="E151" s="2"/>
      <c r="F151" s="2"/>
      <c r="G151" s="2"/>
      <c r="H151" s="2"/>
      <c r="I151" s="2">
        <v>64.850899999999996</v>
      </c>
      <c r="J151" s="2">
        <v>170</v>
      </c>
      <c r="K151" s="2">
        <v>65.3613</v>
      </c>
      <c r="L151" s="2">
        <v>142</v>
      </c>
      <c r="M151" s="2">
        <v>104.8515</v>
      </c>
      <c r="N151" s="2">
        <v>107</v>
      </c>
      <c r="O151" s="2">
        <v>105.9199</v>
      </c>
      <c r="P151" s="2">
        <v>93</v>
      </c>
      <c r="Q151" s="2">
        <v>102.4628</v>
      </c>
      <c r="R151" s="2">
        <v>182</v>
      </c>
      <c r="S151" s="2">
        <v>104.6057</v>
      </c>
      <c r="T151" s="2">
        <v>215</v>
      </c>
      <c r="U151" s="2">
        <v>0.53583400000000003</v>
      </c>
      <c r="V151" s="2">
        <v>150</v>
      </c>
      <c r="W151" s="2">
        <v>2015</v>
      </c>
    </row>
    <row r="152" spans="1:23" ht="12.3" x14ac:dyDescent="0.4">
      <c r="A152" s="2" t="s">
        <v>360</v>
      </c>
      <c r="B152" s="2">
        <v>15</v>
      </c>
      <c r="C152" s="2"/>
      <c r="D152" s="2"/>
      <c r="E152" s="2"/>
      <c r="F152" s="2"/>
      <c r="G152" s="2"/>
      <c r="H152" s="2"/>
      <c r="I152" s="2">
        <v>61.424900000000001</v>
      </c>
      <c r="J152" s="2">
        <v>317</v>
      </c>
      <c r="K152" s="2">
        <v>61.176299999999998</v>
      </c>
      <c r="L152" s="2">
        <v>321</v>
      </c>
      <c r="M152" s="2">
        <v>103.55240000000001</v>
      </c>
      <c r="N152" s="2">
        <v>137</v>
      </c>
      <c r="O152" s="2">
        <v>100.9777</v>
      </c>
      <c r="P152" s="2">
        <v>194</v>
      </c>
      <c r="Q152" s="2">
        <v>98.960700000000003</v>
      </c>
      <c r="R152" s="2">
        <v>105</v>
      </c>
      <c r="S152" s="2">
        <v>100.07470000000001</v>
      </c>
      <c r="T152" s="2">
        <v>124</v>
      </c>
      <c r="U152" s="2">
        <v>0.52580099999999996</v>
      </c>
      <c r="V152" s="2">
        <v>151</v>
      </c>
      <c r="W152" s="2">
        <v>2015</v>
      </c>
    </row>
    <row r="153" spans="1:23" ht="12.3" x14ac:dyDescent="0.4">
      <c r="A153" s="2" t="s">
        <v>277</v>
      </c>
      <c r="B153" s="2"/>
      <c r="C153" s="2"/>
      <c r="D153" s="2"/>
      <c r="E153" s="2"/>
      <c r="F153" s="2"/>
      <c r="G153" s="2"/>
      <c r="H153" s="2"/>
      <c r="I153" s="2">
        <v>65.299800000000005</v>
      </c>
      <c r="J153" s="2">
        <v>149</v>
      </c>
      <c r="K153" s="2">
        <v>64.325400000000002</v>
      </c>
      <c r="L153" s="2">
        <v>195</v>
      </c>
      <c r="M153" s="2">
        <v>103.9547</v>
      </c>
      <c r="N153" s="2">
        <v>127</v>
      </c>
      <c r="O153" s="2">
        <v>101.09820000000001</v>
      </c>
      <c r="P153" s="2">
        <v>190</v>
      </c>
      <c r="Q153" s="2">
        <v>96.577200000000005</v>
      </c>
      <c r="R153" s="2">
        <v>60</v>
      </c>
      <c r="S153" s="2">
        <v>100.25700000000001</v>
      </c>
      <c r="T153" s="2">
        <v>128</v>
      </c>
      <c r="U153" s="2">
        <v>0.52400199999999997</v>
      </c>
      <c r="V153" s="2">
        <v>152</v>
      </c>
      <c r="W153" s="2">
        <v>2015</v>
      </c>
    </row>
    <row r="154" spans="1:23" ht="12.3" x14ac:dyDescent="0.4">
      <c r="A154" s="2" t="s">
        <v>63</v>
      </c>
      <c r="B154" s="2"/>
      <c r="C154" s="2"/>
      <c r="D154" s="2"/>
      <c r="E154" s="2"/>
      <c r="F154" s="2"/>
      <c r="G154" s="2"/>
      <c r="H154" s="2"/>
      <c r="I154" s="2">
        <v>67.276799999999994</v>
      </c>
      <c r="J154" s="2">
        <v>68</v>
      </c>
      <c r="K154" s="2">
        <v>67.494299999999996</v>
      </c>
      <c r="L154" s="2">
        <v>53</v>
      </c>
      <c r="M154" s="2">
        <v>106.2287</v>
      </c>
      <c r="N154" s="2">
        <v>83</v>
      </c>
      <c r="O154" s="2">
        <v>107.53740000000001</v>
      </c>
      <c r="P154" s="2">
        <v>66</v>
      </c>
      <c r="Q154" s="2">
        <v>104.578</v>
      </c>
      <c r="R154" s="2">
        <v>227</v>
      </c>
      <c r="S154" s="2">
        <v>106.78530000000001</v>
      </c>
      <c r="T154" s="2">
        <v>265</v>
      </c>
      <c r="U154" s="2">
        <v>0.52016700000000005</v>
      </c>
      <c r="V154" s="2">
        <v>153</v>
      </c>
      <c r="W154" s="2">
        <v>2015</v>
      </c>
    </row>
    <row r="155" spans="1:23" ht="12.3" x14ac:dyDescent="0.4">
      <c r="A155" s="2" t="s">
        <v>42</v>
      </c>
      <c r="B155" s="2"/>
      <c r="C155" s="2"/>
      <c r="D155" s="2"/>
      <c r="E155" s="2"/>
      <c r="F155" s="2"/>
      <c r="G155" s="2"/>
      <c r="H155" s="2"/>
      <c r="I155" s="2">
        <v>68.758099999999999</v>
      </c>
      <c r="J155" s="2">
        <v>25</v>
      </c>
      <c r="K155" s="2">
        <v>68.704899999999995</v>
      </c>
      <c r="L155" s="2">
        <v>25</v>
      </c>
      <c r="M155" s="2">
        <v>95.722200000000001</v>
      </c>
      <c r="N155" s="2">
        <v>293</v>
      </c>
      <c r="O155" s="2">
        <v>98.609399999999994</v>
      </c>
      <c r="P155" s="2">
        <v>245</v>
      </c>
      <c r="Q155" s="2">
        <v>101.5765</v>
      </c>
      <c r="R155" s="2">
        <v>163</v>
      </c>
      <c r="S155" s="2">
        <v>97.945999999999998</v>
      </c>
      <c r="T155" s="2">
        <v>86</v>
      </c>
      <c r="U155" s="2">
        <v>0.51939500000000005</v>
      </c>
      <c r="V155" s="2">
        <v>154</v>
      </c>
      <c r="W155" s="2">
        <v>2015</v>
      </c>
    </row>
    <row r="156" spans="1:23" ht="12.3" x14ac:dyDescent="0.4">
      <c r="A156" s="2" t="s">
        <v>165</v>
      </c>
      <c r="B156" s="2"/>
      <c r="C156" s="2"/>
      <c r="D156" s="2"/>
      <c r="E156" s="2"/>
      <c r="F156" s="2"/>
      <c r="G156" s="2"/>
      <c r="H156" s="2"/>
      <c r="I156" s="2">
        <v>66.577699999999993</v>
      </c>
      <c r="J156" s="2">
        <v>90</v>
      </c>
      <c r="K156" s="2">
        <v>66.632300000000001</v>
      </c>
      <c r="L156" s="2">
        <v>83</v>
      </c>
      <c r="M156" s="2">
        <v>107.3304</v>
      </c>
      <c r="N156" s="2">
        <v>62</v>
      </c>
      <c r="O156" s="2">
        <v>108.6431</v>
      </c>
      <c r="P156" s="2">
        <v>54</v>
      </c>
      <c r="Q156" s="2">
        <v>110.62560000000001</v>
      </c>
      <c r="R156" s="2">
        <v>327</v>
      </c>
      <c r="S156" s="2">
        <v>107.998</v>
      </c>
      <c r="T156" s="2">
        <v>288</v>
      </c>
      <c r="U156" s="2">
        <v>0.51711600000000002</v>
      </c>
      <c r="V156" s="2">
        <v>155</v>
      </c>
      <c r="W156" s="2">
        <v>2015</v>
      </c>
    </row>
    <row r="157" spans="1:23" ht="12.3" x14ac:dyDescent="0.4">
      <c r="A157" s="2" t="s">
        <v>59</v>
      </c>
      <c r="B157" s="2"/>
      <c r="C157" s="2"/>
      <c r="D157" s="2"/>
      <c r="E157" s="2"/>
      <c r="F157" s="2"/>
      <c r="G157" s="2"/>
      <c r="H157" s="2"/>
      <c r="I157" s="2">
        <v>62.965000000000003</v>
      </c>
      <c r="J157" s="2">
        <v>273</v>
      </c>
      <c r="K157" s="2">
        <v>61.923000000000002</v>
      </c>
      <c r="L157" s="2">
        <v>302</v>
      </c>
      <c r="M157" s="2">
        <v>95.632999999999996</v>
      </c>
      <c r="N157" s="2">
        <v>295</v>
      </c>
      <c r="O157" s="2">
        <v>100.4308</v>
      </c>
      <c r="P157" s="2">
        <v>216</v>
      </c>
      <c r="Q157" s="2">
        <v>101.82810000000001</v>
      </c>
      <c r="R157" s="2">
        <v>167</v>
      </c>
      <c r="S157" s="2">
        <v>99.851799999999997</v>
      </c>
      <c r="T157" s="2">
        <v>116</v>
      </c>
      <c r="U157" s="2">
        <v>0.51661699999999999</v>
      </c>
      <c r="V157" s="2">
        <v>156</v>
      </c>
      <c r="W157" s="2">
        <v>2015</v>
      </c>
    </row>
    <row r="158" spans="1:23" ht="12.3" x14ac:dyDescent="0.4">
      <c r="A158" s="2" t="s">
        <v>189</v>
      </c>
      <c r="B158" s="2"/>
      <c r="C158" s="2"/>
      <c r="D158" s="2"/>
      <c r="E158" s="2"/>
      <c r="F158" s="2"/>
      <c r="G158" s="2"/>
      <c r="H158" s="2"/>
      <c r="I158" s="2">
        <v>59.279000000000003</v>
      </c>
      <c r="J158" s="2">
        <v>344</v>
      </c>
      <c r="K158" s="2">
        <v>58.895899999999997</v>
      </c>
      <c r="L158" s="2">
        <v>346</v>
      </c>
      <c r="M158" s="2">
        <v>100.0248</v>
      </c>
      <c r="N158" s="2">
        <v>216</v>
      </c>
      <c r="O158" s="2">
        <v>100.5223</v>
      </c>
      <c r="P158" s="2">
        <v>212</v>
      </c>
      <c r="Q158" s="2">
        <v>101.8018</v>
      </c>
      <c r="R158" s="2">
        <v>166</v>
      </c>
      <c r="S158" s="2">
        <v>100.18210000000001</v>
      </c>
      <c r="T158" s="2">
        <v>126</v>
      </c>
      <c r="U158" s="2">
        <v>0.50974399999999997</v>
      </c>
      <c r="V158" s="2">
        <v>157</v>
      </c>
      <c r="W158" s="2">
        <v>2015</v>
      </c>
    </row>
    <row r="159" spans="1:23" ht="12.3" x14ac:dyDescent="0.4">
      <c r="A159" s="2" t="s">
        <v>166</v>
      </c>
      <c r="B159" s="2"/>
      <c r="C159" s="2"/>
      <c r="D159" s="2"/>
      <c r="E159" s="2"/>
      <c r="F159" s="2"/>
      <c r="G159" s="2"/>
      <c r="H159" s="2"/>
      <c r="I159" s="2">
        <v>65.283799999999999</v>
      </c>
      <c r="J159" s="2">
        <v>150</v>
      </c>
      <c r="K159" s="2">
        <v>65.013999999999996</v>
      </c>
      <c r="L159" s="2">
        <v>155</v>
      </c>
      <c r="M159" s="2">
        <v>106.00369999999999</v>
      </c>
      <c r="N159" s="2">
        <v>86</v>
      </c>
      <c r="O159" s="2">
        <v>103.4679</v>
      </c>
      <c r="P159" s="2">
        <v>140</v>
      </c>
      <c r="Q159" s="2">
        <v>102.36579999999999</v>
      </c>
      <c r="R159" s="2">
        <v>176</v>
      </c>
      <c r="S159" s="2">
        <v>103.32089999999999</v>
      </c>
      <c r="T159" s="2">
        <v>185</v>
      </c>
      <c r="U159" s="2">
        <v>0.50408900000000001</v>
      </c>
      <c r="V159" s="2">
        <v>158</v>
      </c>
      <c r="W159" s="2">
        <v>2015</v>
      </c>
    </row>
    <row r="160" spans="1:23" ht="12.3" x14ac:dyDescent="0.4">
      <c r="A160" s="2" t="s">
        <v>182</v>
      </c>
      <c r="B160" s="2"/>
      <c r="C160" s="2"/>
      <c r="D160" s="2"/>
      <c r="E160" s="2"/>
      <c r="F160" s="2"/>
      <c r="G160" s="2"/>
      <c r="H160" s="2"/>
      <c r="I160" s="2">
        <v>64.598699999999994</v>
      </c>
      <c r="J160" s="2">
        <v>186</v>
      </c>
      <c r="K160" s="2">
        <v>64.739400000000003</v>
      </c>
      <c r="L160" s="2">
        <v>168</v>
      </c>
      <c r="M160" s="2">
        <v>99.953500000000005</v>
      </c>
      <c r="N160" s="2">
        <v>219</v>
      </c>
      <c r="O160" s="2">
        <v>99.066599999999994</v>
      </c>
      <c r="P160" s="2">
        <v>238</v>
      </c>
      <c r="Q160" s="2">
        <v>97.516199999999998</v>
      </c>
      <c r="R160" s="2">
        <v>76</v>
      </c>
      <c r="S160" s="2">
        <v>98.948599999999999</v>
      </c>
      <c r="T160" s="2">
        <v>98</v>
      </c>
      <c r="U160" s="2">
        <v>0.50342699999999996</v>
      </c>
      <c r="V160" s="2">
        <v>159</v>
      </c>
      <c r="W160" s="2">
        <v>2015</v>
      </c>
    </row>
    <row r="161" spans="1:23" ht="12.3" x14ac:dyDescent="0.4">
      <c r="A161" s="2" t="s">
        <v>327</v>
      </c>
      <c r="B161" s="2"/>
      <c r="C161" s="2"/>
      <c r="D161" s="2"/>
      <c r="E161" s="2"/>
      <c r="F161" s="2"/>
      <c r="G161" s="2"/>
      <c r="H161" s="2"/>
      <c r="I161" s="2">
        <v>62.515799999999999</v>
      </c>
      <c r="J161" s="2">
        <v>290</v>
      </c>
      <c r="K161" s="2">
        <v>63.569200000000002</v>
      </c>
      <c r="L161" s="2">
        <v>247</v>
      </c>
      <c r="M161" s="2">
        <v>100.01309999999999</v>
      </c>
      <c r="N161" s="2">
        <v>217</v>
      </c>
      <c r="O161" s="2">
        <v>100.2837</v>
      </c>
      <c r="P161" s="2">
        <v>219</v>
      </c>
      <c r="Q161" s="2">
        <v>98.810599999999994</v>
      </c>
      <c r="R161" s="2">
        <v>101</v>
      </c>
      <c r="S161" s="2">
        <v>100.1931</v>
      </c>
      <c r="T161" s="2">
        <v>127</v>
      </c>
      <c r="U161" s="2">
        <v>0.50259699999999996</v>
      </c>
      <c r="V161" s="2">
        <v>160</v>
      </c>
      <c r="W161" s="2">
        <v>2015</v>
      </c>
    </row>
    <row r="162" spans="1:23" ht="12.3" x14ac:dyDescent="0.4">
      <c r="A162" s="2" t="s">
        <v>91</v>
      </c>
      <c r="B162" s="2"/>
      <c r="C162" s="2"/>
      <c r="D162" s="2"/>
      <c r="E162" s="2"/>
      <c r="F162" s="2"/>
      <c r="G162" s="2"/>
      <c r="H162" s="2"/>
      <c r="I162" s="2">
        <v>64.098399999999998</v>
      </c>
      <c r="J162" s="2">
        <v>218</v>
      </c>
      <c r="K162" s="2">
        <v>64.337599999999995</v>
      </c>
      <c r="L162" s="2">
        <v>194</v>
      </c>
      <c r="M162" s="2">
        <v>95.008600000000001</v>
      </c>
      <c r="N162" s="2">
        <v>300</v>
      </c>
      <c r="O162" s="2">
        <v>98.014399999999995</v>
      </c>
      <c r="P162" s="2">
        <v>254</v>
      </c>
      <c r="Q162" s="2">
        <v>98.923599999999993</v>
      </c>
      <c r="R162" s="2">
        <v>104</v>
      </c>
      <c r="S162" s="2">
        <v>97.9298</v>
      </c>
      <c r="T162" s="2">
        <v>84</v>
      </c>
      <c r="U162" s="2">
        <v>0.50248400000000004</v>
      </c>
      <c r="V162" s="2">
        <v>161</v>
      </c>
      <c r="W162" s="2">
        <v>2015</v>
      </c>
    </row>
    <row r="163" spans="1:23" ht="12.3" x14ac:dyDescent="0.4">
      <c r="A163" s="2" t="s">
        <v>234</v>
      </c>
      <c r="B163" s="2"/>
      <c r="C163" s="2"/>
      <c r="D163" s="2"/>
      <c r="E163" s="2"/>
      <c r="F163" s="2"/>
      <c r="G163" s="2"/>
      <c r="H163" s="2"/>
      <c r="I163" s="2">
        <v>62.9786</v>
      </c>
      <c r="J163" s="2">
        <v>272</v>
      </c>
      <c r="K163" s="2">
        <v>62.1068</v>
      </c>
      <c r="L163" s="2">
        <v>299</v>
      </c>
      <c r="M163" s="2">
        <v>108.1944</v>
      </c>
      <c r="N163" s="2">
        <v>53</v>
      </c>
      <c r="O163" s="2">
        <v>103.73609999999999</v>
      </c>
      <c r="P163" s="2">
        <v>133</v>
      </c>
      <c r="Q163" s="2">
        <v>103.65770000000001</v>
      </c>
      <c r="R163" s="2">
        <v>204</v>
      </c>
      <c r="S163" s="2">
        <v>103.697</v>
      </c>
      <c r="T163" s="2">
        <v>194</v>
      </c>
      <c r="U163" s="2">
        <v>0.50108299999999995</v>
      </c>
      <c r="V163" s="2">
        <v>162</v>
      </c>
      <c r="W163" s="2">
        <v>2015</v>
      </c>
    </row>
    <row r="164" spans="1:23" ht="12.3" x14ac:dyDescent="0.4">
      <c r="A164" s="2" t="s">
        <v>207</v>
      </c>
      <c r="B164" s="2"/>
      <c r="C164" s="2"/>
      <c r="D164" s="2"/>
      <c r="E164" s="2"/>
      <c r="F164" s="2"/>
      <c r="G164" s="2"/>
      <c r="H164" s="2"/>
      <c r="I164" s="2">
        <v>67.281700000000001</v>
      </c>
      <c r="J164" s="2">
        <v>67</v>
      </c>
      <c r="K164" s="2">
        <v>66.986599999999996</v>
      </c>
      <c r="L164" s="2">
        <v>69</v>
      </c>
      <c r="M164" s="2">
        <v>102.756</v>
      </c>
      <c r="N164" s="2">
        <v>159</v>
      </c>
      <c r="O164" s="2">
        <v>104.98269999999999</v>
      </c>
      <c r="P164" s="2">
        <v>110</v>
      </c>
      <c r="Q164" s="2">
        <v>109.1224</v>
      </c>
      <c r="R164" s="2">
        <v>314</v>
      </c>
      <c r="S164" s="2">
        <v>105.04</v>
      </c>
      <c r="T164" s="2">
        <v>224</v>
      </c>
      <c r="U164" s="2">
        <v>0.49842999999999998</v>
      </c>
      <c r="V164" s="2">
        <v>163</v>
      </c>
      <c r="W164" s="2">
        <v>2015</v>
      </c>
    </row>
    <row r="165" spans="1:23" ht="12.3" x14ac:dyDescent="0.4">
      <c r="A165" s="2" t="s">
        <v>201</v>
      </c>
      <c r="B165" s="2"/>
      <c r="C165" s="2"/>
      <c r="D165" s="2"/>
      <c r="E165" s="2"/>
      <c r="F165" s="2"/>
      <c r="G165" s="2"/>
      <c r="H165" s="2"/>
      <c r="I165" s="2">
        <v>66.091999999999999</v>
      </c>
      <c r="J165" s="2">
        <v>111</v>
      </c>
      <c r="K165" s="2">
        <v>66.161600000000007</v>
      </c>
      <c r="L165" s="2">
        <v>105</v>
      </c>
      <c r="M165" s="2">
        <v>103.4487</v>
      </c>
      <c r="N165" s="2">
        <v>140</v>
      </c>
      <c r="O165" s="2">
        <v>101.7557</v>
      </c>
      <c r="P165" s="2">
        <v>176</v>
      </c>
      <c r="Q165" s="2">
        <v>100.2715</v>
      </c>
      <c r="R165" s="2">
        <v>129</v>
      </c>
      <c r="S165" s="2">
        <v>101.8939</v>
      </c>
      <c r="T165" s="2">
        <v>157</v>
      </c>
      <c r="U165" s="2">
        <v>0.49609900000000001</v>
      </c>
      <c r="V165" s="2">
        <v>164</v>
      </c>
      <c r="W165" s="2">
        <v>2015</v>
      </c>
    </row>
    <row r="166" spans="1:23" ht="12.3" x14ac:dyDescent="0.4">
      <c r="A166" s="2" t="s">
        <v>83</v>
      </c>
      <c r="B166" s="2"/>
      <c r="C166" s="2"/>
      <c r="D166" s="2"/>
      <c r="E166" s="2"/>
      <c r="F166" s="2"/>
      <c r="G166" s="2"/>
      <c r="H166" s="2"/>
      <c r="I166" s="2">
        <v>67.8172</v>
      </c>
      <c r="J166" s="2">
        <v>48</v>
      </c>
      <c r="K166" s="2">
        <v>67.665700000000001</v>
      </c>
      <c r="L166" s="2">
        <v>43</v>
      </c>
      <c r="M166" s="2">
        <v>100.4255</v>
      </c>
      <c r="N166" s="2">
        <v>208</v>
      </c>
      <c r="O166" s="2">
        <v>99.0702</v>
      </c>
      <c r="P166" s="2">
        <v>237</v>
      </c>
      <c r="Q166" s="2">
        <v>100.1906</v>
      </c>
      <c r="R166" s="2">
        <v>128</v>
      </c>
      <c r="S166" s="2">
        <v>99.419600000000003</v>
      </c>
      <c r="T166" s="2">
        <v>108</v>
      </c>
      <c r="U166" s="2">
        <v>0.48988100000000001</v>
      </c>
      <c r="V166" s="2">
        <v>165</v>
      </c>
      <c r="W166" s="2">
        <v>2015</v>
      </c>
    </row>
    <row r="167" spans="1:23" ht="12.3" x14ac:dyDescent="0.4">
      <c r="A167" s="2" t="s">
        <v>240</v>
      </c>
      <c r="B167" s="2"/>
      <c r="C167" s="2"/>
      <c r="D167" s="2"/>
      <c r="E167" s="2"/>
      <c r="F167" s="2"/>
      <c r="G167" s="2"/>
      <c r="H167" s="2"/>
      <c r="I167" s="2">
        <v>66.622600000000006</v>
      </c>
      <c r="J167" s="2">
        <v>88</v>
      </c>
      <c r="K167" s="2">
        <v>66.043800000000005</v>
      </c>
      <c r="L167" s="2">
        <v>110</v>
      </c>
      <c r="M167" s="2">
        <v>105.88339999999999</v>
      </c>
      <c r="N167" s="2">
        <v>91</v>
      </c>
      <c r="O167" s="2">
        <v>103.036</v>
      </c>
      <c r="P167" s="2">
        <v>148</v>
      </c>
      <c r="Q167" s="2">
        <v>100.85599999999999</v>
      </c>
      <c r="R167" s="2">
        <v>145</v>
      </c>
      <c r="S167" s="2">
        <v>103.6468</v>
      </c>
      <c r="T167" s="2">
        <v>193</v>
      </c>
      <c r="U167" s="2">
        <v>0.48301500000000003</v>
      </c>
      <c r="V167" s="2">
        <v>166</v>
      </c>
      <c r="W167" s="2">
        <v>2015</v>
      </c>
    </row>
    <row r="168" spans="1:23" ht="12.3" x14ac:dyDescent="0.4">
      <c r="A168" s="2" t="s">
        <v>209</v>
      </c>
      <c r="B168" s="2"/>
      <c r="C168" s="2"/>
      <c r="D168" s="2"/>
      <c r="E168" s="2"/>
      <c r="F168" s="2"/>
      <c r="G168" s="2"/>
      <c r="H168" s="2"/>
      <c r="I168" s="2">
        <v>63.503900000000002</v>
      </c>
      <c r="J168" s="2">
        <v>250</v>
      </c>
      <c r="K168" s="2">
        <v>62.945999999999998</v>
      </c>
      <c r="L168" s="2">
        <v>269</v>
      </c>
      <c r="M168" s="2">
        <v>101.0759</v>
      </c>
      <c r="N168" s="2">
        <v>196</v>
      </c>
      <c r="O168" s="2">
        <v>101.4195</v>
      </c>
      <c r="P168" s="2">
        <v>185</v>
      </c>
      <c r="Q168" s="2">
        <v>103.81310000000001</v>
      </c>
      <c r="R168" s="2">
        <v>210</v>
      </c>
      <c r="S168" s="2">
        <v>102.0599</v>
      </c>
      <c r="T168" s="2">
        <v>161</v>
      </c>
      <c r="U168" s="2">
        <v>0.48191000000000001</v>
      </c>
      <c r="V168" s="2">
        <v>167</v>
      </c>
      <c r="W168" s="2">
        <v>2015</v>
      </c>
    </row>
    <row r="169" spans="1:23" ht="12.3" x14ac:dyDescent="0.4">
      <c r="A169" s="2" t="s">
        <v>366</v>
      </c>
      <c r="B169" s="2"/>
      <c r="C169" s="2"/>
      <c r="D169" s="2"/>
      <c r="E169" s="2"/>
      <c r="F169" s="2"/>
      <c r="G169" s="2"/>
      <c r="H169" s="2"/>
      <c r="I169" s="2">
        <v>66.745999999999995</v>
      </c>
      <c r="J169" s="2">
        <v>83</v>
      </c>
      <c r="K169" s="2">
        <v>66.345699999999994</v>
      </c>
      <c r="L169" s="2">
        <v>97</v>
      </c>
      <c r="M169" s="2">
        <v>102.79349999999999</v>
      </c>
      <c r="N169" s="2">
        <v>158</v>
      </c>
      <c r="O169" s="2">
        <v>101.4469</v>
      </c>
      <c r="P169" s="2">
        <v>182</v>
      </c>
      <c r="Q169" s="2">
        <v>101.4066</v>
      </c>
      <c r="R169" s="2">
        <v>161</v>
      </c>
      <c r="S169" s="2">
        <v>102.2133</v>
      </c>
      <c r="T169" s="2">
        <v>165</v>
      </c>
      <c r="U169" s="2">
        <v>0.47837600000000002</v>
      </c>
      <c r="V169" s="2">
        <v>168</v>
      </c>
      <c r="W169" s="2">
        <v>2015</v>
      </c>
    </row>
    <row r="170" spans="1:23" ht="12.3" x14ac:dyDescent="0.4">
      <c r="A170" s="2" t="s">
        <v>48</v>
      </c>
      <c r="B170" s="2"/>
      <c r="C170" s="2"/>
      <c r="D170" s="2"/>
      <c r="E170" s="2"/>
      <c r="F170" s="2"/>
      <c r="G170" s="2"/>
      <c r="H170" s="2"/>
      <c r="I170" s="2">
        <v>64.206900000000005</v>
      </c>
      <c r="J170" s="2">
        <v>208</v>
      </c>
      <c r="K170" s="2">
        <v>64.366500000000002</v>
      </c>
      <c r="L170" s="2">
        <v>193</v>
      </c>
      <c r="M170" s="2">
        <v>96.204999999999998</v>
      </c>
      <c r="N170" s="2">
        <v>287</v>
      </c>
      <c r="O170" s="2">
        <v>98.035499999999999</v>
      </c>
      <c r="P170" s="2">
        <v>253</v>
      </c>
      <c r="Q170" s="2">
        <v>100.1207</v>
      </c>
      <c r="R170" s="2">
        <v>127</v>
      </c>
      <c r="S170" s="2">
        <v>98.928799999999995</v>
      </c>
      <c r="T170" s="2">
        <v>97</v>
      </c>
      <c r="U170" s="2">
        <v>0.47394399999999998</v>
      </c>
      <c r="V170" s="2">
        <v>169</v>
      </c>
      <c r="W170" s="2">
        <v>2015</v>
      </c>
    </row>
    <row r="171" spans="1:23" ht="12.3" x14ac:dyDescent="0.4">
      <c r="A171" s="2" t="s">
        <v>271</v>
      </c>
      <c r="B171" s="2"/>
      <c r="C171" s="2"/>
      <c r="D171" s="2"/>
      <c r="E171" s="2"/>
      <c r="F171" s="2"/>
      <c r="G171" s="2"/>
      <c r="H171" s="2"/>
      <c r="I171" s="2">
        <v>59.939399999999999</v>
      </c>
      <c r="J171" s="2">
        <v>340</v>
      </c>
      <c r="K171" s="2">
        <v>60.894300000000001</v>
      </c>
      <c r="L171" s="2">
        <v>331</v>
      </c>
      <c r="M171" s="2">
        <v>104.9614</v>
      </c>
      <c r="N171" s="2">
        <v>102</v>
      </c>
      <c r="O171" s="2">
        <v>105.5252</v>
      </c>
      <c r="P171" s="2">
        <v>100</v>
      </c>
      <c r="Q171" s="2">
        <v>103.1964</v>
      </c>
      <c r="R171" s="2">
        <v>192</v>
      </c>
      <c r="S171" s="2">
        <v>106.5531</v>
      </c>
      <c r="T171" s="2">
        <v>261</v>
      </c>
      <c r="U171" s="2">
        <v>0.47216000000000002</v>
      </c>
      <c r="V171" s="2">
        <v>170</v>
      </c>
      <c r="W171" s="2">
        <v>2015</v>
      </c>
    </row>
    <row r="172" spans="1:23" ht="12.3" x14ac:dyDescent="0.4">
      <c r="A172" s="2" t="s">
        <v>322</v>
      </c>
      <c r="B172" s="2"/>
      <c r="C172" s="2"/>
      <c r="D172" s="2"/>
      <c r="E172" s="2"/>
      <c r="F172" s="2"/>
      <c r="G172" s="2"/>
      <c r="H172" s="2"/>
      <c r="I172" s="2">
        <v>64.869</v>
      </c>
      <c r="J172" s="2">
        <v>169</v>
      </c>
      <c r="K172" s="2">
        <v>64.461500000000001</v>
      </c>
      <c r="L172" s="2">
        <v>182</v>
      </c>
      <c r="M172" s="2">
        <v>106.0014</v>
      </c>
      <c r="N172" s="2">
        <v>87</v>
      </c>
      <c r="O172" s="2">
        <v>105.5241</v>
      </c>
      <c r="P172" s="2">
        <v>101</v>
      </c>
      <c r="Q172" s="2">
        <v>104.9406</v>
      </c>
      <c r="R172" s="2">
        <v>236</v>
      </c>
      <c r="S172" s="2">
        <v>106.7847</v>
      </c>
      <c r="T172" s="2">
        <v>264</v>
      </c>
      <c r="U172" s="2">
        <v>0.46590999999999999</v>
      </c>
      <c r="V172" s="2">
        <v>171</v>
      </c>
      <c r="W172" s="2">
        <v>2015</v>
      </c>
    </row>
    <row r="173" spans="1:23" ht="12.3" x14ac:dyDescent="0.4">
      <c r="A173" s="2" t="s">
        <v>267</v>
      </c>
      <c r="B173" s="2"/>
      <c r="C173" s="2"/>
      <c r="D173" s="2"/>
      <c r="E173" s="2"/>
      <c r="F173" s="2"/>
      <c r="G173" s="2"/>
      <c r="H173" s="2"/>
      <c r="I173" s="2">
        <v>65.795100000000005</v>
      </c>
      <c r="J173" s="2">
        <v>124</v>
      </c>
      <c r="K173" s="2">
        <v>67.570499999999996</v>
      </c>
      <c r="L173" s="2">
        <v>48</v>
      </c>
      <c r="M173" s="2">
        <v>98.700400000000002</v>
      </c>
      <c r="N173" s="2">
        <v>249</v>
      </c>
      <c r="O173" s="2">
        <v>100.0573</v>
      </c>
      <c r="P173" s="2">
        <v>226</v>
      </c>
      <c r="Q173" s="2">
        <v>101.0438</v>
      </c>
      <c r="R173" s="2">
        <v>147</v>
      </c>
      <c r="S173" s="2">
        <v>101.3082</v>
      </c>
      <c r="T173" s="2">
        <v>144</v>
      </c>
      <c r="U173" s="2">
        <v>0.464339</v>
      </c>
      <c r="V173" s="2">
        <v>172</v>
      </c>
      <c r="W173" s="2">
        <v>2015</v>
      </c>
    </row>
    <row r="174" spans="1:23" ht="12.3" x14ac:dyDescent="0.4">
      <c r="A174" s="2" t="s">
        <v>307</v>
      </c>
      <c r="B174" s="2">
        <v>16</v>
      </c>
      <c r="C174" s="2"/>
      <c r="D174" s="2"/>
      <c r="E174" s="2"/>
      <c r="F174" s="2"/>
      <c r="G174" s="2"/>
      <c r="H174" s="2"/>
      <c r="I174" s="2">
        <v>66.733500000000006</v>
      </c>
      <c r="J174" s="2">
        <v>85</v>
      </c>
      <c r="K174" s="2">
        <v>65.608199999999997</v>
      </c>
      <c r="L174" s="2">
        <v>131</v>
      </c>
      <c r="M174" s="2">
        <v>103.0624</v>
      </c>
      <c r="N174" s="2">
        <v>151</v>
      </c>
      <c r="O174" s="2">
        <v>101.0371</v>
      </c>
      <c r="P174" s="2">
        <v>191</v>
      </c>
      <c r="Q174" s="2">
        <v>100.7603</v>
      </c>
      <c r="R174" s="2">
        <v>142</v>
      </c>
      <c r="S174" s="2">
        <v>102.3443</v>
      </c>
      <c r="T174" s="2">
        <v>169</v>
      </c>
      <c r="U174" s="2">
        <v>0.46310800000000002</v>
      </c>
      <c r="V174" s="2">
        <v>173</v>
      </c>
      <c r="W174" s="2">
        <v>2015</v>
      </c>
    </row>
    <row r="175" spans="1:23" ht="12.3" x14ac:dyDescent="0.4">
      <c r="A175" s="2" t="s">
        <v>193</v>
      </c>
      <c r="B175" s="2"/>
      <c r="C175" s="2"/>
      <c r="D175" s="2"/>
      <c r="E175" s="2"/>
      <c r="F175" s="2"/>
      <c r="G175" s="2"/>
      <c r="H175" s="2"/>
      <c r="I175" s="2">
        <v>62.202800000000003</v>
      </c>
      <c r="J175" s="2">
        <v>298</v>
      </c>
      <c r="K175" s="2">
        <v>61.070999999999998</v>
      </c>
      <c r="L175" s="2">
        <v>325</v>
      </c>
      <c r="M175" s="2">
        <v>96.529600000000002</v>
      </c>
      <c r="N175" s="2">
        <v>282</v>
      </c>
      <c r="O175" s="2">
        <v>95.840100000000007</v>
      </c>
      <c r="P175" s="2">
        <v>295</v>
      </c>
      <c r="Q175" s="2">
        <v>95.732600000000005</v>
      </c>
      <c r="R175" s="2">
        <v>42</v>
      </c>
      <c r="S175" s="2">
        <v>97.120599999999996</v>
      </c>
      <c r="T175" s="2">
        <v>71</v>
      </c>
      <c r="U175" s="2">
        <v>0.46191599999999999</v>
      </c>
      <c r="V175" s="2">
        <v>174</v>
      </c>
      <c r="W175" s="2">
        <v>2015</v>
      </c>
    </row>
    <row r="176" spans="1:23" ht="12.3" x14ac:dyDescent="0.4">
      <c r="A176" s="2" t="s">
        <v>310</v>
      </c>
      <c r="B176" s="2"/>
      <c r="C176" s="2"/>
      <c r="D176" s="2"/>
      <c r="E176" s="2"/>
      <c r="F176" s="2"/>
      <c r="G176" s="2"/>
      <c r="H176" s="2"/>
      <c r="I176" s="2">
        <v>63.801499999999997</v>
      </c>
      <c r="J176" s="2">
        <v>238</v>
      </c>
      <c r="K176" s="2">
        <v>64.026799999999994</v>
      </c>
      <c r="L176" s="2">
        <v>210</v>
      </c>
      <c r="M176" s="2">
        <v>100.52500000000001</v>
      </c>
      <c r="N176" s="2">
        <v>207</v>
      </c>
      <c r="O176" s="2">
        <v>98.575100000000006</v>
      </c>
      <c r="P176" s="2">
        <v>246</v>
      </c>
      <c r="Q176" s="2">
        <v>96.062600000000003</v>
      </c>
      <c r="R176" s="2">
        <v>46</v>
      </c>
      <c r="S176" s="2">
        <v>99.894499999999994</v>
      </c>
      <c r="T176" s="2">
        <v>119</v>
      </c>
      <c r="U176" s="2">
        <v>0.46185100000000001</v>
      </c>
      <c r="V176" s="2">
        <v>175</v>
      </c>
      <c r="W176" s="2">
        <v>2015</v>
      </c>
    </row>
    <row r="177" spans="1:23" ht="12.3" x14ac:dyDescent="0.4">
      <c r="A177" s="2" t="s">
        <v>247</v>
      </c>
      <c r="B177" s="2"/>
      <c r="C177" s="2"/>
      <c r="D177" s="2"/>
      <c r="E177" s="2"/>
      <c r="F177" s="2"/>
      <c r="G177" s="2"/>
      <c r="H177" s="2"/>
      <c r="I177" s="2">
        <v>60.2911</v>
      </c>
      <c r="J177" s="2">
        <v>338</v>
      </c>
      <c r="K177" s="2">
        <v>61.139000000000003</v>
      </c>
      <c r="L177" s="2">
        <v>323</v>
      </c>
      <c r="M177" s="2">
        <v>106.63079999999999</v>
      </c>
      <c r="N177" s="2">
        <v>69</v>
      </c>
      <c r="O177" s="2">
        <v>106.39100000000001</v>
      </c>
      <c r="P177" s="2">
        <v>81</v>
      </c>
      <c r="Q177" s="2">
        <v>105.5082</v>
      </c>
      <c r="R177" s="2">
        <v>252</v>
      </c>
      <c r="S177" s="2">
        <v>107.8404</v>
      </c>
      <c r="T177" s="2">
        <v>284</v>
      </c>
      <c r="U177" s="2">
        <v>0.461177</v>
      </c>
      <c r="V177" s="2">
        <v>176</v>
      </c>
      <c r="W177" s="2">
        <v>2015</v>
      </c>
    </row>
    <row r="178" spans="1:23" ht="12.3" x14ac:dyDescent="0.4">
      <c r="A178" s="2" t="s">
        <v>280</v>
      </c>
      <c r="B178" s="2"/>
      <c r="C178" s="2"/>
      <c r="D178" s="2"/>
      <c r="E178" s="2"/>
      <c r="F178" s="2"/>
      <c r="G178" s="2"/>
      <c r="H178" s="2"/>
      <c r="I178" s="2">
        <v>62.099600000000002</v>
      </c>
      <c r="J178" s="2">
        <v>302</v>
      </c>
      <c r="K178" s="2">
        <v>61.668999999999997</v>
      </c>
      <c r="L178" s="2">
        <v>312</v>
      </c>
      <c r="M178" s="2">
        <v>107.7264</v>
      </c>
      <c r="N178" s="2">
        <v>55</v>
      </c>
      <c r="O178" s="2">
        <v>106.2377</v>
      </c>
      <c r="P178" s="2">
        <v>85</v>
      </c>
      <c r="Q178" s="2">
        <v>105.21120000000001</v>
      </c>
      <c r="R178" s="2">
        <v>242</v>
      </c>
      <c r="S178" s="2">
        <v>107.7252</v>
      </c>
      <c r="T178" s="2">
        <v>281</v>
      </c>
      <c r="U178" s="2">
        <v>0.46010899999999999</v>
      </c>
      <c r="V178" s="2">
        <v>177</v>
      </c>
      <c r="W178" s="2">
        <v>2015</v>
      </c>
    </row>
    <row r="179" spans="1:23" ht="12.3" x14ac:dyDescent="0.4">
      <c r="A179" s="2" t="s">
        <v>367</v>
      </c>
      <c r="B179" s="2"/>
      <c r="C179" s="2"/>
      <c r="D179" s="2"/>
      <c r="E179" s="2"/>
      <c r="F179" s="2"/>
      <c r="G179" s="2"/>
      <c r="H179" s="2"/>
      <c r="I179" s="2">
        <v>64.132499999999993</v>
      </c>
      <c r="J179" s="2">
        <v>215</v>
      </c>
      <c r="K179" s="2">
        <v>63.639600000000002</v>
      </c>
      <c r="L179" s="2">
        <v>242</v>
      </c>
      <c r="M179" s="2">
        <v>107.3442</v>
      </c>
      <c r="N179" s="2">
        <v>60</v>
      </c>
      <c r="O179" s="2">
        <v>102.2701</v>
      </c>
      <c r="P179" s="2">
        <v>166</v>
      </c>
      <c r="Q179" s="2">
        <v>97.946899999999999</v>
      </c>
      <c r="R179" s="2">
        <v>84</v>
      </c>
      <c r="S179" s="2">
        <v>103.7213</v>
      </c>
      <c r="T179" s="2">
        <v>195</v>
      </c>
      <c r="U179" s="2">
        <v>0.45957900000000002</v>
      </c>
      <c r="V179" s="2">
        <v>178</v>
      </c>
      <c r="W179" s="2">
        <v>2015</v>
      </c>
    </row>
    <row r="180" spans="1:23" ht="12.3" x14ac:dyDescent="0.4">
      <c r="A180" s="2" t="s">
        <v>369</v>
      </c>
      <c r="B180" s="2"/>
      <c r="C180" s="2"/>
      <c r="D180" s="2"/>
      <c r="E180" s="2"/>
      <c r="F180" s="2"/>
      <c r="G180" s="2"/>
      <c r="H180" s="2"/>
      <c r="I180" s="2">
        <v>65.109300000000005</v>
      </c>
      <c r="J180" s="2">
        <v>154</v>
      </c>
      <c r="K180" s="2">
        <v>64.439300000000003</v>
      </c>
      <c r="L180" s="2">
        <v>186</v>
      </c>
      <c r="M180" s="2">
        <v>103.6277</v>
      </c>
      <c r="N180" s="2">
        <v>135</v>
      </c>
      <c r="O180" s="2">
        <v>99.800899999999999</v>
      </c>
      <c r="P180" s="2">
        <v>229</v>
      </c>
      <c r="Q180" s="2">
        <v>98.533699999999996</v>
      </c>
      <c r="R180" s="2">
        <v>96</v>
      </c>
      <c r="S180" s="2">
        <v>101.355</v>
      </c>
      <c r="T180" s="2">
        <v>145</v>
      </c>
      <c r="U180" s="2">
        <v>0.45569300000000001</v>
      </c>
      <c r="V180" s="2">
        <v>179</v>
      </c>
      <c r="W180" s="2">
        <v>2015</v>
      </c>
    </row>
    <row r="181" spans="1:23" ht="12.3" x14ac:dyDescent="0.4">
      <c r="A181" s="2" t="s">
        <v>274</v>
      </c>
      <c r="B181" s="2"/>
      <c r="C181" s="2"/>
      <c r="D181" s="2"/>
      <c r="E181" s="2"/>
      <c r="F181" s="2"/>
      <c r="G181" s="2"/>
      <c r="H181" s="2"/>
      <c r="I181" s="2">
        <v>66.520899999999997</v>
      </c>
      <c r="J181" s="2">
        <v>94</v>
      </c>
      <c r="K181" s="2">
        <v>67.208699999999993</v>
      </c>
      <c r="L181" s="2">
        <v>59</v>
      </c>
      <c r="M181" s="2">
        <v>102.2961</v>
      </c>
      <c r="N181" s="2">
        <v>172</v>
      </c>
      <c r="O181" s="2">
        <v>100.22620000000001</v>
      </c>
      <c r="P181" s="2">
        <v>221</v>
      </c>
      <c r="Q181" s="2">
        <v>98.838300000000004</v>
      </c>
      <c r="R181" s="2">
        <v>103</v>
      </c>
      <c r="S181" s="2">
        <v>101.92749999999999</v>
      </c>
      <c r="T181" s="2">
        <v>158</v>
      </c>
      <c r="U181" s="2">
        <v>0.45175700000000002</v>
      </c>
      <c r="V181" s="2">
        <v>180</v>
      </c>
      <c r="W181" s="2">
        <v>2015</v>
      </c>
    </row>
    <row r="182" spans="1:23" ht="12.3" x14ac:dyDescent="0.4">
      <c r="A182" s="2" t="s">
        <v>318</v>
      </c>
      <c r="B182" s="2"/>
      <c r="C182" s="2"/>
      <c r="D182" s="2"/>
      <c r="E182" s="2"/>
      <c r="F182" s="2"/>
      <c r="G182" s="2"/>
      <c r="H182" s="2"/>
      <c r="I182" s="2">
        <v>60.871299999999998</v>
      </c>
      <c r="J182" s="2">
        <v>331</v>
      </c>
      <c r="K182" s="2">
        <v>60.454500000000003</v>
      </c>
      <c r="L182" s="2">
        <v>337</v>
      </c>
      <c r="M182" s="2">
        <v>105.92319999999999</v>
      </c>
      <c r="N182" s="2">
        <v>89</v>
      </c>
      <c r="O182" s="2">
        <v>101.9469</v>
      </c>
      <c r="P182" s="2">
        <v>173</v>
      </c>
      <c r="Q182" s="2">
        <v>102.3274</v>
      </c>
      <c r="R182" s="2">
        <v>175</v>
      </c>
      <c r="S182" s="2">
        <v>103.765</v>
      </c>
      <c r="T182" s="2">
        <v>197</v>
      </c>
      <c r="U182" s="2">
        <v>0.44935399999999998</v>
      </c>
      <c r="V182" s="2">
        <v>181</v>
      </c>
      <c r="W182" s="2">
        <v>2015</v>
      </c>
    </row>
    <row r="183" spans="1:23" ht="12.3" x14ac:dyDescent="0.4">
      <c r="A183" s="2" t="s">
        <v>223</v>
      </c>
      <c r="B183" s="2"/>
      <c r="C183" s="2"/>
      <c r="D183" s="2"/>
      <c r="E183" s="2"/>
      <c r="F183" s="2"/>
      <c r="G183" s="2"/>
      <c r="H183" s="2"/>
      <c r="I183" s="2">
        <v>64.589100000000002</v>
      </c>
      <c r="J183" s="2">
        <v>187</v>
      </c>
      <c r="K183" s="2">
        <v>64.690899999999999</v>
      </c>
      <c r="L183" s="2">
        <v>172</v>
      </c>
      <c r="M183" s="2">
        <v>106.3395</v>
      </c>
      <c r="N183" s="2">
        <v>81</v>
      </c>
      <c r="O183" s="2">
        <v>104.20740000000001</v>
      </c>
      <c r="P183" s="2">
        <v>118</v>
      </c>
      <c r="Q183" s="2">
        <v>104.435</v>
      </c>
      <c r="R183" s="2">
        <v>222</v>
      </c>
      <c r="S183" s="2">
        <v>106.21210000000001</v>
      </c>
      <c r="T183" s="2">
        <v>249</v>
      </c>
      <c r="U183" s="2">
        <v>0.445434</v>
      </c>
      <c r="V183" s="2">
        <v>182</v>
      </c>
      <c r="W183" s="2">
        <v>2015</v>
      </c>
    </row>
    <row r="184" spans="1:23" ht="12.3" x14ac:dyDescent="0.4">
      <c r="A184" s="2" t="s">
        <v>251</v>
      </c>
      <c r="B184" s="2"/>
      <c r="C184" s="2"/>
      <c r="D184" s="2"/>
      <c r="E184" s="2"/>
      <c r="F184" s="2"/>
      <c r="G184" s="2"/>
      <c r="H184" s="2"/>
      <c r="I184" s="2">
        <v>64.161199999999994</v>
      </c>
      <c r="J184" s="2">
        <v>213</v>
      </c>
      <c r="K184" s="2">
        <v>64.166300000000007</v>
      </c>
      <c r="L184" s="2">
        <v>203</v>
      </c>
      <c r="M184" s="2">
        <v>99.625200000000007</v>
      </c>
      <c r="N184" s="2">
        <v>229</v>
      </c>
      <c r="O184" s="2">
        <v>98.357799999999997</v>
      </c>
      <c r="P184" s="2">
        <v>248</v>
      </c>
      <c r="Q184" s="2">
        <v>98.188199999999995</v>
      </c>
      <c r="R184" s="2">
        <v>88</v>
      </c>
      <c r="S184" s="2">
        <v>100.264</v>
      </c>
      <c r="T184" s="2">
        <v>131</v>
      </c>
      <c r="U184" s="2">
        <v>0.44503900000000002</v>
      </c>
      <c r="V184" s="2">
        <v>183</v>
      </c>
      <c r="W184" s="2">
        <v>2015</v>
      </c>
    </row>
    <row r="185" spans="1:23" ht="12.3" x14ac:dyDescent="0.4">
      <c r="A185" s="2" t="s">
        <v>283</v>
      </c>
      <c r="B185" s="2"/>
      <c r="C185" s="2"/>
      <c r="D185" s="2"/>
      <c r="E185" s="2"/>
      <c r="F185" s="2"/>
      <c r="G185" s="2"/>
      <c r="H185" s="2"/>
      <c r="I185" s="2">
        <v>63.800400000000003</v>
      </c>
      <c r="J185" s="2">
        <v>239</v>
      </c>
      <c r="K185" s="2">
        <v>63.121699999999997</v>
      </c>
      <c r="L185" s="2">
        <v>265</v>
      </c>
      <c r="M185" s="2">
        <v>100.0273</v>
      </c>
      <c r="N185" s="2">
        <v>215</v>
      </c>
      <c r="O185" s="2">
        <v>99.487799999999993</v>
      </c>
      <c r="P185" s="2">
        <v>231</v>
      </c>
      <c r="Q185" s="2">
        <v>96.933700000000002</v>
      </c>
      <c r="R185" s="2">
        <v>69</v>
      </c>
      <c r="S185" s="2">
        <v>101.4371</v>
      </c>
      <c r="T185" s="2">
        <v>148</v>
      </c>
      <c r="U185" s="2">
        <v>0.44444600000000001</v>
      </c>
      <c r="V185" s="2">
        <v>184</v>
      </c>
      <c r="W185" s="2">
        <v>2015</v>
      </c>
    </row>
    <row r="186" spans="1:23" ht="12.3" x14ac:dyDescent="0.4">
      <c r="A186" s="2" t="s">
        <v>226</v>
      </c>
      <c r="B186" s="2"/>
      <c r="C186" s="2"/>
      <c r="D186" s="2"/>
      <c r="E186" s="2"/>
      <c r="F186" s="2"/>
      <c r="G186" s="2"/>
      <c r="H186" s="2"/>
      <c r="I186" s="2">
        <v>57.061700000000002</v>
      </c>
      <c r="J186" s="2">
        <v>351</v>
      </c>
      <c r="K186" s="2">
        <v>57.583199999999998</v>
      </c>
      <c r="L186" s="2">
        <v>350</v>
      </c>
      <c r="M186" s="2">
        <v>101.23260000000001</v>
      </c>
      <c r="N186" s="2">
        <v>191</v>
      </c>
      <c r="O186" s="2">
        <v>101.2268</v>
      </c>
      <c r="P186" s="2">
        <v>189</v>
      </c>
      <c r="Q186" s="2">
        <v>101.2037</v>
      </c>
      <c r="R186" s="2">
        <v>153</v>
      </c>
      <c r="S186" s="2">
        <v>103.3064</v>
      </c>
      <c r="T186" s="2">
        <v>184</v>
      </c>
      <c r="U186" s="2">
        <v>0.44180199999999997</v>
      </c>
      <c r="V186" s="2">
        <v>185</v>
      </c>
      <c r="W186" s="2">
        <v>2015</v>
      </c>
    </row>
    <row r="187" spans="1:23" ht="12.3" x14ac:dyDescent="0.4">
      <c r="A187" s="2" t="s">
        <v>132</v>
      </c>
      <c r="B187" s="2"/>
      <c r="C187" s="2"/>
      <c r="D187" s="2"/>
      <c r="E187" s="2"/>
      <c r="F187" s="2"/>
      <c r="G187" s="2"/>
      <c r="H187" s="2"/>
      <c r="I187" s="2">
        <v>67.912400000000005</v>
      </c>
      <c r="J187" s="2">
        <v>46</v>
      </c>
      <c r="K187" s="2">
        <v>68.029300000000006</v>
      </c>
      <c r="L187" s="2">
        <v>33</v>
      </c>
      <c r="M187" s="2">
        <v>101.0795</v>
      </c>
      <c r="N187" s="2">
        <v>195</v>
      </c>
      <c r="O187" s="2">
        <v>101.42310000000001</v>
      </c>
      <c r="P187" s="2">
        <v>184</v>
      </c>
      <c r="Q187" s="2">
        <v>104.3873</v>
      </c>
      <c r="R187" s="2">
        <v>221</v>
      </c>
      <c r="S187" s="2">
        <v>103.5082</v>
      </c>
      <c r="T187" s="2">
        <v>190</v>
      </c>
      <c r="U187" s="2">
        <v>0.44175700000000001</v>
      </c>
      <c r="V187" s="2">
        <v>186</v>
      </c>
      <c r="W187" s="2">
        <v>2015</v>
      </c>
    </row>
    <row r="188" spans="1:23" ht="12.3" x14ac:dyDescent="0.4">
      <c r="A188" s="2" t="s">
        <v>305</v>
      </c>
      <c r="B188" s="2"/>
      <c r="C188" s="2"/>
      <c r="D188" s="2"/>
      <c r="E188" s="2"/>
      <c r="F188" s="2"/>
      <c r="G188" s="2"/>
      <c r="H188" s="2"/>
      <c r="I188" s="2">
        <v>66.070999999999998</v>
      </c>
      <c r="J188" s="2">
        <v>114</v>
      </c>
      <c r="K188" s="2">
        <v>65.737700000000004</v>
      </c>
      <c r="L188" s="2">
        <v>126</v>
      </c>
      <c r="M188" s="2">
        <v>107.2186</v>
      </c>
      <c r="N188" s="2">
        <v>64</v>
      </c>
      <c r="O188" s="2">
        <v>105.50149999999999</v>
      </c>
      <c r="P188" s="2">
        <v>102</v>
      </c>
      <c r="Q188" s="2">
        <v>105.5707</v>
      </c>
      <c r="R188" s="2">
        <v>254</v>
      </c>
      <c r="S188" s="2">
        <v>107.6758</v>
      </c>
      <c r="T188" s="2">
        <v>278</v>
      </c>
      <c r="U188" s="2">
        <v>0.44161800000000001</v>
      </c>
      <c r="V188" s="2">
        <v>187</v>
      </c>
      <c r="W188" s="2">
        <v>2015</v>
      </c>
    </row>
    <row r="189" spans="1:23" ht="12.3" x14ac:dyDescent="0.4">
      <c r="A189" s="2" t="s">
        <v>159</v>
      </c>
      <c r="B189" s="2"/>
      <c r="C189" s="2"/>
      <c r="D189" s="2"/>
      <c r="E189" s="2"/>
      <c r="F189" s="2"/>
      <c r="G189" s="2"/>
      <c r="H189" s="2"/>
      <c r="I189" s="2">
        <v>64.119600000000005</v>
      </c>
      <c r="J189" s="2">
        <v>216</v>
      </c>
      <c r="K189" s="2">
        <v>63.800600000000003</v>
      </c>
      <c r="L189" s="2">
        <v>225</v>
      </c>
      <c r="M189" s="2">
        <v>101.0958</v>
      </c>
      <c r="N189" s="2">
        <v>194</v>
      </c>
      <c r="O189" s="2">
        <v>103.91200000000001</v>
      </c>
      <c r="P189" s="2">
        <v>126</v>
      </c>
      <c r="Q189" s="2">
        <v>107.96899999999999</v>
      </c>
      <c r="R189" s="2">
        <v>299</v>
      </c>
      <c r="S189" s="2">
        <v>106.0578</v>
      </c>
      <c r="T189" s="2">
        <v>244</v>
      </c>
      <c r="U189" s="2">
        <v>0.44150400000000001</v>
      </c>
      <c r="V189" s="2">
        <v>188</v>
      </c>
      <c r="W189" s="2">
        <v>2015</v>
      </c>
    </row>
    <row r="190" spans="1:23" ht="12.3" x14ac:dyDescent="0.4">
      <c r="A190" s="2" t="s">
        <v>217</v>
      </c>
      <c r="B190" s="2"/>
      <c r="C190" s="2"/>
      <c r="D190" s="2"/>
      <c r="E190" s="2"/>
      <c r="F190" s="2"/>
      <c r="G190" s="2"/>
      <c r="H190" s="2"/>
      <c r="I190" s="2">
        <v>61.328200000000002</v>
      </c>
      <c r="J190" s="2">
        <v>320</v>
      </c>
      <c r="K190" s="2">
        <v>61.8902</v>
      </c>
      <c r="L190" s="2">
        <v>305</v>
      </c>
      <c r="M190" s="2">
        <v>101.95529999999999</v>
      </c>
      <c r="N190" s="2">
        <v>178</v>
      </c>
      <c r="O190" s="2">
        <v>103.50539999999999</v>
      </c>
      <c r="P190" s="2">
        <v>137</v>
      </c>
      <c r="Q190" s="2">
        <v>109.0847</v>
      </c>
      <c r="R190" s="2">
        <v>312</v>
      </c>
      <c r="S190" s="2">
        <v>105.6461</v>
      </c>
      <c r="T190" s="2">
        <v>236</v>
      </c>
      <c r="U190" s="2">
        <v>0.441415</v>
      </c>
      <c r="V190" s="2">
        <v>189</v>
      </c>
      <c r="W190" s="2">
        <v>2015</v>
      </c>
    </row>
    <row r="191" spans="1:23" ht="12.3" x14ac:dyDescent="0.4">
      <c r="A191" s="2" t="s">
        <v>254</v>
      </c>
      <c r="B191" s="2"/>
      <c r="C191" s="2"/>
      <c r="D191" s="2"/>
      <c r="E191" s="2"/>
      <c r="F191" s="2"/>
      <c r="G191" s="2"/>
      <c r="H191" s="2"/>
      <c r="I191" s="2">
        <v>65.010499999999993</v>
      </c>
      <c r="J191" s="2">
        <v>161</v>
      </c>
      <c r="K191" s="2">
        <v>64.573400000000007</v>
      </c>
      <c r="L191" s="2">
        <v>179</v>
      </c>
      <c r="M191" s="2">
        <v>104.0416</v>
      </c>
      <c r="N191" s="2">
        <v>124</v>
      </c>
      <c r="O191" s="2">
        <v>100.3389</v>
      </c>
      <c r="P191" s="2">
        <v>218</v>
      </c>
      <c r="Q191" s="2">
        <v>103.0275</v>
      </c>
      <c r="R191" s="2">
        <v>190</v>
      </c>
      <c r="S191" s="2">
        <v>102.5962</v>
      </c>
      <c r="T191" s="2">
        <v>173</v>
      </c>
      <c r="U191" s="2">
        <v>0.43638399999999999</v>
      </c>
      <c r="V191" s="2">
        <v>190</v>
      </c>
      <c r="W191" s="2">
        <v>2015</v>
      </c>
    </row>
    <row r="192" spans="1:23" ht="12.3" x14ac:dyDescent="0.4">
      <c r="A192" s="2" t="s">
        <v>239</v>
      </c>
      <c r="B192" s="2"/>
      <c r="C192" s="2"/>
      <c r="D192" s="2"/>
      <c r="E192" s="2"/>
      <c r="F192" s="2"/>
      <c r="G192" s="2"/>
      <c r="H192" s="2"/>
      <c r="I192" s="2">
        <v>67.618499999999997</v>
      </c>
      <c r="J192" s="2">
        <v>58</v>
      </c>
      <c r="K192" s="2">
        <v>67.463300000000004</v>
      </c>
      <c r="L192" s="2">
        <v>54</v>
      </c>
      <c r="M192" s="2">
        <v>102.68510000000001</v>
      </c>
      <c r="N192" s="2">
        <v>164</v>
      </c>
      <c r="O192" s="2">
        <v>107.1711</v>
      </c>
      <c r="P192" s="2">
        <v>72</v>
      </c>
      <c r="Q192" s="2">
        <v>111.9995</v>
      </c>
      <c r="R192" s="2">
        <v>338</v>
      </c>
      <c r="S192" s="2">
        <v>109.5917</v>
      </c>
      <c r="T192" s="2">
        <v>315</v>
      </c>
      <c r="U192" s="2">
        <v>0.43613800000000003</v>
      </c>
      <c r="V192" s="2">
        <v>191</v>
      </c>
      <c r="W192" s="2">
        <v>2015</v>
      </c>
    </row>
    <row r="193" spans="1:23" ht="12.3" x14ac:dyDescent="0.4">
      <c r="A193" s="2" t="s">
        <v>335</v>
      </c>
      <c r="B193" s="2"/>
      <c r="C193" s="2"/>
      <c r="D193" s="2"/>
      <c r="E193" s="2"/>
      <c r="F193" s="2"/>
      <c r="G193" s="2"/>
      <c r="H193" s="2"/>
      <c r="I193" s="2">
        <v>61.334099999999999</v>
      </c>
      <c r="J193" s="2">
        <v>319</v>
      </c>
      <c r="K193" s="2">
        <v>60.738</v>
      </c>
      <c r="L193" s="2">
        <v>332</v>
      </c>
      <c r="M193" s="2">
        <v>98.8369</v>
      </c>
      <c r="N193" s="2">
        <v>248</v>
      </c>
      <c r="O193" s="2">
        <v>97.596299999999999</v>
      </c>
      <c r="P193" s="2">
        <v>263</v>
      </c>
      <c r="Q193" s="2">
        <v>97.035200000000003</v>
      </c>
      <c r="R193" s="2">
        <v>71</v>
      </c>
      <c r="S193" s="2">
        <v>99.885000000000005</v>
      </c>
      <c r="T193" s="2">
        <v>118</v>
      </c>
      <c r="U193" s="2">
        <v>0.43374800000000002</v>
      </c>
      <c r="V193" s="2">
        <v>192</v>
      </c>
      <c r="W193" s="2">
        <v>2015</v>
      </c>
    </row>
    <row r="194" spans="1:23" ht="12.3" x14ac:dyDescent="0.4">
      <c r="A194" s="2" t="s">
        <v>112</v>
      </c>
      <c r="B194" s="2"/>
      <c r="C194" s="2"/>
      <c r="D194" s="2"/>
      <c r="E194" s="2"/>
      <c r="F194" s="2"/>
      <c r="G194" s="2"/>
      <c r="H194" s="2"/>
      <c r="I194" s="2">
        <v>63.905099999999997</v>
      </c>
      <c r="J194" s="2">
        <v>230</v>
      </c>
      <c r="K194" s="2">
        <v>65.515600000000006</v>
      </c>
      <c r="L194" s="2">
        <v>133</v>
      </c>
      <c r="M194" s="2">
        <v>98.152000000000001</v>
      </c>
      <c r="N194" s="2">
        <v>258</v>
      </c>
      <c r="O194" s="2">
        <v>100.6512</v>
      </c>
      <c r="P194" s="2">
        <v>206</v>
      </c>
      <c r="Q194" s="2">
        <v>103.60299999999999</v>
      </c>
      <c r="R194" s="2">
        <v>202</v>
      </c>
      <c r="S194" s="2">
        <v>103.1157</v>
      </c>
      <c r="T194" s="2">
        <v>182</v>
      </c>
      <c r="U194" s="2">
        <v>0.43090000000000001</v>
      </c>
      <c r="V194" s="2">
        <v>193</v>
      </c>
      <c r="W194" s="2">
        <v>2015</v>
      </c>
    </row>
    <row r="195" spans="1:23" ht="12.3" x14ac:dyDescent="0.4">
      <c r="A195" s="2" t="s">
        <v>321</v>
      </c>
      <c r="B195" s="2"/>
      <c r="C195" s="2"/>
      <c r="D195" s="2"/>
      <c r="E195" s="2"/>
      <c r="F195" s="2"/>
      <c r="G195" s="2"/>
      <c r="H195" s="2"/>
      <c r="I195" s="2">
        <v>65.072299999999998</v>
      </c>
      <c r="J195" s="2">
        <v>156</v>
      </c>
      <c r="K195" s="2">
        <v>65.408000000000001</v>
      </c>
      <c r="L195" s="2">
        <v>140</v>
      </c>
      <c r="M195" s="2">
        <v>103.0446</v>
      </c>
      <c r="N195" s="2">
        <v>152</v>
      </c>
      <c r="O195" s="2">
        <v>103.4684</v>
      </c>
      <c r="P195" s="2">
        <v>139</v>
      </c>
      <c r="Q195" s="2">
        <v>102.44499999999999</v>
      </c>
      <c r="R195" s="2">
        <v>181</v>
      </c>
      <c r="S195" s="2">
        <v>106.0365</v>
      </c>
      <c r="T195" s="2">
        <v>243</v>
      </c>
      <c r="U195" s="2">
        <v>0.429977</v>
      </c>
      <c r="V195" s="2">
        <v>194</v>
      </c>
      <c r="W195" s="2">
        <v>2015</v>
      </c>
    </row>
    <row r="196" spans="1:23" ht="12.3" x14ac:dyDescent="0.4">
      <c r="A196" s="2" t="s">
        <v>273</v>
      </c>
      <c r="B196" s="2">
        <v>16</v>
      </c>
      <c r="C196" s="2"/>
      <c r="D196" s="2"/>
      <c r="E196" s="2"/>
      <c r="F196" s="2"/>
      <c r="G196" s="2"/>
      <c r="H196" s="2"/>
      <c r="I196" s="2">
        <v>64.612300000000005</v>
      </c>
      <c r="J196" s="2">
        <v>184</v>
      </c>
      <c r="K196" s="2">
        <v>64.965900000000005</v>
      </c>
      <c r="L196" s="2">
        <v>158</v>
      </c>
      <c r="M196" s="2">
        <v>113.6553</v>
      </c>
      <c r="N196" s="2">
        <v>15</v>
      </c>
      <c r="O196" s="2">
        <v>110.35250000000001</v>
      </c>
      <c r="P196" s="2">
        <v>40</v>
      </c>
      <c r="Q196" s="2">
        <v>111.764</v>
      </c>
      <c r="R196" s="2">
        <v>336</v>
      </c>
      <c r="S196" s="2">
        <v>113.15089999999999</v>
      </c>
      <c r="T196" s="2">
        <v>338</v>
      </c>
      <c r="U196" s="2">
        <v>0.42849599999999999</v>
      </c>
      <c r="V196" s="2">
        <v>195</v>
      </c>
      <c r="W196" s="2">
        <v>2015</v>
      </c>
    </row>
    <row r="197" spans="1:23" ht="12.3" x14ac:dyDescent="0.4">
      <c r="A197" s="2" t="s">
        <v>167</v>
      </c>
      <c r="B197" s="2"/>
      <c r="C197" s="2"/>
      <c r="D197" s="2"/>
      <c r="E197" s="2"/>
      <c r="F197" s="2"/>
      <c r="G197" s="2"/>
      <c r="H197" s="2"/>
      <c r="I197" s="2">
        <v>65.67</v>
      </c>
      <c r="J197" s="2">
        <v>133</v>
      </c>
      <c r="K197" s="2">
        <v>65.264700000000005</v>
      </c>
      <c r="L197" s="2">
        <v>147</v>
      </c>
      <c r="M197" s="2">
        <v>99.746499999999997</v>
      </c>
      <c r="N197" s="2">
        <v>225</v>
      </c>
      <c r="O197" s="2">
        <v>100.80029999999999</v>
      </c>
      <c r="P197" s="2">
        <v>201</v>
      </c>
      <c r="Q197" s="2">
        <v>105.4753</v>
      </c>
      <c r="R197" s="2">
        <v>250</v>
      </c>
      <c r="S197" s="2">
        <v>103.48350000000001</v>
      </c>
      <c r="T197" s="2">
        <v>188</v>
      </c>
      <c r="U197" s="2">
        <v>0.42504199999999998</v>
      </c>
      <c r="V197" s="2">
        <v>196</v>
      </c>
      <c r="W197" s="2">
        <v>2015</v>
      </c>
    </row>
    <row r="198" spans="1:23" ht="12.3" x14ac:dyDescent="0.4">
      <c r="A198" s="2" t="s">
        <v>320</v>
      </c>
      <c r="B198" s="2"/>
      <c r="C198" s="2"/>
      <c r="D198" s="2"/>
      <c r="E198" s="2"/>
      <c r="F198" s="2"/>
      <c r="G198" s="2"/>
      <c r="H198" s="2"/>
      <c r="I198" s="2">
        <v>65.39</v>
      </c>
      <c r="J198" s="2">
        <v>146</v>
      </c>
      <c r="K198" s="2">
        <v>65.008399999999995</v>
      </c>
      <c r="L198" s="2">
        <v>156</v>
      </c>
      <c r="M198" s="2">
        <v>103.7974</v>
      </c>
      <c r="N198" s="2">
        <v>131</v>
      </c>
      <c r="O198" s="2">
        <v>102.5454</v>
      </c>
      <c r="P198" s="2">
        <v>160</v>
      </c>
      <c r="Q198" s="2">
        <v>101.33459999999999</v>
      </c>
      <c r="R198" s="2">
        <v>158</v>
      </c>
      <c r="S198" s="2">
        <v>105.3236</v>
      </c>
      <c r="T198" s="2">
        <v>230</v>
      </c>
      <c r="U198" s="2">
        <v>0.42374499999999998</v>
      </c>
      <c r="V198" s="2">
        <v>197</v>
      </c>
      <c r="W198" s="2">
        <v>2015</v>
      </c>
    </row>
    <row r="199" spans="1:23" ht="12.3" x14ac:dyDescent="0.4">
      <c r="A199" s="2" t="s">
        <v>302</v>
      </c>
      <c r="B199" s="2"/>
      <c r="C199" s="2"/>
      <c r="D199" s="2"/>
      <c r="E199" s="2"/>
      <c r="F199" s="2"/>
      <c r="G199" s="2"/>
      <c r="H199" s="2"/>
      <c r="I199" s="2">
        <v>63.3065</v>
      </c>
      <c r="J199" s="2">
        <v>258</v>
      </c>
      <c r="K199" s="2">
        <v>62.268300000000004</v>
      </c>
      <c r="L199" s="2">
        <v>295</v>
      </c>
      <c r="M199" s="2">
        <v>110.6938</v>
      </c>
      <c r="N199" s="2">
        <v>30</v>
      </c>
      <c r="O199" s="2">
        <v>106.49079999999999</v>
      </c>
      <c r="P199" s="2">
        <v>78</v>
      </c>
      <c r="Q199" s="2">
        <v>108.80110000000001</v>
      </c>
      <c r="R199" s="2">
        <v>309</v>
      </c>
      <c r="S199" s="2">
        <v>109.38890000000001</v>
      </c>
      <c r="T199" s="2">
        <v>310</v>
      </c>
      <c r="U199" s="2">
        <v>0.42341099999999998</v>
      </c>
      <c r="V199" s="2">
        <v>198</v>
      </c>
      <c r="W199" s="2">
        <v>2015</v>
      </c>
    </row>
    <row r="200" spans="1:23" ht="12.3" x14ac:dyDescent="0.4">
      <c r="A200" s="2" t="s">
        <v>270</v>
      </c>
      <c r="B200" s="2"/>
      <c r="C200" s="2"/>
      <c r="D200" s="2"/>
      <c r="E200" s="2"/>
      <c r="F200" s="2"/>
      <c r="G200" s="2"/>
      <c r="H200" s="2"/>
      <c r="I200" s="2">
        <v>70.124399999999994</v>
      </c>
      <c r="J200" s="2">
        <v>11</v>
      </c>
      <c r="K200" s="2">
        <v>70.229399999999998</v>
      </c>
      <c r="L200" s="2">
        <v>8</v>
      </c>
      <c r="M200" s="2">
        <v>100.6643</v>
      </c>
      <c r="N200" s="2">
        <v>205</v>
      </c>
      <c r="O200" s="2">
        <v>101.36750000000001</v>
      </c>
      <c r="P200" s="2">
        <v>187</v>
      </c>
      <c r="Q200" s="2">
        <v>101.8657</v>
      </c>
      <c r="R200" s="2">
        <v>168</v>
      </c>
      <c r="S200" s="2">
        <v>104.1459</v>
      </c>
      <c r="T200" s="2">
        <v>206</v>
      </c>
      <c r="U200" s="2">
        <v>0.42288199999999998</v>
      </c>
      <c r="V200" s="2">
        <v>199</v>
      </c>
      <c r="W200" s="2">
        <v>2015</v>
      </c>
    </row>
    <row r="201" spans="1:23" ht="12.3" x14ac:dyDescent="0.4">
      <c r="A201" s="2" t="s">
        <v>122</v>
      </c>
      <c r="B201" s="2"/>
      <c r="C201" s="2"/>
      <c r="D201" s="2"/>
      <c r="E201" s="2"/>
      <c r="F201" s="2"/>
      <c r="G201" s="2"/>
      <c r="H201" s="2"/>
      <c r="I201" s="2">
        <v>65.497799999999998</v>
      </c>
      <c r="J201" s="2">
        <v>141</v>
      </c>
      <c r="K201" s="2">
        <v>65.235900000000001</v>
      </c>
      <c r="L201" s="2">
        <v>148</v>
      </c>
      <c r="M201" s="2">
        <v>99.899799999999999</v>
      </c>
      <c r="N201" s="2">
        <v>221</v>
      </c>
      <c r="O201" s="2">
        <v>100.9859</v>
      </c>
      <c r="P201" s="2">
        <v>193</v>
      </c>
      <c r="Q201" s="2">
        <v>107.1789</v>
      </c>
      <c r="R201" s="2">
        <v>286</v>
      </c>
      <c r="S201" s="2">
        <v>103.8291</v>
      </c>
      <c r="T201" s="2">
        <v>199</v>
      </c>
      <c r="U201" s="2">
        <v>0.420846</v>
      </c>
      <c r="V201" s="2">
        <v>200</v>
      </c>
      <c r="W201" s="2">
        <v>2015</v>
      </c>
    </row>
    <row r="202" spans="1:23" ht="12.3" x14ac:dyDescent="0.4">
      <c r="A202" s="2" t="s">
        <v>250</v>
      </c>
      <c r="B202" s="2"/>
      <c r="C202" s="2"/>
      <c r="D202" s="2"/>
      <c r="E202" s="2"/>
      <c r="F202" s="2"/>
      <c r="G202" s="2"/>
      <c r="H202" s="2"/>
      <c r="I202" s="2">
        <v>67.183999999999997</v>
      </c>
      <c r="J202" s="2">
        <v>73</v>
      </c>
      <c r="K202" s="2">
        <v>67.517799999999994</v>
      </c>
      <c r="L202" s="2">
        <v>52</v>
      </c>
      <c r="M202" s="2">
        <v>104.66379999999999</v>
      </c>
      <c r="N202" s="2">
        <v>114</v>
      </c>
      <c r="O202" s="2">
        <v>107.31</v>
      </c>
      <c r="P202" s="2">
        <v>70</v>
      </c>
      <c r="Q202" s="2">
        <v>111.4102</v>
      </c>
      <c r="R202" s="2">
        <v>332</v>
      </c>
      <c r="S202" s="2">
        <v>110.45440000000001</v>
      </c>
      <c r="T202" s="2">
        <v>322</v>
      </c>
      <c r="U202" s="2">
        <v>0.41772100000000001</v>
      </c>
      <c r="V202" s="2">
        <v>201</v>
      </c>
      <c r="W202" s="2">
        <v>2015</v>
      </c>
    </row>
    <row r="203" spans="1:23" ht="12.3" x14ac:dyDescent="0.4">
      <c r="A203" s="2" t="s">
        <v>289</v>
      </c>
      <c r="B203" s="2"/>
      <c r="C203" s="2"/>
      <c r="D203" s="2"/>
      <c r="E203" s="2"/>
      <c r="F203" s="2"/>
      <c r="G203" s="2"/>
      <c r="H203" s="2"/>
      <c r="I203" s="2">
        <v>63.8309</v>
      </c>
      <c r="J203" s="2">
        <v>235</v>
      </c>
      <c r="K203" s="2">
        <v>64.697900000000004</v>
      </c>
      <c r="L203" s="2">
        <v>171</v>
      </c>
      <c r="M203" s="2">
        <v>105.2872</v>
      </c>
      <c r="N203" s="2">
        <v>97</v>
      </c>
      <c r="O203" s="2">
        <v>103.9209</v>
      </c>
      <c r="P203" s="2">
        <v>125</v>
      </c>
      <c r="Q203" s="2">
        <v>106.3524</v>
      </c>
      <c r="R203" s="2">
        <v>269</v>
      </c>
      <c r="S203" s="2">
        <v>106.96899999999999</v>
      </c>
      <c r="T203" s="2">
        <v>269</v>
      </c>
      <c r="U203" s="2">
        <v>0.41764200000000001</v>
      </c>
      <c r="V203" s="2">
        <v>202</v>
      </c>
      <c r="W203" s="2">
        <v>2015</v>
      </c>
    </row>
    <row r="204" spans="1:23" ht="12.3" x14ac:dyDescent="0.4">
      <c r="A204" s="2" t="s">
        <v>204</v>
      </c>
      <c r="B204" s="2"/>
      <c r="C204" s="2"/>
      <c r="D204" s="2"/>
      <c r="E204" s="2"/>
      <c r="F204" s="2"/>
      <c r="G204" s="2"/>
      <c r="H204" s="2"/>
      <c r="I204" s="2">
        <v>60.9649</v>
      </c>
      <c r="J204" s="2">
        <v>329</v>
      </c>
      <c r="K204" s="2">
        <v>61.915599999999998</v>
      </c>
      <c r="L204" s="2">
        <v>304</v>
      </c>
      <c r="M204" s="2">
        <v>105.70910000000001</v>
      </c>
      <c r="N204" s="2">
        <v>92</v>
      </c>
      <c r="O204" s="2">
        <v>106.0735</v>
      </c>
      <c r="P204" s="2">
        <v>88</v>
      </c>
      <c r="Q204" s="2">
        <v>107.1352</v>
      </c>
      <c r="R204" s="2">
        <v>285</v>
      </c>
      <c r="S204" s="2">
        <v>109.19110000000001</v>
      </c>
      <c r="T204" s="2">
        <v>308</v>
      </c>
      <c r="U204" s="2">
        <v>0.41748099999999999</v>
      </c>
      <c r="V204" s="2">
        <v>203</v>
      </c>
      <c r="W204" s="2">
        <v>2015</v>
      </c>
    </row>
    <row r="205" spans="1:23" ht="12.3" x14ac:dyDescent="0.4">
      <c r="A205" s="2" t="s">
        <v>326</v>
      </c>
      <c r="B205" s="2"/>
      <c r="C205" s="2"/>
      <c r="D205" s="2"/>
      <c r="E205" s="2"/>
      <c r="F205" s="2"/>
      <c r="G205" s="2"/>
      <c r="H205" s="2"/>
      <c r="I205" s="2">
        <v>65.808700000000002</v>
      </c>
      <c r="J205" s="2">
        <v>123</v>
      </c>
      <c r="K205" s="2">
        <v>66.706500000000005</v>
      </c>
      <c r="L205" s="2">
        <v>79</v>
      </c>
      <c r="M205" s="2">
        <v>100.2602</v>
      </c>
      <c r="N205" s="2">
        <v>211</v>
      </c>
      <c r="O205" s="2">
        <v>97.700999999999993</v>
      </c>
      <c r="P205" s="2">
        <v>261</v>
      </c>
      <c r="Q205" s="2">
        <v>99.878</v>
      </c>
      <c r="R205" s="2">
        <v>121</v>
      </c>
      <c r="S205" s="2">
        <v>100.5748</v>
      </c>
      <c r="T205" s="2">
        <v>132</v>
      </c>
      <c r="U205" s="2">
        <v>0.41741600000000001</v>
      </c>
      <c r="V205" s="2">
        <v>204</v>
      </c>
      <c r="W205" s="2">
        <v>2015</v>
      </c>
    </row>
    <row r="206" spans="1:23" ht="12.3" x14ac:dyDescent="0.4">
      <c r="A206" s="2" t="s">
        <v>231</v>
      </c>
      <c r="B206" s="2"/>
      <c r="C206" s="2"/>
      <c r="D206" s="2"/>
      <c r="E206" s="2"/>
      <c r="F206" s="2"/>
      <c r="G206" s="2"/>
      <c r="H206" s="2"/>
      <c r="I206" s="2">
        <v>62.579799999999999</v>
      </c>
      <c r="J206" s="2">
        <v>288</v>
      </c>
      <c r="K206" s="2">
        <v>62.55</v>
      </c>
      <c r="L206" s="2">
        <v>282</v>
      </c>
      <c r="M206" s="2">
        <v>100.0741</v>
      </c>
      <c r="N206" s="2">
        <v>213</v>
      </c>
      <c r="O206" s="2">
        <v>100.5318</v>
      </c>
      <c r="P206" s="2">
        <v>211</v>
      </c>
      <c r="Q206" s="2">
        <v>103.6015</v>
      </c>
      <c r="R206" s="2">
        <v>201</v>
      </c>
      <c r="S206" s="2">
        <v>103.5136</v>
      </c>
      <c r="T206" s="2">
        <v>191</v>
      </c>
      <c r="U206" s="2">
        <v>0.41674800000000001</v>
      </c>
      <c r="V206" s="2">
        <v>205</v>
      </c>
      <c r="W206" s="2">
        <v>2015</v>
      </c>
    </row>
    <row r="207" spans="1:23" ht="12.3" x14ac:dyDescent="0.4">
      <c r="A207" s="2" t="s">
        <v>185</v>
      </c>
      <c r="B207" s="2"/>
      <c r="C207" s="2"/>
      <c r="D207" s="2"/>
      <c r="E207" s="2"/>
      <c r="F207" s="2"/>
      <c r="G207" s="2"/>
      <c r="H207" s="2"/>
      <c r="I207" s="2">
        <v>66.101699999999994</v>
      </c>
      <c r="J207" s="2">
        <v>110</v>
      </c>
      <c r="K207" s="2">
        <v>66.003500000000003</v>
      </c>
      <c r="L207" s="2">
        <v>113</v>
      </c>
      <c r="M207" s="2">
        <v>104.91759999999999</v>
      </c>
      <c r="N207" s="2">
        <v>104</v>
      </c>
      <c r="O207" s="2">
        <v>104.4879</v>
      </c>
      <c r="P207" s="2">
        <v>116</v>
      </c>
      <c r="Q207" s="2">
        <v>106.0124</v>
      </c>
      <c r="R207" s="2">
        <v>261</v>
      </c>
      <c r="S207" s="2">
        <v>107.74250000000001</v>
      </c>
      <c r="T207" s="2">
        <v>282</v>
      </c>
      <c r="U207" s="2">
        <v>0.412717</v>
      </c>
      <c r="V207" s="2">
        <v>206</v>
      </c>
      <c r="W207" s="2">
        <v>2015</v>
      </c>
    </row>
    <row r="208" spans="1:23" ht="12.3" x14ac:dyDescent="0.4">
      <c r="A208" s="2" t="s">
        <v>325</v>
      </c>
      <c r="B208" s="2">
        <v>15</v>
      </c>
      <c r="C208" s="2"/>
      <c r="D208" s="2"/>
      <c r="E208" s="2"/>
      <c r="F208" s="2"/>
      <c r="G208" s="2"/>
      <c r="H208" s="2"/>
      <c r="I208" s="2">
        <v>64.5565</v>
      </c>
      <c r="J208" s="2">
        <v>191</v>
      </c>
      <c r="K208" s="2">
        <v>63.928699999999999</v>
      </c>
      <c r="L208" s="2">
        <v>221</v>
      </c>
      <c r="M208" s="2">
        <v>103.3623</v>
      </c>
      <c r="N208" s="2">
        <v>142</v>
      </c>
      <c r="O208" s="2">
        <v>101.67319999999999</v>
      </c>
      <c r="P208" s="2">
        <v>177</v>
      </c>
      <c r="Q208" s="2">
        <v>102.42140000000001</v>
      </c>
      <c r="R208" s="2">
        <v>178</v>
      </c>
      <c r="S208" s="2">
        <v>104.902</v>
      </c>
      <c r="T208" s="2">
        <v>220</v>
      </c>
      <c r="U208" s="2">
        <v>0.41107300000000002</v>
      </c>
      <c r="V208" s="2">
        <v>207</v>
      </c>
      <c r="W208" s="2">
        <v>2015</v>
      </c>
    </row>
    <row r="209" spans="1:23" ht="12.3" x14ac:dyDescent="0.4">
      <c r="A209" s="2" t="s">
        <v>200</v>
      </c>
      <c r="B209" s="2"/>
      <c r="C209" s="2"/>
      <c r="D209" s="2"/>
      <c r="E209" s="2"/>
      <c r="F209" s="2"/>
      <c r="G209" s="2"/>
      <c r="H209" s="2"/>
      <c r="I209" s="2">
        <v>64.328000000000003</v>
      </c>
      <c r="J209" s="2">
        <v>201</v>
      </c>
      <c r="K209" s="2">
        <v>64.441299999999998</v>
      </c>
      <c r="L209" s="2">
        <v>185</v>
      </c>
      <c r="M209" s="2">
        <v>103.9149</v>
      </c>
      <c r="N209" s="2">
        <v>129</v>
      </c>
      <c r="O209" s="2">
        <v>102.8428</v>
      </c>
      <c r="P209" s="2">
        <v>153</v>
      </c>
      <c r="Q209" s="2">
        <v>105.3258</v>
      </c>
      <c r="R209" s="2">
        <v>247</v>
      </c>
      <c r="S209" s="2">
        <v>106.134</v>
      </c>
      <c r="T209" s="2">
        <v>246</v>
      </c>
      <c r="U209" s="2">
        <v>0.41041100000000003</v>
      </c>
      <c r="V209" s="2">
        <v>208</v>
      </c>
      <c r="W209" s="2">
        <v>2015</v>
      </c>
    </row>
    <row r="210" spans="1:23" ht="12.3" x14ac:dyDescent="0.4">
      <c r="A210" s="2" t="s">
        <v>333</v>
      </c>
      <c r="B210" s="2"/>
      <c r="C210" s="2"/>
      <c r="D210" s="2"/>
      <c r="E210" s="2"/>
      <c r="F210" s="2"/>
      <c r="G210" s="2"/>
      <c r="H210" s="2"/>
      <c r="I210" s="2">
        <v>64.201099999999997</v>
      </c>
      <c r="J210" s="2">
        <v>209</v>
      </c>
      <c r="K210" s="2">
        <v>64.698400000000007</v>
      </c>
      <c r="L210" s="2">
        <v>170</v>
      </c>
      <c r="M210" s="2">
        <v>93.838300000000004</v>
      </c>
      <c r="N210" s="2">
        <v>313</v>
      </c>
      <c r="O210" s="2">
        <v>94.561000000000007</v>
      </c>
      <c r="P210" s="2">
        <v>311</v>
      </c>
      <c r="Q210" s="2">
        <v>96.267200000000003</v>
      </c>
      <c r="R210" s="2">
        <v>50</v>
      </c>
      <c r="S210" s="2">
        <v>97.628900000000002</v>
      </c>
      <c r="T210" s="2">
        <v>80</v>
      </c>
      <c r="U210" s="2">
        <v>0.40922399999999998</v>
      </c>
      <c r="V210" s="2">
        <v>209</v>
      </c>
      <c r="W210" s="2">
        <v>2015</v>
      </c>
    </row>
    <row r="211" spans="1:23" ht="12.3" x14ac:dyDescent="0.4">
      <c r="A211" s="2" t="s">
        <v>73</v>
      </c>
      <c r="B211" s="2"/>
      <c r="C211" s="2"/>
      <c r="D211" s="2"/>
      <c r="E211" s="2"/>
      <c r="F211" s="2"/>
      <c r="G211" s="2"/>
      <c r="H211" s="2"/>
      <c r="I211" s="2">
        <v>63.2254</v>
      </c>
      <c r="J211" s="2">
        <v>260</v>
      </c>
      <c r="K211" s="2">
        <v>62.559399999999997</v>
      </c>
      <c r="L211" s="2">
        <v>280</v>
      </c>
      <c r="M211" s="2">
        <v>93.997799999999998</v>
      </c>
      <c r="N211" s="2">
        <v>309</v>
      </c>
      <c r="O211" s="2">
        <v>98.911900000000003</v>
      </c>
      <c r="P211" s="2">
        <v>243</v>
      </c>
      <c r="Q211" s="2">
        <v>106.9547</v>
      </c>
      <c r="R211" s="2">
        <v>282</v>
      </c>
      <c r="S211" s="2">
        <v>102.15479999999999</v>
      </c>
      <c r="T211" s="2">
        <v>163</v>
      </c>
      <c r="U211" s="2">
        <v>0.408304</v>
      </c>
      <c r="V211" s="2">
        <v>210</v>
      </c>
      <c r="W211" s="2">
        <v>2015</v>
      </c>
    </row>
    <row r="212" spans="1:23" ht="12.3" x14ac:dyDescent="0.4">
      <c r="A212" s="2" t="s">
        <v>249</v>
      </c>
      <c r="B212" s="2"/>
      <c r="C212" s="2"/>
      <c r="D212" s="2"/>
      <c r="E212" s="2"/>
      <c r="F212" s="2"/>
      <c r="G212" s="2"/>
      <c r="H212" s="2"/>
      <c r="I212" s="2">
        <v>66.246899999999997</v>
      </c>
      <c r="J212" s="2">
        <v>104</v>
      </c>
      <c r="K212" s="2">
        <v>65.754300000000001</v>
      </c>
      <c r="L212" s="2">
        <v>124</v>
      </c>
      <c r="M212" s="2">
        <v>96.489599999999996</v>
      </c>
      <c r="N212" s="2">
        <v>284</v>
      </c>
      <c r="O212" s="2">
        <v>100.38930000000001</v>
      </c>
      <c r="P212" s="2">
        <v>217</v>
      </c>
      <c r="Q212" s="2">
        <v>103.6317</v>
      </c>
      <c r="R212" s="2">
        <v>203</v>
      </c>
      <c r="S212" s="2">
        <v>103.72329999999999</v>
      </c>
      <c r="T212" s="2">
        <v>196</v>
      </c>
      <c r="U212" s="2">
        <v>0.40716000000000002</v>
      </c>
      <c r="V212" s="2">
        <v>211</v>
      </c>
      <c r="W212" s="2">
        <v>2015</v>
      </c>
    </row>
    <row r="213" spans="1:23" ht="12.3" x14ac:dyDescent="0.4">
      <c r="A213" s="2" t="s">
        <v>211</v>
      </c>
      <c r="B213" s="2"/>
      <c r="C213" s="2"/>
      <c r="D213" s="2"/>
      <c r="E213" s="2"/>
      <c r="F213" s="2"/>
      <c r="G213" s="2"/>
      <c r="H213" s="2"/>
      <c r="I213" s="2">
        <v>67.697500000000005</v>
      </c>
      <c r="J213" s="2">
        <v>56</v>
      </c>
      <c r="K213" s="2">
        <v>67.821100000000001</v>
      </c>
      <c r="L213" s="2">
        <v>38</v>
      </c>
      <c r="M213" s="2">
        <v>106.2987</v>
      </c>
      <c r="N213" s="2">
        <v>82</v>
      </c>
      <c r="O213" s="2">
        <v>105.26609999999999</v>
      </c>
      <c r="P213" s="2">
        <v>105</v>
      </c>
      <c r="Q213" s="2">
        <v>109.04219999999999</v>
      </c>
      <c r="R213" s="2">
        <v>311</v>
      </c>
      <c r="S213" s="2">
        <v>108.7811</v>
      </c>
      <c r="T213" s="2">
        <v>302</v>
      </c>
      <c r="U213" s="2">
        <v>0.40667500000000001</v>
      </c>
      <c r="V213" s="2">
        <v>212</v>
      </c>
      <c r="W213" s="2">
        <v>2015</v>
      </c>
    </row>
    <row r="214" spans="1:23" ht="12.3" x14ac:dyDescent="0.4">
      <c r="A214" s="2" t="s">
        <v>259</v>
      </c>
      <c r="B214" s="2"/>
      <c r="C214" s="2"/>
      <c r="D214" s="2"/>
      <c r="E214" s="2"/>
      <c r="F214" s="2"/>
      <c r="G214" s="2"/>
      <c r="H214" s="2"/>
      <c r="I214" s="2">
        <v>74.448599999999999</v>
      </c>
      <c r="J214" s="2">
        <v>2</v>
      </c>
      <c r="K214" s="2">
        <v>72.884900000000002</v>
      </c>
      <c r="L214" s="2">
        <v>4</v>
      </c>
      <c r="M214" s="2">
        <v>112.7389</v>
      </c>
      <c r="N214" s="2">
        <v>21</v>
      </c>
      <c r="O214" s="2">
        <v>111.43899999999999</v>
      </c>
      <c r="P214" s="2">
        <v>31</v>
      </c>
      <c r="Q214" s="2">
        <v>112.6271</v>
      </c>
      <c r="R214" s="2">
        <v>344</v>
      </c>
      <c r="S214" s="2">
        <v>115.2453</v>
      </c>
      <c r="T214" s="2">
        <v>348</v>
      </c>
      <c r="U214" s="2">
        <v>0.40462500000000001</v>
      </c>
      <c r="V214" s="2">
        <v>213</v>
      </c>
      <c r="W214" s="2">
        <v>2015</v>
      </c>
    </row>
    <row r="215" spans="1:23" ht="12.3" x14ac:dyDescent="0.4">
      <c r="A215" s="2" t="s">
        <v>382</v>
      </c>
      <c r="B215" s="2"/>
      <c r="C215" s="2"/>
      <c r="D215" s="2"/>
      <c r="E215" s="2"/>
      <c r="F215" s="2"/>
      <c r="G215" s="2"/>
      <c r="H215" s="2"/>
      <c r="I215" s="2">
        <v>68.753100000000003</v>
      </c>
      <c r="J215" s="2">
        <v>26</v>
      </c>
      <c r="K215" s="2">
        <v>67.4285</v>
      </c>
      <c r="L215" s="2">
        <v>56</v>
      </c>
      <c r="M215" s="2">
        <v>109.38379999999999</v>
      </c>
      <c r="N215" s="2">
        <v>39</v>
      </c>
      <c r="O215" s="2">
        <v>106.5021</v>
      </c>
      <c r="P215" s="2">
        <v>77</v>
      </c>
      <c r="Q215" s="2">
        <v>107.5613</v>
      </c>
      <c r="R215" s="2">
        <v>293</v>
      </c>
      <c r="S215" s="2">
        <v>110.15479999999999</v>
      </c>
      <c r="T215" s="2">
        <v>319</v>
      </c>
      <c r="U215" s="2">
        <v>0.40424700000000002</v>
      </c>
      <c r="V215" s="2">
        <v>214</v>
      </c>
      <c r="W215" s="2">
        <v>2015</v>
      </c>
    </row>
    <row r="216" spans="1:23" ht="12.3" x14ac:dyDescent="0.4">
      <c r="A216" s="2" t="s">
        <v>130</v>
      </c>
      <c r="B216" s="2"/>
      <c r="C216" s="2"/>
      <c r="D216" s="2"/>
      <c r="E216" s="2"/>
      <c r="F216" s="2"/>
      <c r="G216" s="2"/>
      <c r="H216" s="2"/>
      <c r="I216" s="2">
        <v>63.872599999999998</v>
      </c>
      <c r="J216" s="2">
        <v>231</v>
      </c>
      <c r="K216" s="2">
        <v>64.031700000000001</v>
      </c>
      <c r="L216" s="2">
        <v>209</v>
      </c>
      <c r="M216" s="2">
        <v>99.459699999999998</v>
      </c>
      <c r="N216" s="2">
        <v>235</v>
      </c>
      <c r="O216" s="2">
        <v>99.400599999999997</v>
      </c>
      <c r="P216" s="2">
        <v>232</v>
      </c>
      <c r="Q216" s="2">
        <v>101.3391</v>
      </c>
      <c r="R216" s="2">
        <v>159</v>
      </c>
      <c r="S216" s="2">
        <v>102.8322</v>
      </c>
      <c r="T216" s="2">
        <v>177</v>
      </c>
      <c r="U216" s="2">
        <v>0.40364100000000003</v>
      </c>
      <c r="V216" s="2">
        <v>215</v>
      </c>
      <c r="W216" s="2">
        <v>2015</v>
      </c>
    </row>
    <row r="217" spans="1:23" ht="12.3" x14ac:dyDescent="0.4">
      <c r="A217" s="2" t="s">
        <v>138</v>
      </c>
      <c r="B217" s="2"/>
      <c r="C217" s="2"/>
      <c r="D217" s="2"/>
      <c r="E217" s="2"/>
      <c r="F217" s="2"/>
      <c r="G217" s="2"/>
      <c r="H217" s="2"/>
      <c r="I217" s="2">
        <v>65.302499999999995</v>
      </c>
      <c r="J217" s="2">
        <v>148</v>
      </c>
      <c r="K217" s="2">
        <v>65.384200000000007</v>
      </c>
      <c r="L217" s="2">
        <v>141</v>
      </c>
      <c r="M217" s="2">
        <v>102.2076</v>
      </c>
      <c r="N217" s="2">
        <v>174</v>
      </c>
      <c r="O217" s="2">
        <v>102.6737</v>
      </c>
      <c r="P217" s="2">
        <v>158</v>
      </c>
      <c r="Q217" s="2">
        <v>105.2439</v>
      </c>
      <c r="R217" s="2">
        <v>245</v>
      </c>
      <c r="S217" s="2">
        <v>106.3505</v>
      </c>
      <c r="T217" s="2">
        <v>252</v>
      </c>
      <c r="U217" s="2">
        <v>0.400202</v>
      </c>
      <c r="V217" s="2">
        <v>216</v>
      </c>
      <c r="W217" s="2">
        <v>2015</v>
      </c>
    </row>
    <row r="218" spans="1:23" ht="12.3" x14ac:dyDescent="0.4">
      <c r="A218" s="2" t="s">
        <v>276</v>
      </c>
      <c r="B218" s="2"/>
      <c r="C218" s="2"/>
      <c r="D218" s="2"/>
      <c r="E218" s="2"/>
      <c r="F218" s="2"/>
      <c r="G218" s="2"/>
      <c r="H218" s="2"/>
      <c r="I218" s="2">
        <v>63.714599999999997</v>
      </c>
      <c r="J218" s="2">
        <v>242</v>
      </c>
      <c r="K218" s="2">
        <v>62.726799999999997</v>
      </c>
      <c r="L218" s="2">
        <v>276</v>
      </c>
      <c r="M218" s="2">
        <v>102.05889999999999</v>
      </c>
      <c r="N218" s="2">
        <v>177</v>
      </c>
      <c r="O218" s="2">
        <v>99.091499999999996</v>
      </c>
      <c r="P218" s="2">
        <v>236</v>
      </c>
      <c r="Q218" s="2">
        <v>101.0736</v>
      </c>
      <c r="R218" s="2">
        <v>149</v>
      </c>
      <c r="S218" s="2">
        <v>102.6953</v>
      </c>
      <c r="T218" s="2">
        <v>174</v>
      </c>
      <c r="U218" s="2">
        <v>0.39871800000000002</v>
      </c>
      <c r="V218" s="2">
        <v>217</v>
      </c>
      <c r="W218" s="2">
        <v>2015</v>
      </c>
    </row>
    <row r="219" spans="1:23" ht="12.3" x14ac:dyDescent="0.4">
      <c r="A219" s="2" t="s">
        <v>147</v>
      </c>
      <c r="B219" s="2"/>
      <c r="C219" s="2"/>
      <c r="D219" s="2"/>
      <c r="E219" s="2"/>
      <c r="F219" s="2"/>
      <c r="G219" s="2"/>
      <c r="H219" s="2"/>
      <c r="I219" s="2">
        <v>64.788899999999998</v>
      </c>
      <c r="J219" s="2">
        <v>172</v>
      </c>
      <c r="K219" s="2">
        <v>64.456100000000006</v>
      </c>
      <c r="L219" s="2">
        <v>183</v>
      </c>
      <c r="M219" s="2">
        <v>96.779200000000003</v>
      </c>
      <c r="N219" s="2">
        <v>274</v>
      </c>
      <c r="O219" s="2">
        <v>100.82980000000001</v>
      </c>
      <c r="P219" s="2">
        <v>199</v>
      </c>
      <c r="Q219" s="2">
        <v>105.7765</v>
      </c>
      <c r="R219" s="2">
        <v>257</v>
      </c>
      <c r="S219" s="2">
        <v>104.587</v>
      </c>
      <c r="T219" s="2">
        <v>214</v>
      </c>
      <c r="U219" s="2">
        <v>0.396341</v>
      </c>
      <c r="V219" s="2">
        <v>218</v>
      </c>
      <c r="W219" s="2">
        <v>2015</v>
      </c>
    </row>
    <row r="220" spans="1:23" ht="12.3" x14ac:dyDescent="0.4">
      <c r="A220" s="2" t="s">
        <v>123</v>
      </c>
      <c r="B220" s="2"/>
      <c r="C220" s="2"/>
      <c r="D220" s="2"/>
      <c r="E220" s="2"/>
      <c r="F220" s="2"/>
      <c r="G220" s="2"/>
      <c r="H220" s="2"/>
      <c r="I220" s="2">
        <v>64.9148</v>
      </c>
      <c r="J220" s="2">
        <v>164</v>
      </c>
      <c r="K220" s="2">
        <v>65.737099999999998</v>
      </c>
      <c r="L220" s="2">
        <v>127</v>
      </c>
      <c r="M220" s="2">
        <v>91.273600000000002</v>
      </c>
      <c r="N220" s="2">
        <v>338</v>
      </c>
      <c r="O220" s="2">
        <v>96.290800000000004</v>
      </c>
      <c r="P220" s="2">
        <v>286</v>
      </c>
      <c r="Q220" s="2">
        <v>103.25060000000001</v>
      </c>
      <c r="R220" s="2">
        <v>193</v>
      </c>
      <c r="S220" s="2">
        <v>99.937899999999999</v>
      </c>
      <c r="T220" s="2">
        <v>120</v>
      </c>
      <c r="U220" s="2">
        <v>0.39471699999999998</v>
      </c>
      <c r="V220" s="2">
        <v>219</v>
      </c>
      <c r="W220" s="2">
        <v>2015</v>
      </c>
    </row>
    <row r="221" spans="1:23" ht="12.3" x14ac:dyDescent="0.4">
      <c r="A221" s="2" t="s">
        <v>206</v>
      </c>
      <c r="B221" s="2"/>
      <c r="C221" s="2"/>
      <c r="D221" s="2"/>
      <c r="E221" s="2"/>
      <c r="F221" s="2"/>
      <c r="G221" s="2"/>
      <c r="H221" s="2"/>
      <c r="I221" s="2">
        <v>62.000799999999998</v>
      </c>
      <c r="J221" s="2">
        <v>305</v>
      </c>
      <c r="K221" s="2">
        <v>61.812100000000001</v>
      </c>
      <c r="L221" s="2">
        <v>308</v>
      </c>
      <c r="M221" s="2">
        <v>99.883899999999997</v>
      </c>
      <c r="N221" s="2">
        <v>223</v>
      </c>
      <c r="O221" s="2">
        <v>102.0099</v>
      </c>
      <c r="P221" s="2">
        <v>171</v>
      </c>
      <c r="Q221" s="2">
        <v>106.1267</v>
      </c>
      <c r="R221" s="2">
        <v>265</v>
      </c>
      <c r="S221" s="2">
        <v>106.42270000000001</v>
      </c>
      <c r="T221" s="2">
        <v>256</v>
      </c>
      <c r="U221" s="2">
        <v>0.38059700000000002</v>
      </c>
      <c r="V221" s="2">
        <v>220</v>
      </c>
      <c r="W221" s="2">
        <v>2015</v>
      </c>
    </row>
    <row r="222" spans="1:23" ht="12.3" x14ac:dyDescent="0.4">
      <c r="A222" s="2" t="s">
        <v>332</v>
      </c>
      <c r="B222" s="2"/>
      <c r="C222" s="2"/>
      <c r="D222" s="2"/>
      <c r="E222" s="2"/>
      <c r="F222" s="2"/>
      <c r="G222" s="2"/>
      <c r="H222" s="2"/>
      <c r="I222" s="2">
        <v>63.196800000000003</v>
      </c>
      <c r="J222" s="2">
        <v>263</v>
      </c>
      <c r="K222" s="2">
        <v>63.215200000000003</v>
      </c>
      <c r="L222" s="2">
        <v>263</v>
      </c>
      <c r="M222" s="2">
        <v>98.623599999999996</v>
      </c>
      <c r="N222" s="2">
        <v>251</v>
      </c>
      <c r="O222" s="2">
        <v>97.601799999999997</v>
      </c>
      <c r="P222" s="2">
        <v>262</v>
      </c>
      <c r="Q222" s="2">
        <v>100.11</v>
      </c>
      <c r="R222" s="2">
        <v>126</v>
      </c>
      <c r="S222" s="2">
        <v>101.98350000000001</v>
      </c>
      <c r="T222" s="2">
        <v>159</v>
      </c>
      <c r="U222" s="2">
        <v>0.376361</v>
      </c>
      <c r="V222" s="2">
        <v>221</v>
      </c>
      <c r="W222" s="2">
        <v>2015</v>
      </c>
    </row>
    <row r="223" spans="1:23" ht="12.3" x14ac:dyDescent="0.4">
      <c r="A223" s="2" t="s">
        <v>286</v>
      </c>
      <c r="B223" s="2"/>
      <c r="C223" s="2"/>
      <c r="D223" s="2"/>
      <c r="E223" s="2"/>
      <c r="F223" s="2"/>
      <c r="G223" s="2"/>
      <c r="H223" s="2"/>
      <c r="I223" s="2">
        <v>58.241100000000003</v>
      </c>
      <c r="J223" s="2">
        <v>349</v>
      </c>
      <c r="K223" s="2">
        <v>57.572899999999997</v>
      </c>
      <c r="L223" s="2">
        <v>351</v>
      </c>
      <c r="M223" s="2">
        <v>105.1713</v>
      </c>
      <c r="N223" s="2">
        <v>100</v>
      </c>
      <c r="O223" s="2">
        <v>103.7491</v>
      </c>
      <c r="P223" s="2">
        <v>131</v>
      </c>
      <c r="Q223" s="2">
        <v>107.19880000000001</v>
      </c>
      <c r="R223" s="2">
        <v>287</v>
      </c>
      <c r="S223" s="2">
        <v>108.413</v>
      </c>
      <c r="T223" s="2">
        <v>296</v>
      </c>
      <c r="U223" s="2">
        <v>0.37620399999999998</v>
      </c>
      <c r="V223" s="2">
        <v>222</v>
      </c>
      <c r="W223" s="2">
        <v>2015</v>
      </c>
    </row>
    <row r="224" spans="1:23" ht="12.3" x14ac:dyDescent="0.4">
      <c r="A224" s="2" t="s">
        <v>284</v>
      </c>
      <c r="B224" s="2"/>
      <c r="C224" s="2"/>
      <c r="D224" s="2"/>
      <c r="E224" s="2"/>
      <c r="F224" s="2"/>
      <c r="G224" s="2"/>
      <c r="H224" s="2"/>
      <c r="I224" s="2">
        <v>65.028700000000001</v>
      </c>
      <c r="J224" s="2">
        <v>160</v>
      </c>
      <c r="K224" s="2">
        <v>65.666499999999999</v>
      </c>
      <c r="L224" s="2">
        <v>129</v>
      </c>
      <c r="M224" s="2">
        <v>96.646799999999999</v>
      </c>
      <c r="N224" s="2">
        <v>279</v>
      </c>
      <c r="O224" s="2">
        <v>95.867500000000007</v>
      </c>
      <c r="P224" s="2">
        <v>294</v>
      </c>
      <c r="Q224" s="2">
        <v>102.1066</v>
      </c>
      <c r="R224" s="2">
        <v>171</v>
      </c>
      <c r="S224" s="2">
        <v>100.2585</v>
      </c>
      <c r="T224" s="2">
        <v>129</v>
      </c>
      <c r="U224" s="2">
        <v>0.37401600000000002</v>
      </c>
      <c r="V224" s="2">
        <v>223</v>
      </c>
      <c r="W224" s="2">
        <v>2015</v>
      </c>
    </row>
    <row r="225" spans="1:23" ht="12.3" x14ac:dyDescent="0.4">
      <c r="A225" s="2" t="s">
        <v>349</v>
      </c>
      <c r="B225" s="2"/>
      <c r="C225" s="2"/>
      <c r="D225" s="2"/>
      <c r="E225" s="2"/>
      <c r="F225" s="2"/>
      <c r="G225" s="2"/>
      <c r="H225" s="2"/>
      <c r="I225" s="2">
        <v>63.095399999999998</v>
      </c>
      <c r="J225" s="2">
        <v>268</v>
      </c>
      <c r="K225" s="2">
        <v>62.888599999999997</v>
      </c>
      <c r="L225" s="2">
        <v>271</v>
      </c>
      <c r="M225" s="2">
        <v>97.954899999999995</v>
      </c>
      <c r="N225" s="2">
        <v>261</v>
      </c>
      <c r="O225" s="2">
        <v>96.487300000000005</v>
      </c>
      <c r="P225" s="2">
        <v>280</v>
      </c>
      <c r="Q225" s="2">
        <v>100.54259999999999</v>
      </c>
      <c r="R225" s="2">
        <v>136</v>
      </c>
      <c r="S225" s="2">
        <v>100.9121</v>
      </c>
      <c r="T225" s="2">
        <v>136</v>
      </c>
      <c r="U225" s="2">
        <v>0.37387199999999998</v>
      </c>
      <c r="V225" s="2">
        <v>224</v>
      </c>
      <c r="W225" s="2">
        <v>2015</v>
      </c>
    </row>
    <row r="226" spans="1:23" ht="12.3" x14ac:dyDescent="0.4">
      <c r="A226" s="2" t="s">
        <v>377</v>
      </c>
      <c r="B226" s="2"/>
      <c r="C226" s="2"/>
      <c r="D226" s="2"/>
      <c r="E226" s="2"/>
      <c r="F226" s="2"/>
      <c r="G226" s="2"/>
      <c r="H226" s="2"/>
      <c r="I226" s="2">
        <v>65.680199999999999</v>
      </c>
      <c r="J226" s="2">
        <v>132</v>
      </c>
      <c r="K226" s="2">
        <v>65.806399999999996</v>
      </c>
      <c r="L226" s="2">
        <v>122</v>
      </c>
      <c r="M226" s="2">
        <v>102.6876</v>
      </c>
      <c r="N226" s="2">
        <v>162</v>
      </c>
      <c r="O226" s="2">
        <v>101.2907</v>
      </c>
      <c r="P226" s="2">
        <v>188</v>
      </c>
      <c r="Q226" s="2">
        <v>104.8353</v>
      </c>
      <c r="R226" s="2">
        <v>232</v>
      </c>
      <c r="S226" s="2">
        <v>105.9628</v>
      </c>
      <c r="T226" s="2">
        <v>242</v>
      </c>
      <c r="U226" s="2">
        <v>0.37318499999999999</v>
      </c>
      <c r="V226" s="2">
        <v>225</v>
      </c>
      <c r="W226" s="2">
        <v>2015</v>
      </c>
    </row>
    <row r="227" spans="1:23" ht="12.3" x14ac:dyDescent="0.4">
      <c r="A227" s="2" t="s">
        <v>151</v>
      </c>
      <c r="B227" s="2"/>
      <c r="C227" s="2"/>
      <c r="D227" s="2"/>
      <c r="E227" s="2"/>
      <c r="F227" s="2"/>
      <c r="G227" s="2"/>
      <c r="H227" s="2"/>
      <c r="I227" s="2">
        <v>67.183199999999999</v>
      </c>
      <c r="J227" s="2">
        <v>74</v>
      </c>
      <c r="K227" s="2">
        <v>66.963399999999993</v>
      </c>
      <c r="L227" s="2">
        <v>70</v>
      </c>
      <c r="M227" s="2">
        <v>100.066</v>
      </c>
      <c r="N227" s="2">
        <v>214</v>
      </c>
      <c r="O227" s="2">
        <v>101.93640000000001</v>
      </c>
      <c r="P227" s="2">
        <v>174</v>
      </c>
      <c r="Q227" s="2">
        <v>107.2591</v>
      </c>
      <c r="R227" s="2">
        <v>289</v>
      </c>
      <c r="S227" s="2">
        <v>106.7929</v>
      </c>
      <c r="T227" s="2">
        <v>266</v>
      </c>
      <c r="U227" s="2">
        <v>0.36929800000000002</v>
      </c>
      <c r="V227" s="2">
        <v>226</v>
      </c>
      <c r="W227" s="2">
        <v>2015</v>
      </c>
    </row>
    <row r="228" spans="1:23" ht="12.3" x14ac:dyDescent="0.4">
      <c r="A228" s="2" t="s">
        <v>108</v>
      </c>
      <c r="B228" s="2"/>
      <c r="C228" s="2"/>
      <c r="D228" s="2"/>
      <c r="E228" s="2"/>
      <c r="F228" s="2"/>
      <c r="G228" s="2"/>
      <c r="H228" s="2"/>
      <c r="I228" s="2">
        <v>68.072500000000005</v>
      </c>
      <c r="J228" s="2">
        <v>42</v>
      </c>
      <c r="K228" s="2">
        <v>67.9773</v>
      </c>
      <c r="L228" s="2">
        <v>35</v>
      </c>
      <c r="M228" s="2">
        <v>104.3031</v>
      </c>
      <c r="N228" s="2">
        <v>119</v>
      </c>
      <c r="O228" s="2">
        <v>100.1219</v>
      </c>
      <c r="P228" s="2">
        <v>223</v>
      </c>
      <c r="Q228" s="2">
        <v>105.3693</v>
      </c>
      <c r="R228" s="2">
        <v>248</v>
      </c>
      <c r="S228" s="2">
        <v>104.9644</v>
      </c>
      <c r="T228" s="2">
        <v>223</v>
      </c>
      <c r="U228" s="2">
        <v>0.367448</v>
      </c>
      <c r="V228" s="2">
        <v>227</v>
      </c>
      <c r="W228" s="2">
        <v>2015</v>
      </c>
    </row>
    <row r="229" spans="1:23" ht="12.3" x14ac:dyDescent="0.4">
      <c r="A229" s="2" t="s">
        <v>264</v>
      </c>
      <c r="B229" s="2"/>
      <c r="C229" s="2"/>
      <c r="D229" s="2"/>
      <c r="E229" s="2"/>
      <c r="F229" s="2"/>
      <c r="G229" s="2"/>
      <c r="H229" s="2"/>
      <c r="I229" s="2">
        <v>62.425400000000003</v>
      </c>
      <c r="J229" s="2">
        <v>294</v>
      </c>
      <c r="K229" s="2">
        <v>62.664299999999997</v>
      </c>
      <c r="L229" s="2">
        <v>277</v>
      </c>
      <c r="M229" s="2">
        <v>98.037599999999998</v>
      </c>
      <c r="N229" s="2">
        <v>260</v>
      </c>
      <c r="O229" s="2">
        <v>97.971000000000004</v>
      </c>
      <c r="P229" s="2">
        <v>255</v>
      </c>
      <c r="Q229" s="2">
        <v>103.3227</v>
      </c>
      <c r="R229" s="2">
        <v>197</v>
      </c>
      <c r="S229" s="2">
        <v>102.7543</v>
      </c>
      <c r="T229" s="2">
        <v>176</v>
      </c>
      <c r="U229" s="2">
        <v>0.366282</v>
      </c>
      <c r="V229" s="2">
        <v>228</v>
      </c>
      <c r="W229" s="2">
        <v>2015</v>
      </c>
    </row>
    <row r="230" spans="1:23" ht="12.3" x14ac:dyDescent="0.4">
      <c r="A230" s="2" t="s">
        <v>125</v>
      </c>
      <c r="B230" s="2"/>
      <c r="C230" s="2"/>
      <c r="D230" s="2"/>
      <c r="E230" s="2"/>
      <c r="F230" s="2"/>
      <c r="G230" s="2"/>
      <c r="H230" s="2"/>
      <c r="I230" s="2">
        <v>65.373199999999997</v>
      </c>
      <c r="J230" s="2">
        <v>147</v>
      </c>
      <c r="K230" s="2">
        <v>64.631900000000002</v>
      </c>
      <c r="L230" s="2">
        <v>175</v>
      </c>
      <c r="M230" s="2">
        <v>102.6653</v>
      </c>
      <c r="N230" s="2">
        <v>166</v>
      </c>
      <c r="O230" s="2">
        <v>102.7692</v>
      </c>
      <c r="P230" s="2">
        <v>155</v>
      </c>
      <c r="Q230" s="2">
        <v>104.8297</v>
      </c>
      <c r="R230" s="2">
        <v>231</v>
      </c>
      <c r="S230" s="2">
        <v>107.9586</v>
      </c>
      <c r="T230" s="2">
        <v>287</v>
      </c>
      <c r="U230" s="2">
        <v>0.362041</v>
      </c>
      <c r="V230" s="2">
        <v>229</v>
      </c>
      <c r="W230" s="2">
        <v>2015</v>
      </c>
    </row>
    <row r="231" spans="1:23" ht="12.3" x14ac:dyDescent="0.4">
      <c r="A231" s="2" t="s">
        <v>161</v>
      </c>
      <c r="B231" s="2"/>
      <c r="C231" s="2"/>
      <c r="D231" s="2"/>
      <c r="E231" s="2"/>
      <c r="F231" s="2"/>
      <c r="G231" s="2"/>
      <c r="H231" s="2"/>
      <c r="I231" s="2">
        <v>63.5807</v>
      </c>
      <c r="J231" s="2">
        <v>248</v>
      </c>
      <c r="K231" s="2">
        <v>63.3626</v>
      </c>
      <c r="L231" s="2">
        <v>254</v>
      </c>
      <c r="M231" s="2">
        <v>96.683899999999994</v>
      </c>
      <c r="N231" s="2">
        <v>277</v>
      </c>
      <c r="O231" s="2">
        <v>97.711699999999993</v>
      </c>
      <c r="P231" s="2">
        <v>259</v>
      </c>
      <c r="Q231" s="2">
        <v>99.885999999999996</v>
      </c>
      <c r="R231" s="2">
        <v>122</v>
      </c>
      <c r="S231" s="2">
        <v>102.7329</v>
      </c>
      <c r="T231" s="2">
        <v>175</v>
      </c>
      <c r="U231" s="2">
        <v>0.35978900000000003</v>
      </c>
      <c r="V231" s="2">
        <v>230</v>
      </c>
      <c r="W231" s="2">
        <v>2015</v>
      </c>
    </row>
    <row r="232" spans="1:23" ht="12.3" x14ac:dyDescent="0.4">
      <c r="A232" s="2" t="s">
        <v>316</v>
      </c>
      <c r="B232" s="2"/>
      <c r="C232" s="2"/>
      <c r="D232" s="2"/>
      <c r="E232" s="2"/>
      <c r="F232" s="2"/>
      <c r="G232" s="2"/>
      <c r="H232" s="2"/>
      <c r="I232" s="2">
        <v>68.939400000000006</v>
      </c>
      <c r="J232" s="2">
        <v>23</v>
      </c>
      <c r="K232" s="2">
        <v>68.954599999999999</v>
      </c>
      <c r="L232" s="2">
        <v>23</v>
      </c>
      <c r="M232" s="2">
        <v>102.9757</v>
      </c>
      <c r="N232" s="2">
        <v>154</v>
      </c>
      <c r="O232" s="2">
        <v>102.08150000000001</v>
      </c>
      <c r="P232" s="2">
        <v>169</v>
      </c>
      <c r="Q232" s="2">
        <v>104.77679999999999</v>
      </c>
      <c r="R232" s="2">
        <v>230</v>
      </c>
      <c r="S232" s="2">
        <v>107.60299999999999</v>
      </c>
      <c r="T232" s="2">
        <v>276</v>
      </c>
      <c r="U232" s="2">
        <v>0.35302099999999997</v>
      </c>
      <c r="V232" s="2">
        <v>231</v>
      </c>
      <c r="W232" s="2">
        <v>2015</v>
      </c>
    </row>
    <row r="233" spans="1:23" ht="12.3" x14ac:dyDescent="0.4">
      <c r="A233" s="2" t="s">
        <v>380</v>
      </c>
      <c r="B233" s="2"/>
      <c r="C233" s="2"/>
      <c r="D233" s="2"/>
      <c r="E233" s="2"/>
      <c r="F233" s="2"/>
      <c r="G233" s="2"/>
      <c r="H233" s="2"/>
      <c r="I233" s="2">
        <v>64.741299999999995</v>
      </c>
      <c r="J233" s="2">
        <v>177</v>
      </c>
      <c r="K233" s="2">
        <v>63.930500000000002</v>
      </c>
      <c r="L233" s="2">
        <v>219</v>
      </c>
      <c r="M233" s="2">
        <v>104.7701</v>
      </c>
      <c r="N233" s="2">
        <v>110</v>
      </c>
      <c r="O233" s="2">
        <v>102.932</v>
      </c>
      <c r="P233" s="2">
        <v>151</v>
      </c>
      <c r="Q233" s="2">
        <v>107.9808</v>
      </c>
      <c r="R233" s="2">
        <v>300</v>
      </c>
      <c r="S233" s="2">
        <v>108.7264</v>
      </c>
      <c r="T233" s="2">
        <v>300</v>
      </c>
      <c r="U233" s="2">
        <v>0.34755200000000003</v>
      </c>
      <c r="V233" s="2">
        <v>232</v>
      </c>
      <c r="W233" s="2">
        <v>2015</v>
      </c>
    </row>
    <row r="234" spans="1:23" ht="12.3" x14ac:dyDescent="0.4">
      <c r="A234" s="2" t="s">
        <v>304</v>
      </c>
      <c r="B234" s="2"/>
      <c r="C234" s="2"/>
      <c r="D234" s="2"/>
      <c r="E234" s="2"/>
      <c r="F234" s="2"/>
      <c r="G234" s="2"/>
      <c r="H234" s="2"/>
      <c r="I234" s="2">
        <v>68.210499999999996</v>
      </c>
      <c r="J234" s="2">
        <v>37</v>
      </c>
      <c r="K234" s="2">
        <v>67.572500000000005</v>
      </c>
      <c r="L234" s="2">
        <v>47</v>
      </c>
      <c r="M234" s="2">
        <v>110.2294</v>
      </c>
      <c r="N234" s="2">
        <v>32</v>
      </c>
      <c r="O234" s="2">
        <v>105.00620000000001</v>
      </c>
      <c r="P234" s="2">
        <v>109</v>
      </c>
      <c r="Q234" s="2">
        <v>111.4926</v>
      </c>
      <c r="R234" s="2">
        <v>334</v>
      </c>
      <c r="S234" s="2">
        <v>110.92740000000001</v>
      </c>
      <c r="T234" s="2">
        <v>325</v>
      </c>
      <c r="U234" s="2">
        <v>0.34731699999999999</v>
      </c>
      <c r="V234" s="2">
        <v>233</v>
      </c>
      <c r="W234" s="2">
        <v>2015</v>
      </c>
    </row>
    <row r="235" spans="1:23" ht="12.3" x14ac:dyDescent="0.4">
      <c r="A235" s="2" t="s">
        <v>82</v>
      </c>
      <c r="B235" s="2"/>
      <c r="C235" s="2"/>
      <c r="D235" s="2"/>
      <c r="E235" s="2"/>
      <c r="F235" s="2"/>
      <c r="G235" s="2"/>
      <c r="H235" s="2"/>
      <c r="I235" s="2">
        <v>61.508600000000001</v>
      </c>
      <c r="J235" s="2">
        <v>316</v>
      </c>
      <c r="K235" s="2">
        <v>62.896700000000003</v>
      </c>
      <c r="L235" s="2">
        <v>270</v>
      </c>
      <c r="M235" s="2">
        <v>95.915499999999994</v>
      </c>
      <c r="N235" s="2">
        <v>291</v>
      </c>
      <c r="O235" s="2">
        <v>96.059200000000004</v>
      </c>
      <c r="P235" s="2">
        <v>291</v>
      </c>
      <c r="Q235" s="2">
        <v>100.81189999999999</v>
      </c>
      <c r="R235" s="2">
        <v>143</v>
      </c>
      <c r="S235" s="2">
        <v>101.5154</v>
      </c>
      <c r="T235" s="2">
        <v>149</v>
      </c>
      <c r="U235" s="2">
        <v>0.346304</v>
      </c>
      <c r="V235" s="2">
        <v>234</v>
      </c>
      <c r="W235" s="2">
        <v>2015</v>
      </c>
    </row>
    <row r="236" spans="1:23" ht="12.3" x14ac:dyDescent="0.4">
      <c r="A236" s="2" t="s">
        <v>246</v>
      </c>
      <c r="B236" s="2"/>
      <c r="C236" s="2"/>
      <c r="D236" s="2"/>
      <c r="E236" s="2"/>
      <c r="F236" s="2"/>
      <c r="G236" s="2"/>
      <c r="H236" s="2"/>
      <c r="I236" s="2">
        <v>66.464200000000005</v>
      </c>
      <c r="J236" s="2">
        <v>98</v>
      </c>
      <c r="K236" s="2">
        <v>66.089699999999993</v>
      </c>
      <c r="L236" s="2">
        <v>109</v>
      </c>
      <c r="M236" s="2">
        <v>102.67</v>
      </c>
      <c r="N236" s="2">
        <v>165</v>
      </c>
      <c r="O236" s="2">
        <v>99.016300000000001</v>
      </c>
      <c r="P236" s="2">
        <v>239</v>
      </c>
      <c r="Q236" s="2">
        <v>105.9755</v>
      </c>
      <c r="R236" s="2">
        <v>260</v>
      </c>
      <c r="S236" s="2">
        <v>104.759</v>
      </c>
      <c r="T236" s="2">
        <v>217</v>
      </c>
      <c r="U236" s="2">
        <v>0.343362</v>
      </c>
      <c r="V236" s="2">
        <v>235</v>
      </c>
      <c r="W236" s="2">
        <v>2015</v>
      </c>
    </row>
    <row r="237" spans="1:23" ht="12.3" x14ac:dyDescent="0.4">
      <c r="A237" s="2" t="s">
        <v>303</v>
      </c>
      <c r="B237" s="2"/>
      <c r="C237" s="2"/>
      <c r="D237" s="2"/>
      <c r="E237" s="2"/>
      <c r="F237" s="2"/>
      <c r="G237" s="2"/>
      <c r="H237" s="2"/>
      <c r="I237" s="2">
        <v>66.474900000000005</v>
      </c>
      <c r="J237" s="2">
        <v>96</v>
      </c>
      <c r="K237" s="2">
        <v>66.453000000000003</v>
      </c>
      <c r="L237" s="2">
        <v>91</v>
      </c>
      <c r="M237" s="2">
        <v>101.8235</v>
      </c>
      <c r="N237" s="2">
        <v>179</v>
      </c>
      <c r="O237" s="2">
        <v>101.02630000000001</v>
      </c>
      <c r="P237" s="2">
        <v>192</v>
      </c>
      <c r="Q237" s="2">
        <v>104.2723</v>
      </c>
      <c r="R237" s="2">
        <v>219</v>
      </c>
      <c r="S237" s="2">
        <v>106.9331</v>
      </c>
      <c r="T237" s="2">
        <v>268</v>
      </c>
      <c r="U237" s="2">
        <v>0.34221000000000001</v>
      </c>
      <c r="V237" s="2">
        <v>236</v>
      </c>
      <c r="W237" s="2">
        <v>2015</v>
      </c>
    </row>
    <row r="238" spans="1:23" ht="12.3" x14ac:dyDescent="0.4">
      <c r="A238" s="2" t="s">
        <v>126</v>
      </c>
      <c r="B238" s="2"/>
      <c r="C238" s="2"/>
      <c r="D238" s="2"/>
      <c r="E238" s="2"/>
      <c r="F238" s="2"/>
      <c r="G238" s="2"/>
      <c r="H238" s="2"/>
      <c r="I238" s="2">
        <v>61.775700000000001</v>
      </c>
      <c r="J238" s="2">
        <v>310</v>
      </c>
      <c r="K238" s="2">
        <v>61.863999999999997</v>
      </c>
      <c r="L238" s="2">
        <v>306</v>
      </c>
      <c r="M238" s="2">
        <v>100.2826</v>
      </c>
      <c r="N238" s="2">
        <v>210</v>
      </c>
      <c r="O238" s="2">
        <v>100.4773</v>
      </c>
      <c r="P238" s="2">
        <v>214</v>
      </c>
      <c r="Q238" s="2">
        <v>110.9314</v>
      </c>
      <c r="R238" s="2">
        <v>330</v>
      </c>
      <c r="S238" s="2">
        <v>106.4131</v>
      </c>
      <c r="T238" s="2">
        <v>255</v>
      </c>
      <c r="U238" s="2">
        <v>0.340725</v>
      </c>
      <c r="V238" s="2">
        <v>237</v>
      </c>
      <c r="W238" s="2">
        <v>2015</v>
      </c>
    </row>
    <row r="239" spans="1:23" ht="12.3" x14ac:dyDescent="0.4">
      <c r="A239" s="2" t="s">
        <v>375</v>
      </c>
      <c r="B239" s="2"/>
      <c r="C239" s="2"/>
      <c r="D239" s="2"/>
      <c r="E239" s="2"/>
      <c r="F239" s="2"/>
      <c r="G239" s="2"/>
      <c r="H239" s="2"/>
      <c r="I239" s="2">
        <v>63.753700000000002</v>
      </c>
      <c r="J239" s="2">
        <v>241</v>
      </c>
      <c r="K239" s="2">
        <v>63.304699999999997</v>
      </c>
      <c r="L239" s="2">
        <v>256</v>
      </c>
      <c r="M239" s="2">
        <v>103.09569999999999</v>
      </c>
      <c r="N239" s="2">
        <v>149</v>
      </c>
      <c r="O239" s="2">
        <v>102.7565</v>
      </c>
      <c r="P239" s="2">
        <v>156</v>
      </c>
      <c r="Q239" s="2">
        <v>105.2341</v>
      </c>
      <c r="R239" s="2">
        <v>244</v>
      </c>
      <c r="S239" s="2">
        <v>108.9341</v>
      </c>
      <c r="T239" s="2">
        <v>305</v>
      </c>
      <c r="U239" s="2">
        <v>0.33818700000000002</v>
      </c>
      <c r="V239" s="2">
        <v>238</v>
      </c>
      <c r="W239" s="2">
        <v>2015</v>
      </c>
    </row>
    <row r="240" spans="1:23" ht="12.3" x14ac:dyDescent="0.4">
      <c r="A240" s="2" t="s">
        <v>354</v>
      </c>
      <c r="B240" s="2"/>
      <c r="C240" s="2"/>
      <c r="D240" s="2"/>
      <c r="E240" s="2"/>
      <c r="F240" s="2"/>
      <c r="G240" s="2"/>
      <c r="H240" s="2"/>
      <c r="I240" s="2">
        <v>62.887799999999999</v>
      </c>
      <c r="J240" s="2">
        <v>278</v>
      </c>
      <c r="K240" s="2">
        <v>61.579099999999997</v>
      </c>
      <c r="L240" s="2">
        <v>313</v>
      </c>
      <c r="M240" s="2">
        <v>92.350200000000001</v>
      </c>
      <c r="N240" s="2">
        <v>328</v>
      </c>
      <c r="O240" s="2">
        <v>91.585300000000004</v>
      </c>
      <c r="P240" s="2">
        <v>332</v>
      </c>
      <c r="Q240" s="2">
        <v>95.847700000000003</v>
      </c>
      <c r="R240" s="2">
        <v>44</v>
      </c>
      <c r="S240" s="2">
        <v>97.158199999999994</v>
      </c>
      <c r="T240" s="2">
        <v>72</v>
      </c>
      <c r="U240" s="2">
        <v>0.33641700000000002</v>
      </c>
      <c r="V240" s="2">
        <v>239</v>
      </c>
      <c r="W240" s="2">
        <v>2015</v>
      </c>
    </row>
    <row r="241" spans="1:23" ht="12.3" x14ac:dyDescent="0.4">
      <c r="A241" s="2" t="s">
        <v>281</v>
      </c>
      <c r="B241" s="2"/>
      <c r="C241" s="2"/>
      <c r="D241" s="2"/>
      <c r="E241" s="2"/>
      <c r="F241" s="2"/>
      <c r="G241" s="2"/>
      <c r="H241" s="2"/>
      <c r="I241" s="2">
        <v>68.733900000000006</v>
      </c>
      <c r="J241" s="2">
        <v>27</v>
      </c>
      <c r="K241" s="2">
        <v>68.295000000000002</v>
      </c>
      <c r="L241" s="2">
        <v>29</v>
      </c>
      <c r="M241" s="2">
        <v>102.8931</v>
      </c>
      <c r="N241" s="2">
        <v>155</v>
      </c>
      <c r="O241" s="2">
        <v>100.6614</v>
      </c>
      <c r="P241" s="2">
        <v>205</v>
      </c>
      <c r="Q241" s="2">
        <v>105.03270000000001</v>
      </c>
      <c r="R241" s="2">
        <v>239</v>
      </c>
      <c r="S241" s="2">
        <v>106.79649999999999</v>
      </c>
      <c r="T241" s="2">
        <v>267</v>
      </c>
      <c r="U241" s="2">
        <v>0.33617900000000001</v>
      </c>
      <c r="V241" s="2">
        <v>240</v>
      </c>
      <c r="W241" s="2">
        <v>2015</v>
      </c>
    </row>
    <row r="242" spans="1:23" ht="12.3" x14ac:dyDescent="0.4">
      <c r="A242" s="2" t="s">
        <v>184</v>
      </c>
      <c r="B242" s="2"/>
      <c r="C242" s="2"/>
      <c r="D242" s="2"/>
      <c r="E242" s="2"/>
      <c r="F242" s="2"/>
      <c r="G242" s="2"/>
      <c r="H242" s="2"/>
      <c r="I242" s="2">
        <v>66.495400000000004</v>
      </c>
      <c r="J242" s="2">
        <v>95</v>
      </c>
      <c r="K242" s="2">
        <v>65.850499999999997</v>
      </c>
      <c r="L242" s="2">
        <v>119</v>
      </c>
      <c r="M242" s="2">
        <v>96.394599999999997</v>
      </c>
      <c r="N242" s="2">
        <v>285</v>
      </c>
      <c r="O242" s="2">
        <v>97.518600000000006</v>
      </c>
      <c r="P242" s="2">
        <v>265</v>
      </c>
      <c r="Q242" s="2">
        <v>102.9288</v>
      </c>
      <c r="R242" s="2">
        <v>186</v>
      </c>
      <c r="S242" s="2">
        <v>103.50709999999999</v>
      </c>
      <c r="T242" s="2">
        <v>189</v>
      </c>
      <c r="U242" s="2">
        <v>0.335065</v>
      </c>
      <c r="V242" s="2">
        <v>241</v>
      </c>
      <c r="W242" s="2">
        <v>2015</v>
      </c>
    </row>
    <row r="243" spans="1:23" ht="12.3" x14ac:dyDescent="0.4">
      <c r="A243" s="2" t="s">
        <v>203</v>
      </c>
      <c r="B243" s="2"/>
      <c r="C243" s="2"/>
      <c r="D243" s="2"/>
      <c r="E243" s="2"/>
      <c r="F243" s="2"/>
      <c r="G243" s="2"/>
      <c r="H243" s="2"/>
      <c r="I243" s="2">
        <v>63.603000000000002</v>
      </c>
      <c r="J243" s="2">
        <v>246</v>
      </c>
      <c r="K243" s="2">
        <v>64.801199999999994</v>
      </c>
      <c r="L243" s="2">
        <v>164</v>
      </c>
      <c r="M243" s="2">
        <v>105.973</v>
      </c>
      <c r="N243" s="2">
        <v>88</v>
      </c>
      <c r="O243" s="2">
        <v>103.7227</v>
      </c>
      <c r="P243" s="2">
        <v>134</v>
      </c>
      <c r="Q243" s="2">
        <v>110.0368</v>
      </c>
      <c r="R243" s="2">
        <v>325</v>
      </c>
      <c r="S243" s="2">
        <v>110.1712</v>
      </c>
      <c r="T243" s="2">
        <v>320</v>
      </c>
      <c r="U243" s="2">
        <v>0.33323000000000003</v>
      </c>
      <c r="V243" s="2">
        <v>242</v>
      </c>
      <c r="W243" s="2">
        <v>2015</v>
      </c>
    </row>
    <row r="244" spans="1:23" ht="12.3" x14ac:dyDescent="0.4">
      <c r="A244" s="2" t="s">
        <v>178</v>
      </c>
      <c r="B244" s="2"/>
      <c r="C244" s="2"/>
      <c r="D244" s="2"/>
      <c r="E244" s="2"/>
      <c r="F244" s="2"/>
      <c r="G244" s="2"/>
      <c r="H244" s="2"/>
      <c r="I244" s="2">
        <v>63.181699999999999</v>
      </c>
      <c r="J244" s="2">
        <v>265</v>
      </c>
      <c r="K244" s="2">
        <v>63.948599999999999</v>
      </c>
      <c r="L244" s="2">
        <v>217</v>
      </c>
      <c r="M244" s="2">
        <v>100.91800000000001</v>
      </c>
      <c r="N244" s="2">
        <v>198</v>
      </c>
      <c r="O244" s="2">
        <v>100.0629</v>
      </c>
      <c r="P244" s="2">
        <v>225</v>
      </c>
      <c r="Q244" s="2">
        <v>104.7174</v>
      </c>
      <c r="R244" s="2">
        <v>228</v>
      </c>
      <c r="S244" s="2">
        <v>106.295</v>
      </c>
      <c r="T244" s="2">
        <v>250</v>
      </c>
      <c r="U244" s="2">
        <v>0.33295999999999998</v>
      </c>
      <c r="V244" s="2">
        <v>243</v>
      </c>
      <c r="W244" s="2">
        <v>2015</v>
      </c>
    </row>
    <row r="245" spans="1:23" ht="12.3" x14ac:dyDescent="0.4">
      <c r="A245" s="2" t="s">
        <v>373</v>
      </c>
      <c r="B245" s="2"/>
      <c r="C245" s="2"/>
      <c r="D245" s="2"/>
      <c r="E245" s="2"/>
      <c r="F245" s="2"/>
      <c r="G245" s="2"/>
      <c r="H245" s="2"/>
      <c r="I245" s="2">
        <v>66.418800000000005</v>
      </c>
      <c r="J245" s="2">
        <v>101</v>
      </c>
      <c r="K245" s="2">
        <v>66.757999999999996</v>
      </c>
      <c r="L245" s="2">
        <v>76</v>
      </c>
      <c r="M245" s="2">
        <v>97.888000000000005</v>
      </c>
      <c r="N245" s="2">
        <v>263</v>
      </c>
      <c r="O245" s="2">
        <v>96.121499999999997</v>
      </c>
      <c r="P245" s="2">
        <v>288</v>
      </c>
      <c r="Q245" s="2">
        <v>102.11369999999999</v>
      </c>
      <c r="R245" s="2">
        <v>172</v>
      </c>
      <c r="S245" s="2">
        <v>102.2908</v>
      </c>
      <c r="T245" s="2">
        <v>167</v>
      </c>
      <c r="U245" s="2">
        <v>0.32841100000000001</v>
      </c>
      <c r="V245" s="2">
        <v>244</v>
      </c>
      <c r="W245" s="2">
        <v>2015</v>
      </c>
    </row>
    <row r="246" spans="1:23" ht="12.3" x14ac:dyDescent="0.4">
      <c r="A246" s="2" t="s">
        <v>266</v>
      </c>
      <c r="B246" s="2"/>
      <c r="C246" s="2"/>
      <c r="D246" s="2"/>
      <c r="E246" s="2"/>
      <c r="F246" s="2"/>
      <c r="G246" s="2"/>
      <c r="H246" s="2"/>
      <c r="I246" s="2">
        <v>67.488799999999998</v>
      </c>
      <c r="J246" s="2">
        <v>61</v>
      </c>
      <c r="K246" s="2">
        <v>66.514700000000005</v>
      </c>
      <c r="L246" s="2">
        <v>89</v>
      </c>
      <c r="M246" s="2">
        <v>100.8723</v>
      </c>
      <c r="N246" s="2">
        <v>200</v>
      </c>
      <c r="O246" s="2">
        <v>98.540300000000002</v>
      </c>
      <c r="P246" s="2">
        <v>247</v>
      </c>
      <c r="Q246" s="2">
        <v>107.3014</v>
      </c>
      <c r="R246" s="2">
        <v>290</v>
      </c>
      <c r="S246" s="2">
        <v>104.9509</v>
      </c>
      <c r="T246" s="2">
        <v>221</v>
      </c>
      <c r="U246" s="2">
        <v>0.32633499999999999</v>
      </c>
      <c r="V246" s="2">
        <v>245</v>
      </c>
      <c r="W246" s="2">
        <v>2015</v>
      </c>
    </row>
    <row r="247" spans="1:23" ht="12.3" x14ac:dyDescent="0.4">
      <c r="A247" s="2" t="s">
        <v>265</v>
      </c>
      <c r="B247" s="2"/>
      <c r="C247" s="2"/>
      <c r="D247" s="2"/>
      <c r="E247" s="2"/>
      <c r="F247" s="2"/>
      <c r="G247" s="2"/>
      <c r="H247" s="2"/>
      <c r="I247" s="2">
        <v>68.517499999999998</v>
      </c>
      <c r="J247" s="2">
        <v>32</v>
      </c>
      <c r="K247" s="2">
        <v>67.087000000000003</v>
      </c>
      <c r="L247" s="2">
        <v>65</v>
      </c>
      <c r="M247" s="2">
        <v>100.6977</v>
      </c>
      <c r="N247" s="2">
        <v>204</v>
      </c>
      <c r="O247" s="2">
        <v>102.2098</v>
      </c>
      <c r="P247" s="2">
        <v>168</v>
      </c>
      <c r="Q247" s="2">
        <v>104.8809</v>
      </c>
      <c r="R247" s="2">
        <v>233</v>
      </c>
      <c r="S247" s="2">
        <v>108.8947</v>
      </c>
      <c r="T247" s="2">
        <v>304</v>
      </c>
      <c r="U247" s="2">
        <v>0.32550899999999999</v>
      </c>
      <c r="V247" s="2">
        <v>246</v>
      </c>
      <c r="W247" s="2">
        <v>2015</v>
      </c>
    </row>
    <row r="248" spans="1:23" ht="12.3" x14ac:dyDescent="0.4">
      <c r="A248" s="2" t="s">
        <v>174</v>
      </c>
      <c r="B248" s="2"/>
      <c r="C248" s="2"/>
      <c r="D248" s="2"/>
      <c r="E248" s="2"/>
      <c r="F248" s="2"/>
      <c r="G248" s="2"/>
      <c r="H248" s="2"/>
      <c r="I248" s="2">
        <v>65.755600000000001</v>
      </c>
      <c r="J248" s="2">
        <v>126</v>
      </c>
      <c r="K248" s="2">
        <v>65.870900000000006</v>
      </c>
      <c r="L248" s="2">
        <v>118</v>
      </c>
      <c r="M248" s="2">
        <v>99.166499999999999</v>
      </c>
      <c r="N248" s="2">
        <v>241</v>
      </c>
      <c r="O248" s="2">
        <v>99.965999999999994</v>
      </c>
      <c r="P248" s="2">
        <v>227</v>
      </c>
      <c r="Q248" s="2">
        <v>108.16679999999999</v>
      </c>
      <c r="R248" s="2">
        <v>303</v>
      </c>
      <c r="S248" s="2">
        <v>106.547</v>
      </c>
      <c r="T248" s="2">
        <v>260</v>
      </c>
      <c r="U248" s="2">
        <v>0.32449299999999998</v>
      </c>
      <c r="V248" s="2">
        <v>247</v>
      </c>
      <c r="W248" s="2">
        <v>2015</v>
      </c>
    </row>
    <row r="249" spans="1:23" ht="12.3" x14ac:dyDescent="0.4">
      <c r="A249" s="2" t="s">
        <v>210</v>
      </c>
      <c r="B249" s="2"/>
      <c r="C249" s="2"/>
      <c r="D249" s="2"/>
      <c r="E249" s="2"/>
      <c r="F249" s="2"/>
      <c r="G249" s="2"/>
      <c r="H249" s="2"/>
      <c r="I249" s="2">
        <v>61.673200000000001</v>
      </c>
      <c r="J249" s="2">
        <v>314</v>
      </c>
      <c r="K249" s="2">
        <v>60.905500000000004</v>
      </c>
      <c r="L249" s="2">
        <v>329</v>
      </c>
      <c r="M249" s="2">
        <v>96.939700000000002</v>
      </c>
      <c r="N249" s="2">
        <v>273</v>
      </c>
      <c r="O249" s="2">
        <v>98.355699999999999</v>
      </c>
      <c r="P249" s="2">
        <v>249</v>
      </c>
      <c r="Q249" s="2">
        <v>103.80410000000001</v>
      </c>
      <c r="R249" s="2">
        <v>209</v>
      </c>
      <c r="S249" s="2">
        <v>104.8729</v>
      </c>
      <c r="T249" s="2">
        <v>219</v>
      </c>
      <c r="U249" s="2">
        <v>0.32348199999999999</v>
      </c>
      <c r="V249" s="2">
        <v>248</v>
      </c>
      <c r="W249" s="2">
        <v>2015</v>
      </c>
    </row>
    <row r="250" spans="1:23" ht="12.3" x14ac:dyDescent="0.4">
      <c r="A250" s="2" t="s">
        <v>171</v>
      </c>
      <c r="B250" s="2"/>
      <c r="C250" s="2"/>
      <c r="D250" s="2"/>
      <c r="E250" s="2"/>
      <c r="F250" s="2"/>
      <c r="G250" s="2"/>
      <c r="H250" s="2"/>
      <c r="I250" s="2">
        <v>64.330799999999996</v>
      </c>
      <c r="J250" s="2">
        <v>200</v>
      </c>
      <c r="K250" s="2">
        <v>63.641599999999997</v>
      </c>
      <c r="L250" s="2">
        <v>241</v>
      </c>
      <c r="M250" s="2">
        <v>97.370900000000006</v>
      </c>
      <c r="N250" s="2">
        <v>269</v>
      </c>
      <c r="O250" s="2">
        <v>96.203299999999999</v>
      </c>
      <c r="P250" s="2">
        <v>287</v>
      </c>
      <c r="Q250" s="2">
        <v>105.4226</v>
      </c>
      <c r="R250" s="2">
        <v>249</v>
      </c>
      <c r="S250" s="2">
        <v>102.88930000000001</v>
      </c>
      <c r="T250" s="2">
        <v>179</v>
      </c>
      <c r="U250" s="2">
        <v>0.31590000000000001</v>
      </c>
      <c r="V250" s="2">
        <v>249</v>
      </c>
      <c r="W250" s="2">
        <v>2015</v>
      </c>
    </row>
    <row r="251" spans="1:23" ht="12.3" x14ac:dyDescent="0.4">
      <c r="A251" s="2" t="s">
        <v>135</v>
      </c>
      <c r="B251" s="2">
        <v>16</v>
      </c>
      <c r="C251" s="2"/>
      <c r="D251" s="2"/>
      <c r="E251" s="2"/>
      <c r="F251" s="2"/>
      <c r="G251" s="2"/>
      <c r="H251" s="2"/>
      <c r="I251" s="2">
        <v>69.142300000000006</v>
      </c>
      <c r="J251" s="2">
        <v>18</v>
      </c>
      <c r="K251" s="2">
        <v>69.543000000000006</v>
      </c>
      <c r="L251" s="2">
        <v>16</v>
      </c>
      <c r="M251" s="2">
        <v>96.609899999999996</v>
      </c>
      <c r="N251" s="2">
        <v>280</v>
      </c>
      <c r="O251" s="2">
        <v>95.571600000000004</v>
      </c>
      <c r="P251" s="2">
        <v>302</v>
      </c>
      <c r="Q251" s="2">
        <v>98.523200000000003</v>
      </c>
      <c r="R251" s="2">
        <v>94</v>
      </c>
      <c r="S251" s="2">
        <v>102.34569999999999</v>
      </c>
      <c r="T251" s="2">
        <v>170</v>
      </c>
      <c r="U251" s="2">
        <v>0.312699</v>
      </c>
      <c r="V251" s="2">
        <v>250</v>
      </c>
      <c r="W251" s="2">
        <v>2015</v>
      </c>
    </row>
    <row r="252" spans="1:23" ht="12.3" x14ac:dyDescent="0.4">
      <c r="A252" s="2" t="s">
        <v>242</v>
      </c>
      <c r="B252" s="2"/>
      <c r="C252" s="2"/>
      <c r="D252" s="2"/>
      <c r="E252" s="2"/>
      <c r="F252" s="2"/>
      <c r="G252" s="2"/>
      <c r="H252" s="2"/>
      <c r="I252" s="2">
        <v>64.088300000000004</v>
      </c>
      <c r="J252" s="2">
        <v>219</v>
      </c>
      <c r="K252" s="2">
        <v>63.222900000000003</v>
      </c>
      <c r="L252" s="2">
        <v>262</v>
      </c>
      <c r="M252" s="2">
        <v>93.459599999999995</v>
      </c>
      <c r="N252" s="2">
        <v>316</v>
      </c>
      <c r="O252" s="2">
        <v>92.4298</v>
      </c>
      <c r="P252" s="2">
        <v>325</v>
      </c>
      <c r="Q252" s="2">
        <v>96.753900000000002</v>
      </c>
      <c r="R252" s="2">
        <v>65</v>
      </c>
      <c r="S252" s="2">
        <v>99.134100000000004</v>
      </c>
      <c r="T252" s="2">
        <v>104</v>
      </c>
      <c r="U252" s="2">
        <v>0.30889899999999998</v>
      </c>
      <c r="V252" s="2">
        <v>251</v>
      </c>
      <c r="W252" s="2">
        <v>2015</v>
      </c>
    </row>
    <row r="253" spans="1:23" ht="12.3" x14ac:dyDescent="0.4">
      <c r="A253" s="2" t="s">
        <v>114</v>
      </c>
      <c r="B253" s="2"/>
      <c r="C253" s="2"/>
      <c r="D253" s="2"/>
      <c r="E253" s="2"/>
      <c r="F253" s="2"/>
      <c r="G253" s="2"/>
      <c r="H253" s="2"/>
      <c r="I253" s="2">
        <v>67.218400000000003</v>
      </c>
      <c r="J253" s="2">
        <v>71</v>
      </c>
      <c r="K253" s="2">
        <v>66.660799999999995</v>
      </c>
      <c r="L253" s="2">
        <v>81</v>
      </c>
      <c r="M253" s="2">
        <v>102.8246</v>
      </c>
      <c r="N253" s="2">
        <v>157</v>
      </c>
      <c r="O253" s="2">
        <v>102.29810000000001</v>
      </c>
      <c r="P253" s="2">
        <v>165</v>
      </c>
      <c r="Q253" s="2">
        <v>106.9594</v>
      </c>
      <c r="R253" s="2">
        <v>283</v>
      </c>
      <c r="S253" s="2">
        <v>109.7479</v>
      </c>
      <c r="T253" s="2">
        <v>317</v>
      </c>
      <c r="U253" s="2">
        <v>0.30823200000000001</v>
      </c>
      <c r="V253" s="2">
        <v>252</v>
      </c>
      <c r="W253" s="2">
        <v>2015</v>
      </c>
    </row>
    <row r="254" spans="1:23" ht="12.3" x14ac:dyDescent="0.4">
      <c r="A254" s="2" t="s">
        <v>379</v>
      </c>
      <c r="B254" s="2"/>
      <c r="C254" s="2"/>
      <c r="D254" s="2"/>
      <c r="E254" s="2"/>
      <c r="F254" s="2"/>
      <c r="G254" s="2"/>
      <c r="H254" s="2"/>
      <c r="I254" s="2">
        <v>73.401300000000006</v>
      </c>
      <c r="J254" s="2">
        <v>4</v>
      </c>
      <c r="K254" s="2">
        <v>73.897300000000001</v>
      </c>
      <c r="L254" s="2">
        <v>3</v>
      </c>
      <c r="M254" s="2">
        <v>102.9868</v>
      </c>
      <c r="N254" s="2">
        <v>153</v>
      </c>
      <c r="O254" s="2">
        <v>100.68210000000001</v>
      </c>
      <c r="P254" s="2">
        <v>204</v>
      </c>
      <c r="Q254" s="2">
        <v>105.9268</v>
      </c>
      <c r="R254" s="2">
        <v>259</v>
      </c>
      <c r="S254" s="2">
        <v>108.0519</v>
      </c>
      <c r="T254" s="2">
        <v>290</v>
      </c>
      <c r="U254" s="2">
        <v>0.30737700000000001</v>
      </c>
      <c r="V254" s="2">
        <v>253</v>
      </c>
      <c r="W254" s="2">
        <v>2015</v>
      </c>
    </row>
    <row r="255" spans="1:23" ht="12.3" x14ac:dyDescent="0.4">
      <c r="A255" s="2" t="s">
        <v>306</v>
      </c>
      <c r="B255" s="2"/>
      <c r="C255" s="2"/>
      <c r="D255" s="2"/>
      <c r="E255" s="2"/>
      <c r="F255" s="2"/>
      <c r="G255" s="2"/>
      <c r="H255" s="2"/>
      <c r="I255" s="2">
        <v>68.188900000000004</v>
      </c>
      <c r="J255" s="2">
        <v>38</v>
      </c>
      <c r="K255" s="2">
        <v>68.212299999999999</v>
      </c>
      <c r="L255" s="2">
        <v>31</v>
      </c>
      <c r="M255" s="2">
        <v>98.270399999999995</v>
      </c>
      <c r="N255" s="2">
        <v>255</v>
      </c>
      <c r="O255" s="2">
        <v>96.865799999999993</v>
      </c>
      <c r="P255" s="2">
        <v>275</v>
      </c>
      <c r="Q255" s="2">
        <v>103.45050000000001</v>
      </c>
      <c r="R255" s="2">
        <v>199</v>
      </c>
      <c r="S255" s="2">
        <v>104.1208</v>
      </c>
      <c r="T255" s="2">
        <v>204</v>
      </c>
      <c r="U255" s="2">
        <v>0.30352000000000001</v>
      </c>
      <c r="V255" s="2">
        <v>254</v>
      </c>
      <c r="W255" s="2">
        <v>2015</v>
      </c>
    </row>
    <row r="256" spans="1:23" ht="12.3" x14ac:dyDescent="0.4">
      <c r="A256" s="2" t="s">
        <v>269</v>
      </c>
      <c r="B256" s="2"/>
      <c r="C256" s="2"/>
      <c r="D256" s="2"/>
      <c r="E256" s="2"/>
      <c r="F256" s="2"/>
      <c r="G256" s="2"/>
      <c r="H256" s="2"/>
      <c r="I256" s="2">
        <v>66.956900000000005</v>
      </c>
      <c r="J256" s="2">
        <v>76</v>
      </c>
      <c r="K256" s="2">
        <v>66.245900000000006</v>
      </c>
      <c r="L256" s="2">
        <v>101</v>
      </c>
      <c r="M256" s="2">
        <v>104.6827</v>
      </c>
      <c r="N256" s="2">
        <v>113</v>
      </c>
      <c r="O256" s="2">
        <v>100.8249</v>
      </c>
      <c r="P256" s="2">
        <v>200</v>
      </c>
      <c r="Q256" s="2">
        <v>109.3064</v>
      </c>
      <c r="R256" s="2">
        <v>315</v>
      </c>
      <c r="S256" s="2">
        <v>108.37779999999999</v>
      </c>
      <c r="T256" s="2">
        <v>295</v>
      </c>
      <c r="U256" s="2">
        <v>0.30348999999999998</v>
      </c>
      <c r="V256" s="2">
        <v>255</v>
      </c>
      <c r="W256" s="2">
        <v>2015</v>
      </c>
    </row>
    <row r="257" spans="1:23" ht="12.3" x14ac:dyDescent="0.4">
      <c r="A257" s="2" t="s">
        <v>233</v>
      </c>
      <c r="B257" s="2"/>
      <c r="C257" s="2"/>
      <c r="D257" s="2"/>
      <c r="E257" s="2"/>
      <c r="F257" s="2"/>
      <c r="G257" s="2"/>
      <c r="H257" s="2"/>
      <c r="I257" s="2">
        <v>67.105599999999995</v>
      </c>
      <c r="J257" s="2">
        <v>75</v>
      </c>
      <c r="K257" s="2">
        <v>67.974999999999994</v>
      </c>
      <c r="L257" s="2">
        <v>36</v>
      </c>
      <c r="M257" s="2">
        <v>96.493600000000001</v>
      </c>
      <c r="N257" s="2">
        <v>283</v>
      </c>
      <c r="O257" s="2">
        <v>97.595699999999994</v>
      </c>
      <c r="P257" s="2">
        <v>264</v>
      </c>
      <c r="Q257" s="2">
        <v>104.377</v>
      </c>
      <c r="R257" s="2">
        <v>220</v>
      </c>
      <c r="S257" s="2">
        <v>104.961</v>
      </c>
      <c r="T257" s="2">
        <v>222</v>
      </c>
      <c r="U257" s="2">
        <v>0.30223299999999997</v>
      </c>
      <c r="V257" s="2">
        <v>256</v>
      </c>
      <c r="W257" s="2">
        <v>2015</v>
      </c>
    </row>
    <row r="258" spans="1:23" ht="12.3" x14ac:dyDescent="0.4">
      <c r="A258" s="2" t="s">
        <v>370</v>
      </c>
      <c r="B258" s="2"/>
      <c r="C258" s="2"/>
      <c r="D258" s="2"/>
      <c r="E258" s="2"/>
      <c r="F258" s="2"/>
      <c r="G258" s="2"/>
      <c r="H258" s="2"/>
      <c r="I258" s="2">
        <v>60.524299999999997</v>
      </c>
      <c r="J258" s="2">
        <v>336</v>
      </c>
      <c r="K258" s="2">
        <v>61.014899999999997</v>
      </c>
      <c r="L258" s="2">
        <v>326</v>
      </c>
      <c r="M258" s="2">
        <v>99.523799999999994</v>
      </c>
      <c r="N258" s="2">
        <v>233</v>
      </c>
      <c r="O258" s="2">
        <v>98.23</v>
      </c>
      <c r="P258" s="2">
        <v>252</v>
      </c>
      <c r="Q258" s="2">
        <v>100.0975</v>
      </c>
      <c r="R258" s="2">
        <v>125</v>
      </c>
      <c r="S258" s="2">
        <v>105.6807</v>
      </c>
      <c r="T258" s="2">
        <v>237</v>
      </c>
      <c r="U258" s="2">
        <v>0.30137199999999997</v>
      </c>
      <c r="V258" s="2">
        <v>257</v>
      </c>
      <c r="W258" s="2">
        <v>2015</v>
      </c>
    </row>
    <row r="259" spans="1:23" ht="12.3" x14ac:dyDescent="0.4">
      <c r="A259" s="2" t="s">
        <v>297</v>
      </c>
      <c r="B259" s="2"/>
      <c r="C259" s="2"/>
      <c r="D259" s="2"/>
      <c r="E259" s="2"/>
      <c r="F259" s="2"/>
      <c r="G259" s="2"/>
      <c r="H259" s="2"/>
      <c r="I259" s="2">
        <v>69.219700000000003</v>
      </c>
      <c r="J259" s="2">
        <v>17</v>
      </c>
      <c r="K259" s="2">
        <v>67.537700000000001</v>
      </c>
      <c r="L259" s="2">
        <v>51</v>
      </c>
      <c r="M259" s="2">
        <v>101.64060000000001</v>
      </c>
      <c r="N259" s="2">
        <v>183</v>
      </c>
      <c r="O259" s="2">
        <v>95.815299999999993</v>
      </c>
      <c r="P259" s="2">
        <v>296</v>
      </c>
      <c r="Q259" s="2">
        <v>96.0745</v>
      </c>
      <c r="R259" s="2">
        <v>47</v>
      </c>
      <c r="S259" s="2">
        <v>103.2803</v>
      </c>
      <c r="T259" s="2">
        <v>183</v>
      </c>
      <c r="U259" s="2">
        <v>0.29675800000000002</v>
      </c>
      <c r="V259" s="2">
        <v>258</v>
      </c>
      <c r="W259" s="2">
        <v>2015</v>
      </c>
    </row>
    <row r="260" spans="1:23" ht="12.3" x14ac:dyDescent="0.4">
      <c r="A260" s="2" t="s">
        <v>358</v>
      </c>
      <c r="B260" s="2"/>
      <c r="C260" s="2"/>
      <c r="D260" s="2"/>
      <c r="E260" s="2"/>
      <c r="F260" s="2"/>
      <c r="G260" s="2"/>
      <c r="H260" s="2"/>
      <c r="I260" s="2">
        <v>64.174599999999998</v>
      </c>
      <c r="J260" s="2">
        <v>212</v>
      </c>
      <c r="K260" s="2">
        <v>63.565600000000003</v>
      </c>
      <c r="L260" s="2">
        <v>248</v>
      </c>
      <c r="M260" s="2">
        <v>113.01220000000001</v>
      </c>
      <c r="N260" s="2">
        <v>18</v>
      </c>
      <c r="O260" s="2">
        <v>107.6771</v>
      </c>
      <c r="P260" s="2">
        <v>65</v>
      </c>
      <c r="Q260" s="2">
        <v>114.1934</v>
      </c>
      <c r="R260" s="2">
        <v>349</v>
      </c>
      <c r="S260" s="2">
        <v>116.1155</v>
      </c>
      <c r="T260" s="2">
        <v>350</v>
      </c>
      <c r="U260" s="2">
        <v>0.295742</v>
      </c>
      <c r="V260" s="2">
        <v>259</v>
      </c>
      <c r="W260" s="2">
        <v>2015</v>
      </c>
    </row>
    <row r="261" spans="1:23" ht="12.3" x14ac:dyDescent="0.4">
      <c r="A261" s="2" t="s">
        <v>205</v>
      </c>
      <c r="B261" s="2"/>
      <c r="C261" s="2"/>
      <c r="D261" s="2"/>
      <c r="E261" s="2"/>
      <c r="F261" s="2"/>
      <c r="G261" s="2"/>
      <c r="H261" s="2"/>
      <c r="I261" s="2">
        <v>58.794199999999996</v>
      </c>
      <c r="J261" s="2">
        <v>346</v>
      </c>
      <c r="K261" s="2">
        <v>59.144799999999996</v>
      </c>
      <c r="L261" s="2">
        <v>345</v>
      </c>
      <c r="M261" s="2">
        <v>98.940299999999993</v>
      </c>
      <c r="N261" s="2">
        <v>246</v>
      </c>
      <c r="O261" s="2">
        <v>103.8233</v>
      </c>
      <c r="P261" s="2">
        <v>127</v>
      </c>
      <c r="Q261" s="2">
        <v>113.2597</v>
      </c>
      <c r="R261" s="2">
        <v>346</v>
      </c>
      <c r="S261" s="2">
        <v>112.07470000000001</v>
      </c>
      <c r="T261" s="2">
        <v>333</v>
      </c>
      <c r="U261" s="2">
        <v>0.29328900000000002</v>
      </c>
      <c r="V261" s="2">
        <v>260</v>
      </c>
      <c r="W261" s="2">
        <v>2015</v>
      </c>
    </row>
    <row r="262" spans="1:23" ht="12.3" x14ac:dyDescent="0.4">
      <c r="A262" s="2" t="s">
        <v>101</v>
      </c>
      <c r="B262" s="2"/>
      <c r="C262" s="2"/>
      <c r="D262" s="2"/>
      <c r="E262" s="2"/>
      <c r="F262" s="2"/>
      <c r="G262" s="2"/>
      <c r="H262" s="2"/>
      <c r="I262" s="2">
        <v>63.640700000000002</v>
      </c>
      <c r="J262" s="2">
        <v>244</v>
      </c>
      <c r="K262" s="2">
        <v>63.753100000000003</v>
      </c>
      <c r="L262" s="2">
        <v>230</v>
      </c>
      <c r="M262" s="2">
        <v>98.497500000000002</v>
      </c>
      <c r="N262" s="2">
        <v>253</v>
      </c>
      <c r="O262" s="2">
        <v>98.238100000000003</v>
      </c>
      <c r="P262" s="2">
        <v>251</v>
      </c>
      <c r="Q262" s="2">
        <v>106.6764</v>
      </c>
      <c r="R262" s="2">
        <v>278</v>
      </c>
      <c r="S262" s="2">
        <v>106.0946</v>
      </c>
      <c r="T262" s="2">
        <v>245</v>
      </c>
      <c r="U262" s="2">
        <v>0.292188</v>
      </c>
      <c r="V262" s="2">
        <v>261</v>
      </c>
      <c r="W262" s="2">
        <v>2015</v>
      </c>
    </row>
    <row r="263" spans="1:23" ht="12.3" x14ac:dyDescent="0.4">
      <c r="A263" s="2" t="s">
        <v>314</v>
      </c>
      <c r="B263" s="2"/>
      <c r="C263" s="2"/>
      <c r="D263" s="2"/>
      <c r="E263" s="2"/>
      <c r="F263" s="2"/>
      <c r="G263" s="2"/>
      <c r="H263" s="2"/>
      <c r="I263" s="2">
        <v>69.138000000000005</v>
      </c>
      <c r="J263" s="2">
        <v>20</v>
      </c>
      <c r="K263" s="2">
        <v>69.927899999999994</v>
      </c>
      <c r="L263" s="2">
        <v>11</v>
      </c>
      <c r="M263" s="2">
        <v>102.3202</v>
      </c>
      <c r="N263" s="2">
        <v>170</v>
      </c>
      <c r="O263" s="2">
        <v>97.357600000000005</v>
      </c>
      <c r="P263" s="2">
        <v>267</v>
      </c>
      <c r="Q263" s="2">
        <v>104.4452</v>
      </c>
      <c r="R263" s="2">
        <v>223</v>
      </c>
      <c r="S263" s="2">
        <v>105.21129999999999</v>
      </c>
      <c r="T263" s="2">
        <v>226</v>
      </c>
      <c r="U263" s="2">
        <v>0.290663</v>
      </c>
      <c r="V263" s="2">
        <v>262</v>
      </c>
      <c r="W263" s="2">
        <v>2015</v>
      </c>
    </row>
    <row r="264" spans="1:23" ht="12.3" x14ac:dyDescent="0.4">
      <c r="A264" s="2" t="s">
        <v>376</v>
      </c>
      <c r="B264" s="2"/>
      <c r="C264" s="2"/>
      <c r="D264" s="2"/>
      <c r="E264" s="2"/>
      <c r="F264" s="2"/>
      <c r="G264" s="2"/>
      <c r="H264" s="2"/>
      <c r="I264" s="2">
        <v>61.653399999999998</v>
      </c>
      <c r="J264" s="2">
        <v>315</v>
      </c>
      <c r="K264" s="2">
        <v>62.092399999999998</v>
      </c>
      <c r="L264" s="2">
        <v>300</v>
      </c>
      <c r="M264" s="2">
        <v>99.637699999999995</v>
      </c>
      <c r="N264" s="2">
        <v>227</v>
      </c>
      <c r="O264" s="2">
        <v>96.459199999999996</v>
      </c>
      <c r="P264" s="2">
        <v>281</v>
      </c>
      <c r="Q264" s="2">
        <v>101.34699999999999</v>
      </c>
      <c r="R264" s="2">
        <v>160</v>
      </c>
      <c r="S264" s="2">
        <v>104.3807</v>
      </c>
      <c r="T264" s="2">
        <v>210</v>
      </c>
      <c r="U264" s="2">
        <v>0.28748400000000002</v>
      </c>
      <c r="V264" s="2">
        <v>263</v>
      </c>
      <c r="W264" s="2">
        <v>2015</v>
      </c>
    </row>
    <row r="265" spans="1:23" ht="12.3" x14ac:dyDescent="0.4">
      <c r="A265" s="2" t="s">
        <v>197</v>
      </c>
      <c r="B265" s="2"/>
      <c r="C265" s="2"/>
      <c r="D265" s="2"/>
      <c r="E265" s="2"/>
      <c r="F265" s="2"/>
      <c r="G265" s="2"/>
      <c r="H265" s="2"/>
      <c r="I265" s="2">
        <v>70.366200000000006</v>
      </c>
      <c r="J265" s="2">
        <v>9</v>
      </c>
      <c r="K265" s="2">
        <v>70.2333</v>
      </c>
      <c r="L265" s="2">
        <v>7</v>
      </c>
      <c r="M265" s="2">
        <v>92.729500000000002</v>
      </c>
      <c r="N265" s="2">
        <v>324</v>
      </c>
      <c r="O265" s="2">
        <v>94.53</v>
      </c>
      <c r="P265" s="2">
        <v>313</v>
      </c>
      <c r="Q265" s="2">
        <v>101.2342</v>
      </c>
      <c r="R265" s="2">
        <v>154</v>
      </c>
      <c r="S265" s="2">
        <v>102.30759999999999</v>
      </c>
      <c r="T265" s="2">
        <v>168</v>
      </c>
      <c r="U265" s="2">
        <v>0.28715000000000002</v>
      </c>
      <c r="V265" s="2">
        <v>264</v>
      </c>
      <c r="W265" s="2">
        <v>2015</v>
      </c>
    </row>
    <row r="266" spans="1:23" ht="12.3" x14ac:dyDescent="0.4">
      <c r="A266" s="2" t="s">
        <v>293</v>
      </c>
      <c r="B266" s="2"/>
      <c r="C266" s="2"/>
      <c r="D266" s="2"/>
      <c r="E266" s="2"/>
      <c r="F266" s="2"/>
      <c r="G266" s="2"/>
      <c r="H266" s="2"/>
      <c r="I266" s="2">
        <v>61.227400000000003</v>
      </c>
      <c r="J266" s="2">
        <v>322</v>
      </c>
      <c r="K266" s="2">
        <v>60.930799999999998</v>
      </c>
      <c r="L266" s="2">
        <v>328</v>
      </c>
      <c r="M266" s="2">
        <v>99.957599999999999</v>
      </c>
      <c r="N266" s="2">
        <v>218</v>
      </c>
      <c r="O266" s="2">
        <v>98.961200000000005</v>
      </c>
      <c r="P266" s="2">
        <v>241</v>
      </c>
      <c r="Q266" s="2">
        <v>105.5526</v>
      </c>
      <c r="R266" s="2">
        <v>253</v>
      </c>
      <c r="S266" s="2">
        <v>107.1322</v>
      </c>
      <c r="T266" s="2">
        <v>271</v>
      </c>
      <c r="U266" s="2">
        <v>0.28651599999999999</v>
      </c>
      <c r="V266" s="2">
        <v>265</v>
      </c>
      <c r="W266" s="2">
        <v>2015</v>
      </c>
    </row>
    <row r="267" spans="1:23" ht="12.3" x14ac:dyDescent="0.4">
      <c r="A267" s="2" t="s">
        <v>22</v>
      </c>
      <c r="B267" s="2"/>
      <c r="C267" s="2"/>
      <c r="D267" s="2"/>
      <c r="E267" s="2"/>
      <c r="F267" s="2"/>
      <c r="G267" s="2"/>
      <c r="H267" s="2"/>
      <c r="I267" s="2">
        <v>60.738900000000001</v>
      </c>
      <c r="J267" s="2">
        <v>333</v>
      </c>
      <c r="K267" s="2">
        <v>61.953000000000003</v>
      </c>
      <c r="L267" s="2">
        <v>301</v>
      </c>
      <c r="M267" s="2">
        <v>95.199200000000005</v>
      </c>
      <c r="N267" s="2">
        <v>299</v>
      </c>
      <c r="O267" s="2">
        <v>96.073099999999997</v>
      </c>
      <c r="P267" s="2">
        <v>290</v>
      </c>
      <c r="Q267" s="2">
        <v>105.81870000000001</v>
      </c>
      <c r="R267" s="2">
        <v>258</v>
      </c>
      <c r="S267" s="2">
        <v>104.03619999999999</v>
      </c>
      <c r="T267" s="2">
        <v>202</v>
      </c>
      <c r="U267" s="2">
        <v>0.28582800000000003</v>
      </c>
      <c r="V267" s="2">
        <v>266</v>
      </c>
      <c r="W267" s="2">
        <v>2015</v>
      </c>
    </row>
    <row r="268" spans="1:23" ht="12.3" x14ac:dyDescent="0.4">
      <c r="A268" s="2" t="s">
        <v>300</v>
      </c>
      <c r="B268" s="2"/>
      <c r="C268" s="2"/>
      <c r="D268" s="2"/>
      <c r="E268" s="2"/>
      <c r="F268" s="2"/>
      <c r="G268" s="2"/>
      <c r="H268" s="2"/>
      <c r="I268" s="2">
        <v>61.158900000000003</v>
      </c>
      <c r="J268" s="2">
        <v>324</v>
      </c>
      <c r="K268" s="2">
        <v>61.4816</v>
      </c>
      <c r="L268" s="2">
        <v>318</v>
      </c>
      <c r="M268" s="2">
        <v>99.585700000000003</v>
      </c>
      <c r="N268" s="2">
        <v>231</v>
      </c>
      <c r="O268" s="2">
        <v>97.225999999999999</v>
      </c>
      <c r="P268" s="2">
        <v>269</v>
      </c>
      <c r="Q268" s="2">
        <v>106.3228</v>
      </c>
      <c r="R268" s="2">
        <v>267</v>
      </c>
      <c r="S268" s="2">
        <v>105.2903</v>
      </c>
      <c r="T268" s="2">
        <v>229</v>
      </c>
      <c r="U268" s="2">
        <v>0.28570000000000001</v>
      </c>
      <c r="V268" s="2">
        <v>267</v>
      </c>
      <c r="W268" s="2">
        <v>2015</v>
      </c>
    </row>
    <row r="269" spans="1:23" ht="12.3" x14ac:dyDescent="0.4">
      <c r="A269" s="2" t="s">
        <v>260</v>
      </c>
      <c r="B269" s="2"/>
      <c r="C269" s="2"/>
      <c r="D269" s="2"/>
      <c r="E269" s="2"/>
      <c r="F269" s="2"/>
      <c r="G269" s="2"/>
      <c r="H269" s="2"/>
      <c r="I269" s="2">
        <v>65.433400000000006</v>
      </c>
      <c r="J269" s="2">
        <v>145</v>
      </c>
      <c r="K269" s="2">
        <v>65.322800000000001</v>
      </c>
      <c r="L269" s="2">
        <v>145</v>
      </c>
      <c r="M269" s="2">
        <v>94.008399999999995</v>
      </c>
      <c r="N269" s="2">
        <v>308</v>
      </c>
      <c r="O269" s="2">
        <v>94.536000000000001</v>
      </c>
      <c r="P269" s="2">
        <v>312</v>
      </c>
      <c r="Q269" s="2">
        <v>100.47490000000001</v>
      </c>
      <c r="R269" s="2">
        <v>134</v>
      </c>
      <c r="S269" s="2">
        <v>102.4408</v>
      </c>
      <c r="T269" s="2">
        <v>172</v>
      </c>
      <c r="U269" s="2">
        <v>0.28424500000000003</v>
      </c>
      <c r="V269" s="2">
        <v>268</v>
      </c>
      <c r="W269" s="2">
        <v>2015</v>
      </c>
    </row>
    <row r="270" spans="1:23" ht="12.3" x14ac:dyDescent="0.4">
      <c r="A270" s="2" t="s">
        <v>170</v>
      </c>
      <c r="B270" s="2"/>
      <c r="C270" s="2"/>
      <c r="D270" s="2"/>
      <c r="E270" s="2"/>
      <c r="F270" s="2"/>
      <c r="G270" s="2"/>
      <c r="H270" s="2"/>
      <c r="I270" s="2">
        <v>64.246200000000002</v>
      </c>
      <c r="J270" s="2">
        <v>206</v>
      </c>
      <c r="K270" s="2">
        <v>63.351399999999998</v>
      </c>
      <c r="L270" s="2">
        <v>255</v>
      </c>
      <c r="M270" s="2">
        <v>100.9087</v>
      </c>
      <c r="N270" s="2">
        <v>199</v>
      </c>
      <c r="O270" s="2">
        <v>97.7346</v>
      </c>
      <c r="P270" s="2">
        <v>258</v>
      </c>
      <c r="Q270" s="2">
        <v>106.66030000000001</v>
      </c>
      <c r="R270" s="2">
        <v>277</v>
      </c>
      <c r="S270" s="2">
        <v>105.92740000000001</v>
      </c>
      <c r="T270" s="2">
        <v>241</v>
      </c>
      <c r="U270" s="2">
        <v>0.28379100000000002</v>
      </c>
      <c r="V270" s="2">
        <v>269</v>
      </c>
      <c r="W270" s="2">
        <v>2015</v>
      </c>
    </row>
    <row r="271" spans="1:23" ht="12.3" x14ac:dyDescent="0.4">
      <c r="A271" s="2" t="s">
        <v>253</v>
      </c>
      <c r="B271" s="2"/>
      <c r="C271" s="2"/>
      <c r="D271" s="2"/>
      <c r="E271" s="2"/>
      <c r="F271" s="2"/>
      <c r="G271" s="2"/>
      <c r="H271" s="2"/>
      <c r="I271" s="2">
        <v>66.474100000000007</v>
      </c>
      <c r="J271" s="2">
        <v>97</v>
      </c>
      <c r="K271" s="2">
        <v>65.826999999999998</v>
      </c>
      <c r="L271" s="2">
        <v>121</v>
      </c>
      <c r="M271" s="2">
        <v>95.525099999999995</v>
      </c>
      <c r="N271" s="2">
        <v>296</v>
      </c>
      <c r="O271" s="2">
        <v>97.370400000000004</v>
      </c>
      <c r="P271" s="2">
        <v>266</v>
      </c>
      <c r="Q271" s="2">
        <v>105.15179999999999</v>
      </c>
      <c r="R271" s="2">
        <v>241</v>
      </c>
      <c r="S271" s="2">
        <v>105.58280000000001</v>
      </c>
      <c r="T271" s="2">
        <v>235</v>
      </c>
      <c r="U271" s="2">
        <v>0.28268300000000002</v>
      </c>
      <c r="V271" s="2">
        <v>270</v>
      </c>
      <c r="W271" s="2">
        <v>2015</v>
      </c>
    </row>
    <row r="272" spans="1:23" ht="12.3" x14ac:dyDescent="0.4">
      <c r="A272" s="2" t="s">
        <v>381</v>
      </c>
      <c r="B272" s="2"/>
      <c r="C272" s="2"/>
      <c r="D272" s="2"/>
      <c r="E272" s="2"/>
      <c r="F272" s="2"/>
      <c r="G272" s="2"/>
      <c r="H272" s="2"/>
      <c r="I272" s="2">
        <v>63.989199999999997</v>
      </c>
      <c r="J272" s="2">
        <v>226</v>
      </c>
      <c r="K272" s="2">
        <v>64.775599999999997</v>
      </c>
      <c r="L272" s="2">
        <v>165</v>
      </c>
      <c r="M272" s="2">
        <v>106.5008</v>
      </c>
      <c r="N272" s="2">
        <v>76</v>
      </c>
      <c r="O272" s="2">
        <v>105.259</v>
      </c>
      <c r="P272" s="2">
        <v>106</v>
      </c>
      <c r="Q272" s="2">
        <v>107.4695</v>
      </c>
      <c r="R272" s="2">
        <v>292</v>
      </c>
      <c r="S272" s="2">
        <v>114.1506</v>
      </c>
      <c r="T272" s="2">
        <v>342</v>
      </c>
      <c r="U272" s="2">
        <v>0.28240100000000001</v>
      </c>
      <c r="V272" s="2">
        <v>271</v>
      </c>
      <c r="W272" s="2">
        <v>2015</v>
      </c>
    </row>
    <row r="273" spans="1:23" ht="12.3" x14ac:dyDescent="0.4">
      <c r="A273" s="2" t="s">
        <v>338</v>
      </c>
      <c r="B273" s="2"/>
      <c r="C273" s="2"/>
      <c r="D273" s="2"/>
      <c r="E273" s="2"/>
      <c r="F273" s="2"/>
      <c r="G273" s="2"/>
      <c r="H273" s="2"/>
      <c r="I273" s="2">
        <v>65.971699999999998</v>
      </c>
      <c r="J273" s="2">
        <v>120</v>
      </c>
      <c r="K273" s="2">
        <v>65.217200000000005</v>
      </c>
      <c r="L273" s="2">
        <v>149</v>
      </c>
      <c r="M273" s="2">
        <v>94.244900000000001</v>
      </c>
      <c r="N273" s="2">
        <v>306</v>
      </c>
      <c r="O273" s="2">
        <v>92.930800000000005</v>
      </c>
      <c r="P273" s="2">
        <v>320</v>
      </c>
      <c r="Q273" s="2">
        <v>96.593199999999996</v>
      </c>
      <c r="R273" s="2">
        <v>61</v>
      </c>
      <c r="S273" s="2">
        <v>100.782</v>
      </c>
      <c r="T273" s="2">
        <v>135</v>
      </c>
      <c r="U273" s="2">
        <v>0.28237699999999999</v>
      </c>
      <c r="V273" s="2">
        <v>272</v>
      </c>
      <c r="W273" s="2">
        <v>2015</v>
      </c>
    </row>
    <row r="274" spans="1:23" ht="12.3" x14ac:dyDescent="0.4">
      <c r="A274" s="2" t="s">
        <v>145</v>
      </c>
      <c r="B274" s="2"/>
      <c r="C274" s="2"/>
      <c r="D274" s="2"/>
      <c r="E274" s="2"/>
      <c r="F274" s="2"/>
      <c r="G274" s="2"/>
      <c r="H274" s="2"/>
      <c r="I274" s="2">
        <v>63.461199999999998</v>
      </c>
      <c r="J274" s="2">
        <v>252</v>
      </c>
      <c r="K274" s="2">
        <v>64.434600000000003</v>
      </c>
      <c r="L274" s="2">
        <v>188</v>
      </c>
      <c r="M274" s="2">
        <v>93.647599999999997</v>
      </c>
      <c r="N274" s="2">
        <v>315</v>
      </c>
      <c r="O274" s="2">
        <v>95.714299999999994</v>
      </c>
      <c r="P274" s="2">
        <v>298</v>
      </c>
      <c r="Q274" s="2">
        <v>104.9014</v>
      </c>
      <c r="R274" s="2">
        <v>235</v>
      </c>
      <c r="S274" s="2">
        <v>103.8916</v>
      </c>
      <c r="T274" s="2">
        <v>200</v>
      </c>
      <c r="U274" s="2">
        <v>0.28034199999999998</v>
      </c>
      <c r="V274" s="2">
        <v>273</v>
      </c>
      <c r="W274" s="2">
        <v>2015</v>
      </c>
    </row>
    <row r="275" spans="1:23" ht="12.3" x14ac:dyDescent="0.4">
      <c r="A275" s="2" t="s">
        <v>198</v>
      </c>
      <c r="B275" s="2"/>
      <c r="C275" s="2"/>
      <c r="D275" s="2"/>
      <c r="E275" s="2"/>
      <c r="F275" s="2"/>
      <c r="G275" s="2"/>
      <c r="H275" s="2"/>
      <c r="I275" s="2">
        <v>65.618099999999998</v>
      </c>
      <c r="J275" s="2">
        <v>136</v>
      </c>
      <c r="K275" s="2">
        <v>65.441699999999997</v>
      </c>
      <c r="L275" s="2">
        <v>138</v>
      </c>
      <c r="M275" s="2">
        <v>97.119799999999998</v>
      </c>
      <c r="N275" s="2">
        <v>271</v>
      </c>
      <c r="O275" s="2">
        <v>98.877600000000001</v>
      </c>
      <c r="P275" s="2">
        <v>244</v>
      </c>
      <c r="Q275" s="2">
        <v>107.5761</v>
      </c>
      <c r="R275" s="2">
        <v>294</v>
      </c>
      <c r="S275" s="2">
        <v>107.3681</v>
      </c>
      <c r="T275" s="2">
        <v>273</v>
      </c>
      <c r="U275" s="2">
        <v>0.27941199999999999</v>
      </c>
      <c r="V275" s="2">
        <v>274</v>
      </c>
      <c r="W275" s="2">
        <v>2015</v>
      </c>
    </row>
    <row r="276" spans="1:23" ht="12.3" x14ac:dyDescent="0.4">
      <c r="A276" s="2" t="s">
        <v>144</v>
      </c>
      <c r="B276" s="2"/>
      <c r="C276" s="2"/>
      <c r="D276" s="2"/>
      <c r="E276" s="2"/>
      <c r="F276" s="2"/>
      <c r="G276" s="2"/>
      <c r="H276" s="2"/>
      <c r="I276" s="2">
        <v>64.736099999999993</v>
      </c>
      <c r="J276" s="2">
        <v>178</v>
      </c>
      <c r="K276" s="2">
        <v>64.747600000000006</v>
      </c>
      <c r="L276" s="2">
        <v>167</v>
      </c>
      <c r="M276" s="2">
        <v>97.852000000000004</v>
      </c>
      <c r="N276" s="2">
        <v>264</v>
      </c>
      <c r="O276" s="2">
        <v>100.45059999999999</v>
      </c>
      <c r="P276" s="2">
        <v>215</v>
      </c>
      <c r="Q276" s="2">
        <v>109.52809999999999</v>
      </c>
      <c r="R276" s="2">
        <v>318</v>
      </c>
      <c r="S276" s="2">
        <v>109.1075</v>
      </c>
      <c r="T276" s="2">
        <v>307</v>
      </c>
      <c r="U276" s="2">
        <v>0.27875</v>
      </c>
      <c r="V276" s="2">
        <v>275</v>
      </c>
      <c r="W276" s="2">
        <v>2015</v>
      </c>
    </row>
    <row r="277" spans="1:23" ht="12.3" x14ac:dyDescent="0.4">
      <c r="A277" s="2" t="s">
        <v>127</v>
      </c>
      <c r="B277" s="2"/>
      <c r="C277" s="2"/>
      <c r="D277" s="2"/>
      <c r="E277" s="2"/>
      <c r="F277" s="2"/>
      <c r="G277" s="2"/>
      <c r="H277" s="2"/>
      <c r="I277" s="2">
        <v>66.706699999999998</v>
      </c>
      <c r="J277" s="2">
        <v>86</v>
      </c>
      <c r="K277" s="2">
        <v>65.9435</v>
      </c>
      <c r="L277" s="2">
        <v>115</v>
      </c>
      <c r="M277" s="2">
        <v>101.1036</v>
      </c>
      <c r="N277" s="2">
        <v>193</v>
      </c>
      <c r="O277" s="2">
        <v>97.871700000000004</v>
      </c>
      <c r="P277" s="2">
        <v>257</v>
      </c>
      <c r="Q277" s="2">
        <v>106.771</v>
      </c>
      <c r="R277" s="2">
        <v>280</v>
      </c>
      <c r="S277" s="2">
        <v>106.47190000000001</v>
      </c>
      <c r="T277" s="2">
        <v>257</v>
      </c>
      <c r="U277" s="2">
        <v>0.27516600000000002</v>
      </c>
      <c r="V277" s="2">
        <v>276</v>
      </c>
      <c r="W277" s="2">
        <v>2015</v>
      </c>
    </row>
    <row r="278" spans="1:23" ht="12.3" x14ac:dyDescent="0.4">
      <c r="A278" s="2" t="s">
        <v>196</v>
      </c>
      <c r="B278" s="2"/>
      <c r="C278" s="2"/>
      <c r="D278" s="2"/>
      <c r="E278" s="2"/>
      <c r="F278" s="2"/>
      <c r="G278" s="2"/>
      <c r="H278" s="2"/>
      <c r="I278" s="2">
        <v>66.928700000000006</v>
      </c>
      <c r="J278" s="2">
        <v>77</v>
      </c>
      <c r="K278" s="2">
        <v>66.293800000000005</v>
      </c>
      <c r="L278" s="2">
        <v>98</v>
      </c>
      <c r="M278" s="2">
        <v>104.0831</v>
      </c>
      <c r="N278" s="2">
        <v>122</v>
      </c>
      <c r="O278" s="2">
        <v>102.9391</v>
      </c>
      <c r="P278" s="2">
        <v>150</v>
      </c>
      <c r="Q278" s="2">
        <v>109.9513</v>
      </c>
      <c r="R278" s="2">
        <v>323</v>
      </c>
      <c r="S278" s="2">
        <v>112.0898</v>
      </c>
      <c r="T278" s="2">
        <v>334</v>
      </c>
      <c r="U278" s="2">
        <v>0.27301700000000001</v>
      </c>
      <c r="V278" s="2">
        <v>277</v>
      </c>
      <c r="W278" s="2">
        <v>2015</v>
      </c>
    </row>
    <row r="279" spans="1:23" ht="12.3" x14ac:dyDescent="0.4">
      <c r="A279" s="2" t="s">
        <v>245</v>
      </c>
      <c r="B279" s="2"/>
      <c r="C279" s="2"/>
      <c r="D279" s="2"/>
      <c r="E279" s="2"/>
      <c r="F279" s="2"/>
      <c r="G279" s="2"/>
      <c r="H279" s="2"/>
      <c r="I279" s="2">
        <v>60.985500000000002</v>
      </c>
      <c r="J279" s="2">
        <v>328</v>
      </c>
      <c r="K279" s="2">
        <v>62.363900000000001</v>
      </c>
      <c r="L279" s="2">
        <v>291</v>
      </c>
      <c r="M279" s="2">
        <v>90.8005</v>
      </c>
      <c r="N279" s="2">
        <v>339</v>
      </c>
      <c r="O279" s="2">
        <v>91.034199999999998</v>
      </c>
      <c r="P279" s="2">
        <v>336</v>
      </c>
      <c r="Q279" s="2">
        <v>100.4344</v>
      </c>
      <c r="R279" s="2">
        <v>133</v>
      </c>
      <c r="S279" s="2">
        <v>99.140199999999993</v>
      </c>
      <c r="T279" s="2">
        <v>105</v>
      </c>
      <c r="U279" s="2">
        <v>0.272704</v>
      </c>
      <c r="V279" s="2">
        <v>278</v>
      </c>
      <c r="W279" s="2">
        <v>2015</v>
      </c>
    </row>
    <row r="280" spans="1:23" ht="12.3" x14ac:dyDescent="0.4">
      <c r="A280" s="2" t="s">
        <v>291</v>
      </c>
      <c r="B280" s="2"/>
      <c r="C280" s="2"/>
      <c r="D280" s="2"/>
      <c r="E280" s="2"/>
      <c r="F280" s="2"/>
      <c r="G280" s="2"/>
      <c r="H280" s="2"/>
      <c r="I280" s="2">
        <v>62.732599999999998</v>
      </c>
      <c r="J280" s="2">
        <v>283</v>
      </c>
      <c r="K280" s="2">
        <v>62.8874</v>
      </c>
      <c r="L280" s="2">
        <v>272</v>
      </c>
      <c r="M280" s="2">
        <v>97.672399999999996</v>
      </c>
      <c r="N280" s="2">
        <v>267</v>
      </c>
      <c r="O280" s="2">
        <v>100.74679999999999</v>
      </c>
      <c r="P280" s="2">
        <v>202</v>
      </c>
      <c r="Q280" s="2">
        <v>112.7184</v>
      </c>
      <c r="R280" s="2">
        <v>345</v>
      </c>
      <c r="S280" s="2">
        <v>109.9572</v>
      </c>
      <c r="T280" s="2">
        <v>318</v>
      </c>
      <c r="U280" s="2">
        <v>0.26775900000000002</v>
      </c>
      <c r="V280" s="2">
        <v>279</v>
      </c>
      <c r="W280" s="2">
        <v>2015</v>
      </c>
    </row>
    <row r="281" spans="1:23" ht="12.3" x14ac:dyDescent="0.4">
      <c r="A281" s="2" t="s">
        <v>177</v>
      </c>
      <c r="B281" s="2"/>
      <c r="C281" s="2"/>
      <c r="D281" s="2"/>
      <c r="E281" s="2"/>
      <c r="F281" s="2"/>
      <c r="G281" s="2"/>
      <c r="H281" s="2"/>
      <c r="I281" s="2">
        <v>64.020200000000003</v>
      </c>
      <c r="J281" s="2">
        <v>223</v>
      </c>
      <c r="K281" s="2">
        <v>64.6541</v>
      </c>
      <c r="L281" s="2">
        <v>173</v>
      </c>
      <c r="M281" s="2">
        <v>99.945300000000003</v>
      </c>
      <c r="N281" s="2">
        <v>220</v>
      </c>
      <c r="O281" s="2">
        <v>100.5021</v>
      </c>
      <c r="P281" s="2">
        <v>213</v>
      </c>
      <c r="Q281" s="2">
        <v>109.45910000000001</v>
      </c>
      <c r="R281" s="2">
        <v>317</v>
      </c>
      <c r="S281" s="2">
        <v>109.7428</v>
      </c>
      <c r="T281" s="2">
        <v>316</v>
      </c>
      <c r="U281" s="2">
        <v>0.26667600000000002</v>
      </c>
      <c r="V281" s="2">
        <v>280</v>
      </c>
      <c r="W281" s="2">
        <v>2015</v>
      </c>
    </row>
    <row r="282" spans="1:23" ht="12.3" x14ac:dyDescent="0.4">
      <c r="A282" s="2" t="s">
        <v>317</v>
      </c>
      <c r="B282" s="2"/>
      <c r="C282" s="2"/>
      <c r="D282" s="2"/>
      <c r="E282" s="2"/>
      <c r="F282" s="2"/>
      <c r="G282" s="2"/>
      <c r="H282" s="2"/>
      <c r="I282" s="2">
        <v>67.752700000000004</v>
      </c>
      <c r="J282" s="2">
        <v>51</v>
      </c>
      <c r="K282" s="2">
        <v>67.696299999999994</v>
      </c>
      <c r="L282" s="2">
        <v>42</v>
      </c>
      <c r="M282" s="2">
        <v>103.6228</v>
      </c>
      <c r="N282" s="2">
        <v>136</v>
      </c>
      <c r="O282" s="2">
        <v>103.73779999999999</v>
      </c>
      <c r="P282" s="2">
        <v>132</v>
      </c>
      <c r="Q282" s="2">
        <v>112.3669</v>
      </c>
      <c r="R282" s="2">
        <v>342</v>
      </c>
      <c r="S282" s="2">
        <v>113.3163</v>
      </c>
      <c r="T282" s="2">
        <v>339</v>
      </c>
      <c r="U282" s="2">
        <v>0.265878</v>
      </c>
      <c r="V282" s="2">
        <v>281</v>
      </c>
      <c r="W282" s="2">
        <v>2015</v>
      </c>
    </row>
    <row r="283" spans="1:23" ht="12.3" x14ac:dyDescent="0.4">
      <c r="A283" s="2" t="s">
        <v>107</v>
      </c>
      <c r="B283" s="2"/>
      <c r="C283" s="2"/>
      <c r="D283" s="2"/>
      <c r="E283" s="2"/>
      <c r="F283" s="2"/>
      <c r="G283" s="2"/>
      <c r="H283" s="2"/>
      <c r="I283" s="2">
        <v>65.600899999999996</v>
      </c>
      <c r="J283" s="2">
        <v>138</v>
      </c>
      <c r="K283" s="2">
        <v>63.188600000000001</v>
      </c>
      <c r="L283" s="2">
        <v>264</v>
      </c>
      <c r="M283" s="2">
        <v>102.151</v>
      </c>
      <c r="N283" s="2">
        <v>175</v>
      </c>
      <c r="O283" s="2">
        <v>100.13979999999999</v>
      </c>
      <c r="P283" s="2">
        <v>222</v>
      </c>
      <c r="Q283" s="2">
        <v>109.1062</v>
      </c>
      <c r="R283" s="2">
        <v>313</v>
      </c>
      <c r="S283" s="2">
        <v>109.4769</v>
      </c>
      <c r="T283" s="2">
        <v>312</v>
      </c>
      <c r="U283" s="2">
        <v>0.26401799999999997</v>
      </c>
      <c r="V283" s="2">
        <v>282</v>
      </c>
      <c r="W283" s="2">
        <v>2015</v>
      </c>
    </row>
    <row r="284" spans="1:23" ht="12.3" x14ac:dyDescent="0.4">
      <c r="A284" s="2" t="s">
        <v>105</v>
      </c>
      <c r="B284" s="2"/>
      <c r="C284" s="2"/>
      <c r="D284" s="2"/>
      <c r="E284" s="2"/>
      <c r="F284" s="2"/>
      <c r="G284" s="2"/>
      <c r="H284" s="2"/>
      <c r="I284" s="2">
        <v>61.7181</v>
      </c>
      <c r="J284" s="2">
        <v>312</v>
      </c>
      <c r="K284" s="2">
        <v>61.351599999999998</v>
      </c>
      <c r="L284" s="2">
        <v>319</v>
      </c>
      <c r="M284" s="2">
        <v>94.658900000000003</v>
      </c>
      <c r="N284" s="2">
        <v>303</v>
      </c>
      <c r="O284" s="2">
        <v>94.646500000000003</v>
      </c>
      <c r="P284" s="2">
        <v>308</v>
      </c>
      <c r="Q284" s="2">
        <v>103.71120000000001</v>
      </c>
      <c r="R284" s="2">
        <v>206</v>
      </c>
      <c r="S284" s="2">
        <v>103.5275</v>
      </c>
      <c r="T284" s="2">
        <v>192</v>
      </c>
      <c r="U284" s="2">
        <v>0.26280999999999999</v>
      </c>
      <c r="V284" s="2">
        <v>283</v>
      </c>
      <c r="W284" s="2">
        <v>2015</v>
      </c>
    </row>
    <row r="285" spans="1:23" ht="12.3" x14ac:dyDescent="0.4">
      <c r="A285" s="2" t="s">
        <v>343</v>
      </c>
      <c r="B285" s="2"/>
      <c r="C285" s="2"/>
      <c r="D285" s="2"/>
      <c r="E285" s="2"/>
      <c r="F285" s="2"/>
      <c r="G285" s="2"/>
      <c r="H285" s="2"/>
      <c r="I285" s="2">
        <v>68.137</v>
      </c>
      <c r="J285" s="2">
        <v>40</v>
      </c>
      <c r="K285" s="2">
        <v>67.825299999999999</v>
      </c>
      <c r="L285" s="2">
        <v>37</v>
      </c>
      <c r="M285" s="2">
        <v>96.564800000000005</v>
      </c>
      <c r="N285" s="2">
        <v>281</v>
      </c>
      <c r="O285" s="2">
        <v>95.206299999999999</v>
      </c>
      <c r="P285" s="2">
        <v>305</v>
      </c>
      <c r="Q285" s="2">
        <v>102.0838</v>
      </c>
      <c r="R285" s="2">
        <v>170</v>
      </c>
      <c r="S285" s="2">
        <v>104.32559999999999</v>
      </c>
      <c r="T285" s="2">
        <v>208</v>
      </c>
      <c r="U285" s="2">
        <v>0.258857</v>
      </c>
      <c r="V285" s="2">
        <v>284</v>
      </c>
      <c r="W285" s="2">
        <v>2015</v>
      </c>
    </row>
    <row r="286" spans="1:23" ht="12.3" x14ac:dyDescent="0.4">
      <c r="A286" s="2" t="s">
        <v>356</v>
      </c>
      <c r="B286" s="2"/>
      <c r="C286" s="2"/>
      <c r="D286" s="2"/>
      <c r="E286" s="2"/>
      <c r="F286" s="2"/>
      <c r="G286" s="2"/>
      <c r="H286" s="2"/>
      <c r="I286" s="2">
        <v>65.947500000000005</v>
      </c>
      <c r="J286" s="2">
        <v>122</v>
      </c>
      <c r="K286" s="2">
        <v>65.123900000000006</v>
      </c>
      <c r="L286" s="2">
        <v>152</v>
      </c>
      <c r="M286" s="2">
        <v>99.152699999999996</v>
      </c>
      <c r="N286" s="2">
        <v>243</v>
      </c>
      <c r="O286" s="2">
        <v>97.916899999999998</v>
      </c>
      <c r="P286" s="2">
        <v>256</v>
      </c>
      <c r="Q286" s="2">
        <v>104.4697</v>
      </c>
      <c r="R286" s="2">
        <v>224</v>
      </c>
      <c r="S286" s="2">
        <v>107.39660000000001</v>
      </c>
      <c r="T286" s="2">
        <v>275</v>
      </c>
      <c r="U286" s="2">
        <v>0.25679400000000002</v>
      </c>
      <c r="V286" s="2">
        <v>285</v>
      </c>
      <c r="W286" s="2">
        <v>2015</v>
      </c>
    </row>
    <row r="287" spans="1:23" ht="12.3" x14ac:dyDescent="0.4">
      <c r="A287" s="2" t="s">
        <v>208</v>
      </c>
      <c r="B287" s="2"/>
      <c r="C287" s="2"/>
      <c r="D287" s="2"/>
      <c r="E287" s="2"/>
      <c r="F287" s="2"/>
      <c r="G287" s="2"/>
      <c r="H287" s="2"/>
      <c r="I287" s="2">
        <v>66.914199999999994</v>
      </c>
      <c r="J287" s="2">
        <v>78</v>
      </c>
      <c r="K287" s="2">
        <v>66.770899999999997</v>
      </c>
      <c r="L287" s="2">
        <v>74</v>
      </c>
      <c r="M287" s="2">
        <v>102.3492</v>
      </c>
      <c r="N287" s="2">
        <v>169</v>
      </c>
      <c r="O287" s="2">
        <v>100.539</v>
      </c>
      <c r="P287" s="2">
        <v>209</v>
      </c>
      <c r="Q287" s="2">
        <v>108.014</v>
      </c>
      <c r="R287" s="2">
        <v>301</v>
      </c>
      <c r="S287" s="2">
        <v>110.29519999999999</v>
      </c>
      <c r="T287" s="2">
        <v>321</v>
      </c>
      <c r="U287" s="2">
        <v>0.25634200000000001</v>
      </c>
      <c r="V287" s="2">
        <v>286</v>
      </c>
      <c r="W287" s="2">
        <v>2015</v>
      </c>
    </row>
    <row r="288" spans="1:23" ht="12.3" x14ac:dyDescent="0.4">
      <c r="A288" s="2" t="s">
        <v>103</v>
      </c>
      <c r="B288" s="2"/>
      <c r="C288" s="2"/>
      <c r="D288" s="2"/>
      <c r="E288" s="2"/>
      <c r="F288" s="2"/>
      <c r="G288" s="2"/>
      <c r="H288" s="2"/>
      <c r="I288" s="2">
        <v>63.959299999999999</v>
      </c>
      <c r="J288" s="2">
        <v>228</v>
      </c>
      <c r="K288" s="2">
        <v>64.049300000000002</v>
      </c>
      <c r="L288" s="2">
        <v>206</v>
      </c>
      <c r="M288" s="2">
        <v>94.516999999999996</v>
      </c>
      <c r="N288" s="2">
        <v>305</v>
      </c>
      <c r="O288" s="2">
        <v>96.926500000000004</v>
      </c>
      <c r="P288" s="2">
        <v>273</v>
      </c>
      <c r="Q288" s="2">
        <v>106.44070000000001</v>
      </c>
      <c r="R288" s="2">
        <v>271</v>
      </c>
      <c r="S288" s="2">
        <v>106.49590000000001</v>
      </c>
      <c r="T288" s="2">
        <v>258</v>
      </c>
      <c r="U288" s="2">
        <v>0.25298399999999999</v>
      </c>
      <c r="V288" s="2">
        <v>287</v>
      </c>
      <c r="W288" s="2">
        <v>2015</v>
      </c>
    </row>
    <row r="289" spans="1:23" ht="12.3" x14ac:dyDescent="0.4">
      <c r="A289" s="2" t="s">
        <v>191</v>
      </c>
      <c r="B289" s="2"/>
      <c r="C289" s="2"/>
      <c r="D289" s="2"/>
      <c r="E289" s="2"/>
      <c r="F289" s="2"/>
      <c r="G289" s="2"/>
      <c r="H289" s="2"/>
      <c r="I289" s="2">
        <v>64.014499999999998</v>
      </c>
      <c r="J289" s="2">
        <v>224</v>
      </c>
      <c r="K289" s="2">
        <v>63.6892</v>
      </c>
      <c r="L289" s="2">
        <v>237</v>
      </c>
      <c r="M289" s="2">
        <v>98.364800000000002</v>
      </c>
      <c r="N289" s="2">
        <v>254</v>
      </c>
      <c r="O289" s="2">
        <v>96.391999999999996</v>
      </c>
      <c r="P289" s="2">
        <v>284</v>
      </c>
      <c r="Q289" s="2">
        <v>103.32089999999999</v>
      </c>
      <c r="R289" s="2">
        <v>196</v>
      </c>
      <c r="S289" s="2">
        <v>106.1579</v>
      </c>
      <c r="T289" s="2">
        <v>247</v>
      </c>
      <c r="U289" s="2">
        <v>0.24790899999999999</v>
      </c>
      <c r="V289" s="2">
        <v>288</v>
      </c>
      <c r="W289" s="2">
        <v>2015</v>
      </c>
    </row>
    <row r="290" spans="1:23" ht="12.3" x14ac:dyDescent="0.4">
      <c r="A290" s="2" t="s">
        <v>77</v>
      </c>
      <c r="B290" s="2"/>
      <c r="C290" s="2"/>
      <c r="D290" s="2"/>
      <c r="E290" s="2"/>
      <c r="F290" s="2"/>
      <c r="G290" s="2"/>
      <c r="H290" s="2"/>
      <c r="I290" s="2">
        <v>63.177300000000002</v>
      </c>
      <c r="J290" s="2">
        <v>266</v>
      </c>
      <c r="K290" s="2">
        <v>63.428400000000003</v>
      </c>
      <c r="L290" s="2">
        <v>253</v>
      </c>
      <c r="M290" s="2">
        <v>94.579099999999997</v>
      </c>
      <c r="N290" s="2">
        <v>304</v>
      </c>
      <c r="O290" s="2">
        <v>96.085999999999999</v>
      </c>
      <c r="P290" s="2">
        <v>289</v>
      </c>
      <c r="Q290" s="2">
        <v>106.0915</v>
      </c>
      <c r="R290" s="2">
        <v>264</v>
      </c>
      <c r="S290" s="2">
        <v>105.9088</v>
      </c>
      <c r="T290" s="2">
        <v>240</v>
      </c>
      <c r="U290" s="2">
        <v>0.24613199999999999</v>
      </c>
      <c r="V290" s="2">
        <v>289</v>
      </c>
      <c r="W290" s="2">
        <v>2015</v>
      </c>
    </row>
    <row r="291" spans="1:23" ht="12.3" x14ac:dyDescent="0.4">
      <c r="A291" s="2" t="s">
        <v>337</v>
      </c>
      <c r="B291" s="2"/>
      <c r="C291" s="2"/>
      <c r="D291" s="2"/>
      <c r="E291" s="2"/>
      <c r="F291" s="2"/>
      <c r="G291" s="2"/>
      <c r="H291" s="2"/>
      <c r="I291" s="2">
        <v>68.645300000000006</v>
      </c>
      <c r="J291" s="2">
        <v>30</v>
      </c>
      <c r="K291" s="2">
        <v>68.331699999999998</v>
      </c>
      <c r="L291" s="2">
        <v>28</v>
      </c>
      <c r="M291" s="2">
        <v>101.414</v>
      </c>
      <c r="N291" s="2">
        <v>186</v>
      </c>
      <c r="O291" s="2">
        <v>99.272999999999996</v>
      </c>
      <c r="P291" s="2">
        <v>233</v>
      </c>
      <c r="Q291" s="2">
        <v>109.8152</v>
      </c>
      <c r="R291" s="2">
        <v>321</v>
      </c>
      <c r="S291" s="2">
        <v>109.4678</v>
      </c>
      <c r="T291" s="2">
        <v>311</v>
      </c>
      <c r="U291" s="2">
        <v>0.24523200000000001</v>
      </c>
      <c r="V291" s="2">
        <v>290</v>
      </c>
      <c r="W291" s="2">
        <v>2015</v>
      </c>
    </row>
    <row r="292" spans="1:23" ht="12.3" x14ac:dyDescent="0.4">
      <c r="A292" s="2" t="s">
        <v>199</v>
      </c>
      <c r="B292" s="2"/>
      <c r="C292" s="2"/>
      <c r="D292" s="2"/>
      <c r="E292" s="2"/>
      <c r="F292" s="2"/>
      <c r="G292" s="2"/>
      <c r="H292" s="2"/>
      <c r="I292" s="2">
        <v>64.023499999999999</v>
      </c>
      <c r="J292" s="2">
        <v>222</v>
      </c>
      <c r="K292" s="2">
        <v>63.8992</v>
      </c>
      <c r="L292" s="2">
        <v>223</v>
      </c>
      <c r="M292" s="2">
        <v>92.306200000000004</v>
      </c>
      <c r="N292" s="2">
        <v>329</v>
      </c>
      <c r="O292" s="2">
        <v>92.099599999999995</v>
      </c>
      <c r="P292" s="2">
        <v>329</v>
      </c>
      <c r="Q292" s="2">
        <v>101.893</v>
      </c>
      <c r="R292" s="2">
        <v>169</v>
      </c>
      <c r="S292" s="2">
        <v>101.6696</v>
      </c>
      <c r="T292" s="2">
        <v>152</v>
      </c>
      <c r="U292" s="2">
        <v>0.242898</v>
      </c>
      <c r="V292" s="2">
        <v>291</v>
      </c>
      <c r="W292" s="2">
        <v>2015</v>
      </c>
    </row>
    <row r="293" spans="1:23" ht="12.3" x14ac:dyDescent="0.4">
      <c r="A293" s="2" t="s">
        <v>194</v>
      </c>
      <c r="B293" s="2"/>
      <c r="C293" s="2"/>
      <c r="D293" s="2"/>
      <c r="E293" s="2"/>
      <c r="F293" s="2"/>
      <c r="G293" s="2"/>
      <c r="H293" s="2"/>
      <c r="I293" s="2">
        <v>65.4512</v>
      </c>
      <c r="J293" s="2">
        <v>143</v>
      </c>
      <c r="K293" s="2">
        <v>64.869699999999995</v>
      </c>
      <c r="L293" s="2">
        <v>161</v>
      </c>
      <c r="M293" s="2">
        <v>97.343599999999995</v>
      </c>
      <c r="N293" s="2">
        <v>270</v>
      </c>
      <c r="O293" s="2">
        <v>99.137299999999996</v>
      </c>
      <c r="P293" s="2">
        <v>234</v>
      </c>
      <c r="Q293" s="2">
        <v>108.434</v>
      </c>
      <c r="R293" s="2">
        <v>305</v>
      </c>
      <c r="S293" s="2">
        <v>109.5624</v>
      </c>
      <c r="T293" s="2">
        <v>313</v>
      </c>
      <c r="U293" s="2">
        <v>0.240512</v>
      </c>
      <c r="V293" s="2">
        <v>292</v>
      </c>
      <c r="W293" s="2">
        <v>2015</v>
      </c>
    </row>
    <row r="294" spans="1:23" ht="12.3" x14ac:dyDescent="0.4">
      <c r="A294" s="2" t="s">
        <v>295</v>
      </c>
      <c r="B294" s="2"/>
      <c r="C294" s="2"/>
      <c r="D294" s="2"/>
      <c r="E294" s="2"/>
      <c r="F294" s="2"/>
      <c r="G294" s="2"/>
      <c r="H294" s="2"/>
      <c r="I294" s="2">
        <v>63.214399999999998</v>
      </c>
      <c r="J294" s="2">
        <v>262</v>
      </c>
      <c r="K294" s="2">
        <v>63.768500000000003</v>
      </c>
      <c r="L294" s="2">
        <v>229</v>
      </c>
      <c r="M294" s="2">
        <v>95.878500000000003</v>
      </c>
      <c r="N294" s="2">
        <v>292</v>
      </c>
      <c r="O294" s="2">
        <v>95.778599999999997</v>
      </c>
      <c r="P294" s="2">
        <v>297</v>
      </c>
      <c r="Q294" s="2">
        <v>100.86239999999999</v>
      </c>
      <c r="R294" s="2">
        <v>146</v>
      </c>
      <c r="S294" s="2">
        <v>105.85080000000001</v>
      </c>
      <c r="T294" s="2">
        <v>239</v>
      </c>
      <c r="U294" s="2">
        <v>0.240508</v>
      </c>
      <c r="V294" s="2">
        <v>293</v>
      </c>
      <c r="W294" s="2">
        <v>2015</v>
      </c>
    </row>
    <row r="295" spans="1:23" ht="12.3" x14ac:dyDescent="0.4">
      <c r="A295" s="2" t="s">
        <v>116</v>
      </c>
      <c r="B295" s="2"/>
      <c r="C295" s="2"/>
      <c r="D295" s="2"/>
      <c r="E295" s="2"/>
      <c r="F295" s="2"/>
      <c r="G295" s="2"/>
      <c r="H295" s="2"/>
      <c r="I295" s="2">
        <v>63.579799999999999</v>
      </c>
      <c r="J295" s="2">
        <v>249</v>
      </c>
      <c r="K295" s="2">
        <v>63.529499999999999</v>
      </c>
      <c r="L295" s="2">
        <v>249</v>
      </c>
      <c r="M295" s="2">
        <v>92.134699999999995</v>
      </c>
      <c r="N295" s="2">
        <v>331</v>
      </c>
      <c r="O295" s="2">
        <v>93.260999999999996</v>
      </c>
      <c r="P295" s="2">
        <v>316</v>
      </c>
      <c r="Q295" s="2">
        <v>104.5176</v>
      </c>
      <c r="R295" s="2">
        <v>226</v>
      </c>
      <c r="S295" s="2">
        <v>103.39919999999999</v>
      </c>
      <c r="T295" s="2">
        <v>187</v>
      </c>
      <c r="U295" s="2">
        <v>0.23383999999999999</v>
      </c>
      <c r="V295" s="2">
        <v>294</v>
      </c>
      <c r="W295" s="2">
        <v>2015</v>
      </c>
    </row>
    <row r="296" spans="1:23" ht="12.3" x14ac:dyDescent="0.4">
      <c r="A296" s="2" t="s">
        <v>172</v>
      </c>
      <c r="B296" s="2"/>
      <c r="C296" s="2"/>
      <c r="D296" s="2"/>
      <c r="E296" s="2"/>
      <c r="F296" s="2"/>
      <c r="G296" s="2"/>
      <c r="H296" s="2"/>
      <c r="I296" s="2">
        <v>66.811300000000003</v>
      </c>
      <c r="J296" s="2">
        <v>81</v>
      </c>
      <c r="K296" s="2">
        <v>66.492699999999999</v>
      </c>
      <c r="L296" s="2">
        <v>90</v>
      </c>
      <c r="M296" s="2">
        <v>94.123900000000006</v>
      </c>
      <c r="N296" s="2">
        <v>307</v>
      </c>
      <c r="O296" s="2">
        <v>94.704899999999995</v>
      </c>
      <c r="P296" s="2">
        <v>307</v>
      </c>
      <c r="Q296" s="2">
        <v>103.2885</v>
      </c>
      <c r="R296" s="2">
        <v>194</v>
      </c>
      <c r="S296" s="2">
        <v>105.09529999999999</v>
      </c>
      <c r="T296" s="2">
        <v>225</v>
      </c>
      <c r="U296" s="2">
        <v>0.23197999999999999</v>
      </c>
      <c r="V296" s="2">
        <v>295</v>
      </c>
      <c r="W296" s="2">
        <v>2015</v>
      </c>
    </row>
    <row r="297" spans="1:23" ht="12.3" x14ac:dyDescent="0.4">
      <c r="A297" s="2" t="s">
        <v>218</v>
      </c>
      <c r="B297" s="2"/>
      <c r="C297" s="2"/>
      <c r="D297" s="2"/>
      <c r="E297" s="2"/>
      <c r="F297" s="2"/>
      <c r="G297" s="2"/>
      <c r="H297" s="2"/>
      <c r="I297" s="2">
        <v>64.4923</v>
      </c>
      <c r="J297" s="2">
        <v>192</v>
      </c>
      <c r="K297" s="2">
        <v>64.203000000000003</v>
      </c>
      <c r="L297" s="2">
        <v>199</v>
      </c>
      <c r="M297" s="2">
        <v>96.67</v>
      </c>
      <c r="N297" s="2">
        <v>278</v>
      </c>
      <c r="O297" s="2">
        <v>97.328999999999994</v>
      </c>
      <c r="P297" s="2">
        <v>268</v>
      </c>
      <c r="Q297" s="2">
        <v>105.2787</v>
      </c>
      <c r="R297" s="2">
        <v>246</v>
      </c>
      <c r="S297" s="2">
        <v>108.0543</v>
      </c>
      <c r="T297" s="2">
        <v>291</v>
      </c>
      <c r="U297" s="2">
        <v>0.23108699999999999</v>
      </c>
      <c r="V297" s="2">
        <v>296</v>
      </c>
      <c r="W297" s="2">
        <v>2015</v>
      </c>
    </row>
    <row r="298" spans="1:23" ht="12.3" x14ac:dyDescent="0.4">
      <c r="A298" s="2" t="s">
        <v>263</v>
      </c>
      <c r="B298" s="2"/>
      <c r="C298" s="2"/>
      <c r="D298" s="2"/>
      <c r="E298" s="2"/>
      <c r="F298" s="2"/>
      <c r="G298" s="2"/>
      <c r="H298" s="2"/>
      <c r="I298" s="2">
        <v>76.533799999999999</v>
      </c>
      <c r="J298" s="2">
        <v>1</v>
      </c>
      <c r="K298" s="2">
        <v>77.138400000000004</v>
      </c>
      <c r="L298" s="2">
        <v>1</v>
      </c>
      <c r="M298" s="2">
        <v>99.599699999999999</v>
      </c>
      <c r="N298" s="2">
        <v>230</v>
      </c>
      <c r="O298" s="2">
        <v>96.023099999999999</v>
      </c>
      <c r="P298" s="2">
        <v>293</v>
      </c>
      <c r="Q298" s="2">
        <v>106.57599999999999</v>
      </c>
      <c r="R298" s="2">
        <v>276</v>
      </c>
      <c r="S298" s="2">
        <v>106.63339999999999</v>
      </c>
      <c r="T298" s="2">
        <v>262</v>
      </c>
      <c r="U298" s="2">
        <v>0.23053599999999999</v>
      </c>
      <c r="V298" s="2">
        <v>297</v>
      </c>
      <c r="W298" s="2">
        <v>2015</v>
      </c>
    </row>
    <row r="299" spans="1:23" ht="12.3" x14ac:dyDescent="0.4">
      <c r="A299" s="2" t="s">
        <v>319</v>
      </c>
      <c r="B299" s="2"/>
      <c r="C299" s="2"/>
      <c r="D299" s="2"/>
      <c r="E299" s="2"/>
      <c r="F299" s="2"/>
      <c r="G299" s="2"/>
      <c r="H299" s="2"/>
      <c r="I299" s="2">
        <v>62.6006</v>
      </c>
      <c r="J299" s="2">
        <v>287</v>
      </c>
      <c r="K299" s="2">
        <v>61.572200000000002</v>
      </c>
      <c r="L299" s="2">
        <v>315</v>
      </c>
      <c r="M299" s="2">
        <v>98.660399999999996</v>
      </c>
      <c r="N299" s="2">
        <v>250</v>
      </c>
      <c r="O299" s="2">
        <v>96.517899999999997</v>
      </c>
      <c r="P299" s="2">
        <v>279</v>
      </c>
      <c r="Q299" s="2">
        <v>107.61109999999999</v>
      </c>
      <c r="R299" s="2">
        <v>295</v>
      </c>
      <c r="S299" s="2">
        <v>107.3798</v>
      </c>
      <c r="T299" s="2">
        <v>274</v>
      </c>
      <c r="U299" s="2">
        <v>0.22681100000000001</v>
      </c>
      <c r="V299" s="2">
        <v>298</v>
      </c>
      <c r="W299" s="2">
        <v>2015</v>
      </c>
    </row>
    <row r="300" spans="1:23" ht="12.3" x14ac:dyDescent="0.4">
      <c r="A300" s="2" t="s">
        <v>221</v>
      </c>
      <c r="B300" s="2"/>
      <c r="C300" s="2"/>
      <c r="D300" s="2"/>
      <c r="E300" s="2"/>
      <c r="F300" s="2"/>
      <c r="G300" s="2"/>
      <c r="H300" s="2"/>
      <c r="I300" s="2">
        <v>62.143300000000004</v>
      </c>
      <c r="J300" s="2">
        <v>301</v>
      </c>
      <c r="K300" s="2">
        <v>61.722499999999997</v>
      </c>
      <c r="L300" s="2">
        <v>310</v>
      </c>
      <c r="M300" s="2">
        <v>93.902500000000003</v>
      </c>
      <c r="N300" s="2">
        <v>312</v>
      </c>
      <c r="O300" s="2">
        <v>93.452299999999994</v>
      </c>
      <c r="P300" s="2">
        <v>315</v>
      </c>
      <c r="Q300" s="2">
        <v>103.8458</v>
      </c>
      <c r="R300" s="2">
        <v>211</v>
      </c>
      <c r="S300" s="2">
        <v>103.98099999999999</v>
      </c>
      <c r="T300" s="2">
        <v>201</v>
      </c>
      <c r="U300" s="2">
        <v>0.22658500000000001</v>
      </c>
      <c r="V300" s="2">
        <v>299</v>
      </c>
      <c r="W300" s="2">
        <v>2015</v>
      </c>
    </row>
    <row r="301" spans="1:23" ht="12.3" x14ac:dyDescent="0.4">
      <c r="A301" s="2" t="s">
        <v>311</v>
      </c>
      <c r="B301" s="2"/>
      <c r="C301" s="2"/>
      <c r="D301" s="2"/>
      <c r="E301" s="2"/>
      <c r="F301" s="2"/>
      <c r="G301" s="2"/>
      <c r="H301" s="2"/>
      <c r="I301" s="2">
        <v>65.7286</v>
      </c>
      <c r="J301" s="2">
        <v>129</v>
      </c>
      <c r="K301" s="2">
        <v>66.278700000000001</v>
      </c>
      <c r="L301" s="2">
        <v>99</v>
      </c>
      <c r="M301" s="2">
        <v>95.409499999999994</v>
      </c>
      <c r="N301" s="2">
        <v>298</v>
      </c>
      <c r="O301" s="2">
        <v>96.959699999999998</v>
      </c>
      <c r="P301" s="2">
        <v>272</v>
      </c>
      <c r="Q301" s="2">
        <v>106.5094</v>
      </c>
      <c r="R301" s="2">
        <v>273</v>
      </c>
      <c r="S301" s="2">
        <v>108.0124</v>
      </c>
      <c r="T301" s="2">
        <v>289</v>
      </c>
      <c r="U301" s="2">
        <v>0.224185</v>
      </c>
      <c r="V301" s="2">
        <v>300</v>
      </c>
      <c r="W301" s="2">
        <v>2015</v>
      </c>
    </row>
    <row r="302" spans="1:23" ht="12.3" x14ac:dyDescent="0.4">
      <c r="A302" s="2" t="s">
        <v>215</v>
      </c>
      <c r="B302" s="2"/>
      <c r="C302" s="2"/>
      <c r="D302" s="2"/>
      <c r="E302" s="2"/>
      <c r="F302" s="2"/>
      <c r="G302" s="2"/>
      <c r="H302" s="2"/>
      <c r="I302" s="2">
        <v>67.727999999999994</v>
      </c>
      <c r="J302" s="2">
        <v>53</v>
      </c>
      <c r="K302" s="2">
        <v>67.643600000000006</v>
      </c>
      <c r="L302" s="2">
        <v>45</v>
      </c>
      <c r="M302" s="2">
        <v>98.235100000000003</v>
      </c>
      <c r="N302" s="2">
        <v>256</v>
      </c>
      <c r="O302" s="2">
        <v>96.6982</v>
      </c>
      <c r="P302" s="2">
        <v>277</v>
      </c>
      <c r="Q302" s="2">
        <v>107.9661</v>
      </c>
      <c r="R302" s="2">
        <v>298</v>
      </c>
      <c r="S302" s="2">
        <v>107.8539</v>
      </c>
      <c r="T302" s="2">
        <v>285</v>
      </c>
      <c r="U302" s="2">
        <v>0.22173300000000001</v>
      </c>
      <c r="V302" s="2">
        <v>301</v>
      </c>
      <c r="W302" s="2">
        <v>2015</v>
      </c>
    </row>
    <row r="303" spans="1:23" ht="12.3" x14ac:dyDescent="0.4">
      <c r="A303" s="2" t="s">
        <v>287</v>
      </c>
      <c r="B303" s="2"/>
      <c r="C303" s="2"/>
      <c r="D303" s="2"/>
      <c r="E303" s="2"/>
      <c r="F303" s="2"/>
      <c r="G303" s="2"/>
      <c r="H303" s="2"/>
      <c r="I303" s="2">
        <v>68.652100000000004</v>
      </c>
      <c r="J303" s="2">
        <v>29</v>
      </c>
      <c r="K303" s="2">
        <v>69.173699999999997</v>
      </c>
      <c r="L303" s="2">
        <v>22</v>
      </c>
      <c r="M303" s="2">
        <v>98.089399999999998</v>
      </c>
      <c r="N303" s="2">
        <v>259</v>
      </c>
      <c r="O303" s="2">
        <v>99.672300000000007</v>
      </c>
      <c r="P303" s="2">
        <v>230</v>
      </c>
      <c r="Q303" s="2">
        <v>107.8574</v>
      </c>
      <c r="R303" s="2">
        <v>297</v>
      </c>
      <c r="S303" s="2">
        <v>111.1849</v>
      </c>
      <c r="T303" s="2">
        <v>328</v>
      </c>
      <c r="U303" s="2">
        <v>0.22148699999999999</v>
      </c>
      <c r="V303" s="2">
        <v>302</v>
      </c>
      <c r="W303" s="2">
        <v>2015</v>
      </c>
    </row>
    <row r="304" spans="1:23" ht="12.3" x14ac:dyDescent="0.4">
      <c r="A304" s="2" t="s">
        <v>342</v>
      </c>
      <c r="B304" s="2"/>
      <c r="C304" s="2"/>
      <c r="D304" s="2"/>
      <c r="E304" s="2"/>
      <c r="F304" s="2"/>
      <c r="G304" s="2"/>
      <c r="H304" s="2"/>
      <c r="I304" s="2">
        <v>69.418000000000006</v>
      </c>
      <c r="J304" s="2">
        <v>16</v>
      </c>
      <c r="K304" s="2">
        <v>69.332800000000006</v>
      </c>
      <c r="L304" s="2">
        <v>19</v>
      </c>
      <c r="M304" s="2">
        <v>96.3703</v>
      </c>
      <c r="N304" s="2">
        <v>286</v>
      </c>
      <c r="O304" s="2">
        <v>96.302700000000002</v>
      </c>
      <c r="P304" s="2">
        <v>285</v>
      </c>
      <c r="Q304" s="2">
        <v>101.0844</v>
      </c>
      <c r="R304" s="2">
        <v>150</v>
      </c>
      <c r="S304" s="2">
        <v>107.6399</v>
      </c>
      <c r="T304" s="2">
        <v>277</v>
      </c>
      <c r="U304" s="2">
        <v>0.21757000000000001</v>
      </c>
      <c r="V304" s="2">
        <v>303</v>
      </c>
      <c r="W304" s="2">
        <v>2015</v>
      </c>
    </row>
    <row r="305" spans="1:23" ht="12.3" x14ac:dyDescent="0.4">
      <c r="A305" s="2" t="s">
        <v>183</v>
      </c>
      <c r="B305" s="2"/>
      <c r="C305" s="2"/>
      <c r="D305" s="2"/>
      <c r="E305" s="2"/>
      <c r="F305" s="2"/>
      <c r="G305" s="2"/>
      <c r="H305" s="2"/>
      <c r="I305" s="2">
        <v>68.553700000000006</v>
      </c>
      <c r="J305" s="2">
        <v>31</v>
      </c>
      <c r="K305" s="2">
        <v>67.706999999999994</v>
      </c>
      <c r="L305" s="2">
        <v>40</v>
      </c>
      <c r="M305" s="2">
        <v>99.200699999999998</v>
      </c>
      <c r="N305" s="2">
        <v>239</v>
      </c>
      <c r="O305" s="2">
        <v>96.533799999999999</v>
      </c>
      <c r="P305" s="2">
        <v>278</v>
      </c>
      <c r="Q305" s="2">
        <v>107.2191</v>
      </c>
      <c r="R305" s="2">
        <v>288</v>
      </c>
      <c r="S305" s="2">
        <v>107.90349999999999</v>
      </c>
      <c r="T305" s="2">
        <v>286</v>
      </c>
      <c r="U305" s="2">
        <v>0.217473</v>
      </c>
      <c r="V305" s="2">
        <v>304</v>
      </c>
      <c r="W305" s="2">
        <v>2015</v>
      </c>
    </row>
    <row r="306" spans="1:23" ht="12.3" x14ac:dyDescent="0.4">
      <c r="A306" s="2" t="s">
        <v>195</v>
      </c>
      <c r="B306" s="2"/>
      <c r="C306" s="2"/>
      <c r="D306" s="2"/>
      <c r="E306" s="2"/>
      <c r="F306" s="2"/>
      <c r="G306" s="2"/>
      <c r="H306" s="2"/>
      <c r="I306" s="2">
        <v>62.933799999999998</v>
      </c>
      <c r="J306" s="2">
        <v>274</v>
      </c>
      <c r="K306" s="2">
        <v>62.441400000000002</v>
      </c>
      <c r="L306" s="2">
        <v>288</v>
      </c>
      <c r="M306" s="2">
        <v>99.2376</v>
      </c>
      <c r="N306" s="2">
        <v>237</v>
      </c>
      <c r="O306" s="2">
        <v>97.044899999999998</v>
      </c>
      <c r="P306" s="2">
        <v>270</v>
      </c>
      <c r="Q306" s="2">
        <v>110.59010000000001</v>
      </c>
      <c r="R306" s="2">
        <v>326</v>
      </c>
      <c r="S306" s="2">
        <v>108.8603</v>
      </c>
      <c r="T306" s="2">
        <v>303</v>
      </c>
      <c r="U306" s="2">
        <v>0.21060899999999999</v>
      </c>
      <c r="V306" s="2">
        <v>305</v>
      </c>
      <c r="W306" s="2">
        <v>2015</v>
      </c>
    </row>
    <row r="307" spans="1:23" ht="12.3" x14ac:dyDescent="0.4">
      <c r="A307" s="2" t="s">
        <v>328</v>
      </c>
      <c r="B307" s="2"/>
      <c r="C307" s="2"/>
      <c r="D307" s="2"/>
      <c r="E307" s="2"/>
      <c r="F307" s="2"/>
      <c r="G307" s="2"/>
      <c r="H307" s="2"/>
      <c r="I307" s="2">
        <v>68.225800000000007</v>
      </c>
      <c r="J307" s="2">
        <v>36</v>
      </c>
      <c r="K307" s="2">
        <v>66.729600000000005</v>
      </c>
      <c r="L307" s="2">
        <v>77</v>
      </c>
      <c r="M307" s="2">
        <v>97.948700000000002</v>
      </c>
      <c r="N307" s="2">
        <v>262</v>
      </c>
      <c r="O307" s="2">
        <v>94.5976</v>
      </c>
      <c r="P307" s="2">
        <v>310</v>
      </c>
      <c r="Q307" s="2">
        <v>104.7239</v>
      </c>
      <c r="R307" s="2">
        <v>229</v>
      </c>
      <c r="S307" s="2">
        <v>106.34</v>
      </c>
      <c r="T307" s="2">
        <v>251</v>
      </c>
      <c r="U307" s="2">
        <v>0.20659</v>
      </c>
      <c r="V307" s="2">
        <v>306</v>
      </c>
      <c r="W307" s="2">
        <v>2015</v>
      </c>
    </row>
    <row r="308" spans="1:23" ht="12.3" x14ac:dyDescent="0.4">
      <c r="A308" s="2" t="s">
        <v>374</v>
      </c>
      <c r="B308" s="2"/>
      <c r="C308" s="2"/>
      <c r="D308" s="2"/>
      <c r="E308" s="2"/>
      <c r="F308" s="2"/>
      <c r="G308" s="2"/>
      <c r="H308" s="2"/>
      <c r="I308" s="2">
        <v>67.717200000000005</v>
      </c>
      <c r="J308" s="2">
        <v>54</v>
      </c>
      <c r="K308" s="2">
        <v>67.055499999999995</v>
      </c>
      <c r="L308" s="2">
        <v>67</v>
      </c>
      <c r="M308" s="2">
        <v>101.4469</v>
      </c>
      <c r="N308" s="2">
        <v>184</v>
      </c>
      <c r="O308" s="2">
        <v>100.5381</v>
      </c>
      <c r="P308" s="2">
        <v>210</v>
      </c>
      <c r="Q308" s="2">
        <v>112.09820000000001</v>
      </c>
      <c r="R308" s="2">
        <v>340</v>
      </c>
      <c r="S308" s="2">
        <v>113.1373</v>
      </c>
      <c r="T308" s="2">
        <v>337</v>
      </c>
      <c r="U308" s="2">
        <v>0.20460600000000001</v>
      </c>
      <c r="V308" s="2">
        <v>307</v>
      </c>
      <c r="W308" s="2">
        <v>2015</v>
      </c>
    </row>
    <row r="309" spans="1:23" ht="12.3" x14ac:dyDescent="0.4">
      <c r="A309" s="2" t="s">
        <v>143</v>
      </c>
      <c r="B309" s="2"/>
      <c r="C309" s="2"/>
      <c r="D309" s="2"/>
      <c r="E309" s="2"/>
      <c r="F309" s="2"/>
      <c r="G309" s="2"/>
      <c r="H309" s="2"/>
      <c r="I309" s="2">
        <v>66.427300000000002</v>
      </c>
      <c r="J309" s="2">
        <v>100</v>
      </c>
      <c r="K309" s="2">
        <v>65.509399999999999</v>
      </c>
      <c r="L309" s="2">
        <v>134</v>
      </c>
      <c r="M309" s="2">
        <v>92.354699999999994</v>
      </c>
      <c r="N309" s="2">
        <v>327</v>
      </c>
      <c r="O309" s="2">
        <v>93.653899999999993</v>
      </c>
      <c r="P309" s="2">
        <v>314</v>
      </c>
      <c r="Q309" s="2">
        <v>103.7085</v>
      </c>
      <c r="R309" s="2">
        <v>205</v>
      </c>
      <c r="S309" s="2">
        <v>105.4264</v>
      </c>
      <c r="T309" s="2">
        <v>231</v>
      </c>
      <c r="U309" s="2">
        <v>0.20396700000000001</v>
      </c>
      <c r="V309" s="2">
        <v>308</v>
      </c>
      <c r="W309" s="2">
        <v>2015</v>
      </c>
    </row>
    <row r="310" spans="1:23" ht="12.3" x14ac:dyDescent="0.4">
      <c r="A310" s="2" t="s">
        <v>237</v>
      </c>
      <c r="B310" s="2"/>
      <c r="C310" s="2"/>
      <c r="D310" s="2"/>
      <c r="E310" s="2"/>
      <c r="F310" s="2"/>
      <c r="G310" s="2"/>
      <c r="H310" s="2"/>
      <c r="I310" s="2">
        <v>67.788700000000006</v>
      </c>
      <c r="J310" s="2">
        <v>49</v>
      </c>
      <c r="K310" s="2">
        <v>67.813100000000006</v>
      </c>
      <c r="L310" s="2">
        <v>39</v>
      </c>
      <c r="M310" s="2">
        <v>100.2597</v>
      </c>
      <c r="N310" s="2">
        <v>212</v>
      </c>
      <c r="O310" s="2">
        <v>96.995199999999997</v>
      </c>
      <c r="P310" s="2">
        <v>271</v>
      </c>
      <c r="Q310" s="2">
        <v>109.73520000000001</v>
      </c>
      <c r="R310" s="2">
        <v>320</v>
      </c>
      <c r="S310" s="2">
        <v>109.3425</v>
      </c>
      <c r="T310" s="2">
        <v>309</v>
      </c>
      <c r="U310" s="2">
        <v>0.20133599999999999</v>
      </c>
      <c r="V310" s="2">
        <v>309</v>
      </c>
      <c r="W310" s="2">
        <v>2015</v>
      </c>
    </row>
    <row r="311" spans="1:23" ht="12.3" x14ac:dyDescent="0.4">
      <c r="A311" s="2" t="s">
        <v>275</v>
      </c>
      <c r="B311" s="2"/>
      <c r="C311" s="2"/>
      <c r="D311" s="2"/>
      <c r="E311" s="2"/>
      <c r="F311" s="2"/>
      <c r="G311" s="2"/>
      <c r="H311" s="2"/>
      <c r="I311" s="2">
        <v>64.322699999999998</v>
      </c>
      <c r="J311" s="2">
        <v>202</v>
      </c>
      <c r="K311" s="2">
        <v>63.88</v>
      </c>
      <c r="L311" s="2">
        <v>224</v>
      </c>
      <c r="M311" s="2">
        <v>93.740899999999996</v>
      </c>
      <c r="N311" s="2">
        <v>314</v>
      </c>
      <c r="O311" s="2">
        <v>93.233800000000002</v>
      </c>
      <c r="P311" s="2">
        <v>317</v>
      </c>
      <c r="Q311" s="2">
        <v>106.038</v>
      </c>
      <c r="R311" s="2">
        <v>262</v>
      </c>
      <c r="S311" s="2">
        <v>105.2467</v>
      </c>
      <c r="T311" s="2">
        <v>228</v>
      </c>
      <c r="U311" s="2">
        <v>0.19880700000000001</v>
      </c>
      <c r="V311" s="2">
        <v>310</v>
      </c>
      <c r="W311" s="2">
        <v>2015</v>
      </c>
    </row>
    <row r="312" spans="1:23" ht="12.3" x14ac:dyDescent="0.4">
      <c r="A312" s="2" t="s">
        <v>383</v>
      </c>
      <c r="B312" s="2"/>
      <c r="C312" s="2"/>
      <c r="D312" s="2"/>
      <c r="E312" s="2"/>
      <c r="F312" s="2"/>
      <c r="G312" s="2"/>
      <c r="H312" s="2"/>
      <c r="I312" s="2">
        <v>64.259799999999998</v>
      </c>
      <c r="J312" s="2">
        <v>205</v>
      </c>
      <c r="K312" s="2">
        <v>64.412400000000005</v>
      </c>
      <c r="L312" s="2">
        <v>191</v>
      </c>
      <c r="M312" s="2">
        <v>92.104100000000003</v>
      </c>
      <c r="N312" s="2">
        <v>333</v>
      </c>
      <c r="O312" s="2">
        <v>92.421999999999997</v>
      </c>
      <c r="P312" s="2">
        <v>326</v>
      </c>
      <c r="Q312" s="2">
        <v>103.0843</v>
      </c>
      <c r="R312" s="2">
        <v>191</v>
      </c>
      <c r="S312" s="2">
        <v>104.45820000000001</v>
      </c>
      <c r="T312" s="2">
        <v>212</v>
      </c>
      <c r="U312" s="2">
        <v>0.196574</v>
      </c>
      <c r="V312" s="2">
        <v>311</v>
      </c>
      <c r="W312" s="2">
        <v>2015</v>
      </c>
    </row>
    <row r="313" spans="1:23" ht="12.3" x14ac:dyDescent="0.4">
      <c r="A313" s="2" t="s">
        <v>340</v>
      </c>
      <c r="B313" s="2"/>
      <c r="C313" s="2"/>
      <c r="D313" s="2"/>
      <c r="E313" s="2"/>
      <c r="F313" s="2"/>
      <c r="G313" s="2"/>
      <c r="H313" s="2"/>
      <c r="I313" s="2">
        <v>62.326799999999999</v>
      </c>
      <c r="J313" s="2">
        <v>296</v>
      </c>
      <c r="K313" s="2">
        <v>63.013800000000003</v>
      </c>
      <c r="L313" s="2">
        <v>268</v>
      </c>
      <c r="M313" s="2">
        <v>91.952100000000002</v>
      </c>
      <c r="N313" s="2">
        <v>334</v>
      </c>
      <c r="O313" s="2">
        <v>91.418199999999999</v>
      </c>
      <c r="P313" s="2">
        <v>334</v>
      </c>
      <c r="Q313" s="2">
        <v>103.9393</v>
      </c>
      <c r="R313" s="2">
        <v>214</v>
      </c>
      <c r="S313" s="2">
        <v>103.3369</v>
      </c>
      <c r="T313" s="2">
        <v>186</v>
      </c>
      <c r="U313" s="2">
        <v>0.19634099999999999</v>
      </c>
      <c r="V313" s="2">
        <v>312</v>
      </c>
      <c r="W313" s="2">
        <v>2015</v>
      </c>
    </row>
    <row r="314" spans="1:23" ht="12.3" x14ac:dyDescent="0.4">
      <c r="A314" s="2" t="s">
        <v>175</v>
      </c>
      <c r="B314" s="2"/>
      <c r="C314" s="2"/>
      <c r="D314" s="2"/>
      <c r="E314" s="2"/>
      <c r="F314" s="2"/>
      <c r="G314" s="2"/>
      <c r="H314" s="2"/>
      <c r="I314" s="2">
        <v>62.5077</v>
      </c>
      <c r="J314" s="2">
        <v>292</v>
      </c>
      <c r="K314" s="2">
        <v>62.480400000000003</v>
      </c>
      <c r="L314" s="2">
        <v>287</v>
      </c>
      <c r="M314" s="2">
        <v>93.1995</v>
      </c>
      <c r="N314" s="2">
        <v>319</v>
      </c>
      <c r="O314" s="2">
        <v>95.677800000000005</v>
      </c>
      <c r="P314" s="2">
        <v>300</v>
      </c>
      <c r="Q314" s="2">
        <v>109.3857</v>
      </c>
      <c r="R314" s="2">
        <v>316</v>
      </c>
      <c r="S314" s="2">
        <v>108.2491</v>
      </c>
      <c r="T314" s="2">
        <v>292</v>
      </c>
      <c r="U314" s="2">
        <v>0.194715</v>
      </c>
      <c r="V314" s="2">
        <v>313</v>
      </c>
      <c r="W314" s="2">
        <v>2015</v>
      </c>
    </row>
    <row r="315" spans="1:23" ht="12.3" x14ac:dyDescent="0.4">
      <c r="A315" s="2" t="s">
        <v>359</v>
      </c>
      <c r="B315" s="2"/>
      <c r="C315" s="2"/>
      <c r="D315" s="2"/>
      <c r="E315" s="2"/>
      <c r="F315" s="2"/>
      <c r="G315" s="2"/>
      <c r="H315" s="2"/>
      <c r="I315" s="2">
        <v>67.200800000000001</v>
      </c>
      <c r="J315" s="2">
        <v>72</v>
      </c>
      <c r="K315" s="2">
        <v>66.933899999999994</v>
      </c>
      <c r="L315" s="2">
        <v>72</v>
      </c>
      <c r="M315" s="2">
        <v>97.690600000000003</v>
      </c>
      <c r="N315" s="2">
        <v>266</v>
      </c>
      <c r="O315" s="2">
        <v>95.709100000000007</v>
      </c>
      <c r="P315" s="2">
        <v>299</v>
      </c>
      <c r="Q315" s="2">
        <v>108.55500000000001</v>
      </c>
      <c r="R315" s="2">
        <v>306</v>
      </c>
      <c r="S315" s="2">
        <v>108.3218</v>
      </c>
      <c r="T315" s="2">
        <v>293</v>
      </c>
      <c r="U315" s="2">
        <v>0.19409499999999999</v>
      </c>
      <c r="V315" s="2">
        <v>314</v>
      </c>
      <c r="W315" s="2">
        <v>2015</v>
      </c>
    </row>
    <row r="316" spans="1:23" ht="12.3" x14ac:dyDescent="0.4">
      <c r="A316" s="2" t="s">
        <v>294</v>
      </c>
      <c r="B316" s="2"/>
      <c r="C316" s="2"/>
      <c r="D316" s="2"/>
      <c r="E316" s="2"/>
      <c r="F316" s="2"/>
      <c r="G316" s="2"/>
      <c r="H316" s="2"/>
      <c r="I316" s="2">
        <v>63.806399999999996</v>
      </c>
      <c r="J316" s="2">
        <v>237</v>
      </c>
      <c r="K316" s="2">
        <v>64.004999999999995</v>
      </c>
      <c r="L316" s="2">
        <v>212</v>
      </c>
      <c r="M316" s="2">
        <v>99.119100000000003</v>
      </c>
      <c r="N316" s="2">
        <v>244</v>
      </c>
      <c r="O316" s="2">
        <v>96.448700000000002</v>
      </c>
      <c r="P316" s="2">
        <v>282</v>
      </c>
      <c r="Q316" s="2">
        <v>108.60429999999999</v>
      </c>
      <c r="R316" s="2">
        <v>307</v>
      </c>
      <c r="S316" s="2">
        <v>109.56529999999999</v>
      </c>
      <c r="T316" s="2">
        <v>314</v>
      </c>
      <c r="U316" s="2">
        <v>0.187496</v>
      </c>
      <c r="V316" s="2">
        <v>315</v>
      </c>
      <c r="W316" s="2">
        <v>2015</v>
      </c>
    </row>
    <row r="317" spans="1:23" ht="12.3" x14ac:dyDescent="0.4">
      <c r="A317" s="2" t="s">
        <v>312</v>
      </c>
      <c r="B317" s="2"/>
      <c r="C317" s="2"/>
      <c r="D317" s="2"/>
      <c r="E317" s="2"/>
      <c r="F317" s="2"/>
      <c r="G317" s="2"/>
      <c r="H317" s="2"/>
      <c r="I317" s="2">
        <v>64.892899999999997</v>
      </c>
      <c r="J317" s="2">
        <v>165</v>
      </c>
      <c r="K317" s="2">
        <v>63.670400000000001</v>
      </c>
      <c r="L317" s="2">
        <v>238</v>
      </c>
      <c r="M317" s="2">
        <v>93.093199999999996</v>
      </c>
      <c r="N317" s="2">
        <v>320</v>
      </c>
      <c r="O317" s="2">
        <v>89.682100000000005</v>
      </c>
      <c r="P317" s="2">
        <v>344</v>
      </c>
      <c r="Q317" s="2">
        <v>97.008200000000002</v>
      </c>
      <c r="R317" s="2">
        <v>70</v>
      </c>
      <c r="S317" s="2">
        <v>102.0677</v>
      </c>
      <c r="T317" s="2">
        <v>162</v>
      </c>
      <c r="U317" s="2">
        <v>0.18426799999999999</v>
      </c>
      <c r="V317" s="2">
        <v>316</v>
      </c>
      <c r="W317" s="2">
        <v>2015</v>
      </c>
    </row>
    <row r="318" spans="1:23" ht="12.3" x14ac:dyDescent="0.4">
      <c r="A318" s="2" t="s">
        <v>378</v>
      </c>
      <c r="B318" s="2"/>
      <c r="C318" s="2"/>
      <c r="D318" s="2"/>
      <c r="E318" s="2"/>
      <c r="F318" s="2"/>
      <c r="G318" s="2"/>
      <c r="H318" s="2"/>
      <c r="I318" s="2">
        <v>68.017600000000002</v>
      </c>
      <c r="J318" s="2">
        <v>43</v>
      </c>
      <c r="K318" s="2">
        <v>68.052700000000002</v>
      </c>
      <c r="L318" s="2">
        <v>32</v>
      </c>
      <c r="M318" s="2">
        <v>97.474699999999999</v>
      </c>
      <c r="N318" s="2">
        <v>268</v>
      </c>
      <c r="O318" s="2">
        <v>95.395700000000005</v>
      </c>
      <c r="P318" s="2">
        <v>304</v>
      </c>
      <c r="Q318" s="2">
        <v>109.9978</v>
      </c>
      <c r="R318" s="2">
        <v>324</v>
      </c>
      <c r="S318" s="2">
        <v>109.0568</v>
      </c>
      <c r="T318" s="2">
        <v>306</v>
      </c>
      <c r="U318" s="2">
        <v>0.17666499999999999</v>
      </c>
      <c r="V318" s="2">
        <v>317</v>
      </c>
      <c r="W318" s="2">
        <v>2015</v>
      </c>
    </row>
    <row r="319" spans="1:23" ht="12.3" x14ac:dyDescent="0.4">
      <c r="A319" s="2" t="s">
        <v>227</v>
      </c>
      <c r="B319" s="2"/>
      <c r="C319" s="2"/>
      <c r="D319" s="2"/>
      <c r="E319" s="2"/>
      <c r="F319" s="2"/>
      <c r="G319" s="2"/>
      <c r="H319" s="2"/>
      <c r="I319" s="2">
        <v>68.127200000000002</v>
      </c>
      <c r="J319" s="2">
        <v>41</v>
      </c>
      <c r="K319" s="2">
        <v>67.212599999999995</v>
      </c>
      <c r="L319" s="2">
        <v>58</v>
      </c>
      <c r="M319" s="2">
        <v>93.984999999999999</v>
      </c>
      <c r="N319" s="2">
        <v>310</v>
      </c>
      <c r="O319" s="2">
        <v>92.735500000000002</v>
      </c>
      <c r="P319" s="2">
        <v>321</v>
      </c>
      <c r="Q319" s="2">
        <v>108.1296</v>
      </c>
      <c r="R319" s="2">
        <v>302</v>
      </c>
      <c r="S319" s="2">
        <v>106.3943</v>
      </c>
      <c r="T319" s="2">
        <v>254</v>
      </c>
      <c r="U319" s="2">
        <v>0.17077999999999999</v>
      </c>
      <c r="V319" s="2">
        <v>318</v>
      </c>
      <c r="W319" s="2">
        <v>2015</v>
      </c>
    </row>
    <row r="320" spans="1:23" ht="12.3" x14ac:dyDescent="0.4">
      <c r="A320" s="2" t="s">
        <v>163</v>
      </c>
      <c r="B320" s="2"/>
      <c r="C320" s="2"/>
      <c r="D320" s="2"/>
      <c r="E320" s="2"/>
      <c r="F320" s="2"/>
      <c r="G320" s="2"/>
      <c r="H320" s="2"/>
      <c r="I320" s="2">
        <v>66.170299999999997</v>
      </c>
      <c r="J320" s="2">
        <v>109</v>
      </c>
      <c r="K320" s="2">
        <v>66.243399999999994</v>
      </c>
      <c r="L320" s="2">
        <v>102</v>
      </c>
      <c r="M320" s="2">
        <v>95.721500000000006</v>
      </c>
      <c r="N320" s="2">
        <v>294</v>
      </c>
      <c r="O320" s="2">
        <v>94.604500000000002</v>
      </c>
      <c r="P320" s="2">
        <v>309</v>
      </c>
      <c r="Q320" s="2">
        <v>109.8999</v>
      </c>
      <c r="R320" s="2">
        <v>322</v>
      </c>
      <c r="S320" s="2">
        <v>108.7619</v>
      </c>
      <c r="T320" s="2">
        <v>301</v>
      </c>
      <c r="U320" s="2">
        <v>0.167459</v>
      </c>
      <c r="V320" s="2">
        <v>319</v>
      </c>
      <c r="W320" s="2">
        <v>2015</v>
      </c>
    </row>
    <row r="321" spans="1:23" ht="12.3" x14ac:dyDescent="0.4">
      <c r="A321" s="2" t="s">
        <v>344</v>
      </c>
      <c r="B321" s="2"/>
      <c r="C321" s="2"/>
      <c r="D321" s="2"/>
      <c r="E321" s="2"/>
      <c r="F321" s="2"/>
      <c r="G321" s="2"/>
      <c r="H321" s="2"/>
      <c r="I321" s="2">
        <v>67.394400000000005</v>
      </c>
      <c r="J321" s="2">
        <v>63</v>
      </c>
      <c r="K321" s="2">
        <v>67.701999999999998</v>
      </c>
      <c r="L321" s="2">
        <v>41</v>
      </c>
      <c r="M321" s="2">
        <v>96.736699999999999</v>
      </c>
      <c r="N321" s="2">
        <v>276</v>
      </c>
      <c r="O321" s="2">
        <v>96.048699999999997</v>
      </c>
      <c r="P321" s="2">
        <v>292</v>
      </c>
      <c r="Q321" s="2">
        <v>108.4136</v>
      </c>
      <c r="R321" s="2">
        <v>304</v>
      </c>
      <c r="S321" s="2">
        <v>111.08459999999999</v>
      </c>
      <c r="T321" s="2">
        <v>327</v>
      </c>
      <c r="U321" s="2">
        <v>0.15808900000000001</v>
      </c>
      <c r="V321" s="2">
        <v>320</v>
      </c>
      <c r="W321" s="2">
        <v>2015</v>
      </c>
    </row>
    <row r="322" spans="1:23" ht="12.3" x14ac:dyDescent="0.4">
      <c r="A322" s="2" t="s">
        <v>347</v>
      </c>
      <c r="B322" s="2"/>
      <c r="C322" s="2"/>
      <c r="D322" s="2"/>
      <c r="E322" s="2"/>
      <c r="F322" s="2"/>
      <c r="G322" s="2"/>
      <c r="H322" s="2"/>
      <c r="I322" s="2">
        <v>68.373999999999995</v>
      </c>
      <c r="J322" s="2">
        <v>34</v>
      </c>
      <c r="K322" s="2">
        <v>66.696899999999999</v>
      </c>
      <c r="L322" s="2">
        <v>80</v>
      </c>
      <c r="M322" s="2">
        <v>91.452600000000004</v>
      </c>
      <c r="N322" s="2">
        <v>336</v>
      </c>
      <c r="O322" s="2">
        <v>90.878399999999999</v>
      </c>
      <c r="P322" s="2">
        <v>338</v>
      </c>
      <c r="Q322" s="2">
        <v>106.97110000000001</v>
      </c>
      <c r="R322" s="2">
        <v>284</v>
      </c>
      <c r="S322" s="2">
        <v>105.5252</v>
      </c>
      <c r="T322" s="2">
        <v>234</v>
      </c>
      <c r="U322" s="2">
        <v>0.15207599999999999</v>
      </c>
      <c r="V322" s="2">
        <v>321</v>
      </c>
      <c r="W322" s="2">
        <v>2015</v>
      </c>
    </row>
    <row r="323" spans="1:23" ht="12.3" x14ac:dyDescent="0.4">
      <c r="A323" s="2" t="s">
        <v>214</v>
      </c>
      <c r="B323" s="2"/>
      <c r="C323" s="2"/>
      <c r="D323" s="2"/>
      <c r="E323" s="2"/>
      <c r="F323" s="2"/>
      <c r="G323" s="2"/>
      <c r="H323" s="2"/>
      <c r="I323" s="2">
        <v>64.460400000000007</v>
      </c>
      <c r="J323" s="2">
        <v>194</v>
      </c>
      <c r="K323" s="2">
        <v>64.043099999999995</v>
      </c>
      <c r="L323" s="2">
        <v>208</v>
      </c>
      <c r="M323" s="2">
        <v>95.991399999999999</v>
      </c>
      <c r="N323" s="2">
        <v>290</v>
      </c>
      <c r="O323" s="2">
        <v>96.911000000000001</v>
      </c>
      <c r="P323" s="2">
        <v>274</v>
      </c>
      <c r="Q323" s="2">
        <v>112.57550000000001</v>
      </c>
      <c r="R323" s="2">
        <v>343</v>
      </c>
      <c r="S323" s="2">
        <v>112.5373</v>
      </c>
      <c r="T323" s="2">
        <v>336</v>
      </c>
      <c r="U323" s="2">
        <v>0.151981</v>
      </c>
      <c r="V323" s="2">
        <v>322</v>
      </c>
      <c r="W323" s="2">
        <v>2015</v>
      </c>
    </row>
    <row r="324" spans="1:23" ht="12.3" x14ac:dyDescent="0.4">
      <c r="A324" s="2" t="s">
        <v>341</v>
      </c>
      <c r="B324" s="2"/>
      <c r="C324" s="2"/>
      <c r="D324" s="2"/>
      <c r="E324" s="2"/>
      <c r="F324" s="2"/>
      <c r="G324" s="2"/>
      <c r="H324" s="2"/>
      <c r="I324" s="2">
        <v>73.488699999999994</v>
      </c>
      <c r="J324" s="2">
        <v>3</v>
      </c>
      <c r="K324" s="2">
        <v>74.168800000000005</v>
      </c>
      <c r="L324" s="2">
        <v>2</v>
      </c>
      <c r="M324" s="2">
        <v>96.076300000000003</v>
      </c>
      <c r="N324" s="2">
        <v>289</v>
      </c>
      <c r="O324" s="2">
        <v>99.002300000000005</v>
      </c>
      <c r="P324" s="2">
        <v>240</v>
      </c>
      <c r="Q324" s="2">
        <v>113.626</v>
      </c>
      <c r="R324" s="2">
        <v>347</v>
      </c>
      <c r="S324" s="2">
        <v>115.00490000000001</v>
      </c>
      <c r="T324" s="2">
        <v>345</v>
      </c>
      <c r="U324" s="2">
        <v>0.151478</v>
      </c>
      <c r="V324" s="2">
        <v>323</v>
      </c>
      <c r="W324" s="2">
        <v>2015</v>
      </c>
    </row>
    <row r="325" spans="1:23" ht="12.3" x14ac:dyDescent="0.4">
      <c r="A325" s="2" t="s">
        <v>351</v>
      </c>
      <c r="B325" s="2"/>
      <c r="C325" s="2"/>
      <c r="D325" s="2"/>
      <c r="E325" s="2"/>
      <c r="F325" s="2"/>
      <c r="G325" s="2"/>
      <c r="H325" s="2"/>
      <c r="I325" s="2">
        <v>64.655799999999999</v>
      </c>
      <c r="J325" s="2">
        <v>182</v>
      </c>
      <c r="K325" s="2">
        <v>64.114800000000002</v>
      </c>
      <c r="L325" s="2">
        <v>205</v>
      </c>
      <c r="M325" s="2">
        <v>92.108999999999995</v>
      </c>
      <c r="N325" s="2">
        <v>332</v>
      </c>
      <c r="O325" s="2">
        <v>91.542100000000005</v>
      </c>
      <c r="P325" s="2">
        <v>333</v>
      </c>
      <c r="Q325" s="2">
        <v>103.0091</v>
      </c>
      <c r="R325" s="2">
        <v>189</v>
      </c>
      <c r="S325" s="2">
        <v>106.7758</v>
      </c>
      <c r="T325" s="2">
        <v>263</v>
      </c>
      <c r="U325" s="2">
        <v>0.14551500000000001</v>
      </c>
      <c r="V325" s="2">
        <v>324</v>
      </c>
      <c r="W325" s="2">
        <v>2015</v>
      </c>
    </row>
    <row r="326" spans="1:23" ht="12.3" x14ac:dyDescent="0.4">
      <c r="A326" s="2" t="s">
        <v>368</v>
      </c>
      <c r="B326" s="2"/>
      <c r="C326" s="2"/>
      <c r="D326" s="2"/>
      <c r="E326" s="2"/>
      <c r="F326" s="2"/>
      <c r="G326" s="2"/>
      <c r="H326" s="2"/>
      <c r="I326" s="2">
        <v>62.510300000000001</v>
      </c>
      <c r="J326" s="2">
        <v>291</v>
      </c>
      <c r="K326" s="2">
        <v>62.624000000000002</v>
      </c>
      <c r="L326" s="2">
        <v>278</v>
      </c>
      <c r="M326" s="2">
        <v>95.443600000000004</v>
      </c>
      <c r="N326" s="2">
        <v>297</v>
      </c>
      <c r="O326" s="2">
        <v>95.591200000000001</v>
      </c>
      <c r="P326" s="2">
        <v>301</v>
      </c>
      <c r="Q326" s="2">
        <v>114.1002</v>
      </c>
      <c r="R326" s="2">
        <v>348</v>
      </c>
      <c r="S326" s="2">
        <v>111.51</v>
      </c>
      <c r="T326" s="2">
        <v>332</v>
      </c>
      <c r="U326" s="2">
        <v>0.14537</v>
      </c>
      <c r="V326" s="2">
        <v>325</v>
      </c>
      <c r="W326" s="2">
        <v>2015</v>
      </c>
    </row>
    <row r="327" spans="1:23" ht="12.3" x14ac:dyDescent="0.4">
      <c r="A327" s="2" t="s">
        <v>315</v>
      </c>
      <c r="B327" s="2"/>
      <c r="C327" s="2"/>
      <c r="D327" s="2"/>
      <c r="E327" s="2"/>
      <c r="F327" s="2"/>
      <c r="G327" s="2"/>
      <c r="H327" s="2"/>
      <c r="I327" s="2">
        <v>63.244900000000001</v>
      </c>
      <c r="J327" s="2">
        <v>259</v>
      </c>
      <c r="K327" s="2">
        <v>63.2986</v>
      </c>
      <c r="L327" s="2">
        <v>257</v>
      </c>
      <c r="M327" s="2">
        <v>90.057199999999995</v>
      </c>
      <c r="N327" s="2">
        <v>341</v>
      </c>
      <c r="O327" s="2">
        <v>92.997299999999996</v>
      </c>
      <c r="P327" s="2">
        <v>318</v>
      </c>
      <c r="Q327" s="2">
        <v>105.699</v>
      </c>
      <c r="R327" s="2">
        <v>256</v>
      </c>
      <c r="S327" s="2">
        <v>108.5744</v>
      </c>
      <c r="T327" s="2">
        <v>297</v>
      </c>
      <c r="U327" s="2">
        <v>0.14418600000000001</v>
      </c>
      <c r="V327" s="2">
        <v>326</v>
      </c>
      <c r="W327" s="2">
        <v>2015</v>
      </c>
    </row>
    <row r="328" spans="1:23" ht="12.3" x14ac:dyDescent="0.4">
      <c r="A328" s="2" t="s">
        <v>285</v>
      </c>
      <c r="B328" s="2"/>
      <c r="C328" s="2"/>
      <c r="D328" s="2"/>
      <c r="E328" s="2"/>
      <c r="F328" s="2"/>
      <c r="G328" s="2"/>
      <c r="H328" s="2"/>
      <c r="I328" s="2">
        <v>67.282399999999996</v>
      </c>
      <c r="J328" s="2">
        <v>66</v>
      </c>
      <c r="K328" s="2">
        <v>67.068600000000004</v>
      </c>
      <c r="L328" s="2">
        <v>66</v>
      </c>
      <c r="M328" s="2">
        <v>89.989599999999996</v>
      </c>
      <c r="N328" s="2">
        <v>342</v>
      </c>
      <c r="O328" s="2">
        <v>90.579800000000006</v>
      </c>
      <c r="P328" s="2">
        <v>340</v>
      </c>
      <c r="Q328" s="2">
        <v>106.54340000000001</v>
      </c>
      <c r="R328" s="2">
        <v>274</v>
      </c>
      <c r="S328" s="2">
        <v>106.374</v>
      </c>
      <c r="T328" s="2">
        <v>253</v>
      </c>
      <c r="U328" s="2">
        <v>0.13606199999999999</v>
      </c>
      <c r="V328" s="2">
        <v>327</v>
      </c>
      <c r="W328" s="2">
        <v>2015</v>
      </c>
    </row>
    <row r="329" spans="1:23" ht="12.3" x14ac:dyDescent="0.4">
      <c r="A329" s="2" t="s">
        <v>372</v>
      </c>
      <c r="B329" s="2"/>
      <c r="C329" s="2"/>
      <c r="D329" s="2"/>
      <c r="E329" s="2"/>
      <c r="F329" s="2"/>
      <c r="G329" s="2"/>
      <c r="H329" s="2"/>
      <c r="I329" s="2">
        <v>61.827199999999998</v>
      </c>
      <c r="J329" s="2">
        <v>307</v>
      </c>
      <c r="K329" s="2">
        <v>62.384799999999998</v>
      </c>
      <c r="L329" s="2">
        <v>290</v>
      </c>
      <c r="M329" s="2">
        <v>92.403800000000004</v>
      </c>
      <c r="N329" s="2">
        <v>326</v>
      </c>
      <c r="O329" s="2">
        <v>91.162999999999997</v>
      </c>
      <c r="P329" s="2">
        <v>335</v>
      </c>
      <c r="Q329" s="2">
        <v>104.95959999999999</v>
      </c>
      <c r="R329" s="2">
        <v>237</v>
      </c>
      <c r="S329" s="2">
        <v>107.09350000000001</v>
      </c>
      <c r="T329" s="2">
        <v>270</v>
      </c>
      <c r="U329" s="2">
        <v>0.135625</v>
      </c>
      <c r="V329" s="2">
        <v>328</v>
      </c>
      <c r="W329" s="2">
        <v>2015</v>
      </c>
    </row>
    <row r="330" spans="1:23" ht="12.3" x14ac:dyDescent="0.4">
      <c r="A330" s="2" t="s">
        <v>179</v>
      </c>
      <c r="B330" s="2"/>
      <c r="C330" s="2"/>
      <c r="D330" s="2"/>
      <c r="E330" s="2"/>
      <c r="F330" s="2"/>
      <c r="G330" s="2"/>
      <c r="H330" s="2"/>
      <c r="I330" s="2">
        <v>59.6126</v>
      </c>
      <c r="J330" s="2">
        <v>341</v>
      </c>
      <c r="K330" s="2">
        <v>59.345700000000001</v>
      </c>
      <c r="L330" s="2">
        <v>343</v>
      </c>
      <c r="M330" s="2">
        <v>103.7441</v>
      </c>
      <c r="N330" s="2">
        <v>132</v>
      </c>
      <c r="O330" s="2">
        <v>101.6238</v>
      </c>
      <c r="P330" s="2">
        <v>179</v>
      </c>
      <c r="Q330" s="2">
        <v>117.8852</v>
      </c>
      <c r="R330" s="2">
        <v>351</v>
      </c>
      <c r="S330" s="2">
        <v>120.408</v>
      </c>
      <c r="T330" s="2">
        <v>351</v>
      </c>
      <c r="U330" s="2">
        <v>0.1245</v>
      </c>
      <c r="V330" s="2">
        <v>329</v>
      </c>
      <c r="W330" s="2">
        <v>2015</v>
      </c>
    </row>
    <row r="331" spans="1:23" ht="12.3" x14ac:dyDescent="0.4">
      <c r="A331" s="2" t="s">
        <v>272</v>
      </c>
      <c r="B331" s="2"/>
      <c r="C331" s="2"/>
      <c r="D331" s="2"/>
      <c r="E331" s="2"/>
      <c r="F331" s="2"/>
      <c r="G331" s="2"/>
      <c r="H331" s="2"/>
      <c r="I331" s="2">
        <v>64.371300000000005</v>
      </c>
      <c r="J331" s="2">
        <v>198</v>
      </c>
      <c r="K331" s="2">
        <v>63.691000000000003</v>
      </c>
      <c r="L331" s="2">
        <v>236</v>
      </c>
      <c r="M331" s="2">
        <v>94.785499999999999</v>
      </c>
      <c r="N331" s="2">
        <v>301</v>
      </c>
      <c r="O331" s="2">
        <v>94.733900000000006</v>
      </c>
      <c r="P331" s="2">
        <v>306</v>
      </c>
      <c r="Q331" s="2">
        <v>106.4526</v>
      </c>
      <c r="R331" s="2">
        <v>272</v>
      </c>
      <c r="S331" s="2">
        <v>112.3258</v>
      </c>
      <c r="T331" s="2">
        <v>335</v>
      </c>
      <c r="U331" s="2">
        <v>0.123595</v>
      </c>
      <c r="V331" s="2">
        <v>330</v>
      </c>
      <c r="W331" s="2">
        <v>2015</v>
      </c>
    </row>
    <row r="332" spans="1:23" ht="12.3" x14ac:dyDescent="0.4">
      <c r="A332" s="2" t="s">
        <v>346</v>
      </c>
      <c r="B332" s="2"/>
      <c r="C332" s="2"/>
      <c r="D332" s="2"/>
      <c r="E332" s="2"/>
      <c r="F332" s="2"/>
      <c r="G332" s="2"/>
      <c r="H332" s="2"/>
      <c r="I332" s="2">
        <v>66.605099999999993</v>
      </c>
      <c r="J332" s="2">
        <v>89</v>
      </c>
      <c r="K332" s="2">
        <v>66.421000000000006</v>
      </c>
      <c r="L332" s="2">
        <v>93</v>
      </c>
      <c r="M332" s="2">
        <v>91.9238</v>
      </c>
      <c r="N332" s="2">
        <v>335</v>
      </c>
      <c r="O332" s="2">
        <v>90.555999999999997</v>
      </c>
      <c r="P332" s="2">
        <v>341</v>
      </c>
      <c r="Q332" s="2">
        <v>106.3501</v>
      </c>
      <c r="R332" s="2">
        <v>268</v>
      </c>
      <c r="S332" s="2">
        <v>107.6855</v>
      </c>
      <c r="T332" s="2">
        <v>280</v>
      </c>
      <c r="U332" s="2">
        <v>0.12001000000000001</v>
      </c>
      <c r="V332" s="2">
        <v>331</v>
      </c>
      <c r="W332" s="2">
        <v>2015</v>
      </c>
    </row>
    <row r="333" spans="1:23" ht="12.3" x14ac:dyDescent="0.4">
      <c r="A333" s="2" t="s">
        <v>384</v>
      </c>
      <c r="B333" s="2"/>
      <c r="C333" s="2"/>
      <c r="D333" s="2"/>
      <c r="E333" s="2"/>
      <c r="F333" s="2"/>
      <c r="G333" s="2"/>
      <c r="H333" s="2"/>
      <c r="I333" s="2">
        <v>64.841499999999996</v>
      </c>
      <c r="J333" s="2">
        <v>171</v>
      </c>
      <c r="K333" s="2">
        <v>63.627299999999998</v>
      </c>
      <c r="L333" s="2">
        <v>244</v>
      </c>
      <c r="M333" s="2">
        <v>93.329499999999996</v>
      </c>
      <c r="N333" s="2">
        <v>318</v>
      </c>
      <c r="O333" s="2">
        <v>92.950100000000006</v>
      </c>
      <c r="P333" s="2">
        <v>319</v>
      </c>
      <c r="Q333" s="2">
        <v>111.039</v>
      </c>
      <c r="R333" s="2">
        <v>331</v>
      </c>
      <c r="S333" s="2">
        <v>110.61450000000001</v>
      </c>
      <c r="T333" s="2">
        <v>324</v>
      </c>
      <c r="U333" s="2">
        <v>0.11911099999999999</v>
      </c>
      <c r="V333" s="2">
        <v>332</v>
      </c>
      <c r="W333" s="2">
        <v>2015</v>
      </c>
    </row>
    <row r="334" spans="1:23" ht="12.3" x14ac:dyDescent="0.4">
      <c r="A334" s="2" t="s">
        <v>313</v>
      </c>
      <c r="B334" s="2"/>
      <c r="C334" s="2"/>
      <c r="D334" s="2"/>
      <c r="E334" s="2"/>
      <c r="F334" s="2"/>
      <c r="G334" s="2"/>
      <c r="H334" s="2"/>
      <c r="I334" s="2">
        <v>60.575000000000003</v>
      </c>
      <c r="J334" s="2">
        <v>334</v>
      </c>
      <c r="K334" s="2">
        <v>60.488399999999999</v>
      </c>
      <c r="L334" s="2">
        <v>336</v>
      </c>
      <c r="M334" s="2">
        <v>93.969499999999996</v>
      </c>
      <c r="N334" s="2">
        <v>311</v>
      </c>
      <c r="O334" s="2">
        <v>90.580399999999997</v>
      </c>
      <c r="P334" s="2">
        <v>339</v>
      </c>
      <c r="Q334" s="2">
        <v>102.7555</v>
      </c>
      <c r="R334" s="2">
        <v>185</v>
      </c>
      <c r="S334" s="2">
        <v>107.82599999999999</v>
      </c>
      <c r="T334" s="2">
        <v>283</v>
      </c>
      <c r="U334" s="2">
        <v>0.118759</v>
      </c>
      <c r="V334" s="2">
        <v>333</v>
      </c>
      <c r="W334" s="2">
        <v>2015</v>
      </c>
    </row>
    <row r="335" spans="1:23" ht="12.3" x14ac:dyDescent="0.4">
      <c r="A335" s="2" t="s">
        <v>298</v>
      </c>
      <c r="B335" s="2"/>
      <c r="C335" s="2"/>
      <c r="D335" s="2"/>
      <c r="E335" s="2"/>
      <c r="F335" s="2"/>
      <c r="G335" s="2"/>
      <c r="H335" s="2"/>
      <c r="I335" s="2">
        <v>66.408900000000003</v>
      </c>
      <c r="J335" s="2">
        <v>102</v>
      </c>
      <c r="K335" s="2">
        <v>66.942700000000002</v>
      </c>
      <c r="L335" s="2">
        <v>71</v>
      </c>
      <c r="M335" s="2">
        <v>97.784099999999995</v>
      </c>
      <c r="N335" s="2">
        <v>265</v>
      </c>
      <c r="O335" s="2">
        <v>95.479399999999998</v>
      </c>
      <c r="P335" s="2">
        <v>303</v>
      </c>
      <c r="Q335" s="2">
        <v>111.8633</v>
      </c>
      <c r="R335" s="2">
        <v>337</v>
      </c>
      <c r="S335" s="2">
        <v>113.7099</v>
      </c>
      <c r="T335" s="2">
        <v>340</v>
      </c>
      <c r="U335" s="2">
        <v>0.11820899999999999</v>
      </c>
      <c r="V335" s="2">
        <v>334</v>
      </c>
      <c r="W335" s="2">
        <v>2015</v>
      </c>
    </row>
    <row r="336" spans="1:23" ht="12.3" x14ac:dyDescent="0.4">
      <c r="A336" s="2" t="s">
        <v>288</v>
      </c>
      <c r="B336" s="2"/>
      <c r="C336" s="2"/>
      <c r="D336" s="2"/>
      <c r="E336" s="2"/>
      <c r="F336" s="2"/>
      <c r="G336" s="2"/>
      <c r="H336" s="2"/>
      <c r="I336" s="2">
        <v>64.881500000000003</v>
      </c>
      <c r="J336" s="2">
        <v>166</v>
      </c>
      <c r="K336" s="2">
        <v>64.640199999999993</v>
      </c>
      <c r="L336" s="2">
        <v>174</v>
      </c>
      <c r="M336" s="2">
        <v>89.067099999999996</v>
      </c>
      <c r="N336" s="2">
        <v>344</v>
      </c>
      <c r="O336" s="2">
        <v>89.868099999999998</v>
      </c>
      <c r="P336" s="2">
        <v>343</v>
      </c>
      <c r="Q336" s="2">
        <v>103.85169999999999</v>
      </c>
      <c r="R336" s="2">
        <v>212</v>
      </c>
      <c r="S336" s="2">
        <v>107.33150000000001</v>
      </c>
      <c r="T336" s="2">
        <v>272</v>
      </c>
      <c r="U336" s="2">
        <v>0.11484800000000001</v>
      </c>
      <c r="V336" s="2">
        <v>335</v>
      </c>
      <c r="W336" s="2">
        <v>2015</v>
      </c>
    </row>
    <row r="337" spans="1:23" ht="12.3" x14ac:dyDescent="0.4">
      <c r="A337" s="2" t="s">
        <v>348</v>
      </c>
      <c r="B337" s="2"/>
      <c r="C337" s="2"/>
      <c r="D337" s="2"/>
      <c r="E337" s="2"/>
      <c r="F337" s="2"/>
      <c r="G337" s="2"/>
      <c r="H337" s="2"/>
      <c r="I337" s="2">
        <v>63.218499999999999</v>
      </c>
      <c r="J337" s="2">
        <v>261</v>
      </c>
      <c r="K337" s="2">
        <v>63.091799999999999</v>
      </c>
      <c r="L337" s="2">
        <v>266</v>
      </c>
      <c r="M337" s="2">
        <v>87.253</v>
      </c>
      <c r="N337" s="2">
        <v>345</v>
      </c>
      <c r="O337" s="2">
        <v>88.762299999999996</v>
      </c>
      <c r="P337" s="2">
        <v>345</v>
      </c>
      <c r="Q337" s="2">
        <v>106.4271</v>
      </c>
      <c r="R337" s="2">
        <v>270</v>
      </c>
      <c r="S337" s="2">
        <v>106.18259999999999</v>
      </c>
      <c r="T337" s="2">
        <v>248</v>
      </c>
      <c r="U337" s="2">
        <v>0.112968</v>
      </c>
      <c r="V337" s="2">
        <v>336</v>
      </c>
      <c r="W337" s="2">
        <v>2015</v>
      </c>
    </row>
    <row r="338" spans="1:23" ht="12.3" x14ac:dyDescent="0.4">
      <c r="A338" s="2" t="s">
        <v>345</v>
      </c>
      <c r="B338" s="2"/>
      <c r="C338" s="2"/>
      <c r="D338" s="2"/>
      <c r="E338" s="2"/>
      <c r="F338" s="2"/>
      <c r="G338" s="2"/>
      <c r="H338" s="2"/>
      <c r="I338" s="2">
        <v>65.742900000000006</v>
      </c>
      <c r="J338" s="2">
        <v>127</v>
      </c>
      <c r="K338" s="2">
        <v>65.265100000000004</v>
      </c>
      <c r="L338" s="2">
        <v>146</v>
      </c>
      <c r="M338" s="2">
        <v>92.878799999999998</v>
      </c>
      <c r="N338" s="2">
        <v>322</v>
      </c>
      <c r="O338" s="2">
        <v>92.549400000000006</v>
      </c>
      <c r="P338" s="2">
        <v>322</v>
      </c>
      <c r="Q338" s="2">
        <v>107.4293</v>
      </c>
      <c r="R338" s="2">
        <v>291</v>
      </c>
      <c r="S338" s="2">
        <v>111.0415</v>
      </c>
      <c r="T338" s="2">
        <v>326</v>
      </c>
      <c r="U338" s="2">
        <v>0.109598</v>
      </c>
      <c r="V338" s="2">
        <v>337</v>
      </c>
      <c r="W338" s="2">
        <v>2015</v>
      </c>
    </row>
    <row r="339" spans="1:23" ht="12.3" x14ac:dyDescent="0.4">
      <c r="A339" s="2" t="s">
        <v>361</v>
      </c>
      <c r="B339" s="2"/>
      <c r="C339" s="2"/>
      <c r="D339" s="2"/>
      <c r="E339" s="2"/>
      <c r="F339" s="2"/>
      <c r="G339" s="2"/>
      <c r="H339" s="2"/>
      <c r="I339" s="2">
        <v>66.45</v>
      </c>
      <c r="J339" s="2">
        <v>99</v>
      </c>
      <c r="K339" s="2">
        <v>65.343900000000005</v>
      </c>
      <c r="L339" s="2">
        <v>143</v>
      </c>
      <c r="M339" s="2">
        <v>92.774799999999999</v>
      </c>
      <c r="N339" s="2">
        <v>323</v>
      </c>
      <c r="O339" s="2">
        <v>92.530199999999994</v>
      </c>
      <c r="P339" s="2">
        <v>323</v>
      </c>
      <c r="Q339" s="2">
        <v>111.5168</v>
      </c>
      <c r="R339" s="2">
        <v>335</v>
      </c>
      <c r="S339" s="2">
        <v>111.40089999999999</v>
      </c>
      <c r="T339" s="2">
        <v>331</v>
      </c>
      <c r="U339" s="2">
        <v>0.105798</v>
      </c>
      <c r="V339" s="2">
        <v>338</v>
      </c>
      <c r="W339" s="2">
        <v>2015</v>
      </c>
    </row>
    <row r="340" spans="1:23" ht="12.3" x14ac:dyDescent="0.4">
      <c r="A340" s="2" t="s">
        <v>352</v>
      </c>
      <c r="B340" s="2"/>
      <c r="C340" s="2"/>
      <c r="D340" s="2"/>
      <c r="E340" s="2"/>
      <c r="F340" s="2"/>
      <c r="G340" s="2"/>
      <c r="H340" s="2"/>
      <c r="I340" s="2">
        <v>65.613299999999995</v>
      </c>
      <c r="J340" s="2">
        <v>137</v>
      </c>
      <c r="K340" s="2">
        <v>64.921300000000002</v>
      </c>
      <c r="L340" s="2">
        <v>160</v>
      </c>
      <c r="M340" s="2">
        <v>84.731300000000005</v>
      </c>
      <c r="N340" s="2">
        <v>348</v>
      </c>
      <c r="O340" s="2">
        <v>86.704999999999998</v>
      </c>
      <c r="P340" s="2">
        <v>348</v>
      </c>
      <c r="Q340" s="2">
        <v>102.4204</v>
      </c>
      <c r="R340" s="2">
        <v>177</v>
      </c>
      <c r="S340" s="2">
        <v>104.42059999999999</v>
      </c>
      <c r="T340" s="2">
        <v>211</v>
      </c>
      <c r="U340" s="2">
        <v>0.10545499999999999</v>
      </c>
      <c r="V340" s="2">
        <v>339</v>
      </c>
      <c r="W340" s="2">
        <v>2015</v>
      </c>
    </row>
    <row r="341" spans="1:23" ht="12.3" x14ac:dyDescent="0.4">
      <c r="A341" s="2" t="s">
        <v>296</v>
      </c>
      <c r="B341" s="2"/>
      <c r="C341" s="2"/>
      <c r="D341" s="2"/>
      <c r="E341" s="2"/>
      <c r="F341" s="2"/>
      <c r="G341" s="2"/>
      <c r="H341" s="2"/>
      <c r="I341" s="2">
        <v>62.432600000000001</v>
      </c>
      <c r="J341" s="2">
        <v>293</v>
      </c>
      <c r="K341" s="2">
        <v>62.338900000000002</v>
      </c>
      <c r="L341" s="2">
        <v>292</v>
      </c>
      <c r="M341" s="2">
        <v>92.640299999999996</v>
      </c>
      <c r="N341" s="2">
        <v>325</v>
      </c>
      <c r="O341" s="2">
        <v>92.308300000000003</v>
      </c>
      <c r="P341" s="2">
        <v>328</v>
      </c>
      <c r="Q341" s="2">
        <v>106.1365</v>
      </c>
      <c r="R341" s="2">
        <v>266</v>
      </c>
      <c r="S341" s="2">
        <v>111.24509999999999</v>
      </c>
      <c r="T341" s="2">
        <v>329</v>
      </c>
      <c r="U341" s="2">
        <v>0.104713</v>
      </c>
      <c r="V341" s="2">
        <v>340</v>
      </c>
      <c r="W341" s="2">
        <v>2015</v>
      </c>
    </row>
    <row r="342" spans="1:23" ht="12.3" x14ac:dyDescent="0.4">
      <c r="A342" s="2" t="s">
        <v>156</v>
      </c>
      <c r="B342" s="2"/>
      <c r="C342" s="2"/>
      <c r="D342" s="2"/>
      <c r="E342" s="2"/>
      <c r="F342" s="2"/>
      <c r="G342" s="2"/>
      <c r="H342" s="2"/>
      <c r="I342" s="2">
        <v>63.9587</v>
      </c>
      <c r="J342" s="2">
        <v>229</v>
      </c>
      <c r="K342" s="2">
        <v>63.503900000000002</v>
      </c>
      <c r="L342" s="2">
        <v>250</v>
      </c>
      <c r="M342" s="2">
        <v>92.249099999999999</v>
      </c>
      <c r="N342" s="2">
        <v>330</v>
      </c>
      <c r="O342" s="2">
        <v>91.619200000000006</v>
      </c>
      <c r="P342" s="2">
        <v>331</v>
      </c>
      <c r="Q342" s="2">
        <v>108.979</v>
      </c>
      <c r="R342" s="2">
        <v>310</v>
      </c>
      <c r="S342" s="2">
        <v>110.59010000000001</v>
      </c>
      <c r="T342" s="2">
        <v>323</v>
      </c>
      <c r="U342" s="2">
        <v>0.10301299999999999</v>
      </c>
      <c r="V342" s="2">
        <v>341</v>
      </c>
      <c r="W342" s="2">
        <v>2015</v>
      </c>
    </row>
    <row r="343" spans="1:23" ht="12.3" x14ac:dyDescent="0.4">
      <c r="A343" s="2" t="s">
        <v>268</v>
      </c>
      <c r="B343" s="2"/>
      <c r="C343" s="2"/>
      <c r="D343" s="2"/>
      <c r="E343" s="2"/>
      <c r="F343" s="2"/>
      <c r="G343" s="2"/>
      <c r="H343" s="2"/>
      <c r="I343" s="2">
        <v>63.998699999999999</v>
      </c>
      <c r="J343" s="2">
        <v>225</v>
      </c>
      <c r="K343" s="2">
        <v>63.927500000000002</v>
      </c>
      <c r="L343" s="2">
        <v>222</v>
      </c>
      <c r="M343" s="2">
        <v>87.012100000000004</v>
      </c>
      <c r="N343" s="2">
        <v>346</v>
      </c>
      <c r="O343" s="2">
        <v>87.511700000000005</v>
      </c>
      <c r="P343" s="2">
        <v>347</v>
      </c>
      <c r="Q343" s="2">
        <v>106.9114</v>
      </c>
      <c r="R343" s="2">
        <v>281</v>
      </c>
      <c r="S343" s="2">
        <v>105.7753</v>
      </c>
      <c r="T343" s="2">
        <v>238</v>
      </c>
      <c r="U343" s="2">
        <v>0.10158200000000001</v>
      </c>
      <c r="V343" s="2">
        <v>342</v>
      </c>
      <c r="W343" s="2">
        <v>2015</v>
      </c>
    </row>
    <row r="344" spans="1:23" ht="12.3" x14ac:dyDescent="0.4">
      <c r="A344" s="2" t="s">
        <v>202</v>
      </c>
      <c r="B344" s="2"/>
      <c r="C344" s="2"/>
      <c r="D344" s="2"/>
      <c r="E344" s="2"/>
      <c r="F344" s="2"/>
      <c r="G344" s="2"/>
      <c r="H344" s="2"/>
      <c r="I344" s="2">
        <v>64.043800000000005</v>
      </c>
      <c r="J344" s="2">
        <v>220</v>
      </c>
      <c r="K344" s="2">
        <v>64.046400000000006</v>
      </c>
      <c r="L344" s="2">
        <v>207</v>
      </c>
      <c r="M344" s="2">
        <v>93.088499999999996</v>
      </c>
      <c r="N344" s="2">
        <v>321</v>
      </c>
      <c r="O344" s="2">
        <v>91.9315</v>
      </c>
      <c r="P344" s="2">
        <v>330</v>
      </c>
      <c r="Q344" s="2">
        <v>108.6922</v>
      </c>
      <c r="R344" s="2">
        <v>308</v>
      </c>
      <c r="S344" s="2">
        <v>111.3929</v>
      </c>
      <c r="T344" s="2">
        <v>330</v>
      </c>
      <c r="U344" s="2">
        <v>9.9014000000000005E-2</v>
      </c>
      <c r="V344" s="2">
        <v>343</v>
      </c>
      <c r="W344" s="2">
        <v>2015</v>
      </c>
    </row>
    <row r="345" spans="1:23" ht="12.3" x14ac:dyDescent="0.4">
      <c r="A345" s="2" t="s">
        <v>252</v>
      </c>
      <c r="B345" s="2"/>
      <c r="C345" s="2"/>
      <c r="D345" s="2"/>
      <c r="E345" s="2"/>
      <c r="F345" s="2"/>
      <c r="G345" s="2"/>
      <c r="H345" s="2"/>
      <c r="I345" s="2">
        <v>64.442599999999999</v>
      </c>
      <c r="J345" s="2">
        <v>195</v>
      </c>
      <c r="K345" s="2">
        <v>64.989400000000003</v>
      </c>
      <c r="L345" s="2">
        <v>157</v>
      </c>
      <c r="M345" s="2">
        <v>86.969300000000004</v>
      </c>
      <c r="N345" s="2">
        <v>347</v>
      </c>
      <c r="O345" s="2">
        <v>88.148200000000003</v>
      </c>
      <c r="P345" s="2">
        <v>346</v>
      </c>
      <c r="Q345" s="2">
        <v>103.938</v>
      </c>
      <c r="R345" s="2">
        <v>213</v>
      </c>
      <c r="S345" s="2">
        <v>108.33159999999999</v>
      </c>
      <c r="T345" s="2">
        <v>294</v>
      </c>
      <c r="U345" s="2">
        <v>8.5407999999999998E-2</v>
      </c>
      <c r="V345" s="2">
        <v>344</v>
      </c>
      <c r="W345" s="2">
        <v>2015</v>
      </c>
    </row>
    <row r="346" spans="1:23" ht="12.3" x14ac:dyDescent="0.4">
      <c r="A346" s="2" t="s">
        <v>309</v>
      </c>
      <c r="B346" s="2"/>
      <c r="C346" s="2"/>
      <c r="D346" s="2"/>
      <c r="E346" s="2"/>
      <c r="F346" s="2"/>
      <c r="G346" s="2"/>
      <c r="H346" s="2"/>
      <c r="I346" s="2">
        <v>66.233599999999996</v>
      </c>
      <c r="J346" s="2">
        <v>106</v>
      </c>
      <c r="K346" s="2">
        <v>66.448800000000006</v>
      </c>
      <c r="L346" s="2">
        <v>92</v>
      </c>
      <c r="M346" s="2">
        <v>90.328299999999999</v>
      </c>
      <c r="N346" s="2">
        <v>340</v>
      </c>
      <c r="O346" s="2">
        <v>92.376300000000001</v>
      </c>
      <c r="P346" s="2">
        <v>327</v>
      </c>
      <c r="Q346" s="2">
        <v>112.13160000000001</v>
      </c>
      <c r="R346" s="2">
        <v>341</v>
      </c>
      <c r="S346" s="2">
        <v>114.00830000000001</v>
      </c>
      <c r="T346" s="2">
        <v>341</v>
      </c>
      <c r="U346" s="2">
        <v>8.1689999999999999E-2</v>
      </c>
      <c r="V346" s="2">
        <v>345</v>
      </c>
      <c r="W346" s="2">
        <v>2015</v>
      </c>
    </row>
    <row r="347" spans="1:23" ht="12.3" x14ac:dyDescent="0.4">
      <c r="A347" s="2" t="s">
        <v>261</v>
      </c>
      <c r="B347" s="2"/>
      <c r="C347" s="2"/>
      <c r="D347" s="2"/>
      <c r="E347" s="2"/>
      <c r="F347" s="2"/>
      <c r="G347" s="2"/>
      <c r="H347" s="2"/>
      <c r="I347" s="2">
        <v>67.710400000000007</v>
      </c>
      <c r="J347" s="2">
        <v>55</v>
      </c>
      <c r="K347" s="2">
        <v>67.093299999999999</v>
      </c>
      <c r="L347" s="2">
        <v>62</v>
      </c>
      <c r="M347" s="2">
        <v>93.360200000000006</v>
      </c>
      <c r="N347" s="2">
        <v>317</v>
      </c>
      <c r="O347" s="2">
        <v>92.458100000000002</v>
      </c>
      <c r="P347" s="2">
        <v>324</v>
      </c>
      <c r="Q347" s="2">
        <v>109.63849999999999</v>
      </c>
      <c r="R347" s="2">
        <v>319</v>
      </c>
      <c r="S347" s="2">
        <v>115.4455</v>
      </c>
      <c r="T347" s="2">
        <v>349</v>
      </c>
      <c r="U347" s="2">
        <v>7.2192000000000006E-2</v>
      </c>
      <c r="V347" s="2">
        <v>346</v>
      </c>
      <c r="W347" s="2">
        <v>2015</v>
      </c>
    </row>
    <row r="348" spans="1:23" ht="12.3" x14ac:dyDescent="0.4">
      <c r="A348" s="2" t="s">
        <v>299</v>
      </c>
      <c r="B348" s="2"/>
      <c r="C348" s="2"/>
      <c r="D348" s="2"/>
      <c r="E348" s="2"/>
      <c r="F348" s="2"/>
      <c r="G348" s="2"/>
      <c r="H348" s="2"/>
      <c r="I348" s="2">
        <v>71.118200000000002</v>
      </c>
      <c r="J348" s="2">
        <v>6</v>
      </c>
      <c r="K348" s="2">
        <v>71.018699999999995</v>
      </c>
      <c r="L348" s="2">
        <v>5</v>
      </c>
      <c r="M348" s="2">
        <v>89.267099999999999</v>
      </c>
      <c r="N348" s="2">
        <v>343</v>
      </c>
      <c r="O348" s="2">
        <v>90.955399999999997</v>
      </c>
      <c r="P348" s="2">
        <v>337</v>
      </c>
      <c r="Q348" s="2">
        <v>111.41549999999999</v>
      </c>
      <c r="R348" s="2">
        <v>333</v>
      </c>
      <c r="S348" s="2">
        <v>115.1439</v>
      </c>
      <c r="T348" s="2">
        <v>346</v>
      </c>
      <c r="U348" s="2">
        <v>6.2276999999999999E-2</v>
      </c>
      <c r="V348" s="2">
        <v>347</v>
      </c>
      <c r="W348" s="2">
        <v>2015</v>
      </c>
    </row>
    <row r="349" spans="1:23" ht="12.3" x14ac:dyDescent="0.4">
      <c r="A349" s="2" t="s">
        <v>364</v>
      </c>
      <c r="B349" s="2"/>
      <c r="C349" s="2"/>
      <c r="D349" s="2"/>
      <c r="E349" s="2"/>
      <c r="F349" s="2"/>
      <c r="G349" s="2"/>
      <c r="H349" s="2"/>
      <c r="I349" s="2">
        <v>71.298699999999997</v>
      </c>
      <c r="J349" s="2">
        <v>5</v>
      </c>
      <c r="K349" s="2">
        <v>69.432699999999997</v>
      </c>
      <c r="L349" s="2">
        <v>18</v>
      </c>
      <c r="M349" s="2">
        <v>91.4465</v>
      </c>
      <c r="N349" s="2">
        <v>337</v>
      </c>
      <c r="O349" s="2">
        <v>90.361699999999999</v>
      </c>
      <c r="P349" s="2">
        <v>342</v>
      </c>
      <c r="Q349" s="2">
        <v>115.2538</v>
      </c>
      <c r="R349" s="2">
        <v>350</v>
      </c>
      <c r="S349" s="2">
        <v>115.1825</v>
      </c>
      <c r="T349" s="2">
        <v>347</v>
      </c>
      <c r="U349" s="2">
        <v>5.7811000000000001E-2</v>
      </c>
      <c r="V349" s="2">
        <v>348</v>
      </c>
      <c r="W349" s="2">
        <v>2015</v>
      </c>
    </row>
    <row r="350" spans="1:23" ht="12.3" x14ac:dyDescent="0.4">
      <c r="A350" s="2" t="s">
        <v>278</v>
      </c>
      <c r="B350" s="2"/>
      <c r="C350" s="2"/>
      <c r="D350" s="2"/>
      <c r="E350" s="2"/>
      <c r="F350" s="2"/>
      <c r="G350" s="2"/>
      <c r="H350" s="2"/>
      <c r="I350" s="2">
        <v>63.634700000000002</v>
      </c>
      <c r="J350" s="2">
        <v>245</v>
      </c>
      <c r="K350" s="2">
        <v>64.608800000000002</v>
      </c>
      <c r="L350" s="2">
        <v>178</v>
      </c>
      <c r="M350" s="2">
        <v>82.379800000000003</v>
      </c>
      <c r="N350" s="2">
        <v>350</v>
      </c>
      <c r="O350" s="2">
        <v>85.178100000000001</v>
      </c>
      <c r="P350" s="2">
        <v>350</v>
      </c>
      <c r="Q350" s="2">
        <v>110.78189999999999</v>
      </c>
      <c r="R350" s="2">
        <v>328</v>
      </c>
      <c r="S350" s="2">
        <v>108.6446</v>
      </c>
      <c r="T350" s="2">
        <v>298</v>
      </c>
      <c r="U350" s="2">
        <v>5.7410999999999997E-2</v>
      </c>
      <c r="V350" s="2">
        <v>349</v>
      </c>
      <c r="W350" s="2">
        <v>2015</v>
      </c>
    </row>
    <row r="351" spans="1:23" ht="12.3" x14ac:dyDescent="0.4">
      <c r="A351" s="2" t="s">
        <v>301</v>
      </c>
      <c r="B351" s="2"/>
      <c r="C351" s="2"/>
      <c r="D351" s="2"/>
      <c r="E351" s="2"/>
      <c r="F351" s="2"/>
      <c r="G351" s="2"/>
      <c r="H351" s="2"/>
      <c r="I351" s="2">
        <v>65.708200000000005</v>
      </c>
      <c r="J351" s="2">
        <v>130</v>
      </c>
      <c r="K351" s="2">
        <v>66.2517</v>
      </c>
      <c r="L351" s="2">
        <v>100</v>
      </c>
      <c r="M351" s="2">
        <v>84.436099999999996</v>
      </c>
      <c r="N351" s="2">
        <v>349</v>
      </c>
      <c r="O351" s="2">
        <v>85.374700000000004</v>
      </c>
      <c r="P351" s="2">
        <v>349</v>
      </c>
      <c r="Q351" s="2">
        <v>110.9158</v>
      </c>
      <c r="R351" s="2">
        <v>329</v>
      </c>
      <c r="S351" s="2">
        <v>114.542</v>
      </c>
      <c r="T351" s="2">
        <v>344</v>
      </c>
      <c r="U351" s="2">
        <v>3.2933999999999998E-2</v>
      </c>
      <c r="V351" s="2">
        <v>350</v>
      </c>
      <c r="W351" s="2">
        <v>2015</v>
      </c>
    </row>
    <row r="352" spans="1:23" ht="12.3" x14ac:dyDescent="0.4">
      <c r="A352" s="2" t="s">
        <v>329</v>
      </c>
      <c r="B352" s="2"/>
      <c r="C352" s="2"/>
      <c r="D352" s="2"/>
      <c r="E352" s="2"/>
      <c r="F352" s="2"/>
      <c r="G352" s="2"/>
      <c r="H352" s="2"/>
      <c r="I352" s="2">
        <v>66.054599999999994</v>
      </c>
      <c r="J352" s="2">
        <v>116</v>
      </c>
      <c r="K352" s="2">
        <v>65.539400000000001</v>
      </c>
      <c r="L352" s="2">
        <v>132</v>
      </c>
      <c r="M352" s="2">
        <v>77.478300000000004</v>
      </c>
      <c r="N352" s="2">
        <v>351</v>
      </c>
      <c r="O352" s="2">
        <v>79.896799999999999</v>
      </c>
      <c r="P352" s="2">
        <v>351</v>
      </c>
      <c r="Q352" s="2">
        <v>112.0304</v>
      </c>
      <c r="R352" s="2">
        <v>339</v>
      </c>
      <c r="S352" s="2">
        <v>114.3224</v>
      </c>
      <c r="T352" s="2">
        <v>343</v>
      </c>
      <c r="U352" s="2">
        <v>1.5980000000000001E-2</v>
      </c>
      <c r="V352" s="2">
        <v>351</v>
      </c>
      <c r="W352" s="2">
        <v>2015</v>
      </c>
    </row>
  </sheetData>
  <autoFilter ref="A1:W352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P704"/>
  <sheetViews>
    <sheetView workbookViewId="0"/>
  </sheetViews>
  <sheetFormatPr defaultColWidth="14.44140625" defaultRowHeight="15.75" customHeight="1" x14ac:dyDescent="0.4"/>
  <cols>
    <col min="2" max="2" width="6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</cols>
  <sheetData>
    <row r="1" spans="1:16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385</v>
      </c>
      <c r="P1" s="2" t="s">
        <v>386</v>
      </c>
    </row>
    <row r="2" spans="1:16" ht="15.75" customHeight="1" x14ac:dyDescent="0.4">
      <c r="A2" s="2" t="s">
        <v>47</v>
      </c>
      <c r="B2" s="2">
        <v>1</v>
      </c>
      <c r="C2" s="2"/>
      <c r="D2" s="2"/>
      <c r="E2" s="2"/>
      <c r="F2" s="2"/>
      <c r="G2" s="2"/>
      <c r="H2" s="2"/>
      <c r="I2" s="2">
        <v>120.711</v>
      </c>
      <c r="J2" s="2">
        <v>10</v>
      </c>
      <c r="K2" s="2">
        <v>86.274699999999996</v>
      </c>
      <c r="L2" s="2">
        <v>1</v>
      </c>
      <c r="M2" s="2">
        <v>87.6571</v>
      </c>
      <c r="N2" s="2">
        <v>2</v>
      </c>
      <c r="O2" s="2">
        <v>33.053800000000003</v>
      </c>
      <c r="P2" s="2">
        <v>1</v>
      </c>
    </row>
    <row r="3" spans="1:16" ht="15.75" customHeight="1" x14ac:dyDescent="0.4">
      <c r="A3" s="2" t="s">
        <v>78</v>
      </c>
      <c r="B3" s="2">
        <v>1</v>
      </c>
      <c r="C3" s="2"/>
      <c r="D3" s="2"/>
      <c r="E3" s="2"/>
      <c r="F3" s="2"/>
      <c r="G3" s="2"/>
      <c r="H3" s="2"/>
      <c r="I3" s="2">
        <v>122.753</v>
      </c>
      <c r="J3" s="2">
        <v>3</v>
      </c>
      <c r="K3" s="2">
        <v>95.713899999999995</v>
      </c>
      <c r="L3" s="2">
        <v>29</v>
      </c>
      <c r="M3" s="2">
        <v>91.9756</v>
      </c>
      <c r="N3" s="2">
        <v>12</v>
      </c>
      <c r="O3" s="2">
        <v>30.777200000000001</v>
      </c>
      <c r="P3" s="2">
        <v>2</v>
      </c>
    </row>
    <row r="4" spans="1:16" ht="15.75" customHeight="1" x14ac:dyDescent="0.4">
      <c r="A4" s="2" t="s">
        <v>168</v>
      </c>
      <c r="B4" s="2">
        <v>1</v>
      </c>
      <c r="C4" s="2"/>
      <c r="D4" s="2"/>
      <c r="E4" s="2"/>
      <c r="F4" s="2"/>
      <c r="G4" s="2"/>
      <c r="H4" s="2"/>
      <c r="I4" s="2">
        <v>122.075</v>
      </c>
      <c r="J4" s="2">
        <v>4</v>
      </c>
      <c r="K4" s="2">
        <v>98.191999999999993</v>
      </c>
      <c r="L4" s="2">
        <v>53</v>
      </c>
      <c r="M4" s="2">
        <v>94.065399999999997</v>
      </c>
      <c r="N4" s="2">
        <v>25</v>
      </c>
      <c r="O4" s="2">
        <v>28.0091</v>
      </c>
      <c r="P4" s="2">
        <v>3</v>
      </c>
    </row>
    <row r="5" spans="1:16" ht="15.75" customHeight="1" x14ac:dyDescent="0.4">
      <c r="A5" s="2" t="s">
        <v>45</v>
      </c>
      <c r="B5" s="2">
        <v>2</v>
      </c>
      <c r="C5" s="2"/>
      <c r="D5" s="2"/>
      <c r="E5" s="2"/>
      <c r="F5" s="2"/>
      <c r="G5" s="2"/>
      <c r="H5" s="2"/>
      <c r="I5" s="2">
        <v>119.139</v>
      </c>
      <c r="J5" s="2">
        <v>14</v>
      </c>
      <c r="K5" s="2">
        <v>95.2333</v>
      </c>
      <c r="L5" s="2">
        <v>23</v>
      </c>
      <c r="M5" s="2">
        <v>91.872799999999998</v>
      </c>
      <c r="N5" s="2">
        <v>9</v>
      </c>
      <c r="O5" s="2">
        <v>27.266400000000001</v>
      </c>
      <c r="P5" s="2">
        <v>4</v>
      </c>
    </row>
    <row r="6" spans="1:16" ht="15.75" customHeight="1" x14ac:dyDescent="0.4">
      <c r="A6" s="2" t="s">
        <v>229</v>
      </c>
      <c r="B6" s="2">
        <v>4</v>
      </c>
      <c r="C6" s="2"/>
      <c r="D6" s="2"/>
      <c r="E6" s="2"/>
      <c r="F6" s="2"/>
      <c r="G6" s="2"/>
      <c r="H6" s="2"/>
      <c r="I6" s="2">
        <v>116.47199999999999</v>
      </c>
      <c r="J6" s="2">
        <v>28</v>
      </c>
      <c r="K6" s="2">
        <v>91.646000000000001</v>
      </c>
      <c r="L6" s="2">
        <v>7</v>
      </c>
      <c r="M6" s="2">
        <v>89.673100000000005</v>
      </c>
      <c r="N6" s="2">
        <v>5</v>
      </c>
      <c r="O6" s="2">
        <v>26.799099999999999</v>
      </c>
      <c r="P6" s="2">
        <v>5</v>
      </c>
    </row>
    <row r="7" spans="1:16" ht="15.75" customHeight="1" x14ac:dyDescent="0.4">
      <c r="A7" s="2" t="s">
        <v>86</v>
      </c>
      <c r="B7" s="2">
        <v>2</v>
      </c>
      <c r="C7" s="2"/>
      <c r="D7" s="2"/>
      <c r="E7" s="2"/>
      <c r="F7" s="2"/>
      <c r="G7" s="2"/>
      <c r="H7" s="2"/>
      <c r="I7" s="2">
        <v>117.179</v>
      </c>
      <c r="J7" s="2">
        <v>23</v>
      </c>
      <c r="K7" s="2">
        <v>95.323700000000002</v>
      </c>
      <c r="L7" s="2">
        <v>25</v>
      </c>
      <c r="M7" s="2">
        <v>90.4602</v>
      </c>
      <c r="N7" s="2">
        <v>6</v>
      </c>
      <c r="O7" s="2">
        <v>26.718599999999999</v>
      </c>
      <c r="P7" s="2">
        <v>6</v>
      </c>
    </row>
    <row r="8" spans="1:16" ht="15.75" customHeight="1" x14ac:dyDescent="0.4">
      <c r="A8" s="2" t="s">
        <v>87</v>
      </c>
      <c r="B8" s="2">
        <v>5</v>
      </c>
      <c r="C8" s="2"/>
      <c r="D8" s="2"/>
      <c r="E8" s="2"/>
      <c r="F8" s="2"/>
      <c r="G8" s="2"/>
      <c r="H8" s="2"/>
      <c r="I8" s="2">
        <v>113.68600000000001</v>
      </c>
      <c r="J8" s="2">
        <v>38</v>
      </c>
      <c r="K8" s="2">
        <v>91.093800000000002</v>
      </c>
      <c r="L8" s="2">
        <v>4</v>
      </c>
      <c r="M8" s="2">
        <v>87.019400000000005</v>
      </c>
      <c r="N8" s="2">
        <v>1</v>
      </c>
      <c r="O8" s="2">
        <v>26.667100000000001</v>
      </c>
      <c r="P8" s="2">
        <v>7</v>
      </c>
    </row>
    <row r="9" spans="1:16" ht="15.75" customHeight="1" x14ac:dyDescent="0.4">
      <c r="A9" s="2" t="s">
        <v>192</v>
      </c>
      <c r="B9" s="2">
        <v>10</v>
      </c>
      <c r="C9" s="2"/>
      <c r="D9" s="2"/>
      <c r="E9" s="2"/>
      <c r="F9" s="2"/>
      <c r="G9" s="2"/>
      <c r="H9" s="2"/>
      <c r="I9" s="2">
        <v>119.636</v>
      </c>
      <c r="J9" s="2">
        <v>12</v>
      </c>
      <c r="K9" s="2">
        <v>90.084999999999994</v>
      </c>
      <c r="L9" s="2">
        <v>2</v>
      </c>
      <c r="M9" s="2">
        <v>93.223600000000005</v>
      </c>
      <c r="N9" s="2">
        <v>19</v>
      </c>
      <c r="O9" s="2">
        <v>26.412099999999999</v>
      </c>
      <c r="P9" s="2">
        <v>8</v>
      </c>
    </row>
    <row r="10" spans="1:16" ht="15.75" customHeight="1" x14ac:dyDescent="0.4">
      <c r="A10" s="2" t="s">
        <v>37</v>
      </c>
      <c r="B10" s="2">
        <v>4</v>
      </c>
      <c r="C10" s="2"/>
      <c r="D10" s="2"/>
      <c r="E10" s="2"/>
      <c r="F10" s="2"/>
      <c r="G10" s="2"/>
      <c r="H10" s="2"/>
      <c r="I10" s="2">
        <v>115.851</v>
      </c>
      <c r="J10" s="2">
        <v>31</v>
      </c>
      <c r="K10" s="2">
        <v>93.655100000000004</v>
      </c>
      <c r="L10" s="2">
        <v>11</v>
      </c>
      <c r="M10" s="2">
        <v>89.461799999999997</v>
      </c>
      <c r="N10" s="2">
        <v>4</v>
      </c>
      <c r="O10" s="2">
        <v>26.389099999999999</v>
      </c>
      <c r="P10" s="2">
        <v>9</v>
      </c>
    </row>
    <row r="11" spans="1:16" ht="15.75" customHeight="1" x14ac:dyDescent="0.4">
      <c r="A11" s="2" t="s">
        <v>35</v>
      </c>
      <c r="B11" s="2">
        <v>1</v>
      </c>
      <c r="C11" s="2"/>
      <c r="D11" s="2"/>
      <c r="E11" s="2"/>
      <c r="F11" s="2"/>
      <c r="G11" s="2"/>
      <c r="H11" s="2"/>
      <c r="I11" s="2">
        <v>120.833</v>
      </c>
      <c r="J11" s="2">
        <v>9</v>
      </c>
      <c r="K11" s="2">
        <v>100.05800000000001</v>
      </c>
      <c r="L11" s="2">
        <v>82</v>
      </c>
      <c r="M11" s="2">
        <v>94.858500000000006</v>
      </c>
      <c r="N11" s="2">
        <v>30</v>
      </c>
      <c r="O11" s="2">
        <v>25.975000000000001</v>
      </c>
      <c r="P11" s="2">
        <v>10</v>
      </c>
    </row>
    <row r="12" spans="1:16" ht="15.75" customHeight="1" x14ac:dyDescent="0.4">
      <c r="A12" s="2" t="s">
        <v>140</v>
      </c>
      <c r="B12" s="2">
        <v>6</v>
      </c>
      <c r="C12" s="2"/>
      <c r="D12" s="2"/>
      <c r="E12" s="2"/>
      <c r="F12" s="2"/>
      <c r="G12" s="2"/>
      <c r="H12" s="2"/>
      <c r="I12" s="2">
        <v>120.07299999999999</v>
      </c>
      <c r="J12" s="2">
        <v>11</v>
      </c>
      <c r="K12" s="2">
        <v>93.822400000000002</v>
      </c>
      <c r="L12" s="2">
        <v>13</v>
      </c>
      <c r="M12" s="2">
        <v>94.814099999999996</v>
      </c>
      <c r="N12" s="2">
        <v>28</v>
      </c>
      <c r="O12" s="2">
        <v>25.2591</v>
      </c>
      <c r="P12" s="2">
        <v>11</v>
      </c>
    </row>
    <row r="13" spans="1:16" ht="15.75" customHeight="1" x14ac:dyDescent="0.4">
      <c r="A13" s="2" t="s">
        <v>32</v>
      </c>
      <c r="B13" s="2">
        <v>2</v>
      </c>
      <c r="C13" s="2"/>
      <c r="D13" s="2"/>
      <c r="E13" s="2"/>
      <c r="F13" s="2"/>
      <c r="G13" s="2"/>
      <c r="H13" s="2"/>
      <c r="I13" s="2">
        <v>120.988</v>
      </c>
      <c r="J13" s="2">
        <v>6</v>
      </c>
      <c r="K13" s="2">
        <v>100.30800000000001</v>
      </c>
      <c r="L13" s="2">
        <v>92</v>
      </c>
      <c r="M13" s="2">
        <v>95.899100000000004</v>
      </c>
      <c r="N13" s="2">
        <v>39</v>
      </c>
      <c r="O13" s="2">
        <v>25.088699999999999</v>
      </c>
      <c r="P13" s="2">
        <v>12</v>
      </c>
    </row>
    <row r="14" spans="1:16" ht="15.75" customHeight="1" x14ac:dyDescent="0.4">
      <c r="A14" s="2" t="s">
        <v>158</v>
      </c>
      <c r="B14" s="2">
        <v>3</v>
      </c>
      <c r="C14" s="3"/>
      <c r="D14" s="2"/>
      <c r="E14" s="2"/>
      <c r="F14" s="2"/>
      <c r="G14" s="2"/>
      <c r="H14" s="2"/>
      <c r="I14" s="2">
        <v>117.289</v>
      </c>
      <c r="J14" s="2">
        <v>22</v>
      </c>
      <c r="K14" s="2">
        <v>97.497500000000002</v>
      </c>
      <c r="L14" s="2">
        <v>45</v>
      </c>
      <c r="M14" s="2">
        <v>92.281000000000006</v>
      </c>
      <c r="N14" s="2">
        <v>14</v>
      </c>
      <c r="O14" s="2">
        <v>25.0078</v>
      </c>
      <c r="P14" s="2">
        <v>13</v>
      </c>
    </row>
    <row r="15" spans="1:16" ht="15.75" customHeight="1" x14ac:dyDescent="0.4">
      <c r="A15" s="2" t="s">
        <v>262</v>
      </c>
      <c r="B15" s="2">
        <v>7</v>
      </c>
      <c r="C15" s="2"/>
      <c r="D15" s="2"/>
      <c r="E15" s="2"/>
      <c r="F15" s="2"/>
      <c r="G15" s="2"/>
      <c r="H15" s="2"/>
      <c r="I15" s="2">
        <v>118.89400000000001</v>
      </c>
      <c r="J15" s="2">
        <v>15</v>
      </c>
      <c r="K15" s="2">
        <v>92.631699999999995</v>
      </c>
      <c r="L15" s="2">
        <v>9</v>
      </c>
      <c r="M15" s="2">
        <v>94.256799999999998</v>
      </c>
      <c r="N15" s="2">
        <v>26</v>
      </c>
      <c r="O15" s="2">
        <v>24.637699999999999</v>
      </c>
      <c r="P15" s="2">
        <v>14</v>
      </c>
    </row>
    <row r="16" spans="1:16" ht="15.75" customHeight="1" x14ac:dyDescent="0.4">
      <c r="A16" s="2" t="s">
        <v>121</v>
      </c>
      <c r="B16" s="2">
        <v>4</v>
      </c>
      <c r="C16" s="2"/>
      <c r="D16" s="2"/>
      <c r="E16" s="2"/>
      <c r="F16" s="2"/>
      <c r="G16" s="2"/>
      <c r="H16" s="2"/>
      <c r="I16" s="2">
        <v>116.91200000000001</v>
      </c>
      <c r="J16" s="2">
        <v>24</v>
      </c>
      <c r="K16" s="2">
        <v>94.746899999999997</v>
      </c>
      <c r="L16" s="2">
        <v>18</v>
      </c>
      <c r="M16" s="2">
        <v>92.688900000000004</v>
      </c>
      <c r="N16" s="2">
        <v>16</v>
      </c>
      <c r="O16" s="2">
        <v>24.223600000000001</v>
      </c>
      <c r="P16" s="2">
        <v>15</v>
      </c>
    </row>
    <row r="17" spans="1:16" ht="15.75" customHeight="1" x14ac:dyDescent="0.4">
      <c r="A17" s="2" t="s">
        <v>41</v>
      </c>
      <c r="B17" s="2">
        <v>3</v>
      </c>
      <c r="C17" s="2"/>
      <c r="D17" s="2"/>
      <c r="E17" s="2"/>
      <c r="F17" s="2"/>
      <c r="G17" s="2"/>
      <c r="H17" s="2"/>
      <c r="I17" s="2">
        <v>117.72799999999999</v>
      </c>
      <c r="J17" s="2">
        <v>18</v>
      </c>
      <c r="K17" s="2">
        <v>95.081000000000003</v>
      </c>
      <c r="L17" s="2">
        <v>22</v>
      </c>
      <c r="M17" s="2">
        <v>93.900199999999998</v>
      </c>
      <c r="N17" s="2">
        <v>22</v>
      </c>
      <c r="O17" s="2">
        <v>23.8276</v>
      </c>
      <c r="P17" s="2">
        <v>16</v>
      </c>
    </row>
    <row r="18" spans="1:16" ht="15.75" customHeight="1" x14ac:dyDescent="0.4">
      <c r="A18" s="2" t="s">
        <v>146</v>
      </c>
      <c r="B18" s="2">
        <v>5</v>
      </c>
      <c r="C18" s="2"/>
      <c r="D18" s="2"/>
      <c r="E18" s="2"/>
      <c r="F18" s="2"/>
      <c r="G18" s="2"/>
      <c r="H18" s="2"/>
      <c r="I18" s="2">
        <v>119.541</v>
      </c>
      <c r="J18" s="2">
        <v>13</v>
      </c>
      <c r="K18" s="2">
        <v>100.85</v>
      </c>
      <c r="L18" s="2">
        <v>108</v>
      </c>
      <c r="M18" s="2">
        <v>96.428299999999993</v>
      </c>
      <c r="N18" s="2">
        <v>43</v>
      </c>
      <c r="O18" s="2">
        <v>23.113</v>
      </c>
      <c r="P18" s="2">
        <v>17</v>
      </c>
    </row>
    <row r="19" spans="1:16" ht="15.75" customHeight="1" x14ac:dyDescent="0.4">
      <c r="A19" s="2" t="s">
        <v>65</v>
      </c>
      <c r="B19" s="2">
        <v>3</v>
      </c>
      <c r="C19" s="2"/>
      <c r="D19" s="2"/>
      <c r="E19" s="2"/>
      <c r="F19" s="2"/>
      <c r="G19" s="2"/>
      <c r="H19" s="2"/>
      <c r="I19" s="2">
        <v>122.75700000000001</v>
      </c>
      <c r="J19" s="2">
        <v>2</v>
      </c>
      <c r="K19" s="2">
        <v>101.06100000000001</v>
      </c>
      <c r="L19" s="2">
        <v>113</v>
      </c>
      <c r="M19" s="2">
        <v>99.805700000000002</v>
      </c>
      <c r="N19" s="2">
        <v>78</v>
      </c>
      <c r="O19" s="2">
        <v>22.951499999999999</v>
      </c>
      <c r="P19" s="2">
        <v>18</v>
      </c>
    </row>
    <row r="20" spans="1:16" ht="15.75" customHeight="1" x14ac:dyDescent="0.4">
      <c r="A20" s="2" t="s">
        <v>43</v>
      </c>
      <c r="B20" s="2">
        <v>2</v>
      </c>
      <c r="C20" s="3"/>
      <c r="D20" s="3"/>
      <c r="E20" s="3"/>
      <c r="F20" s="3"/>
      <c r="G20" s="2"/>
      <c r="H20" s="2"/>
      <c r="I20" s="2">
        <v>117.58499999999999</v>
      </c>
      <c r="J20" s="2">
        <v>20</v>
      </c>
      <c r="K20" s="2">
        <v>97.325400000000002</v>
      </c>
      <c r="L20" s="2">
        <v>43</v>
      </c>
      <c r="M20" s="2">
        <v>94.841800000000006</v>
      </c>
      <c r="N20" s="2">
        <v>29</v>
      </c>
      <c r="O20" s="2">
        <v>22.742699999999999</v>
      </c>
      <c r="P20" s="2">
        <v>19</v>
      </c>
    </row>
    <row r="21" spans="1:16" ht="15.75" customHeight="1" x14ac:dyDescent="0.4">
      <c r="A21" s="2" t="s">
        <v>20</v>
      </c>
      <c r="B21" s="2">
        <v>3</v>
      </c>
      <c r="C21" s="2"/>
      <c r="D21" s="2"/>
      <c r="E21" s="2"/>
      <c r="F21" s="2"/>
      <c r="G21" s="2"/>
      <c r="H21" s="2"/>
      <c r="I21" s="2">
        <v>116.738</v>
      </c>
      <c r="J21" s="2">
        <v>25</v>
      </c>
      <c r="K21" s="2">
        <v>98.656099999999995</v>
      </c>
      <c r="L21" s="2">
        <v>61</v>
      </c>
      <c r="M21" s="2">
        <v>93.995099999999994</v>
      </c>
      <c r="N21" s="2">
        <v>24</v>
      </c>
      <c r="O21" s="2">
        <v>22.742599999999999</v>
      </c>
      <c r="P21" s="2">
        <v>20</v>
      </c>
    </row>
    <row r="22" spans="1:16" ht="15.75" customHeight="1" x14ac:dyDescent="0.4">
      <c r="A22" s="2" t="s">
        <v>154</v>
      </c>
      <c r="B22" s="2">
        <v>7</v>
      </c>
      <c r="C22" s="2"/>
      <c r="D22" s="2"/>
      <c r="E22" s="2"/>
      <c r="F22" s="2"/>
      <c r="G22" s="2"/>
      <c r="H22" s="2"/>
      <c r="I22" s="2">
        <v>121.592</v>
      </c>
      <c r="J22" s="2">
        <v>5</v>
      </c>
      <c r="K22" s="2">
        <v>101.79600000000001</v>
      </c>
      <c r="L22" s="2">
        <v>134</v>
      </c>
      <c r="M22" s="2">
        <v>98.974199999999996</v>
      </c>
      <c r="N22" s="2">
        <v>69</v>
      </c>
      <c r="O22" s="2">
        <v>22.617999999999999</v>
      </c>
      <c r="P22" s="2">
        <v>21</v>
      </c>
    </row>
    <row r="23" spans="1:16" ht="15.75" customHeight="1" x14ac:dyDescent="0.4">
      <c r="A23" s="2" t="s">
        <v>34</v>
      </c>
      <c r="B23" s="2">
        <v>6</v>
      </c>
      <c r="C23" s="2"/>
      <c r="D23" s="2"/>
      <c r="E23" s="2"/>
      <c r="F23" s="2"/>
      <c r="G23" s="2"/>
      <c r="H23" s="2"/>
      <c r="I23" s="2">
        <v>114.215</v>
      </c>
      <c r="J23" s="2">
        <v>35</v>
      </c>
      <c r="K23" s="2">
        <v>92.6982</v>
      </c>
      <c r="L23" s="2">
        <v>10</v>
      </c>
      <c r="M23" s="2">
        <v>91.898200000000003</v>
      </c>
      <c r="N23" s="2">
        <v>10</v>
      </c>
      <c r="O23" s="2">
        <v>22.316500000000001</v>
      </c>
      <c r="P23" s="2">
        <v>22</v>
      </c>
    </row>
    <row r="24" spans="1:16" ht="15.75" customHeight="1" x14ac:dyDescent="0.4">
      <c r="A24" s="2" t="s">
        <v>76</v>
      </c>
      <c r="B24" s="2">
        <v>8</v>
      </c>
      <c r="C24" s="2"/>
      <c r="D24" s="2"/>
      <c r="E24" s="2"/>
      <c r="F24" s="2"/>
      <c r="G24" s="2"/>
      <c r="H24" s="2"/>
      <c r="I24" s="2">
        <v>113.589</v>
      </c>
      <c r="J24" s="2">
        <v>39</v>
      </c>
      <c r="K24" s="2">
        <v>94.097099999999998</v>
      </c>
      <c r="L24" s="2">
        <v>16</v>
      </c>
      <c r="M24" s="2">
        <v>91.296300000000002</v>
      </c>
      <c r="N24" s="2">
        <v>8</v>
      </c>
      <c r="O24" s="2">
        <v>22.2926</v>
      </c>
      <c r="P24" s="2">
        <v>23</v>
      </c>
    </row>
    <row r="25" spans="1:16" ht="15.75" customHeight="1" x14ac:dyDescent="0.4">
      <c r="A25" s="2" t="s">
        <v>72</v>
      </c>
      <c r="B25" s="2">
        <v>10</v>
      </c>
      <c r="C25" s="2"/>
      <c r="D25" s="2"/>
      <c r="E25" s="2"/>
      <c r="F25" s="2"/>
      <c r="G25" s="2"/>
      <c r="H25" s="2"/>
      <c r="I25" s="2">
        <v>124.834</v>
      </c>
      <c r="J25" s="2">
        <v>1</v>
      </c>
      <c r="K25" s="2">
        <v>107.54</v>
      </c>
      <c r="L25" s="2">
        <v>259</v>
      </c>
      <c r="M25" s="2">
        <v>102.73</v>
      </c>
      <c r="N25" s="2">
        <v>134</v>
      </c>
      <c r="O25" s="2">
        <v>22.104299999999999</v>
      </c>
      <c r="P25" s="2">
        <v>24</v>
      </c>
    </row>
    <row r="26" spans="1:16" ht="15.75" customHeight="1" x14ac:dyDescent="0.4">
      <c r="A26" s="2" t="s">
        <v>56</v>
      </c>
      <c r="B26" s="2">
        <v>5</v>
      </c>
      <c r="C26" s="2"/>
      <c r="D26" s="2"/>
      <c r="E26" s="2"/>
      <c r="F26" s="2"/>
      <c r="G26" s="2"/>
      <c r="H26" s="2"/>
      <c r="I26" s="2">
        <v>118.89100000000001</v>
      </c>
      <c r="J26" s="2">
        <v>16</v>
      </c>
      <c r="K26" s="2">
        <v>101.67100000000001</v>
      </c>
      <c r="L26" s="2">
        <v>133</v>
      </c>
      <c r="M26" s="2">
        <v>97.797300000000007</v>
      </c>
      <c r="N26" s="2">
        <v>57</v>
      </c>
      <c r="O26" s="2">
        <v>21.093900000000001</v>
      </c>
      <c r="P26" s="2">
        <v>25</v>
      </c>
    </row>
    <row r="27" spans="1:16" ht="15.75" customHeight="1" x14ac:dyDescent="0.4">
      <c r="A27" s="2" t="s">
        <v>18</v>
      </c>
      <c r="B27" s="2">
        <v>4</v>
      </c>
      <c r="C27" s="3"/>
      <c r="D27" s="2"/>
      <c r="E27" s="2"/>
      <c r="F27" s="2"/>
      <c r="G27" s="2"/>
      <c r="H27" s="2"/>
      <c r="I27" s="2">
        <v>117.971</v>
      </c>
      <c r="J27" s="2">
        <v>17</v>
      </c>
      <c r="K27" s="2">
        <v>101.51</v>
      </c>
      <c r="L27" s="2">
        <v>129</v>
      </c>
      <c r="M27" s="2">
        <v>97.061300000000003</v>
      </c>
      <c r="N27" s="2">
        <v>49</v>
      </c>
      <c r="O27" s="2">
        <v>20.909700000000001</v>
      </c>
      <c r="P27" s="2">
        <v>26</v>
      </c>
    </row>
    <row r="28" spans="1:16" ht="15.75" customHeight="1" x14ac:dyDescent="0.4">
      <c r="A28" s="2" t="s">
        <v>90</v>
      </c>
      <c r="B28" s="2">
        <v>6</v>
      </c>
      <c r="C28" s="2"/>
      <c r="D28" s="2"/>
      <c r="E28" s="2"/>
      <c r="F28" s="2"/>
      <c r="G28" s="2"/>
      <c r="H28" s="2"/>
      <c r="I28" s="2">
        <v>115.639</v>
      </c>
      <c r="J28" s="2">
        <v>32</v>
      </c>
      <c r="K28" s="2">
        <v>100.34699999999999</v>
      </c>
      <c r="L28" s="2">
        <v>94</v>
      </c>
      <c r="M28" s="2">
        <v>96.048699999999997</v>
      </c>
      <c r="N28" s="2">
        <v>40</v>
      </c>
      <c r="O28" s="2">
        <v>19.590199999999999</v>
      </c>
      <c r="P28" s="2">
        <v>27</v>
      </c>
    </row>
    <row r="29" spans="1:16" ht="12.3" x14ac:dyDescent="0.4">
      <c r="A29" s="2" t="s">
        <v>39</v>
      </c>
      <c r="B29" s="2">
        <v>10</v>
      </c>
      <c r="C29" s="2"/>
      <c r="D29" s="2"/>
      <c r="E29" s="2"/>
      <c r="F29" s="2"/>
      <c r="G29" s="2"/>
      <c r="H29" s="2"/>
      <c r="I29" s="2">
        <v>120.943</v>
      </c>
      <c r="J29" s="2">
        <v>7</v>
      </c>
      <c r="K29" s="2">
        <v>105.35599999999999</v>
      </c>
      <c r="L29" s="2">
        <v>219</v>
      </c>
      <c r="M29" s="2">
        <v>103.371</v>
      </c>
      <c r="N29" s="2">
        <v>153</v>
      </c>
      <c r="O29" s="2">
        <v>17.571100000000001</v>
      </c>
      <c r="P29" s="2">
        <v>28</v>
      </c>
    </row>
    <row r="30" spans="1:16" ht="12.3" x14ac:dyDescent="0.4">
      <c r="A30" s="2" t="s">
        <v>148</v>
      </c>
      <c r="B30" s="2">
        <v>11</v>
      </c>
      <c r="C30" s="2"/>
      <c r="D30" s="2"/>
      <c r="E30" s="2"/>
      <c r="F30" s="2"/>
      <c r="G30" s="2"/>
      <c r="H30" s="2"/>
      <c r="I30" s="2">
        <v>112.038</v>
      </c>
      <c r="J30" s="2">
        <v>50</v>
      </c>
      <c r="K30" s="2">
        <v>98.557900000000004</v>
      </c>
      <c r="L30" s="2">
        <v>60</v>
      </c>
      <c r="M30" s="2">
        <v>94.483900000000006</v>
      </c>
      <c r="N30" s="2">
        <v>27</v>
      </c>
      <c r="O30" s="2">
        <v>17.553799999999999</v>
      </c>
      <c r="P30" s="2">
        <v>29</v>
      </c>
    </row>
    <row r="31" spans="1:16" ht="12.3" x14ac:dyDescent="0.4">
      <c r="A31" s="2" t="s">
        <v>61</v>
      </c>
      <c r="B31" s="2">
        <v>11</v>
      </c>
      <c r="C31" s="2"/>
      <c r="D31" s="2"/>
      <c r="E31" s="2"/>
      <c r="F31" s="2"/>
      <c r="G31" s="2"/>
      <c r="H31" s="2"/>
      <c r="I31" s="2">
        <v>120.873</v>
      </c>
      <c r="J31" s="2">
        <v>8</v>
      </c>
      <c r="K31" s="2">
        <v>109.04</v>
      </c>
      <c r="L31" s="2">
        <v>293</v>
      </c>
      <c r="M31" s="2">
        <v>103.6</v>
      </c>
      <c r="N31" s="2">
        <v>160</v>
      </c>
      <c r="O31" s="2">
        <v>17.272200000000002</v>
      </c>
      <c r="P31" s="2">
        <v>30</v>
      </c>
    </row>
    <row r="32" spans="1:16" ht="12.3" x14ac:dyDescent="0.4">
      <c r="A32" s="2" t="s">
        <v>17</v>
      </c>
      <c r="B32" s="2">
        <v>7</v>
      </c>
      <c r="C32" s="2"/>
      <c r="D32" s="2"/>
      <c r="E32" s="2"/>
      <c r="F32" s="2"/>
      <c r="G32" s="2"/>
      <c r="H32" s="2"/>
      <c r="I32" s="2">
        <v>105.54600000000001</v>
      </c>
      <c r="J32" s="2">
        <v>149</v>
      </c>
      <c r="K32" s="2">
        <v>91.288799999999995</v>
      </c>
      <c r="L32" s="2">
        <v>5</v>
      </c>
      <c r="M32" s="2">
        <v>88.516300000000001</v>
      </c>
      <c r="N32" s="2">
        <v>3</v>
      </c>
      <c r="O32" s="2">
        <v>17.030200000000001</v>
      </c>
      <c r="P32" s="2">
        <v>31</v>
      </c>
    </row>
    <row r="33" spans="1:16" ht="12.3" x14ac:dyDescent="0.4">
      <c r="A33" s="2" t="s">
        <v>60</v>
      </c>
      <c r="B33" s="2">
        <v>8</v>
      </c>
      <c r="C33" s="2"/>
      <c r="D33" s="2"/>
      <c r="E33" s="2"/>
      <c r="F33" s="2"/>
      <c r="G33" s="2"/>
      <c r="H33" s="2"/>
      <c r="I33" s="2">
        <v>110.386</v>
      </c>
      <c r="J33" s="2">
        <v>68</v>
      </c>
      <c r="K33" s="2">
        <v>98.291499999999999</v>
      </c>
      <c r="L33" s="2">
        <v>56</v>
      </c>
      <c r="M33" s="2">
        <v>93.425399999999996</v>
      </c>
      <c r="N33" s="2">
        <v>21</v>
      </c>
      <c r="O33" s="2">
        <v>16.9602</v>
      </c>
      <c r="P33" s="2">
        <v>32</v>
      </c>
    </row>
    <row r="34" spans="1:16" ht="12.3" x14ac:dyDescent="0.4">
      <c r="A34" s="2" t="s">
        <v>75</v>
      </c>
      <c r="B34" s="2">
        <v>5</v>
      </c>
      <c r="C34" s="2"/>
      <c r="D34" s="2"/>
      <c r="E34" s="2"/>
      <c r="F34" s="2"/>
      <c r="G34" s="2"/>
      <c r="H34" s="2"/>
      <c r="I34" s="2">
        <v>109.574</v>
      </c>
      <c r="J34" s="2">
        <v>80</v>
      </c>
      <c r="K34" s="2">
        <v>95.842799999999997</v>
      </c>
      <c r="L34" s="2">
        <v>30</v>
      </c>
      <c r="M34" s="2">
        <v>92.9833</v>
      </c>
      <c r="N34" s="2">
        <v>18</v>
      </c>
      <c r="O34" s="2">
        <v>16.590699999999998</v>
      </c>
      <c r="P34" s="2">
        <v>33</v>
      </c>
    </row>
    <row r="35" spans="1:16" ht="12.3" x14ac:dyDescent="0.4">
      <c r="A35" s="2" t="s">
        <v>111</v>
      </c>
      <c r="B35" s="2">
        <v>9</v>
      </c>
      <c r="C35" s="2"/>
      <c r="D35" s="2"/>
      <c r="E35" s="2"/>
      <c r="F35" s="2"/>
      <c r="G35" s="2"/>
      <c r="H35" s="2"/>
      <c r="I35" s="2">
        <v>112.303</v>
      </c>
      <c r="J35" s="2">
        <v>48</v>
      </c>
      <c r="K35" s="2">
        <v>100.9</v>
      </c>
      <c r="L35" s="2">
        <v>111</v>
      </c>
      <c r="M35" s="2">
        <v>96.064999999999998</v>
      </c>
      <c r="N35" s="2">
        <v>41</v>
      </c>
      <c r="O35" s="2">
        <v>16.2376</v>
      </c>
      <c r="P35" s="2">
        <v>34</v>
      </c>
    </row>
    <row r="36" spans="1:16" ht="12.3" x14ac:dyDescent="0.4">
      <c r="A36" s="2" t="s">
        <v>24</v>
      </c>
      <c r="B36" s="2"/>
      <c r="C36" s="2"/>
      <c r="D36" s="2"/>
      <c r="E36" s="2"/>
      <c r="F36" s="2"/>
      <c r="G36" s="2"/>
      <c r="H36" s="2"/>
      <c r="I36" s="2">
        <v>115.90300000000001</v>
      </c>
      <c r="J36" s="2">
        <v>30</v>
      </c>
      <c r="K36" s="2">
        <v>105.2</v>
      </c>
      <c r="L36" s="2">
        <v>212</v>
      </c>
      <c r="M36" s="2">
        <v>100.015</v>
      </c>
      <c r="N36" s="2">
        <v>84</v>
      </c>
      <c r="O36" s="2">
        <v>15.8878</v>
      </c>
      <c r="P36" s="2">
        <v>35</v>
      </c>
    </row>
    <row r="37" spans="1:16" ht="12.3" x14ac:dyDescent="0.4">
      <c r="A37" s="2" t="s">
        <v>64</v>
      </c>
      <c r="B37" s="2">
        <v>7</v>
      </c>
      <c r="C37" s="2"/>
      <c r="D37" s="2"/>
      <c r="E37" s="2"/>
      <c r="F37" s="2"/>
      <c r="G37" s="2"/>
      <c r="H37" s="2"/>
      <c r="I37" s="2">
        <v>112.3</v>
      </c>
      <c r="J37" s="2">
        <v>49</v>
      </c>
      <c r="K37" s="2">
        <v>95.976799999999997</v>
      </c>
      <c r="L37" s="2">
        <v>31</v>
      </c>
      <c r="M37" s="2">
        <v>96.626199999999997</v>
      </c>
      <c r="N37" s="2">
        <v>45</v>
      </c>
      <c r="O37" s="2">
        <v>15.673500000000001</v>
      </c>
      <c r="P37" s="2">
        <v>36</v>
      </c>
    </row>
    <row r="38" spans="1:16" ht="12.3" x14ac:dyDescent="0.4">
      <c r="A38" s="2" t="s">
        <v>258</v>
      </c>
      <c r="B38" s="2">
        <v>11</v>
      </c>
      <c r="C38" s="2"/>
      <c r="D38" s="2"/>
      <c r="E38" s="2"/>
      <c r="F38" s="2"/>
      <c r="G38" s="2"/>
      <c r="H38" s="2"/>
      <c r="I38" s="2">
        <v>110.66800000000001</v>
      </c>
      <c r="J38" s="2">
        <v>64</v>
      </c>
      <c r="K38" s="2">
        <v>96.101500000000001</v>
      </c>
      <c r="L38" s="2">
        <v>33</v>
      </c>
      <c r="M38" s="2">
        <v>95.052700000000002</v>
      </c>
      <c r="N38" s="2">
        <v>32</v>
      </c>
      <c r="O38" s="2">
        <v>15.615600000000001</v>
      </c>
      <c r="P38" s="2">
        <v>37</v>
      </c>
    </row>
    <row r="39" spans="1:16" ht="12.3" x14ac:dyDescent="0.4">
      <c r="A39" s="2" t="s">
        <v>80</v>
      </c>
      <c r="B39" s="2">
        <v>8</v>
      </c>
      <c r="C39" s="3"/>
      <c r="D39" s="3"/>
      <c r="E39" s="2"/>
      <c r="F39" s="2"/>
      <c r="G39" s="2"/>
      <c r="H39" s="2"/>
      <c r="I39" s="2">
        <v>116.639</v>
      </c>
      <c r="J39" s="2">
        <v>26</v>
      </c>
      <c r="K39" s="2">
        <v>103.717</v>
      </c>
      <c r="L39" s="2">
        <v>180</v>
      </c>
      <c r="M39" s="2">
        <v>101.04</v>
      </c>
      <c r="N39" s="2">
        <v>97</v>
      </c>
      <c r="O39" s="2">
        <v>15.598699999999999</v>
      </c>
      <c r="P39" s="2">
        <v>38</v>
      </c>
    </row>
    <row r="40" spans="1:16" ht="12.3" x14ac:dyDescent="0.4">
      <c r="A40" s="2" t="s">
        <v>124</v>
      </c>
      <c r="B40" s="2">
        <v>8</v>
      </c>
      <c r="C40" s="2"/>
      <c r="D40" s="2"/>
      <c r="E40" s="2"/>
      <c r="F40" s="2"/>
      <c r="G40" s="2"/>
      <c r="H40" s="2"/>
      <c r="I40" s="2">
        <v>111.18899999999999</v>
      </c>
      <c r="J40" s="2">
        <v>58</v>
      </c>
      <c r="K40" s="2">
        <v>98.489500000000007</v>
      </c>
      <c r="L40" s="2">
        <v>59</v>
      </c>
      <c r="M40" s="2">
        <v>95.677800000000005</v>
      </c>
      <c r="N40" s="2">
        <v>35</v>
      </c>
      <c r="O40" s="2">
        <v>15.510999999999999</v>
      </c>
      <c r="P40" s="2">
        <v>39</v>
      </c>
    </row>
    <row r="41" spans="1:16" ht="12.3" x14ac:dyDescent="0.4">
      <c r="A41" s="2" t="s">
        <v>50</v>
      </c>
      <c r="B41" s="2">
        <v>11</v>
      </c>
      <c r="C41" s="2"/>
      <c r="D41" s="2"/>
      <c r="E41" s="2"/>
      <c r="F41" s="2"/>
      <c r="G41" s="2"/>
      <c r="H41" s="2"/>
      <c r="I41" s="2">
        <v>114.744</v>
      </c>
      <c r="J41" s="2">
        <v>33</v>
      </c>
      <c r="K41" s="2">
        <v>103.983</v>
      </c>
      <c r="L41" s="2">
        <v>189</v>
      </c>
      <c r="M41" s="2">
        <v>99.4255</v>
      </c>
      <c r="N41" s="2">
        <v>73</v>
      </c>
      <c r="O41" s="2">
        <v>15.318899999999999</v>
      </c>
      <c r="P41" s="2">
        <v>40</v>
      </c>
    </row>
    <row r="42" spans="1:16" ht="12.3" x14ac:dyDescent="0.4">
      <c r="A42" s="2" t="s">
        <v>142</v>
      </c>
      <c r="B42" s="2"/>
      <c r="C42" s="2"/>
      <c r="D42" s="2"/>
      <c r="E42" s="2"/>
      <c r="F42" s="2"/>
      <c r="G42" s="2"/>
      <c r="H42" s="2"/>
      <c r="I42" s="2">
        <v>113.172</v>
      </c>
      <c r="J42" s="2">
        <v>41</v>
      </c>
      <c r="K42" s="2">
        <v>103.22199999999999</v>
      </c>
      <c r="L42" s="2">
        <v>167</v>
      </c>
      <c r="M42" s="2">
        <v>97.877600000000001</v>
      </c>
      <c r="N42" s="2">
        <v>60</v>
      </c>
      <c r="O42" s="2">
        <v>15.2943</v>
      </c>
      <c r="P42" s="2">
        <v>41</v>
      </c>
    </row>
    <row r="43" spans="1:16" ht="12.3" x14ac:dyDescent="0.4">
      <c r="A43" s="2" t="s">
        <v>40</v>
      </c>
      <c r="B43" s="2"/>
      <c r="C43" s="2"/>
      <c r="D43" s="2"/>
      <c r="E43" s="2"/>
      <c r="F43" s="2"/>
      <c r="G43" s="2"/>
      <c r="H43" s="2"/>
      <c r="I43" s="2">
        <v>116.58499999999999</v>
      </c>
      <c r="J43" s="2">
        <v>27</v>
      </c>
      <c r="K43" s="2">
        <v>103.649</v>
      </c>
      <c r="L43" s="2">
        <v>176</v>
      </c>
      <c r="M43" s="2">
        <v>101.44199999999999</v>
      </c>
      <c r="N43" s="2">
        <v>103</v>
      </c>
      <c r="O43" s="2">
        <v>15.142899999999999</v>
      </c>
      <c r="P43" s="2">
        <v>42</v>
      </c>
    </row>
    <row r="44" spans="1:16" ht="12.3" x14ac:dyDescent="0.4">
      <c r="A44" s="2" t="s">
        <v>58</v>
      </c>
      <c r="B44" s="2">
        <v>9</v>
      </c>
      <c r="C44" s="2"/>
      <c r="D44" s="2"/>
      <c r="E44" s="2"/>
      <c r="F44" s="2"/>
      <c r="G44" s="2"/>
      <c r="H44" s="2"/>
      <c r="I44" s="2">
        <v>110.569</v>
      </c>
      <c r="J44" s="2">
        <v>66</v>
      </c>
      <c r="K44" s="2">
        <v>99.861500000000007</v>
      </c>
      <c r="L44" s="2">
        <v>78</v>
      </c>
      <c r="M44" s="2">
        <v>95.593599999999995</v>
      </c>
      <c r="N44" s="2">
        <v>34</v>
      </c>
      <c r="O44" s="2">
        <v>14.975300000000001</v>
      </c>
      <c r="P44" s="2">
        <v>43</v>
      </c>
    </row>
    <row r="45" spans="1:16" ht="12.3" x14ac:dyDescent="0.4">
      <c r="A45" s="2" t="s">
        <v>159</v>
      </c>
      <c r="B45" s="2">
        <v>9</v>
      </c>
      <c r="C45" s="2"/>
      <c r="D45" s="2"/>
      <c r="E45" s="2"/>
      <c r="F45" s="2"/>
      <c r="G45" s="2"/>
      <c r="H45" s="2"/>
      <c r="I45" s="2">
        <v>117.358</v>
      </c>
      <c r="J45" s="2">
        <v>21</v>
      </c>
      <c r="K45" s="2">
        <v>106.185</v>
      </c>
      <c r="L45" s="2">
        <v>229</v>
      </c>
      <c r="M45" s="2">
        <v>102.419</v>
      </c>
      <c r="N45" s="2">
        <v>125</v>
      </c>
      <c r="O45" s="2">
        <v>14.939500000000001</v>
      </c>
      <c r="P45" s="2">
        <v>44</v>
      </c>
    </row>
    <row r="46" spans="1:16" ht="12.3" x14ac:dyDescent="0.4">
      <c r="A46" s="2" t="s">
        <v>36</v>
      </c>
      <c r="B46" s="2">
        <v>6</v>
      </c>
      <c r="C46" s="2"/>
      <c r="D46" s="2"/>
      <c r="E46" s="2"/>
      <c r="F46" s="2"/>
      <c r="G46" s="2"/>
      <c r="H46" s="2"/>
      <c r="I46" s="2">
        <v>113.565</v>
      </c>
      <c r="J46" s="2">
        <v>40</v>
      </c>
      <c r="K46" s="2">
        <v>100.798</v>
      </c>
      <c r="L46" s="2">
        <v>105</v>
      </c>
      <c r="M46" s="2">
        <v>98.727099999999993</v>
      </c>
      <c r="N46" s="2">
        <v>64</v>
      </c>
      <c r="O46" s="2">
        <v>14.837999999999999</v>
      </c>
      <c r="P46" s="2">
        <v>45</v>
      </c>
    </row>
    <row r="47" spans="1:16" ht="12.3" x14ac:dyDescent="0.4">
      <c r="A47" s="2" t="s">
        <v>59</v>
      </c>
      <c r="B47" s="2"/>
      <c r="C47" s="2"/>
      <c r="D47" s="2"/>
      <c r="E47" s="2"/>
      <c r="F47" s="2"/>
      <c r="G47" s="2"/>
      <c r="H47" s="2"/>
      <c r="I47" s="2">
        <v>112.554</v>
      </c>
      <c r="J47" s="2">
        <v>45</v>
      </c>
      <c r="K47" s="2">
        <v>100.149</v>
      </c>
      <c r="L47" s="2">
        <v>86</v>
      </c>
      <c r="M47" s="2">
        <v>97.806799999999996</v>
      </c>
      <c r="N47" s="2">
        <v>58</v>
      </c>
      <c r="O47" s="2">
        <v>14.7469</v>
      </c>
      <c r="P47" s="2">
        <v>46</v>
      </c>
    </row>
    <row r="48" spans="1:16" ht="12.3" x14ac:dyDescent="0.4">
      <c r="A48" s="2" t="s">
        <v>70</v>
      </c>
      <c r="B48" s="2"/>
      <c r="C48" s="2"/>
      <c r="D48" s="2"/>
      <c r="E48" s="2"/>
      <c r="F48" s="2"/>
      <c r="G48" s="2"/>
      <c r="H48" s="2"/>
      <c r="I48" s="2">
        <v>114.19499999999999</v>
      </c>
      <c r="J48" s="2">
        <v>36</v>
      </c>
      <c r="K48" s="2">
        <v>99.116100000000003</v>
      </c>
      <c r="L48" s="2">
        <v>66</v>
      </c>
      <c r="M48" s="2">
        <v>99.451899999999995</v>
      </c>
      <c r="N48" s="2">
        <v>74</v>
      </c>
      <c r="O48" s="2">
        <v>14.7432</v>
      </c>
      <c r="P48" s="2">
        <v>47</v>
      </c>
    </row>
    <row r="49" spans="1:16" ht="12.3" x14ac:dyDescent="0.4">
      <c r="A49" s="2" t="s">
        <v>228</v>
      </c>
      <c r="B49" s="2">
        <v>12</v>
      </c>
      <c r="C49" s="2"/>
      <c r="D49" s="2"/>
      <c r="E49" s="2"/>
      <c r="F49" s="2"/>
      <c r="G49" s="2"/>
      <c r="H49" s="2"/>
      <c r="I49" s="2">
        <v>111.64</v>
      </c>
      <c r="J49" s="2">
        <v>55</v>
      </c>
      <c r="K49" s="2">
        <v>95.435400000000001</v>
      </c>
      <c r="L49" s="2">
        <v>28</v>
      </c>
      <c r="M49" s="2">
        <v>96.982299999999995</v>
      </c>
      <c r="N49" s="2">
        <v>47</v>
      </c>
      <c r="O49" s="2">
        <v>14.658200000000001</v>
      </c>
      <c r="P49" s="2">
        <v>48</v>
      </c>
    </row>
    <row r="50" spans="1:16" ht="12.3" x14ac:dyDescent="0.4">
      <c r="A50" s="2" t="s">
        <v>130</v>
      </c>
      <c r="B50" s="2"/>
      <c r="C50" s="2"/>
      <c r="D50" s="2"/>
      <c r="E50" s="2"/>
      <c r="F50" s="2"/>
      <c r="G50" s="2"/>
      <c r="H50" s="2"/>
      <c r="I50" s="2">
        <v>113.959</v>
      </c>
      <c r="J50" s="2">
        <v>37</v>
      </c>
      <c r="K50" s="2">
        <v>98.090599999999995</v>
      </c>
      <c r="L50" s="2">
        <v>51</v>
      </c>
      <c r="M50" s="2">
        <v>99.498800000000003</v>
      </c>
      <c r="N50" s="2">
        <v>75</v>
      </c>
      <c r="O50" s="2">
        <v>14.4603</v>
      </c>
      <c r="P50" s="2">
        <v>49</v>
      </c>
    </row>
    <row r="51" spans="1:16" ht="12.3" x14ac:dyDescent="0.4">
      <c r="A51" s="2" t="s">
        <v>23</v>
      </c>
      <c r="B51" s="2"/>
      <c r="C51" s="2"/>
      <c r="D51" s="2"/>
      <c r="E51" s="2"/>
      <c r="F51" s="2"/>
      <c r="G51" s="2"/>
      <c r="H51" s="2"/>
      <c r="I51" s="2">
        <v>115.94</v>
      </c>
      <c r="J51" s="2">
        <v>29</v>
      </c>
      <c r="K51" s="2">
        <v>103.36499999999999</v>
      </c>
      <c r="L51" s="2">
        <v>170</v>
      </c>
      <c r="M51" s="2">
        <v>101.59699999999999</v>
      </c>
      <c r="N51" s="2">
        <v>104</v>
      </c>
      <c r="O51" s="2">
        <v>14.342599999999999</v>
      </c>
      <c r="P51" s="2">
        <v>50</v>
      </c>
    </row>
    <row r="52" spans="1:16" ht="12.3" x14ac:dyDescent="0.4">
      <c r="A52" s="2" t="s">
        <v>164</v>
      </c>
      <c r="B52" s="2"/>
      <c r="C52" s="2"/>
      <c r="D52" s="2"/>
      <c r="E52" s="2"/>
      <c r="F52" s="2"/>
      <c r="G52" s="2"/>
      <c r="H52" s="2"/>
      <c r="I52" s="2">
        <v>106.614</v>
      </c>
      <c r="J52" s="2">
        <v>133</v>
      </c>
      <c r="K52" s="2">
        <v>92.117599999999996</v>
      </c>
      <c r="L52" s="2">
        <v>8</v>
      </c>
      <c r="M52" s="2">
        <v>92.284000000000006</v>
      </c>
      <c r="N52" s="2">
        <v>15</v>
      </c>
      <c r="O52" s="2">
        <v>14.3302</v>
      </c>
      <c r="P52" s="2">
        <v>51</v>
      </c>
    </row>
    <row r="53" spans="1:16" ht="12.3" x14ac:dyDescent="0.4">
      <c r="A53" s="2" t="s">
        <v>137</v>
      </c>
      <c r="B53" s="2">
        <v>10</v>
      </c>
      <c r="C53" s="2"/>
      <c r="D53" s="2"/>
      <c r="E53" s="2"/>
      <c r="F53" s="2"/>
      <c r="G53" s="2"/>
      <c r="H53" s="2"/>
      <c r="I53" s="2">
        <v>110.018</v>
      </c>
      <c r="J53" s="2">
        <v>73</v>
      </c>
      <c r="K53" s="2">
        <v>95.042599999999993</v>
      </c>
      <c r="L53" s="2">
        <v>20</v>
      </c>
      <c r="M53" s="2">
        <v>95.715999999999994</v>
      </c>
      <c r="N53" s="2">
        <v>36</v>
      </c>
      <c r="O53" s="2">
        <v>14.3025</v>
      </c>
      <c r="P53" s="2">
        <v>52</v>
      </c>
    </row>
    <row r="54" spans="1:16" ht="12.3" x14ac:dyDescent="0.4">
      <c r="A54" s="2" t="s">
        <v>119</v>
      </c>
      <c r="B54" s="2">
        <v>9</v>
      </c>
      <c r="C54" s="2"/>
      <c r="D54" s="2"/>
      <c r="E54" s="2"/>
      <c r="F54" s="2"/>
      <c r="G54" s="2"/>
      <c r="H54" s="2"/>
      <c r="I54" s="2">
        <v>109.8</v>
      </c>
      <c r="J54" s="2">
        <v>76</v>
      </c>
      <c r="K54" s="2">
        <v>100.76900000000001</v>
      </c>
      <c r="L54" s="2">
        <v>104</v>
      </c>
      <c r="M54" s="2">
        <v>95.851699999999994</v>
      </c>
      <c r="N54" s="2">
        <v>37</v>
      </c>
      <c r="O54" s="2">
        <v>13.948700000000001</v>
      </c>
      <c r="P54" s="2">
        <v>53</v>
      </c>
    </row>
    <row r="55" spans="1:16" ht="12.3" x14ac:dyDescent="0.4">
      <c r="A55" s="2" t="s">
        <v>49</v>
      </c>
      <c r="B55" s="2"/>
      <c r="C55" s="3"/>
      <c r="D55" s="3"/>
      <c r="E55" s="2"/>
      <c r="F55" s="2"/>
      <c r="G55" s="2"/>
      <c r="H55" s="2"/>
      <c r="I55" s="2">
        <v>105.461</v>
      </c>
      <c r="J55" s="2">
        <v>151</v>
      </c>
      <c r="K55" s="2">
        <v>94.346500000000006</v>
      </c>
      <c r="L55" s="2">
        <v>17</v>
      </c>
      <c r="M55" s="2">
        <v>91.971699999999998</v>
      </c>
      <c r="N55" s="2">
        <v>11</v>
      </c>
      <c r="O55" s="2">
        <v>13.488899999999999</v>
      </c>
      <c r="P55" s="2">
        <v>54</v>
      </c>
    </row>
    <row r="56" spans="1:16" ht="12.3" x14ac:dyDescent="0.4">
      <c r="A56" s="2" t="s">
        <v>145</v>
      </c>
      <c r="B56" s="2">
        <v>12</v>
      </c>
      <c r="C56" s="2"/>
      <c r="D56" s="2"/>
      <c r="E56" s="2"/>
      <c r="F56" s="2"/>
      <c r="G56" s="2"/>
      <c r="H56" s="2"/>
      <c r="I56" s="2">
        <v>114.477</v>
      </c>
      <c r="J56" s="2">
        <v>34</v>
      </c>
      <c r="K56" s="2">
        <v>99.749300000000005</v>
      </c>
      <c r="L56" s="2">
        <v>75</v>
      </c>
      <c r="M56" s="2">
        <v>101.13500000000001</v>
      </c>
      <c r="N56" s="2">
        <v>100</v>
      </c>
      <c r="O56" s="2">
        <v>13.3415</v>
      </c>
      <c r="P56" s="2">
        <v>55</v>
      </c>
    </row>
    <row r="57" spans="1:16" ht="12.3" x14ac:dyDescent="0.4">
      <c r="A57" s="2" t="s">
        <v>120</v>
      </c>
      <c r="B57" s="2">
        <v>11</v>
      </c>
      <c r="C57" s="2"/>
      <c r="D57" s="2"/>
      <c r="E57" s="2"/>
      <c r="F57" s="2"/>
      <c r="G57" s="2"/>
      <c r="H57" s="2"/>
      <c r="I57" s="2">
        <v>108.021</v>
      </c>
      <c r="J57" s="2">
        <v>108</v>
      </c>
      <c r="K57" s="2">
        <v>98.286900000000003</v>
      </c>
      <c r="L57" s="2">
        <v>55</v>
      </c>
      <c r="M57" s="2">
        <v>95.121700000000004</v>
      </c>
      <c r="N57" s="2">
        <v>33</v>
      </c>
      <c r="O57" s="2">
        <v>12.8992</v>
      </c>
      <c r="P57" s="2">
        <v>56</v>
      </c>
    </row>
    <row r="58" spans="1:16" ht="12.3" x14ac:dyDescent="0.4">
      <c r="A58" s="2" t="s">
        <v>19</v>
      </c>
      <c r="B58" s="2"/>
      <c r="C58" s="2"/>
      <c r="D58" s="2"/>
      <c r="E58" s="2"/>
      <c r="F58" s="2"/>
      <c r="G58" s="2"/>
      <c r="H58" s="2"/>
      <c r="I58" s="2">
        <v>108.687</v>
      </c>
      <c r="J58" s="2">
        <v>94</v>
      </c>
      <c r="K58" s="2">
        <v>99.829800000000006</v>
      </c>
      <c r="L58" s="2">
        <v>77</v>
      </c>
      <c r="M58" s="2">
        <v>95.8596</v>
      </c>
      <c r="N58" s="2">
        <v>38</v>
      </c>
      <c r="O58" s="2">
        <v>12.827</v>
      </c>
      <c r="P58" s="2">
        <v>57</v>
      </c>
    </row>
    <row r="59" spans="1:16" ht="12.3" x14ac:dyDescent="0.4">
      <c r="A59" s="2" t="s">
        <v>57</v>
      </c>
      <c r="B59" s="2"/>
      <c r="C59" s="3"/>
      <c r="D59" s="2"/>
      <c r="E59" s="2"/>
      <c r="F59" s="2"/>
      <c r="G59" s="2"/>
      <c r="H59" s="2"/>
      <c r="I59" s="2">
        <v>104.846</v>
      </c>
      <c r="J59" s="2">
        <v>159</v>
      </c>
      <c r="K59" s="2">
        <v>94.080799999999996</v>
      </c>
      <c r="L59" s="2">
        <v>15</v>
      </c>
      <c r="M59" s="2">
        <v>92.130200000000002</v>
      </c>
      <c r="N59" s="2">
        <v>13</v>
      </c>
      <c r="O59" s="2">
        <v>12.716200000000001</v>
      </c>
      <c r="P59" s="2">
        <v>58</v>
      </c>
    </row>
    <row r="60" spans="1:16" ht="12.3" x14ac:dyDescent="0.4">
      <c r="A60" s="2" t="s">
        <v>176</v>
      </c>
      <c r="B60" s="2">
        <v>12</v>
      </c>
      <c r="C60" s="2"/>
      <c r="D60" s="2"/>
      <c r="E60" s="2"/>
      <c r="F60" s="2"/>
      <c r="G60" s="2"/>
      <c r="H60" s="2"/>
      <c r="I60" s="2">
        <v>109.396</v>
      </c>
      <c r="J60" s="2">
        <v>84</v>
      </c>
      <c r="K60" s="2">
        <v>95.040999999999997</v>
      </c>
      <c r="L60" s="2">
        <v>19</v>
      </c>
      <c r="M60" s="2">
        <v>96.896199999999993</v>
      </c>
      <c r="N60" s="2">
        <v>46</v>
      </c>
      <c r="O60" s="2">
        <v>12.5002</v>
      </c>
      <c r="P60" s="2">
        <v>59</v>
      </c>
    </row>
    <row r="61" spans="1:16" ht="12.3" x14ac:dyDescent="0.4">
      <c r="A61" s="2" t="s">
        <v>83</v>
      </c>
      <c r="B61" s="2">
        <v>12</v>
      </c>
      <c r="C61" s="2"/>
      <c r="D61" s="2"/>
      <c r="E61" s="2"/>
      <c r="F61" s="2"/>
      <c r="G61" s="2"/>
      <c r="H61" s="2"/>
      <c r="I61" s="2">
        <v>117.706</v>
      </c>
      <c r="J61" s="2">
        <v>19</v>
      </c>
      <c r="K61" s="2">
        <v>105.22499999999999</v>
      </c>
      <c r="L61" s="2">
        <v>213</v>
      </c>
      <c r="M61" s="2">
        <v>105.319</v>
      </c>
      <c r="N61" s="2">
        <v>189</v>
      </c>
      <c r="O61" s="2">
        <v>12.386699999999999</v>
      </c>
      <c r="P61" s="2">
        <v>60</v>
      </c>
    </row>
    <row r="62" spans="1:16" ht="12.3" x14ac:dyDescent="0.4">
      <c r="A62" s="2" t="s">
        <v>42</v>
      </c>
      <c r="B62" s="2">
        <v>11</v>
      </c>
      <c r="C62" s="2"/>
      <c r="D62" s="2"/>
      <c r="E62" s="2"/>
      <c r="F62" s="2"/>
      <c r="G62" s="2"/>
      <c r="H62" s="2"/>
      <c r="I62" s="2">
        <v>112.508</v>
      </c>
      <c r="J62" s="2">
        <v>46</v>
      </c>
      <c r="K62" s="2">
        <v>102.91200000000001</v>
      </c>
      <c r="L62" s="2">
        <v>161</v>
      </c>
      <c r="M62" s="2">
        <v>100.16800000000001</v>
      </c>
      <c r="N62" s="2">
        <v>86</v>
      </c>
      <c r="O62" s="2">
        <v>12.3407</v>
      </c>
      <c r="P62" s="2">
        <v>61</v>
      </c>
    </row>
    <row r="63" spans="1:16" ht="12.3" x14ac:dyDescent="0.4">
      <c r="A63" s="2" t="s">
        <v>81</v>
      </c>
      <c r="B63" s="2"/>
      <c r="C63" s="2"/>
      <c r="D63" s="2"/>
      <c r="E63" s="2"/>
      <c r="F63" s="2"/>
      <c r="G63" s="2"/>
      <c r="H63" s="2"/>
      <c r="I63" s="2">
        <v>109.84</v>
      </c>
      <c r="J63" s="2">
        <v>75</v>
      </c>
      <c r="K63" s="2">
        <v>101.41</v>
      </c>
      <c r="L63" s="2">
        <v>124</v>
      </c>
      <c r="M63" s="2">
        <v>97.7196</v>
      </c>
      <c r="N63" s="2">
        <v>55</v>
      </c>
      <c r="O63" s="2">
        <v>12.120200000000001</v>
      </c>
      <c r="P63" s="2">
        <v>62</v>
      </c>
    </row>
    <row r="64" spans="1:16" ht="12.3" x14ac:dyDescent="0.4">
      <c r="A64" s="2" t="s">
        <v>220</v>
      </c>
      <c r="B64" s="2">
        <v>13</v>
      </c>
      <c r="C64" s="2"/>
      <c r="D64" s="2"/>
      <c r="E64" s="2"/>
      <c r="F64" s="2"/>
      <c r="G64" s="2"/>
      <c r="H64" s="2"/>
      <c r="I64" s="2">
        <v>110.83199999999999</v>
      </c>
      <c r="J64" s="2">
        <v>61</v>
      </c>
      <c r="K64" s="2">
        <v>96.282700000000006</v>
      </c>
      <c r="L64" s="2">
        <v>36</v>
      </c>
      <c r="M64" s="2">
        <v>98.947699999999998</v>
      </c>
      <c r="N64" s="2">
        <v>67</v>
      </c>
      <c r="O64" s="2">
        <v>11.8847</v>
      </c>
      <c r="P64" s="2">
        <v>63</v>
      </c>
    </row>
    <row r="65" spans="1:16" ht="12.3" x14ac:dyDescent="0.4">
      <c r="A65" s="2" t="s">
        <v>108</v>
      </c>
      <c r="B65" s="2">
        <v>13</v>
      </c>
      <c r="C65" s="2"/>
      <c r="D65" s="2"/>
      <c r="E65" s="2"/>
      <c r="F65" s="2"/>
      <c r="G65" s="2"/>
      <c r="H65" s="2"/>
      <c r="I65" s="2">
        <v>107.974</v>
      </c>
      <c r="J65" s="2">
        <v>109</v>
      </c>
      <c r="K65" s="2">
        <v>96.222899999999996</v>
      </c>
      <c r="L65" s="2">
        <v>35</v>
      </c>
      <c r="M65" s="2">
        <v>96.490200000000002</v>
      </c>
      <c r="N65" s="2">
        <v>44</v>
      </c>
      <c r="O65" s="2">
        <v>11.483599999999999</v>
      </c>
      <c r="P65" s="2">
        <v>64</v>
      </c>
    </row>
    <row r="66" spans="1:16" ht="12.3" x14ac:dyDescent="0.4">
      <c r="A66" s="2" t="s">
        <v>38</v>
      </c>
      <c r="B66" s="2"/>
      <c r="C66" s="2"/>
      <c r="D66" s="2"/>
      <c r="E66" s="2"/>
      <c r="F66" s="2"/>
      <c r="G66" s="2"/>
      <c r="H66" s="2"/>
      <c r="I66" s="2">
        <v>107.292</v>
      </c>
      <c r="J66" s="2">
        <v>118</v>
      </c>
      <c r="K66" s="2">
        <v>102.65300000000001</v>
      </c>
      <c r="L66" s="2">
        <v>153</v>
      </c>
      <c r="M66" s="2">
        <v>96.248999999999995</v>
      </c>
      <c r="N66" s="2">
        <v>42</v>
      </c>
      <c r="O66" s="2">
        <v>11.043100000000001</v>
      </c>
      <c r="P66" s="2">
        <v>65</v>
      </c>
    </row>
    <row r="67" spans="1:16" ht="12.3" x14ac:dyDescent="0.4">
      <c r="A67" s="2" t="s">
        <v>248</v>
      </c>
      <c r="B67" s="2"/>
      <c r="C67" s="2"/>
      <c r="D67" s="2"/>
      <c r="E67" s="2"/>
      <c r="F67" s="2"/>
      <c r="G67" s="2"/>
      <c r="H67" s="2"/>
      <c r="I67" s="2">
        <v>108.479</v>
      </c>
      <c r="J67" s="2">
        <v>98</v>
      </c>
      <c r="K67" s="2">
        <v>101.379</v>
      </c>
      <c r="L67" s="2">
        <v>123</v>
      </c>
      <c r="M67" s="2">
        <v>97.465999999999994</v>
      </c>
      <c r="N67" s="2">
        <v>52</v>
      </c>
      <c r="O67" s="2">
        <v>11.0129</v>
      </c>
      <c r="P67" s="2">
        <v>66</v>
      </c>
    </row>
    <row r="68" spans="1:16" ht="12.3" x14ac:dyDescent="0.4">
      <c r="A68" s="2" t="s">
        <v>177</v>
      </c>
      <c r="B68" s="2"/>
      <c r="C68" s="2"/>
      <c r="D68" s="2"/>
      <c r="E68" s="2"/>
      <c r="F68" s="2"/>
      <c r="G68" s="2"/>
      <c r="H68" s="2"/>
      <c r="I68" s="2">
        <v>103.857</v>
      </c>
      <c r="J68" s="2">
        <v>183</v>
      </c>
      <c r="K68" s="2">
        <v>91.586299999999994</v>
      </c>
      <c r="L68" s="2">
        <v>6</v>
      </c>
      <c r="M68" s="2">
        <v>92.860600000000005</v>
      </c>
      <c r="N68" s="2">
        <v>17</v>
      </c>
      <c r="O68" s="2">
        <v>10.996499999999999</v>
      </c>
      <c r="P68" s="2">
        <v>67</v>
      </c>
    </row>
    <row r="69" spans="1:16" ht="12.3" x14ac:dyDescent="0.4">
      <c r="A69" s="2" t="s">
        <v>62</v>
      </c>
      <c r="B69" s="2"/>
      <c r="C69" s="2"/>
      <c r="D69" s="2"/>
      <c r="E69" s="2"/>
      <c r="F69" s="2"/>
      <c r="G69" s="2"/>
      <c r="H69" s="2"/>
      <c r="I69" s="2">
        <v>108.57299999999999</v>
      </c>
      <c r="J69" s="2">
        <v>95</v>
      </c>
      <c r="K69" s="2">
        <v>102.26300000000001</v>
      </c>
      <c r="L69" s="2">
        <v>142</v>
      </c>
      <c r="M69" s="2">
        <v>97.621399999999994</v>
      </c>
      <c r="N69" s="2">
        <v>53</v>
      </c>
      <c r="O69" s="2">
        <v>10.9511</v>
      </c>
      <c r="P69" s="2">
        <v>68</v>
      </c>
    </row>
    <row r="70" spans="1:16" ht="12.3" x14ac:dyDescent="0.4">
      <c r="A70" s="2" t="s">
        <v>84</v>
      </c>
      <c r="B70" s="2"/>
      <c r="C70" s="2"/>
      <c r="D70" s="2"/>
      <c r="E70" s="2"/>
      <c r="F70" s="2"/>
      <c r="G70" s="2"/>
      <c r="H70" s="2"/>
      <c r="I70" s="2">
        <v>112.36799999999999</v>
      </c>
      <c r="J70" s="2">
        <v>47</v>
      </c>
      <c r="K70" s="2">
        <v>104.149</v>
      </c>
      <c r="L70" s="2">
        <v>192</v>
      </c>
      <c r="M70" s="2">
        <v>101.762</v>
      </c>
      <c r="N70" s="2">
        <v>109</v>
      </c>
      <c r="O70" s="2">
        <v>10.6067</v>
      </c>
      <c r="P70" s="2">
        <v>69</v>
      </c>
    </row>
    <row r="71" spans="1:16" ht="12.3" x14ac:dyDescent="0.4">
      <c r="A71" s="2" t="s">
        <v>44</v>
      </c>
      <c r="B71" s="2"/>
      <c r="C71" s="2"/>
      <c r="D71" s="2"/>
      <c r="E71" s="2"/>
      <c r="F71" s="2"/>
      <c r="G71" s="2"/>
      <c r="H71" s="2"/>
      <c r="I71" s="2">
        <v>107.559</v>
      </c>
      <c r="J71" s="2">
        <v>116</v>
      </c>
      <c r="K71" s="2">
        <v>102.15300000000001</v>
      </c>
      <c r="L71" s="2">
        <v>140</v>
      </c>
      <c r="M71" s="2">
        <v>97.019800000000004</v>
      </c>
      <c r="N71" s="2">
        <v>48</v>
      </c>
      <c r="O71" s="2">
        <v>10.5395</v>
      </c>
      <c r="P71" s="2">
        <v>70</v>
      </c>
    </row>
    <row r="72" spans="1:16" ht="12.3" x14ac:dyDescent="0.4">
      <c r="A72" s="2" t="s">
        <v>21</v>
      </c>
      <c r="B72" s="2"/>
      <c r="C72" s="2"/>
      <c r="D72" s="2"/>
      <c r="E72" s="2"/>
      <c r="F72" s="2"/>
      <c r="G72" s="2"/>
      <c r="H72" s="2"/>
      <c r="I72" s="2">
        <v>111.319</v>
      </c>
      <c r="J72" s="2">
        <v>57</v>
      </c>
      <c r="K72" s="2">
        <v>101.249</v>
      </c>
      <c r="L72" s="2">
        <v>120</v>
      </c>
      <c r="M72" s="2">
        <v>100.999</v>
      </c>
      <c r="N72" s="2">
        <v>94</v>
      </c>
      <c r="O72" s="2">
        <v>10.319900000000001</v>
      </c>
      <c r="P72" s="2">
        <v>71</v>
      </c>
    </row>
    <row r="73" spans="1:16" ht="12.3" x14ac:dyDescent="0.4">
      <c r="A73" s="2" t="s">
        <v>129</v>
      </c>
      <c r="B73" s="2"/>
      <c r="C73" s="3"/>
      <c r="D73" s="2"/>
      <c r="E73" s="2"/>
      <c r="F73" s="2"/>
      <c r="G73" s="2"/>
      <c r="H73" s="2"/>
      <c r="I73" s="2">
        <v>111.929</v>
      </c>
      <c r="J73" s="2">
        <v>52</v>
      </c>
      <c r="K73" s="2">
        <v>103.411</v>
      </c>
      <c r="L73" s="2">
        <v>171</v>
      </c>
      <c r="M73" s="2">
        <v>101.718</v>
      </c>
      <c r="N73" s="2">
        <v>107</v>
      </c>
      <c r="O73" s="2">
        <v>10.2105</v>
      </c>
      <c r="P73" s="2">
        <v>72</v>
      </c>
    </row>
    <row r="74" spans="1:16" ht="12.3" x14ac:dyDescent="0.4">
      <c r="A74" s="2" t="s">
        <v>67</v>
      </c>
      <c r="B74" s="2"/>
      <c r="C74" s="2"/>
      <c r="D74" s="2"/>
      <c r="E74" s="2"/>
      <c r="F74" s="2"/>
      <c r="G74" s="2"/>
      <c r="H74" s="2"/>
      <c r="I74" s="2">
        <v>104.125</v>
      </c>
      <c r="J74" s="2">
        <v>177</v>
      </c>
      <c r="K74" s="2">
        <v>100.697</v>
      </c>
      <c r="L74" s="2">
        <v>103</v>
      </c>
      <c r="M74" s="2">
        <v>93.962900000000005</v>
      </c>
      <c r="N74" s="2">
        <v>23</v>
      </c>
      <c r="O74" s="2">
        <v>10.1616</v>
      </c>
      <c r="P74" s="2">
        <v>73</v>
      </c>
    </row>
    <row r="75" spans="1:16" ht="12.3" x14ac:dyDescent="0.4">
      <c r="A75" s="2" t="s">
        <v>96</v>
      </c>
      <c r="B75" s="2"/>
      <c r="C75" s="3"/>
      <c r="D75" s="2"/>
      <c r="E75" s="2"/>
      <c r="F75" s="2"/>
      <c r="G75" s="2"/>
      <c r="H75" s="2"/>
      <c r="I75" s="2">
        <v>109.066</v>
      </c>
      <c r="J75" s="2">
        <v>87</v>
      </c>
      <c r="K75" s="2">
        <v>97.677599999999998</v>
      </c>
      <c r="L75" s="2">
        <v>47</v>
      </c>
      <c r="M75" s="2">
        <v>99.382599999999996</v>
      </c>
      <c r="N75" s="2">
        <v>72</v>
      </c>
      <c r="O75" s="2">
        <v>9.6834299999999995</v>
      </c>
      <c r="P75" s="2">
        <v>74</v>
      </c>
    </row>
    <row r="76" spans="1:16" ht="12.3" x14ac:dyDescent="0.4">
      <c r="A76" s="2" t="s">
        <v>46</v>
      </c>
      <c r="B76" s="2"/>
      <c r="C76" s="2"/>
      <c r="D76" s="2"/>
      <c r="E76" s="2"/>
      <c r="F76" s="2"/>
      <c r="G76" s="2"/>
      <c r="H76" s="2"/>
      <c r="I76" s="2">
        <v>112.72499999999999</v>
      </c>
      <c r="J76" s="2">
        <v>44</v>
      </c>
      <c r="K76" s="2">
        <v>109.747</v>
      </c>
      <c r="L76" s="2">
        <v>307</v>
      </c>
      <c r="M76" s="2">
        <v>103.193</v>
      </c>
      <c r="N76" s="2">
        <v>148</v>
      </c>
      <c r="O76" s="2">
        <v>9.5327999999999999</v>
      </c>
      <c r="P76" s="2">
        <v>75</v>
      </c>
    </row>
    <row r="77" spans="1:16" ht="12.3" x14ac:dyDescent="0.4">
      <c r="A77" s="2" t="s">
        <v>270</v>
      </c>
      <c r="B77" s="2"/>
      <c r="C77" s="2"/>
      <c r="D77" s="2"/>
      <c r="E77" s="2"/>
      <c r="F77" s="2"/>
      <c r="G77" s="2"/>
      <c r="H77" s="2"/>
      <c r="I77" s="2">
        <v>109.783</v>
      </c>
      <c r="J77" s="2">
        <v>77</v>
      </c>
      <c r="K77" s="2">
        <v>98.900300000000001</v>
      </c>
      <c r="L77" s="2">
        <v>63</v>
      </c>
      <c r="M77" s="2">
        <v>100.303</v>
      </c>
      <c r="N77" s="2">
        <v>88</v>
      </c>
      <c r="O77" s="2">
        <v>9.4795800000000003</v>
      </c>
      <c r="P77" s="2">
        <v>76</v>
      </c>
    </row>
    <row r="78" spans="1:16" ht="12.3" x14ac:dyDescent="0.4">
      <c r="A78" s="2" t="s">
        <v>51</v>
      </c>
      <c r="B78" s="2"/>
      <c r="C78" s="2"/>
      <c r="D78" s="2"/>
      <c r="E78" s="2"/>
      <c r="F78" s="2"/>
      <c r="G78" s="2"/>
      <c r="H78" s="2"/>
      <c r="I78" s="2">
        <v>110.101</v>
      </c>
      <c r="J78" s="2">
        <v>70</v>
      </c>
      <c r="K78" s="2">
        <v>102.926</v>
      </c>
      <c r="L78" s="2">
        <v>162</v>
      </c>
      <c r="M78" s="2">
        <v>100.733</v>
      </c>
      <c r="N78" s="2">
        <v>92</v>
      </c>
      <c r="O78" s="2">
        <v>9.3676499999999994</v>
      </c>
      <c r="P78" s="2">
        <v>77</v>
      </c>
    </row>
    <row r="79" spans="1:16" ht="12.3" x14ac:dyDescent="0.4">
      <c r="A79" s="2" t="s">
        <v>97</v>
      </c>
      <c r="B79" s="2"/>
      <c r="C79" s="2"/>
      <c r="D79" s="2"/>
      <c r="E79" s="2"/>
      <c r="F79" s="2"/>
      <c r="G79" s="2"/>
      <c r="H79" s="2"/>
      <c r="I79" s="2">
        <v>103.90300000000001</v>
      </c>
      <c r="J79" s="2">
        <v>182</v>
      </c>
      <c r="K79" s="2">
        <v>93.956100000000006</v>
      </c>
      <c r="L79" s="2">
        <v>14</v>
      </c>
      <c r="M79" s="2">
        <v>94.962900000000005</v>
      </c>
      <c r="N79" s="2">
        <v>31</v>
      </c>
      <c r="O79" s="2">
        <v>8.9402899999999992</v>
      </c>
      <c r="P79" s="2">
        <v>78</v>
      </c>
    </row>
    <row r="80" spans="1:16" ht="12.3" x14ac:dyDescent="0.4">
      <c r="A80" s="2" t="s">
        <v>251</v>
      </c>
      <c r="B80" s="2"/>
      <c r="C80" s="2"/>
      <c r="D80" s="2"/>
      <c r="E80" s="2"/>
      <c r="F80" s="2"/>
      <c r="G80" s="2"/>
      <c r="H80" s="2"/>
      <c r="I80" s="2">
        <v>108.819</v>
      </c>
      <c r="J80" s="2">
        <v>90</v>
      </c>
      <c r="K80" s="2">
        <v>97.738200000000006</v>
      </c>
      <c r="L80" s="2">
        <v>48</v>
      </c>
      <c r="M80" s="2">
        <v>100.053</v>
      </c>
      <c r="N80" s="2">
        <v>85</v>
      </c>
      <c r="O80" s="2">
        <v>8.7660599999999995</v>
      </c>
      <c r="P80" s="2">
        <v>79</v>
      </c>
    </row>
    <row r="81" spans="1:16" ht="12.3" x14ac:dyDescent="0.4">
      <c r="A81" s="2" t="s">
        <v>289</v>
      </c>
      <c r="B81" s="2">
        <v>13</v>
      </c>
      <c r="C81" s="3"/>
      <c r="D81" s="3"/>
      <c r="E81" s="2"/>
      <c r="F81" s="2"/>
      <c r="G81" s="2"/>
      <c r="H81" s="2"/>
      <c r="I81" s="2">
        <v>109.074</v>
      </c>
      <c r="J81" s="2">
        <v>86</v>
      </c>
      <c r="K81" s="2">
        <v>96.036000000000001</v>
      </c>
      <c r="L81" s="2">
        <v>32</v>
      </c>
      <c r="M81" s="2">
        <v>100.358</v>
      </c>
      <c r="N81" s="2">
        <v>89</v>
      </c>
      <c r="O81" s="2">
        <v>8.7160100000000007</v>
      </c>
      <c r="P81" s="2">
        <v>80</v>
      </c>
    </row>
    <row r="82" spans="1:16" ht="12.3" x14ac:dyDescent="0.4">
      <c r="A82" s="2" t="s">
        <v>157</v>
      </c>
      <c r="B82" s="2"/>
      <c r="C82" s="2"/>
      <c r="D82" s="2"/>
      <c r="E82" s="2"/>
      <c r="F82" s="2"/>
      <c r="G82" s="2"/>
      <c r="H82" s="2"/>
      <c r="I82" s="2">
        <v>108.324</v>
      </c>
      <c r="J82" s="2">
        <v>103</v>
      </c>
      <c r="K82" s="2">
        <v>98.9268</v>
      </c>
      <c r="L82" s="2">
        <v>64</v>
      </c>
      <c r="M82" s="2">
        <v>99.846000000000004</v>
      </c>
      <c r="N82" s="2">
        <v>79</v>
      </c>
      <c r="O82" s="2">
        <v>8.4780499999999996</v>
      </c>
      <c r="P82" s="2">
        <v>81</v>
      </c>
    </row>
    <row r="83" spans="1:16" ht="12.3" x14ac:dyDescent="0.4">
      <c r="A83" s="2" t="s">
        <v>92</v>
      </c>
      <c r="B83" s="2"/>
      <c r="C83" s="2"/>
      <c r="D83" s="2"/>
      <c r="E83" s="2"/>
      <c r="F83" s="2"/>
      <c r="G83" s="2"/>
      <c r="H83" s="2"/>
      <c r="I83" s="2">
        <v>99.009500000000003</v>
      </c>
      <c r="J83" s="2">
        <v>269</v>
      </c>
      <c r="K83" s="2">
        <v>96.892399999999995</v>
      </c>
      <c r="L83" s="2">
        <v>39</v>
      </c>
      <c r="M83" s="2">
        <v>90.641099999999994</v>
      </c>
      <c r="N83" s="2">
        <v>7</v>
      </c>
      <c r="O83" s="2">
        <v>8.3683999999999994</v>
      </c>
      <c r="P83" s="2">
        <v>82</v>
      </c>
    </row>
    <row r="84" spans="1:16" ht="12.3" x14ac:dyDescent="0.4">
      <c r="A84" s="2" t="s">
        <v>113</v>
      </c>
      <c r="B84" s="2"/>
      <c r="C84" s="3"/>
      <c r="D84" s="3"/>
      <c r="E84" s="3"/>
      <c r="F84" s="3"/>
      <c r="G84" s="3"/>
      <c r="H84" s="2"/>
      <c r="I84" s="2">
        <v>111.72</v>
      </c>
      <c r="J84" s="2">
        <v>54</v>
      </c>
      <c r="K84" s="2">
        <v>105.17</v>
      </c>
      <c r="L84" s="2">
        <v>208</v>
      </c>
      <c r="M84" s="2">
        <v>103.446</v>
      </c>
      <c r="N84" s="2">
        <v>158</v>
      </c>
      <c r="O84" s="2">
        <v>8.2742400000000007</v>
      </c>
      <c r="P84" s="2">
        <v>83</v>
      </c>
    </row>
    <row r="85" spans="1:16" ht="12.3" x14ac:dyDescent="0.4">
      <c r="A85" s="2" t="s">
        <v>134</v>
      </c>
      <c r="B85" s="2"/>
      <c r="C85" s="2"/>
      <c r="D85" s="2"/>
      <c r="E85" s="2"/>
      <c r="F85" s="2"/>
      <c r="G85" s="2"/>
      <c r="H85" s="2"/>
      <c r="I85" s="2">
        <v>108.467</v>
      </c>
      <c r="J85" s="2">
        <v>99</v>
      </c>
      <c r="K85" s="2">
        <v>102.44199999999999</v>
      </c>
      <c r="L85" s="2">
        <v>147</v>
      </c>
      <c r="M85" s="2">
        <v>100.65300000000001</v>
      </c>
      <c r="N85" s="2">
        <v>91</v>
      </c>
      <c r="O85" s="2">
        <v>7.8145199999999999</v>
      </c>
      <c r="P85" s="2">
        <v>84</v>
      </c>
    </row>
    <row r="86" spans="1:16" ht="12.3" x14ac:dyDescent="0.4">
      <c r="A86" s="2" t="s">
        <v>244</v>
      </c>
      <c r="B86" s="2"/>
      <c r="C86" s="3"/>
      <c r="D86" s="3"/>
      <c r="E86" s="2"/>
      <c r="F86" s="2"/>
      <c r="G86" s="2"/>
      <c r="H86" s="2"/>
      <c r="I86" s="2">
        <v>110.428</v>
      </c>
      <c r="J86" s="2">
        <v>67</v>
      </c>
      <c r="K86" s="2">
        <v>101.12</v>
      </c>
      <c r="L86" s="2">
        <v>118</v>
      </c>
      <c r="M86" s="2">
        <v>102.825</v>
      </c>
      <c r="N86" s="2">
        <v>137</v>
      </c>
      <c r="O86" s="2">
        <v>7.6024099999999999</v>
      </c>
      <c r="P86" s="2">
        <v>85</v>
      </c>
    </row>
    <row r="87" spans="1:16" ht="12.3" x14ac:dyDescent="0.4">
      <c r="A87" s="2" t="s">
        <v>105</v>
      </c>
      <c r="B87" s="2"/>
      <c r="C87" s="2"/>
      <c r="D87" s="2"/>
      <c r="E87" s="2"/>
      <c r="F87" s="2"/>
      <c r="G87" s="2"/>
      <c r="H87" s="2"/>
      <c r="I87" s="2">
        <v>105.854</v>
      </c>
      <c r="J87" s="2">
        <v>146</v>
      </c>
      <c r="K87" s="2">
        <v>98.328800000000001</v>
      </c>
      <c r="L87" s="2">
        <v>57</v>
      </c>
      <c r="M87" s="2">
        <v>98.344899999999996</v>
      </c>
      <c r="N87" s="2">
        <v>62</v>
      </c>
      <c r="O87" s="2">
        <v>7.5091200000000002</v>
      </c>
      <c r="P87" s="2">
        <v>86</v>
      </c>
    </row>
    <row r="88" spans="1:16" ht="12.3" x14ac:dyDescent="0.4">
      <c r="A88" s="2" t="s">
        <v>230</v>
      </c>
      <c r="B88" s="2"/>
      <c r="C88" s="2"/>
      <c r="D88" s="2"/>
      <c r="E88" s="2"/>
      <c r="F88" s="2"/>
      <c r="G88" s="2"/>
      <c r="H88" s="2"/>
      <c r="I88" s="2">
        <v>104.575</v>
      </c>
      <c r="J88" s="2">
        <v>166</v>
      </c>
      <c r="K88" s="2">
        <v>100.041</v>
      </c>
      <c r="L88" s="2">
        <v>81</v>
      </c>
      <c r="M88" s="2">
        <v>97.150800000000004</v>
      </c>
      <c r="N88" s="2">
        <v>50</v>
      </c>
      <c r="O88" s="2">
        <v>7.42462</v>
      </c>
      <c r="P88" s="2">
        <v>87</v>
      </c>
    </row>
    <row r="89" spans="1:16" ht="12.3" x14ac:dyDescent="0.4">
      <c r="A89" s="2" t="s">
        <v>118</v>
      </c>
      <c r="B89" s="2">
        <v>14</v>
      </c>
      <c r="C89" s="2"/>
      <c r="D89" s="2"/>
      <c r="E89" s="2"/>
      <c r="F89" s="2"/>
      <c r="G89" s="2"/>
      <c r="H89" s="2"/>
      <c r="I89" s="2">
        <v>110.05200000000001</v>
      </c>
      <c r="J89" s="2">
        <v>71</v>
      </c>
      <c r="K89" s="2">
        <v>97.215000000000003</v>
      </c>
      <c r="L89" s="2">
        <v>42</v>
      </c>
      <c r="M89" s="2">
        <v>102.738</v>
      </c>
      <c r="N89" s="2">
        <v>135</v>
      </c>
      <c r="O89" s="2">
        <v>7.3146300000000002</v>
      </c>
      <c r="P89" s="2">
        <v>88</v>
      </c>
    </row>
    <row r="90" spans="1:16" ht="12.3" x14ac:dyDescent="0.4">
      <c r="A90" s="2" t="s">
        <v>106</v>
      </c>
      <c r="B90" s="2"/>
      <c r="C90" s="2"/>
      <c r="D90" s="2"/>
      <c r="E90" s="2"/>
      <c r="F90" s="2"/>
      <c r="G90" s="2"/>
      <c r="H90" s="2"/>
      <c r="I90" s="2">
        <v>109.014</v>
      </c>
      <c r="J90" s="2">
        <v>88</v>
      </c>
      <c r="K90" s="2">
        <v>101.505</v>
      </c>
      <c r="L90" s="2">
        <v>127</v>
      </c>
      <c r="M90" s="2">
        <v>101.73399999999999</v>
      </c>
      <c r="N90" s="2">
        <v>108</v>
      </c>
      <c r="O90" s="2">
        <v>7.2796099999999999</v>
      </c>
      <c r="P90" s="2">
        <v>89</v>
      </c>
    </row>
    <row r="91" spans="1:16" ht="12.3" x14ac:dyDescent="0.4">
      <c r="A91" s="2" t="s">
        <v>100</v>
      </c>
      <c r="B91" s="2"/>
      <c r="C91" s="2"/>
      <c r="D91" s="2"/>
      <c r="E91" s="2"/>
      <c r="F91" s="2"/>
      <c r="G91" s="2"/>
      <c r="H91" s="2"/>
      <c r="I91" s="2">
        <v>108.771</v>
      </c>
      <c r="J91" s="2">
        <v>91</v>
      </c>
      <c r="K91" s="2">
        <v>101.471</v>
      </c>
      <c r="L91" s="2">
        <v>126</v>
      </c>
      <c r="M91" s="2">
        <v>101.669</v>
      </c>
      <c r="N91" s="2">
        <v>105</v>
      </c>
      <c r="O91" s="2">
        <v>7.1024799999999999</v>
      </c>
      <c r="P91" s="2">
        <v>90</v>
      </c>
    </row>
    <row r="92" spans="1:16" ht="12.3" x14ac:dyDescent="0.4">
      <c r="A92" s="2" t="s">
        <v>94</v>
      </c>
      <c r="B92" s="2"/>
      <c r="C92" s="2"/>
      <c r="D92" s="2"/>
      <c r="E92" s="2"/>
      <c r="F92" s="2"/>
      <c r="G92" s="2"/>
      <c r="H92" s="2"/>
      <c r="I92" s="2">
        <v>107.9</v>
      </c>
      <c r="J92" s="2">
        <v>111</v>
      </c>
      <c r="K92" s="2">
        <v>95.4345</v>
      </c>
      <c r="L92" s="2">
        <v>27</v>
      </c>
      <c r="M92" s="2">
        <v>100.898</v>
      </c>
      <c r="N92" s="2">
        <v>93</v>
      </c>
      <c r="O92" s="2">
        <v>7.0026200000000003</v>
      </c>
      <c r="P92" s="2">
        <v>91</v>
      </c>
    </row>
    <row r="93" spans="1:16" ht="12.3" x14ac:dyDescent="0.4">
      <c r="A93" s="2" t="s">
        <v>48</v>
      </c>
      <c r="B93" s="2"/>
      <c r="C93" s="2"/>
      <c r="D93" s="2"/>
      <c r="E93" s="2"/>
      <c r="F93" s="2"/>
      <c r="G93" s="2"/>
      <c r="H93" s="2"/>
      <c r="I93" s="2">
        <v>106.387</v>
      </c>
      <c r="J93" s="2">
        <v>140</v>
      </c>
      <c r="K93" s="2">
        <v>100.07599999999999</v>
      </c>
      <c r="L93" s="2">
        <v>83</v>
      </c>
      <c r="M93" s="2">
        <v>99.534099999999995</v>
      </c>
      <c r="N93" s="2">
        <v>76</v>
      </c>
      <c r="O93" s="2">
        <v>6.8527399999999998</v>
      </c>
      <c r="P93" s="2">
        <v>92</v>
      </c>
    </row>
    <row r="94" spans="1:16" ht="12.3" x14ac:dyDescent="0.4">
      <c r="A94" s="2" t="s">
        <v>54</v>
      </c>
      <c r="B94" s="2"/>
      <c r="C94" s="2"/>
      <c r="D94" s="2"/>
      <c r="E94" s="2"/>
      <c r="F94" s="2"/>
      <c r="G94" s="2"/>
      <c r="H94" s="2"/>
      <c r="I94" s="2">
        <v>105.36199999999999</v>
      </c>
      <c r="J94" s="2">
        <v>154</v>
      </c>
      <c r="K94" s="2">
        <v>100.49</v>
      </c>
      <c r="L94" s="2">
        <v>99</v>
      </c>
      <c r="M94" s="2">
        <v>98.630899999999997</v>
      </c>
      <c r="N94" s="2">
        <v>63</v>
      </c>
      <c r="O94" s="2">
        <v>6.7313700000000001</v>
      </c>
      <c r="P94" s="2">
        <v>93</v>
      </c>
    </row>
    <row r="95" spans="1:16" ht="12.3" x14ac:dyDescent="0.4">
      <c r="A95" s="2" t="s">
        <v>102</v>
      </c>
      <c r="B95" s="2"/>
      <c r="C95" s="2"/>
      <c r="D95" s="2"/>
      <c r="E95" s="2"/>
      <c r="F95" s="2"/>
      <c r="G95" s="2"/>
      <c r="H95" s="2"/>
      <c r="I95" s="2">
        <v>109.15300000000001</v>
      </c>
      <c r="J95" s="2">
        <v>85</v>
      </c>
      <c r="K95" s="2">
        <v>106.41200000000001</v>
      </c>
      <c r="L95" s="2">
        <v>238</v>
      </c>
      <c r="M95" s="2">
        <v>102.631</v>
      </c>
      <c r="N95" s="2">
        <v>129</v>
      </c>
      <c r="O95" s="2">
        <v>6.5215300000000003</v>
      </c>
      <c r="P95" s="2">
        <v>94</v>
      </c>
    </row>
    <row r="96" spans="1:16" ht="12.3" x14ac:dyDescent="0.4">
      <c r="A96" s="2" t="s">
        <v>212</v>
      </c>
      <c r="B96" s="2"/>
      <c r="C96" s="2"/>
      <c r="D96" s="2"/>
      <c r="E96" s="2"/>
      <c r="F96" s="2"/>
      <c r="G96" s="2"/>
      <c r="H96" s="2"/>
      <c r="I96" s="2">
        <v>109.629</v>
      </c>
      <c r="J96" s="2">
        <v>79</v>
      </c>
      <c r="K96" s="2">
        <v>102.43300000000001</v>
      </c>
      <c r="L96" s="2">
        <v>146</v>
      </c>
      <c r="M96" s="2">
        <v>103.12</v>
      </c>
      <c r="N96" s="2">
        <v>142</v>
      </c>
      <c r="O96" s="2">
        <v>6.5085800000000003</v>
      </c>
      <c r="P96" s="2">
        <v>95</v>
      </c>
    </row>
    <row r="97" spans="1:16" ht="12.3" x14ac:dyDescent="0.4">
      <c r="A97" s="2" t="s">
        <v>150</v>
      </c>
      <c r="B97" s="2"/>
      <c r="C97" s="2"/>
      <c r="D97" s="2"/>
      <c r="E97" s="2"/>
      <c r="F97" s="2"/>
      <c r="G97" s="2"/>
      <c r="H97" s="2"/>
      <c r="I97" s="2">
        <v>108.89</v>
      </c>
      <c r="J97" s="2">
        <v>89</v>
      </c>
      <c r="K97" s="2">
        <v>100.19</v>
      </c>
      <c r="L97" s="2">
        <v>89</v>
      </c>
      <c r="M97" s="2">
        <v>102.39400000000001</v>
      </c>
      <c r="N97" s="2">
        <v>124</v>
      </c>
      <c r="O97" s="2">
        <v>6.4953799999999999</v>
      </c>
      <c r="P97" s="2">
        <v>96</v>
      </c>
    </row>
    <row r="98" spans="1:16" ht="12.3" x14ac:dyDescent="0.4">
      <c r="A98" s="2" t="s">
        <v>74</v>
      </c>
      <c r="B98" s="2"/>
      <c r="C98" s="2"/>
      <c r="D98" s="2"/>
      <c r="E98" s="2"/>
      <c r="F98" s="2"/>
      <c r="G98" s="2"/>
      <c r="H98" s="2"/>
      <c r="I98" s="2">
        <v>106.68899999999999</v>
      </c>
      <c r="J98" s="2">
        <v>130</v>
      </c>
      <c r="K98" s="2">
        <v>97.349100000000007</v>
      </c>
      <c r="L98" s="2">
        <v>44</v>
      </c>
      <c r="M98" s="2">
        <v>100.29300000000001</v>
      </c>
      <c r="N98" s="2">
        <v>87</v>
      </c>
      <c r="O98" s="2">
        <v>6.3954700000000004</v>
      </c>
      <c r="P98" s="2">
        <v>97</v>
      </c>
    </row>
    <row r="99" spans="1:16" ht="12.3" x14ac:dyDescent="0.4">
      <c r="A99" s="2" t="s">
        <v>71</v>
      </c>
      <c r="B99" s="2"/>
      <c r="C99" s="2"/>
      <c r="D99" s="2"/>
      <c r="E99" s="2"/>
      <c r="F99" s="2"/>
      <c r="G99" s="2"/>
      <c r="H99" s="2"/>
      <c r="I99" s="2">
        <v>107.08</v>
      </c>
      <c r="J99" s="2">
        <v>123</v>
      </c>
      <c r="K99" s="2">
        <v>100.36199999999999</v>
      </c>
      <c r="L99" s="2">
        <v>95</v>
      </c>
      <c r="M99" s="2">
        <v>101.023</v>
      </c>
      <c r="N99" s="2">
        <v>96</v>
      </c>
      <c r="O99" s="2">
        <v>6.0565100000000003</v>
      </c>
      <c r="P99" s="2">
        <v>98</v>
      </c>
    </row>
    <row r="100" spans="1:16" ht="12.3" x14ac:dyDescent="0.4">
      <c r="A100" s="2" t="s">
        <v>256</v>
      </c>
      <c r="B100" s="2"/>
      <c r="C100" s="3"/>
      <c r="D100" s="3"/>
      <c r="E100" s="3"/>
      <c r="F100" s="3"/>
      <c r="G100" s="2"/>
      <c r="H100" s="2"/>
      <c r="I100" s="2">
        <v>112.886</v>
      </c>
      <c r="J100" s="2">
        <v>42</v>
      </c>
      <c r="K100" s="2">
        <v>104.84099999999999</v>
      </c>
      <c r="L100" s="2">
        <v>202</v>
      </c>
      <c r="M100" s="2">
        <v>106.959</v>
      </c>
      <c r="N100" s="2">
        <v>217</v>
      </c>
      <c r="O100" s="2">
        <v>5.9269600000000002</v>
      </c>
      <c r="P100" s="2">
        <v>99</v>
      </c>
    </row>
    <row r="101" spans="1:16" ht="12.3" x14ac:dyDescent="0.4">
      <c r="A101" s="2" t="s">
        <v>112</v>
      </c>
      <c r="B101" s="2"/>
      <c r="C101" s="2"/>
      <c r="D101" s="2"/>
      <c r="E101" s="2"/>
      <c r="F101" s="2"/>
      <c r="G101" s="2"/>
      <c r="H101" s="2"/>
      <c r="I101" s="2">
        <v>104.855</v>
      </c>
      <c r="J101" s="2">
        <v>158</v>
      </c>
      <c r="K101" s="2">
        <v>99.033000000000001</v>
      </c>
      <c r="L101" s="2">
        <v>65</v>
      </c>
      <c r="M101" s="2">
        <v>98.942800000000005</v>
      </c>
      <c r="N101" s="2">
        <v>66</v>
      </c>
      <c r="O101" s="2">
        <v>5.9118599999999999</v>
      </c>
      <c r="P101" s="2">
        <v>100</v>
      </c>
    </row>
    <row r="102" spans="1:16" ht="12.3" x14ac:dyDescent="0.4">
      <c r="A102" s="2" t="s">
        <v>52</v>
      </c>
      <c r="B102" s="2"/>
      <c r="C102" s="2"/>
      <c r="D102" s="2"/>
      <c r="E102" s="2"/>
      <c r="F102" s="2"/>
      <c r="G102" s="2"/>
      <c r="H102" s="2"/>
      <c r="I102" s="2">
        <v>104.77500000000001</v>
      </c>
      <c r="J102" s="2">
        <v>161</v>
      </c>
      <c r="K102" s="2">
        <v>102.997</v>
      </c>
      <c r="L102" s="2">
        <v>163</v>
      </c>
      <c r="M102" s="2">
        <v>98.957899999999995</v>
      </c>
      <c r="N102" s="2">
        <v>68</v>
      </c>
      <c r="O102" s="2">
        <v>5.8171499999999998</v>
      </c>
      <c r="P102" s="2">
        <v>101</v>
      </c>
    </row>
    <row r="103" spans="1:16" ht="12.3" x14ac:dyDescent="0.4">
      <c r="A103" s="2" t="s">
        <v>281</v>
      </c>
      <c r="B103" s="2"/>
      <c r="C103" s="2"/>
      <c r="D103" s="2"/>
      <c r="E103" s="2"/>
      <c r="F103" s="2"/>
      <c r="G103" s="2"/>
      <c r="H103" s="2"/>
      <c r="I103" s="2">
        <v>107.59399999999999</v>
      </c>
      <c r="J103" s="2">
        <v>115</v>
      </c>
      <c r="K103" s="2">
        <v>97.958200000000005</v>
      </c>
      <c r="L103" s="2">
        <v>50</v>
      </c>
      <c r="M103" s="2">
        <v>101.842</v>
      </c>
      <c r="N103" s="2">
        <v>113</v>
      </c>
      <c r="O103" s="2">
        <v>5.7524899999999999</v>
      </c>
      <c r="P103" s="2">
        <v>102</v>
      </c>
    </row>
    <row r="104" spans="1:16" ht="12.3" x14ac:dyDescent="0.4">
      <c r="A104" s="2" t="s">
        <v>151</v>
      </c>
      <c r="B104" s="2"/>
      <c r="C104" s="2"/>
      <c r="D104" s="2"/>
      <c r="E104" s="2"/>
      <c r="F104" s="2"/>
      <c r="G104" s="2"/>
      <c r="H104" s="2"/>
      <c r="I104" s="2">
        <v>105.574</v>
      </c>
      <c r="J104" s="2">
        <v>148</v>
      </c>
      <c r="K104" s="2">
        <v>97.664699999999996</v>
      </c>
      <c r="L104" s="2">
        <v>46</v>
      </c>
      <c r="M104" s="2">
        <v>99.896900000000002</v>
      </c>
      <c r="N104" s="2">
        <v>81</v>
      </c>
      <c r="O104" s="2">
        <v>5.6768400000000003</v>
      </c>
      <c r="P104" s="2">
        <v>103</v>
      </c>
    </row>
    <row r="105" spans="1:16" ht="12.3" x14ac:dyDescent="0.4">
      <c r="A105" s="2" t="s">
        <v>55</v>
      </c>
      <c r="B105" s="2"/>
      <c r="C105" s="2"/>
      <c r="D105" s="2"/>
      <c r="E105" s="2"/>
      <c r="F105" s="2"/>
      <c r="G105" s="2"/>
      <c r="H105" s="2"/>
      <c r="I105" s="2">
        <v>112.876</v>
      </c>
      <c r="J105" s="2">
        <v>43</v>
      </c>
      <c r="K105" s="2">
        <v>110.21299999999999</v>
      </c>
      <c r="L105" s="2">
        <v>316</v>
      </c>
      <c r="M105" s="2">
        <v>107.227</v>
      </c>
      <c r="N105" s="2">
        <v>224</v>
      </c>
      <c r="O105" s="2">
        <v>5.6494400000000002</v>
      </c>
      <c r="P105" s="2">
        <v>104</v>
      </c>
    </row>
    <row r="106" spans="1:16" ht="12.3" x14ac:dyDescent="0.4">
      <c r="A106" s="2" t="s">
        <v>173</v>
      </c>
      <c r="B106" s="2"/>
      <c r="C106" s="2"/>
      <c r="D106" s="2"/>
      <c r="E106" s="2"/>
      <c r="F106" s="2"/>
      <c r="G106" s="2"/>
      <c r="H106" s="2"/>
      <c r="I106" s="2">
        <v>103.282</v>
      </c>
      <c r="J106" s="2">
        <v>190</v>
      </c>
      <c r="K106" s="2">
        <v>97.007900000000006</v>
      </c>
      <c r="L106" s="2">
        <v>40</v>
      </c>
      <c r="M106" s="2">
        <v>97.823400000000007</v>
      </c>
      <c r="N106" s="2">
        <v>59</v>
      </c>
      <c r="O106" s="2">
        <v>5.4584900000000003</v>
      </c>
      <c r="P106" s="2">
        <v>105</v>
      </c>
    </row>
    <row r="107" spans="1:16" ht="12.3" x14ac:dyDescent="0.4">
      <c r="A107" s="2" t="s">
        <v>195</v>
      </c>
      <c r="B107" s="2"/>
      <c r="C107" s="2"/>
      <c r="D107" s="2"/>
      <c r="E107" s="2"/>
      <c r="F107" s="2"/>
      <c r="G107" s="2"/>
      <c r="H107" s="2"/>
      <c r="I107" s="2">
        <v>107.279</v>
      </c>
      <c r="J107" s="2">
        <v>119</v>
      </c>
      <c r="K107" s="2">
        <v>100.44199999999999</v>
      </c>
      <c r="L107" s="2">
        <v>97</v>
      </c>
      <c r="M107" s="2">
        <v>101.97199999999999</v>
      </c>
      <c r="N107" s="2">
        <v>114</v>
      </c>
      <c r="O107" s="2">
        <v>5.3067500000000001</v>
      </c>
      <c r="P107" s="2">
        <v>106</v>
      </c>
    </row>
    <row r="108" spans="1:16" ht="12.3" x14ac:dyDescent="0.4">
      <c r="A108" s="2" t="s">
        <v>136</v>
      </c>
      <c r="B108" s="2"/>
      <c r="C108" s="2"/>
      <c r="D108" s="2"/>
      <c r="E108" s="2"/>
      <c r="F108" s="2"/>
      <c r="G108" s="2"/>
      <c r="H108" s="2"/>
      <c r="I108" s="2">
        <v>105.07599999999999</v>
      </c>
      <c r="J108" s="2">
        <v>157</v>
      </c>
      <c r="K108" s="2">
        <v>105.336</v>
      </c>
      <c r="L108" s="2">
        <v>216</v>
      </c>
      <c r="M108" s="2">
        <v>99.916200000000003</v>
      </c>
      <c r="N108" s="2">
        <v>82</v>
      </c>
      <c r="O108" s="2">
        <v>5.1598100000000002</v>
      </c>
      <c r="P108" s="2">
        <v>107</v>
      </c>
    </row>
    <row r="109" spans="1:16" ht="12.3" x14ac:dyDescent="0.4">
      <c r="A109" s="2" t="s">
        <v>369</v>
      </c>
      <c r="B109" s="2">
        <v>14</v>
      </c>
      <c r="C109" s="2"/>
      <c r="D109" s="2"/>
      <c r="E109" s="2"/>
      <c r="F109" s="2"/>
      <c r="G109" s="2"/>
      <c r="H109" s="2"/>
      <c r="I109" s="2">
        <v>109.563</v>
      </c>
      <c r="J109" s="2">
        <v>81</v>
      </c>
      <c r="K109" s="2">
        <v>102.889</v>
      </c>
      <c r="L109" s="2">
        <v>160</v>
      </c>
      <c r="M109" s="2">
        <v>104.547</v>
      </c>
      <c r="N109" s="2">
        <v>171</v>
      </c>
      <c r="O109" s="2">
        <v>5.016</v>
      </c>
      <c r="P109" s="2">
        <v>108</v>
      </c>
    </row>
    <row r="110" spans="1:16" ht="12.3" x14ac:dyDescent="0.4">
      <c r="A110" s="2" t="s">
        <v>165</v>
      </c>
      <c r="B110" s="2"/>
      <c r="C110" s="2"/>
      <c r="D110" s="2"/>
      <c r="E110" s="2"/>
      <c r="F110" s="2"/>
      <c r="G110" s="2"/>
      <c r="H110" s="2"/>
      <c r="I110" s="2">
        <v>103.801</v>
      </c>
      <c r="J110" s="2">
        <v>186</v>
      </c>
      <c r="K110" s="2">
        <v>95.330399999999997</v>
      </c>
      <c r="L110" s="2">
        <v>26</v>
      </c>
      <c r="M110" s="2">
        <v>98.901600000000002</v>
      </c>
      <c r="N110" s="2">
        <v>65</v>
      </c>
      <c r="O110" s="2">
        <v>4.8988899999999997</v>
      </c>
      <c r="P110" s="2">
        <v>109</v>
      </c>
    </row>
    <row r="111" spans="1:16" ht="12.3" x14ac:dyDescent="0.4">
      <c r="A111" s="2" t="s">
        <v>335</v>
      </c>
      <c r="B111" s="2"/>
      <c r="C111" s="2"/>
      <c r="D111" s="2"/>
      <c r="E111" s="2"/>
      <c r="F111" s="2"/>
      <c r="G111" s="2"/>
      <c r="H111" s="2"/>
      <c r="I111" s="2">
        <v>102.57</v>
      </c>
      <c r="J111" s="2">
        <v>210</v>
      </c>
      <c r="K111" s="2">
        <v>96.200699999999998</v>
      </c>
      <c r="L111" s="2">
        <v>34</v>
      </c>
      <c r="M111" s="2">
        <v>97.726200000000006</v>
      </c>
      <c r="N111" s="2">
        <v>56</v>
      </c>
      <c r="O111" s="2">
        <v>4.8435699999999997</v>
      </c>
      <c r="P111" s="2">
        <v>110</v>
      </c>
    </row>
    <row r="112" spans="1:16" ht="12.3" x14ac:dyDescent="0.4">
      <c r="A112" s="2" t="s">
        <v>255</v>
      </c>
      <c r="B112" s="2"/>
      <c r="C112" s="2"/>
      <c r="D112" s="2"/>
      <c r="E112" s="2"/>
      <c r="F112" s="2"/>
      <c r="G112" s="2"/>
      <c r="H112" s="2"/>
      <c r="I112" s="2">
        <v>106.60299999999999</v>
      </c>
      <c r="J112" s="2">
        <v>134</v>
      </c>
      <c r="K112" s="2">
        <v>99.574799999999996</v>
      </c>
      <c r="L112" s="2">
        <v>73</v>
      </c>
      <c r="M112" s="2">
        <v>101.76600000000001</v>
      </c>
      <c r="N112" s="2">
        <v>110</v>
      </c>
      <c r="O112" s="2">
        <v>4.8363399999999999</v>
      </c>
      <c r="P112" s="2">
        <v>111</v>
      </c>
    </row>
    <row r="113" spans="1:16" ht="12.3" x14ac:dyDescent="0.4">
      <c r="A113" s="2" t="s">
        <v>240</v>
      </c>
      <c r="B113" s="2">
        <v>13</v>
      </c>
      <c r="C113" s="2"/>
      <c r="D113" s="2"/>
      <c r="E113" s="2"/>
      <c r="F113" s="2"/>
      <c r="G113" s="2"/>
      <c r="H113" s="2"/>
      <c r="I113" s="2">
        <v>106.43600000000001</v>
      </c>
      <c r="J113" s="2">
        <v>136</v>
      </c>
      <c r="K113" s="2">
        <v>97.016300000000001</v>
      </c>
      <c r="L113" s="2">
        <v>41</v>
      </c>
      <c r="M113" s="2">
        <v>101.809</v>
      </c>
      <c r="N113" s="2">
        <v>111</v>
      </c>
      <c r="O113" s="2">
        <v>4.6269400000000003</v>
      </c>
      <c r="P113" s="2">
        <v>112</v>
      </c>
    </row>
    <row r="114" spans="1:16" ht="12.3" x14ac:dyDescent="0.4">
      <c r="A114" s="2" t="s">
        <v>166</v>
      </c>
      <c r="B114" s="2"/>
      <c r="C114" s="2"/>
      <c r="D114" s="2"/>
      <c r="E114" s="2"/>
      <c r="F114" s="2"/>
      <c r="G114" s="2"/>
      <c r="H114" s="2"/>
      <c r="I114" s="2">
        <v>106.657</v>
      </c>
      <c r="J114" s="2">
        <v>131</v>
      </c>
      <c r="K114" s="2">
        <v>102.3</v>
      </c>
      <c r="L114" s="2">
        <v>143</v>
      </c>
      <c r="M114" s="2">
        <v>102.069</v>
      </c>
      <c r="N114" s="2">
        <v>116</v>
      </c>
      <c r="O114" s="2">
        <v>4.5883000000000003</v>
      </c>
      <c r="P114" s="2">
        <v>113</v>
      </c>
    </row>
    <row r="115" spans="1:16" ht="12.3" x14ac:dyDescent="0.4">
      <c r="A115" s="2" t="s">
        <v>147</v>
      </c>
      <c r="B115" s="2"/>
      <c r="C115" s="2"/>
      <c r="D115" s="2"/>
      <c r="E115" s="2"/>
      <c r="F115" s="2"/>
      <c r="G115" s="2"/>
      <c r="H115" s="2"/>
      <c r="I115" s="2">
        <v>108.55500000000001</v>
      </c>
      <c r="J115" s="2">
        <v>96</v>
      </c>
      <c r="K115" s="2">
        <v>102.199</v>
      </c>
      <c r="L115" s="2">
        <v>141</v>
      </c>
      <c r="M115" s="2">
        <v>103.977</v>
      </c>
      <c r="N115" s="2">
        <v>164</v>
      </c>
      <c r="O115" s="2">
        <v>4.5787199999999997</v>
      </c>
      <c r="P115" s="2">
        <v>114</v>
      </c>
    </row>
    <row r="116" spans="1:16" ht="12.3" x14ac:dyDescent="0.4">
      <c r="A116" s="2" t="s">
        <v>370</v>
      </c>
      <c r="B116" s="2"/>
      <c r="C116" s="2"/>
      <c r="D116" s="2"/>
      <c r="E116" s="2"/>
      <c r="F116" s="2"/>
      <c r="G116" s="2"/>
      <c r="H116" s="2"/>
      <c r="I116" s="2">
        <v>97.954700000000003</v>
      </c>
      <c r="J116" s="2">
        <v>290</v>
      </c>
      <c r="K116" s="2">
        <v>90.299899999999994</v>
      </c>
      <c r="L116" s="2">
        <v>3</v>
      </c>
      <c r="M116" s="2">
        <v>93.422799999999995</v>
      </c>
      <c r="N116" s="2">
        <v>20</v>
      </c>
      <c r="O116" s="2">
        <v>4.5318800000000001</v>
      </c>
      <c r="P116" s="2">
        <v>115</v>
      </c>
    </row>
    <row r="117" spans="1:16" ht="12.3" x14ac:dyDescent="0.4">
      <c r="A117" s="2" t="s">
        <v>293</v>
      </c>
      <c r="B117" s="2"/>
      <c r="C117" s="2"/>
      <c r="D117" s="2"/>
      <c r="E117" s="2"/>
      <c r="F117" s="2"/>
      <c r="G117" s="2"/>
      <c r="H117" s="2"/>
      <c r="I117" s="2">
        <v>105.431</v>
      </c>
      <c r="J117" s="2">
        <v>152</v>
      </c>
      <c r="K117" s="2">
        <v>100.828</v>
      </c>
      <c r="L117" s="2">
        <v>107</v>
      </c>
      <c r="M117" s="2">
        <v>101.119</v>
      </c>
      <c r="N117" s="2">
        <v>99</v>
      </c>
      <c r="O117" s="2">
        <v>4.31203</v>
      </c>
      <c r="P117" s="2">
        <v>116</v>
      </c>
    </row>
    <row r="118" spans="1:16" ht="12.3" x14ac:dyDescent="0.4">
      <c r="A118" s="2" t="s">
        <v>88</v>
      </c>
      <c r="B118" s="2"/>
      <c r="C118" s="2"/>
      <c r="D118" s="2"/>
      <c r="E118" s="2"/>
      <c r="F118" s="2"/>
      <c r="G118" s="2"/>
      <c r="H118" s="2"/>
      <c r="I118" s="2">
        <v>108.389</v>
      </c>
      <c r="J118" s="2">
        <v>100</v>
      </c>
      <c r="K118" s="2">
        <v>103.872</v>
      </c>
      <c r="L118" s="2">
        <v>182</v>
      </c>
      <c r="M118" s="2">
        <v>104.181</v>
      </c>
      <c r="N118" s="2">
        <v>167</v>
      </c>
      <c r="O118" s="2">
        <v>4.2081600000000003</v>
      </c>
      <c r="P118" s="2">
        <v>117</v>
      </c>
    </row>
    <row r="119" spans="1:16" ht="12.3" x14ac:dyDescent="0.4">
      <c r="A119" s="2" t="s">
        <v>241</v>
      </c>
      <c r="B119" s="2">
        <v>14</v>
      </c>
      <c r="C119" s="2"/>
      <c r="D119" s="2"/>
      <c r="E119" s="2"/>
      <c r="F119" s="2"/>
      <c r="G119" s="2"/>
      <c r="H119" s="2"/>
      <c r="I119" s="2">
        <v>110.197</v>
      </c>
      <c r="J119" s="2">
        <v>69</v>
      </c>
      <c r="K119" s="2">
        <v>103.91500000000001</v>
      </c>
      <c r="L119" s="2">
        <v>186</v>
      </c>
      <c r="M119" s="2">
        <v>106.19499999999999</v>
      </c>
      <c r="N119" s="2">
        <v>202</v>
      </c>
      <c r="O119" s="2">
        <v>4.00176</v>
      </c>
      <c r="P119" s="2">
        <v>118</v>
      </c>
    </row>
    <row r="120" spans="1:16" ht="12.3" x14ac:dyDescent="0.4">
      <c r="A120" s="2" t="s">
        <v>326</v>
      </c>
      <c r="B120" s="2"/>
      <c r="C120" s="2"/>
      <c r="D120" s="2"/>
      <c r="E120" s="2"/>
      <c r="F120" s="2"/>
      <c r="G120" s="2"/>
      <c r="H120" s="2"/>
      <c r="I120" s="2">
        <v>107.19199999999999</v>
      </c>
      <c r="J120" s="2">
        <v>120</v>
      </c>
      <c r="K120" s="2">
        <v>99.568399999999997</v>
      </c>
      <c r="L120" s="2">
        <v>71</v>
      </c>
      <c r="M120" s="2">
        <v>103.38800000000001</v>
      </c>
      <c r="N120" s="2">
        <v>154</v>
      </c>
      <c r="O120" s="2">
        <v>3.80396</v>
      </c>
      <c r="P120" s="2">
        <v>119</v>
      </c>
    </row>
    <row r="121" spans="1:16" ht="12.3" x14ac:dyDescent="0.4">
      <c r="A121" s="2" t="s">
        <v>127</v>
      </c>
      <c r="B121" s="2"/>
      <c r="C121" s="2"/>
      <c r="D121" s="2"/>
      <c r="E121" s="2"/>
      <c r="F121" s="2"/>
      <c r="G121" s="2"/>
      <c r="H121" s="2"/>
      <c r="I121" s="2">
        <v>107.765</v>
      </c>
      <c r="J121" s="2">
        <v>113</v>
      </c>
      <c r="K121" s="2">
        <v>103.188</v>
      </c>
      <c r="L121" s="2">
        <v>166</v>
      </c>
      <c r="M121" s="2">
        <v>104.15</v>
      </c>
      <c r="N121" s="2">
        <v>166</v>
      </c>
      <c r="O121" s="2">
        <v>3.6141999999999999</v>
      </c>
      <c r="P121" s="2">
        <v>120</v>
      </c>
    </row>
    <row r="122" spans="1:16" ht="12.3" x14ac:dyDescent="0.4">
      <c r="A122" s="2" t="s">
        <v>152</v>
      </c>
      <c r="B122" s="2"/>
      <c r="C122" s="2"/>
      <c r="D122" s="2"/>
      <c r="E122" s="2"/>
      <c r="F122" s="2"/>
      <c r="G122" s="2"/>
      <c r="H122" s="2"/>
      <c r="I122" s="2">
        <v>104.658</v>
      </c>
      <c r="J122" s="2">
        <v>164</v>
      </c>
      <c r="K122" s="2">
        <v>100.54900000000001</v>
      </c>
      <c r="L122" s="2">
        <v>101</v>
      </c>
      <c r="M122" s="2">
        <v>101.15300000000001</v>
      </c>
      <c r="N122" s="2">
        <v>101</v>
      </c>
      <c r="O122" s="2">
        <v>3.5047299999999999</v>
      </c>
      <c r="P122" s="2">
        <v>121</v>
      </c>
    </row>
    <row r="123" spans="1:16" ht="12.3" x14ac:dyDescent="0.4">
      <c r="A123" s="2" t="s">
        <v>190</v>
      </c>
      <c r="B123" s="2"/>
      <c r="C123" s="2"/>
      <c r="D123" s="2"/>
      <c r="E123" s="2"/>
      <c r="F123" s="2"/>
      <c r="G123" s="2"/>
      <c r="H123" s="2"/>
      <c r="I123" s="2">
        <v>100.678</v>
      </c>
      <c r="J123" s="2">
        <v>243</v>
      </c>
      <c r="K123" s="2">
        <v>95.0578</v>
      </c>
      <c r="L123" s="2">
        <v>21</v>
      </c>
      <c r="M123" s="2">
        <v>97.176100000000005</v>
      </c>
      <c r="N123" s="2">
        <v>51</v>
      </c>
      <c r="O123" s="2">
        <v>3.5022799999999998</v>
      </c>
      <c r="P123" s="2">
        <v>122</v>
      </c>
    </row>
    <row r="124" spans="1:16" ht="12.3" x14ac:dyDescent="0.4">
      <c r="A124" s="2" t="s">
        <v>172</v>
      </c>
      <c r="B124" s="2"/>
      <c r="C124" s="3"/>
      <c r="D124" s="2"/>
      <c r="E124" s="2"/>
      <c r="F124" s="2"/>
      <c r="G124" s="2"/>
      <c r="H124" s="2"/>
      <c r="I124" s="2">
        <v>106.40300000000001</v>
      </c>
      <c r="J124" s="2">
        <v>138</v>
      </c>
      <c r="K124" s="2">
        <v>101.011</v>
      </c>
      <c r="L124" s="2">
        <v>112</v>
      </c>
      <c r="M124" s="2">
        <v>103.11</v>
      </c>
      <c r="N124" s="2">
        <v>141</v>
      </c>
      <c r="O124" s="2">
        <v>3.29373</v>
      </c>
      <c r="P124" s="2">
        <v>123</v>
      </c>
    </row>
    <row r="125" spans="1:16" ht="12.3" x14ac:dyDescent="0.4">
      <c r="A125" s="2" t="s">
        <v>115</v>
      </c>
      <c r="B125" s="2"/>
      <c r="C125" s="2"/>
      <c r="D125" s="2"/>
      <c r="E125" s="2"/>
      <c r="F125" s="2"/>
      <c r="G125" s="2"/>
      <c r="H125" s="2"/>
      <c r="I125" s="2">
        <v>106.387</v>
      </c>
      <c r="J125" s="2">
        <v>139</v>
      </c>
      <c r="K125" s="2">
        <v>102.557</v>
      </c>
      <c r="L125" s="2">
        <v>150</v>
      </c>
      <c r="M125" s="2">
        <v>103.122</v>
      </c>
      <c r="N125" s="2">
        <v>143</v>
      </c>
      <c r="O125" s="2">
        <v>3.26532</v>
      </c>
      <c r="P125" s="2">
        <v>124</v>
      </c>
    </row>
    <row r="126" spans="1:16" ht="12.3" x14ac:dyDescent="0.4">
      <c r="A126" s="2" t="s">
        <v>232</v>
      </c>
      <c r="B126" s="2"/>
      <c r="C126" s="2"/>
      <c r="D126" s="2"/>
      <c r="E126" s="2"/>
      <c r="F126" s="2"/>
      <c r="G126" s="2"/>
      <c r="H126" s="2"/>
      <c r="I126" s="2">
        <v>108.224</v>
      </c>
      <c r="J126" s="2">
        <v>107</v>
      </c>
      <c r="K126" s="2">
        <v>103.98</v>
      </c>
      <c r="L126" s="2">
        <v>188</v>
      </c>
      <c r="M126" s="2">
        <v>105.048</v>
      </c>
      <c r="N126" s="2">
        <v>183</v>
      </c>
      <c r="O126" s="2">
        <v>3.1754799999999999</v>
      </c>
      <c r="P126" s="2">
        <v>125</v>
      </c>
    </row>
    <row r="127" spans="1:16" ht="12.3" x14ac:dyDescent="0.4">
      <c r="A127" s="2" t="s">
        <v>217</v>
      </c>
      <c r="B127" s="2"/>
      <c r="C127" s="2"/>
      <c r="D127" s="2"/>
      <c r="E127" s="2"/>
      <c r="F127" s="2"/>
      <c r="G127" s="2"/>
      <c r="H127" s="2"/>
      <c r="I127" s="2">
        <v>105.524</v>
      </c>
      <c r="J127" s="2">
        <v>150</v>
      </c>
      <c r="K127" s="2">
        <v>101.508</v>
      </c>
      <c r="L127" s="2">
        <v>128</v>
      </c>
      <c r="M127" s="2">
        <v>102.372</v>
      </c>
      <c r="N127" s="2">
        <v>122</v>
      </c>
      <c r="O127" s="2">
        <v>3.1518899999999999</v>
      </c>
      <c r="P127" s="2">
        <v>126</v>
      </c>
    </row>
    <row r="128" spans="1:16" ht="12.3" x14ac:dyDescent="0.4">
      <c r="A128" s="2" t="s">
        <v>339</v>
      </c>
      <c r="B128" s="2"/>
      <c r="C128" s="2"/>
      <c r="D128" s="2"/>
      <c r="E128" s="2"/>
      <c r="F128" s="2"/>
      <c r="G128" s="2"/>
      <c r="H128" s="2"/>
      <c r="I128" s="2">
        <v>107.774</v>
      </c>
      <c r="J128" s="2">
        <v>112</v>
      </c>
      <c r="K128" s="2">
        <v>102.08499999999999</v>
      </c>
      <c r="L128" s="2">
        <v>139</v>
      </c>
      <c r="M128" s="2">
        <v>104.65600000000001</v>
      </c>
      <c r="N128" s="2">
        <v>174</v>
      </c>
      <c r="O128" s="2">
        <v>3.1180400000000001</v>
      </c>
      <c r="P128" s="2">
        <v>127</v>
      </c>
    </row>
    <row r="129" spans="1:16" ht="12.3" x14ac:dyDescent="0.4">
      <c r="A129" s="2" t="s">
        <v>213</v>
      </c>
      <c r="B129" s="2"/>
      <c r="C129" s="2"/>
      <c r="D129" s="2"/>
      <c r="E129" s="2"/>
      <c r="F129" s="2"/>
      <c r="G129" s="2"/>
      <c r="H129" s="2"/>
      <c r="I129" s="2">
        <v>105.274</v>
      </c>
      <c r="J129" s="2">
        <v>156</v>
      </c>
      <c r="K129" s="2">
        <v>101.96899999999999</v>
      </c>
      <c r="L129" s="2">
        <v>137</v>
      </c>
      <c r="M129" s="2">
        <v>102.16200000000001</v>
      </c>
      <c r="N129" s="2">
        <v>118</v>
      </c>
      <c r="O129" s="2">
        <v>3.1118899999999998</v>
      </c>
      <c r="P129" s="2">
        <v>128</v>
      </c>
    </row>
    <row r="130" spans="1:16" ht="12.3" x14ac:dyDescent="0.4">
      <c r="A130" s="2" t="s">
        <v>186</v>
      </c>
      <c r="B130" s="2"/>
      <c r="C130" s="2"/>
      <c r="D130" s="2"/>
      <c r="E130" s="2"/>
      <c r="F130" s="2"/>
      <c r="G130" s="2"/>
      <c r="H130" s="2"/>
      <c r="I130" s="2">
        <v>108.752</v>
      </c>
      <c r="J130" s="2">
        <v>92</v>
      </c>
      <c r="K130" s="2">
        <v>105.70399999999999</v>
      </c>
      <c r="L130" s="2">
        <v>223</v>
      </c>
      <c r="M130" s="2">
        <v>106.065</v>
      </c>
      <c r="N130" s="2">
        <v>201</v>
      </c>
      <c r="O130" s="2">
        <v>2.6879</v>
      </c>
      <c r="P130" s="2">
        <v>129</v>
      </c>
    </row>
    <row r="131" spans="1:16" ht="12.3" x14ac:dyDescent="0.4">
      <c r="A131" s="2" t="s">
        <v>356</v>
      </c>
      <c r="B131" s="2">
        <v>15</v>
      </c>
      <c r="C131" s="2"/>
      <c r="D131" s="2"/>
      <c r="E131" s="2"/>
      <c r="F131" s="2"/>
      <c r="G131" s="2"/>
      <c r="H131" s="2"/>
      <c r="I131" s="2">
        <v>109.892</v>
      </c>
      <c r="J131" s="2">
        <v>74</v>
      </c>
      <c r="K131" s="2">
        <v>104.15300000000001</v>
      </c>
      <c r="L131" s="2">
        <v>193</v>
      </c>
      <c r="M131" s="2">
        <v>107.217</v>
      </c>
      <c r="N131" s="2">
        <v>223</v>
      </c>
      <c r="O131" s="2">
        <v>2.67571</v>
      </c>
      <c r="P131" s="2">
        <v>130</v>
      </c>
    </row>
    <row r="132" spans="1:16" ht="12.3" x14ac:dyDescent="0.4">
      <c r="A132" s="2" t="s">
        <v>99</v>
      </c>
      <c r="B132" s="2"/>
      <c r="C132" s="2"/>
      <c r="D132" s="2"/>
      <c r="E132" s="2"/>
      <c r="F132" s="2"/>
      <c r="G132" s="2"/>
      <c r="H132" s="2"/>
      <c r="I132" s="2">
        <v>111.84399999999999</v>
      </c>
      <c r="J132" s="2">
        <v>53</v>
      </c>
      <c r="K132" s="2">
        <v>112.33499999999999</v>
      </c>
      <c r="L132" s="2">
        <v>332</v>
      </c>
      <c r="M132" s="2">
        <v>109.24</v>
      </c>
      <c r="N132" s="2">
        <v>265</v>
      </c>
      <c r="O132" s="2">
        <v>2.60372</v>
      </c>
      <c r="P132" s="2">
        <v>131</v>
      </c>
    </row>
    <row r="133" spans="1:16" ht="12.3" x14ac:dyDescent="0.4">
      <c r="A133" s="2" t="s">
        <v>257</v>
      </c>
      <c r="B133" s="2"/>
      <c r="C133" s="2"/>
      <c r="D133" s="2"/>
      <c r="E133" s="2"/>
      <c r="F133" s="2"/>
      <c r="G133" s="2"/>
      <c r="H133" s="2"/>
      <c r="I133" s="2">
        <v>112.00700000000001</v>
      </c>
      <c r="J133" s="2">
        <v>51</v>
      </c>
      <c r="K133" s="2">
        <v>110.038</v>
      </c>
      <c r="L133" s="2">
        <v>312</v>
      </c>
      <c r="M133" s="2">
        <v>109.639</v>
      </c>
      <c r="N133" s="2">
        <v>274</v>
      </c>
      <c r="O133" s="2">
        <v>2.36836</v>
      </c>
      <c r="P133" s="2">
        <v>132</v>
      </c>
    </row>
    <row r="134" spans="1:16" ht="12.3" x14ac:dyDescent="0.4">
      <c r="A134" s="2" t="s">
        <v>123</v>
      </c>
      <c r="B134" s="2"/>
      <c r="C134" s="2"/>
      <c r="D134" s="2"/>
      <c r="E134" s="2"/>
      <c r="F134" s="2"/>
      <c r="G134" s="2"/>
      <c r="H134" s="2"/>
      <c r="I134" s="2">
        <v>101.551</v>
      </c>
      <c r="J134" s="2">
        <v>225</v>
      </c>
      <c r="K134" s="2">
        <v>100.425</v>
      </c>
      <c r="L134" s="2">
        <v>96</v>
      </c>
      <c r="M134" s="2">
        <v>99.264499999999998</v>
      </c>
      <c r="N134" s="2">
        <v>71</v>
      </c>
      <c r="O134" s="2">
        <v>2.28626</v>
      </c>
      <c r="P134" s="2">
        <v>133</v>
      </c>
    </row>
    <row r="135" spans="1:16" ht="12.3" x14ac:dyDescent="0.4">
      <c r="A135" s="2" t="s">
        <v>22</v>
      </c>
      <c r="B135" s="2"/>
      <c r="C135" s="2"/>
      <c r="D135" s="2"/>
      <c r="E135" s="2"/>
      <c r="F135" s="2"/>
      <c r="G135" s="2"/>
      <c r="H135" s="2"/>
      <c r="I135" s="2">
        <v>108.264</v>
      </c>
      <c r="J135" s="2">
        <v>106</v>
      </c>
      <c r="K135" s="2">
        <v>104.119</v>
      </c>
      <c r="L135" s="2">
        <v>191</v>
      </c>
      <c r="M135" s="2">
        <v>105.989</v>
      </c>
      <c r="N135" s="2">
        <v>199</v>
      </c>
      <c r="O135" s="2">
        <v>2.2747600000000001</v>
      </c>
      <c r="P135" s="2">
        <v>134</v>
      </c>
    </row>
    <row r="136" spans="1:16" ht="12.3" x14ac:dyDescent="0.4">
      <c r="A136" s="2" t="s">
        <v>306</v>
      </c>
      <c r="B136" s="2"/>
      <c r="C136" s="2"/>
      <c r="D136" s="2"/>
      <c r="E136" s="2"/>
      <c r="F136" s="2"/>
      <c r="G136" s="2"/>
      <c r="H136" s="2"/>
      <c r="I136" s="2">
        <v>104.32299999999999</v>
      </c>
      <c r="J136" s="2">
        <v>173</v>
      </c>
      <c r="K136" s="2">
        <v>102.444</v>
      </c>
      <c r="L136" s="2">
        <v>148</v>
      </c>
      <c r="M136" s="2">
        <v>102.10899999999999</v>
      </c>
      <c r="N136" s="2">
        <v>117</v>
      </c>
      <c r="O136" s="2">
        <v>2.2134900000000002</v>
      </c>
      <c r="P136" s="2">
        <v>135</v>
      </c>
    </row>
    <row r="137" spans="1:16" ht="12.3" x14ac:dyDescent="0.4">
      <c r="A137" s="2" t="s">
        <v>98</v>
      </c>
      <c r="B137" s="2"/>
      <c r="C137" s="2"/>
      <c r="D137" s="2"/>
      <c r="E137" s="2"/>
      <c r="F137" s="2"/>
      <c r="G137" s="2"/>
      <c r="H137" s="2"/>
      <c r="I137" s="2">
        <v>106.776</v>
      </c>
      <c r="J137" s="2">
        <v>128</v>
      </c>
      <c r="K137" s="2">
        <v>103.93</v>
      </c>
      <c r="L137" s="2">
        <v>187</v>
      </c>
      <c r="M137" s="2">
        <v>104.565</v>
      </c>
      <c r="N137" s="2">
        <v>172</v>
      </c>
      <c r="O137" s="2">
        <v>2.2112400000000001</v>
      </c>
      <c r="P137" s="2">
        <v>136</v>
      </c>
    </row>
    <row r="138" spans="1:16" ht="12.3" x14ac:dyDescent="0.4">
      <c r="A138" s="2" t="s">
        <v>169</v>
      </c>
      <c r="B138" s="2"/>
      <c r="C138" s="2"/>
      <c r="D138" s="2"/>
      <c r="E138" s="2"/>
      <c r="F138" s="2"/>
      <c r="G138" s="2"/>
      <c r="H138" s="2"/>
      <c r="I138" s="2">
        <v>110.583</v>
      </c>
      <c r="J138" s="2">
        <v>65</v>
      </c>
      <c r="K138" s="2">
        <v>108.854</v>
      </c>
      <c r="L138" s="2">
        <v>289</v>
      </c>
      <c r="M138" s="2">
        <v>108.643</v>
      </c>
      <c r="N138" s="2">
        <v>250</v>
      </c>
      <c r="O138" s="2">
        <v>1.93973</v>
      </c>
      <c r="P138" s="2">
        <v>137</v>
      </c>
    </row>
    <row r="139" spans="1:16" ht="12.3" x14ac:dyDescent="0.4">
      <c r="A139" s="2" t="s">
        <v>110</v>
      </c>
      <c r="B139" s="2"/>
      <c r="C139" s="2"/>
      <c r="D139" s="2"/>
      <c r="E139" s="2"/>
      <c r="F139" s="2"/>
      <c r="G139" s="2"/>
      <c r="H139" s="2"/>
      <c r="I139" s="2">
        <v>100.956</v>
      </c>
      <c r="J139" s="2">
        <v>236</v>
      </c>
      <c r="K139" s="2">
        <v>96.501900000000006</v>
      </c>
      <c r="L139" s="2">
        <v>38</v>
      </c>
      <c r="M139" s="2">
        <v>99.094200000000001</v>
      </c>
      <c r="N139" s="2">
        <v>70</v>
      </c>
      <c r="O139" s="2">
        <v>1.86172</v>
      </c>
      <c r="P139" s="2">
        <v>138</v>
      </c>
    </row>
    <row r="140" spans="1:16" ht="12.3" x14ac:dyDescent="0.4">
      <c r="A140" s="2" t="s">
        <v>279</v>
      </c>
      <c r="B140" s="2"/>
      <c r="C140" s="2"/>
      <c r="D140" s="2"/>
      <c r="E140" s="2"/>
      <c r="F140" s="2"/>
      <c r="G140" s="2"/>
      <c r="H140" s="2"/>
      <c r="I140" s="2">
        <v>110.04600000000001</v>
      </c>
      <c r="J140" s="2">
        <v>72</v>
      </c>
      <c r="K140" s="2">
        <v>108.453</v>
      </c>
      <c r="L140" s="2">
        <v>281</v>
      </c>
      <c r="M140" s="2">
        <v>108.267</v>
      </c>
      <c r="N140" s="2">
        <v>244</v>
      </c>
      <c r="O140" s="2">
        <v>1.77939</v>
      </c>
      <c r="P140" s="2">
        <v>139</v>
      </c>
    </row>
    <row r="141" spans="1:16" ht="12.3" x14ac:dyDescent="0.4">
      <c r="A141" s="2" t="s">
        <v>318</v>
      </c>
      <c r="B141" s="2"/>
      <c r="C141" s="2"/>
      <c r="D141" s="2"/>
      <c r="E141" s="2"/>
      <c r="F141" s="2"/>
      <c r="G141" s="2"/>
      <c r="H141" s="2"/>
      <c r="I141" s="2">
        <v>109.64700000000001</v>
      </c>
      <c r="J141" s="2">
        <v>78</v>
      </c>
      <c r="K141" s="2">
        <v>108.328</v>
      </c>
      <c r="L141" s="2">
        <v>275</v>
      </c>
      <c r="M141" s="2">
        <v>107.90600000000001</v>
      </c>
      <c r="N141" s="2">
        <v>238</v>
      </c>
      <c r="O141" s="2">
        <v>1.7403999999999999</v>
      </c>
      <c r="P141" s="2">
        <v>140</v>
      </c>
    </row>
    <row r="142" spans="1:16" ht="12.3" x14ac:dyDescent="0.4">
      <c r="A142" s="2" t="s">
        <v>53</v>
      </c>
      <c r="B142" s="2">
        <v>14</v>
      </c>
      <c r="C142" s="2"/>
      <c r="D142" s="2"/>
      <c r="E142" s="2"/>
      <c r="F142" s="2"/>
      <c r="G142" s="2"/>
      <c r="H142" s="2"/>
      <c r="I142" s="2">
        <v>104.42100000000001</v>
      </c>
      <c r="J142" s="2">
        <v>169</v>
      </c>
      <c r="K142" s="2">
        <v>101.44499999999999</v>
      </c>
      <c r="L142" s="2">
        <v>125</v>
      </c>
      <c r="M142" s="2">
        <v>102.687</v>
      </c>
      <c r="N142" s="2">
        <v>132</v>
      </c>
      <c r="O142" s="2">
        <v>1.7341500000000001</v>
      </c>
      <c r="P142" s="2">
        <v>141</v>
      </c>
    </row>
    <row r="143" spans="1:16" ht="12.3" x14ac:dyDescent="0.4">
      <c r="A143" s="2" t="s">
        <v>117</v>
      </c>
      <c r="B143" s="2"/>
      <c r="C143" s="2"/>
      <c r="D143" s="2"/>
      <c r="E143" s="2"/>
      <c r="F143" s="2"/>
      <c r="G143" s="2"/>
      <c r="H143" s="2"/>
      <c r="I143" s="2">
        <v>111.188</v>
      </c>
      <c r="J143" s="2">
        <v>59</v>
      </c>
      <c r="K143" s="2">
        <v>106.41</v>
      </c>
      <c r="L143" s="2">
        <v>237</v>
      </c>
      <c r="M143" s="2">
        <v>109.468</v>
      </c>
      <c r="N143" s="2">
        <v>270</v>
      </c>
      <c r="O143" s="2">
        <v>1.7199899999999999</v>
      </c>
      <c r="P143" s="2">
        <v>142</v>
      </c>
    </row>
    <row r="144" spans="1:16" ht="12.3" x14ac:dyDescent="0.4">
      <c r="A144" s="2" t="s">
        <v>69</v>
      </c>
      <c r="B144" s="2"/>
      <c r="C144" s="2"/>
      <c r="D144" s="2"/>
      <c r="E144" s="2"/>
      <c r="F144" s="2"/>
      <c r="G144" s="2"/>
      <c r="H144" s="2"/>
      <c r="I144" s="2">
        <v>104.523</v>
      </c>
      <c r="J144" s="2">
        <v>167</v>
      </c>
      <c r="K144" s="2">
        <v>103.545</v>
      </c>
      <c r="L144" s="2">
        <v>174</v>
      </c>
      <c r="M144" s="2">
        <v>102.86799999999999</v>
      </c>
      <c r="N144" s="2">
        <v>138</v>
      </c>
      <c r="O144" s="2">
        <v>1.65507</v>
      </c>
      <c r="P144" s="2">
        <v>143</v>
      </c>
    </row>
    <row r="145" spans="1:16" ht="12.3" x14ac:dyDescent="0.4">
      <c r="A145" s="2" t="s">
        <v>377</v>
      </c>
      <c r="B145" s="2"/>
      <c r="C145" s="2"/>
      <c r="D145" s="2"/>
      <c r="E145" s="2"/>
      <c r="F145" s="2"/>
      <c r="G145" s="2"/>
      <c r="H145" s="2"/>
      <c r="I145" s="2">
        <v>103.81699999999999</v>
      </c>
      <c r="J145" s="2">
        <v>185</v>
      </c>
      <c r="K145" s="2">
        <v>102.32299999999999</v>
      </c>
      <c r="L145" s="2">
        <v>145</v>
      </c>
      <c r="M145" s="2">
        <v>102.22799999999999</v>
      </c>
      <c r="N145" s="2">
        <v>120</v>
      </c>
      <c r="O145" s="2">
        <v>1.58921</v>
      </c>
      <c r="P145" s="2">
        <v>144</v>
      </c>
    </row>
    <row r="146" spans="1:16" ht="12.3" x14ac:dyDescent="0.4">
      <c r="A146" s="2" t="s">
        <v>387</v>
      </c>
      <c r="B146" s="2"/>
      <c r="C146" s="2"/>
      <c r="D146" s="2"/>
      <c r="E146" s="2"/>
      <c r="F146" s="2"/>
      <c r="G146" s="2"/>
      <c r="H146" s="2"/>
      <c r="I146" s="2">
        <v>109.53</v>
      </c>
      <c r="J146" s="2">
        <v>82</v>
      </c>
      <c r="K146" s="2">
        <v>107.11799999999999</v>
      </c>
      <c r="L146" s="2">
        <v>249</v>
      </c>
      <c r="M146" s="2">
        <v>108.054</v>
      </c>
      <c r="N146" s="2">
        <v>239</v>
      </c>
      <c r="O146" s="2">
        <v>1.47593</v>
      </c>
      <c r="P146" s="2">
        <v>145</v>
      </c>
    </row>
    <row r="147" spans="1:16" ht="12.3" x14ac:dyDescent="0.4">
      <c r="A147" s="2" t="s">
        <v>93</v>
      </c>
      <c r="B147" s="2"/>
      <c r="C147" s="2"/>
      <c r="D147" s="2"/>
      <c r="E147" s="2"/>
      <c r="F147" s="2"/>
      <c r="G147" s="2"/>
      <c r="H147" s="2"/>
      <c r="I147" s="2">
        <v>103.402</v>
      </c>
      <c r="J147" s="2">
        <v>189</v>
      </c>
      <c r="K147" s="2">
        <v>101.279</v>
      </c>
      <c r="L147" s="2">
        <v>121</v>
      </c>
      <c r="M147" s="2">
        <v>102.059</v>
      </c>
      <c r="N147" s="2">
        <v>115</v>
      </c>
      <c r="O147" s="2">
        <v>1.3430500000000001</v>
      </c>
      <c r="P147" s="2">
        <v>146</v>
      </c>
    </row>
    <row r="148" spans="1:16" ht="12.3" x14ac:dyDescent="0.4">
      <c r="A148" s="2" t="s">
        <v>380</v>
      </c>
      <c r="B148" s="2">
        <v>15</v>
      </c>
      <c r="C148" s="2"/>
      <c r="D148" s="2"/>
      <c r="E148" s="2"/>
      <c r="F148" s="2"/>
      <c r="G148" s="2"/>
      <c r="H148" s="2"/>
      <c r="I148" s="2">
        <v>106.64700000000001</v>
      </c>
      <c r="J148" s="2">
        <v>132</v>
      </c>
      <c r="K148" s="2">
        <v>102.563</v>
      </c>
      <c r="L148" s="2">
        <v>151</v>
      </c>
      <c r="M148" s="2">
        <v>105.31100000000001</v>
      </c>
      <c r="N148" s="2">
        <v>188</v>
      </c>
      <c r="O148" s="2">
        <v>1.33605</v>
      </c>
      <c r="P148" s="2">
        <v>147</v>
      </c>
    </row>
    <row r="149" spans="1:16" ht="12.3" x14ac:dyDescent="0.4">
      <c r="A149" s="2" t="s">
        <v>331</v>
      </c>
      <c r="B149" s="2"/>
      <c r="C149" s="2"/>
      <c r="D149" s="2"/>
      <c r="E149" s="2"/>
      <c r="F149" s="2"/>
      <c r="G149" s="2"/>
      <c r="H149" s="2"/>
      <c r="I149" s="2">
        <v>105.999</v>
      </c>
      <c r="J149" s="2">
        <v>144</v>
      </c>
      <c r="K149" s="2">
        <v>106.39100000000001</v>
      </c>
      <c r="L149" s="2">
        <v>235</v>
      </c>
      <c r="M149" s="2">
        <v>104.75700000000001</v>
      </c>
      <c r="N149" s="2">
        <v>175</v>
      </c>
      <c r="O149" s="2">
        <v>1.2421500000000001</v>
      </c>
      <c r="P149" s="2">
        <v>148</v>
      </c>
    </row>
    <row r="150" spans="1:16" ht="12.3" x14ac:dyDescent="0.4">
      <c r="A150" s="2" t="s">
        <v>82</v>
      </c>
      <c r="B150" s="2"/>
      <c r="C150" s="2"/>
      <c r="D150" s="2"/>
      <c r="E150" s="2"/>
      <c r="F150" s="2"/>
      <c r="G150" s="2"/>
      <c r="H150" s="2"/>
      <c r="I150" s="2">
        <v>104.84399999999999</v>
      </c>
      <c r="J150" s="2">
        <v>160</v>
      </c>
      <c r="K150" s="2">
        <v>103.334</v>
      </c>
      <c r="L150" s="2">
        <v>168</v>
      </c>
      <c r="M150" s="2">
        <v>103.681</v>
      </c>
      <c r="N150" s="2">
        <v>161</v>
      </c>
      <c r="O150" s="2">
        <v>1.16323</v>
      </c>
      <c r="P150" s="2">
        <v>149</v>
      </c>
    </row>
    <row r="151" spans="1:16" ht="12.3" x14ac:dyDescent="0.4">
      <c r="A151" s="2" t="s">
        <v>197</v>
      </c>
      <c r="B151" s="2"/>
      <c r="C151" s="2"/>
      <c r="D151" s="2"/>
      <c r="E151" s="2"/>
      <c r="F151" s="2"/>
      <c r="G151" s="2"/>
      <c r="H151" s="2"/>
      <c r="I151" s="2">
        <v>110.783</v>
      </c>
      <c r="J151" s="2">
        <v>62</v>
      </c>
      <c r="K151" s="2">
        <v>107.82299999999999</v>
      </c>
      <c r="L151" s="2">
        <v>267</v>
      </c>
      <c r="M151" s="2">
        <v>109.626</v>
      </c>
      <c r="N151" s="2">
        <v>273</v>
      </c>
      <c r="O151" s="2">
        <v>1.1576200000000001</v>
      </c>
      <c r="P151" s="2">
        <v>150</v>
      </c>
    </row>
    <row r="152" spans="1:16" ht="12.3" x14ac:dyDescent="0.4">
      <c r="A152" s="2" t="s">
        <v>160</v>
      </c>
      <c r="B152" s="2"/>
      <c r="C152" s="2"/>
      <c r="D152" s="2"/>
      <c r="E152" s="2"/>
      <c r="F152" s="2"/>
      <c r="G152" s="2"/>
      <c r="H152" s="2"/>
      <c r="I152" s="2">
        <v>106.10599999999999</v>
      </c>
      <c r="J152" s="2">
        <v>141</v>
      </c>
      <c r="K152" s="2">
        <v>103.44</v>
      </c>
      <c r="L152" s="2">
        <v>173</v>
      </c>
      <c r="M152" s="2">
        <v>105.004</v>
      </c>
      <c r="N152" s="2">
        <v>182</v>
      </c>
      <c r="O152" s="2">
        <v>1.1016600000000001</v>
      </c>
      <c r="P152" s="2">
        <v>151</v>
      </c>
    </row>
    <row r="153" spans="1:16" ht="12.3" x14ac:dyDescent="0.4">
      <c r="A153" s="2" t="s">
        <v>208</v>
      </c>
      <c r="B153" s="2"/>
      <c r="C153" s="2"/>
      <c r="D153" s="2"/>
      <c r="E153" s="2"/>
      <c r="F153" s="2"/>
      <c r="G153" s="2"/>
      <c r="H153" s="2"/>
      <c r="I153" s="2">
        <v>108.26600000000001</v>
      </c>
      <c r="J153" s="2">
        <v>105</v>
      </c>
      <c r="K153" s="2">
        <v>105.342</v>
      </c>
      <c r="L153" s="2">
        <v>217</v>
      </c>
      <c r="M153" s="2">
        <v>107.28100000000001</v>
      </c>
      <c r="N153" s="2">
        <v>226</v>
      </c>
      <c r="O153" s="2">
        <v>0.98495500000000002</v>
      </c>
      <c r="P153" s="2">
        <v>152</v>
      </c>
    </row>
    <row r="154" spans="1:16" ht="12.3" x14ac:dyDescent="0.4">
      <c r="A154" s="2" t="s">
        <v>371</v>
      </c>
      <c r="B154" s="2">
        <v>16</v>
      </c>
      <c r="C154" s="2"/>
      <c r="D154" s="2"/>
      <c r="E154" s="2"/>
      <c r="F154" s="2"/>
      <c r="G154" s="2"/>
      <c r="H154" s="2"/>
      <c r="I154" s="2">
        <v>102.79600000000001</v>
      </c>
      <c r="J154" s="2">
        <v>204</v>
      </c>
      <c r="K154" s="2">
        <v>93.694500000000005</v>
      </c>
      <c r="L154" s="2">
        <v>12</v>
      </c>
      <c r="M154" s="2">
        <v>101.83499999999999</v>
      </c>
      <c r="N154" s="2">
        <v>112</v>
      </c>
      <c r="O154" s="2">
        <v>0.96101499999999995</v>
      </c>
      <c r="P154" s="2">
        <v>153</v>
      </c>
    </row>
    <row r="155" spans="1:16" ht="12.3" x14ac:dyDescent="0.4">
      <c r="A155" s="2" t="s">
        <v>231</v>
      </c>
      <c r="B155" s="2"/>
      <c r="C155" s="2"/>
      <c r="D155" s="2"/>
      <c r="E155" s="2"/>
      <c r="F155" s="2"/>
      <c r="G155" s="2"/>
      <c r="H155" s="2"/>
      <c r="I155" s="2">
        <v>107.928</v>
      </c>
      <c r="J155" s="2">
        <v>110</v>
      </c>
      <c r="K155" s="2">
        <v>102.872</v>
      </c>
      <c r="L155" s="2">
        <v>159</v>
      </c>
      <c r="M155" s="2">
        <v>107.041</v>
      </c>
      <c r="N155" s="2">
        <v>219</v>
      </c>
      <c r="O155" s="2">
        <v>0.88677300000000003</v>
      </c>
      <c r="P155" s="2">
        <v>154</v>
      </c>
    </row>
    <row r="156" spans="1:16" ht="12.3" x14ac:dyDescent="0.4">
      <c r="A156" s="2" t="s">
        <v>292</v>
      </c>
      <c r="B156" s="2"/>
      <c r="C156" s="2"/>
      <c r="D156" s="2"/>
      <c r="E156" s="2"/>
      <c r="F156" s="2"/>
      <c r="G156" s="2"/>
      <c r="H156" s="2"/>
      <c r="I156" s="2">
        <v>104.102</v>
      </c>
      <c r="J156" s="2">
        <v>178</v>
      </c>
      <c r="K156" s="2">
        <v>102.788</v>
      </c>
      <c r="L156" s="2">
        <v>156</v>
      </c>
      <c r="M156" s="2">
        <v>103.21599999999999</v>
      </c>
      <c r="N156" s="2">
        <v>151</v>
      </c>
      <c r="O156" s="2">
        <v>0.88557300000000005</v>
      </c>
      <c r="P156" s="2">
        <v>155</v>
      </c>
    </row>
    <row r="157" spans="1:16" ht="12.3" x14ac:dyDescent="0.4">
      <c r="A157" s="2" t="s">
        <v>155</v>
      </c>
      <c r="B157" s="2"/>
      <c r="C157" s="2"/>
      <c r="D157" s="2"/>
      <c r="E157" s="2"/>
      <c r="F157" s="2"/>
      <c r="G157" s="2"/>
      <c r="H157" s="2"/>
      <c r="I157" s="2">
        <v>100.664</v>
      </c>
      <c r="J157" s="2">
        <v>244</v>
      </c>
      <c r="K157" s="2">
        <v>98.748800000000003</v>
      </c>
      <c r="L157" s="2">
        <v>62</v>
      </c>
      <c r="M157" s="2">
        <v>99.857699999999994</v>
      </c>
      <c r="N157" s="2">
        <v>80</v>
      </c>
      <c r="O157" s="2">
        <v>0.80623900000000004</v>
      </c>
      <c r="P157" s="2">
        <v>156</v>
      </c>
    </row>
    <row r="158" spans="1:16" ht="12.3" x14ac:dyDescent="0.4">
      <c r="A158" s="2" t="s">
        <v>308</v>
      </c>
      <c r="B158" s="2"/>
      <c r="C158" s="2"/>
      <c r="D158" s="2"/>
      <c r="E158" s="2"/>
      <c r="F158" s="2"/>
      <c r="G158" s="2"/>
      <c r="H158" s="2"/>
      <c r="I158" s="2">
        <v>107.05500000000001</v>
      </c>
      <c r="J158" s="2">
        <v>124</v>
      </c>
      <c r="K158" s="2">
        <v>105.896</v>
      </c>
      <c r="L158" s="2">
        <v>225</v>
      </c>
      <c r="M158" s="2">
        <v>106.42100000000001</v>
      </c>
      <c r="N158" s="2">
        <v>209</v>
      </c>
      <c r="O158" s="2">
        <v>0.63397599999999998</v>
      </c>
      <c r="P158" s="2">
        <v>157</v>
      </c>
    </row>
    <row r="159" spans="1:16" ht="12.3" x14ac:dyDescent="0.4">
      <c r="A159" s="2" t="s">
        <v>275</v>
      </c>
      <c r="B159" s="2">
        <v>15</v>
      </c>
      <c r="C159" s="2"/>
      <c r="D159" s="2"/>
      <c r="E159" s="2"/>
      <c r="F159" s="2"/>
      <c r="G159" s="2"/>
      <c r="H159" s="2"/>
      <c r="I159" s="2">
        <v>105.363</v>
      </c>
      <c r="J159" s="2">
        <v>153</v>
      </c>
      <c r="K159" s="2">
        <v>103.90900000000001</v>
      </c>
      <c r="L159" s="2">
        <v>185</v>
      </c>
      <c r="M159" s="2">
        <v>104.78</v>
      </c>
      <c r="N159" s="2">
        <v>177</v>
      </c>
      <c r="O159" s="2">
        <v>0.58324500000000001</v>
      </c>
      <c r="P159" s="2">
        <v>158</v>
      </c>
    </row>
    <row r="160" spans="1:16" ht="12.3" x14ac:dyDescent="0.4">
      <c r="A160" s="2" t="s">
        <v>268</v>
      </c>
      <c r="B160" s="2"/>
      <c r="C160" s="2"/>
      <c r="D160" s="2"/>
      <c r="E160" s="2"/>
      <c r="F160" s="2"/>
      <c r="G160" s="2"/>
      <c r="H160" s="2"/>
      <c r="I160" s="2">
        <v>100.268</v>
      </c>
      <c r="J160" s="2">
        <v>249</v>
      </c>
      <c r="K160" s="2">
        <v>98.424700000000001</v>
      </c>
      <c r="L160" s="2">
        <v>58</v>
      </c>
      <c r="M160" s="2">
        <v>99.733699999999999</v>
      </c>
      <c r="N160" s="2">
        <v>77</v>
      </c>
      <c r="O160" s="2">
        <v>0.53476999999999997</v>
      </c>
      <c r="P160" s="2">
        <v>159</v>
      </c>
    </row>
    <row r="161" spans="1:16" ht="12.3" x14ac:dyDescent="0.4">
      <c r="A161" s="2" t="s">
        <v>95</v>
      </c>
      <c r="B161" s="2"/>
      <c r="C161" s="3"/>
      <c r="D161" s="3"/>
      <c r="E161" s="3"/>
      <c r="F161" s="3"/>
      <c r="G161" s="3"/>
      <c r="H161" s="3"/>
      <c r="I161" s="2">
        <v>104.325</v>
      </c>
      <c r="J161" s="2">
        <v>172</v>
      </c>
      <c r="K161" s="2">
        <v>108.431</v>
      </c>
      <c r="L161" s="2">
        <v>279</v>
      </c>
      <c r="M161" s="2">
        <v>103.904</v>
      </c>
      <c r="N161" s="2">
        <v>163</v>
      </c>
      <c r="O161" s="2">
        <v>0.42125699999999999</v>
      </c>
      <c r="P161" s="2">
        <v>160</v>
      </c>
    </row>
    <row r="162" spans="1:16" ht="12.3" x14ac:dyDescent="0.4">
      <c r="A162" s="2" t="s">
        <v>337</v>
      </c>
      <c r="B162" s="2"/>
      <c r="C162" s="2"/>
      <c r="D162" s="2"/>
      <c r="E162" s="2"/>
      <c r="F162" s="2"/>
      <c r="G162" s="2"/>
      <c r="H162" s="2"/>
      <c r="I162" s="2">
        <v>107.13500000000001</v>
      </c>
      <c r="J162" s="2">
        <v>121</v>
      </c>
      <c r="K162" s="2">
        <v>104.988</v>
      </c>
      <c r="L162" s="2">
        <v>204</v>
      </c>
      <c r="M162" s="2">
        <v>106.816</v>
      </c>
      <c r="N162" s="2">
        <v>215</v>
      </c>
      <c r="O162" s="2">
        <v>0.31924799999999998</v>
      </c>
      <c r="P162" s="2">
        <v>161</v>
      </c>
    </row>
    <row r="163" spans="1:16" ht="12.3" x14ac:dyDescent="0.4">
      <c r="A163" s="2" t="s">
        <v>162</v>
      </c>
      <c r="B163" s="2"/>
      <c r="C163" s="2"/>
      <c r="D163" s="2"/>
      <c r="E163" s="2"/>
      <c r="F163" s="2"/>
      <c r="G163" s="2"/>
      <c r="H163" s="2"/>
      <c r="I163" s="2">
        <v>107.03700000000001</v>
      </c>
      <c r="J163" s="2">
        <v>125</v>
      </c>
      <c r="K163" s="2">
        <v>106.834</v>
      </c>
      <c r="L163" s="2">
        <v>244</v>
      </c>
      <c r="M163" s="2">
        <v>106.73399999999999</v>
      </c>
      <c r="N163" s="2">
        <v>213</v>
      </c>
      <c r="O163" s="2">
        <v>0.30271100000000001</v>
      </c>
      <c r="P163" s="2">
        <v>162</v>
      </c>
    </row>
    <row r="164" spans="1:16" ht="12.3" x14ac:dyDescent="0.4">
      <c r="A164" s="2" t="s">
        <v>381</v>
      </c>
      <c r="B164" s="2"/>
      <c r="C164" s="2"/>
      <c r="D164" s="2"/>
      <c r="E164" s="2"/>
      <c r="F164" s="2"/>
      <c r="G164" s="2"/>
      <c r="H164" s="2"/>
      <c r="I164" s="2">
        <v>101.246</v>
      </c>
      <c r="J164" s="2">
        <v>231</v>
      </c>
      <c r="K164" s="2">
        <v>95.299899999999994</v>
      </c>
      <c r="L164" s="2">
        <v>24</v>
      </c>
      <c r="M164" s="2">
        <v>101.01300000000001</v>
      </c>
      <c r="N164" s="2">
        <v>95</v>
      </c>
      <c r="O164" s="2">
        <v>0.233156</v>
      </c>
      <c r="P164" s="2">
        <v>163</v>
      </c>
    </row>
    <row r="165" spans="1:16" ht="12.3" x14ac:dyDescent="0.4">
      <c r="A165" s="2" t="s">
        <v>73</v>
      </c>
      <c r="B165" s="2"/>
      <c r="C165" s="2"/>
      <c r="D165" s="2"/>
      <c r="E165" s="2"/>
      <c r="F165" s="2"/>
      <c r="G165" s="2"/>
      <c r="H165" s="2"/>
      <c r="I165" s="2">
        <v>101.304</v>
      </c>
      <c r="J165" s="2">
        <v>229</v>
      </c>
      <c r="K165" s="2">
        <v>102.767</v>
      </c>
      <c r="L165" s="2">
        <v>155</v>
      </c>
      <c r="M165" s="2">
        <v>101.072</v>
      </c>
      <c r="N165" s="2">
        <v>98</v>
      </c>
      <c r="O165" s="2">
        <v>0.23169999999999999</v>
      </c>
      <c r="P165" s="2">
        <v>164</v>
      </c>
    </row>
    <row r="166" spans="1:16" ht="12.3" x14ac:dyDescent="0.4">
      <c r="A166" s="2" t="s">
        <v>360</v>
      </c>
      <c r="B166" s="2"/>
      <c r="C166" s="2"/>
      <c r="D166" s="2"/>
      <c r="E166" s="2"/>
      <c r="F166" s="2"/>
      <c r="G166" s="2"/>
      <c r="H166" s="2"/>
      <c r="I166" s="2">
        <v>104.505</v>
      </c>
      <c r="J166" s="2">
        <v>168</v>
      </c>
      <c r="K166" s="2">
        <v>104.095</v>
      </c>
      <c r="L166" s="2">
        <v>190</v>
      </c>
      <c r="M166" s="2">
        <v>104.34399999999999</v>
      </c>
      <c r="N166" s="2">
        <v>168</v>
      </c>
      <c r="O166" s="2">
        <v>0.16085099999999999</v>
      </c>
      <c r="P166" s="2">
        <v>165</v>
      </c>
    </row>
    <row r="167" spans="1:16" ht="12.3" x14ac:dyDescent="0.4">
      <c r="A167" s="2" t="s">
        <v>171</v>
      </c>
      <c r="B167" s="2"/>
      <c r="C167" s="2"/>
      <c r="D167" s="2"/>
      <c r="E167" s="2"/>
      <c r="F167" s="2"/>
      <c r="G167" s="2"/>
      <c r="H167" s="2"/>
      <c r="I167" s="2">
        <v>106.416</v>
      </c>
      <c r="J167" s="2">
        <v>137</v>
      </c>
      <c r="K167" s="2">
        <v>103.36199999999999</v>
      </c>
      <c r="L167" s="2">
        <v>169</v>
      </c>
      <c r="M167" s="2">
        <v>106.3</v>
      </c>
      <c r="N167" s="2">
        <v>205</v>
      </c>
      <c r="O167" s="2">
        <v>0.11515599999999999</v>
      </c>
      <c r="P167" s="2">
        <v>166</v>
      </c>
    </row>
    <row r="168" spans="1:16" ht="12.3" x14ac:dyDescent="0.4">
      <c r="A168" s="2" t="s">
        <v>291</v>
      </c>
      <c r="B168" s="2"/>
      <c r="C168" s="2"/>
      <c r="D168" s="2"/>
      <c r="E168" s="2"/>
      <c r="F168" s="2"/>
      <c r="G168" s="2"/>
      <c r="H168" s="2"/>
      <c r="I168" s="2">
        <v>103.157</v>
      </c>
      <c r="J168" s="2">
        <v>194</v>
      </c>
      <c r="K168" s="2">
        <v>103.709</v>
      </c>
      <c r="L168" s="2">
        <v>179</v>
      </c>
      <c r="M168" s="2">
        <v>103.17700000000001</v>
      </c>
      <c r="N168" s="2">
        <v>146</v>
      </c>
      <c r="O168" s="2">
        <v>-2.02852E-2</v>
      </c>
      <c r="P168" s="2">
        <v>167</v>
      </c>
    </row>
    <row r="169" spans="1:16" ht="12.3" x14ac:dyDescent="0.4">
      <c r="A169" s="2" t="s">
        <v>131</v>
      </c>
      <c r="B169" s="2"/>
      <c r="C169" s="2"/>
      <c r="D169" s="2"/>
      <c r="E169" s="2"/>
      <c r="F169" s="2"/>
      <c r="G169" s="2"/>
      <c r="H169" s="2"/>
      <c r="I169" s="2">
        <v>107.646</v>
      </c>
      <c r="J169" s="2">
        <v>114</v>
      </c>
      <c r="K169" s="2">
        <v>111.126</v>
      </c>
      <c r="L169" s="2">
        <v>325</v>
      </c>
      <c r="M169" s="2">
        <v>107.679</v>
      </c>
      <c r="N169" s="2">
        <v>231</v>
      </c>
      <c r="O169" s="2">
        <v>-3.3873899999999998E-2</v>
      </c>
      <c r="P169" s="2">
        <v>168</v>
      </c>
    </row>
    <row r="170" spans="1:16" ht="12.3" x14ac:dyDescent="0.4">
      <c r="A170" s="2" t="s">
        <v>216</v>
      </c>
      <c r="B170" s="2"/>
      <c r="C170" s="2"/>
      <c r="D170" s="2"/>
      <c r="E170" s="2"/>
      <c r="F170" s="2"/>
      <c r="G170" s="2"/>
      <c r="H170" s="2"/>
      <c r="I170" s="2">
        <v>97.575199999999995</v>
      </c>
      <c r="J170" s="2">
        <v>296</v>
      </c>
      <c r="K170" s="2">
        <v>100.003</v>
      </c>
      <c r="L170" s="2">
        <v>80</v>
      </c>
      <c r="M170" s="2">
        <v>97.625200000000007</v>
      </c>
      <c r="N170" s="2">
        <v>54</v>
      </c>
      <c r="O170" s="2">
        <v>-5.008E-2</v>
      </c>
      <c r="P170" s="2">
        <v>169</v>
      </c>
    </row>
    <row r="171" spans="1:16" ht="12.3" x14ac:dyDescent="0.4">
      <c r="A171" s="2" t="s">
        <v>77</v>
      </c>
      <c r="B171" s="2"/>
      <c r="C171" s="2"/>
      <c r="D171" s="2"/>
      <c r="E171" s="2"/>
      <c r="F171" s="2"/>
      <c r="G171" s="2"/>
      <c r="H171" s="2"/>
      <c r="I171" s="2">
        <v>102.587</v>
      </c>
      <c r="J171" s="2">
        <v>209</v>
      </c>
      <c r="K171" s="2">
        <v>100.809</v>
      </c>
      <c r="L171" s="2">
        <v>106</v>
      </c>
      <c r="M171" s="2">
        <v>102.68</v>
      </c>
      <c r="N171" s="2">
        <v>131</v>
      </c>
      <c r="O171" s="2">
        <v>-9.2653600000000003E-2</v>
      </c>
      <c r="P171" s="2">
        <v>170</v>
      </c>
    </row>
    <row r="172" spans="1:16" ht="12.3" x14ac:dyDescent="0.4">
      <c r="A172" s="2" t="s">
        <v>354</v>
      </c>
      <c r="B172" s="2"/>
      <c r="C172" s="2"/>
      <c r="D172" s="2"/>
      <c r="E172" s="2"/>
      <c r="F172" s="2"/>
      <c r="G172" s="2"/>
      <c r="H172" s="2"/>
      <c r="I172" s="2">
        <v>102.479</v>
      </c>
      <c r="J172" s="2">
        <v>211</v>
      </c>
      <c r="K172" s="2">
        <v>100.161</v>
      </c>
      <c r="L172" s="2">
        <v>87</v>
      </c>
      <c r="M172" s="2">
        <v>102.607</v>
      </c>
      <c r="N172" s="2">
        <v>127</v>
      </c>
      <c r="O172" s="2">
        <v>-0.12853700000000001</v>
      </c>
      <c r="P172" s="2">
        <v>171</v>
      </c>
    </row>
    <row r="173" spans="1:16" ht="12.3" x14ac:dyDescent="0.4">
      <c r="A173" s="2" t="s">
        <v>153</v>
      </c>
      <c r="B173" s="2"/>
      <c r="C173" s="3"/>
      <c r="D173" s="2"/>
      <c r="E173" s="2"/>
      <c r="F173" s="2"/>
      <c r="G173" s="2"/>
      <c r="H173" s="2"/>
      <c r="I173" s="2">
        <v>106.541</v>
      </c>
      <c r="J173" s="2">
        <v>135</v>
      </c>
      <c r="K173" s="2">
        <v>106.666</v>
      </c>
      <c r="L173" s="2">
        <v>241</v>
      </c>
      <c r="M173" s="2">
        <v>106.779</v>
      </c>
      <c r="N173" s="2">
        <v>214</v>
      </c>
      <c r="O173" s="2">
        <v>-0.23775299999999999</v>
      </c>
      <c r="P173" s="2">
        <v>172</v>
      </c>
    </row>
    <row r="174" spans="1:16" ht="12.3" x14ac:dyDescent="0.4">
      <c r="A174" s="2" t="s">
        <v>378</v>
      </c>
      <c r="B174" s="2">
        <v>15</v>
      </c>
      <c r="C174" s="2"/>
      <c r="D174" s="2"/>
      <c r="E174" s="2"/>
      <c r="F174" s="2"/>
      <c r="G174" s="2"/>
      <c r="H174" s="2"/>
      <c r="I174" s="2">
        <v>102.854</v>
      </c>
      <c r="J174" s="2">
        <v>202</v>
      </c>
      <c r="K174" s="2">
        <v>100.32599999999999</v>
      </c>
      <c r="L174" s="2">
        <v>93</v>
      </c>
      <c r="M174" s="2">
        <v>103.166</v>
      </c>
      <c r="N174" s="2">
        <v>144</v>
      </c>
      <c r="O174" s="2">
        <v>-0.31126799999999999</v>
      </c>
      <c r="P174" s="2">
        <v>173</v>
      </c>
    </row>
    <row r="175" spans="1:16" ht="12.3" x14ac:dyDescent="0.4">
      <c r="A175" s="2" t="s">
        <v>196</v>
      </c>
      <c r="B175" s="2"/>
      <c r="C175" s="2"/>
      <c r="D175" s="2"/>
      <c r="E175" s="2"/>
      <c r="F175" s="2"/>
      <c r="G175" s="2"/>
      <c r="H175" s="2"/>
      <c r="I175" s="2">
        <v>106.05</v>
      </c>
      <c r="J175" s="2">
        <v>143</v>
      </c>
      <c r="K175" s="2">
        <v>105.279</v>
      </c>
      <c r="L175" s="2">
        <v>215</v>
      </c>
      <c r="M175" s="2">
        <v>106.41</v>
      </c>
      <c r="N175" s="2">
        <v>208</v>
      </c>
      <c r="O175" s="2">
        <v>-0.36063000000000001</v>
      </c>
      <c r="P175" s="2">
        <v>174</v>
      </c>
    </row>
    <row r="176" spans="1:16" ht="12.3" x14ac:dyDescent="0.4">
      <c r="A176" s="2" t="s">
        <v>379</v>
      </c>
      <c r="B176" s="2"/>
      <c r="C176" s="2"/>
      <c r="D176" s="2"/>
      <c r="E176" s="2"/>
      <c r="F176" s="2"/>
      <c r="G176" s="2"/>
      <c r="H176" s="2"/>
      <c r="I176" s="2">
        <v>108.497</v>
      </c>
      <c r="J176" s="2">
        <v>97</v>
      </c>
      <c r="K176" s="2">
        <v>109.896</v>
      </c>
      <c r="L176" s="2">
        <v>310</v>
      </c>
      <c r="M176" s="2">
        <v>108.893</v>
      </c>
      <c r="N176" s="2">
        <v>256</v>
      </c>
      <c r="O176" s="2">
        <v>-0.39672099999999999</v>
      </c>
      <c r="P176" s="2">
        <v>175</v>
      </c>
    </row>
    <row r="177" spans="1:16" ht="12.3" x14ac:dyDescent="0.4">
      <c r="A177" s="2" t="s">
        <v>101</v>
      </c>
      <c r="B177" s="2"/>
      <c r="C177" s="2"/>
      <c r="D177" s="2"/>
      <c r="E177" s="2"/>
      <c r="F177" s="2"/>
      <c r="G177" s="2"/>
      <c r="H177" s="2"/>
      <c r="I177" s="2">
        <v>104.729</v>
      </c>
      <c r="J177" s="2">
        <v>163</v>
      </c>
      <c r="K177" s="2">
        <v>102.634</v>
      </c>
      <c r="L177" s="2">
        <v>152</v>
      </c>
      <c r="M177" s="2">
        <v>105.2</v>
      </c>
      <c r="N177" s="2">
        <v>185</v>
      </c>
      <c r="O177" s="2">
        <v>-0.47120800000000002</v>
      </c>
      <c r="P177" s="2">
        <v>176</v>
      </c>
    </row>
    <row r="178" spans="1:16" ht="12.3" x14ac:dyDescent="0.4">
      <c r="A178" s="2" t="s">
        <v>85</v>
      </c>
      <c r="B178" s="2"/>
      <c r="C178" s="2"/>
      <c r="D178" s="2"/>
      <c r="E178" s="2"/>
      <c r="F178" s="2"/>
      <c r="G178" s="2"/>
      <c r="H178" s="2"/>
      <c r="I178" s="2">
        <v>109.461</v>
      </c>
      <c r="J178" s="2">
        <v>83</v>
      </c>
      <c r="K178" s="2">
        <v>113.24</v>
      </c>
      <c r="L178" s="2">
        <v>335</v>
      </c>
      <c r="M178" s="2">
        <v>109.95699999999999</v>
      </c>
      <c r="N178" s="2">
        <v>283</v>
      </c>
      <c r="O178" s="2">
        <v>-0.49602499999999999</v>
      </c>
      <c r="P178" s="2">
        <v>177</v>
      </c>
    </row>
    <row r="179" spans="1:16" ht="12.3" x14ac:dyDescent="0.4">
      <c r="A179" s="2" t="s">
        <v>183</v>
      </c>
      <c r="B179" s="2">
        <v>16</v>
      </c>
      <c r="C179" s="2"/>
      <c r="D179" s="2"/>
      <c r="E179" s="2"/>
      <c r="F179" s="2"/>
      <c r="G179" s="2"/>
      <c r="H179" s="2"/>
      <c r="I179" s="2">
        <v>100.84399999999999</v>
      </c>
      <c r="J179" s="2">
        <v>240</v>
      </c>
      <c r="K179" s="2">
        <v>99.490300000000005</v>
      </c>
      <c r="L179" s="2">
        <v>69</v>
      </c>
      <c r="M179" s="2">
        <v>101.36199999999999</v>
      </c>
      <c r="N179" s="2">
        <v>102</v>
      </c>
      <c r="O179" s="2">
        <v>-0.51777300000000004</v>
      </c>
      <c r="P179" s="2">
        <v>178</v>
      </c>
    </row>
    <row r="180" spans="1:16" ht="12.3" x14ac:dyDescent="0.4">
      <c r="A180" s="2" t="s">
        <v>310</v>
      </c>
      <c r="B180" s="2"/>
      <c r="C180" s="2"/>
      <c r="D180" s="2"/>
      <c r="E180" s="2"/>
      <c r="F180" s="2"/>
      <c r="G180" s="2"/>
      <c r="H180" s="2"/>
      <c r="I180" s="2">
        <v>102.36499999999999</v>
      </c>
      <c r="J180" s="2">
        <v>215</v>
      </c>
      <c r="K180" s="2">
        <v>101.099</v>
      </c>
      <c r="L180" s="2">
        <v>117</v>
      </c>
      <c r="M180" s="2">
        <v>103.02200000000001</v>
      </c>
      <c r="N180" s="2">
        <v>139</v>
      </c>
      <c r="O180" s="2">
        <v>-0.65683999999999998</v>
      </c>
      <c r="P180" s="2">
        <v>179</v>
      </c>
    </row>
    <row r="181" spans="1:16" ht="12.3" x14ac:dyDescent="0.4">
      <c r="A181" s="2" t="s">
        <v>211</v>
      </c>
      <c r="B181" s="2"/>
      <c r="C181" s="2"/>
      <c r="D181" s="2"/>
      <c r="E181" s="2"/>
      <c r="F181" s="2"/>
      <c r="G181" s="2"/>
      <c r="H181" s="2"/>
      <c r="I181" s="2">
        <v>102.747</v>
      </c>
      <c r="J181" s="2">
        <v>205</v>
      </c>
      <c r="K181" s="2">
        <v>99.553899999999999</v>
      </c>
      <c r="L181" s="2">
        <v>70</v>
      </c>
      <c r="M181" s="2">
        <v>103.44</v>
      </c>
      <c r="N181" s="2">
        <v>156</v>
      </c>
      <c r="O181" s="2">
        <v>-0.69326900000000002</v>
      </c>
      <c r="P181" s="2">
        <v>180</v>
      </c>
    </row>
    <row r="182" spans="1:16" ht="12.3" x14ac:dyDescent="0.4">
      <c r="A182" s="2" t="s">
        <v>170</v>
      </c>
      <c r="B182" s="2"/>
      <c r="C182" s="2"/>
      <c r="D182" s="2"/>
      <c r="E182" s="2"/>
      <c r="F182" s="2"/>
      <c r="G182" s="2"/>
      <c r="H182" s="2"/>
      <c r="I182" s="2">
        <v>108.27800000000001</v>
      </c>
      <c r="J182" s="2">
        <v>104</v>
      </c>
      <c r="K182" s="2">
        <v>106.45</v>
      </c>
      <c r="L182" s="2">
        <v>239</v>
      </c>
      <c r="M182" s="2">
        <v>109.015</v>
      </c>
      <c r="N182" s="2">
        <v>259</v>
      </c>
      <c r="O182" s="2">
        <v>-0.73707400000000001</v>
      </c>
      <c r="P182" s="2">
        <v>181</v>
      </c>
    </row>
    <row r="183" spans="1:16" ht="12.3" x14ac:dyDescent="0.4">
      <c r="A183" s="2" t="s">
        <v>91</v>
      </c>
      <c r="B183" s="2"/>
      <c r="C183" s="2"/>
      <c r="D183" s="2"/>
      <c r="E183" s="2"/>
      <c r="F183" s="2"/>
      <c r="G183" s="2"/>
      <c r="H183" s="2"/>
      <c r="I183" s="2">
        <v>102.256</v>
      </c>
      <c r="J183" s="2">
        <v>216</v>
      </c>
      <c r="K183" s="2">
        <v>104.28100000000001</v>
      </c>
      <c r="L183" s="2">
        <v>196</v>
      </c>
      <c r="M183" s="2">
        <v>103.193</v>
      </c>
      <c r="N183" s="2">
        <v>149</v>
      </c>
      <c r="O183" s="2">
        <v>-0.93727099999999997</v>
      </c>
      <c r="P183" s="2">
        <v>182</v>
      </c>
    </row>
    <row r="184" spans="1:16" ht="12.3" x14ac:dyDescent="0.4">
      <c r="A184" s="2" t="s">
        <v>207</v>
      </c>
      <c r="B184" s="2"/>
      <c r="C184" s="2"/>
      <c r="D184" s="2"/>
      <c r="E184" s="2"/>
      <c r="F184" s="2"/>
      <c r="G184" s="2"/>
      <c r="H184" s="2"/>
      <c r="I184" s="2">
        <v>103.443</v>
      </c>
      <c r="J184" s="2">
        <v>188</v>
      </c>
      <c r="K184" s="2">
        <v>108.012</v>
      </c>
      <c r="L184" s="2">
        <v>269</v>
      </c>
      <c r="M184" s="2">
        <v>104.47199999999999</v>
      </c>
      <c r="N184" s="2">
        <v>169</v>
      </c>
      <c r="O184" s="2">
        <v>-1.02928</v>
      </c>
      <c r="P184" s="2">
        <v>183</v>
      </c>
    </row>
    <row r="185" spans="1:16" ht="12.3" x14ac:dyDescent="0.4">
      <c r="A185" s="2" t="s">
        <v>206</v>
      </c>
      <c r="B185" s="2"/>
      <c r="C185" s="2"/>
      <c r="D185" s="2"/>
      <c r="E185" s="2"/>
      <c r="F185" s="2"/>
      <c r="G185" s="2"/>
      <c r="H185" s="2"/>
      <c r="I185" s="2">
        <v>97.069199999999995</v>
      </c>
      <c r="J185" s="2">
        <v>301</v>
      </c>
      <c r="K185" s="2">
        <v>98.219300000000004</v>
      </c>
      <c r="L185" s="2">
        <v>54</v>
      </c>
      <c r="M185" s="2">
        <v>98.251000000000005</v>
      </c>
      <c r="N185" s="2">
        <v>61</v>
      </c>
      <c r="O185" s="2">
        <v>-1.1817800000000001</v>
      </c>
      <c r="P185" s="2">
        <v>184</v>
      </c>
    </row>
    <row r="186" spans="1:16" ht="12.3" x14ac:dyDescent="0.4">
      <c r="A186" s="2" t="s">
        <v>236</v>
      </c>
      <c r="B186" s="2"/>
      <c r="C186" s="2"/>
      <c r="D186" s="2"/>
      <c r="E186" s="2"/>
      <c r="F186" s="2"/>
      <c r="G186" s="2"/>
      <c r="H186" s="2"/>
      <c r="I186" s="2">
        <v>101.898</v>
      </c>
      <c r="J186" s="2">
        <v>221</v>
      </c>
      <c r="K186" s="2">
        <v>101.86199999999999</v>
      </c>
      <c r="L186" s="2">
        <v>135</v>
      </c>
      <c r="M186" s="2">
        <v>103.18899999999999</v>
      </c>
      <c r="N186" s="2">
        <v>147</v>
      </c>
      <c r="O186" s="2">
        <v>-1.2901100000000001</v>
      </c>
      <c r="P186" s="2">
        <v>185</v>
      </c>
    </row>
    <row r="187" spans="1:16" ht="12.3" x14ac:dyDescent="0.4">
      <c r="A187" s="2" t="s">
        <v>243</v>
      </c>
      <c r="B187" s="2"/>
      <c r="C187" s="2"/>
      <c r="D187" s="2"/>
      <c r="E187" s="2"/>
      <c r="F187" s="2"/>
      <c r="G187" s="2"/>
      <c r="H187" s="2"/>
      <c r="I187" s="2">
        <v>111.04900000000001</v>
      </c>
      <c r="J187" s="2">
        <v>60</v>
      </c>
      <c r="K187" s="2">
        <v>111.184</v>
      </c>
      <c r="L187" s="2">
        <v>326</v>
      </c>
      <c r="M187" s="2">
        <v>112.358</v>
      </c>
      <c r="N187" s="2">
        <v>311</v>
      </c>
      <c r="O187" s="2">
        <v>-1.3090999999999999</v>
      </c>
      <c r="P187" s="2">
        <v>186</v>
      </c>
    </row>
    <row r="188" spans="1:16" ht="12.3" x14ac:dyDescent="0.4">
      <c r="A188" s="2" t="s">
        <v>362</v>
      </c>
      <c r="B188" s="2">
        <v>16</v>
      </c>
      <c r="C188" s="2"/>
      <c r="D188" s="2"/>
      <c r="E188" s="2"/>
      <c r="F188" s="2"/>
      <c r="G188" s="2"/>
      <c r="H188" s="2"/>
      <c r="I188" s="2">
        <v>110.782</v>
      </c>
      <c r="J188" s="2">
        <v>63</v>
      </c>
      <c r="K188" s="2">
        <v>111.611</v>
      </c>
      <c r="L188" s="2">
        <v>330</v>
      </c>
      <c r="M188" s="2">
        <v>112.116</v>
      </c>
      <c r="N188" s="2">
        <v>308</v>
      </c>
      <c r="O188" s="2">
        <v>-1.3335900000000001</v>
      </c>
      <c r="P188" s="2">
        <v>187</v>
      </c>
    </row>
    <row r="189" spans="1:16" ht="12.3" x14ac:dyDescent="0.4">
      <c r="A189" s="2" t="s">
        <v>187</v>
      </c>
      <c r="B189" s="2"/>
      <c r="C189" s="2"/>
      <c r="D189" s="2"/>
      <c r="E189" s="2"/>
      <c r="F189" s="2"/>
      <c r="G189" s="2"/>
      <c r="H189" s="2"/>
      <c r="I189" s="2">
        <v>108.70099999999999</v>
      </c>
      <c r="J189" s="2">
        <v>93</v>
      </c>
      <c r="K189" s="2">
        <v>108.169</v>
      </c>
      <c r="L189" s="2">
        <v>272</v>
      </c>
      <c r="M189" s="2">
        <v>110.11799999999999</v>
      </c>
      <c r="N189" s="2">
        <v>287</v>
      </c>
      <c r="O189" s="2">
        <v>-1.41757</v>
      </c>
      <c r="P189" s="2">
        <v>188</v>
      </c>
    </row>
    <row r="190" spans="1:16" ht="12.3" x14ac:dyDescent="0.4">
      <c r="A190" s="2" t="s">
        <v>286</v>
      </c>
      <c r="B190" s="2"/>
      <c r="C190" s="2"/>
      <c r="D190" s="2"/>
      <c r="E190" s="2"/>
      <c r="F190" s="2"/>
      <c r="G190" s="2"/>
      <c r="H190" s="2"/>
      <c r="I190" s="2">
        <v>107.55800000000001</v>
      </c>
      <c r="J190" s="2">
        <v>117</v>
      </c>
      <c r="K190" s="2">
        <v>107.23</v>
      </c>
      <c r="L190" s="2">
        <v>252</v>
      </c>
      <c r="M190" s="2">
        <v>109.096</v>
      </c>
      <c r="N190" s="2">
        <v>262</v>
      </c>
      <c r="O190" s="2">
        <v>-1.5376399999999999</v>
      </c>
      <c r="P190" s="2">
        <v>189</v>
      </c>
    </row>
    <row r="191" spans="1:16" ht="12.3" x14ac:dyDescent="0.4">
      <c r="A191" s="2" t="s">
        <v>372</v>
      </c>
      <c r="B191" s="2"/>
      <c r="C191" s="2"/>
      <c r="D191" s="2"/>
      <c r="E191" s="2"/>
      <c r="F191" s="2"/>
      <c r="G191" s="2"/>
      <c r="H191" s="2"/>
      <c r="I191" s="2">
        <v>100.154</v>
      </c>
      <c r="J191" s="2">
        <v>251</v>
      </c>
      <c r="K191" s="2">
        <v>98.160399999999996</v>
      </c>
      <c r="L191" s="2">
        <v>52</v>
      </c>
      <c r="M191" s="2">
        <v>101.699</v>
      </c>
      <c r="N191" s="2">
        <v>106</v>
      </c>
      <c r="O191" s="2">
        <v>-1.5450200000000001</v>
      </c>
      <c r="P191" s="2">
        <v>190</v>
      </c>
    </row>
    <row r="192" spans="1:16" ht="12.3" x14ac:dyDescent="0.4">
      <c r="A192" s="2" t="s">
        <v>283</v>
      </c>
      <c r="B192" s="2"/>
      <c r="C192" s="2"/>
      <c r="D192" s="2"/>
      <c r="E192" s="2"/>
      <c r="F192" s="2"/>
      <c r="G192" s="2"/>
      <c r="H192" s="2"/>
      <c r="I192" s="2">
        <v>108.35</v>
      </c>
      <c r="J192" s="2">
        <v>102</v>
      </c>
      <c r="K192" s="2">
        <v>107.569</v>
      </c>
      <c r="L192" s="2">
        <v>263</v>
      </c>
      <c r="M192" s="2">
        <v>109.976</v>
      </c>
      <c r="N192" s="2">
        <v>284</v>
      </c>
      <c r="O192" s="2">
        <v>-1.6259699999999999</v>
      </c>
      <c r="P192" s="2">
        <v>191</v>
      </c>
    </row>
    <row r="193" spans="1:16" ht="12.3" x14ac:dyDescent="0.4">
      <c r="A193" s="2" t="s">
        <v>239</v>
      </c>
      <c r="B193" s="2"/>
      <c r="C193" s="2"/>
      <c r="D193" s="2"/>
      <c r="E193" s="2"/>
      <c r="F193" s="2"/>
      <c r="G193" s="2"/>
      <c r="H193" s="2"/>
      <c r="I193" s="2">
        <v>104.367</v>
      </c>
      <c r="J193" s="2">
        <v>171</v>
      </c>
      <c r="K193" s="2">
        <v>110.285</v>
      </c>
      <c r="L193" s="2">
        <v>319</v>
      </c>
      <c r="M193" s="2">
        <v>106.389</v>
      </c>
      <c r="N193" s="2">
        <v>207</v>
      </c>
      <c r="O193" s="2">
        <v>-2.0223599999999999</v>
      </c>
      <c r="P193" s="2">
        <v>192</v>
      </c>
    </row>
    <row r="194" spans="1:16" ht="12.3" x14ac:dyDescent="0.4">
      <c r="A194" s="2" t="s">
        <v>203</v>
      </c>
      <c r="B194" s="2"/>
      <c r="C194" s="3"/>
      <c r="D194" s="2"/>
      <c r="E194" s="2"/>
      <c r="F194" s="2"/>
      <c r="G194" s="2"/>
      <c r="H194" s="2"/>
      <c r="I194" s="2">
        <v>101.36199999999999</v>
      </c>
      <c r="J194" s="2">
        <v>227</v>
      </c>
      <c r="K194" s="2">
        <v>100.267</v>
      </c>
      <c r="L194" s="2">
        <v>91</v>
      </c>
      <c r="M194" s="2">
        <v>103.444</v>
      </c>
      <c r="N194" s="2">
        <v>157</v>
      </c>
      <c r="O194" s="2">
        <v>-2.08188</v>
      </c>
      <c r="P194" s="2">
        <v>193</v>
      </c>
    </row>
    <row r="195" spans="1:16" ht="12.3" x14ac:dyDescent="0.4">
      <c r="A195" s="2" t="s">
        <v>252</v>
      </c>
      <c r="B195" s="2"/>
      <c r="C195" s="2"/>
      <c r="D195" s="2"/>
      <c r="E195" s="2"/>
      <c r="F195" s="2"/>
      <c r="G195" s="2"/>
      <c r="H195" s="2"/>
      <c r="I195" s="2">
        <v>108.369</v>
      </c>
      <c r="J195" s="2">
        <v>101</v>
      </c>
      <c r="K195" s="2">
        <v>106.968</v>
      </c>
      <c r="L195" s="2">
        <v>246</v>
      </c>
      <c r="M195" s="2">
        <v>110.592</v>
      </c>
      <c r="N195" s="2">
        <v>291</v>
      </c>
      <c r="O195" s="2">
        <v>-2.22302</v>
      </c>
      <c r="P195" s="2">
        <v>194</v>
      </c>
    </row>
    <row r="196" spans="1:16" ht="12.3" x14ac:dyDescent="0.4">
      <c r="A196" s="2" t="s">
        <v>234</v>
      </c>
      <c r="B196" s="2"/>
      <c r="C196" s="2"/>
      <c r="D196" s="2"/>
      <c r="E196" s="2"/>
      <c r="F196" s="2"/>
      <c r="G196" s="2"/>
      <c r="H196" s="2"/>
      <c r="I196" s="2">
        <v>105.965</v>
      </c>
      <c r="J196" s="2">
        <v>145</v>
      </c>
      <c r="K196" s="2">
        <v>105.93300000000001</v>
      </c>
      <c r="L196" s="2">
        <v>226</v>
      </c>
      <c r="M196" s="2">
        <v>108.423</v>
      </c>
      <c r="N196" s="2">
        <v>249</v>
      </c>
      <c r="O196" s="2">
        <v>-2.4573900000000002</v>
      </c>
      <c r="P196" s="2">
        <v>195</v>
      </c>
    </row>
    <row r="197" spans="1:16" ht="12.3" x14ac:dyDescent="0.4">
      <c r="A197" s="2" t="s">
        <v>128</v>
      </c>
      <c r="B197" s="2"/>
      <c r="C197" s="2"/>
      <c r="D197" s="2"/>
      <c r="E197" s="2"/>
      <c r="F197" s="2"/>
      <c r="G197" s="2"/>
      <c r="H197" s="2"/>
      <c r="I197" s="2">
        <v>103.83199999999999</v>
      </c>
      <c r="J197" s="2">
        <v>184</v>
      </c>
      <c r="K197" s="2">
        <v>103.41500000000001</v>
      </c>
      <c r="L197" s="2">
        <v>172</v>
      </c>
      <c r="M197" s="2">
        <v>106.316</v>
      </c>
      <c r="N197" s="2">
        <v>206</v>
      </c>
      <c r="O197" s="2">
        <v>-2.4847800000000002</v>
      </c>
      <c r="P197" s="2">
        <v>196</v>
      </c>
    </row>
    <row r="198" spans="1:16" ht="12.3" x14ac:dyDescent="0.4">
      <c r="A198" s="2" t="s">
        <v>181</v>
      </c>
      <c r="B198" s="2"/>
      <c r="C198" s="2"/>
      <c r="D198" s="2"/>
      <c r="E198" s="2"/>
      <c r="F198" s="2"/>
      <c r="G198" s="2"/>
      <c r="H198" s="2"/>
      <c r="I198" s="2">
        <v>107.086</v>
      </c>
      <c r="J198" s="2">
        <v>122</v>
      </c>
      <c r="K198" s="2">
        <v>107.46299999999999</v>
      </c>
      <c r="L198" s="2">
        <v>255</v>
      </c>
      <c r="M198" s="2">
        <v>109.782</v>
      </c>
      <c r="N198" s="2">
        <v>278</v>
      </c>
      <c r="O198" s="2">
        <v>-2.6966299999999999</v>
      </c>
      <c r="P198" s="2">
        <v>197</v>
      </c>
    </row>
    <row r="199" spans="1:16" ht="12.3" x14ac:dyDescent="0.4">
      <c r="A199" s="2" t="s">
        <v>199</v>
      </c>
      <c r="B199" s="2"/>
      <c r="C199" s="2"/>
      <c r="D199" s="2"/>
      <c r="E199" s="2"/>
      <c r="F199" s="2"/>
      <c r="G199" s="2"/>
      <c r="H199" s="2"/>
      <c r="I199" s="2">
        <v>106.93</v>
      </c>
      <c r="J199" s="2">
        <v>126</v>
      </c>
      <c r="K199" s="2">
        <v>110.211</v>
      </c>
      <c r="L199" s="2">
        <v>315</v>
      </c>
      <c r="M199" s="2">
        <v>109.65600000000001</v>
      </c>
      <c r="N199" s="2">
        <v>275</v>
      </c>
      <c r="O199" s="2">
        <v>-2.7266300000000001</v>
      </c>
      <c r="P199" s="2">
        <v>198</v>
      </c>
    </row>
    <row r="200" spans="1:16" ht="12.3" x14ac:dyDescent="0.4">
      <c r="A200" s="2" t="s">
        <v>267</v>
      </c>
      <c r="B200" s="2"/>
      <c r="C200" s="2"/>
      <c r="D200" s="2"/>
      <c r="E200" s="2"/>
      <c r="F200" s="2"/>
      <c r="G200" s="2"/>
      <c r="H200" s="2"/>
      <c r="I200" s="2">
        <v>99.507400000000004</v>
      </c>
      <c r="J200" s="2">
        <v>263</v>
      </c>
      <c r="K200" s="2">
        <v>102.059</v>
      </c>
      <c r="L200" s="2">
        <v>138</v>
      </c>
      <c r="M200" s="2">
        <v>102.248</v>
      </c>
      <c r="N200" s="2">
        <v>121</v>
      </c>
      <c r="O200" s="2">
        <v>-2.74099</v>
      </c>
      <c r="P200" s="2">
        <v>199</v>
      </c>
    </row>
    <row r="201" spans="1:16" ht="12.3" x14ac:dyDescent="0.4">
      <c r="A201" s="2" t="s">
        <v>334</v>
      </c>
      <c r="B201" s="2"/>
      <c r="C201" s="2"/>
      <c r="D201" s="2"/>
      <c r="E201" s="2"/>
      <c r="F201" s="2"/>
      <c r="G201" s="2"/>
      <c r="H201" s="2"/>
      <c r="I201" s="2">
        <v>102.46599999999999</v>
      </c>
      <c r="J201" s="2">
        <v>212</v>
      </c>
      <c r="K201" s="2">
        <v>104.756</v>
      </c>
      <c r="L201" s="2">
        <v>201</v>
      </c>
      <c r="M201" s="2">
        <v>105.253</v>
      </c>
      <c r="N201" s="2">
        <v>187</v>
      </c>
      <c r="O201" s="2">
        <v>-2.7874099999999999</v>
      </c>
      <c r="P201" s="2">
        <v>200</v>
      </c>
    </row>
    <row r="202" spans="1:16" ht="12.3" x14ac:dyDescent="0.4">
      <c r="A202" s="2" t="s">
        <v>249</v>
      </c>
      <c r="B202" s="2"/>
      <c r="C202" s="2"/>
      <c r="D202" s="2"/>
      <c r="E202" s="2"/>
      <c r="F202" s="2"/>
      <c r="G202" s="2"/>
      <c r="H202" s="2"/>
      <c r="I202" s="2">
        <v>96.9756</v>
      </c>
      <c r="J202" s="2">
        <v>303</v>
      </c>
      <c r="K202" s="2">
        <v>100.134</v>
      </c>
      <c r="L202" s="2">
        <v>85</v>
      </c>
      <c r="M202" s="2">
        <v>99.921400000000006</v>
      </c>
      <c r="N202" s="2">
        <v>83</v>
      </c>
      <c r="O202" s="2">
        <v>-2.9457399999999998</v>
      </c>
      <c r="P202" s="2">
        <v>201</v>
      </c>
    </row>
    <row r="203" spans="1:16" ht="12.3" x14ac:dyDescent="0.4">
      <c r="A203" s="2" t="s">
        <v>219</v>
      </c>
      <c r="B203" s="2"/>
      <c r="C203" s="2"/>
      <c r="D203" s="2"/>
      <c r="E203" s="2"/>
      <c r="F203" s="2"/>
      <c r="G203" s="2"/>
      <c r="H203" s="2"/>
      <c r="I203" s="2">
        <v>99.7102</v>
      </c>
      <c r="J203" s="2">
        <v>258</v>
      </c>
      <c r="K203" s="2">
        <v>100.583</v>
      </c>
      <c r="L203" s="2">
        <v>102</v>
      </c>
      <c r="M203" s="2">
        <v>102.699</v>
      </c>
      <c r="N203" s="2">
        <v>133</v>
      </c>
      <c r="O203" s="2">
        <v>-2.9891700000000001</v>
      </c>
      <c r="P203" s="2">
        <v>202</v>
      </c>
    </row>
    <row r="204" spans="1:16" ht="12.3" x14ac:dyDescent="0.4">
      <c r="A204" s="2" t="s">
        <v>201</v>
      </c>
      <c r="B204" s="2"/>
      <c r="C204" s="2"/>
      <c r="D204" s="2"/>
      <c r="E204" s="2"/>
      <c r="F204" s="2"/>
      <c r="G204" s="2"/>
      <c r="H204" s="2"/>
      <c r="I204" s="2">
        <v>106.71599999999999</v>
      </c>
      <c r="J204" s="2">
        <v>129</v>
      </c>
      <c r="K204" s="2">
        <v>109.892</v>
      </c>
      <c r="L204" s="2">
        <v>309</v>
      </c>
      <c r="M204" s="2">
        <v>109.822</v>
      </c>
      <c r="N204" s="2">
        <v>279</v>
      </c>
      <c r="O204" s="2">
        <v>-3.1065900000000002</v>
      </c>
      <c r="P204" s="2">
        <v>203</v>
      </c>
    </row>
    <row r="205" spans="1:16" ht="12.3" x14ac:dyDescent="0.4">
      <c r="A205" s="2" t="s">
        <v>276</v>
      </c>
      <c r="B205" s="2"/>
      <c r="C205" s="2"/>
      <c r="D205" s="2"/>
      <c r="E205" s="2"/>
      <c r="F205" s="2"/>
      <c r="G205" s="2"/>
      <c r="H205" s="2"/>
      <c r="I205" s="2">
        <v>102.955</v>
      </c>
      <c r="J205" s="2">
        <v>197</v>
      </c>
      <c r="K205" s="2">
        <v>102.837</v>
      </c>
      <c r="L205" s="2">
        <v>158</v>
      </c>
      <c r="M205" s="2">
        <v>106.211</v>
      </c>
      <c r="N205" s="2">
        <v>203</v>
      </c>
      <c r="O205" s="2">
        <v>-3.25637</v>
      </c>
      <c r="P205" s="2">
        <v>204</v>
      </c>
    </row>
    <row r="206" spans="1:16" ht="12.3" x14ac:dyDescent="0.4">
      <c r="A206" s="2" t="s">
        <v>209</v>
      </c>
      <c r="B206" s="2"/>
      <c r="C206" s="2"/>
      <c r="D206" s="2"/>
      <c r="E206" s="2"/>
      <c r="F206" s="2"/>
      <c r="G206" s="2"/>
      <c r="H206" s="2"/>
      <c r="I206" s="2">
        <v>98.871200000000002</v>
      </c>
      <c r="J206" s="2">
        <v>273</v>
      </c>
      <c r="K206" s="2">
        <v>101.093</v>
      </c>
      <c r="L206" s="2">
        <v>116</v>
      </c>
      <c r="M206" s="2">
        <v>102.38</v>
      </c>
      <c r="N206" s="2">
        <v>123</v>
      </c>
      <c r="O206" s="2">
        <v>-3.5084</v>
      </c>
      <c r="P206" s="2">
        <v>205</v>
      </c>
    </row>
    <row r="207" spans="1:16" ht="12.3" x14ac:dyDescent="0.4">
      <c r="A207" s="2" t="s">
        <v>221</v>
      </c>
      <c r="B207" s="2"/>
      <c r="C207" s="2"/>
      <c r="D207" s="2"/>
      <c r="E207" s="2"/>
      <c r="F207" s="2"/>
      <c r="G207" s="2"/>
      <c r="H207" s="2"/>
      <c r="I207" s="2">
        <v>99.257999999999996</v>
      </c>
      <c r="J207" s="2">
        <v>266</v>
      </c>
      <c r="K207" s="2">
        <v>101.06699999999999</v>
      </c>
      <c r="L207" s="2">
        <v>114</v>
      </c>
      <c r="M207" s="2">
        <v>102.821</v>
      </c>
      <c r="N207" s="2">
        <v>136</v>
      </c>
      <c r="O207" s="2">
        <v>-3.5628199999999999</v>
      </c>
      <c r="P207" s="2">
        <v>206</v>
      </c>
    </row>
    <row r="208" spans="1:16" ht="12.3" x14ac:dyDescent="0.4">
      <c r="A208" s="2" t="s">
        <v>325</v>
      </c>
      <c r="B208" s="2">
        <v>16</v>
      </c>
      <c r="C208" s="2"/>
      <c r="D208" s="2"/>
      <c r="E208" s="2"/>
      <c r="F208" s="2"/>
      <c r="G208" s="2"/>
      <c r="H208" s="2"/>
      <c r="I208" s="2">
        <v>103.622</v>
      </c>
      <c r="J208" s="2">
        <v>187</v>
      </c>
      <c r="K208" s="2">
        <v>102.69199999999999</v>
      </c>
      <c r="L208" s="2">
        <v>154</v>
      </c>
      <c r="M208" s="2">
        <v>107.286</v>
      </c>
      <c r="N208" s="2">
        <v>227</v>
      </c>
      <c r="O208" s="2">
        <v>-3.6647599999999998</v>
      </c>
      <c r="P208" s="2">
        <v>207</v>
      </c>
    </row>
    <row r="209" spans="1:16" ht="12.3" x14ac:dyDescent="0.4">
      <c r="A209" s="2" t="s">
        <v>300</v>
      </c>
      <c r="B209" s="2"/>
      <c r="C209" s="2"/>
      <c r="D209" s="2"/>
      <c r="E209" s="2"/>
      <c r="F209" s="2"/>
      <c r="G209" s="2"/>
      <c r="H209" s="2"/>
      <c r="I209" s="2">
        <v>99.653000000000006</v>
      </c>
      <c r="J209" s="2">
        <v>260</v>
      </c>
      <c r="K209" s="2">
        <v>99.592399999999998</v>
      </c>
      <c r="L209" s="2">
        <v>74</v>
      </c>
      <c r="M209" s="2">
        <v>103.43</v>
      </c>
      <c r="N209" s="2">
        <v>155</v>
      </c>
      <c r="O209" s="2">
        <v>-3.7774100000000002</v>
      </c>
      <c r="P209" s="2">
        <v>208</v>
      </c>
    </row>
    <row r="210" spans="1:16" ht="12.3" x14ac:dyDescent="0.4">
      <c r="A210" s="2" t="s">
        <v>280</v>
      </c>
      <c r="B210" s="2"/>
      <c r="C210" s="2"/>
      <c r="D210" s="2"/>
      <c r="E210" s="2"/>
      <c r="F210" s="2"/>
      <c r="G210" s="2"/>
      <c r="H210" s="2"/>
      <c r="I210" s="2">
        <v>106.914</v>
      </c>
      <c r="J210" s="2">
        <v>127</v>
      </c>
      <c r="K210" s="2">
        <v>108.441</v>
      </c>
      <c r="L210" s="2">
        <v>280</v>
      </c>
      <c r="M210" s="2">
        <v>110.755</v>
      </c>
      <c r="N210" s="2">
        <v>296</v>
      </c>
      <c r="O210" s="2">
        <v>-3.8412199999999999</v>
      </c>
      <c r="P210" s="2">
        <v>209</v>
      </c>
    </row>
    <row r="211" spans="1:16" ht="12.3" x14ac:dyDescent="0.4">
      <c r="A211" s="2" t="s">
        <v>182</v>
      </c>
      <c r="B211" s="2"/>
      <c r="C211" s="2"/>
      <c r="D211" s="2"/>
      <c r="E211" s="2"/>
      <c r="F211" s="2"/>
      <c r="G211" s="2"/>
      <c r="H211" s="2"/>
      <c r="I211" s="2">
        <v>100.742</v>
      </c>
      <c r="J211" s="2">
        <v>242</v>
      </c>
      <c r="K211" s="2">
        <v>101.64</v>
      </c>
      <c r="L211" s="2">
        <v>131</v>
      </c>
      <c r="M211" s="2">
        <v>104.621</v>
      </c>
      <c r="N211" s="2">
        <v>173</v>
      </c>
      <c r="O211" s="2">
        <v>-3.8789500000000001</v>
      </c>
      <c r="P211" s="2">
        <v>210</v>
      </c>
    </row>
    <row r="212" spans="1:16" ht="12.3" x14ac:dyDescent="0.4">
      <c r="A212" s="2" t="s">
        <v>346</v>
      </c>
      <c r="B212" s="2"/>
      <c r="C212" s="2"/>
      <c r="D212" s="2"/>
      <c r="E212" s="2"/>
      <c r="F212" s="2"/>
      <c r="G212" s="2"/>
      <c r="H212" s="2"/>
      <c r="I212" s="2">
        <v>99.409700000000001</v>
      </c>
      <c r="J212" s="2">
        <v>264</v>
      </c>
      <c r="K212" s="2">
        <v>100.16800000000001</v>
      </c>
      <c r="L212" s="2">
        <v>88</v>
      </c>
      <c r="M212" s="2">
        <v>103.319</v>
      </c>
      <c r="N212" s="2">
        <v>152</v>
      </c>
      <c r="O212" s="2">
        <v>-3.9095399999999998</v>
      </c>
      <c r="P212" s="2">
        <v>211</v>
      </c>
    </row>
    <row r="213" spans="1:16" ht="12.3" x14ac:dyDescent="0.4">
      <c r="A213" s="2" t="s">
        <v>336</v>
      </c>
      <c r="B213" s="2"/>
      <c r="C213" s="2"/>
      <c r="D213" s="2"/>
      <c r="E213" s="2"/>
      <c r="F213" s="2"/>
      <c r="G213" s="2"/>
      <c r="H213" s="2"/>
      <c r="I213" s="2">
        <v>101.98</v>
      </c>
      <c r="J213" s="2">
        <v>220</v>
      </c>
      <c r="K213" s="2">
        <v>103.039</v>
      </c>
      <c r="L213" s="2">
        <v>164</v>
      </c>
      <c r="M213" s="2">
        <v>105.946</v>
      </c>
      <c r="N213" s="2">
        <v>197</v>
      </c>
      <c r="O213" s="2">
        <v>-3.9663200000000001</v>
      </c>
      <c r="P213" s="2">
        <v>212</v>
      </c>
    </row>
    <row r="214" spans="1:16" ht="12.3" x14ac:dyDescent="0.4">
      <c r="A214" s="2" t="s">
        <v>349</v>
      </c>
      <c r="B214" s="2">
        <v>16</v>
      </c>
      <c r="C214" s="2"/>
      <c r="D214" s="2"/>
      <c r="E214" s="2"/>
      <c r="F214" s="2"/>
      <c r="G214" s="2"/>
      <c r="H214" s="2"/>
      <c r="I214" s="2">
        <v>98.977500000000006</v>
      </c>
      <c r="J214" s="2">
        <v>270</v>
      </c>
      <c r="K214" s="2">
        <v>99.4208</v>
      </c>
      <c r="L214" s="2">
        <v>68</v>
      </c>
      <c r="M214" s="2">
        <v>103.211</v>
      </c>
      <c r="N214" s="2">
        <v>150</v>
      </c>
      <c r="O214" s="2">
        <v>-4.2331200000000004</v>
      </c>
      <c r="P214" s="2">
        <v>213</v>
      </c>
    </row>
    <row r="215" spans="1:16" ht="12.3" x14ac:dyDescent="0.4">
      <c r="A215" s="2" t="s">
        <v>374</v>
      </c>
      <c r="B215" s="2"/>
      <c r="C215" s="2"/>
      <c r="D215" s="2"/>
      <c r="E215" s="2"/>
      <c r="F215" s="2"/>
      <c r="G215" s="2"/>
      <c r="H215" s="2"/>
      <c r="I215" s="2">
        <v>104.76600000000001</v>
      </c>
      <c r="J215" s="2">
        <v>162</v>
      </c>
      <c r="K215" s="2">
        <v>107.199</v>
      </c>
      <c r="L215" s="2">
        <v>251</v>
      </c>
      <c r="M215" s="2">
        <v>109.011</v>
      </c>
      <c r="N215" s="2">
        <v>258</v>
      </c>
      <c r="O215" s="2">
        <v>-4.2444100000000002</v>
      </c>
      <c r="P215" s="2">
        <v>214</v>
      </c>
    </row>
    <row r="216" spans="1:16" ht="12.3" x14ac:dyDescent="0.4">
      <c r="A216" s="2" t="s">
        <v>245</v>
      </c>
      <c r="B216" s="2"/>
      <c r="C216" s="2"/>
      <c r="D216" s="2"/>
      <c r="E216" s="2"/>
      <c r="F216" s="2"/>
      <c r="G216" s="2"/>
      <c r="H216" s="2"/>
      <c r="I216" s="2">
        <v>98.367500000000007</v>
      </c>
      <c r="J216" s="2">
        <v>284</v>
      </c>
      <c r="K216" s="2">
        <v>103.569</v>
      </c>
      <c r="L216" s="2">
        <v>175</v>
      </c>
      <c r="M216" s="2">
        <v>102.673</v>
      </c>
      <c r="N216" s="2">
        <v>130</v>
      </c>
      <c r="O216" s="2">
        <v>-4.3057499999999997</v>
      </c>
      <c r="P216" s="2">
        <v>215</v>
      </c>
    </row>
    <row r="217" spans="1:16" ht="12.3" x14ac:dyDescent="0.4">
      <c r="A217" s="2" t="s">
        <v>278</v>
      </c>
      <c r="B217" s="2"/>
      <c r="C217" s="2"/>
      <c r="D217" s="2"/>
      <c r="E217" s="2"/>
      <c r="F217" s="2"/>
      <c r="G217" s="2"/>
      <c r="H217" s="2"/>
      <c r="I217" s="2">
        <v>100.167</v>
      </c>
      <c r="J217" s="2">
        <v>250</v>
      </c>
      <c r="K217" s="2">
        <v>104.48399999999999</v>
      </c>
      <c r="L217" s="2">
        <v>198</v>
      </c>
      <c r="M217" s="2">
        <v>104.495</v>
      </c>
      <c r="N217" s="2">
        <v>170</v>
      </c>
      <c r="O217" s="2">
        <v>-4.3282400000000001</v>
      </c>
      <c r="P217" s="2">
        <v>216</v>
      </c>
    </row>
    <row r="218" spans="1:16" ht="12.3" x14ac:dyDescent="0.4">
      <c r="A218" s="2" t="s">
        <v>178</v>
      </c>
      <c r="B218" s="2"/>
      <c r="C218" s="2"/>
      <c r="D218" s="2"/>
      <c r="E218" s="2"/>
      <c r="F218" s="2"/>
      <c r="G218" s="2"/>
      <c r="H218" s="2"/>
      <c r="I218" s="2">
        <v>98.495699999999999</v>
      </c>
      <c r="J218" s="2">
        <v>280</v>
      </c>
      <c r="K218" s="2">
        <v>100.89400000000001</v>
      </c>
      <c r="L218" s="2">
        <v>110</v>
      </c>
      <c r="M218" s="2">
        <v>103.105</v>
      </c>
      <c r="N218" s="2">
        <v>140</v>
      </c>
      <c r="O218" s="2">
        <v>-4.6091100000000003</v>
      </c>
      <c r="P218" s="2">
        <v>217</v>
      </c>
    </row>
    <row r="219" spans="1:16" ht="12.3" x14ac:dyDescent="0.4">
      <c r="A219" s="2" t="s">
        <v>357</v>
      </c>
      <c r="B219" s="2">
        <v>16</v>
      </c>
      <c r="C219" s="2"/>
      <c r="D219" s="2"/>
      <c r="E219" s="2"/>
      <c r="F219" s="2"/>
      <c r="G219" s="2"/>
      <c r="H219" s="2"/>
      <c r="I219" s="2">
        <v>97.850800000000007</v>
      </c>
      <c r="J219" s="2">
        <v>292</v>
      </c>
      <c r="K219" s="2">
        <v>97.791300000000007</v>
      </c>
      <c r="L219" s="2">
        <v>49</v>
      </c>
      <c r="M219" s="2">
        <v>102.60299999999999</v>
      </c>
      <c r="N219" s="2">
        <v>126</v>
      </c>
      <c r="O219" s="2">
        <v>-4.7523499999999999</v>
      </c>
      <c r="P219" s="2">
        <v>218</v>
      </c>
    </row>
    <row r="220" spans="1:16" ht="12.3" x14ac:dyDescent="0.4">
      <c r="A220" s="2" t="s">
        <v>264</v>
      </c>
      <c r="B220" s="2"/>
      <c r="C220" s="2"/>
      <c r="D220" s="2"/>
      <c r="E220" s="2"/>
      <c r="F220" s="2"/>
      <c r="G220" s="2"/>
      <c r="H220" s="2"/>
      <c r="I220" s="2">
        <v>100.072</v>
      </c>
      <c r="J220" s="2">
        <v>253</v>
      </c>
      <c r="K220" s="2">
        <v>101.93</v>
      </c>
      <c r="L220" s="2">
        <v>136</v>
      </c>
      <c r="M220" s="2">
        <v>104.931</v>
      </c>
      <c r="N220" s="2">
        <v>181</v>
      </c>
      <c r="O220" s="2">
        <v>-4.85832</v>
      </c>
      <c r="P220" s="2">
        <v>219</v>
      </c>
    </row>
    <row r="221" spans="1:16" ht="12.3" x14ac:dyDescent="0.4">
      <c r="A221" s="2" t="s">
        <v>200</v>
      </c>
      <c r="B221" s="2"/>
      <c r="C221" s="2"/>
      <c r="D221" s="2"/>
      <c r="E221" s="2"/>
      <c r="F221" s="2"/>
      <c r="G221" s="2"/>
      <c r="H221" s="2"/>
      <c r="I221" s="2">
        <v>98.864900000000006</v>
      </c>
      <c r="J221" s="2">
        <v>274</v>
      </c>
      <c r="K221" s="2">
        <v>104.73399999999999</v>
      </c>
      <c r="L221" s="2">
        <v>200</v>
      </c>
      <c r="M221" s="2">
        <v>104.038</v>
      </c>
      <c r="N221" s="2">
        <v>165</v>
      </c>
      <c r="O221" s="2">
        <v>-5.1726299999999998</v>
      </c>
      <c r="P221" s="2">
        <v>220</v>
      </c>
    </row>
    <row r="222" spans="1:16" ht="12.3" x14ac:dyDescent="0.4">
      <c r="A222" s="2" t="s">
        <v>250</v>
      </c>
      <c r="B222" s="2"/>
      <c r="C222" s="2"/>
      <c r="D222" s="2"/>
      <c r="E222" s="2"/>
      <c r="F222" s="2"/>
      <c r="G222" s="2"/>
      <c r="H222" s="2"/>
      <c r="I222" s="2">
        <v>101.892</v>
      </c>
      <c r="J222" s="2">
        <v>222</v>
      </c>
      <c r="K222" s="2">
        <v>104.864</v>
      </c>
      <c r="L222" s="2">
        <v>203</v>
      </c>
      <c r="M222" s="2">
        <v>107.08799999999999</v>
      </c>
      <c r="N222" s="2">
        <v>220</v>
      </c>
      <c r="O222" s="2">
        <v>-5.1961399999999998</v>
      </c>
      <c r="P222" s="2">
        <v>221</v>
      </c>
    </row>
    <row r="223" spans="1:16" ht="12.3" x14ac:dyDescent="0.4">
      <c r="A223" s="2" t="s">
        <v>304</v>
      </c>
      <c r="B223" s="2"/>
      <c r="C223" s="2"/>
      <c r="D223" s="2"/>
      <c r="E223" s="2"/>
      <c r="F223" s="2"/>
      <c r="G223" s="2"/>
      <c r="H223" s="2"/>
      <c r="I223" s="2">
        <v>101.182</v>
      </c>
      <c r="J223" s="2">
        <v>233</v>
      </c>
      <c r="K223" s="2">
        <v>103.905</v>
      </c>
      <c r="L223" s="2">
        <v>184</v>
      </c>
      <c r="M223" s="2">
        <v>106.53700000000001</v>
      </c>
      <c r="N223" s="2">
        <v>212</v>
      </c>
      <c r="O223" s="2">
        <v>-5.3548900000000001</v>
      </c>
      <c r="P223" s="2">
        <v>222</v>
      </c>
    </row>
    <row r="224" spans="1:16" ht="12.3" x14ac:dyDescent="0.4">
      <c r="A224" s="2" t="s">
        <v>191</v>
      </c>
      <c r="B224" s="2"/>
      <c r="C224" s="2"/>
      <c r="D224" s="2"/>
      <c r="E224" s="2"/>
      <c r="F224" s="2"/>
      <c r="G224" s="2"/>
      <c r="H224" s="2"/>
      <c r="I224" s="2">
        <v>102.43600000000001</v>
      </c>
      <c r="J224" s="2">
        <v>214</v>
      </c>
      <c r="K224" s="2">
        <v>106.985</v>
      </c>
      <c r="L224" s="2">
        <v>247</v>
      </c>
      <c r="M224" s="2">
        <v>107.827</v>
      </c>
      <c r="N224" s="2">
        <v>234</v>
      </c>
      <c r="O224" s="2">
        <v>-5.3912599999999999</v>
      </c>
      <c r="P224" s="2">
        <v>223</v>
      </c>
    </row>
    <row r="225" spans="1:16" ht="12.3" x14ac:dyDescent="0.4">
      <c r="A225" s="2" t="s">
        <v>204</v>
      </c>
      <c r="B225" s="2"/>
      <c r="C225" s="3"/>
      <c r="D225" s="3"/>
      <c r="E225" s="2"/>
      <c r="F225" s="2"/>
      <c r="G225" s="2"/>
      <c r="H225" s="2"/>
      <c r="I225" s="2">
        <v>104.14400000000001</v>
      </c>
      <c r="J225" s="2">
        <v>176</v>
      </c>
      <c r="K225" s="2">
        <v>108.637</v>
      </c>
      <c r="L225" s="2">
        <v>286</v>
      </c>
      <c r="M225" s="2">
        <v>109.587</v>
      </c>
      <c r="N225" s="2">
        <v>272</v>
      </c>
      <c r="O225" s="2">
        <v>-5.4427700000000003</v>
      </c>
      <c r="P225" s="2">
        <v>224</v>
      </c>
    </row>
    <row r="226" spans="1:16" ht="12.3" x14ac:dyDescent="0.4">
      <c r="A226" s="2" t="s">
        <v>282</v>
      </c>
      <c r="B226" s="2"/>
      <c r="C226" s="2"/>
      <c r="D226" s="2"/>
      <c r="E226" s="2"/>
      <c r="F226" s="2"/>
      <c r="G226" s="2"/>
      <c r="H226" s="2"/>
      <c r="I226" s="2">
        <v>96.730999999999995</v>
      </c>
      <c r="J226" s="2">
        <v>307</v>
      </c>
      <c r="K226" s="2">
        <v>99.301699999999997</v>
      </c>
      <c r="L226" s="2">
        <v>67</v>
      </c>
      <c r="M226" s="2">
        <v>102.223</v>
      </c>
      <c r="N226" s="2">
        <v>119</v>
      </c>
      <c r="O226" s="2">
        <v>-5.4921199999999999</v>
      </c>
      <c r="P226" s="2">
        <v>225</v>
      </c>
    </row>
    <row r="227" spans="1:16" ht="12.3" x14ac:dyDescent="0.4">
      <c r="A227" s="2" t="s">
        <v>266</v>
      </c>
      <c r="B227" s="2"/>
      <c r="C227" s="2"/>
      <c r="D227" s="2"/>
      <c r="E227" s="2"/>
      <c r="F227" s="2"/>
      <c r="G227" s="2"/>
      <c r="H227" s="2"/>
      <c r="I227" s="2">
        <v>103.238</v>
      </c>
      <c r="J227" s="2">
        <v>193</v>
      </c>
      <c r="K227" s="2">
        <v>103.68</v>
      </c>
      <c r="L227" s="2">
        <v>177</v>
      </c>
      <c r="M227" s="2">
        <v>108.82</v>
      </c>
      <c r="N227" s="2">
        <v>254</v>
      </c>
      <c r="O227" s="2">
        <v>-5.5824600000000002</v>
      </c>
      <c r="P227" s="2">
        <v>226</v>
      </c>
    </row>
    <row r="228" spans="1:16" ht="12.3" x14ac:dyDescent="0.4">
      <c r="A228" s="2" t="s">
        <v>188</v>
      </c>
      <c r="B228" s="2"/>
      <c r="C228" s="2"/>
      <c r="D228" s="2"/>
      <c r="E228" s="2"/>
      <c r="F228" s="2"/>
      <c r="G228" s="2"/>
      <c r="H228" s="2"/>
      <c r="I228" s="2">
        <v>104.57599999999999</v>
      </c>
      <c r="J228" s="2">
        <v>165</v>
      </c>
      <c r="K228" s="2">
        <v>108.32899999999999</v>
      </c>
      <c r="L228" s="2">
        <v>276</v>
      </c>
      <c r="M228" s="2">
        <v>110.169</v>
      </c>
      <c r="N228" s="2">
        <v>289</v>
      </c>
      <c r="O228" s="2">
        <v>-5.5929599999999997</v>
      </c>
      <c r="P228" s="2">
        <v>227</v>
      </c>
    </row>
    <row r="229" spans="1:16" ht="12.3" x14ac:dyDescent="0.4">
      <c r="A229" s="2" t="s">
        <v>367</v>
      </c>
      <c r="B229" s="2"/>
      <c r="C229" s="2"/>
      <c r="D229" s="2"/>
      <c r="E229" s="2"/>
      <c r="F229" s="2"/>
      <c r="G229" s="2"/>
      <c r="H229" s="2"/>
      <c r="I229" s="2">
        <v>105.28100000000001</v>
      </c>
      <c r="J229" s="2">
        <v>155</v>
      </c>
      <c r="K229" s="2">
        <v>109.428</v>
      </c>
      <c r="L229" s="2">
        <v>302</v>
      </c>
      <c r="M229" s="2">
        <v>111.214</v>
      </c>
      <c r="N229" s="2">
        <v>301</v>
      </c>
      <c r="O229" s="2">
        <v>-5.93309</v>
      </c>
      <c r="P229" s="2">
        <v>228</v>
      </c>
    </row>
    <row r="230" spans="1:16" ht="12.3" x14ac:dyDescent="0.4">
      <c r="A230" s="2" t="s">
        <v>303</v>
      </c>
      <c r="B230" s="2"/>
      <c r="C230" s="2"/>
      <c r="D230" s="2"/>
      <c r="E230" s="2"/>
      <c r="F230" s="2"/>
      <c r="G230" s="2"/>
      <c r="H230" s="2"/>
      <c r="I230" s="2">
        <v>103.254</v>
      </c>
      <c r="J230" s="2">
        <v>191</v>
      </c>
      <c r="K230" s="2">
        <v>107.048</v>
      </c>
      <c r="L230" s="2">
        <v>248</v>
      </c>
      <c r="M230" s="2">
        <v>109.249</v>
      </c>
      <c r="N230" s="2">
        <v>266</v>
      </c>
      <c r="O230" s="2">
        <v>-5.9948800000000002</v>
      </c>
      <c r="P230" s="2">
        <v>229</v>
      </c>
    </row>
    <row r="231" spans="1:16" ht="12.3" x14ac:dyDescent="0.4">
      <c r="A231" s="2" t="s">
        <v>235</v>
      </c>
      <c r="B231" s="2"/>
      <c r="C231" s="2"/>
      <c r="D231" s="2"/>
      <c r="E231" s="2"/>
      <c r="F231" s="2"/>
      <c r="G231" s="2"/>
      <c r="H231" s="2"/>
      <c r="I231" s="2">
        <v>111.557</v>
      </c>
      <c r="J231" s="2">
        <v>56</v>
      </c>
      <c r="K231" s="2">
        <v>115.056</v>
      </c>
      <c r="L231" s="2">
        <v>343</v>
      </c>
      <c r="M231" s="2">
        <v>117.58199999999999</v>
      </c>
      <c r="N231" s="2">
        <v>345</v>
      </c>
      <c r="O231" s="2">
        <v>-6.0256100000000004</v>
      </c>
      <c r="P231" s="2">
        <v>230</v>
      </c>
    </row>
    <row r="232" spans="1:16" ht="12.3" x14ac:dyDescent="0.4">
      <c r="A232" s="2" t="s">
        <v>328</v>
      </c>
      <c r="B232" s="2"/>
      <c r="C232" s="2"/>
      <c r="D232" s="2"/>
      <c r="E232" s="2"/>
      <c r="F232" s="2"/>
      <c r="G232" s="2"/>
      <c r="H232" s="2"/>
      <c r="I232" s="2">
        <v>97.818299999999994</v>
      </c>
      <c r="J232" s="2">
        <v>293</v>
      </c>
      <c r="K232" s="2">
        <v>99.5685</v>
      </c>
      <c r="L232" s="2">
        <v>72</v>
      </c>
      <c r="M232" s="2">
        <v>103.855</v>
      </c>
      <c r="N232" s="2">
        <v>162</v>
      </c>
      <c r="O232" s="2">
        <v>-6.0364199999999997</v>
      </c>
      <c r="P232" s="2">
        <v>231</v>
      </c>
    </row>
    <row r="233" spans="1:16" ht="12.3" x14ac:dyDescent="0.4">
      <c r="A233" s="2" t="s">
        <v>271</v>
      </c>
      <c r="B233" s="2"/>
      <c r="C233" s="2"/>
      <c r="D233" s="2"/>
      <c r="E233" s="2"/>
      <c r="F233" s="2"/>
      <c r="G233" s="2"/>
      <c r="H233" s="2"/>
      <c r="I233" s="2">
        <v>100.985</v>
      </c>
      <c r="J233" s="2">
        <v>235</v>
      </c>
      <c r="K233" s="2">
        <v>105.04</v>
      </c>
      <c r="L233" s="2">
        <v>206</v>
      </c>
      <c r="M233" s="2">
        <v>107.18</v>
      </c>
      <c r="N233" s="2">
        <v>222</v>
      </c>
      <c r="O233" s="2">
        <v>-6.1951999999999998</v>
      </c>
      <c r="P233" s="2">
        <v>232</v>
      </c>
    </row>
    <row r="234" spans="1:16" ht="12.3" x14ac:dyDescent="0.4">
      <c r="A234" s="2" t="s">
        <v>68</v>
      </c>
      <c r="B234" s="2"/>
      <c r="C234" s="2"/>
      <c r="D234" s="2"/>
      <c r="E234" s="2"/>
      <c r="F234" s="2"/>
      <c r="G234" s="2"/>
      <c r="H234" s="2"/>
      <c r="I234" s="2">
        <v>102.934</v>
      </c>
      <c r="J234" s="2">
        <v>199</v>
      </c>
      <c r="K234" s="2">
        <v>106.88</v>
      </c>
      <c r="L234" s="2">
        <v>245</v>
      </c>
      <c r="M234" s="2">
        <v>109.143</v>
      </c>
      <c r="N234" s="2">
        <v>264</v>
      </c>
      <c r="O234" s="2">
        <v>-6.2084599999999996</v>
      </c>
      <c r="P234" s="2">
        <v>233</v>
      </c>
    </row>
    <row r="235" spans="1:16" ht="12.3" x14ac:dyDescent="0.4">
      <c r="A235" s="2" t="s">
        <v>225</v>
      </c>
      <c r="B235" s="2"/>
      <c r="C235" s="2"/>
      <c r="D235" s="2"/>
      <c r="E235" s="2"/>
      <c r="F235" s="2"/>
      <c r="G235" s="2"/>
      <c r="H235" s="2"/>
      <c r="I235" s="2">
        <v>97.2179</v>
      </c>
      <c r="J235" s="2">
        <v>299</v>
      </c>
      <c r="K235" s="2">
        <v>100.08499999999999</v>
      </c>
      <c r="L235" s="2">
        <v>84</v>
      </c>
      <c r="M235" s="2">
        <v>103.464</v>
      </c>
      <c r="N235" s="2">
        <v>159</v>
      </c>
      <c r="O235" s="2">
        <v>-6.2462900000000001</v>
      </c>
      <c r="P235" s="2">
        <v>234</v>
      </c>
    </row>
    <row r="236" spans="1:16" ht="12.3" x14ac:dyDescent="0.4">
      <c r="A236" s="2" t="s">
        <v>63</v>
      </c>
      <c r="B236" s="2"/>
      <c r="C236" s="2"/>
      <c r="D236" s="2"/>
      <c r="E236" s="2"/>
      <c r="F236" s="2"/>
      <c r="G236" s="2"/>
      <c r="H236" s="2"/>
      <c r="I236" s="2">
        <v>103.102</v>
      </c>
      <c r="J236" s="2">
        <v>195</v>
      </c>
      <c r="K236" s="2">
        <v>107.443</v>
      </c>
      <c r="L236" s="2">
        <v>254</v>
      </c>
      <c r="M236" s="2">
        <v>109.384</v>
      </c>
      <c r="N236" s="2">
        <v>268</v>
      </c>
      <c r="O236" s="2">
        <v>-6.2825100000000003</v>
      </c>
      <c r="P236" s="2">
        <v>235</v>
      </c>
    </row>
    <row r="237" spans="1:16" ht="12.3" x14ac:dyDescent="0.4">
      <c r="A237" s="2" t="s">
        <v>138</v>
      </c>
      <c r="B237" s="2"/>
      <c r="C237" s="2"/>
      <c r="D237" s="2"/>
      <c r="E237" s="2"/>
      <c r="F237" s="2"/>
      <c r="G237" s="2"/>
      <c r="H237" s="2"/>
      <c r="I237" s="2">
        <v>104.389</v>
      </c>
      <c r="J237" s="2">
        <v>170</v>
      </c>
      <c r="K237" s="2">
        <v>112.167</v>
      </c>
      <c r="L237" s="2">
        <v>331</v>
      </c>
      <c r="M237" s="2">
        <v>110.691</v>
      </c>
      <c r="N237" s="2">
        <v>294</v>
      </c>
      <c r="O237" s="2">
        <v>-6.3025700000000002</v>
      </c>
      <c r="P237" s="2">
        <v>236</v>
      </c>
    </row>
    <row r="238" spans="1:16" ht="12.3" x14ac:dyDescent="0.4">
      <c r="A238" s="2" t="s">
        <v>287</v>
      </c>
      <c r="B238" s="2"/>
      <c r="C238" s="2"/>
      <c r="D238" s="2"/>
      <c r="E238" s="2"/>
      <c r="F238" s="2"/>
      <c r="G238" s="2"/>
      <c r="H238" s="2"/>
      <c r="I238" s="2">
        <v>98.775000000000006</v>
      </c>
      <c r="J238" s="2">
        <v>275</v>
      </c>
      <c r="K238" s="2">
        <v>103.727</v>
      </c>
      <c r="L238" s="2">
        <v>181</v>
      </c>
      <c r="M238" s="2">
        <v>105.154</v>
      </c>
      <c r="N238" s="2">
        <v>184</v>
      </c>
      <c r="O238" s="2">
        <v>-6.3787000000000003</v>
      </c>
      <c r="P238" s="2">
        <v>237</v>
      </c>
    </row>
    <row r="239" spans="1:16" ht="12.3" x14ac:dyDescent="0.4">
      <c r="A239" s="2" t="s">
        <v>161</v>
      </c>
      <c r="B239" s="2"/>
      <c r="C239" s="2"/>
      <c r="D239" s="2"/>
      <c r="E239" s="2"/>
      <c r="F239" s="2"/>
      <c r="G239" s="2"/>
      <c r="H239" s="2"/>
      <c r="I239" s="2">
        <v>102.59099999999999</v>
      </c>
      <c r="J239" s="2">
        <v>207</v>
      </c>
      <c r="K239" s="2">
        <v>109.301</v>
      </c>
      <c r="L239" s="2">
        <v>300</v>
      </c>
      <c r="M239" s="2">
        <v>109.017</v>
      </c>
      <c r="N239" s="2">
        <v>260</v>
      </c>
      <c r="O239" s="2">
        <v>-6.4259899999999996</v>
      </c>
      <c r="P239" s="2">
        <v>238</v>
      </c>
    </row>
    <row r="240" spans="1:16" ht="12.3" x14ac:dyDescent="0.4">
      <c r="A240" s="2" t="s">
        <v>314</v>
      </c>
      <c r="B240" s="2"/>
      <c r="C240" s="3"/>
      <c r="D240" s="3"/>
      <c r="E240" s="2"/>
      <c r="F240" s="2"/>
      <c r="G240" s="2"/>
      <c r="H240" s="2"/>
      <c r="I240" s="2">
        <v>98.381699999999995</v>
      </c>
      <c r="J240" s="2">
        <v>282</v>
      </c>
      <c r="K240" s="2">
        <v>100.889</v>
      </c>
      <c r="L240" s="2">
        <v>109</v>
      </c>
      <c r="M240" s="2">
        <v>104.81699999999999</v>
      </c>
      <c r="N240" s="2">
        <v>178</v>
      </c>
      <c r="O240" s="2">
        <v>-6.4355599999999997</v>
      </c>
      <c r="P240" s="2">
        <v>239</v>
      </c>
    </row>
    <row r="241" spans="1:16" ht="12.3" x14ac:dyDescent="0.4">
      <c r="A241" s="2" t="s">
        <v>388</v>
      </c>
      <c r="B241" s="2"/>
      <c r="C241" s="2"/>
      <c r="D241" s="2"/>
      <c r="E241" s="2"/>
      <c r="F241" s="2"/>
      <c r="G241" s="2"/>
      <c r="H241" s="2"/>
      <c r="I241" s="2">
        <v>98.326300000000003</v>
      </c>
      <c r="J241" s="2">
        <v>285</v>
      </c>
      <c r="K241" s="2">
        <v>103.899</v>
      </c>
      <c r="L241" s="2">
        <v>183</v>
      </c>
      <c r="M241" s="2">
        <v>104.92700000000001</v>
      </c>
      <c r="N241" s="2">
        <v>180</v>
      </c>
      <c r="O241" s="2">
        <v>-6.601</v>
      </c>
      <c r="P241" s="2">
        <v>240</v>
      </c>
    </row>
    <row r="242" spans="1:16" ht="12.3" x14ac:dyDescent="0.4">
      <c r="A242" s="2" t="s">
        <v>126</v>
      </c>
      <c r="B242" s="2"/>
      <c r="C242" s="2"/>
      <c r="D242" s="2"/>
      <c r="E242" s="2"/>
      <c r="F242" s="2"/>
      <c r="G242" s="2"/>
      <c r="H242" s="2"/>
      <c r="I242" s="2">
        <v>99.610900000000001</v>
      </c>
      <c r="J242" s="2">
        <v>262</v>
      </c>
      <c r="K242" s="2">
        <v>106.587</v>
      </c>
      <c r="L242" s="2">
        <v>240</v>
      </c>
      <c r="M242" s="2">
        <v>106.283</v>
      </c>
      <c r="N242" s="2">
        <v>204</v>
      </c>
      <c r="O242" s="2">
        <v>-6.6722400000000004</v>
      </c>
      <c r="P242" s="2">
        <v>241</v>
      </c>
    </row>
    <row r="243" spans="1:16" ht="12.3" x14ac:dyDescent="0.4">
      <c r="A243" s="2" t="s">
        <v>163</v>
      </c>
      <c r="B243" s="2"/>
      <c r="C243" s="2"/>
      <c r="D243" s="2"/>
      <c r="E243" s="2"/>
      <c r="F243" s="2"/>
      <c r="G243" s="2"/>
      <c r="H243" s="2"/>
      <c r="I243" s="2">
        <v>102.977</v>
      </c>
      <c r="J243" s="2">
        <v>196</v>
      </c>
      <c r="K243" s="2">
        <v>107.50700000000001</v>
      </c>
      <c r="L243" s="2">
        <v>257</v>
      </c>
      <c r="M243" s="2">
        <v>109.69499999999999</v>
      </c>
      <c r="N243" s="2">
        <v>276</v>
      </c>
      <c r="O243" s="2">
        <v>-6.7177300000000004</v>
      </c>
      <c r="P243" s="2">
        <v>242</v>
      </c>
    </row>
    <row r="244" spans="1:16" ht="12.3" x14ac:dyDescent="0.4">
      <c r="A244" s="2" t="s">
        <v>222</v>
      </c>
      <c r="B244" s="2"/>
      <c r="C244" s="2"/>
      <c r="D244" s="2"/>
      <c r="E244" s="2"/>
      <c r="F244" s="2"/>
      <c r="G244" s="2"/>
      <c r="H244" s="2"/>
      <c r="I244" s="2">
        <v>96.365200000000002</v>
      </c>
      <c r="J244" s="2">
        <v>312</v>
      </c>
      <c r="K244" s="2">
        <v>103.047</v>
      </c>
      <c r="L244" s="2">
        <v>165</v>
      </c>
      <c r="M244" s="2">
        <v>103.17400000000001</v>
      </c>
      <c r="N244" s="2">
        <v>145</v>
      </c>
      <c r="O244" s="2">
        <v>-6.80863</v>
      </c>
      <c r="P244" s="2">
        <v>243</v>
      </c>
    </row>
    <row r="245" spans="1:16" ht="12.3" x14ac:dyDescent="0.4">
      <c r="A245" s="2" t="s">
        <v>269</v>
      </c>
      <c r="B245" s="2"/>
      <c r="C245" s="2"/>
      <c r="D245" s="2"/>
      <c r="E245" s="2"/>
      <c r="F245" s="2"/>
      <c r="G245" s="2"/>
      <c r="H245" s="2"/>
      <c r="I245" s="2">
        <v>104.18300000000001</v>
      </c>
      <c r="J245" s="2">
        <v>175</v>
      </c>
      <c r="K245" s="2">
        <v>107.542</v>
      </c>
      <c r="L245" s="2">
        <v>261</v>
      </c>
      <c r="M245" s="2">
        <v>111</v>
      </c>
      <c r="N245" s="2">
        <v>299</v>
      </c>
      <c r="O245" s="2">
        <v>-6.8161800000000001</v>
      </c>
      <c r="P245" s="2">
        <v>244</v>
      </c>
    </row>
    <row r="246" spans="1:16" ht="12.3" x14ac:dyDescent="0.4">
      <c r="A246" s="2" t="s">
        <v>144</v>
      </c>
      <c r="B246" s="2"/>
      <c r="C246" s="2"/>
      <c r="D246" s="2"/>
      <c r="E246" s="2"/>
      <c r="F246" s="2"/>
      <c r="G246" s="2"/>
      <c r="H246" s="2"/>
      <c r="I246" s="2">
        <v>100.926</v>
      </c>
      <c r="J246" s="2">
        <v>238</v>
      </c>
      <c r="K246" s="2">
        <v>104.238</v>
      </c>
      <c r="L246" s="2">
        <v>194</v>
      </c>
      <c r="M246" s="2">
        <v>107.85899999999999</v>
      </c>
      <c r="N246" s="2">
        <v>237</v>
      </c>
      <c r="O246" s="2">
        <v>-6.9325799999999997</v>
      </c>
      <c r="P246" s="2">
        <v>245</v>
      </c>
    </row>
    <row r="247" spans="1:16" ht="12.3" x14ac:dyDescent="0.4">
      <c r="A247" s="2" t="s">
        <v>215</v>
      </c>
      <c r="B247" s="2"/>
      <c r="C247" s="2"/>
      <c r="D247" s="2"/>
      <c r="E247" s="2"/>
      <c r="F247" s="2"/>
      <c r="G247" s="2"/>
      <c r="H247" s="2"/>
      <c r="I247" s="2">
        <v>100.931</v>
      </c>
      <c r="J247" s="2">
        <v>237</v>
      </c>
      <c r="K247" s="2">
        <v>101.246</v>
      </c>
      <c r="L247" s="2">
        <v>119</v>
      </c>
      <c r="M247" s="2">
        <v>108.063</v>
      </c>
      <c r="N247" s="2">
        <v>240</v>
      </c>
      <c r="O247" s="2">
        <v>-7.1318299999999999</v>
      </c>
      <c r="P247" s="2">
        <v>246</v>
      </c>
    </row>
    <row r="248" spans="1:16" ht="12.3" x14ac:dyDescent="0.4">
      <c r="A248" s="2" t="s">
        <v>210</v>
      </c>
      <c r="B248" s="2"/>
      <c r="C248" s="2"/>
      <c r="D248" s="2"/>
      <c r="E248" s="2"/>
      <c r="F248" s="2"/>
      <c r="G248" s="2"/>
      <c r="H248" s="2"/>
      <c r="I248" s="2">
        <v>102.85</v>
      </c>
      <c r="J248" s="2">
        <v>203</v>
      </c>
      <c r="K248" s="2">
        <v>109.42400000000001</v>
      </c>
      <c r="L248" s="2">
        <v>301</v>
      </c>
      <c r="M248" s="2">
        <v>110.009</v>
      </c>
      <c r="N248" s="2">
        <v>285</v>
      </c>
      <c r="O248" s="2">
        <v>-7.1590199999999999</v>
      </c>
      <c r="P248" s="2">
        <v>247</v>
      </c>
    </row>
    <row r="249" spans="1:16" ht="12.3" x14ac:dyDescent="0.4">
      <c r="A249" s="2" t="s">
        <v>89</v>
      </c>
      <c r="B249" s="2"/>
      <c r="C249" s="2"/>
      <c r="D249" s="2"/>
      <c r="E249" s="2"/>
      <c r="F249" s="2"/>
      <c r="G249" s="2"/>
      <c r="H249" s="2"/>
      <c r="I249" s="2">
        <v>100.03400000000001</v>
      </c>
      <c r="J249" s="2">
        <v>255</v>
      </c>
      <c r="K249" s="2">
        <v>105.822</v>
      </c>
      <c r="L249" s="2">
        <v>224</v>
      </c>
      <c r="M249" s="2">
        <v>107.242</v>
      </c>
      <c r="N249" s="2">
        <v>225</v>
      </c>
      <c r="O249" s="2">
        <v>-7.2080099999999998</v>
      </c>
      <c r="P249" s="2">
        <v>248</v>
      </c>
    </row>
    <row r="250" spans="1:16" ht="12.3" x14ac:dyDescent="0.4">
      <c r="A250" s="2" t="s">
        <v>109</v>
      </c>
      <c r="B250" s="2"/>
      <c r="C250" s="2"/>
      <c r="D250" s="2"/>
      <c r="E250" s="2"/>
      <c r="F250" s="2"/>
      <c r="G250" s="2"/>
      <c r="H250" s="2"/>
      <c r="I250" s="2">
        <v>98.148899999999998</v>
      </c>
      <c r="J250" s="2">
        <v>287</v>
      </c>
      <c r="K250" s="2">
        <v>105.664</v>
      </c>
      <c r="L250" s="2">
        <v>221</v>
      </c>
      <c r="M250" s="2">
        <v>105.407</v>
      </c>
      <c r="N250" s="2">
        <v>190</v>
      </c>
      <c r="O250" s="2">
        <v>-7.2580299999999998</v>
      </c>
      <c r="P250" s="2">
        <v>249</v>
      </c>
    </row>
    <row r="251" spans="1:16" ht="12.3" x14ac:dyDescent="0.4">
      <c r="A251" s="2" t="s">
        <v>361</v>
      </c>
      <c r="B251" s="2"/>
      <c r="C251" s="2"/>
      <c r="D251" s="2"/>
      <c r="E251" s="2"/>
      <c r="F251" s="2"/>
      <c r="G251" s="2"/>
      <c r="H251" s="2"/>
      <c r="I251" s="2">
        <v>102.59</v>
      </c>
      <c r="J251" s="2">
        <v>208</v>
      </c>
      <c r="K251" s="2">
        <v>108.559</v>
      </c>
      <c r="L251" s="2">
        <v>282</v>
      </c>
      <c r="M251" s="2">
        <v>109.873</v>
      </c>
      <c r="N251" s="2">
        <v>280</v>
      </c>
      <c r="O251" s="2">
        <v>-7.2824600000000004</v>
      </c>
      <c r="P251" s="2">
        <v>250</v>
      </c>
    </row>
    <row r="252" spans="1:16" ht="12.3" x14ac:dyDescent="0.4">
      <c r="A252" s="2" t="s">
        <v>340</v>
      </c>
      <c r="B252" s="2"/>
      <c r="C252" s="2"/>
      <c r="D252" s="2"/>
      <c r="E252" s="2"/>
      <c r="F252" s="2"/>
      <c r="G252" s="2"/>
      <c r="H252" s="2"/>
      <c r="I252" s="2">
        <v>98.652299999999997</v>
      </c>
      <c r="J252" s="2">
        <v>278</v>
      </c>
      <c r="K252" s="2">
        <v>102.313</v>
      </c>
      <c r="L252" s="2">
        <v>144</v>
      </c>
      <c r="M252" s="2">
        <v>105.964</v>
      </c>
      <c r="N252" s="2">
        <v>198</v>
      </c>
      <c r="O252" s="2">
        <v>-7.31175</v>
      </c>
      <c r="P252" s="2">
        <v>251</v>
      </c>
    </row>
    <row r="253" spans="1:16" ht="12.3" x14ac:dyDescent="0.4">
      <c r="A253" s="2" t="s">
        <v>185</v>
      </c>
      <c r="B253" s="2"/>
      <c r="C253" s="2"/>
      <c r="D253" s="2"/>
      <c r="E253" s="2"/>
      <c r="F253" s="2"/>
      <c r="G253" s="2"/>
      <c r="H253" s="2"/>
      <c r="I253" s="2">
        <v>95.084400000000002</v>
      </c>
      <c r="J253" s="2">
        <v>324</v>
      </c>
      <c r="K253" s="2">
        <v>100.233</v>
      </c>
      <c r="L253" s="2">
        <v>90</v>
      </c>
      <c r="M253" s="2">
        <v>102.628</v>
      </c>
      <c r="N253" s="2">
        <v>128</v>
      </c>
      <c r="O253" s="2">
        <v>-7.5433300000000001</v>
      </c>
      <c r="P253" s="2">
        <v>252</v>
      </c>
    </row>
    <row r="254" spans="1:16" ht="12.3" x14ac:dyDescent="0.4">
      <c r="A254" s="2" t="s">
        <v>363</v>
      </c>
      <c r="B254" s="2"/>
      <c r="C254" s="2"/>
      <c r="D254" s="2"/>
      <c r="E254" s="2"/>
      <c r="F254" s="2"/>
      <c r="G254" s="2"/>
      <c r="H254" s="2"/>
      <c r="I254" s="2">
        <v>101.78100000000001</v>
      </c>
      <c r="J254" s="2">
        <v>223</v>
      </c>
      <c r="K254" s="2">
        <v>110.349</v>
      </c>
      <c r="L254" s="2">
        <v>321</v>
      </c>
      <c r="M254" s="2">
        <v>109.35</v>
      </c>
      <c r="N254" s="2">
        <v>267</v>
      </c>
      <c r="O254" s="2">
        <v>-7.5687100000000003</v>
      </c>
      <c r="P254" s="2">
        <v>253</v>
      </c>
    </row>
    <row r="255" spans="1:16" ht="12.3" x14ac:dyDescent="0.4">
      <c r="A255" s="2" t="s">
        <v>343</v>
      </c>
      <c r="B255" s="2"/>
      <c r="C255" s="2"/>
      <c r="D255" s="2"/>
      <c r="E255" s="2"/>
      <c r="F255" s="2"/>
      <c r="G255" s="2"/>
      <c r="H255" s="2"/>
      <c r="I255" s="2">
        <v>100.04</v>
      </c>
      <c r="J255" s="2">
        <v>254</v>
      </c>
      <c r="K255" s="2">
        <v>101.072</v>
      </c>
      <c r="L255" s="2">
        <v>115</v>
      </c>
      <c r="M255" s="2">
        <v>107.70099999999999</v>
      </c>
      <c r="N255" s="2">
        <v>232</v>
      </c>
      <c r="O255" s="2">
        <v>-7.6608900000000002</v>
      </c>
      <c r="P255" s="2">
        <v>254</v>
      </c>
    </row>
    <row r="256" spans="1:16" ht="12.3" x14ac:dyDescent="0.4">
      <c r="A256" s="2" t="s">
        <v>332</v>
      </c>
      <c r="B256" s="2"/>
      <c r="C256" s="2"/>
      <c r="D256" s="2"/>
      <c r="E256" s="2"/>
      <c r="F256" s="2"/>
      <c r="G256" s="2"/>
      <c r="H256" s="2"/>
      <c r="I256" s="2">
        <v>102.011</v>
      </c>
      <c r="J256" s="2">
        <v>219</v>
      </c>
      <c r="K256" s="2">
        <v>104.264</v>
      </c>
      <c r="L256" s="2">
        <v>195</v>
      </c>
      <c r="M256" s="2">
        <v>109.93899999999999</v>
      </c>
      <c r="N256" s="2">
        <v>282</v>
      </c>
      <c r="O256" s="2">
        <v>-7.9282300000000001</v>
      </c>
      <c r="P256" s="2">
        <v>255</v>
      </c>
    </row>
    <row r="257" spans="1:16" ht="12.3" x14ac:dyDescent="0.4">
      <c r="A257" s="2" t="s">
        <v>133</v>
      </c>
      <c r="B257" s="2"/>
      <c r="C257" s="2"/>
      <c r="D257" s="2"/>
      <c r="E257" s="2"/>
      <c r="F257" s="2"/>
      <c r="G257" s="2"/>
      <c r="H257" s="2"/>
      <c r="I257" s="2">
        <v>100.125</v>
      </c>
      <c r="J257" s="2">
        <v>252</v>
      </c>
      <c r="K257" s="2">
        <v>108.11</v>
      </c>
      <c r="L257" s="2">
        <v>270</v>
      </c>
      <c r="M257" s="2">
        <v>108.20699999999999</v>
      </c>
      <c r="N257" s="2">
        <v>243</v>
      </c>
      <c r="O257" s="2">
        <v>-8.0815800000000007</v>
      </c>
      <c r="P257" s="2">
        <v>256</v>
      </c>
    </row>
    <row r="258" spans="1:16" ht="12.3" x14ac:dyDescent="0.4">
      <c r="A258" s="2" t="s">
        <v>114</v>
      </c>
      <c r="B258" s="2"/>
      <c r="C258" s="2"/>
      <c r="D258" s="2"/>
      <c r="E258" s="2"/>
      <c r="F258" s="2"/>
      <c r="G258" s="2"/>
      <c r="H258" s="2"/>
      <c r="I258" s="2">
        <v>98.875500000000002</v>
      </c>
      <c r="J258" s="2">
        <v>272</v>
      </c>
      <c r="K258" s="2">
        <v>105.19499999999999</v>
      </c>
      <c r="L258" s="2">
        <v>211</v>
      </c>
      <c r="M258" s="2">
        <v>107.001</v>
      </c>
      <c r="N258" s="2">
        <v>218</v>
      </c>
      <c r="O258" s="2">
        <v>-8.1251300000000004</v>
      </c>
      <c r="P258" s="2">
        <v>257</v>
      </c>
    </row>
    <row r="259" spans="1:16" ht="12.3" x14ac:dyDescent="0.4">
      <c r="A259" s="2" t="s">
        <v>194</v>
      </c>
      <c r="B259" s="2"/>
      <c r="C259" s="2"/>
      <c r="D259" s="2"/>
      <c r="E259" s="2"/>
      <c r="F259" s="2"/>
      <c r="G259" s="2"/>
      <c r="H259" s="2"/>
      <c r="I259" s="2">
        <v>101.254</v>
      </c>
      <c r="J259" s="2">
        <v>230</v>
      </c>
      <c r="K259" s="2">
        <v>107.48399999999999</v>
      </c>
      <c r="L259" s="2">
        <v>256</v>
      </c>
      <c r="M259" s="2">
        <v>109.393</v>
      </c>
      <c r="N259" s="2">
        <v>269</v>
      </c>
      <c r="O259" s="2">
        <v>-8.1396099999999993</v>
      </c>
      <c r="P259" s="2">
        <v>258</v>
      </c>
    </row>
    <row r="260" spans="1:16" ht="12.3" x14ac:dyDescent="0.4">
      <c r="A260" s="2" t="s">
        <v>193</v>
      </c>
      <c r="B260" s="2"/>
      <c r="C260" s="2"/>
      <c r="D260" s="2"/>
      <c r="E260" s="2"/>
      <c r="F260" s="2"/>
      <c r="G260" s="2"/>
      <c r="H260" s="2"/>
      <c r="I260" s="2">
        <v>98.3001</v>
      </c>
      <c r="J260" s="2">
        <v>286</v>
      </c>
      <c r="K260" s="2">
        <v>105.086</v>
      </c>
      <c r="L260" s="2">
        <v>207</v>
      </c>
      <c r="M260" s="2">
        <v>106.468</v>
      </c>
      <c r="N260" s="2">
        <v>210</v>
      </c>
      <c r="O260" s="2">
        <v>-8.1675400000000007</v>
      </c>
      <c r="P260" s="2">
        <v>259</v>
      </c>
    </row>
    <row r="261" spans="1:16" ht="12.3" x14ac:dyDescent="0.4">
      <c r="A261" s="2" t="s">
        <v>205</v>
      </c>
      <c r="B261" s="2"/>
      <c r="C261" s="2"/>
      <c r="D261" s="2"/>
      <c r="E261" s="2"/>
      <c r="F261" s="2"/>
      <c r="G261" s="2"/>
      <c r="H261" s="2"/>
      <c r="I261" s="2">
        <v>102.886</v>
      </c>
      <c r="J261" s="2">
        <v>200</v>
      </c>
      <c r="K261" s="2">
        <v>109.63</v>
      </c>
      <c r="L261" s="2">
        <v>305</v>
      </c>
      <c r="M261" s="2">
        <v>111.074</v>
      </c>
      <c r="N261" s="2">
        <v>300</v>
      </c>
      <c r="O261" s="2">
        <v>-8.1878799999999998</v>
      </c>
      <c r="P261" s="2">
        <v>260</v>
      </c>
    </row>
    <row r="262" spans="1:16" ht="12.3" x14ac:dyDescent="0.4">
      <c r="A262" s="2" t="s">
        <v>122</v>
      </c>
      <c r="B262" s="2"/>
      <c r="C262" s="2"/>
      <c r="D262" s="2"/>
      <c r="E262" s="2"/>
      <c r="F262" s="2"/>
      <c r="G262" s="2"/>
      <c r="H262" s="2"/>
      <c r="I262" s="2">
        <v>99.763499999999993</v>
      </c>
      <c r="J262" s="2">
        <v>257</v>
      </c>
      <c r="K262" s="2">
        <v>107.541</v>
      </c>
      <c r="L262" s="2">
        <v>260</v>
      </c>
      <c r="M262" s="2">
        <v>108.29</v>
      </c>
      <c r="N262" s="2">
        <v>245</v>
      </c>
      <c r="O262" s="2">
        <v>-8.5261700000000005</v>
      </c>
      <c r="P262" s="2">
        <v>261</v>
      </c>
    </row>
    <row r="263" spans="1:16" ht="12.3" x14ac:dyDescent="0.4">
      <c r="A263" s="2" t="s">
        <v>311</v>
      </c>
      <c r="B263" s="2"/>
      <c r="C263" s="3"/>
      <c r="D263" s="3"/>
      <c r="E263" s="2"/>
      <c r="F263" s="2"/>
      <c r="G263" s="2"/>
      <c r="H263" s="2"/>
      <c r="I263" s="2">
        <v>96.901799999999994</v>
      </c>
      <c r="J263" s="2">
        <v>304</v>
      </c>
      <c r="K263" s="2">
        <v>100.444</v>
      </c>
      <c r="L263" s="2">
        <v>98</v>
      </c>
      <c r="M263" s="2">
        <v>105.447</v>
      </c>
      <c r="N263" s="2">
        <v>191</v>
      </c>
      <c r="O263" s="2">
        <v>-8.5455199999999998</v>
      </c>
      <c r="P263" s="2">
        <v>262</v>
      </c>
    </row>
    <row r="264" spans="1:16" ht="12.3" x14ac:dyDescent="0.4">
      <c r="A264" s="2" t="s">
        <v>333</v>
      </c>
      <c r="B264" s="2"/>
      <c r="C264" s="2"/>
      <c r="D264" s="2"/>
      <c r="E264" s="2"/>
      <c r="F264" s="2"/>
      <c r="G264" s="2"/>
      <c r="H264" s="2"/>
      <c r="I264" s="2">
        <v>99.671499999999995</v>
      </c>
      <c r="J264" s="2">
        <v>259</v>
      </c>
      <c r="K264" s="2">
        <v>108.337</v>
      </c>
      <c r="L264" s="2">
        <v>277</v>
      </c>
      <c r="M264" s="2">
        <v>108.345</v>
      </c>
      <c r="N264" s="2">
        <v>246</v>
      </c>
      <c r="O264" s="2">
        <v>-8.6735799999999994</v>
      </c>
      <c r="P264" s="2">
        <v>263</v>
      </c>
    </row>
    <row r="265" spans="1:16" ht="12.3" x14ac:dyDescent="0.4">
      <c r="A265" s="2" t="s">
        <v>149</v>
      </c>
      <c r="B265" s="2"/>
      <c r="C265" s="2"/>
      <c r="D265" s="2"/>
      <c r="E265" s="2"/>
      <c r="F265" s="2"/>
      <c r="G265" s="2"/>
      <c r="H265" s="2"/>
      <c r="I265" s="2">
        <v>97.044799999999995</v>
      </c>
      <c r="J265" s="2">
        <v>302</v>
      </c>
      <c r="K265" s="2">
        <v>108.596</v>
      </c>
      <c r="L265" s="2">
        <v>283</v>
      </c>
      <c r="M265" s="2">
        <v>105.9</v>
      </c>
      <c r="N265" s="2">
        <v>194</v>
      </c>
      <c r="O265" s="2">
        <v>-8.8556699999999999</v>
      </c>
      <c r="P265" s="2">
        <v>264</v>
      </c>
    </row>
    <row r="266" spans="1:16" ht="12.3" x14ac:dyDescent="0.4">
      <c r="A266" s="2" t="s">
        <v>307</v>
      </c>
      <c r="B266" s="2"/>
      <c r="C266" s="2"/>
      <c r="D266" s="2"/>
      <c r="E266" s="2"/>
      <c r="F266" s="2"/>
      <c r="G266" s="2"/>
      <c r="H266" s="2"/>
      <c r="I266" s="2">
        <v>91.577299999999994</v>
      </c>
      <c r="J266" s="2">
        <v>341</v>
      </c>
      <c r="K266" s="2">
        <v>96.371099999999998</v>
      </c>
      <c r="L266" s="2">
        <v>37</v>
      </c>
      <c r="M266" s="2">
        <v>100.47799999999999</v>
      </c>
      <c r="N266" s="2">
        <v>90</v>
      </c>
      <c r="O266" s="2">
        <v>-8.9005899999999993</v>
      </c>
      <c r="P266" s="2">
        <v>265</v>
      </c>
    </row>
    <row r="267" spans="1:16" ht="12.3" x14ac:dyDescent="0.4">
      <c r="A267" s="2" t="s">
        <v>344</v>
      </c>
      <c r="B267" s="2"/>
      <c r="C267" s="2"/>
      <c r="D267" s="2"/>
      <c r="E267" s="2"/>
      <c r="F267" s="2"/>
      <c r="G267" s="2"/>
      <c r="H267" s="2"/>
      <c r="I267" s="2">
        <v>102.935</v>
      </c>
      <c r="J267" s="2">
        <v>198</v>
      </c>
      <c r="K267" s="2">
        <v>107.974</v>
      </c>
      <c r="L267" s="2">
        <v>268</v>
      </c>
      <c r="M267" s="2">
        <v>111.91500000000001</v>
      </c>
      <c r="N267" s="2">
        <v>305</v>
      </c>
      <c r="O267" s="2">
        <v>-8.9793199999999995</v>
      </c>
      <c r="P267" s="2">
        <v>266</v>
      </c>
    </row>
    <row r="268" spans="1:16" ht="12.3" x14ac:dyDescent="0.4">
      <c r="A268" s="2" t="s">
        <v>66</v>
      </c>
      <c r="B268" s="2"/>
      <c r="C268" s="2"/>
      <c r="D268" s="2"/>
      <c r="E268" s="2"/>
      <c r="F268" s="2"/>
      <c r="G268" s="2"/>
      <c r="H268" s="2"/>
      <c r="I268" s="2">
        <v>96.896699999999996</v>
      </c>
      <c r="J268" s="2">
        <v>305</v>
      </c>
      <c r="K268" s="2">
        <v>99.815299999999993</v>
      </c>
      <c r="L268" s="2">
        <v>76</v>
      </c>
      <c r="M268" s="2">
        <v>105.917</v>
      </c>
      <c r="N268" s="2">
        <v>196</v>
      </c>
      <c r="O268" s="2">
        <v>-9.0199599999999993</v>
      </c>
      <c r="P268" s="2">
        <v>267</v>
      </c>
    </row>
    <row r="269" spans="1:16" ht="12.3" x14ac:dyDescent="0.4">
      <c r="A269" s="2" t="s">
        <v>253</v>
      </c>
      <c r="B269" s="2"/>
      <c r="C269" s="3"/>
      <c r="D269" s="3"/>
      <c r="E269" s="3"/>
      <c r="F269" s="2"/>
      <c r="G269" s="2"/>
      <c r="H269" s="2"/>
      <c r="I269" s="2">
        <v>99.628600000000006</v>
      </c>
      <c r="J269" s="2">
        <v>261</v>
      </c>
      <c r="K269" s="2">
        <v>108.14100000000001</v>
      </c>
      <c r="L269" s="2">
        <v>271</v>
      </c>
      <c r="M269" s="2">
        <v>108.745</v>
      </c>
      <c r="N269" s="2">
        <v>252</v>
      </c>
      <c r="O269" s="2">
        <v>-9.1160499999999995</v>
      </c>
      <c r="P269" s="2">
        <v>268</v>
      </c>
    </row>
    <row r="270" spans="1:16" ht="12.3" x14ac:dyDescent="0.4">
      <c r="A270" s="2" t="s">
        <v>247</v>
      </c>
      <c r="B270" s="2"/>
      <c r="C270" s="3"/>
      <c r="D270" s="3"/>
      <c r="E270" s="3"/>
      <c r="F270" s="2"/>
      <c r="G270" s="2"/>
      <c r="H270" s="2"/>
      <c r="I270" s="2">
        <v>98.538399999999996</v>
      </c>
      <c r="J270" s="2">
        <v>279</v>
      </c>
      <c r="K270" s="2">
        <v>104.998</v>
      </c>
      <c r="L270" s="2">
        <v>205</v>
      </c>
      <c r="M270" s="2">
        <v>107.66800000000001</v>
      </c>
      <c r="N270" s="2">
        <v>229</v>
      </c>
      <c r="O270" s="2">
        <v>-9.1300500000000007</v>
      </c>
      <c r="P270" s="2">
        <v>269</v>
      </c>
    </row>
    <row r="271" spans="1:16" ht="12.3" x14ac:dyDescent="0.4">
      <c r="A271" s="2" t="s">
        <v>330</v>
      </c>
      <c r="B271" s="2"/>
      <c r="C271" s="2"/>
      <c r="D271" s="2"/>
      <c r="E271" s="2"/>
      <c r="F271" s="2"/>
      <c r="G271" s="2"/>
      <c r="H271" s="2"/>
      <c r="I271" s="2">
        <v>98.944500000000005</v>
      </c>
      <c r="J271" s="2">
        <v>271</v>
      </c>
      <c r="K271" s="2">
        <v>104.31</v>
      </c>
      <c r="L271" s="2">
        <v>197</v>
      </c>
      <c r="M271" s="2">
        <v>108.105</v>
      </c>
      <c r="N271" s="2">
        <v>241</v>
      </c>
      <c r="O271" s="2">
        <v>-9.1599900000000005</v>
      </c>
      <c r="P271" s="2">
        <v>270</v>
      </c>
    </row>
    <row r="272" spans="1:16" ht="12.3" x14ac:dyDescent="0.4">
      <c r="A272" s="2" t="s">
        <v>214</v>
      </c>
      <c r="B272" s="2"/>
      <c r="C272" s="2"/>
      <c r="D272" s="2"/>
      <c r="E272" s="2"/>
      <c r="F272" s="2"/>
      <c r="G272" s="2"/>
      <c r="H272" s="2"/>
      <c r="I272" s="2">
        <v>102.599</v>
      </c>
      <c r="J272" s="2">
        <v>206</v>
      </c>
      <c r="K272" s="2">
        <v>108.745</v>
      </c>
      <c r="L272" s="2">
        <v>288</v>
      </c>
      <c r="M272" s="2">
        <v>111.827</v>
      </c>
      <c r="N272" s="2">
        <v>304</v>
      </c>
      <c r="O272" s="2">
        <v>-9.2278300000000009</v>
      </c>
      <c r="P272" s="2">
        <v>271</v>
      </c>
    </row>
    <row r="273" spans="1:16" ht="12.3" x14ac:dyDescent="0.4">
      <c r="A273" s="2" t="s">
        <v>218</v>
      </c>
      <c r="B273" s="2"/>
      <c r="C273" s="2"/>
      <c r="D273" s="2"/>
      <c r="E273" s="2"/>
      <c r="F273" s="2"/>
      <c r="G273" s="2"/>
      <c r="H273" s="2"/>
      <c r="I273" s="2">
        <v>98.489699999999999</v>
      </c>
      <c r="J273" s="2">
        <v>281</v>
      </c>
      <c r="K273" s="2">
        <v>106.288</v>
      </c>
      <c r="L273" s="2">
        <v>232</v>
      </c>
      <c r="M273" s="2">
        <v>107.795</v>
      </c>
      <c r="N273" s="2">
        <v>233</v>
      </c>
      <c r="O273" s="2">
        <v>-9.3050899999999999</v>
      </c>
      <c r="P273" s="2">
        <v>272</v>
      </c>
    </row>
    <row r="274" spans="1:16" ht="12.3" x14ac:dyDescent="0.4">
      <c r="A274" s="2" t="s">
        <v>116</v>
      </c>
      <c r="B274" s="2"/>
      <c r="C274" s="2"/>
      <c r="D274" s="2"/>
      <c r="E274" s="2"/>
      <c r="F274" s="2"/>
      <c r="G274" s="2"/>
      <c r="H274" s="2"/>
      <c r="I274" s="2">
        <v>95.423299999999998</v>
      </c>
      <c r="J274" s="2">
        <v>323</v>
      </c>
      <c r="K274" s="2">
        <v>105.175</v>
      </c>
      <c r="L274" s="2">
        <v>210</v>
      </c>
      <c r="M274" s="2">
        <v>104.774</v>
      </c>
      <c r="N274" s="2">
        <v>176</v>
      </c>
      <c r="O274" s="2">
        <v>-9.3503900000000009</v>
      </c>
      <c r="P274" s="2">
        <v>273</v>
      </c>
    </row>
    <row r="275" spans="1:16" ht="12.3" x14ac:dyDescent="0.4">
      <c r="A275" s="2" t="s">
        <v>324</v>
      </c>
      <c r="B275" s="2"/>
      <c r="C275" s="2"/>
      <c r="D275" s="2"/>
      <c r="E275" s="2"/>
      <c r="F275" s="2"/>
      <c r="G275" s="2"/>
      <c r="H275" s="2"/>
      <c r="I275" s="2">
        <v>98.369</v>
      </c>
      <c r="J275" s="2">
        <v>283</v>
      </c>
      <c r="K275" s="2">
        <v>107.67100000000001</v>
      </c>
      <c r="L275" s="2">
        <v>266</v>
      </c>
      <c r="M275" s="2">
        <v>107.839</v>
      </c>
      <c r="N275" s="2">
        <v>236</v>
      </c>
      <c r="O275" s="2">
        <v>-9.4704800000000002</v>
      </c>
      <c r="P275" s="2">
        <v>274</v>
      </c>
    </row>
    <row r="276" spans="1:16" ht="12.3" x14ac:dyDescent="0.4">
      <c r="A276" s="2" t="s">
        <v>376</v>
      </c>
      <c r="B276" s="2"/>
      <c r="C276" s="2"/>
      <c r="D276" s="2"/>
      <c r="E276" s="2"/>
      <c r="F276" s="2"/>
      <c r="G276" s="2"/>
      <c r="H276" s="2"/>
      <c r="I276" s="2">
        <v>95.567700000000002</v>
      </c>
      <c r="J276" s="2">
        <v>320</v>
      </c>
      <c r="K276" s="2">
        <v>101.56699999999999</v>
      </c>
      <c r="L276" s="2">
        <v>130</v>
      </c>
      <c r="M276" s="2">
        <v>105.203</v>
      </c>
      <c r="N276" s="2">
        <v>186</v>
      </c>
      <c r="O276" s="2">
        <v>-9.6355699999999995</v>
      </c>
      <c r="P276" s="2">
        <v>275</v>
      </c>
    </row>
    <row r="277" spans="1:16" ht="12.3" x14ac:dyDescent="0.4">
      <c r="A277" s="2" t="s">
        <v>260</v>
      </c>
      <c r="B277" s="2"/>
      <c r="C277" s="2"/>
      <c r="D277" s="2"/>
      <c r="E277" s="2"/>
      <c r="F277" s="2"/>
      <c r="G277" s="2"/>
      <c r="H277" s="2"/>
      <c r="I277" s="2">
        <v>102.876</v>
      </c>
      <c r="J277" s="2">
        <v>201</v>
      </c>
      <c r="K277" s="2">
        <v>109.13200000000001</v>
      </c>
      <c r="L277" s="2">
        <v>295</v>
      </c>
      <c r="M277" s="2">
        <v>112.51300000000001</v>
      </c>
      <c r="N277" s="2">
        <v>314</v>
      </c>
      <c r="O277" s="2">
        <v>-9.6369100000000003</v>
      </c>
      <c r="P277" s="2">
        <v>276</v>
      </c>
    </row>
    <row r="278" spans="1:16" ht="12.3" x14ac:dyDescent="0.4">
      <c r="A278" s="2" t="s">
        <v>233</v>
      </c>
      <c r="B278" s="2"/>
      <c r="C278" s="2"/>
      <c r="D278" s="2"/>
      <c r="E278" s="2"/>
      <c r="F278" s="2"/>
      <c r="G278" s="2"/>
      <c r="H278" s="2"/>
      <c r="I278" s="2">
        <v>104.083</v>
      </c>
      <c r="J278" s="2">
        <v>179</v>
      </c>
      <c r="K278" s="2">
        <v>110.71299999999999</v>
      </c>
      <c r="L278" s="2">
        <v>323</v>
      </c>
      <c r="M278" s="2">
        <v>113.905</v>
      </c>
      <c r="N278" s="2">
        <v>324</v>
      </c>
      <c r="O278" s="2">
        <v>-9.8225800000000003</v>
      </c>
      <c r="P278" s="2">
        <v>277</v>
      </c>
    </row>
    <row r="279" spans="1:16" ht="12.3" x14ac:dyDescent="0.4">
      <c r="A279" s="2" t="s">
        <v>290</v>
      </c>
      <c r="B279" s="2"/>
      <c r="C279" s="2"/>
      <c r="D279" s="2"/>
      <c r="E279" s="2"/>
      <c r="F279" s="2"/>
      <c r="G279" s="2"/>
      <c r="H279" s="2"/>
      <c r="I279" s="2">
        <v>98.750399999999999</v>
      </c>
      <c r="J279" s="2">
        <v>276</v>
      </c>
      <c r="K279" s="2">
        <v>108.631</v>
      </c>
      <c r="L279" s="2">
        <v>284</v>
      </c>
      <c r="M279" s="2">
        <v>108.7</v>
      </c>
      <c r="N279" s="2">
        <v>251</v>
      </c>
      <c r="O279" s="2">
        <v>-9.9497900000000001</v>
      </c>
      <c r="P279" s="2">
        <v>278</v>
      </c>
    </row>
    <row r="280" spans="1:16" ht="12.3" x14ac:dyDescent="0.4">
      <c r="A280" s="2" t="s">
        <v>167</v>
      </c>
      <c r="B280" s="2"/>
      <c r="C280" s="2"/>
      <c r="D280" s="2"/>
      <c r="E280" s="2"/>
      <c r="F280" s="2"/>
      <c r="G280" s="2"/>
      <c r="H280" s="2"/>
      <c r="I280" s="2">
        <v>95.820700000000002</v>
      </c>
      <c r="J280" s="2">
        <v>318</v>
      </c>
      <c r="K280" s="2">
        <v>105.35299999999999</v>
      </c>
      <c r="L280" s="2">
        <v>218</v>
      </c>
      <c r="M280" s="2">
        <v>105.902</v>
      </c>
      <c r="N280" s="2">
        <v>195</v>
      </c>
      <c r="O280" s="2">
        <v>-10.081200000000001</v>
      </c>
      <c r="P280" s="2">
        <v>279</v>
      </c>
    </row>
    <row r="281" spans="1:16" ht="12.3" x14ac:dyDescent="0.4">
      <c r="A281" s="2" t="s">
        <v>261</v>
      </c>
      <c r="B281" s="2"/>
      <c r="C281" s="3"/>
      <c r="D281" s="2"/>
      <c r="E281" s="2"/>
      <c r="F281" s="2"/>
      <c r="G281" s="2"/>
      <c r="H281" s="2"/>
      <c r="I281" s="2">
        <v>95.487399999999994</v>
      </c>
      <c r="J281" s="2">
        <v>322</v>
      </c>
      <c r="K281" s="2">
        <v>99.980400000000003</v>
      </c>
      <c r="L281" s="2">
        <v>79</v>
      </c>
      <c r="M281" s="2">
        <v>105.852</v>
      </c>
      <c r="N281" s="2">
        <v>193</v>
      </c>
      <c r="O281" s="2">
        <v>-10.364800000000001</v>
      </c>
      <c r="P281" s="2">
        <v>280</v>
      </c>
    </row>
    <row r="282" spans="1:16" ht="12.3" x14ac:dyDescent="0.4">
      <c r="A282" s="2" t="s">
        <v>375</v>
      </c>
      <c r="B282" s="2"/>
      <c r="C282" s="3"/>
      <c r="D282" s="2"/>
      <c r="E282" s="2"/>
      <c r="F282" s="2"/>
      <c r="G282" s="2"/>
      <c r="H282" s="2"/>
      <c r="I282" s="2">
        <v>101.61499999999999</v>
      </c>
      <c r="J282" s="2">
        <v>224</v>
      </c>
      <c r="K282" s="2">
        <v>108.175</v>
      </c>
      <c r="L282" s="2">
        <v>273</v>
      </c>
      <c r="M282" s="2">
        <v>111.995</v>
      </c>
      <c r="N282" s="2">
        <v>306</v>
      </c>
      <c r="O282" s="2">
        <v>-10.3794</v>
      </c>
      <c r="P282" s="2">
        <v>281</v>
      </c>
    </row>
    <row r="283" spans="1:16" ht="12.3" x14ac:dyDescent="0.4">
      <c r="A283" s="2" t="s">
        <v>366</v>
      </c>
      <c r="B283" s="2"/>
      <c r="C283" s="2"/>
      <c r="D283" s="2"/>
      <c r="E283" s="2"/>
      <c r="F283" s="2"/>
      <c r="G283" s="2"/>
      <c r="H283" s="2"/>
      <c r="I283" s="2">
        <v>98.704099999999997</v>
      </c>
      <c r="J283" s="2">
        <v>277</v>
      </c>
      <c r="K283" s="2">
        <v>108.354</v>
      </c>
      <c r="L283" s="2">
        <v>278</v>
      </c>
      <c r="M283" s="2">
        <v>109.09099999999999</v>
      </c>
      <c r="N283" s="2">
        <v>261</v>
      </c>
      <c r="O283" s="2">
        <v>-10.3871</v>
      </c>
      <c r="P283" s="2">
        <v>282</v>
      </c>
    </row>
    <row r="284" spans="1:16" ht="12.3" x14ac:dyDescent="0.4">
      <c r="A284" s="2" t="s">
        <v>317</v>
      </c>
      <c r="B284" s="2"/>
      <c r="C284" s="2"/>
      <c r="D284" s="2"/>
      <c r="E284" s="2"/>
      <c r="F284" s="2"/>
      <c r="G284" s="2"/>
      <c r="H284" s="2"/>
      <c r="I284" s="2">
        <v>102.44499999999999</v>
      </c>
      <c r="J284" s="2">
        <v>213</v>
      </c>
      <c r="K284" s="2">
        <v>110.417</v>
      </c>
      <c r="L284" s="2">
        <v>322</v>
      </c>
      <c r="M284" s="2">
        <v>112.943</v>
      </c>
      <c r="N284" s="2">
        <v>317</v>
      </c>
      <c r="O284" s="2">
        <v>-10.4986</v>
      </c>
      <c r="P284" s="2">
        <v>283</v>
      </c>
    </row>
    <row r="285" spans="1:16" ht="12.3" x14ac:dyDescent="0.4">
      <c r="A285" s="2" t="s">
        <v>198</v>
      </c>
      <c r="B285" s="2"/>
      <c r="C285" s="2"/>
      <c r="D285" s="2"/>
      <c r="E285" s="2"/>
      <c r="F285" s="2"/>
      <c r="G285" s="2"/>
      <c r="H285" s="2"/>
      <c r="I285" s="2">
        <v>104.006</v>
      </c>
      <c r="J285" s="2">
        <v>180</v>
      </c>
      <c r="K285" s="2">
        <v>109.202</v>
      </c>
      <c r="L285" s="2">
        <v>297</v>
      </c>
      <c r="M285" s="2">
        <v>114.6</v>
      </c>
      <c r="N285" s="2">
        <v>333</v>
      </c>
      <c r="O285" s="2">
        <v>-10.593500000000001</v>
      </c>
      <c r="P285" s="2">
        <v>284</v>
      </c>
    </row>
    <row r="286" spans="1:16" ht="12.3" x14ac:dyDescent="0.4">
      <c r="A286" s="2" t="s">
        <v>358</v>
      </c>
      <c r="B286" s="2"/>
      <c r="C286" s="2"/>
      <c r="D286" s="2"/>
      <c r="E286" s="2"/>
      <c r="F286" s="2"/>
      <c r="G286" s="2"/>
      <c r="H286" s="2"/>
      <c r="I286" s="2">
        <v>96.498500000000007</v>
      </c>
      <c r="J286" s="2">
        <v>310</v>
      </c>
      <c r="K286" s="2">
        <v>105.634</v>
      </c>
      <c r="L286" s="2">
        <v>220</v>
      </c>
      <c r="M286" s="2">
        <v>107.09399999999999</v>
      </c>
      <c r="N286" s="2">
        <v>221</v>
      </c>
      <c r="O286" s="2">
        <v>-10.5959</v>
      </c>
      <c r="P286" s="2">
        <v>285</v>
      </c>
    </row>
    <row r="287" spans="1:16" ht="12.3" x14ac:dyDescent="0.4">
      <c r="A287" s="2" t="s">
        <v>179</v>
      </c>
      <c r="B287" s="2"/>
      <c r="C287" s="2"/>
      <c r="D287" s="2"/>
      <c r="E287" s="2"/>
      <c r="F287" s="2"/>
      <c r="G287" s="2"/>
      <c r="H287" s="2"/>
      <c r="I287" s="2">
        <v>105.592</v>
      </c>
      <c r="J287" s="2">
        <v>147</v>
      </c>
      <c r="K287" s="2">
        <v>116.08199999999999</v>
      </c>
      <c r="L287" s="2">
        <v>346</v>
      </c>
      <c r="M287" s="2">
        <v>116.334</v>
      </c>
      <c r="N287" s="2">
        <v>340</v>
      </c>
      <c r="O287" s="2">
        <v>-10.7417</v>
      </c>
      <c r="P287" s="2">
        <v>286</v>
      </c>
    </row>
    <row r="288" spans="1:16" ht="12.3" x14ac:dyDescent="0.4">
      <c r="A288" s="2" t="s">
        <v>139</v>
      </c>
      <c r="B288" s="2"/>
      <c r="C288" s="2"/>
      <c r="D288" s="2"/>
      <c r="E288" s="2"/>
      <c r="F288" s="2"/>
      <c r="G288" s="2"/>
      <c r="H288" s="2"/>
      <c r="I288" s="2">
        <v>96.826999999999998</v>
      </c>
      <c r="J288" s="2">
        <v>306</v>
      </c>
      <c r="K288" s="2">
        <v>106.20699999999999</v>
      </c>
      <c r="L288" s="2">
        <v>230</v>
      </c>
      <c r="M288" s="2">
        <v>107.67400000000001</v>
      </c>
      <c r="N288" s="2">
        <v>230</v>
      </c>
      <c r="O288" s="2">
        <v>-10.847099999999999</v>
      </c>
      <c r="P288" s="2">
        <v>287</v>
      </c>
    </row>
    <row r="289" spans="1:16" ht="12.3" x14ac:dyDescent="0.4">
      <c r="A289" s="2" t="s">
        <v>227</v>
      </c>
      <c r="B289" s="2"/>
      <c r="C289" s="3"/>
      <c r="D289" s="2"/>
      <c r="E289" s="2"/>
      <c r="F289" s="2"/>
      <c r="G289" s="2"/>
      <c r="H289" s="2"/>
      <c r="I289" s="2">
        <v>106.062</v>
      </c>
      <c r="J289" s="2">
        <v>142</v>
      </c>
      <c r="K289" s="2">
        <v>117.643</v>
      </c>
      <c r="L289" s="2">
        <v>351</v>
      </c>
      <c r="M289" s="2">
        <v>117.146</v>
      </c>
      <c r="N289" s="2">
        <v>342</v>
      </c>
      <c r="O289" s="2">
        <v>-11.084099999999999</v>
      </c>
      <c r="P289" s="2">
        <v>288</v>
      </c>
    </row>
    <row r="290" spans="1:16" ht="12.3" x14ac:dyDescent="0.4">
      <c r="A290" s="2" t="s">
        <v>174</v>
      </c>
      <c r="B290" s="2"/>
      <c r="C290" s="2"/>
      <c r="D290" s="2"/>
      <c r="E290" s="2"/>
      <c r="F290" s="2"/>
      <c r="G290" s="2"/>
      <c r="H290" s="2"/>
      <c r="I290" s="2">
        <v>97.316999999999993</v>
      </c>
      <c r="J290" s="2">
        <v>298</v>
      </c>
      <c r="K290" s="2">
        <v>110.14</v>
      </c>
      <c r="L290" s="2">
        <v>314</v>
      </c>
      <c r="M290" s="2">
        <v>108.405</v>
      </c>
      <c r="N290" s="2">
        <v>248</v>
      </c>
      <c r="O290" s="2">
        <v>-11.087899999999999</v>
      </c>
      <c r="P290" s="2">
        <v>289</v>
      </c>
    </row>
    <row r="291" spans="1:16" ht="12.3" x14ac:dyDescent="0.4">
      <c r="A291" s="2" t="s">
        <v>103</v>
      </c>
      <c r="B291" s="2"/>
      <c r="C291" s="2"/>
      <c r="D291" s="2"/>
      <c r="E291" s="2"/>
      <c r="F291" s="2"/>
      <c r="G291" s="2"/>
      <c r="H291" s="2"/>
      <c r="I291" s="2">
        <v>96.485399999999998</v>
      </c>
      <c r="J291" s="2">
        <v>311</v>
      </c>
      <c r="K291" s="2">
        <v>107.589</v>
      </c>
      <c r="L291" s="2">
        <v>265</v>
      </c>
      <c r="M291" s="2">
        <v>107.657</v>
      </c>
      <c r="N291" s="2">
        <v>228</v>
      </c>
      <c r="O291" s="2">
        <v>-11.171799999999999</v>
      </c>
      <c r="P291" s="2">
        <v>290</v>
      </c>
    </row>
    <row r="292" spans="1:16" ht="12.3" x14ac:dyDescent="0.4">
      <c r="A292" s="2" t="s">
        <v>319</v>
      </c>
      <c r="B292" s="2"/>
      <c r="C292" s="2"/>
      <c r="D292" s="2"/>
      <c r="E292" s="2"/>
      <c r="F292" s="2"/>
      <c r="G292" s="2"/>
      <c r="H292" s="2"/>
      <c r="I292" s="2">
        <v>99.258799999999994</v>
      </c>
      <c r="J292" s="2">
        <v>265</v>
      </c>
      <c r="K292" s="2">
        <v>106.39400000000001</v>
      </c>
      <c r="L292" s="2">
        <v>236</v>
      </c>
      <c r="M292" s="2">
        <v>110.616</v>
      </c>
      <c r="N292" s="2">
        <v>293</v>
      </c>
      <c r="O292" s="2">
        <v>-11.3574</v>
      </c>
      <c r="P292" s="2">
        <v>291</v>
      </c>
    </row>
    <row r="293" spans="1:16" ht="12.3" x14ac:dyDescent="0.4">
      <c r="A293" s="2" t="s">
        <v>383</v>
      </c>
      <c r="B293" s="2"/>
      <c r="C293" s="2"/>
      <c r="D293" s="2"/>
      <c r="E293" s="2"/>
      <c r="F293" s="2"/>
      <c r="G293" s="2"/>
      <c r="H293" s="2"/>
      <c r="I293" s="2">
        <v>104.246</v>
      </c>
      <c r="J293" s="2">
        <v>174</v>
      </c>
      <c r="K293" s="2">
        <v>110.86199999999999</v>
      </c>
      <c r="L293" s="2">
        <v>324</v>
      </c>
      <c r="M293" s="2">
        <v>115.64</v>
      </c>
      <c r="N293" s="2">
        <v>337</v>
      </c>
      <c r="O293" s="2">
        <v>-11.394299999999999</v>
      </c>
      <c r="P293" s="2">
        <v>292</v>
      </c>
    </row>
    <row r="294" spans="1:16" ht="12.3" x14ac:dyDescent="0.4">
      <c r="A294" s="2" t="s">
        <v>259</v>
      </c>
      <c r="B294" s="2"/>
      <c r="C294" s="2"/>
      <c r="D294" s="2"/>
      <c r="E294" s="2"/>
      <c r="F294" s="2"/>
      <c r="G294" s="2"/>
      <c r="H294" s="2"/>
      <c r="I294" s="2">
        <v>100.999</v>
      </c>
      <c r="J294" s="2">
        <v>234</v>
      </c>
      <c r="K294" s="2">
        <v>108.98</v>
      </c>
      <c r="L294" s="2">
        <v>290</v>
      </c>
      <c r="M294" s="2">
        <v>112.444</v>
      </c>
      <c r="N294" s="2">
        <v>313</v>
      </c>
      <c r="O294" s="2">
        <v>-11.4453</v>
      </c>
      <c r="P294" s="2">
        <v>293</v>
      </c>
    </row>
    <row r="295" spans="1:16" ht="12.3" x14ac:dyDescent="0.4">
      <c r="A295" s="2" t="s">
        <v>302</v>
      </c>
      <c r="B295" s="2"/>
      <c r="C295" s="2"/>
      <c r="D295" s="2"/>
      <c r="E295" s="2"/>
      <c r="F295" s="2"/>
      <c r="G295" s="2"/>
      <c r="H295" s="2"/>
      <c r="I295" s="2">
        <v>100.81</v>
      </c>
      <c r="J295" s="2">
        <v>241</v>
      </c>
      <c r="K295" s="2">
        <v>110.044</v>
      </c>
      <c r="L295" s="2">
        <v>313</v>
      </c>
      <c r="M295" s="2">
        <v>112.29300000000001</v>
      </c>
      <c r="N295" s="2">
        <v>310</v>
      </c>
      <c r="O295" s="2">
        <v>-11.482799999999999</v>
      </c>
      <c r="P295" s="2">
        <v>294</v>
      </c>
    </row>
    <row r="296" spans="1:16" ht="12.3" x14ac:dyDescent="0.4">
      <c r="A296" s="2" t="s">
        <v>274</v>
      </c>
      <c r="B296" s="2"/>
      <c r="C296" s="2"/>
      <c r="D296" s="2"/>
      <c r="E296" s="2"/>
      <c r="F296" s="2"/>
      <c r="G296" s="2"/>
      <c r="H296" s="2"/>
      <c r="I296" s="2">
        <v>101.354</v>
      </c>
      <c r="J296" s="2">
        <v>228</v>
      </c>
      <c r="K296" s="2">
        <v>110.276</v>
      </c>
      <c r="L296" s="2">
        <v>318</v>
      </c>
      <c r="M296" s="2">
        <v>113.04900000000001</v>
      </c>
      <c r="N296" s="2">
        <v>319</v>
      </c>
      <c r="O296" s="2">
        <v>-11.695600000000001</v>
      </c>
      <c r="P296" s="2">
        <v>295</v>
      </c>
    </row>
    <row r="297" spans="1:16" ht="12.3" x14ac:dyDescent="0.4">
      <c r="A297" s="2" t="s">
        <v>223</v>
      </c>
      <c r="B297" s="2"/>
      <c r="C297" s="2"/>
      <c r="D297" s="2"/>
      <c r="E297" s="2"/>
      <c r="F297" s="2"/>
      <c r="G297" s="2"/>
      <c r="H297" s="2"/>
      <c r="I297" s="2">
        <v>96.132900000000006</v>
      </c>
      <c r="J297" s="2">
        <v>315</v>
      </c>
      <c r="K297" s="2">
        <v>106.32299999999999</v>
      </c>
      <c r="L297" s="2">
        <v>234</v>
      </c>
      <c r="M297" s="2">
        <v>107.833</v>
      </c>
      <c r="N297" s="2">
        <v>235</v>
      </c>
      <c r="O297" s="2">
        <v>-11.6997</v>
      </c>
      <c r="P297" s="2">
        <v>296</v>
      </c>
    </row>
    <row r="298" spans="1:16" ht="12.3" x14ac:dyDescent="0.4">
      <c r="A298" s="2" t="s">
        <v>285</v>
      </c>
      <c r="B298" s="2"/>
      <c r="C298" s="2"/>
      <c r="D298" s="2"/>
      <c r="E298" s="2"/>
      <c r="F298" s="2"/>
      <c r="G298" s="2"/>
      <c r="H298" s="2"/>
      <c r="I298" s="2">
        <v>97.082099999999997</v>
      </c>
      <c r="J298" s="2">
        <v>300</v>
      </c>
      <c r="K298" s="2">
        <v>109.077</v>
      </c>
      <c r="L298" s="2">
        <v>294</v>
      </c>
      <c r="M298" s="2">
        <v>108.83</v>
      </c>
      <c r="N298" s="2">
        <v>255</v>
      </c>
      <c r="O298" s="2">
        <v>-11.7475</v>
      </c>
      <c r="P298" s="2">
        <v>297</v>
      </c>
    </row>
    <row r="299" spans="1:16" ht="12.3" x14ac:dyDescent="0.4">
      <c r="A299" s="2" t="s">
        <v>320</v>
      </c>
      <c r="B299" s="2"/>
      <c r="C299" s="2"/>
      <c r="D299" s="2"/>
      <c r="E299" s="2"/>
      <c r="F299" s="2"/>
      <c r="G299" s="2"/>
      <c r="H299" s="2"/>
      <c r="I299" s="2">
        <v>93.858099999999993</v>
      </c>
      <c r="J299" s="2">
        <v>330</v>
      </c>
      <c r="K299" s="2">
        <v>101.655</v>
      </c>
      <c r="L299" s="2">
        <v>132</v>
      </c>
      <c r="M299" s="2">
        <v>105.627</v>
      </c>
      <c r="N299" s="2">
        <v>192</v>
      </c>
      <c r="O299" s="2">
        <v>-11.768800000000001</v>
      </c>
      <c r="P299" s="2">
        <v>298</v>
      </c>
    </row>
    <row r="300" spans="1:16" ht="12.3" x14ac:dyDescent="0.4">
      <c r="A300" s="2" t="s">
        <v>79</v>
      </c>
      <c r="B300" s="2"/>
      <c r="C300" s="2"/>
      <c r="D300" s="2"/>
      <c r="E300" s="2"/>
      <c r="F300" s="2"/>
      <c r="G300" s="2"/>
      <c r="H300" s="2"/>
      <c r="I300" s="2">
        <v>102.095</v>
      </c>
      <c r="J300" s="2">
        <v>218</v>
      </c>
      <c r="K300" s="2">
        <v>115.523</v>
      </c>
      <c r="L300" s="2">
        <v>345</v>
      </c>
      <c r="M300" s="2">
        <v>114.07599999999999</v>
      </c>
      <c r="N300" s="2">
        <v>326</v>
      </c>
      <c r="O300" s="2">
        <v>-11.9802</v>
      </c>
      <c r="P300" s="2">
        <v>299</v>
      </c>
    </row>
    <row r="301" spans="1:16" ht="12.3" x14ac:dyDescent="0.4">
      <c r="A301" s="2" t="s">
        <v>384</v>
      </c>
      <c r="B301" s="2"/>
      <c r="C301" s="3"/>
      <c r="D301" s="3"/>
      <c r="E301" s="3"/>
      <c r="F301" s="2"/>
      <c r="G301" s="2"/>
      <c r="H301" s="2"/>
      <c r="I301" s="2">
        <v>96.714299999999994</v>
      </c>
      <c r="J301" s="2">
        <v>308</v>
      </c>
      <c r="K301" s="2">
        <v>105.17400000000001</v>
      </c>
      <c r="L301" s="2">
        <v>209</v>
      </c>
      <c r="M301" s="2">
        <v>108.767</v>
      </c>
      <c r="N301" s="2">
        <v>253</v>
      </c>
      <c r="O301" s="2">
        <v>-12.053000000000001</v>
      </c>
      <c r="P301" s="2">
        <v>300</v>
      </c>
    </row>
    <row r="302" spans="1:16" ht="12.3" x14ac:dyDescent="0.4">
      <c r="A302" s="2" t="s">
        <v>316</v>
      </c>
      <c r="B302" s="2"/>
      <c r="C302" s="2"/>
      <c r="D302" s="2"/>
      <c r="E302" s="2"/>
      <c r="F302" s="2"/>
      <c r="G302" s="2"/>
      <c r="H302" s="2"/>
      <c r="I302" s="2">
        <v>97.522999999999996</v>
      </c>
      <c r="J302" s="2">
        <v>297</v>
      </c>
      <c r="K302" s="2">
        <v>103.68899999999999</v>
      </c>
      <c r="L302" s="2">
        <v>178</v>
      </c>
      <c r="M302" s="2">
        <v>109.77200000000001</v>
      </c>
      <c r="N302" s="2">
        <v>277</v>
      </c>
      <c r="O302" s="2">
        <v>-12.2492</v>
      </c>
      <c r="P302" s="2">
        <v>301</v>
      </c>
    </row>
    <row r="303" spans="1:16" ht="12.3" x14ac:dyDescent="0.4">
      <c r="A303" s="2" t="s">
        <v>132</v>
      </c>
      <c r="B303" s="2"/>
      <c r="C303" s="2"/>
      <c r="D303" s="2"/>
      <c r="E303" s="2"/>
      <c r="F303" s="2"/>
      <c r="G303" s="2"/>
      <c r="H303" s="2"/>
      <c r="I303" s="2">
        <v>102.197</v>
      </c>
      <c r="J303" s="2">
        <v>217</v>
      </c>
      <c r="K303" s="2">
        <v>113.393</v>
      </c>
      <c r="L303" s="2">
        <v>336</v>
      </c>
      <c r="M303" s="2">
        <v>114.52500000000001</v>
      </c>
      <c r="N303" s="2">
        <v>331</v>
      </c>
      <c r="O303" s="2">
        <v>-12.3278</v>
      </c>
      <c r="P303" s="2">
        <v>302</v>
      </c>
    </row>
    <row r="304" spans="1:16" ht="12.3" x14ac:dyDescent="0.4">
      <c r="A304" s="2" t="s">
        <v>382</v>
      </c>
      <c r="B304" s="2"/>
      <c r="C304" s="2"/>
      <c r="D304" s="2"/>
      <c r="E304" s="2"/>
      <c r="F304" s="2"/>
      <c r="G304" s="2"/>
      <c r="H304" s="2"/>
      <c r="I304" s="2">
        <v>101.50700000000001</v>
      </c>
      <c r="J304" s="2">
        <v>226</v>
      </c>
      <c r="K304" s="2">
        <v>110.238</v>
      </c>
      <c r="L304" s="2">
        <v>317</v>
      </c>
      <c r="M304" s="2">
        <v>114.289</v>
      </c>
      <c r="N304" s="2">
        <v>329</v>
      </c>
      <c r="O304" s="2">
        <v>-12.7822</v>
      </c>
      <c r="P304" s="2">
        <v>303</v>
      </c>
    </row>
    <row r="305" spans="1:16" ht="12.3" x14ac:dyDescent="0.4">
      <c r="A305" s="2" t="s">
        <v>389</v>
      </c>
      <c r="B305" s="2"/>
      <c r="C305" s="2"/>
      <c r="D305" s="2"/>
      <c r="E305" s="2"/>
      <c r="F305" s="2"/>
      <c r="G305" s="2"/>
      <c r="H305" s="2"/>
      <c r="I305" s="2">
        <v>100.31399999999999</v>
      </c>
      <c r="J305" s="2">
        <v>248</v>
      </c>
      <c r="K305" s="2">
        <v>109.236</v>
      </c>
      <c r="L305" s="2">
        <v>298</v>
      </c>
      <c r="M305" s="2">
        <v>113.24</v>
      </c>
      <c r="N305" s="2">
        <v>320</v>
      </c>
      <c r="O305" s="2">
        <v>-12.925700000000001</v>
      </c>
      <c r="P305" s="2">
        <v>304</v>
      </c>
    </row>
    <row r="306" spans="1:16" ht="12.3" x14ac:dyDescent="0.4">
      <c r="A306" s="2" t="s">
        <v>327</v>
      </c>
      <c r="B306" s="2"/>
      <c r="C306" s="2"/>
      <c r="D306" s="2"/>
      <c r="E306" s="2"/>
      <c r="F306" s="2"/>
      <c r="G306" s="2"/>
      <c r="H306" s="2"/>
      <c r="I306" s="2">
        <v>99.168400000000005</v>
      </c>
      <c r="J306" s="2">
        <v>267</v>
      </c>
      <c r="K306" s="2">
        <v>109.461</v>
      </c>
      <c r="L306" s="2">
        <v>303</v>
      </c>
      <c r="M306" s="2">
        <v>112.13200000000001</v>
      </c>
      <c r="N306" s="2">
        <v>309</v>
      </c>
      <c r="O306" s="2">
        <v>-12.9633</v>
      </c>
      <c r="P306" s="2">
        <v>305</v>
      </c>
    </row>
    <row r="307" spans="1:16" ht="12.3" x14ac:dyDescent="0.4">
      <c r="A307" s="2" t="s">
        <v>135</v>
      </c>
      <c r="B307" s="2"/>
      <c r="C307" s="2"/>
      <c r="D307" s="2"/>
      <c r="E307" s="2"/>
      <c r="F307" s="2"/>
      <c r="G307" s="2"/>
      <c r="H307" s="2"/>
      <c r="I307" s="2">
        <v>93.659400000000005</v>
      </c>
      <c r="J307" s="2">
        <v>332</v>
      </c>
      <c r="K307" s="2">
        <v>101.33799999999999</v>
      </c>
      <c r="L307" s="2">
        <v>122</v>
      </c>
      <c r="M307" s="2">
        <v>106.824</v>
      </c>
      <c r="N307" s="2">
        <v>216</v>
      </c>
      <c r="O307" s="2">
        <v>-13.164199999999999</v>
      </c>
      <c r="P307" s="2">
        <v>306</v>
      </c>
    </row>
    <row r="308" spans="1:16" ht="12.3" x14ac:dyDescent="0.4">
      <c r="A308" s="2" t="s">
        <v>189</v>
      </c>
      <c r="B308" s="2"/>
      <c r="C308" s="2"/>
      <c r="D308" s="2"/>
      <c r="E308" s="2"/>
      <c r="F308" s="2"/>
      <c r="G308" s="2"/>
      <c r="H308" s="2"/>
      <c r="I308" s="2">
        <v>99.832999999999998</v>
      </c>
      <c r="J308" s="2">
        <v>256</v>
      </c>
      <c r="K308" s="2">
        <v>109.024</v>
      </c>
      <c r="L308" s="2">
        <v>292</v>
      </c>
      <c r="M308" s="2">
        <v>113.011</v>
      </c>
      <c r="N308" s="2">
        <v>318</v>
      </c>
      <c r="O308" s="2">
        <v>-13.1776</v>
      </c>
      <c r="P308" s="2">
        <v>307</v>
      </c>
    </row>
    <row r="309" spans="1:16" ht="12.3" x14ac:dyDescent="0.4">
      <c r="A309" s="2" t="s">
        <v>226</v>
      </c>
      <c r="B309" s="2"/>
      <c r="C309" s="3"/>
      <c r="D309" s="2"/>
      <c r="E309" s="2"/>
      <c r="F309" s="2"/>
      <c r="G309" s="2"/>
      <c r="H309" s="2"/>
      <c r="I309" s="2">
        <v>94.858500000000006</v>
      </c>
      <c r="J309" s="2">
        <v>328</v>
      </c>
      <c r="K309" s="2">
        <v>104.676</v>
      </c>
      <c r="L309" s="2">
        <v>199</v>
      </c>
      <c r="M309" s="2">
        <v>108.146</v>
      </c>
      <c r="N309" s="2">
        <v>242</v>
      </c>
      <c r="O309" s="2">
        <v>-13.2873</v>
      </c>
      <c r="P309" s="2">
        <v>308</v>
      </c>
    </row>
    <row r="310" spans="1:16" ht="12.3" x14ac:dyDescent="0.4">
      <c r="A310" s="2" t="s">
        <v>305</v>
      </c>
      <c r="B310" s="2"/>
      <c r="C310" s="3"/>
      <c r="D310" s="2"/>
      <c r="E310" s="2"/>
      <c r="F310" s="2"/>
      <c r="G310" s="2"/>
      <c r="H310" s="2"/>
      <c r="I310" s="2">
        <v>103.253</v>
      </c>
      <c r="J310" s="2">
        <v>192</v>
      </c>
      <c r="K310" s="2">
        <v>111.447</v>
      </c>
      <c r="L310" s="2">
        <v>327</v>
      </c>
      <c r="M310" s="2">
        <v>116.65600000000001</v>
      </c>
      <c r="N310" s="2">
        <v>341</v>
      </c>
      <c r="O310" s="2">
        <v>-13.403</v>
      </c>
      <c r="P310" s="2">
        <v>309</v>
      </c>
    </row>
    <row r="311" spans="1:16" ht="12.3" x14ac:dyDescent="0.4">
      <c r="A311" s="2" t="s">
        <v>342</v>
      </c>
      <c r="B311" s="2"/>
      <c r="C311" s="2"/>
      <c r="D311" s="2"/>
      <c r="E311" s="2"/>
      <c r="F311" s="2"/>
      <c r="G311" s="2"/>
      <c r="H311" s="2"/>
      <c r="I311" s="2">
        <v>97.968199999999996</v>
      </c>
      <c r="J311" s="2">
        <v>288</v>
      </c>
      <c r="K311" s="2">
        <v>107.306</v>
      </c>
      <c r="L311" s="2">
        <v>253</v>
      </c>
      <c r="M311" s="2">
        <v>111.461</v>
      </c>
      <c r="N311" s="2">
        <v>303</v>
      </c>
      <c r="O311" s="2">
        <v>-13.4923</v>
      </c>
      <c r="P311" s="2">
        <v>310</v>
      </c>
    </row>
    <row r="312" spans="1:16" ht="12.3" x14ac:dyDescent="0.4">
      <c r="A312" s="2" t="s">
        <v>364</v>
      </c>
      <c r="B312" s="2"/>
      <c r="C312" s="2"/>
      <c r="D312" s="2"/>
      <c r="E312" s="2"/>
      <c r="F312" s="2"/>
      <c r="G312" s="2"/>
      <c r="H312" s="2"/>
      <c r="I312" s="2">
        <v>103.98399999999999</v>
      </c>
      <c r="J312" s="2">
        <v>181</v>
      </c>
      <c r="K312" s="2">
        <v>115.395</v>
      </c>
      <c r="L312" s="2">
        <v>344</v>
      </c>
      <c r="M312" s="2">
        <v>117.489</v>
      </c>
      <c r="N312" s="2">
        <v>344</v>
      </c>
      <c r="O312" s="2">
        <v>-13.5046</v>
      </c>
      <c r="P312" s="2">
        <v>311</v>
      </c>
    </row>
    <row r="313" spans="1:16" ht="12.3" x14ac:dyDescent="0.4">
      <c r="A313" s="2" t="s">
        <v>315</v>
      </c>
      <c r="B313" s="2"/>
      <c r="C313" s="3"/>
      <c r="D313" s="3"/>
      <c r="E313" s="2"/>
      <c r="F313" s="2"/>
      <c r="G313" s="2"/>
      <c r="H313" s="2"/>
      <c r="I313" s="2">
        <v>96.203000000000003</v>
      </c>
      <c r="J313" s="2">
        <v>314</v>
      </c>
      <c r="K313" s="2">
        <v>106.79900000000001</v>
      </c>
      <c r="L313" s="2">
        <v>242</v>
      </c>
      <c r="M313" s="2">
        <v>109.887</v>
      </c>
      <c r="N313" s="2">
        <v>281</v>
      </c>
      <c r="O313" s="2">
        <v>-13.683999999999999</v>
      </c>
      <c r="P313" s="2">
        <v>312</v>
      </c>
    </row>
    <row r="314" spans="1:16" ht="12.3" x14ac:dyDescent="0.4">
      <c r="A314" s="2" t="s">
        <v>347</v>
      </c>
      <c r="B314" s="2"/>
      <c r="C314" s="2"/>
      <c r="D314" s="2"/>
      <c r="E314" s="2"/>
      <c r="F314" s="2"/>
      <c r="G314" s="2"/>
      <c r="H314" s="2"/>
      <c r="I314" s="2">
        <v>100.376</v>
      </c>
      <c r="J314" s="2">
        <v>247</v>
      </c>
      <c r="K314" s="2">
        <v>113.074</v>
      </c>
      <c r="L314" s="2">
        <v>334</v>
      </c>
      <c r="M314" s="2">
        <v>114.124</v>
      </c>
      <c r="N314" s="2">
        <v>328</v>
      </c>
      <c r="O314" s="2">
        <v>-13.7478</v>
      </c>
      <c r="P314" s="2">
        <v>313</v>
      </c>
    </row>
    <row r="315" spans="1:16" ht="12.3" x14ac:dyDescent="0.4">
      <c r="A315" s="2" t="s">
        <v>284</v>
      </c>
      <c r="B315" s="2"/>
      <c r="C315" s="2"/>
      <c r="D315" s="2"/>
      <c r="E315" s="2"/>
      <c r="F315" s="2"/>
      <c r="G315" s="2"/>
      <c r="H315" s="2"/>
      <c r="I315" s="2">
        <v>92.137500000000003</v>
      </c>
      <c r="J315" s="2">
        <v>339</v>
      </c>
      <c r="K315" s="2">
        <v>102.8</v>
      </c>
      <c r="L315" s="2">
        <v>157</v>
      </c>
      <c r="M315" s="2">
        <v>106.003</v>
      </c>
      <c r="N315" s="2">
        <v>200</v>
      </c>
      <c r="O315" s="2">
        <v>-13.8653</v>
      </c>
      <c r="P315" s="2">
        <v>314</v>
      </c>
    </row>
    <row r="316" spans="1:16" ht="12.3" x14ac:dyDescent="0.4">
      <c r="A316" s="2" t="s">
        <v>352</v>
      </c>
      <c r="B316" s="2"/>
      <c r="C316" s="2"/>
      <c r="D316" s="2"/>
      <c r="E316" s="2"/>
      <c r="F316" s="2"/>
      <c r="G316" s="2"/>
      <c r="H316" s="2"/>
      <c r="I316" s="2">
        <v>100.65900000000001</v>
      </c>
      <c r="J316" s="2">
        <v>245</v>
      </c>
      <c r="K316" s="2">
        <v>109.727</v>
      </c>
      <c r="L316" s="2">
        <v>306</v>
      </c>
      <c r="M316" s="2">
        <v>114.547</v>
      </c>
      <c r="N316" s="2">
        <v>332</v>
      </c>
      <c r="O316" s="2">
        <v>-13.888</v>
      </c>
      <c r="P316" s="2">
        <v>315</v>
      </c>
    </row>
    <row r="317" spans="1:16" ht="12.3" x14ac:dyDescent="0.4">
      <c r="A317" s="2" t="s">
        <v>143</v>
      </c>
      <c r="B317" s="2"/>
      <c r="C317" s="2"/>
      <c r="D317" s="2"/>
      <c r="E317" s="2"/>
      <c r="F317" s="2"/>
      <c r="G317" s="2"/>
      <c r="H317" s="2"/>
      <c r="I317" s="2">
        <v>100.57</v>
      </c>
      <c r="J317" s="2">
        <v>246</v>
      </c>
      <c r="K317" s="2">
        <v>113.837</v>
      </c>
      <c r="L317" s="2">
        <v>337</v>
      </c>
      <c r="M317" s="2">
        <v>114.464</v>
      </c>
      <c r="N317" s="2">
        <v>330</v>
      </c>
      <c r="O317" s="2">
        <v>-13.893700000000001</v>
      </c>
      <c r="P317" s="2">
        <v>316</v>
      </c>
    </row>
    <row r="318" spans="1:16" ht="12.3" x14ac:dyDescent="0.4">
      <c r="A318" s="2" t="s">
        <v>107</v>
      </c>
      <c r="B318" s="2"/>
      <c r="C318" s="2"/>
      <c r="D318" s="2"/>
      <c r="E318" s="2"/>
      <c r="F318" s="2"/>
      <c r="G318" s="2"/>
      <c r="H318" s="2"/>
      <c r="I318" s="2">
        <v>96.070499999999996</v>
      </c>
      <c r="J318" s="2">
        <v>317</v>
      </c>
      <c r="K318" s="2">
        <v>109.473</v>
      </c>
      <c r="L318" s="2">
        <v>304</v>
      </c>
      <c r="M318" s="2">
        <v>110.14100000000001</v>
      </c>
      <c r="N318" s="2">
        <v>288</v>
      </c>
      <c r="O318" s="2">
        <v>-14.070499999999999</v>
      </c>
      <c r="P318" s="2">
        <v>317</v>
      </c>
    </row>
    <row r="319" spans="1:16" ht="12.3" x14ac:dyDescent="0.4">
      <c r="A319" s="2" t="s">
        <v>373</v>
      </c>
      <c r="B319" s="2"/>
      <c r="C319" s="2"/>
      <c r="D319" s="2"/>
      <c r="E319" s="2"/>
      <c r="F319" s="2"/>
      <c r="G319" s="2"/>
      <c r="H319" s="2"/>
      <c r="I319" s="2">
        <v>94.971000000000004</v>
      </c>
      <c r="J319" s="2">
        <v>326</v>
      </c>
      <c r="K319" s="2">
        <v>108.255</v>
      </c>
      <c r="L319" s="2">
        <v>274</v>
      </c>
      <c r="M319" s="2">
        <v>109.114</v>
      </c>
      <c r="N319" s="2">
        <v>263</v>
      </c>
      <c r="O319" s="2">
        <v>-14.1426</v>
      </c>
      <c r="P319" s="2">
        <v>318</v>
      </c>
    </row>
    <row r="320" spans="1:16" ht="12.3" x14ac:dyDescent="0.4">
      <c r="A320" s="2" t="s">
        <v>298</v>
      </c>
      <c r="B320" s="2"/>
      <c r="C320" s="2"/>
      <c r="D320" s="2"/>
      <c r="E320" s="2"/>
      <c r="F320" s="2"/>
      <c r="G320" s="2"/>
      <c r="H320" s="2"/>
      <c r="I320" s="2">
        <v>100.887</v>
      </c>
      <c r="J320" s="2">
        <v>239</v>
      </c>
      <c r="K320" s="2">
        <v>112.851</v>
      </c>
      <c r="L320" s="2">
        <v>333</v>
      </c>
      <c r="M320" s="2">
        <v>115.167</v>
      </c>
      <c r="N320" s="2">
        <v>334</v>
      </c>
      <c r="O320" s="2">
        <v>-14.279199999999999</v>
      </c>
      <c r="P320" s="2">
        <v>319</v>
      </c>
    </row>
    <row r="321" spans="1:16" ht="12.3" x14ac:dyDescent="0.4">
      <c r="A321" s="2" t="s">
        <v>184</v>
      </c>
      <c r="B321" s="2"/>
      <c r="C321" s="2"/>
      <c r="D321" s="2"/>
      <c r="E321" s="2"/>
      <c r="F321" s="2"/>
      <c r="G321" s="2"/>
      <c r="H321" s="2"/>
      <c r="I321" s="2">
        <v>96.209000000000003</v>
      </c>
      <c r="J321" s="2">
        <v>313</v>
      </c>
      <c r="K321" s="2">
        <v>106.32299999999999</v>
      </c>
      <c r="L321" s="2">
        <v>233</v>
      </c>
      <c r="M321" s="2">
        <v>110.724</v>
      </c>
      <c r="N321" s="2">
        <v>295</v>
      </c>
      <c r="O321" s="2">
        <v>-14.514699999999999</v>
      </c>
      <c r="P321" s="2">
        <v>320</v>
      </c>
    </row>
    <row r="322" spans="1:16" ht="12.3" x14ac:dyDescent="0.4">
      <c r="A322" s="2" t="s">
        <v>321</v>
      </c>
      <c r="B322" s="2"/>
      <c r="C322" s="2"/>
      <c r="D322" s="2"/>
      <c r="E322" s="2"/>
      <c r="F322" s="2"/>
      <c r="G322" s="2"/>
      <c r="H322" s="2"/>
      <c r="I322" s="2">
        <v>97.883499999999998</v>
      </c>
      <c r="J322" s="2">
        <v>291</v>
      </c>
      <c r="K322" s="2">
        <v>109.003</v>
      </c>
      <c r="L322" s="2">
        <v>291</v>
      </c>
      <c r="M322" s="2">
        <v>112.42700000000001</v>
      </c>
      <c r="N322" s="2">
        <v>312</v>
      </c>
      <c r="O322" s="2">
        <v>-14.543100000000001</v>
      </c>
      <c r="P322" s="2">
        <v>321</v>
      </c>
    </row>
    <row r="323" spans="1:16" ht="12.3" x14ac:dyDescent="0.4">
      <c r="A323" s="2" t="s">
        <v>246</v>
      </c>
      <c r="B323" s="2"/>
      <c r="C323" s="2"/>
      <c r="D323" s="2"/>
      <c r="E323" s="2"/>
      <c r="F323" s="2"/>
      <c r="G323" s="2"/>
      <c r="H323" s="2"/>
      <c r="I323" s="2">
        <v>90.132599999999996</v>
      </c>
      <c r="J323" s="2">
        <v>348</v>
      </c>
      <c r="K323" s="2">
        <v>107.539</v>
      </c>
      <c r="L323" s="2">
        <v>258</v>
      </c>
      <c r="M323" s="2">
        <v>104.883</v>
      </c>
      <c r="N323" s="2">
        <v>179</v>
      </c>
      <c r="O323" s="2">
        <v>-14.7506</v>
      </c>
      <c r="P323" s="2">
        <v>322</v>
      </c>
    </row>
    <row r="324" spans="1:16" ht="12.3" x14ac:dyDescent="0.4">
      <c r="A324" s="2" t="s">
        <v>345</v>
      </c>
      <c r="B324" s="2"/>
      <c r="C324" s="2"/>
      <c r="D324" s="2"/>
      <c r="E324" s="2"/>
      <c r="F324" s="2"/>
      <c r="G324" s="2"/>
      <c r="H324" s="2"/>
      <c r="I324" s="2">
        <v>91.186800000000005</v>
      </c>
      <c r="J324" s="2">
        <v>344</v>
      </c>
      <c r="K324" s="2">
        <v>100.492</v>
      </c>
      <c r="L324" s="2">
        <v>100</v>
      </c>
      <c r="M324" s="2">
        <v>106.52</v>
      </c>
      <c r="N324" s="2">
        <v>211</v>
      </c>
      <c r="O324" s="2">
        <v>-15.333600000000001</v>
      </c>
      <c r="P324" s="2">
        <v>323</v>
      </c>
    </row>
    <row r="325" spans="1:16" ht="12.3" x14ac:dyDescent="0.4">
      <c r="A325" s="2" t="s">
        <v>175</v>
      </c>
      <c r="B325" s="2"/>
      <c r="C325" s="2"/>
      <c r="D325" s="2"/>
      <c r="E325" s="2"/>
      <c r="F325" s="2"/>
      <c r="G325" s="2"/>
      <c r="H325" s="2"/>
      <c r="I325" s="2">
        <v>92.940200000000004</v>
      </c>
      <c r="J325" s="2">
        <v>334</v>
      </c>
      <c r="K325" s="2">
        <v>106.824</v>
      </c>
      <c r="L325" s="2">
        <v>243</v>
      </c>
      <c r="M325" s="2">
        <v>108.40300000000001</v>
      </c>
      <c r="N325" s="2">
        <v>247</v>
      </c>
      <c r="O325" s="2">
        <v>-15.4633</v>
      </c>
      <c r="P325" s="2">
        <v>324</v>
      </c>
    </row>
    <row r="326" spans="1:16" ht="12.3" x14ac:dyDescent="0.4">
      <c r="A326" s="2" t="s">
        <v>338</v>
      </c>
      <c r="B326" s="2"/>
      <c r="C326" s="2"/>
      <c r="D326" s="2"/>
      <c r="E326" s="2"/>
      <c r="F326" s="2"/>
      <c r="G326" s="2"/>
      <c r="H326" s="2"/>
      <c r="I326" s="2">
        <v>97.956900000000005</v>
      </c>
      <c r="J326" s="2">
        <v>289</v>
      </c>
      <c r="K326" s="2">
        <v>105.268</v>
      </c>
      <c r="L326" s="2">
        <v>214</v>
      </c>
      <c r="M326" s="2">
        <v>113.539</v>
      </c>
      <c r="N326" s="2">
        <v>322</v>
      </c>
      <c r="O326" s="2">
        <v>-15.581899999999999</v>
      </c>
      <c r="P326" s="2">
        <v>325</v>
      </c>
    </row>
    <row r="327" spans="1:16" ht="12.3" x14ac:dyDescent="0.4">
      <c r="A327" s="2" t="s">
        <v>254</v>
      </c>
      <c r="B327" s="2"/>
      <c r="C327" s="2"/>
      <c r="D327" s="2"/>
      <c r="E327" s="2"/>
      <c r="F327" s="2"/>
      <c r="G327" s="2"/>
      <c r="H327" s="2"/>
      <c r="I327" s="2">
        <v>94.936099999999996</v>
      </c>
      <c r="J327" s="2">
        <v>327</v>
      </c>
      <c r="K327" s="2">
        <v>107.575</v>
      </c>
      <c r="L327" s="2">
        <v>264</v>
      </c>
      <c r="M327" s="2">
        <v>110.568</v>
      </c>
      <c r="N327" s="2">
        <v>290</v>
      </c>
      <c r="O327" s="2">
        <v>-15.632300000000001</v>
      </c>
      <c r="P327" s="2">
        <v>326</v>
      </c>
    </row>
    <row r="328" spans="1:16" ht="12.3" x14ac:dyDescent="0.4">
      <c r="A328" s="2" t="s">
        <v>263</v>
      </c>
      <c r="B328" s="2"/>
      <c r="C328" s="2"/>
      <c r="D328" s="2"/>
      <c r="E328" s="2"/>
      <c r="F328" s="2"/>
      <c r="G328" s="2"/>
      <c r="H328" s="2"/>
      <c r="I328" s="2">
        <v>97.639099999999999</v>
      </c>
      <c r="J328" s="2">
        <v>295</v>
      </c>
      <c r="K328" s="2">
        <v>114.983</v>
      </c>
      <c r="L328" s="2">
        <v>341</v>
      </c>
      <c r="M328" s="2">
        <v>113.66800000000001</v>
      </c>
      <c r="N328" s="2">
        <v>323</v>
      </c>
      <c r="O328" s="2">
        <v>-16.028500000000001</v>
      </c>
      <c r="P328" s="2">
        <v>327</v>
      </c>
    </row>
    <row r="329" spans="1:16" ht="12.3" x14ac:dyDescent="0.4">
      <c r="A329" s="2" t="s">
        <v>329</v>
      </c>
      <c r="B329" s="2"/>
      <c r="C329" s="2"/>
      <c r="D329" s="2"/>
      <c r="E329" s="2"/>
      <c r="F329" s="2"/>
      <c r="G329" s="2"/>
      <c r="H329" s="2"/>
      <c r="I329" s="2">
        <v>96.544200000000004</v>
      </c>
      <c r="J329" s="2">
        <v>309</v>
      </c>
      <c r="K329" s="2">
        <v>105.986</v>
      </c>
      <c r="L329" s="2">
        <v>227</v>
      </c>
      <c r="M329" s="2">
        <v>112.622</v>
      </c>
      <c r="N329" s="2">
        <v>315</v>
      </c>
      <c r="O329" s="2">
        <v>-16.0779</v>
      </c>
      <c r="P329" s="2">
        <v>328</v>
      </c>
    </row>
    <row r="330" spans="1:16" ht="12.3" x14ac:dyDescent="0.4">
      <c r="A330" s="2" t="s">
        <v>312</v>
      </c>
      <c r="B330" s="2"/>
      <c r="C330" s="2"/>
      <c r="D330" s="2"/>
      <c r="E330" s="2"/>
      <c r="F330" s="2"/>
      <c r="G330" s="2"/>
      <c r="H330" s="2"/>
      <c r="I330" s="2">
        <v>92.775000000000006</v>
      </c>
      <c r="J330" s="2">
        <v>336</v>
      </c>
      <c r="K330" s="2">
        <v>102.533</v>
      </c>
      <c r="L330" s="2">
        <v>149</v>
      </c>
      <c r="M330" s="2">
        <v>108.976</v>
      </c>
      <c r="N330" s="2">
        <v>257</v>
      </c>
      <c r="O330" s="2">
        <v>-16.200700000000001</v>
      </c>
      <c r="P330" s="2">
        <v>329</v>
      </c>
    </row>
    <row r="331" spans="1:16" ht="12.3" x14ac:dyDescent="0.4">
      <c r="A331" s="2" t="s">
        <v>273</v>
      </c>
      <c r="B331" s="2"/>
      <c r="C331" s="2"/>
      <c r="D331" s="2"/>
      <c r="E331" s="2"/>
      <c r="F331" s="2"/>
      <c r="G331" s="2"/>
      <c r="H331" s="2"/>
      <c r="I331" s="2">
        <v>96.125699999999995</v>
      </c>
      <c r="J331" s="2">
        <v>316</v>
      </c>
      <c r="K331" s="2">
        <v>109.146</v>
      </c>
      <c r="L331" s="2">
        <v>296</v>
      </c>
      <c r="M331" s="2">
        <v>113.36799999999999</v>
      </c>
      <c r="N331" s="2">
        <v>321</v>
      </c>
      <c r="O331" s="2">
        <v>-17.241900000000001</v>
      </c>
      <c r="P331" s="2">
        <v>330</v>
      </c>
    </row>
    <row r="332" spans="1:16" ht="12.3" x14ac:dyDescent="0.4">
      <c r="A332" s="2" t="s">
        <v>104</v>
      </c>
      <c r="B332" s="2"/>
      <c r="C332" s="2"/>
      <c r="D332" s="2"/>
      <c r="E332" s="2"/>
      <c r="F332" s="2"/>
      <c r="G332" s="2"/>
      <c r="H332" s="2"/>
      <c r="I332" s="2">
        <v>91.331599999999995</v>
      </c>
      <c r="J332" s="2">
        <v>343</v>
      </c>
      <c r="K332" s="2">
        <v>107.17700000000001</v>
      </c>
      <c r="L332" s="2">
        <v>250</v>
      </c>
      <c r="M332" s="2">
        <v>109.47499999999999</v>
      </c>
      <c r="N332" s="2">
        <v>271</v>
      </c>
      <c r="O332" s="2">
        <v>-18.1434</v>
      </c>
      <c r="P332" s="2">
        <v>331</v>
      </c>
    </row>
    <row r="333" spans="1:16" ht="12.3" x14ac:dyDescent="0.4">
      <c r="A333" s="2" t="s">
        <v>294</v>
      </c>
      <c r="B333" s="2"/>
      <c r="C333" s="2"/>
      <c r="D333" s="2"/>
      <c r="E333" s="2"/>
      <c r="F333" s="2"/>
      <c r="G333" s="2"/>
      <c r="H333" s="2"/>
      <c r="I333" s="2">
        <v>97.706400000000002</v>
      </c>
      <c r="J333" s="2">
        <v>294</v>
      </c>
      <c r="K333" s="2">
        <v>114.621</v>
      </c>
      <c r="L333" s="2">
        <v>340</v>
      </c>
      <c r="M333" s="2">
        <v>115.964</v>
      </c>
      <c r="N333" s="2">
        <v>338</v>
      </c>
      <c r="O333" s="2">
        <v>-18.258099999999999</v>
      </c>
      <c r="P333" s="2">
        <v>332</v>
      </c>
    </row>
    <row r="334" spans="1:16" ht="12.3" x14ac:dyDescent="0.4">
      <c r="A334" s="2" t="s">
        <v>295</v>
      </c>
      <c r="B334" s="2"/>
      <c r="C334" s="2"/>
      <c r="D334" s="2"/>
      <c r="E334" s="2"/>
      <c r="F334" s="2"/>
      <c r="G334" s="2"/>
      <c r="H334" s="2"/>
      <c r="I334" s="2">
        <v>92.512</v>
      </c>
      <c r="J334" s="2">
        <v>337</v>
      </c>
      <c r="K334" s="2">
        <v>108.634</v>
      </c>
      <c r="L334" s="2">
        <v>285</v>
      </c>
      <c r="M334" s="2">
        <v>110.77500000000001</v>
      </c>
      <c r="N334" s="2">
        <v>297</v>
      </c>
      <c r="O334" s="2">
        <v>-18.263000000000002</v>
      </c>
      <c r="P334" s="2">
        <v>333</v>
      </c>
    </row>
    <row r="335" spans="1:16" ht="12.3" x14ac:dyDescent="0.4">
      <c r="A335" s="2" t="s">
        <v>237</v>
      </c>
      <c r="B335" s="2"/>
      <c r="C335" s="2"/>
      <c r="D335" s="2"/>
      <c r="E335" s="2"/>
      <c r="F335" s="2"/>
      <c r="G335" s="2"/>
      <c r="H335" s="2"/>
      <c r="I335" s="2">
        <v>101.19</v>
      </c>
      <c r="J335" s="2">
        <v>232</v>
      </c>
      <c r="K335" s="2">
        <v>116.52200000000001</v>
      </c>
      <c r="L335" s="2">
        <v>348</v>
      </c>
      <c r="M335" s="2">
        <v>119.777</v>
      </c>
      <c r="N335" s="2">
        <v>349</v>
      </c>
      <c r="O335" s="2">
        <v>-18.5867</v>
      </c>
      <c r="P335" s="2">
        <v>334</v>
      </c>
    </row>
    <row r="336" spans="1:16" ht="12.3" x14ac:dyDescent="0.4">
      <c r="A336" s="2" t="s">
        <v>288</v>
      </c>
      <c r="B336" s="2"/>
      <c r="C336" s="2"/>
      <c r="D336" s="2"/>
      <c r="E336" s="2"/>
      <c r="F336" s="2"/>
      <c r="G336" s="2"/>
      <c r="H336" s="2"/>
      <c r="I336" s="2">
        <v>99.094999999999999</v>
      </c>
      <c r="J336" s="2">
        <v>268</v>
      </c>
      <c r="K336" s="2">
        <v>115.011</v>
      </c>
      <c r="L336" s="2">
        <v>342</v>
      </c>
      <c r="M336" s="2">
        <v>118.324</v>
      </c>
      <c r="N336" s="2">
        <v>348</v>
      </c>
      <c r="O336" s="2">
        <v>-19.2286</v>
      </c>
      <c r="P336" s="2">
        <v>335</v>
      </c>
    </row>
    <row r="337" spans="1:16" ht="12.3" x14ac:dyDescent="0.4">
      <c r="A337" s="2" t="s">
        <v>348</v>
      </c>
      <c r="B337" s="2"/>
      <c r="C337" s="2"/>
      <c r="D337" s="2"/>
      <c r="E337" s="2"/>
      <c r="F337" s="2"/>
      <c r="G337" s="2"/>
      <c r="H337" s="2"/>
      <c r="I337" s="2">
        <v>91.907600000000002</v>
      </c>
      <c r="J337" s="2">
        <v>340</v>
      </c>
      <c r="K337" s="2">
        <v>111.586</v>
      </c>
      <c r="L337" s="2">
        <v>329</v>
      </c>
      <c r="M337" s="2">
        <v>111.286</v>
      </c>
      <c r="N337" s="2">
        <v>302</v>
      </c>
      <c r="O337" s="2">
        <v>-19.3781</v>
      </c>
      <c r="P337" s="2">
        <v>336</v>
      </c>
    </row>
    <row r="338" spans="1:16" ht="12.3" x14ac:dyDescent="0.4">
      <c r="A338" s="2" t="s">
        <v>309</v>
      </c>
      <c r="B338" s="2"/>
      <c r="C338" s="2"/>
      <c r="D338" s="2"/>
      <c r="E338" s="2"/>
      <c r="F338" s="2"/>
      <c r="G338" s="2"/>
      <c r="H338" s="2"/>
      <c r="I338" s="2">
        <v>91.117800000000003</v>
      </c>
      <c r="J338" s="2">
        <v>345</v>
      </c>
      <c r="K338" s="2">
        <v>109.751</v>
      </c>
      <c r="L338" s="2">
        <v>308</v>
      </c>
      <c r="M338" s="2">
        <v>110.602</v>
      </c>
      <c r="N338" s="2">
        <v>292</v>
      </c>
      <c r="O338" s="2">
        <v>-19.4846</v>
      </c>
      <c r="P338" s="2">
        <v>337</v>
      </c>
    </row>
    <row r="339" spans="1:16" ht="12.3" x14ac:dyDescent="0.4">
      <c r="A339" s="2" t="s">
        <v>242</v>
      </c>
      <c r="B339" s="2"/>
      <c r="C339" s="2"/>
      <c r="D339" s="2"/>
      <c r="E339" s="2"/>
      <c r="F339" s="2"/>
      <c r="G339" s="2"/>
      <c r="H339" s="2"/>
      <c r="I339" s="2">
        <v>90.493600000000001</v>
      </c>
      <c r="J339" s="2">
        <v>347</v>
      </c>
      <c r="K339" s="2">
        <v>106.117</v>
      </c>
      <c r="L339" s="2">
        <v>228</v>
      </c>
      <c r="M339" s="2">
        <v>110.051</v>
      </c>
      <c r="N339" s="2">
        <v>286</v>
      </c>
      <c r="O339" s="2">
        <v>-19.557500000000001</v>
      </c>
      <c r="P339" s="2">
        <v>338</v>
      </c>
    </row>
    <row r="340" spans="1:16" ht="12.3" x14ac:dyDescent="0.4">
      <c r="A340" s="2" t="s">
        <v>265</v>
      </c>
      <c r="B340" s="2"/>
      <c r="C340" s="2"/>
      <c r="D340" s="2"/>
      <c r="E340" s="2"/>
      <c r="F340" s="2"/>
      <c r="G340" s="2"/>
      <c r="H340" s="2"/>
      <c r="I340" s="2">
        <v>94.246700000000004</v>
      </c>
      <c r="J340" s="2">
        <v>329</v>
      </c>
      <c r="K340" s="2">
        <v>110.30200000000001</v>
      </c>
      <c r="L340" s="2">
        <v>320</v>
      </c>
      <c r="M340" s="2">
        <v>114.102</v>
      </c>
      <c r="N340" s="2">
        <v>327</v>
      </c>
      <c r="O340" s="2">
        <v>-19.855</v>
      </c>
      <c r="P340" s="2">
        <v>339</v>
      </c>
    </row>
    <row r="341" spans="1:16" ht="12.3" x14ac:dyDescent="0.4">
      <c r="A341" s="2" t="s">
        <v>313</v>
      </c>
      <c r="B341" s="2"/>
      <c r="C341" s="2"/>
      <c r="D341" s="2"/>
      <c r="E341" s="2"/>
      <c r="F341" s="2"/>
      <c r="G341" s="2"/>
      <c r="H341" s="2"/>
      <c r="I341" s="2">
        <v>95.060900000000004</v>
      </c>
      <c r="J341" s="2">
        <v>325</v>
      </c>
      <c r="K341" s="2">
        <v>109.999</v>
      </c>
      <c r="L341" s="2">
        <v>311</v>
      </c>
      <c r="M341" s="2">
        <v>115.271</v>
      </c>
      <c r="N341" s="2">
        <v>335</v>
      </c>
      <c r="O341" s="2">
        <v>-20.21</v>
      </c>
      <c r="P341" s="2">
        <v>340</v>
      </c>
    </row>
    <row r="342" spans="1:16" ht="12.3" x14ac:dyDescent="0.4">
      <c r="A342" s="2" t="s">
        <v>156</v>
      </c>
      <c r="B342" s="2"/>
      <c r="C342" s="2"/>
      <c r="D342" s="2"/>
      <c r="E342" s="2"/>
      <c r="F342" s="2"/>
      <c r="G342" s="2"/>
      <c r="H342" s="2"/>
      <c r="I342" s="2">
        <v>92.856700000000004</v>
      </c>
      <c r="J342" s="2">
        <v>335</v>
      </c>
      <c r="K342" s="2">
        <v>108.68</v>
      </c>
      <c r="L342" s="2">
        <v>287</v>
      </c>
      <c r="M342" s="2">
        <v>113.944</v>
      </c>
      <c r="N342" s="2">
        <v>325</v>
      </c>
      <c r="O342" s="2">
        <v>-21.087299999999999</v>
      </c>
      <c r="P342" s="2">
        <v>341</v>
      </c>
    </row>
    <row r="343" spans="1:16" ht="12.3" x14ac:dyDescent="0.4">
      <c r="A343" s="2" t="s">
        <v>297</v>
      </c>
      <c r="B343" s="2"/>
      <c r="C343" s="3"/>
      <c r="D343" s="2"/>
      <c r="E343" s="2"/>
      <c r="F343" s="2"/>
      <c r="G343" s="2"/>
      <c r="H343" s="2"/>
      <c r="I343" s="2">
        <v>91.112099999999998</v>
      </c>
      <c r="J343" s="2">
        <v>346</v>
      </c>
      <c r="K343" s="2">
        <v>106.208</v>
      </c>
      <c r="L343" s="2">
        <v>231</v>
      </c>
      <c r="M343" s="2">
        <v>112.666</v>
      </c>
      <c r="N343" s="2">
        <v>316</v>
      </c>
      <c r="O343" s="2">
        <v>-21.553599999999999</v>
      </c>
      <c r="P343" s="2">
        <v>342</v>
      </c>
    </row>
    <row r="344" spans="1:16" ht="12.3" x14ac:dyDescent="0.4">
      <c r="A344" s="2" t="s">
        <v>341</v>
      </c>
      <c r="B344" s="2"/>
      <c r="C344" s="3"/>
      <c r="D344" s="2"/>
      <c r="E344" s="2"/>
      <c r="F344" s="2"/>
      <c r="G344" s="2"/>
      <c r="H344" s="2"/>
      <c r="I344" s="2">
        <v>93.665700000000001</v>
      </c>
      <c r="J344" s="2">
        <v>331</v>
      </c>
      <c r="K344" s="2">
        <v>111.565</v>
      </c>
      <c r="L344" s="2">
        <v>328</v>
      </c>
      <c r="M344" s="2">
        <v>115.41200000000001</v>
      </c>
      <c r="N344" s="2">
        <v>336</v>
      </c>
      <c r="O344" s="2">
        <v>-21.746700000000001</v>
      </c>
      <c r="P344" s="2">
        <v>343</v>
      </c>
    </row>
    <row r="345" spans="1:16" ht="12.3" x14ac:dyDescent="0.4">
      <c r="A345" s="2" t="s">
        <v>301</v>
      </c>
      <c r="B345" s="2"/>
      <c r="C345" s="2"/>
      <c r="D345" s="2"/>
      <c r="E345" s="2"/>
      <c r="F345" s="2"/>
      <c r="G345" s="2"/>
      <c r="H345" s="2"/>
      <c r="I345" s="2">
        <v>93.630099999999999</v>
      </c>
      <c r="J345" s="2">
        <v>333</v>
      </c>
      <c r="K345" s="2">
        <v>109.267</v>
      </c>
      <c r="L345" s="2">
        <v>299</v>
      </c>
      <c r="M345" s="2">
        <v>115.973</v>
      </c>
      <c r="N345" s="2">
        <v>339</v>
      </c>
      <c r="O345" s="2">
        <v>-22.343</v>
      </c>
      <c r="P345" s="2">
        <v>344</v>
      </c>
    </row>
    <row r="346" spans="1:16" ht="12.3" x14ac:dyDescent="0.4">
      <c r="A346" s="2" t="s">
        <v>299</v>
      </c>
      <c r="B346" s="2"/>
      <c r="C346" s="2"/>
      <c r="D346" s="2"/>
      <c r="E346" s="2"/>
      <c r="F346" s="2"/>
      <c r="G346" s="2"/>
      <c r="H346" s="2"/>
      <c r="I346" s="2">
        <v>95.778999999999996</v>
      </c>
      <c r="J346" s="2">
        <v>319</v>
      </c>
      <c r="K346" s="2">
        <v>114.46599999999999</v>
      </c>
      <c r="L346" s="2">
        <v>339</v>
      </c>
      <c r="M346" s="2">
        <v>118.23099999999999</v>
      </c>
      <c r="N346" s="2">
        <v>347</v>
      </c>
      <c r="O346" s="2">
        <v>-22.451599999999999</v>
      </c>
      <c r="P346" s="2">
        <v>345</v>
      </c>
    </row>
    <row r="347" spans="1:16" ht="12.3" x14ac:dyDescent="0.4">
      <c r="A347" s="2" t="s">
        <v>277</v>
      </c>
      <c r="B347" s="2"/>
      <c r="C347" s="2"/>
      <c r="D347" s="2"/>
      <c r="E347" s="2"/>
      <c r="F347" s="2"/>
      <c r="G347" s="2"/>
      <c r="H347" s="2"/>
      <c r="I347" s="2">
        <v>87.776799999999994</v>
      </c>
      <c r="J347" s="2">
        <v>350</v>
      </c>
      <c r="K347" s="2">
        <v>107.54300000000001</v>
      </c>
      <c r="L347" s="2">
        <v>262</v>
      </c>
      <c r="M347" s="2">
        <v>112.09399999999999</v>
      </c>
      <c r="N347" s="2">
        <v>307</v>
      </c>
      <c r="O347" s="2">
        <v>-24.317299999999999</v>
      </c>
      <c r="P347" s="2">
        <v>346</v>
      </c>
    </row>
    <row r="348" spans="1:16" ht="12.3" x14ac:dyDescent="0.4">
      <c r="A348" s="2" t="s">
        <v>359</v>
      </c>
      <c r="B348" s="2"/>
      <c r="C348" s="2"/>
      <c r="D348" s="2"/>
      <c r="E348" s="2"/>
      <c r="F348" s="2"/>
      <c r="G348" s="2"/>
      <c r="H348" s="2"/>
      <c r="I348" s="2">
        <v>92.169399999999996</v>
      </c>
      <c r="J348" s="2">
        <v>338</v>
      </c>
      <c r="K348" s="2">
        <v>114.202</v>
      </c>
      <c r="L348" s="2">
        <v>338</v>
      </c>
      <c r="M348" s="2">
        <v>117.289</v>
      </c>
      <c r="N348" s="2">
        <v>343</v>
      </c>
      <c r="O348" s="2">
        <v>-25.119800000000001</v>
      </c>
      <c r="P348" s="2">
        <v>347</v>
      </c>
    </row>
    <row r="349" spans="1:16" ht="12.3" x14ac:dyDescent="0.4">
      <c r="A349" s="2" t="s">
        <v>351</v>
      </c>
      <c r="B349" s="2"/>
      <c r="C349" s="3"/>
      <c r="D349" s="3"/>
      <c r="E349" s="3"/>
      <c r="F349" s="2"/>
      <c r="G349" s="2"/>
      <c r="H349" s="2"/>
      <c r="I349" s="2">
        <v>85.653899999999993</v>
      </c>
      <c r="J349" s="2">
        <v>351</v>
      </c>
      <c r="K349" s="2">
        <v>105.688</v>
      </c>
      <c r="L349" s="2">
        <v>222</v>
      </c>
      <c r="M349" s="2">
        <v>110.855</v>
      </c>
      <c r="N349" s="2">
        <v>298</v>
      </c>
      <c r="O349" s="2">
        <v>-25.201000000000001</v>
      </c>
      <c r="P349" s="2">
        <v>348</v>
      </c>
    </row>
    <row r="350" spans="1:16" ht="12.3" x14ac:dyDescent="0.4">
      <c r="A350" s="2" t="s">
        <v>296</v>
      </c>
      <c r="B350" s="2"/>
      <c r="C350" s="2"/>
      <c r="D350" s="2"/>
      <c r="E350" s="2"/>
      <c r="F350" s="2"/>
      <c r="G350" s="2"/>
      <c r="H350" s="2"/>
      <c r="I350" s="2">
        <v>95.497399999999999</v>
      </c>
      <c r="J350" s="2">
        <v>321</v>
      </c>
      <c r="K350" s="2">
        <v>116.55500000000001</v>
      </c>
      <c r="L350" s="2">
        <v>349</v>
      </c>
      <c r="M350" s="2">
        <v>122.974</v>
      </c>
      <c r="N350" s="2">
        <v>351</v>
      </c>
      <c r="O350" s="2">
        <v>-27.476199999999999</v>
      </c>
      <c r="P350" s="2">
        <v>349</v>
      </c>
    </row>
    <row r="351" spans="1:16" ht="12.3" x14ac:dyDescent="0.4">
      <c r="A351" s="2" t="s">
        <v>368</v>
      </c>
      <c r="B351" s="2"/>
      <c r="C351" s="2"/>
      <c r="D351" s="2"/>
      <c r="E351" s="2"/>
      <c r="F351" s="2"/>
      <c r="G351" s="2"/>
      <c r="H351" s="2"/>
      <c r="I351" s="2">
        <v>88.854200000000006</v>
      </c>
      <c r="J351" s="2">
        <v>349</v>
      </c>
      <c r="K351" s="2">
        <v>116.446</v>
      </c>
      <c r="L351" s="2">
        <v>347</v>
      </c>
      <c r="M351" s="2">
        <v>118.081</v>
      </c>
      <c r="N351" s="2">
        <v>346</v>
      </c>
      <c r="O351" s="2">
        <v>-29.226600000000001</v>
      </c>
      <c r="P351" s="2">
        <v>350</v>
      </c>
    </row>
    <row r="352" spans="1:16" ht="12.3" x14ac:dyDescent="0.4">
      <c r="A352" s="2" t="s">
        <v>272</v>
      </c>
      <c r="B352" s="2"/>
      <c r="C352" s="3"/>
      <c r="D352" s="2"/>
      <c r="E352" s="2"/>
      <c r="F352" s="2"/>
      <c r="G352" s="2"/>
      <c r="H352" s="2"/>
      <c r="I352" s="2">
        <v>91.421700000000001</v>
      </c>
      <c r="J352" s="2">
        <v>342</v>
      </c>
      <c r="K352" s="2">
        <v>117.04900000000001</v>
      </c>
      <c r="L352" s="2">
        <v>350</v>
      </c>
      <c r="M352" s="2">
        <v>121.63500000000001</v>
      </c>
      <c r="N352" s="2">
        <v>350</v>
      </c>
      <c r="O352" s="2">
        <v>-30.212800000000001</v>
      </c>
      <c r="P352" s="2">
        <v>351</v>
      </c>
    </row>
    <row r="353" spans="3:8" ht="12.3" x14ac:dyDescent="0.4">
      <c r="C353" s="2" t="s">
        <v>26</v>
      </c>
      <c r="D353" s="2" t="s">
        <v>27</v>
      </c>
      <c r="E353" s="2" t="s">
        <v>28</v>
      </c>
      <c r="F353" s="2" t="s">
        <v>29</v>
      </c>
      <c r="G353" s="2" t="s">
        <v>30</v>
      </c>
      <c r="H353" s="2" t="s">
        <v>31</v>
      </c>
    </row>
    <row r="354" spans="3:8" ht="12.3" x14ac:dyDescent="0.4">
      <c r="C354" s="3"/>
      <c r="D354" s="3"/>
      <c r="E354" s="3"/>
      <c r="F354" s="2"/>
      <c r="G354" s="2"/>
      <c r="H354" s="2"/>
    </row>
    <row r="355" spans="3:8" ht="12.3" x14ac:dyDescent="0.4">
      <c r="C355" s="3"/>
      <c r="D355" s="3"/>
      <c r="E355" s="2"/>
      <c r="F355" s="2"/>
      <c r="G355" s="2"/>
      <c r="H355" s="2"/>
    </row>
    <row r="356" spans="3:8" ht="12.3" x14ac:dyDescent="0.4">
      <c r="C356" s="3"/>
      <c r="D356" s="3"/>
      <c r="E356" s="3"/>
      <c r="F356" s="3"/>
      <c r="G356" s="2"/>
      <c r="H356" s="2"/>
    </row>
    <row r="357" spans="3:8" ht="12.3" x14ac:dyDescent="0.4">
      <c r="C357" s="3"/>
      <c r="D357" s="3"/>
      <c r="E357" s="2"/>
      <c r="F357" s="2"/>
      <c r="G357" s="2"/>
      <c r="H357" s="2"/>
    </row>
    <row r="358" spans="3:8" ht="12.3" x14ac:dyDescent="0.4">
      <c r="C358" s="3"/>
      <c r="D358" s="2"/>
      <c r="E358" s="2"/>
      <c r="F358" s="2"/>
      <c r="G358" s="2"/>
      <c r="H358" s="2"/>
    </row>
    <row r="359" spans="3:8" ht="12.3" x14ac:dyDescent="0.4">
      <c r="C359" s="3"/>
      <c r="D359" s="2"/>
      <c r="E359" s="2"/>
      <c r="F359" s="2"/>
      <c r="G359" s="2"/>
      <c r="H359" s="2"/>
    </row>
    <row r="360" spans="3:8" ht="12.3" x14ac:dyDescent="0.4">
      <c r="C360" s="2"/>
      <c r="D360" s="2"/>
      <c r="E360" s="2"/>
      <c r="F360" s="2"/>
      <c r="G360" s="2"/>
      <c r="H360" s="2"/>
    </row>
    <row r="361" spans="3:8" ht="12.3" x14ac:dyDescent="0.4">
      <c r="C361" s="3"/>
      <c r="D361" s="2"/>
      <c r="E361" s="2"/>
      <c r="F361" s="2"/>
      <c r="G361" s="2"/>
      <c r="H361" s="2"/>
    </row>
    <row r="362" spans="3:8" ht="12.3" x14ac:dyDescent="0.4">
      <c r="C362" s="3"/>
      <c r="D362" s="2"/>
      <c r="E362" s="2"/>
      <c r="F362" s="2"/>
      <c r="G362" s="2"/>
      <c r="H362" s="2"/>
    </row>
    <row r="363" spans="3:8" ht="12.3" x14ac:dyDescent="0.4">
      <c r="C363" s="3"/>
      <c r="D363" s="3"/>
      <c r="E363" s="3"/>
      <c r="F363" s="2"/>
      <c r="G363" s="2"/>
      <c r="H363" s="2"/>
    </row>
    <row r="364" spans="3:8" ht="12.3" x14ac:dyDescent="0.4">
      <c r="C364" s="3"/>
      <c r="D364" s="3"/>
      <c r="E364" s="3"/>
      <c r="F364" s="3"/>
      <c r="G364" s="2"/>
      <c r="H364" s="2"/>
    </row>
    <row r="365" spans="3:8" ht="12.3" x14ac:dyDescent="0.4">
      <c r="C365" s="2"/>
      <c r="D365" s="2"/>
      <c r="E365" s="2"/>
      <c r="F365" s="2"/>
      <c r="G365" s="2"/>
      <c r="H365" s="2"/>
    </row>
    <row r="366" spans="3:8" ht="12.3" x14ac:dyDescent="0.4">
      <c r="C366" s="3"/>
      <c r="D366" s="3"/>
      <c r="E366" s="2"/>
      <c r="F366" s="2"/>
      <c r="G366" s="2"/>
      <c r="H366" s="2"/>
    </row>
    <row r="367" spans="3:8" ht="12.3" x14ac:dyDescent="0.4">
      <c r="C367" s="3"/>
      <c r="D367" s="3"/>
      <c r="E367" s="3"/>
      <c r="F367" s="2"/>
      <c r="G367" s="2"/>
      <c r="H367" s="2"/>
    </row>
    <row r="368" spans="3:8" ht="12.3" x14ac:dyDescent="0.4">
      <c r="C368" s="3"/>
      <c r="D368" s="2"/>
      <c r="E368" s="2"/>
      <c r="F368" s="2"/>
      <c r="G368" s="2"/>
      <c r="H368" s="2"/>
    </row>
    <row r="369" spans="3:8" ht="12.3" x14ac:dyDescent="0.4">
      <c r="C369" s="3"/>
      <c r="D369" s="3"/>
      <c r="E369" s="2"/>
      <c r="F369" s="2"/>
      <c r="G369" s="2"/>
      <c r="H369" s="2"/>
    </row>
    <row r="370" spans="3:8" ht="12.3" x14ac:dyDescent="0.4">
      <c r="C370" s="3"/>
      <c r="D370" s="3"/>
      <c r="E370" s="3"/>
      <c r="F370" s="3"/>
      <c r="G370" s="3"/>
      <c r="H370" s="2"/>
    </row>
    <row r="371" spans="3:8" ht="12.3" x14ac:dyDescent="0.4">
      <c r="C371" s="3"/>
      <c r="D371" s="2"/>
      <c r="E371" s="2"/>
      <c r="F371" s="2"/>
      <c r="G371" s="2"/>
      <c r="H371" s="2"/>
    </row>
    <row r="372" spans="3:8" ht="12.3" x14ac:dyDescent="0.4">
      <c r="C372" s="2"/>
      <c r="D372" s="2"/>
      <c r="E372" s="2"/>
      <c r="F372" s="2"/>
      <c r="G372" s="2"/>
      <c r="H372" s="2"/>
    </row>
    <row r="373" spans="3:8" ht="12.3" x14ac:dyDescent="0.4">
      <c r="C373" s="3"/>
      <c r="D373" s="2"/>
      <c r="E373" s="2"/>
      <c r="F373" s="2"/>
      <c r="G373" s="2"/>
      <c r="H373" s="2"/>
    </row>
    <row r="374" spans="3:8" ht="12.3" x14ac:dyDescent="0.4">
      <c r="C374" s="3"/>
      <c r="D374" s="3"/>
      <c r="E374" s="2"/>
      <c r="F374" s="2"/>
      <c r="G374" s="2"/>
      <c r="H374" s="2"/>
    </row>
    <row r="375" spans="3:8" ht="12.3" x14ac:dyDescent="0.4">
      <c r="C375" s="2"/>
      <c r="D375" s="2"/>
      <c r="E375" s="2"/>
      <c r="F375" s="2"/>
      <c r="G375" s="2"/>
      <c r="H375" s="2"/>
    </row>
    <row r="376" spans="3:8" ht="12.3" x14ac:dyDescent="0.4">
      <c r="C376" s="3"/>
      <c r="D376" s="3"/>
      <c r="E376" s="2"/>
      <c r="F376" s="2"/>
      <c r="G376" s="2"/>
      <c r="H376" s="2"/>
    </row>
    <row r="377" spans="3:8" ht="12.3" x14ac:dyDescent="0.4">
      <c r="C377" s="2"/>
      <c r="D377" s="2"/>
      <c r="E377" s="2"/>
      <c r="F377" s="2"/>
      <c r="G377" s="2"/>
      <c r="H377" s="2"/>
    </row>
    <row r="378" spans="3:8" ht="12.3" x14ac:dyDescent="0.4">
      <c r="C378" s="3"/>
      <c r="D378" s="3"/>
      <c r="E378" s="3"/>
      <c r="F378" s="3"/>
      <c r="G378" s="3"/>
      <c r="H378" s="3"/>
    </row>
    <row r="379" spans="3:8" ht="12.3" x14ac:dyDescent="0.4">
      <c r="C379" s="3"/>
      <c r="D379" s="2"/>
      <c r="E379" s="2"/>
      <c r="F379" s="2"/>
      <c r="G379" s="2"/>
      <c r="H379" s="2"/>
    </row>
    <row r="380" spans="3:8" ht="12.3" x14ac:dyDescent="0.4">
      <c r="C380" s="2"/>
      <c r="D380" s="2"/>
      <c r="E380" s="2"/>
      <c r="F380" s="2"/>
      <c r="G380" s="2"/>
      <c r="H380" s="2"/>
    </row>
    <row r="381" spans="3:8" ht="12.3" x14ac:dyDescent="0.4">
      <c r="C381" s="2"/>
      <c r="D381" s="2"/>
      <c r="E381" s="2"/>
      <c r="F381" s="2"/>
      <c r="G381" s="2"/>
      <c r="H381" s="2"/>
    </row>
    <row r="382" spans="3:8" ht="12.3" x14ac:dyDescent="0.4">
      <c r="C382" s="2"/>
      <c r="D382" s="2"/>
      <c r="E382" s="2"/>
      <c r="F382" s="2"/>
      <c r="G382" s="2"/>
      <c r="H382" s="2"/>
    </row>
    <row r="383" spans="3:8" ht="12.3" x14ac:dyDescent="0.4">
      <c r="C383" s="3"/>
      <c r="D383" s="2"/>
      <c r="E383" s="2"/>
      <c r="F383" s="2"/>
      <c r="G383" s="2"/>
      <c r="H383" s="2"/>
    </row>
    <row r="384" spans="3:8" ht="12.3" x14ac:dyDescent="0.4">
      <c r="C384" s="3"/>
      <c r="D384" s="3"/>
      <c r="E384" s="2"/>
      <c r="F384" s="2"/>
      <c r="G384" s="2"/>
      <c r="H384" s="2"/>
    </row>
    <row r="385" spans="3:8" ht="12.3" x14ac:dyDescent="0.4">
      <c r="C385" s="2"/>
      <c r="D385" s="2"/>
      <c r="E385" s="2"/>
      <c r="F385" s="2"/>
      <c r="G385" s="2"/>
      <c r="H385" s="2"/>
    </row>
    <row r="386" spans="3:8" ht="12.3" x14ac:dyDescent="0.4">
      <c r="C386" s="3"/>
      <c r="D386" s="2"/>
      <c r="E386" s="2"/>
      <c r="F386" s="2"/>
      <c r="G386" s="2"/>
      <c r="H386" s="2"/>
    </row>
    <row r="387" spans="3:8" ht="12.3" x14ac:dyDescent="0.4">
      <c r="C387" s="3"/>
      <c r="D387" s="2"/>
      <c r="E387" s="2"/>
      <c r="F387" s="2"/>
      <c r="G387" s="2"/>
      <c r="H387" s="2"/>
    </row>
    <row r="388" spans="3:8" ht="12.3" x14ac:dyDescent="0.4">
      <c r="C388" s="2"/>
      <c r="D388" s="2"/>
      <c r="E388" s="2"/>
      <c r="F388" s="2"/>
      <c r="G388" s="2"/>
      <c r="H388" s="2"/>
    </row>
    <row r="389" spans="3:8" ht="12.3" x14ac:dyDescent="0.4">
      <c r="C389" s="2"/>
      <c r="D389" s="2"/>
      <c r="E389" s="2"/>
      <c r="F389" s="2"/>
      <c r="G389" s="2"/>
      <c r="H389" s="2"/>
    </row>
    <row r="390" spans="3:8" ht="12.3" x14ac:dyDescent="0.4">
      <c r="C390" s="3"/>
      <c r="D390" s="3"/>
      <c r="E390" s="2"/>
      <c r="F390" s="2"/>
      <c r="G390" s="2"/>
      <c r="H390" s="2"/>
    </row>
    <row r="391" spans="3:8" ht="12.3" x14ac:dyDescent="0.4">
      <c r="C391" s="2"/>
      <c r="D391" s="2"/>
      <c r="E391" s="2"/>
      <c r="F391" s="2"/>
      <c r="G391" s="2"/>
      <c r="H391" s="2"/>
    </row>
    <row r="392" spans="3:8" ht="12.3" x14ac:dyDescent="0.4">
      <c r="C392" s="3"/>
      <c r="D392" s="2"/>
      <c r="E392" s="2"/>
      <c r="F392" s="2"/>
      <c r="G392" s="2"/>
      <c r="H392" s="2"/>
    </row>
    <row r="393" spans="3:8" ht="12.3" x14ac:dyDescent="0.4">
      <c r="C393" s="2"/>
      <c r="D393" s="2"/>
      <c r="E393" s="2"/>
      <c r="F393" s="2"/>
      <c r="G393" s="2"/>
      <c r="H393" s="2"/>
    </row>
    <row r="394" spans="3:8" ht="12.3" x14ac:dyDescent="0.4">
      <c r="C394" s="2"/>
      <c r="D394" s="2"/>
      <c r="E394" s="2"/>
      <c r="F394" s="2"/>
      <c r="G394" s="2"/>
      <c r="H394" s="2"/>
    </row>
    <row r="395" spans="3:8" ht="12.3" x14ac:dyDescent="0.4">
      <c r="C395" s="2"/>
      <c r="D395" s="2"/>
      <c r="E395" s="2"/>
      <c r="F395" s="2"/>
      <c r="G395" s="2"/>
      <c r="H395" s="2"/>
    </row>
    <row r="396" spans="3:8" ht="12.3" x14ac:dyDescent="0.4">
      <c r="C396" s="2"/>
      <c r="D396" s="2"/>
      <c r="E396" s="2"/>
      <c r="F396" s="2"/>
      <c r="G396" s="2"/>
      <c r="H396" s="2"/>
    </row>
    <row r="397" spans="3:8" ht="12.3" x14ac:dyDescent="0.4">
      <c r="C397" s="2"/>
      <c r="D397" s="2"/>
      <c r="E397" s="2"/>
      <c r="F397" s="2"/>
      <c r="G397" s="2"/>
      <c r="H397" s="2"/>
    </row>
    <row r="398" spans="3:8" ht="12.3" x14ac:dyDescent="0.4">
      <c r="C398" s="3"/>
      <c r="D398" s="2"/>
      <c r="E398" s="2"/>
      <c r="F398" s="2"/>
      <c r="G398" s="2"/>
      <c r="H398" s="2"/>
    </row>
    <row r="399" spans="3:8" ht="12.3" x14ac:dyDescent="0.4">
      <c r="C399" s="2"/>
      <c r="D399" s="2"/>
      <c r="E399" s="2"/>
      <c r="F399" s="2"/>
      <c r="G399" s="2"/>
      <c r="H399" s="2"/>
    </row>
    <row r="400" spans="3:8" ht="12.3" x14ac:dyDescent="0.4">
      <c r="C400" s="2"/>
      <c r="D400" s="2"/>
      <c r="E400" s="2"/>
      <c r="F400" s="2"/>
      <c r="G400" s="2"/>
      <c r="H400" s="2"/>
    </row>
    <row r="401" spans="3:8" ht="12.3" x14ac:dyDescent="0.4">
      <c r="C401" s="2"/>
      <c r="D401" s="2"/>
      <c r="E401" s="2"/>
      <c r="F401" s="2"/>
      <c r="G401" s="2"/>
      <c r="H401" s="2"/>
    </row>
    <row r="402" spans="3:8" ht="12.3" x14ac:dyDescent="0.4">
      <c r="C402" s="2"/>
      <c r="D402" s="2"/>
      <c r="E402" s="2"/>
      <c r="F402" s="2"/>
      <c r="G402" s="2"/>
      <c r="H402" s="2"/>
    </row>
    <row r="403" spans="3:8" ht="12.3" x14ac:dyDescent="0.4">
      <c r="C403" s="2"/>
      <c r="D403" s="2"/>
      <c r="E403" s="2"/>
      <c r="F403" s="2"/>
      <c r="G403" s="2"/>
      <c r="H403" s="2"/>
    </row>
    <row r="404" spans="3:8" ht="12.3" x14ac:dyDescent="0.4">
      <c r="C404" s="2"/>
      <c r="D404" s="2"/>
      <c r="E404" s="2"/>
      <c r="F404" s="2"/>
      <c r="G404" s="2"/>
      <c r="H404" s="2"/>
    </row>
    <row r="405" spans="3:8" ht="12.3" x14ac:dyDescent="0.4">
      <c r="C405" s="2"/>
      <c r="D405" s="2"/>
      <c r="E405" s="2"/>
      <c r="F405" s="2"/>
      <c r="G405" s="2"/>
      <c r="H405" s="2"/>
    </row>
    <row r="406" spans="3:8" ht="12.3" x14ac:dyDescent="0.4">
      <c r="C406" s="3"/>
      <c r="D406" s="3"/>
      <c r="E406" s="3"/>
      <c r="F406" s="2"/>
      <c r="G406" s="2"/>
      <c r="H406" s="2"/>
    </row>
    <row r="407" spans="3:8" ht="12.3" x14ac:dyDescent="0.4">
      <c r="C407" s="2"/>
      <c r="D407" s="2"/>
      <c r="E407" s="2"/>
      <c r="F407" s="2"/>
      <c r="G407" s="2"/>
      <c r="H407" s="2"/>
    </row>
    <row r="408" spans="3:8" ht="12.3" x14ac:dyDescent="0.4">
      <c r="C408" s="3"/>
      <c r="D408" s="2"/>
      <c r="E408" s="2"/>
      <c r="F408" s="2"/>
      <c r="G408" s="2"/>
      <c r="H408" s="2"/>
    </row>
    <row r="409" spans="3:8" ht="12.3" x14ac:dyDescent="0.4">
      <c r="C409" s="2"/>
      <c r="D409" s="2"/>
      <c r="E409" s="2"/>
      <c r="F409" s="2"/>
      <c r="G409" s="2"/>
      <c r="H409" s="2"/>
    </row>
    <row r="410" spans="3:8" ht="12.3" x14ac:dyDescent="0.4">
      <c r="C410" s="2"/>
      <c r="D410" s="2"/>
      <c r="E410" s="2"/>
      <c r="F410" s="2"/>
      <c r="G410" s="2"/>
      <c r="H410" s="2"/>
    </row>
    <row r="411" spans="3:8" ht="12.3" x14ac:dyDescent="0.4">
      <c r="C411" s="2"/>
      <c r="D411" s="2"/>
      <c r="E411" s="2"/>
      <c r="F411" s="2"/>
      <c r="G411" s="2"/>
      <c r="H411" s="2"/>
    </row>
    <row r="412" spans="3:8" ht="12.3" x14ac:dyDescent="0.4">
      <c r="C412" s="3"/>
      <c r="D412" s="2"/>
      <c r="E412" s="2"/>
      <c r="F412" s="2"/>
      <c r="G412" s="2"/>
      <c r="H412" s="2"/>
    </row>
    <row r="413" spans="3:8" ht="12.3" x14ac:dyDescent="0.4">
      <c r="C413" s="2"/>
      <c r="D413" s="2"/>
      <c r="E413" s="2"/>
      <c r="F413" s="2"/>
      <c r="G413" s="2"/>
      <c r="H413" s="2"/>
    </row>
    <row r="414" spans="3:8" ht="12.3" x14ac:dyDescent="0.4">
      <c r="C414" s="2"/>
      <c r="D414" s="2"/>
      <c r="E414" s="2"/>
      <c r="F414" s="2"/>
      <c r="G414" s="2"/>
      <c r="H414" s="2"/>
    </row>
    <row r="415" spans="3:8" ht="12.3" x14ac:dyDescent="0.4">
      <c r="C415" s="2"/>
      <c r="D415" s="2"/>
      <c r="E415" s="2"/>
      <c r="F415" s="2"/>
      <c r="G415" s="2"/>
      <c r="H415" s="2"/>
    </row>
    <row r="416" spans="3:8" ht="12.3" x14ac:dyDescent="0.4">
      <c r="C416" s="2"/>
      <c r="D416" s="2"/>
      <c r="E416" s="2"/>
      <c r="F416" s="2"/>
      <c r="G416" s="2"/>
      <c r="H416" s="2"/>
    </row>
    <row r="417" spans="3:8" ht="12.3" x14ac:dyDescent="0.4">
      <c r="C417" s="2"/>
      <c r="D417" s="2"/>
      <c r="E417" s="2"/>
      <c r="F417" s="2"/>
      <c r="G417" s="2"/>
      <c r="H417" s="2"/>
    </row>
    <row r="418" spans="3:8" ht="12.3" x14ac:dyDescent="0.4">
      <c r="C418" s="2"/>
      <c r="D418" s="2"/>
      <c r="E418" s="2"/>
      <c r="F418" s="2"/>
      <c r="G418" s="2"/>
      <c r="H418" s="2"/>
    </row>
    <row r="419" spans="3:8" ht="12.3" x14ac:dyDescent="0.4">
      <c r="C419" s="2"/>
      <c r="D419" s="2"/>
      <c r="E419" s="2"/>
      <c r="F419" s="2"/>
      <c r="G419" s="2"/>
      <c r="H419" s="2"/>
    </row>
    <row r="420" spans="3:8" ht="12.3" x14ac:dyDescent="0.4">
      <c r="C420" s="2"/>
      <c r="D420" s="2"/>
      <c r="E420" s="2"/>
      <c r="F420" s="2"/>
      <c r="G420" s="2"/>
      <c r="H420" s="2"/>
    </row>
    <row r="421" spans="3:8" ht="12.3" x14ac:dyDescent="0.4">
      <c r="C421" s="2"/>
      <c r="D421" s="2"/>
      <c r="E421" s="2"/>
      <c r="F421" s="2"/>
      <c r="G421" s="2"/>
      <c r="H421" s="2"/>
    </row>
    <row r="422" spans="3:8" ht="12.3" x14ac:dyDescent="0.4">
      <c r="C422" s="2"/>
      <c r="D422" s="2"/>
      <c r="E422" s="2"/>
      <c r="F422" s="2"/>
      <c r="G422" s="2"/>
      <c r="H422" s="2"/>
    </row>
    <row r="423" spans="3:8" ht="12.3" x14ac:dyDescent="0.4">
      <c r="C423" s="2"/>
      <c r="D423" s="2"/>
      <c r="E423" s="2"/>
      <c r="F423" s="2"/>
      <c r="G423" s="2"/>
      <c r="H423" s="2"/>
    </row>
    <row r="424" spans="3:8" ht="12.3" x14ac:dyDescent="0.4">
      <c r="C424" s="2"/>
      <c r="D424" s="2"/>
      <c r="E424" s="2"/>
      <c r="F424" s="2"/>
      <c r="G424" s="2"/>
      <c r="H424" s="2"/>
    </row>
    <row r="425" spans="3:8" ht="12.3" x14ac:dyDescent="0.4">
      <c r="C425" s="2"/>
      <c r="D425" s="2"/>
      <c r="E425" s="2"/>
      <c r="F425" s="2"/>
      <c r="G425" s="2"/>
      <c r="H425" s="2"/>
    </row>
    <row r="426" spans="3:8" ht="12.3" x14ac:dyDescent="0.4">
      <c r="C426" s="2"/>
      <c r="D426" s="2"/>
      <c r="E426" s="2"/>
      <c r="F426" s="2"/>
      <c r="G426" s="2"/>
      <c r="H426" s="2"/>
    </row>
    <row r="427" spans="3:8" ht="12.3" x14ac:dyDescent="0.4">
      <c r="C427" s="2"/>
      <c r="D427" s="2"/>
      <c r="E427" s="2"/>
      <c r="F427" s="2"/>
      <c r="G427" s="2"/>
      <c r="H427" s="2"/>
    </row>
    <row r="428" spans="3:8" ht="12.3" x14ac:dyDescent="0.4">
      <c r="C428" s="2"/>
      <c r="D428" s="2"/>
      <c r="E428" s="2"/>
      <c r="F428" s="2"/>
      <c r="G428" s="2"/>
      <c r="H428" s="2"/>
    </row>
    <row r="429" spans="3:8" ht="12.3" x14ac:dyDescent="0.4">
      <c r="C429" s="2"/>
      <c r="D429" s="2"/>
      <c r="E429" s="2"/>
      <c r="F429" s="2"/>
      <c r="G429" s="2"/>
      <c r="H429" s="2"/>
    </row>
    <row r="430" spans="3:8" ht="12.3" x14ac:dyDescent="0.4">
      <c r="C430" s="2"/>
      <c r="D430" s="2"/>
      <c r="E430" s="2"/>
      <c r="F430" s="2"/>
      <c r="G430" s="2"/>
      <c r="H430" s="2"/>
    </row>
    <row r="431" spans="3:8" ht="12.3" x14ac:dyDescent="0.4">
      <c r="C431" s="2"/>
      <c r="D431" s="2"/>
      <c r="E431" s="2"/>
      <c r="F431" s="2"/>
      <c r="G431" s="2"/>
      <c r="H431" s="2"/>
    </row>
    <row r="432" spans="3:8" ht="12.3" x14ac:dyDescent="0.4">
      <c r="C432" s="2"/>
      <c r="D432" s="2"/>
      <c r="E432" s="2"/>
      <c r="F432" s="2"/>
      <c r="G432" s="2"/>
      <c r="H432" s="2"/>
    </row>
    <row r="433" spans="3:8" ht="12.3" x14ac:dyDescent="0.4">
      <c r="C433" s="2"/>
      <c r="D433" s="2"/>
      <c r="E433" s="2"/>
      <c r="F433" s="2"/>
      <c r="G433" s="2"/>
      <c r="H433" s="2"/>
    </row>
    <row r="434" spans="3:8" ht="12.3" x14ac:dyDescent="0.4">
      <c r="C434" s="2"/>
      <c r="D434" s="2"/>
      <c r="E434" s="2"/>
      <c r="F434" s="2"/>
      <c r="G434" s="2"/>
      <c r="H434" s="2"/>
    </row>
    <row r="435" spans="3:8" ht="12.3" x14ac:dyDescent="0.4">
      <c r="C435" s="2"/>
      <c r="D435" s="2"/>
      <c r="E435" s="2"/>
      <c r="F435" s="2"/>
      <c r="G435" s="2"/>
      <c r="H435" s="2"/>
    </row>
    <row r="436" spans="3:8" ht="12.3" x14ac:dyDescent="0.4">
      <c r="C436" s="2"/>
      <c r="D436" s="2"/>
      <c r="E436" s="2"/>
      <c r="F436" s="2"/>
      <c r="G436" s="2"/>
      <c r="H436" s="2"/>
    </row>
    <row r="437" spans="3:8" ht="12.3" x14ac:dyDescent="0.4">
      <c r="C437" s="2"/>
      <c r="D437" s="2"/>
      <c r="E437" s="2"/>
      <c r="F437" s="2"/>
      <c r="G437" s="2"/>
      <c r="H437" s="2"/>
    </row>
    <row r="438" spans="3:8" ht="12.3" x14ac:dyDescent="0.4">
      <c r="C438" s="2"/>
      <c r="D438" s="2"/>
      <c r="E438" s="2"/>
      <c r="F438" s="2"/>
      <c r="G438" s="2"/>
      <c r="H438" s="2"/>
    </row>
    <row r="439" spans="3:8" ht="12.3" x14ac:dyDescent="0.4">
      <c r="C439" s="2"/>
      <c r="D439" s="2"/>
      <c r="E439" s="2"/>
      <c r="F439" s="2"/>
      <c r="G439" s="2"/>
      <c r="H439" s="2"/>
    </row>
    <row r="440" spans="3:8" ht="12.3" x14ac:dyDescent="0.4">
      <c r="C440" s="2"/>
      <c r="D440" s="2"/>
      <c r="E440" s="2"/>
      <c r="F440" s="2"/>
      <c r="G440" s="2"/>
      <c r="H440" s="2"/>
    </row>
    <row r="441" spans="3:8" ht="12.3" x14ac:dyDescent="0.4">
      <c r="C441" s="2"/>
      <c r="D441" s="2"/>
      <c r="E441" s="2"/>
      <c r="F441" s="2"/>
      <c r="G441" s="2"/>
      <c r="H441" s="2"/>
    </row>
    <row r="442" spans="3:8" ht="12.3" x14ac:dyDescent="0.4">
      <c r="C442" s="2"/>
      <c r="D442" s="2"/>
      <c r="E442" s="2"/>
      <c r="F442" s="2"/>
      <c r="G442" s="2"/>
      <c r="H442" s="2"/>
    </row>
    <row r="443" spans="3:8" ht="12.3" x14ac:dyDescent="0.4">
      <c r="C443" s="2"/>
      <c r="D443" s="2"/>
      <c r="E443" s="2"/>
      <c r="F443" s="2"/>
      <c r="G443" s="2"/>
      <c r="H443" s="2"/>
    </row>
    <row r="444" spans="3:8" ht="12.3" x14ac:dyDescent="0.4">
      <c r="C444" s="2"/>
      <c r="D444" s="2"/>
      <c r="E444" s="2"/>
      <c r="F444" s="2"/>
      <c r="G444" s="2"/>
      <c r="H444" s="2"/>
    </row>
    <row r="445" spans="3:8" ht="12.3" x14ac:dyDescent="0.4">
      <c r="C445" s="2"/>
      <c r="D445" s="2"/>
      <c r="E445" s="2"/>
      <c r="F445" s="2"/>
      <c r="G445" s="2"/>
      <c r="H445" s="2"/>
    </row>
    <row r="446" spans="3:8" ht="12.3" x14ac:dyDescent="0.4">
      <c r="C446" s="2"/>
      <c r="D446" s="2"/>
      <c r="E446" s="2"/>
      <c r="F446" s="2"/>
      <c r="G446" s="2"/>
      <c r="H446" s="2"/>
    </row>
    <row r="447" spans="3:8" ht="12.3" x14ac:dyDescent="0.4">
      <c r="C447" s="2"/>
      <c r="D447" s="2"/>
      <c r="E447" s="2"/>
      <c r="F447" s="2"/>
      <c r="G447" s="2"/>
      <c r="H447" s="2"/>
    </row>
    <row r="448" spans="3:8" ht="12.3" x14ac:dyDescent="0.4">
      <c r="C448" s="2"/>
      <c r="D448" s="2"/>
      <c r="E448" s="2"/>
      <c r="F448" s="2"/>
      <c r="G448" s="2"/>
      <c r="H448" s="2"/>
    </row>
    <row r="449" spans="3:8" ht="12.3" x14ac:dyDescent="0.4">
      <c r="C449" s="2"/>
      <c r="D449" s="2"/>
      <c r="E449" s="2"/>
      <c r="F449" s="2"/>
      <c r="G449" s="2"/>
      <c r="H449" s="2"/>
    </row>
    <row r="450" spans="3:8" ht="12.3" x14ac:dyDescent="0.4">
      <c r="C450" s="2"/>
      <c r="D450" s="2"/>
      <c r="E450" s="2"/>
      <c r="F450" s="2"/>
      <c r="G450" s="2"/>
      <c r="H450" s="2"/>
    </row>
    <row r="451" spans="3:8" ht="12.3" x14ac:dyDescent="0.4">
      <c r="C451" s="2"/>
      <c r="D451" s="2"/>
      <c r="E451" s="2"/>
      <c r="F451" s="2"/>
      <c r="G451" s="2"/>
      <c r="H451" s="2"/>
    </row>
    <row r="452" spans="3:8" ht="12.3" x14ac:dyDescent="0.4">
      <c r="C452" s="3"/>
      <c r="D452" s="2"/>
      <c r="E452" s="2"/>
      <c r="F452" s="2"/>
      <c r="G452" s="2"/>
      <c r="H452" s="2"/>
    </row>
    <row r="453" spans="3:8" ht="12.3" x14ac:dyDescent="0.4">
      <c r="C453" s="2"/>
      <c r="D453" s="2"/>
      <c r="E453" s="2"/>
      <c r="F453" s="2"/>
      <c r="G453" s="2"/>
      <c r="H453" s="2"/>
    </row>
    <row r="454" spans="3:8" ht="12.3" x14ac:dyDescent="0.4">
      <c r="C454" s="2"/>
      <c r="D454" s="2"/>
      <c r="E454" s="2"/>
      <c r="F454" s="2"/>
      <c r="G454" s="2"/>
      <c r="H454" s="2"/>
    </row>
    <row r="455" spans="3:8" ht="12.3" x14ac:dyDescent="0.4">
      <c r="C455" s="2"/>
      <c r="D455" s="2"/>
      <c r="E455" s="2"/>
      <c r="F455" s="2"/>
      <c r="G455" s="2"/>
      <c r="H455" s="2"/>
    </row>
    <row r="456" spans="3:8" ht="12.3" x14ac:dyDescent="0.4">
      <c r="C456" s="2"/>
      <c r="D456" s="2"/>
      <c r="E456" s="2"/>
      <c r="F456" s="2"/>
      <c r="G456" s="2"/>
      <c r="H456" s="2"/>
    </row>
    <row r="457" spans="3:8" ht="12.3" x14ac:dyDescent="0.4">
      <c r="C457" s="2"/>
      <c r="D457" s="2"/>
      <c r="E457" s="2"/>
      <c r="F457" s="2"/>
      <c r="G457" s="2"/>
      <c r="H457" s="2"/>
    </row>
    <row r="458" spans="3:8" ht="12.3" x14ac:dyDescent="0.4">
      <c r="C458" s="2"/>
      <c r="D458" s="2"/>
      <c r="E458" s="2"/>
      <c r="F458" s="2"/>
      <c r="G458" s="2"/>
      <c r="H458" s="2"/>
    </row>
    <row r="459" spans="3:8" ht="12.3" x14ac:dyDescent="0.4">
      <c r="C459" s="2"/>
      <c r="D459" s="2"/>
      <c r="E459" s="2"/>
      <c r="F459" s="2"/>
      <c r="G459" s="2"/>
      <c r="H459" s="2"/>
    </row>
    <row r="460" spans="3:8" ht="12.3" x14ac:dyDescent="0.4">
      <c r="C460" s="2"/>
      <c r="D460" s="2"/>
      <c r="E460" s="2"/>
      <c r="F460" s="2"/>
      <c r="G460" s="2"/>
      <c r="H460" s="2"/>
    </row>
    <row r="461" spans="3:8" ht="12.3" x14ac:dyDescent="0.4">
      <c r="C461" s="2"/>
      <c r="D461" s="2"/>
      <c r="E461" s="2"/>
      <c r="F461" s="2"/>
      <c r="G461" s="2"/>
      <c r="H461" s="2"/>
    </row>
    <row r="462" spans="3:8" ht="12.3" x14ac:dyDescent="0.4">
      <c r="C462" s="2"/>
      <c r="D462" s="2"/>
      <c r="E462" s="2"/>
      <c r="F462" s="2"/>
      <c r="G462" s="2"/>
      <c r="H462" s="2"/>
    </row>
    <row r="463" spans="3:8" ht="12.3" x14ac:dyDescent="0.4">
      <c r="C463" s="2"/>
      <c r="D463" s="2"/>
      <c r="E463" s="2"/>
      <c r="F463" s="2"/>
      <c r="G463" s="2"/>
      <c r="H463" s="2"/>
    </row>
    <row r="464" spans="3:8" ht="12.3" x14ac:dyDescent="0.4">
      <c r="C464" s="2"/>
      <c r="D464" s="2"/>
      <c r="E464" s="2"/>
      <c r="F464" s="2"/>
      <c r="G464" s="2"/>
      <c r="H464" s="2"/>
    </row>
    <row r="465" spans="3:8" ht="12.3" x14ac:dyDescent="0.4">
      <c r="C465" s="2"/>
      <c r="D465" s="2"/>
      <c r="E465" s="2"/>
      <c r="F465" s="2"/>
      <c r="G465" s="2"/>
      <c r="H465" s="2"/>
    </row>
    <row r="466" spans="3:8" ht="12.3" x14ac:dyDescent="0.4">
      <c r="C466" s="2"/>
      <c r="D466" s="2"/>
      <c r="E466" s="2"/>
      <c r="F466" s="2"/>
      <c r="G466" s="2"/>
      <c r="H466" s="2"/>
    </row>
    <row r="467" spans="3:8" ht="12.3" x14ac:dyDescent="0.4">
      <c r="C467" s="2"/>
      <c r="D467" s="2"/>
      <c r="E467" s="2"/>
      <c r="F467" s="2"/>
      <c r="G467" s="2"/>
      <c r="H467" s="2"/>
    </row>
    <row r="468" spans="3:8" ht="12.3" x14ac:dyDescent="0.4">
      <c r="C468" s="2"/>
      <c r="D468" s="2"/>
      <c r="E468" s="2"/>
      <c r="F468" s="2"/>
      <c r="G468" s="2"/>
      <c r="H468" s="2"/>
    </row>
    <row r="469" spans="3:8" ht="12.3" x14ac:dyDescent="0.4">
      <c r="C469" s="2"/>
      <c r="D469" s="2"/>
      <c r="E469" s="2"/>
      <c r="F469" s="2"/>
      <c r="G469" s="2"/>
      <c r="H469" s="2"/>
    </row>
    <row r="470" spans="3:8" ht="12.3" x14ac:dyDescent="0.4">
      <c r="C470" s="2"/>
      <c r="D470" s="2"/>
      <c r="E470" s="2"/>
      <c r="F470" s="2"/>
      <c r="G470" s="2"/>
      <c r="H470" s="2"/>
    </row>
    <row r="471" spans="3:8" ht="12.3" x14ac:dyDescent="0.4">
      <c r="C471" s="2"/>
      <c r="D471" s="2"/>
      <c r="E471" s="2"/>
      <c r="F471" s="2"/>
      <c r="G471" s="2"/>
      <c r="H471" s="2"/>
    </row>
    <row r="472" spans="3:8" ht="12.3" x14ac:dyDescent="0.4">
      <c r="C472" s="2"/>
      <c r="D472" s="2"/>
      <c r="E472" s="2"/>
      <c r="F472" s="2"/>
      <c r="G472" s="2"/>
      <c r="H472" s="2"/>
    </row>
    <row r="473" spans="3:8" ht="12.3" x14ac:dyDescent="0.4">
      <c r="C473" s="2"/>
      <c r="D473" s="2"/>
      <c r="E473" s="2"/>
      <c r="F473" s="2"/>
      <c r="G473" s="2"/>
      <c r="H473" s="2"/>
    </row>
    <row r="474" spans="3:8" ht="12.3" x14ac:dyDescent="0.4">
      <c r="C474" s="2"/>
      <c r="D474" s="2"/>
      <c r="E474" s="2"/>
      <c r="F474" s="2"/>
      <c r="G474" s="2"/>
      <c r="H474" s="2"/>
    </row>
    <row r="475" spans="3:8" ht="12.3" x14ac:dyDescent="0.4">
      <c r="C475" s="2"/>
      <c r="D475" s="2"/>
      <c r="E475" s="2"/>
      <c r="F475" s="2"/>
      <c r="G475" s="2"/>
      <c r="H475" s="2"/>
    </row>
    <row r="476" spans="3:8" ht="12.3" x14ac:dyDescent="0.4">
      <c r="C476" s="2"/>
      <c r="D476" s="2"/>
      <c r="E476" s="2"/>
      <c r="F476" s="2"/>
      <c r="G476" s="2"/>
      <c r="H476" s="2"/>
    </row>
    <row r="477" spans="3:8" ht="12.3" x14ac:dyDescent="0.4">
      <c r="C477" s="2"/>
      <c r="D477" s="2"/>
      <c r="E477" s="2"/>
      <c r="F477" s="2"/>
      <c r="G477" s="2"/>
      <c r="H477" s="2"/>
    </row>
    <row r="478" spans="3:8" ht="12.3" x14ac:dyDescent="0.4">
      <c r="C478" s="2"/>
      <c r="D478" s="2"/>
      <c r="E478" s="2"/>
      <c r="F478" s="2"/>
      <c r="G478" s="2"/>
      <c r="H478" s="2"/>
    </row>
    <row r="479" spans="3:8" ht="12.3" x14ac:dyDescent="0.4">
      <c r="C479" s="2"/>
      <c r="D479" s="2"/>
      <c r="E479" s="2"/>
      <c r="F479" s="2"/>
      <c r="G479" s="2"/>
      <c r="H479" s="2"/>
    </row>
    <row r="480" spans="3:8" ht="12.3" x14ac:dyDescent="0.4">
      <c r="C480" s="2"/>
      <c r="D480" s="2"/>
      <c r="E480" s="2"/>
      <c r="F480" s="2"/>
      <c r="G480" s="2"/>
      <c r="H480" s="2"/>
    </row>
    <row r="481" spans="3:8" ht="12.3" x14ac:dyDescent="0.4">
      <c r="C481" s="2"/>
      <c r="D481" s="2"/>
      <c r="E481" s="2"/>
      <c r="F481" s="2"/>
      <c r="G481" s="2"/>
      <c r="H481" s="2"/>
    </row>
    <row r="482" spans="3:8" ht="12.3" x14ac:dyDescent="0.4">
      <c r="C482" s="2"/>
      <c r="D482" s="2"/>
      <c r="E482" s="2"/>
      <c r="F482" s="2"/>
      <c r="G482" s="2"/>
      <c r="H482" s="2"/>
    </row>
    <row r="483" spans="3:8" ht="12.3" x14ac:dyDescent="0.4">
      <c r="C483" s="2"/>
      <c r="D483" s="2"/>
      <c r="E483" s="2"/>
      <c r="F483" s="2"/>
      <c r="G483" s="2"/>
      <c r="H483" s="2"/>
    </row>
    <row r="484" spans="3:8" ht="12.3" x14ac:dyDescent="0.4">
      <c r="C484" s="2"/>
      <c r="D484" s="2"/>
      <c r="E484" s="2"/>
      <c r="F484" s="2"/>
      <c r="G484" s="2"/>
      <c r="H484" s="2"/>
    </row>
    <row r="485" spans="3:8" ht="12.3" x14ac:dyDescent="0.4">
      <c r="C485" s="2"/>
      <c r="D485" s="2"/>
      <c r="E485" s="2"/>
      <c r="F485" s="2"/>
      <c r="G485" s="2"/>
      <c r="H485" s="2"/>
    </row>
    <row r="486" spans="3:8" ht="12.3" x14ac:dyDescent="0.4">
      <c r="C486" s="2"/>
      <c r="D486" s="2"/>
      <c r="E486" s="2"/>
      <c r="F486" s="2"/>
      <c r="G486" s="2"/>
      <c r="H486" s="2"/>
    </row>
    <row r="487" spans="3:8" ht="12.3" x14ac:dyDescent="0.4">
      <c r="C487" s="2"/>
      <c r="D487" s="2"/>
      <c r="E487" s="2"/>
      <c r="F487" s="2"/>
      <c r="G487" s="2"/>
      <c r="H487" s="2"/>
    </row>
    <row r="488" spans="3:8" ht="12.3" x14ac:dyDescent="0.4">
      <c r="C488" s="2"/>
      <c r="D488" s="2"/>
      <c r="E488" s="2"/>
      <c r="F488" s="2"/>
      <c r="G488" s="2"/>
      <c r="H488" s="2"/>
    </row>
    <row r="489" spans="3:8" ht="12.3" x14ac:dyDescent="0.4">
      <c r="C489" s="2"/>
      <c r="D489" s="2"/>
      <c r="E489" s="2"/>
      <c r="F489" s="2"/>
      <c r="G489" s="2"/>
      <c r="H489" s="2"/>
    </row>
    <row r="490" spans="3:8" ht="12.3" x14ac:dyDescent="0.4">
      <c r="C490" s="2"/>
      <c r="D490" s="2"/>
      <c r="E490" s="2"/>
      <c r="F490" s="2"/>
      <c r="G490" s="2"/>
      <c r="H490" s="2"/>
    </row>
    <row r="491" spans="3:8" ht="12.3" x14ac:dyDescent="0.4">
      <c r="C491" s="2"/>
      <c r="D491" s="2"/>
      <c r="E491" s="2"/>
      <c r="F491" s="2"/>
      <c r="G491" s="2"/>
      <c r="H491" s="2"/>
    </row>
    <row r="492" spans="3:8" ht="12.3" x14ac:dyDescent="0.4">
      <c r="C492" s="2"/>
      <c r="D492" s="2"/>
      <c r="E492" s="2"/>
      <c r="F492" s="2"/>
      <c r="G492" s="2"/>
      <c r="H492" s="2"/>
    </row>
    <row r="493" spans="3:8" ht="12.3" x14ac:dyDescent="0.4">
      <c r="C493" s="2"/>
      <c r="D493" s="2"/>
      <c r="E493" s="2"/>
      <c r="F493" s="2"/>
      <c r="G493" s="2"/>
      <c r="H493" s="2"/>
    </row>
    <row r="494" spans="3:8" ht="12.3" x14ac:dyDescent="0.4">
      <c r="C494" s="2"/>
      <c r="D494" s="2"/>
      <c r="E494" s="2"/>
      <c r="F494" s="2"/>
      <c r="G494" s="2"/>
      <c r="H494" s="2"/>
    </row>
    <row r="495" spans="3:8" ht="12.3" x14ac:dyDescent="0.4">
      <c r="C495" s="2"/>
      <c r="D495" s="2"/>
      <c r="E495" s="2"/>
      <c r="F495" s="2"/>
      <c r="G495" s="2"/>
      <c r="H495" s="2"/>
    </row>
    <row r="496" spans="3:8" ht="12.3" x14ac:dyDescent="0.4">
      <c r="C496" s="2"/>
      <c r="D496" s="2"/>
      <c r="E496" s="2"/>
      <c r="F496" s="2"/>
      <c r="G496" s="2"/>
      <c r="H496" s="2"/>
    </row>
    <row r="497" spans="3:8" ht="12.3" x14ac:dyDescent="0.4">
      <c r="C497" s="2"/>
      <c r="D497" s="2"/>
      <c r="E497" s="2"/>
      <c r="F497" s="2"/>
      <c r="G497" s="2"/>
      <c r="H497" s="2"/>
    </row>
    <row r="498" spans="3:8" ht="12.3" x14ac:dyDescent="0.4">
      <c r="C498" s="2"/>
      <c r="D498" s="2"/>
      <c r="E498" s="2"/>
      <c r="F498" s="2"/>
      <c r="G498" s="2"/>
      <c r="H498" s="2"/>
    </row>
    <row r="499" spans="3:8" ht="12.3" x14ac:dyDescent="0.4">
      <c r="C499" s="2"/>
      <c r="D499" s="2"/>
      <c r="E499" s="2"/>
      <c r="F499" s="2"/>
      <c r="G499" s="2"/>
      <c r="H499" s="2"/>
    </row>
    <row r="500" spans="3:8" ht="12.3" x14ac:dyDescent="0.4">
      <c r="C500" s="2"/>
      <c r="D500" s="2"/>
      <c r="E500" s="2"/>
      <c r="F500" s="2"/>
      <c r="G500" s="2"/>
      <c r="H500" s="2"/>
    </row>
    <row r="501" spans="3:8" ht="12.3" x14ac:dyDescent="0.4">
      <c r="C501" s="2"/>
      <c r="D501" s="2"/>
      <c r="E501" s="2"/>
      <c r="F501" s="2"/>
      <c r="G501" s="2"/>
      <c r="H501" s="2"/>
    </row>
    <row r="502" spans="3:8" ht="12.3" x14ac:dyDescent="0.4">
      <c r="C502" s="2"/>
      <c r="D502" s="2"/>
      <c r="E502" s="2"/>
      <c r="F502" s="2"/>
      <c r="G502" s="2"/>
      <c r="H502" s="2"/>
    </row>
    <row r="503" spans="3:8" ht="12.3" x14ac:dyDescent="0.4">
      <c r="C503" s="2"/>
      <c r="D503" s="2"/>
      <c r="E503" s="2"/>
      <c r="F503" s="2"/>
      <c r="G503" s="2"/>
      <c r="H503" s="2"/>
    </row>
    <row r="504" spans="3:8" ht="12.3" x14ac:dyDescent="0.4">
      <c r="C504" s="2"/>
      <c r="D504" s="2"/>
      <c r="E504" s="2"/>
      <c r="F504" s="2"/>
      <c r="G504" s="2"/>
      <c r="H504" s="2"/>
    </row>
    <row r="505" spans="3:8" ht="12.3" x14ac:dyDescent="0.4">
      <c r="C505" s="2"/>
      <c r="D505" s="2"/>
      <c r="E505" s="2"/>
      <c r="F505" s="2"/>
      <c r="G505" s="2"/>
      <c r="H505" s="2"/>
    </row>
    <row r="506" spans="3:8" ht="12.3" x14ac:dyDescent="0.4">
      <c r="C506" s="2"/>
      <c r="D506" s="2"/>
      <c r="E506" s="2"/>
      <c r="F506" s="2"/>
      <c r="G506" s="2"/>
      <c r="H506" s="2"/>
    </row>
    <row r="507" spans="3:8" ht="12.3" x14ac:dyDescent="0.4">
      <c r="C507" s="2"/>
      <c r="D507" s="2"/>
      <c r="E507" s="2"/>
      <c r="F507" s="2"/>
      <c r="G507" s="2"/>
      <c r="H507" s="2"/>
    </row>
    <row r="508" spans="3:8" ht="12.3" x14ac:dyDescent="0.4">
      <c r="C508" s="2"/>
      <c r="D508" s="2"/>
      <c r="E508" s="2"/>
      <c r="F508" s="2"/>
      <c r="G508" s="2"/>
      <c r="H508" s="2"/>
    </row>
    <row r="509" spans="3:8" ht="12.3" x14ac:dyDescent="0.4">
      <c r="C509" s="2"/>
      <c r="D509" s="2"/>
      <c r="E509" s="2"/>
      <c r="F509" s="2"/>
      <c r="G509" s="2"/>
      <c r="H509" s="2"/>
    </row>
    <row r="510" spans="3:8" ht="12.3" x14ac:dyDescent="0.4">
      <c r="C510" s="2"/>
      <c r="D510" s="2"/>
      <c r="E510" s="2"/>
      <c r="F510" s="2"/>
      <c r="G510" s="2"/>
      <c r="H510" s="2"/>
    </row>
    <row r="511" spans="3:8" ht="12.3" x14ac:dyDescent="0.4">
      <c r="C511" s="2"/>
      <c r="D511" s="2"/>
      <c r="E511" s="2"/>
      <c r="F511" s="2"/>
      <c r="G511" s="2"/>
      <c r="H511" s="2"/>
    </row>
    <row r="512" spans="3:8" ht="12.3" x14ac:dyDescent="0.4">
      <c r="C512" s="2"/>
      <c r="D512" s="2"/>
      <c r="E512" s="2"/>
      <c r="F512" s="2"/>
      <c r="G512" s="2"/>
      <c r="H512" s="2"/>
    </row>
    <row r="513" spans="3:8" ht="12.3" x14ac:dyDescent="0.4">
      <c r="C513" s="2"/>
      <c r="D513" s="2"/>
      <c r="E513" s="2"/>
      <c r="F513" s="2"/>
      <c r="G513" s="2"/>
      <c r="H513" s="2"/>
    </row>
    <row r="514" spans="3:8" ht="12.3" x14ac:dyDescent="0.4">
      <c r="C514" s="2"/>
      <c r="D514" s="2"/>
      <c r="E514" s="2"/>
      <c r="F514" s="2"/>
      <c r="G514" s="2"/>
      <c r="H514" s="2"/>
    </row>
    <row r="515" spans="3:8" ht="12.3" x14ac:dyDescent="0.4">
      <c r="C515" s="2"/>
      <c r="D515" s="2"/>
      <c r="E515" s="2"/>
      <c r="F515" s="2"/>
      <c r="G515" s="2"/>
      <c r="H515" s="2"/>
    </row>
    <row r="516" spans="3:8" ht="12.3" x14ac:dyDescent="0.4">
      <c r="C516" s="2"/>
      <c r="D516" s="2"/>
      <c r="E516" s="2"/>
      <c r="F516" s="2"/>
      <c r="G516" s="2"/>
      <c r="H516" s="2"/>
    </row>
    <row r="517" spans="3:8" ht="12.3" x14ac:dyDescent="0.4">
      <c r="C517" s="2"/>
      <c r="D517" s="2"/>
      <c r="E517" s="2"/>
      <c r="F517" s="2"/>
      <c r="G517" s="2"/>
      <c r="H517" s="2"/>
    </row>
    <row r="518" spans="3:8" ht="12.3" x14ac:dyDescent="0.4">
      <c r="C518" s="2"/>
      <c r="D518" s="2"/>
      <c r="E518" s="2"/>
      <c r="F518" s="2"/>
      <c r="G518" s="2"/>
      <c r="H518" s="2"/>
    </row>
    <row r="519" spans="3:8" ht="12.3" x14ac:dyDescent="0.4">
      <c r="C519" s="2"/>
      <c r="D519" s="2"/>
      <c r="E519" s="2"/>
      <c r="F519" s="2"/>
      <c r="G519" s="2"/>
      <c r="H519" s="2"/>
    </row>
    <row r="520" spans="3:8" ht="12.3" x14ac:dyDescent="0.4">
      <c r="C520" s="2"/>
      <c r="D520" s="2"/>
      <c r="E520" s="2"/>
      <c r="F520" s="2"/>
      <c r="G520" s="2"/>
      <c r="H520" s="2"/>
    </row>
    <row r="521" spans="3:8" ht="12.3" x14ac:dyDescent="0.4">
      <c r="C521" s="2"/>
      <c r="D521" s="2"/>
      <c r="E521" s="2"/>
      <c r="F521" s="2"/>
      <c r="G521" s="2"/>
      <c r="H521" s="2"/>
    </row>
    <row r="522" spans="3:8" ht="12.3" x14ac:dyDescent="0.4">
      <c r="C522" s="2"/>
      <c r="D522" s="2"/>
      <c r="E522" s="2"/>
      <c r="F522" s="2"/>
      <c r="G522" s="2"/>
      <c r="H522" s="2"/>
    </row>
    <row r="523" spans="3:8" ht="12.3" x14ac:dyDescent="0.4">
      <c r="C523" s="2"/>
      <c r="D523" s="2"/>
      <c r="E523" s="2"/>
      <c r="F523" s="2"/>
      <c r="G523" s="2"/>
      <c r="H523" s="2"/>
    </row>
    <row r="524" spans="3:8" ht="12.3" x14ac:dyDescent="0.4">
      <c r="C524" s="2"/>
      <c r="D524" s="2"/>
      <c r="E524" s="2"/>
      <c r="F524" s="2"/>
      <c r="G524" s="2"/>
      <c r="H524" s="2"/>
    </row>
    <row r="525" spans="3:8" ht="12.3" x14ac:dyDescent="0.4">
      <c r="C525" s="2"/>
      <c r="D525" s="2"/>
      <c r="E525" s="2"/>
      <c r="F525" s="2"/>
      <c r="G525" s="2"/>
      <c r="H525" s="2"/>
    </row>
    <row r="526" spans="3:8" ht="12.3" x14ac:dyDescent="0.4">
      <c r="C526" s="2"/>
      <c r="D526" s="2"/>
      <c r="E526" s="2"/>
      <c r="F526" s="2"/>
      <c r="G526" s="2"/>
      <c r="H526" s="2"/>
    </row>
    <row r="527" spans="3:8" ht="12.3" x14ac:dyDescent="0.4">
      <c r="C527" s="2"/>
      <c r="D527" s="2"/>
      <c r="E527" s="2"/>
      <c r="F527" s="2"/>
      <c r="G527" s="2"/>
      <c r="H527" s="2"/>
    </row>
    <row r="528" spans="3:8" ht="12.3" x14ac:dyDescent="0.4">
      <c r="C528" s="2"/>
      <c r="D528" s="2"/>
      <c r="E528" s="2"/>
      <c r="F528" s="2"/>
      <c r="G528" s="2"/>
      <c r="H528" s="2"/>
    </row>
    <row r="529" spans="3:8" ht="12.3" x14ac:dyDescent="0.4">
      <c r="C529" s="2"/>
      <c r="D529" s="2"/>
      <c r="E529" s="2"/>
      <c r="F529" s="2"/>
      <c r="G529" s="2"/>
      <c r="H529" s="2"/>
    </row>
    <row r="530" spans="3:8" ht="12.3" x14ac:dyDescent="0.4">
      <c r="C530" s="2"/>
      <c r="D530" s="2"/>
      <c r="E530" s="2"/>
      <c r="F530" s="2"/>
      <c r="G530" s="2"/>
      <c r="H530" s="2"/>
    </row>
    <row r="531" spans="3:8" ht="12.3" x14ac:dyDescent="0.4">
      <c r="C531" s="2"/>
      <c r="D531" s="2"/>
      <c r="E531" s="2"/>
      <c r="F531" s="2"/>
      <c r="G531" s="2"/>
      <c r="H531" s="2"/>
    </row>
    <row r="532" spans="3:8" ht="12.3" x14ac:dyDescent="0.4">
      <c r="C532" s="2"/>
      <c r="D532" s="2"/>
      <c r="E532" s="2"/>
      <c r="F532" s="2"/>
      <c r="G532" s="2"/>
      <c r="H532" s="2"/>
    </row>
    <row r="533" spans="3:8" ht="12.3" x14ac:dyDescent="0.4">
      <c r="C533" s="2"/>
      <c r="D533" s="2"/>
      <c r="E533" s="2"/>
      <c r="F533" s="2"/>
      <c r="G533" s="2"/>
      <c r="H533" s="2"/>
    </row>
    <row r="534" spans="3:8" ht="12.3" x14ac:dyDescent="0.4">
      <c r="C534" s="2"/>
      <c r="D534" s="2"/>
      <c r="E534" s="2"/>
      <c r="F534" s="2"/>
      <c r="G534" s="2"/>
      <c r="H534" s="2"/>
    </row>
    <row r="535" spans="3:8" ht="12.3" x14ac:dyDescent="0.4">
      <c r="C535" s="2"/>
      <c r="D535" s="2"/>
      <c r="E535" s="2"/>
      <c r="F535" s="2"/>
      <c r="G535" s="2"/>
      <c r="H535" s="2"/>
    </row>
    <row r="536" spans="3:8" ht="12.3" x14ac:dyDescent="0.4">
      <c r="C536" s="2"/>
      <c r="D536" s="2"/>
      <c r="E536" s="2"/>
      <c r="F536" s="2"/>
      <c r="G536" s="2"/>
      <c r="H536" s="2"/>
    </row>
    <row r="537" spans="3:8" ht="12.3" x14ac:dyDescent="0.4">
      <c r="C537" s="2"/>
      <c r="D537" s="2"/>
      <c r="E537" s="2"/>
      <c r="F537" s="2"/>
      <c r="G537" s="2"/>
      <c r="H537" s="2"/>
    </row>
    <row r="538" spans="3:8" ht="12.3" x14ac:dyDescent="0.4">
      <c r="C538" s="2"/>
      <c r="D538" s="2"/>
      <c r="E538" s="2"/>
      <c r="F538" s="2"/>
      <c r="G538" s="2"/>
      <c r="H538" s="2"/>
    </row>
    <row r="539" spans="3:8" ht="12.3" x14ac:dyDescent="0.4">
      <c r="C539" s="2"/>
      <c r="D539" s="2"/>
      <c r="E539" s="2"/>
      <c r="F539" s="2"/>
      <c r="G539" s="2"/>
      <c r="H539" s="2"/>
    </row>
    <row r="540" spans="3:8" ht="12.3" x14ac:dyDescent="0.4">
      <c r="C540" s="2"/>
      <c r="D540" s="2"/>
      <c r="E540" s="2"/>
      <c r="F540" s="2"/>
      <c r="G540" s="2"/>
      <c r="H540" s="2"/>
    </row>
    <row r="541" spans="3:8" ht="12.3" x14ac:dyDescent="0.4">
      <c r="C541" s="2"/>
      <c r="D541" s="2"/>
      <c r="E541" s="2"/>
      <c r="F541" s="2"/>
      <c r="G541" s="2"/>
      <c r="H541" s="2"/>
    </row>
    <row r="542" spans="3:8" ht="12.3" x14ac:dyDescent="0.4">
      <c r="C542" s="2"/>
      <c r="D542" s="2"/>
      <c r="E542" s="2"/>
      <c r="F542" s="2"/>
      <c r="G542" s="2"/>
      <c r="H542" s="2"/>
    </row>
    <row r="543" spans="3:8" ht="12.3" x14ac:dyDescent="0.4">
      <c r="C543" s="2"/>
      <c r="D543" s="2"/>
      <c r="E543" s="2"/>
      <c r="F543" s="2"/>
      <c r="G543" s="2"/>
      <c r="H543" s="2"/>
    </row>
    <row r="544" spans="3:8" ht="12.3" x14ac:dyDescent="0.4">
      <c r="C544" s="2"/>
      <c r="D544" s="2"/>
      <c r="E544" s="2"/>
      <c r="F544" s="2"/>
      <c r="G544" s="2"/>
      <c r="H544" s="2"/>
    </row>
    <row r="545" spans="3:8" ht="12.3" x14ac:dyDescent="0.4">
      <c r="C545" s="2"/>
      <c r="D545" s="2"/>
      <c r="E545" s="2"/>
      <c r="F545" s="2"/>
      <c r="G545" s="2"/>
      <c r="H545" s="2"/>
    </row>
    <row r="546" spans="3:8" ht="12.3" x14ac:dyDescent="0.4">
      <c r="C546" s="2"/>
      <c r="D546" s="2"/>
      <c r="E546" s="2"/>
      <c r="F546" s="2"/>
      <c r="G546" s="2"/>
      <c r="H546" s="2"/>
    </row>
    <row r="547" spans="3:8" ht="12.3" x14ac:dyDescent="0.4">
      <c r="C547" s="2"/>
      <c r="D547" s="2"/>
      <c r="E547" s="2"/>
      <c r="F547" s="2"/>
      <c r="G547" s="2"/>
      <c r="H547" s="2"/>
    </row>
    <row r="548" spans="3:8" ht="12.3" x14ac:dyDescent="0.4">
      <c r="C548" s="2"/>
      <c r="D548" s="2"/>
      <c r="E548" s="2"/>
      <c r="F548" s="2"/>
      <c r="G548" s="2"/>
      <c r="H548" s="2"/>
    </row>
    <row r="549" spans="3:8" ht="12.3" x14ac:dyDescent="0.4">
      <c r="C549" s="2"/>
      <c r="D549" s="2"/>
      <c r="E549" s="2"/>
      <c r="F549" s="2"/>
      <c r="G549" s="2"/>
      <c r="H549" s="2"/>
    </row>
    <row r="550" spans="3:8" ht="12.3" x14ac:dyDescent="0.4">
      <c r="C550" s="2"/>
      <c r="D550" s="2"/>
      <c r="E550" s="2"/>
      <c r="F550" s="2"/>
      <c r="G550" s="2"/>
      <c r="H550" s="2"/>
    </row>
    <row r="551" spans="3:8" ht="12.3" x14ac:dyDescent="0.4">
      <c r="C551" s="2"/>
      <c r="D551" s="2"/>
      <c r="E551" s="2"/>
      <c r="F551" s="2"/>
      <c r="G551" s="2"/>
      <c r="H551" s="2"/>
    </row>
    <row r="552" spans="3:8" ht="12.3" x14ac:dyDescent="0.4">
      <c r="C552" s="2"/>
      <c r="D552" s="2"/>
      <c r="E552" s="2"/>
      <c r="F552" s="2"/>
      <c r="G552" s="2"/>
      <c r="H552" s="2"/>
    </row>
    <row r="553" spans="3:8" ht="12.3" x14ac:dyDescent="0.4">
      <c r="C553" s="2"/>
      <c r="D553" s="2"/>
      <c r="E553" s="2"/>
      <c r="F553" s="2"/>
      <c r="G553" s="2"/>
      <c r="H553" s="2"/>
    </row>
    <row r="554" spans="3:8" ht="12.3" x14ac:dyDescent="0.4">
      <c r="C554" s="2"/>
      <c r="D554" s="2"/>
      <c r="E554" s="2"/>
      <c r="F554" s="2"/>
      <c r="G554" s="2"/>
      <c r="H554" s="2"/>
    </row>
    <row r="555" spans="3:8" ht="12.3" x14ac:dyDescent="0.4">
      <c r="C555" s="2"/>
      <c r="D555" s="2"/>
      <c r="E555" s="2"/>
      <c r="F555" s="2"/>
      <c r="G555" s="2"/>
      <c r="H555" s="2"/>
    </row>
    <row r="556" spans="3:8" ht="12.3" x14ac:dyDescent="0.4">
      <c r="C556" s="2"/>
      <c r="D556" s="2"/>
      <c r="E556" s="2"/>
      <c r="F556" s="2"/>
      <c r="G556" s="2"/>
      <c r="H556" s="2"/>
    </row>
    <row r="557" spans="3:8" ht="12.3" x14ac:dyDescent="0.4">
      <c r="C557" s="2"/>
      <c r="D557" s="2"/>
      <c r="E557" s="2"/>
      <c r="F557" s="2"/>
      <c r="G557" s="2"/>
      <c r="H557" s="2"/>
    </row>
    <row r="558" spans="3:8" ht="12.3" x14ac:dyDescent="0.4">
      <c r="C558" s="2"/>
      <c r="D558" s="2"/>
      <c r="E558" s="2"/>
      <c r="F558" s="2"/>
      <c r="G558" s="2"/>
      <c r="H558" s="2"/>
    </row>
    <row r="559" spans="3:8" ht="12.3" x14ac:dyDescent="0.4">
      <c r="C559" s="2"/>
      <c r="D559" s="2"/>
      <c r="E559" s="2"/>
      <c r="F559" s="2"/>
      <c r="G559" s="2"/>
      <c r="H559" s="2"/>
    </row>
    <row r="560" spans="3:8" ht="12.3" x14ac:dyDescent="0.4">
      <c r="C560" s="2"/>
      <c r="D560" s="2"/>
      <c r="E560" s="2"/>
      <c r="F560" s="2"/>
      <c r="G560" s="2"/>
      <c r="H560" s="2"/>
    </row>
    <row r="561" spans="3:8" ht="12.3" x14ac:dyDescent="0.4">
      <c r="C561" s="2"/>
      <c r="D561" s="2"/>
      <c r="E561" s="2"/>
      <c r="F561" s="2"/>
      <c r="G561" s="2"/>
      <c r="H561" s="2"/>
    </row>
    <row r="562" spans="3:8" ht="12.3" x14ac:dyDescent="0.4">
      <c r="C562" s="2"/>
      <c r="D562" s="2"/>
      <c r="E562" s="2"/>
      <c r="F562" s="2"/>
      <c r="G562" s="2"/>
      <c r="H562" s="2"/>
    </row>
    <row r="563" spans="3:8" ht="12.3" x14ac:dyDescent="0.4">
      <c r="C563" s="2"/>
      <c r="D563" s="2"/>
      <c r="E563" s="2"/>
      <c r="F563" s="2"/>
      <c r="G563" s="2"/>
      <c r="H563" s="2"/>
    </row>
    <row r="564" spans="3:8" ht="12.3" x14ac:dyDescent="0.4">
      <c r="C564" s="2"/>
      <c r="D564" s="2"/>
      <c r="E564" s="2"/>
      <c r="F564" s="2"/>
      <c r="G564" s="2"/>
      <c r="H564" s="2"/>
    </row>
    <row r="565" spans="3:8" ht="12.3" x14ac:dyDescent="0.4">
      <c r="C565" s="2"/>
      <c r="D565" s="2"/>
      <c r="E565" s="2"/>
      <c r="F565" s="2"/>
      <c r="G565" s="2"/>
      <c r="H565" s="2"/>
    </row>
    <row r="566" spans="3:8" ht="12.3" x14ac:dyDescent="0.4">
      <c r="C566" s="2"/>
      <c r="D566" s="2"/>
      <c r="E566" s="2"/>
      <c r="F566" s="2"/>
      <c r="G566" s="2"/>
      <c r="H566" s="2"/>
    </row>
    <row r="567" spans="3:8" ht="12.3" x14ac:dyDescent="0.4">
      <c r="C567" s="2"/>
      <c r="D567" s="2"/>
      <c r="E567" s="2"/>
      <c r="F567" s="2"/>
      <c r="G567" s="2"/>
      <c r="H567" s="2"/>
    </row>
    <row r="568" spans="3:8" ht="12.3" x14ac:dyDescent="0.4">
      <c r="C568" s="2"/>
      <c r="D568" s="2"/>
      <c r="E568" s="2"/>
      <c r="F568" s="2"/>
      <c r="G568" s="2"/>
      <c r="H568" s="2"/>
    </row>
    <row r="569" spans="3:8" ht="12.3" x14ac:dyDescent="0.4">
      <c r="C569" s="2"/>
      <c r="D569" s="2"/>
      <c r="E569" s="2"/>
      <c r="F569" s="2"/>
      <c r="G569" s="2"/>
      <c r="H569" s="2"/>
    </row>
    <row r="570" spans="3:8" ht="12.3" x14ac:dyDescent="0.4">
      <c r="C570" s="2"/>
      <c r="D570" s="2"/>
      <c r="E570" s="2"/>
      <c r="F570" s="2"/>
      <c r="G570" s="2"/>
      <c r="H570" s="2"/>
    </row>
    <row r="571" spans="3:8" ht="12.3" x14ac:dyDescent="0.4">
      <c r="C571" s="2"/>
      <c r="D571" s="2"/>
      <c r="E571" s="2"/>
      <c r="F571" s="2"/>
      <c r="G571" s="2"/>
      <c r="H571" s="2"/>
    </row>
    <row r="572" spans="3:8" ht="12.3" x14ac:dyDescent="0.4">
      <c r="C572" s="2"/>
      <c r="D572" s="2"/>
      <c r="E572" s="2"/>
      <c r="F572" s="2"/>
      <c r="G572" s="2"/>
      <c r="H572" s="2"/>
    </row>
    <row r="573" spans="3:8" ht="12.3" x14ac:dyDescent="0.4">
      <c r="C573" s="2"/>
      <c r="D573" s="2"/>
      <c r="E573" s="2"/>
      <c r="F573" s="2"/>
      <c r="G573" s="2"/>
      <c r="H573" s="2"/>
    </row>
    <row r="574" spans="3:8" ht="12.3" x14ac:dyDescent="0.4">
      <c r="C574" s="2"/>
      <c r="D574" s="2"/>
      <c r="E574" s="2"/>
      <c r="F574" s="2"/>
      <c r="G574" s="2"/>
      <c r="H574" s="2"/>
    </row>
    <row r="575" spans="3:8" ht="12.3" x14ac:dyDescent="0.4">
      <c r="C575" s="2"/>
      <c r="D575" s="2"/>
      <c r="E575" s="2"/>
      <c r="F575" s="2"/>
      <c r="G575" s="2"/>
      <c r="H575" s="2"/>
    </row>
    <row r="576" spans="3:8" ht="12.3" x14ac:dyDescent="0.4">
      <c r="C576" s="2"/>
      <c r="D576" s="2"/>
      <c r="E576" s="2"/>
      <c r="F576" s="2"/>
      <c r="G576" s="2"/>
      <c r="H576" s="2"/>
    </row>
    <row r="577" spans="3:8" ht="12.3" x14ac:dyDescent="0.4">
      <c r="C577" s="2"/>
      <c r="D577" s="2"/>
      <c r="E577" s="2"/>
      <c r="F577" s="2"/>
      <c r="G577" s="2"/>
      <c r="H577" s="2"/>
    </row>
    <row r="578" spans="3:8" ht="12.3" x14ac:dyDescent="0.4">
      <c r="C578" s="2"/>
      <c r="D578" s="2"/>
      <c r="E578" s="2"/>
      <c r="F578" s="2"/>
      <c r="G578" s="2"/>
      <c r="H578" s="2"/>
    </row>
    <row r="579" spans="3:8" ht="12.3" x14ac:dyDescent="0.4">
      <c r="C579" s="2"/>
      <c r="D579" s="2"/>
      <c r="E579" s="2"/>
      <c r="F579" s="2"/>
      <c r="G579" s="2"/>
      <c r="H579" s="2"/>
    </row>
    <row r="580" spans="3:8" ht="12.3" x14ac:dyDescent="0.4">
      <c r="C580" s="2"/>
      <c r="D580" s="2"/>
      <c r="E580" s="2"/>
      <c r="F580" s="2"/>
      <c r="G580" s="2"/>
      <c r="H580" s="2"/>
    </row>
    <row r="581" spans="3:8" ht="12.3" x14ac:dyDescent="0.4">
      <c r="C581" s="2"/>
      <c r="D581" s="2"/>
      <c r="E581" s="2"/>
      <c r="F581" s="2"/>
      <c r="G581" s="2"/>
      <c r="H581" s="2"/>
    </row>
    <row r="582" spans="3:8" ht="12.3" x14ac:dyDescent="0.4">
      <c r="C582" s="2"/>
      <c r="D582" s="2"/>
      <c r="E582" s="2"/>
      <c r="F582" s="2"/>
      <c r="G582" s="2"/>
      <c r="H582" s="2"/>
    </row>
    <row r="583" spans="3:8" ht="12.3" x14ac:dyDescent="0.4">
      <c r="C583" s="2"/>
      <c r="D583" s="2"/>
      <c r="E583" s="2"/>
      <c r="F583" s="2"/>
      <c r="G583" s="2"/>
      <c r="H583" s="2"/>
    </row>
    <row r="584" spans="3:8" ht="12.3" x14ac:dyDescent="0.4">
      <c r="C584" s="2"/>
      <c r="D584" s="2"/>
      <c r="E584" s="2"/>
      <c r="F584" s="2"/>
      <c r="G584" s="2"/>
      <c r="H584" s="2"/>
    </row>
    <row r="585" spans="3:8" ht="12.3" x14ac:dyDescent="0.4">
      <c r="C585" s="2"/>
      <c r="D585" s="2"/>
      <c r="E585" s="2"/>
      <c r="F585" s="2"/>
      <c r="G585" s="2"/>
      <c r="H585" s="2"/>
    </row>
    <row r="586" spans="3:8" ht="12.3" x14ac:dyDescent="0.4">
      <c r="C586" s="2"/>
      <c r="D586" s="2"/>
      <c r="E586" s="2"/>
      <c r="F586" s="2"/>
      <c r="G586" s="2"/>
      <c r="H586" s="2"/>
    </row>
    <row r="587" spans="3:8" ht="12.3" x14ac:dyDescent="0.4">
      <c r="C587" s="2"/>
      <c r="D587" s="2"/>
      <c r="E587" s="2"/>
      <c r="F587" s="2"/>
      <c r="G587" s="2"/>
      <c r="H587" s="2"/>
    </row>
    <row r="588" spans="3:8" ht="12.3" x14ac:dyDescent="0.4">
      <c r="C588" s="2"/>
      <c r="D588" s="2"/>
      <c r="E588" s="2"/>
      <c r="F588" s="2"/>
      <c r="G588" s="2"/>
      <c r="H588" s="2"/>
    </row>
    <row r="589" spans="3:8" ht="12.3" x14ac:dyDescent="0.4">
      <c r="C589" s="2"/>
      <c r="D589" s="2"/>
      <c r="E589" s="2"/>
      <c r="F589" s="2"/>
      <c r="G589" s="2"/>
      <c r="H589" s="2"/>
    </row>
    <row r="590" spans="3:8" ht="12.3" x14ac:dyDescent="0.4">
      <c r="C590" s="2"/>
      <c r="D590" s="2"/>
      <c r="E590" s="2"/>
      <c r="F590" s="2"/>
      <c r="G590" s="2"/>
      <c r="H590" s="2"/>
    </row>
    <row r="591" spans="3:8" ht="12.3" x14ac:dyDescent="0.4">
      <c r="C591" s="2"/>
      <c r="D591" s="2"/>
      <c r="E591" s="2"/>
      <c r="F591" s="2"/>
      <c r="G591" s="2"/>
      <c r="H591" s="2"/>
    </row>
    <row r="592" spans="3:8" ht="12.3" x14ac:dyDescent="0.4">
      <c r="C592" s="2"/>
      <c r="D592" s="2"/>
      <c r="E592" s="2"/>
      <c r="F592" s="2"/>
      <c r="G592" s="2"/>
      <c r="H592" s="2"/>
    </row>
    <row r="593" spans="3:8" ht="12.3" x14ac:dyDescent="0.4">
      <c r="C593" s="2"/>
      <c r="D593" s="2"/>
      <c r="E593" s="2"/>
      <c r="F593" s="2"/>
      <c r="G593" s="2"/>
      <c r="H593" s="2"/>
    </row>
    <row r="594" spans="3:8" ht="12.3" x14ac:dyDescent="0.4">
      <c r="C594" s="2"/>
      <c r="D594" s="2"/>
      <c r="E594" s="2"/>
      <c r="F594" s="2"/>
      <c r="G594" s="2"/>
      <c r="H594" s="2"/>
    </row>
    <row r="595" spans="3:8" ht="12.3" x14ac:dyDescent="0.4">
      <c r="C595" s="2"/>
      <c r="D595" s="2"/>
      <c r="E595" s="2"/>
      <c r="F595" s="2"/>
      <c r="G595" s="2"/>
      <c r="H595" s="2"/>
    </row>
    <row r="596" spans="3:8" ht="12.3" x14ac:dyDescent="0.4">
      <c r="C596" s="2"/>
      <c r="D596" s="2"/>
      <c r="E596" s="2"/>
      <c r="F596" s="2"/>
      <c r="G596" s="2"/>
      <c r="H596" s="2"/>
    </row>
    <row r="597" spans="3:8" ht="12.3" x14ac:dyDescent="0.4">
      <c r="C597" s="2"/>
      <c r="D597" s="2"/>
      <c r="E597" s="2"/>
      <c r="F597" s="2"/>
      <c r="G597" s="2"/>
      <c r="H597" s="2"/>
    </row>
    <row r="598" spans="3:8" ht="12.3" x14ac:dyDescent="0.4">
      <c r="C598" s="2"/>
      <c r="D598" s="2"/>
      <c r="E598" s="2"/>
      <c r="F598" s="2"/>
      <c r="G598" s="2"/>
      <c r="H598" s="2"/>
    </row>
    <row r="599" spans="3:8" ht="12.3" x14ac:dyDescent="0.4">
      <c r="C599" s="2"/>
      <c r="D599" s="2"/>
      <c r="E599" s="2"/>
      <c r="F599" s="2"/>
      <c r="G599" s="2"/>
      <c r="H599" s="2"/>
    </row>
    <row r="600" spans="3:8" ht="12.3" x14ac:dyDescent="0.4">
      <c r="C600" s="2"/>
      <c r="D600" s="2"/>
      <c r="E600" s="2"/>
      <c r="F600" s="2"/>
      <c r="G600" s="2"/>
      <c r="H600" s="2"/>
    </row>
    <row r="601" spans="3:8" ht="12.3" x14ac:dyDescent="0.4">
      <c r="C601" s="2"/>
      <c r="D601" s="2"/>
      <c r="E601" s="2"/>
      <c r="F601" s="2"/>
      <c r="G601" s="2"/>
      <c r="H601" s="2"/>
    </row>
    <row r="602" spans="3:8" ht="12.3" x14ac:dyDescent="0.4">
      <c r="C602" s="2"/>
      <c r="D602" s="2"/>
      <c r="E602" s="2"/>
      <c r="F602" s="2"/>
      <c r="G602" s="2"/>
      <c r="H602" s="2"/>
    </row>
    <row r="603" spans="3:8" ht="12.3" x14ac:dyDescent="0.4">
      <c r="C603" s="2"/>
      <c r="D603" s="2"/>
      <c r="E603" s="2"/>
      <c r="F603" s="2"/>
      <c r="G603" s="2"/>
      <c r="H603" s="2"/>
    </row>
    <row r="604" spans="3:8" ht="12.3" x14ac:dyDescent="0.4">
      <c r="C604" s="2"/>
      <c r="D604" s="2"/>
      <c r="E604" s="2"/>
      <c r="F604" s="2"/>
      <c r="G604" s="2"/>
      <c r="H604" s="2"/>
    </row>
    <row r="605" spans="3:8" ht="12.3" x14ac:dyDescent="0.4">
      <c r="C605" s="2"/>
      <c r="D605" s="2"/>
      <c r="E605" s="2"/>
      <c r="F605" s="2"/>
      <c r="G605" s="2"/>
      <c r="H605" s="2"/>
    </row>
    <row r="606" spans="3:8" ht="12.3" x14ac:dyDescent="0.4">
      <c r="C606" s="2"/>
      <c r="D606" s="2"/>
      <c r="E606" s="2"/>
      <c r="F606" s="2"/>
      <c r="G606" s="2"/>
      <c r="H606" s="2"/>
    </row>
    <row r="607" spans="3:8" ht="12.3" x14ac:dyDescent="0.4">
      <c r="C607" s="2"/>
      <c r="D607" s="2"/>
      <c r="E607" s="2"/>
      <c r="F607" s="2"/>
      <c r="G607" s="2"/>
      <c r="H607" s="2"/>
    </row>
    <row r="608" spans="3:8" ht="12.3" x14ac:dyDescent="0.4">
      <c r="C608" s="2"/>
      <c r="D608" s="2"/>
      <c r="E608" s="2"/>
      <c r="F608" s="2"/>
      <c r="G608" s="2"/>
      <c r="H608" s="2"/>
    </row>
    <row r="609" spans="3:8" ht="12.3" x14ac:dyDescent="0.4">
      <c r="C609" s="2"/>
      <c r="D609" s="2"/>
      <c r="E609" s="2"/>
      <c r="F609" s="2"/>
      <c r="G609" s="2"/>
      <c r="H609" s="2"/>
    </row>
    <row r="610" spans="3:8" ht="12.3" x14ac:dyDescent="0.4">
      <c r="C610" s="2"/>
      <c r="D610" s="2"/>
      <c r="E610" s="2"/>
      <c r="F610" s="2"/>
      <c r="G610" s="2"/>
      <c r="H610" s="2"/>
    </row>
    <row r="611" spans="3:8" ht="12.3" x14ac:dyDescent="0.4">
      <c r="C611" s="2"/>
      <c r="D611" s="2"/>
      <c r="E611" s="2"/>
      <c r="F611" s="2"/>
      <c r="G611" s="2"/>
      <c r="H611" s="2"/>
    </row>
    <row r="612" spans="3:8" ht="12.3" x14ac:dyDescent="0.4">
      <c r="C612" s="2"/>
      <c r="D612" s="2"/>
      <c r="E612" s="2"/>
      <c r="F612" s="2"/>
      <c r="G612" s="2"/>
      <c r="H612" s="2"/>
    </row>
    <row r="613" spans="3:8" ht="12.3" x14ac:dyDescent="0.4">
      <c r="C613" s="2"/>
      <c r="D613" s="2"/>
      <c r="E613" s="2"/>
      <c r="F613" s="2"/>
      <c r="G613" s="2"/>
      <c r="H613" s="2"/>
    </row>
    <row r="614" spans="3:8" ht="12.3" x14ac:dyDescent="0.4">
      <c r="C614" s="2"/>
      <c r="D614" s="2"/>
      <c r="E614" s="2"/>
      <c r="F614" s="2"/>
      <c r="G614" s="2"/>
      <c r="H614" s="2"/>
    </row>
    <row r="615" spans="3:8" ht="12.3" x14ac:dyDescent="0.4">
      <c r="C615" s="2"/>
      <c r="D615" s="2"/>
      <c r="E615" s="2"/>
      <c r="F615" s="2"/>
      <c r="G615" s="2"/>
      <c r="H615" s="2"/>
    </row>
    <row r="616" spans="3:8" ht="12.3" x14ac:dyDescent="0.4">
      <c r="C616" s="2"/>
      <c r="D616" s="2"/>
      <c r="E616" s="2"/>
      <c r="F616" s="2"/>
      <c r="G616" s="2"/>
      <c r="H616" s="2"/>
    </row>
    <row r="617" spans="3:8" ht="12.3" x14ac:dyDescent="0.4">
      <c r="C617" s="2"/>
      <c r="D617" s="2"/>
      <c r="E617" s="2"/>
      <c r="F617" s="2"/>
      <c r="G617" s="2"/>
      <c r="H617" s="2"/>
    </row>
    <row r="618" spans="3:8" ht="12.3" x14ac:dyDescent="0.4">
      <c r="C618" s="2"/>
      <c r="D618" s="2"/>
      <c r="E618" s="2"/>
      <c r="F618" s="2"/>
      <c r="G618" s="2"/>
      <c r="H618" s="2"/>
    </row>
    <row r="619" spans="3:8" ht="12.3" x14ac:dyDescent="0.4">
      <c r="C619" s="2"/>
      <c r="D619" s="2"/>
      <c r="E619" s="2"/>
      <c r="F619" s="2"/>
      <c r="G619" s="2"/>
      <c r="H619" s="2"/>
    </row>
    <row r="620" spans="3:8" ht="12.3" x14ac:dyDescent="0.4">
      <c r="C620" s="2"/>
      <c r="D620" s="2"/>
      <c r="E620" s="2"/>
      <c r="F620" s="2"/>
      <c r="G620" s="2"/>
      <c r="H620" s="2"/>
    </row>
    <row r="621" spans="3:8" ht="12.3" x14ac:dyDescent="0.4">
      <c r="C621" s="2"/>
      <c r="D621" s="2"/>
      <c r="E621" s="2"/>
      <c r="F621" s="2"/>
      <c r="G621" s="2"/>
      <c r="H621" s="2"/>
    </row>
    <row r="622" spans="3:8" ht="12.3" x14ac:dyDescent="0.4">
      <c r="C622" s="2"/>
      <c r="D622" s="2"/>
      <c r="E622" s="2"/>
      <c r="F622" s="2"/>
      <c r="G622" s="2"/>
      <c r="H622" s="2"/>
    </row>
    <row r="623" spans="3:8" ht="12.3" x14ac:dyDescent="0.4">
      <c r="C623" s="2"/>
      <c r="D623" s="2"/>
      <c r="E623" s="2"/>
      <c r="F623" s="2"/>
      <c r="G623" s="2"/>
      <c r="H623" s="2"/>
    </row>
    <row r="624" spans="3:8" ht="12.3" x14ac:dyDescent="0.4">
      <c r="C624" s="2"/>
      <c r="D624" s="2"/>
      <c r="E624" s="2"/>
      <c r="F624" s="2"/>
      <c r="G624" s="2"/>
      <c r="H624" s="2"/>
    </row>
    <row r="625" spans="3:8" ht="12.3" x14ac:dyDescent="0.4">
      <c r="C625" s="2"/>
      <c r="D625" s="2"/>
      <c r="E625" s="2"/>
      <c r="F625" s="2"/>
      <c r="G625" s="2"/>
      <c r="H625" s="2"/>
    </row>
    <row r="626" spans="3:8" ht="12.3" x14ac:dyDescent="0.4">
      <c r="C626" s="2"/>
      <c r="D626" s="2"/>
      <c r="E626" s="2"/>
      <c r="F626" s="2"/>
      <c r="G626" s="2"/>
      <c r="H626" s="2"/>
    </row>
    <row r="627" spans="3:8" ht="12.3" x14ac:dyDescent="0.4">
      <c r="C627" s="2"/>
      <c r="D627" s="2"/>
      <c r="E627" s="2"/>
      <c r="F627" s="2"/>
      <c r="G627" s="2"/>
      <c r="H627" s="2"/>
    </row>
    <row r="628" spans="3:8" ht="12.3" x14ac:dyDescent="0.4">
      <c r="C628" s="2"/>
      <c r="D628" s="2"/>
      <c r="E628" s="2"/>
      <c r="F628" s="2"/>
      <c r="G628" s="2"/>
      <c r="H628" s="2"/>
    </row>
    <row r="629" spans="3:8" ht="12.3" x14ac:dyDescent="0.4">
      <c r="C629" s="2"/>
      <c r="D629" s="2"/>
      <c r="E629" s="2"/>
      <c r="F629" s="2"/>
      <c r="G629" s="2"/>
      <c r="H629" s="2"/>
    </row>
    <row r="630" spans="3:8" ht="12.3" x14ac:dyDescent="0.4">
      <c r="C630" s="2"/>
      <c r="D630" s="2"/>
      <c r="E630" s="2"/>
      <c r="F630" s="2"/>
      <c r="G630" s="2"/>
      <c r="H630" s="2"/>
    </row>
    <row r="631" spans="3:8" ht="12.3" x14ac:dyDescent="0.4">
      <c r="C631" s="2"/>
      <c r="D631" s="2"/>
      <c r="E631" s="2"/>
      <c r="F631" s="2"/>
      <c r="G631" s="2"/>
      <c r="H631" s="2"/>
    </row>
    <row r="632" spans="3:8" ht="12.3" x14ac:dyDescent="0.4">
      <c r="C632" s="2"/>
      <c r="D632" s="2"/>
      <c r="E632" s="2"/>
      <c r="F632" s="2"/>
      <c r="G632" s="2"/>
      <c r="H632" s="2"/>
    </row>
    <row r="633" spans="3:8" ht="12.3" x14ac:dyDescent="0.4">
      <c r="C633" s="2"/>
      <c r="D633" s="2"/>
      <c r="E633" s="2"/>
      <c r="F633" s="2"/>
      <c r="G633" s="2"/>
      <c r="H633" s="2"/>
    </row>
    <row r="634" spans="3:8" ht="12.3" x14ac:dyDescent="0.4">
      <c r="C634" s="2"/>
      <c r="D634" s="2"/>
      <c r="E634" s="2"/>
      <c r="F634" s="2"/>
      <c r="G634" s="2"/>
      <c r="H634" s="2"/>
    </row>
    <row r="635" spans="3:8" ht="12.3" x14ac:dyDescent="0.4">
      <c r="C635" s="2"/>
      <c r="D635" s="2"/>
      <c r="E635" s="2"/>
      <c r="F635" s="2"/>
      <c r="G635" s="2"/>
      <c r="H635" s="2"/>
    </row>
    <row r="636" spans="3:8" ht="12.3" x14ac:dyDescent="0.4">
      <c r="C636" s="2"/>
      <c r="D636" s="2"/>
      <c r="E636" s="2"/>
      <c r="F636" s="2"/>
      <c r="G636" s="2"/>
      <c r="H636" s="2"/>
    </row>
    <row r="637" spans="3:8" ht="12.3" x14ac:dyDescent="0.4">
      <c r="C637" s="2"/>
      <c r="D637" s="2"/>
      <c r="E637" s="2"/>
      <c r="F637" s="2"/>
      <c r="G637" s="2"/>
      <c r="H637" s="2"/>
    </row>
    <row r="638" spans="3:8" ht="12.3" x14ac:dyDescent="0.4">
      <c r="C638" s="2"/>
      <c r="D638" s="2"/>
      <c r="E638" s="2"/>
      <c r="F638" s="2"/>
      <c r="G638" s="2"/>
      <c r="H638" s="2"/>
    </row>
    <row r="639" spans="3:8" ht="12.3" x14ac:dyDescent="0.4">
      <c r="C639" s="2"/>
      <c r="D639" s="2"/>
      <c r="E639" s="2"/>
      <c r="F639" s="2"/>
      <c r="G639" s="2"/>
      <c r="H639" s="2"/>
    </row>
    <row r="640" spans="3:8" ht="12.3" x14ac:dyDescent="0.4">
      <c r="C640" s="2"/>
      <c r="D640" s="2"/>
      <c r="E640" s="2"/>
      <c r="F640" s="2"/>
      <c r="G640" s="2"/>
      <c r="H640" s="2"/>
    </row>
    <row r="641" spans="3:8" ht="12.3" x14ac:dyDescent="0.4">
      <c r="C641" s="2"/>
      <c r="D641" s="2"/>
      <c r="E641" s="2"/>
      <c r="F641" s="2"/>
      <c r="G641" s="2"/>
      <c r="H641" s="2"/>
    </row>
    <row r="642" spans="3:8" ht="12.3" x14ac:dyDescent="0.4">
      <c r="C642" s="2"/>
      <c r="D642" s="2"/>
      <c r="E642" s="2"/>
      <c r="F642" s="2"/>
      <c r="G642" s="2"/>
      <c r="H642" s="2"/>
    </row>
    <row r="643" spans="3:8" ht="12.3" x14ac:dyDescent="0.4">
      <c r="C643" s="2"/>
      <c r="D643" s="2"/>
      <c r="E643" s="2"/>
      <c r="F643" s="2"/>
      <c r="G643" s="2"/>
      <c r="H643" s="2"/>
    </row>
    <row r="644" spans="3:8" ht="12.3" x14ac:dyDescent="0.4">
      <c r="C644" s="2"/>
      <c r="D644" s="2"/>
      <c r="E644" s="2"/>
      <c r="F644" s="2"/>
      <c r="G644" s="2"/>
      <c r="H644" s="2"/>
    </row>
    <row r="645" spans="3:8" ht="12.3" x14ac:dyDescent="0.4">
      <c r="C645" s="2"/>
      <c r="D645" s="2"/>
      <c r="E645" s="2"/>
      <c r="F645" s="2"/>
      <c r="G645" s="2"/>
      <c r="H645" s="2"/>
    </row>
    <row r="646" spans="3:8" ht="12.3" x14ac:dyDescent="0.4">
      <c r="C646" s="2"/>
      <c r="D646" s="2"/>
      <c r="E646" s="2"/>
      <c r="F646" s="2"/>
      <c r="G646" s="2"/>
      <c r="H646" s="2"/>
    </row>
    <row r="647" spans="3:8" ht="12.3" x14ac:dyDescent="0.4">
      <c r="C647" s="2"/>
      <c r="D647" s="2"/>
      <c r="E647" s="2"/>
      <c r="F647" s="2"/>
      <c r="G647" s="2"/>
      <c r="H647" s="2"/>
    </row>
    <row r="648" spans="3:8" ht="12.3" x14ac:dyDescent="0.4">
      <c r="C648" s="2"/>
      <c r="D648" s="2"/>
      <c r="E648" s="2"/>
      <c r="F648" s="2"/>
      <c r="G648" s="2"/>
      <c r="H648" s="2"/>
    </row>
    <row r="649" spans="3:8" ht="12.3" x14ac:dyDescent="0.4">
      <c r="C649" s="2"/>
      <c r="D649" s="2"/>
      <c r="E649" s="2"/>
      <c r="F649" s="2"/>
      <c r="G649" s="2"/>
      <c r="H649" s="2"/>
    </row>
    <row r="650" spans="3:8" ht="12.3" x14ac:dyDescent="0.4">
      <c r="C650" s="2"/>
      <c r="D650" s="2"/>
      <c r="E650" s="2"/>
      <c r="F650" s="2"/>
      <c r="G650" s="2"/>
      <c r="H650" s="2"/>
    </row>
    <row r="651" spans="3:8" ht="12.3" x14ac:dyDescent="0.4">
      <c r="C651" s="2"/>
      <c r="D651" s="2"/>
      <c r="E651" s="2"/>
      <c r="F651" s="2"/>
      <c r="G651" s="2"/>
      <c r="H651" s="2"/>
    </row>
    <row r="652" spans="3:8" ht="12.3" x14ac:dyDescent="0.4">
      <c r="C652" s="2"/>
      <c r="D652" s="2"/>
      <c r="E652" s="2"/>
      <c r="F652" s="2"/>
      <c r="G652" s="2"/>
      <c r="H652" s="2"/>
    </row>
    <row r="653" spans="3:8" ht="12.3" x14ac:dyDescent="0.4">
      <c r="C653" s="2"/>
      <c r="D653" s="2"/>
      <c r="E653" s="2"/>
      <c r="F653" s="2"/>
      <c r="G653" s="2"/>
      <c r="H653" s="2"/>
    </row>
    <row r="654" spans="3:8" ht="12.3" x14ac:dyDescent="0.4">
      <c r="C654" s="2"/>
      <c r="D654" s="2"/>
      <c r="E654" s="2"/>
      <c r="F654" s="2"/>
      <c r="G654" s="2"/>
      <c r="H654" s="2"/>
    </row>
    <row r="655" spans="3:8" ht="12.3" x14ac:dyDescent="0.4">
      <c r="C655" s="2"/>
      <c r="D655" s="2"/>
      <c r="E655" s="2"/>
      <c r="F655" s="2"/>
      <c r="G655" s="2"/>
      <c r="H655" s="2"/>
    </row>
    <row r="656" spans="3:8" ht="12.3" x14ac:dyDescent="0.4">
      <c r="C656" s="2"/>
      <c r="D656" s="2"/>
      <c r="E656" s="2"/>
      <c r="F656" s="2"/>
      <c r="G656" s="2"/>
      <c r="H656" s="2"/>
    </row>
    <row r="657" spans="3:8" ht="12.3" x14ac:dyDescent="0.4">
      <c r="C657" s="2"/>
      <c r="D657" s="2"/>
      <c r="E657" s="2"/>
      <c r="F657" s="2"/>
      <c r="G657" s="2"/>
      <c r="H657" s="2"/>
    </row>
    <row r="658" spans="3:8" ht="12.3" x14ac:dyDescent="0.4">
      <c r="C658" s="2"/>
      <c r="D658" s="2"/>
      <c r="E658" s="2"/>
      <c r="F658" s="2"/>
      <c r="G658" s="2"/>
      <c r="H658" s="2"/>
    </row>
    <row r="659" spans="3:8" ht="12.3" x14ac:dyDescent="0.4">
      <c r="C659" s="2"/>
      <c r="D659" s="2"/>
      <c r="E659" s="2"/>
      <c r="F659" s="2"/>
      <c r="G659" s="2"/>
      <c r="H659" s="2"/>
    </row>
    <row r="660" spans="3:8" ht="12.3" x14ac:dyDescent="0.4">
      <c r="C660" s="2"/>
      <c r="D660" s="2"/>
      <c r="E660" s="2"/>
      <c r="F660" s="2"/>
      <c r="G660" s="2"/>
      <c r="H660" s="2"/>
    </row>
    <row r="661" spans="3:8" ht="12.3" x14ac:dyDescent="0.4">
      <c r="C661" s="2"/>
      <c r="D661" s="2"/>
      <c r="E661" s="2"/>
      <c r="F661" s="2"/>
      <c r="G661" s="2"/>
      <c r="H661" s="2"/>
    </row>
    <row r="662" spans="3:8" ht="12.3" x14ac:dyDescent="0.4">
      <c r="C662" s="2"/>
      <c r="D662" s="2"/>
      <c r="E662" s="2"/>
      <c r="F662" s="2"/>
      <c r="G662" s="2"/>
      <c r="H662" s="2"/>
    </row>
    <row r="663" spans="3:8" ht="12.3" x14ac:dyDescent="0.4">
      <c r="C663" s="2"/>
      <c r="D663" s="2"/>
      <c r="E663" s="2"/>
      <c r="F663" s="2"/>
      <c r="G663" s="2"/>
      <c r="H663" s="2"/>
    </row>
    <row r="664" spans="3:8" ht="12.3" x14ac:dyDescent="0.4">
      <c r="C664" s="2"/>
      <c r="D664" s="2"/>
      <c r="E664" s="2"/>
      <c r="F664" s="2"/>
      <c r="G664" s="2"/>
      <c r="H664" s="2"/>
    </row>
    <row r="665" spans="3:8" ht="12.3" x14ac:dyDescent="0.4">
      <c r="C665" s="2"/>
      <c r="D665" s="2"/>
      <c r="E665" s="2"/>
      <c r="F665" s="2"/>
      <c r="G665" s="2"/>
      <c r="H665" s="2"/>
    </row>
    <row r="666" spans="3:8" ht="12.3" x14ac:dyDescent="0.4">
      <c r="C666" s="2"/>
      <c r="D666" s="2"/>
      <c r="E666" s="2"/>
      <c r="F666" s="2"/>
      <c r="G666" s="2"/>
      <c r="H666" s="2"/>
    </row>
    <row r="667" spans="3:8" ht="12.3" x14ac:dyDescent="0.4">
      <c r="C667" s="2"/>
      <c r="D667" s="2"/>
      <c r="E667" s="2"/>
      <c r="F667" s="2"/>
      <c r="G667" s="2"/>
      <c r="H667" s="2"/>
    </row>
    <row r="668" spans="3:8" ht="12.3" x14ac:dyDescent="0.4">
      <c r="C668" s="2"/>
      <c r="D668" s="2"/>
      <c r="E668" s="2"/>
      <c r="F668" s="2"/>
      <c r="G668" s="2"/>
      <c r="H668" s="2"/>
    </row>
    <row r="669" spans="3:8" ht="12.3" x14ac:dyDescent="0.4">
      <c r="C669" s="2"/>
      <c r="D669" s="2"/>
      <c r="E669" s="2"/>
      <c r="F669" s="2"/>
      <c r="G669" s="2"/>
      <c r="H669" s="2"/>
    </row>
    <row r="670" spans="3:8" ht="12.3" x14ac:dyDescent="0.4">
      <c r="C670" s="2"/>
      <c r="D670" s="2"/>
      <c r="E670" s="2"/>
      <c r="F670" s="2"/>
      <c r="G670" s="2"/>
      <c r="H670" s="2"/>
    </row>
    <row r="671" spans="3:8" ht="12.3" x14ac:dyDescent="0.4">
      <c r="C671" s="2"/>
      <c r="D671" s="2"/>
      <c r="E671" s="2"/>
      <c r="F671" s="2"/>
      <c r="G671" s="2"/>
      <c r="H671" s="2"/>
    </row>
    <row r="672" spans="3:8" ht="12.3" x14ac:dyDescent="0.4">
      <c r="C672" s="2"/>
      <c r="D672" s="2"/>
      <c r="E672" s="2"/>
      <c r="F672" s="2"/>
      <c r="G672" s="2"/>
      <c r="H672" s="2"/>
    </row>
    <row r="673" spans="3:8" ht="12.3" x14ac:dyDescent="0.4">
      <c r="C673" s="2"/>
      <c r="D673" s="2"/>
      <c r="E673" s="2"/>
      <c r="F673" s="2"/>
      <c r="G673" s="2"/>
      <c r="H673" s="2"/>
    </row>
    <row r="674" spans="3:8" ht="12.3" x14ac:dyDescent="0.4">
      <c r="C674" s="2"/>
      <c r="D674" s="2"/>
      <c r="E674" s="2"/>
      <c r="F674" s="2"/>
      <c r="G674" s="2"/>
      <c r="H674" s="2"/>
    </row>
    <row r="675" spans="3:8" ht="12.3" x14ac:dyDescent="0.4">
      <c r="C675" s="2"/>
      <c r="D675" s="2"/>
      <c r="E675" s="2"/>
      <c r="F675" s="2"/>
      <c r="G675" s="2"/>
      <c r="H675" s="2"/>
    </row>
    <row r="676" spans="3:8" ht="12.3" x14ac:dyDescent="0.4">
      <c r="C676" s="2"/>
      <c r="D676" s="2"/>
      <c r="E676" s="2"/>
      <c r="F676" s="2"/>
      <c r="G676" s="2"/>
      <c r="H676" s="2"/>
    </row>
    <row r="677" spans="3:8" ht="12.3" x14ac:dyDescent="0.4">
      <c r="C677" s="2"/>
      <c r="D677" s="2"/>
      <c r="E677" s="2"/>
      <c r="F677" s="2"/>
      <c r="G677" s="2"/>
      <c r="H677" s="2"/>
    </row>
    <row r="678" spans="3:8" ht="12.3" x14ac:dyDescent="0.4">
      <c r="C678" s="2"/>
      <c r="D678" s="2"/>
      <c r="E678" s="2"/>
      <c r="F678" s="2"/>
      <c r="G678" s="2"/>
      <c r="H678" s="2"/>
    </row>
    <row r="679" spans="3:8" ht="12.3" x14ac:dyDescent="0.4">
      <c r="C679" s="2"/>
      <c r="D679" s="2"/>
      <c r="E679" s="2"/>
      <c r="F679" s="2"/>
      <c r="G679" s="2"/>
      <c r="H679" s="2"/>
    </row>
    <row r="680" spans="3:8" ht="12.3" x14ac:dyDescent="0.4">
      <c r="C680" s="2"/>
      <c r="D680" s="2"/>
      <c r="E680" s="2"/>
      <c r="F680" s="2"/>
      <c r="G680" s="2"/>
      <c r="H680" s="2"/>
    </row>
    <row r="681" spans="3:8" ht="12.3" x14ac:dyDescent="0.4">
      <c r="C681" s="2"/>
      <c r="D681" s="2"/>
      <c r="E681" s="2"/>
      <c r="F681" s="2"/>
      <c r="G681" s="2"/>
      <c r="H681" s="2"/>
    </row>
    <row r="682" spans="3:8" ht="12.3" x14ac:dyDescent="0.4">
      <c r="C682" s="2"/>
      <c r="D682" s="2"/>
      <c r="E682" s="2"/>
      <c r="F682" s="2"/>
      <c r="G682" s="2"/>
      <c r="H682" s="2"/>
    </row>
    <row r="683" spans="3:8" ht="12.3" x14ac:dyDescent="0.4">
      <c r="C683" s="2"/>
      <c r="D683" s="2"/>
      <c r="E683" s="2"/>
      <c r="F683" s="2"/>
      <c r="G683" s="2"/>
      <c r="H683" s="2"/>
    </row>
    <row r="684" spans="3:8" ht="12.3" x14ac:dyDescent="0.4">
      <c r="C684" s="2"/>
      <c r="D684" s="2"/>
      <c r="E684" s="2"/>
      <c r="F684" s="2"/>
      <c r="G684" s="2"/>
      <c r="H684" s="2"/>
    </row>
    <row r="685" spans="3:8" ht="12.3" x14ac:dyDescent="0.4">
      <c r="C685" s="2"/>
      <c r="D685" s="2"/>
      <c r="E685" s="2"/>
      <c r="F685" s="2"/>
      <c r="G685" s="2"/>
      <c r="H685" s="2"/>
    </row>
    <row r="686" spans="3:8" ht="12.3" x14ac:dyDescent="0.4">
      <c r="C686" s="2"/>
      <c r="D686" s="2"/>
      <c r="E686" s="2"/>
      <c r="F686" s="2"/>
      <c r="G686" s="2"/>
      <c r="H686" s="2"/>
    </row>
    <row r="687" spans="3:8" ht="12.3" x14ac:dyDescent="0.4">
      <c r="C687" s="2"/>
      <c r="D687" s="2"/>
      <c r="E687" s="2"/>
      <c r="F687" s="2"/>
      <c r="G687" s="2"/>
      <c r="H687" s="2"/>
    </row>
    <row r="688" spans="3:8" ht="12.3" x14ac:dyDescent="0.4">
      <c r="C688" s="2"/>
      <c r="D688" s="2"/>
      <c r="E688" s="2"/>
      <c r="F688" s="2"/>
      <c r="G688" s="2"/>
      <c r="H688" s="2"/>
    </row>
    <row r="689" spans="3:8" ht="12.3" x14ac:dyDescent="0.4">
      <c r="C689" s="2"/>
      <c r="D689" s="2"/>
      <c r="E689" s="2"/>
      <c r="F689" s="2"/>
      <c r="G689" s="2"/>
      <c r="H689" s="2"/>
    </row>
    <row r="690" spans="3:8" ht="12.3" x14ac:dyDescent="0.4">
      <c r="C690" s="2"/>
      <c r="D690" s="2"/>
      <c r="E690" s="2"/>
      <c r="F690" s="2"/>
      <c r="G690" s="2"/>
      <c r="H690" s="2"/>
    </row>
    <row r="691" spans="3:8" ht="12.3" x14ac:dyDescent="0.4">
      <c r="C691" s="2"/>
      <c r="D691" s="2"/>
      <c r="E691" s="2"/>
      <c r="F691" s="2"/>
      <c r="G691" s="2"/>
      <c r="H691" s="2"/>
    </row>
    <row r="692" spans="3:8" ht="12.3" x14ac:dyDescent="0.4">
      <c r="C692" s="2"/>
      <c r="D692" s="2"/>
      <c r="E692" s="2"/>
      <c r="F692" s="2"/>
      <c r="G692" s="2"/>
      <c r="H692" s="2"/>
    </row>
    <row r="693" spans="3:8" ht="12.3" x14ac:dyDescent="0.4">
      <c r="C693" s="2"/>
      <c r="D693" s="2"/>
      <c r="E693" s="2"/>
      <c r="F693" s="2"/>
      <c r="G693" s="2"/>
      <c r="H693" s="2"/>
    </row>
    <row r="694" spans="3:8" ht="12.3" x14ac:dyDescent="0.4">
      <c r="C694" s="2"/>
      <c r="D694" s="2"/>
      <c r="E694" s="2"/>
      <c r="F694" s="2"/>
      <c r="G694" s="2"/>
      <c r="H694" s="2"/>
    </row>
    <row r="695" spans="3:8" ht="12.3" x14ac:dyDescent="0.4">
      <c r="C695" s="2"/>
      <c r="D695" s="2"/>
      <c r="E695" s="2"/>
      <c r="F695" s="2"/>
      <c r="G695" s="2"/>
      <c r="H695" s="2"/>
    </row>
    <row r="696" spans="3:8" ht="12.3" x14ac:dyDescent="0.4">
      <c r="C696" s="2"/>
      <c r="D696" s="2"/>
      <c r="E696" s="2"/>
      <c r="F696" s="2"/>
      <c r="G696" s="2"/>
      <c r="H696" s="2"/>
    </row>
    <row r="697" spans="3:8" ht="12.3" x14ac:dyDescent="0.4">
      <c r="C697" s="2"/>
      <c r="D697" s="2"/>
      <c r="E697" s="2"/>
      <c r="F697" s="2"/>
      <c r="G697" s="2"/>
      <c r="H697" s="2"/>
    </row>
    <row r="698" spans="3:8" ht="12.3" x14ac:dyDescent="0.4">
      <c r="C698" s="2"/>
      <c r="D698" s="2"/>
      <c r="E698" s="2"/>
      <c r="F698" s="2"/>
      <c r="G698" s="2"/>
      <c r="H698" s="2"/>
    </row>
    <row r="699" spans="3:8" ht="12.3" x14ac:dyDescent="0.4">
      <c r="C699" s="2"/>
      <c r="D699" s="2"/>
      <c r="E699" s="2"/>
      <c r="F699" s="2"/>
      <c r="G699" s="2"/>
      <c r="H699" s="2"/>
    </row>
    <row r="700" spans="3:8" ht="12.3" x14ac:dyDescent="0.4">
      <c r="C700" s="2"/>
      <c r="D700" s="2"/>
      <c r="E700" s="2"/>
      <c r="F700" s="2"/>
      <c r="G700" s="2"/>
      <c r="H700" s="2"/>
    </row>
    <row r="701" spans="3:8" ht="12.3" x14ac:dyDescent="0.4">
      <c r="C701" s="2"/>
      <c r="D701" s="2"/>
      <c r="E701" s="2"/>
      <c r="F701" s="2"/>
      <c r="G701" s="2"/>
      <c r="H701" s="2"/>
    </row>
    <row r="702" spans="3:8" ht="12.3" x14ac:dyDescent="0.4">
      <c r="C702" s="2"/>
      <c r="D702" s="2"/>
      <c r="E702" s="2"/>
      <c r="F702" s="2"/>
      <c r="G702" s="2"/>
      <c r="H702" s="2"/>
    </row>
    <row r="703" spans="3:8" ht="12.3" x14ac:dyDescent="0.4">
      <c r="C703" s="2"/>
      <c r="D703" s="2"/>
      <c r="E703" s="2"/>
      <c r="F703" s="2"/>
      <c r="G703" s="2"/>
      <c r="H703" s="2"/>
    </row>
    <row r="704" spans="3:8" ht="12.3" x14ac:dyDescent="0.4">
      <c r="C704" s="2"/>
      <c r="D704" s="2"/>
      <c r="E704" s="2"/>
      <c r="F704" s="2"/>
      <c r="G704" s="2"/>
      <c r="H704" s="2"/>
    </row>
  </sheetData>
  <autoFilter ref="A1:P353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P352"/>
  <sheetViews>
    <sheetView workbookViewId="0"/>
  </sheetViews>
  <sheetFormatPr defaultColWidth="14.44140625" defaultRowHeight="15.75" customHeight="1" x14ac:dyDescent="0.4"/>
  <cols>
    <col min="2" max="2" width="6.44140625" customWidth="1"/>
    <col min="3" max="3" width="4.5546875" customWidth="1"/>
    <col min="4" max="4" width="4.44140625" customWidth="1"/>
    <col min="5" max="5" width="3.44140625" customWidth="1"/>
    <col min="6" max="6" width="3.27734375" customWidth="1"/>
    <col min="7" max="7" width="3.5546875" customWidth="1"/>
    <col min="8" max="8" width="7.44140625" customWidth="1"/>
  </cols>
  <sheetData>
    <row r="1" spans="1:16" ht="15.75" customHeight="1" x14ac:dyDescent="0.4">
      <c r="A1" s="2" t="s">
        <v>1</v>
      </c>
      <c r="B1" s="5" t="s">
        <v>390</v>
      </c>
      <c r="C1" s="6" t="s">
        <v>26</v>
      </c>
      <c r="D1" s="6" t="s">
        <v>27</v>
      </c>
      <c r="E1" s="6" t="s">
        <v>28</v>
      </c>
      <c r="F1" s="6" t="s">
        <v>29</v>
      </c>
      <c r="G1" s="6" t="s">
        <v>30</v>
      </c>
      <c r="H1" s="6" t="s">
        <v>31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385</v>
      </c>
      <c r="P1" s="2" t="s">
        <v>386</v>
      </c>
    </row>
    <row r="2" spans="1:16" ht="15.75" customHeight="1" x14ac:dyDescent="0.4">
      <c r="A2" s="2" t="s">
        <v>384</v>
      </c>
      <c r="B2" s="7"/>
      <c r="C2" s="8"/>
      <c r="D2" s="8"/>
      <c r="E2" s="8"/>
      <c r="F2" s="8"/>
      <c r="G2" s="8"/>
      <c r="H2" s="8"/>
      <c r="I2" s="2">
        <v>98.758399999999995</v>
      </c>
      <c r="J2" s="2">
        <v>292</v>
      </c>
      <c r="K2" s="2">
        <v>103.015</v>
      </c>
      <c r="L2" s="2">
        <v>149</v>
      </c>
      <c r="M2" s="2">
        <v>107.652</v>
      </c>
      <c r="N2" s="2">
        <v>221</v>
      </c>
      <c r="O2" s="2">
        <v>-8.8933599999999995</v>
      </c>
      <c r="P2" s="2">
        <v>265</v>
      </c>
    </row>
    <row r="3" spans="1:16" ht="15.75" customHeight="1" x14ac:dyDescent="0.4">
      <c r="A3" s="2" t="s">
        <v>204</v>
      </c>
      <c r="B3" s="7"/>
      <c r="C3" s="8"/>
      <c r="D3" s="8"/>
      <c r="E3" s="8"/>
      <c r="F3" s="8"/>
      <c r="G3" s="8"/>
      <c r="H3" s="8"/>
      <c r="I3" s="2">
        <v>100.858</v>
      </c>
      <c r="J3" s="2">
        <v>250</v>
      </c>
      <c r="K3" s="2">
        <v>107.392</v>
      </c>
      <c r="L3" s="2">
        <v>258</v>
      </c>
      <c r="M3" s="2">
        <v>106.982</v>
      </c>
      <c r="N3" s="2">
        <v>203</v>
      </c>
      <c r="O3" s="2">
        <v>-6.1238700000000001</v>
      </c>
      <c r="P3" s="2">
        <v>232</v>
      </c>
    </row>
    <row r="4" spans="1:16" ht="15.75" customHeight="1" x14ac:dyDescent="0.4">
      <c r="A4" s="2" t="s">
        <v>256</v>
      </c>
      <c r="B4" s="7"/>
      <c r="C4" s="8"/>
      <c r="D4" s="8"/>
      <c r="E4" s="8"/>
      <c r="F4" s="8"/>
      <c r="G4" s="8"/>
      <c r="H4" s="8"/>
      <c r="I4" s="2">
        <v>102.084</v>
      </c>
      <c r="J4" s="2">
        <v>237</v>
      </c>
      <c r="K4" s="2">
        <v>108.949</v>
      </c>
      <c r="L4" s="2">
        <v>281</v>
      </c>
      <c r="M4" s="2">
        <v>110.378</v>
      </c>
      <c r="N4" s="2">
        <v>278</v>
      </c>
      <c r="O4" s="2">
        <v>-8.2933599999999998</v>
      </c>
      <c r="P4" s="2">
        <v>258</v>
      </c>
    </row>
    <row r="5" spans="1:16" ht="15.75" customHeight="1" x14ac:dyDescent="0.4">
      <c r="A5" s="2" t="s">
        <v>49</v>
      </c>
      <c r="B5" s="7"/>
      <c r="C5" s="8"/>
      <c r="D5" s="8"/>
      <c r="E5" s="8"/>
      <c r="F5" s="8"/>
      <c r="G5" s="8"/>
      <c r="H5" s="8"/>
      <c r="I5" s="2">
        <v>108.459</v>
      </c>
      <c r="J5" s="2">
        <v>115</v>
      </c>
      <c r="K5" s="2">
        <v>99.709900000000005</v>
      </c>
      <c r="L5" s="2">
        <v>59</v>
      </c>
      <c r="M5" s="2">
        <v>94.633399999999995</v>
      </c>
      <c r="N5" s="2">
        <v>13</v>
      </c>
      <c r="O5" s="2">
        <v>13.825200000000001</v>
      </c>
      <c r="P5" s="2">
        <v>51</v>
      </c>
    </row>
    <row r="6" spans="1:16" ht="15.75" customHeight="1" x14ac:dyDescent="0.4">
      <c r="A6" s="2" t="s">
        <v>272</v>
      </c>
      <c r="B6" s="7"/>
      <c r="C6" s="8"/>
      <c r="D6" s="8"/>
      <c r="E6" s="8"/>
      <c r="F6" s="8"/>
      <c r="G6" s="8"/>
      <c r="H6" s="8"/>
      <c r="I6" s="2">
        <v>86.731700000000004</v>
      </c>
      <c r="J6" s="2">
        <v>351</v>
      </c>
      <c r="K6" s="2">
        <v>111.767</v>
      </c>
      <c r="L6" s="2">
        <v>324</v>
      </c>
      <c r="M6" s="2">
        <v>115.30500000000001</v>
      </c>
      <c r="N6" s="2">
        <v>333</v>
      </c>
      <c r="O6" s="2">
        <v>-28.573599999999999</v>
      </c>
      <c r="P6" s="2">
        <v>351</v>
      </c>
    </row>
    <row r="7" spans="1:16" ht="15.75" customHeight="1" x14ac:dyDescent="0.4">
      <c r="A7" s="2" t="s">
        <v>297</v>
      </c>
      <c r="B7" s="7"/>
      <c r="C7" s="8"/>
      <c r="D7" s="8"/>
      <c r="E7" s="8"/>
      <c r="F7" s="8"/>
      <c r="G7" s="8"/>
      <c r="H7" s="8"/>
      <c r="I7" s="2">
        <v>95.958299999999994</v>
      </c>
      <c r="J7" s="2">
        <v>322</v>
      </c>
      <c r="K7" s="2">
        <v>110.84</v>
      </c>
      <c r="L7" s="2">
        <v>314</v>
      </c>
      <c r="M7" s="2">
        <v>116.08</v>
      </c>
      <c r="N7" s="2">
        <v>337</v>
      </c>
      <c r="O7" s="2">
        <v>-20.121700000000001</v>
      </c>
      <c r="P7" s="2">
        <v>339</v>
      </c>
    </row>
    <row r="8" spans="1:16" ht="15.75" customHeight="1" x14ac:dyDescent="0.4">
      <c r="A8" s="2" t="s">
        <v>339</v>
      </c>
      <c r="B8" s="7"/>
      <c r="C8" s="8"/>
      <c r="D8" s="8"/>
      <c r="E8" s="8"/>
      <c r="F8" s="8"/>
      <c r="G8" s="8"/>
      <c r="H8" s="8"/>
      <c r="I8" s="2">
        <v>107.31699999999999</v>
      </c>
      <c r="J8" s="2">
        <v>136</v>
      </c>
      <c r="K8" s="2">
        <v>101.28400000000001</v>
      </c>
      <c r="L8" s="2">
        <v>99</v>
      </c>
      <c r="M8" s="2">
        <v>105.879</v>
      </c>
      <c r="N8" s="2">
        <v>185</v>
      </c>
      <c r="O8" s="2">
        <v>1.4377500000000001</v>
      </c>
      <c r="P8" s="2">
        <v>152</v>
      </c>
    </row>
    <row r="9" spans="1:16" ht="15.75" customHeight="1" x14ac:dyDescent="0.4">
      <c r="A9" s="2" t="s">
        <v>261</v>
      </c>
      <c r="B9" s="7"/>
      <c r="C9" s="8"/>
      <c r="D9" s="8"/>
      <c r="E9" s="8"/>
      <c r="F9" s="8"/>
      <c r="G9" s="8"/>
      <c r="H9" s="8"/>
      <c r="I9" s="2">
        <v>95.170900000000003</v>
      </c>
      <c r="J9" s="2">
        <v>331</v>
      </c>
      <c r="K9" s="2">
        <v>109.852</v>
      </c>
      <c r="L9" s="2">
        <v>292</v>
      </c>
      <c r="M9" s="2">
        <v>114.78</v>
      </c>
      <c r="N9" s="2">
        <v>327</v>
      </c>
      <c r="O9" s="2">
        <v>-19.608899999999998</v>
      </c>
      <c r="P9" s="2">
        <v>336</v>
      </c>
    </row>
    <row r="10" spans="1:16" ht="15.75" customHeight="1" x14ac:dyDescent="0.4">
      <c r="A10" s="2" t="s">
        <v>226</v>
      </c>
      <c r="B10" s="7"/>
      <c r="C10" s="8"/>
      <c r="D10" s="8"/>
      <c r="E10" s="8"/>
      <c r="F10" s="8"/>
      <c r="G10" s="8"/>
      <c r="H10" s="8"/>
      <c r="I10" s="2">
        <v>95.876499999999993</v>
      </c>
      <c r="J10" s="2">
        <v>326</v>
      </c>
      <c r="K10" s="2">
        <v>109.35599999999999</v>
      </c>
      <c r="L10" s="2">
        <v>288</v>
      </c>
      <c r="M10" s="2">
        <v>112.092</v>
      </c>
      <c r="N10" s="2">
        <v>304</v>
      </c>
      <c r="O10" s="2">
        <v>-16.215299999999999</v>
      </c>
      <c r="P10" s="2">
        <v>329</v>
      </c>
    </row>
    <row r="11" spans="1:16" ht="15.75" customHeight="1" x14ac:dyDescent="0.4">
      <c r="A11" s="2" t="s">
        <v>253</v>
      </c>
      <c r="B11" s="7"/>
      <c r="C11" s="8"/>
      <c r="D11" s="8"/>
      <c r="E11" s="8"/>
      <c r="F11" s="8"/>
      <c r="G11" s="8"/>
      <c r="H11" s="8"/>
      <c r="I11" s="2">
        <v>103.761</v>
      </c>
      <c r="J11" s="2">
        <v>198</v>
      </c>
      <c r="K11" s="2">
        <v>105.095</v>
      </c>
      <c r="L11" s="2">
        <v>206</v>
      </c>
      <c r="M11" s="2">
        <v>107.81399999999999</v>
      </c>
      <c r="N11" s="2">
        <v>225</v>
      </c>
      <c r="O11" s="2">
        <v>-4.0525799999999998</v>
      </c>
      <c r="P11" s="2">
        <v>208</v>
      </c>
    </row>
    <row r="12" spans="1:16" ht="15.75" customHeight="1" x14ac:dyDescent="0.4">
      <c r="A12" s="2" t="s">
        <v>43</v>
      </c>
      <c r="B12" s="7"/>
      <c r="C12" s="8"/>
      <c r="D12" s="8"/>
      <c r="E12" s="8"/>
      <c r="F12" s="8"/>
      <c r="G12" s="8"/>
      <c r="H12" s="8"/>
      <c r="I12" s="2">
        <v>119.012</v>
      </c>
      <c r="J12" s="2">
        <v>15</v>
      </c>
      <c r="K12" s="2">
        <v>101.893</v>
      </c>
      <c r="L12" s="2">
        <v>119</v>
      </c>
      <c r="M12" s="2">
        <v>99.642499999999998</v>
      </c>
      <c r="N12" s="2">
        <v>70</v>
      </c>
      <c r="O12" s="2">
        <v>19.369199999999999</v>
      </c>
      <c r="P12" s="2">
        <v>21</v>
      </c>
    </row>
    <row r="13" spans="1:16" ht="15.75" customHeight="1" x14ac:dyDescent="0.4">
      <c r="A13" s="2" t="s">
        <v>99</v>
      </c>
      <c r="B13" s="7"/>
      <c r="C13" s="8"/>
      <c r="D13" s="8"/>
      <c r="E13" s="8"/>
      <c r="F13" s="8"/>
      <c r="G13" s="8"/>
      <c r="H13" s="8"/>
      <c r="I13" s="2">
        <v>117.651</v>
      </c>
      <c r="J13" s="2">
        <v>17</v>
      </c>
      <c r="K13" s="2">
        <v>103.283</v>
      </c>
      <c r="L13" s="2">
        <v>160</v>
      </c>
      <c r="M13" s="2">
        <v>102.937</v>
      </c>
      <c r="N13" s="2">
        <v>124</v>
      </c>
      <c r="O13" s="2">
        <v>14.714</v>
      </c>
      <c r="P13" s="2">
        <v>45</v>
      </c>
    </row>
    <row r="14" spans="1:16" ht="15.75" customHeight="1" x14ac:dyDescent="0.4">
      <c r="A14" s="2" t="s">
        <v>80</v>
      </c>
      <c r="B14" s="7"/>
      <c r="C14" s="8"/>
      <c r="D14" s="8"/>
      <c r="E14" s="8"/>
      <c r="F14" s="8"/>
      <c r="G14" s="8"/>
      <c r="H14" s="8"/>
      <c r="I14" s="2">
        <v>117.32</v>
      </c>
      <c r="J14" s="2">
        <v>19</v>
      </c>
      <c r="K14" s="2">
        <v>105.17100000000001</v>
      </c>
      <c r="L14" s="2">
        <v>211</v>
      </c>
      <c r="M14" s="2">
        <v>101.685</v>
      </c>
      <c r="N14" s="2">
        <v>103</v>
      </c>
      <c r="O14" s="2">
        <v>15.635</v>
      </c>
      <c r="P14" s="2">
        <v>37</v>
      </c>
    </row>
    <row r="15" spans="1:16" ht="15.75" customHeight="1" x14ac:dyDescent="0.4">
      <c r="A15" s="2" t="s">
        <v>351</v>
      </c>
      <c r="B15" s="7"/>
      <c r="C15" s="8"/>
      <c r="D15" s="8"/>
      <c r="E15" s="8"/>
      <c r="F15" s="8"/>
      <c r="G15" s="8"/>
      <c r="H15" s="8"/>
      <c r="I15" s="2">
        <v>93.748900000000006</v>
      </c>
      <c r="J15" s="2">
        <v>340</v>
      </c>
      <c r="K15" s="2">
        <v>104.072</v>
      </c>
      <c r="L15" s="2">
        <v>182</v>
      </c>
      <c r="M15" s="2">
        <v>110.346</v>
      </c>
      <c r="N15" s="2">
        <v>276</v>
      </c>
      <c r="O15" s="2">
        <v>-16.596599999999999</v>
      </c>
      <c r="P15" s="2">
        <v>330</v>
      </c>
    </row>
    <row r="16" spans="1:16" ht="15.75" customHeight="1" x14ac:dyDescent="0.4">
      <c r="A16" s="2" t="s">
        <v>172</v>
      </c>
      <c r="B16" s="7"/>
      <c r="C16" s="8"/>
      <c r="D16" s="8"/>
      <c r="E16" s="8"/>
      <c r="F16" s="8"/>
      <c r="G16" s="8"/>
      <c r="H16" s="8"/>
      <c r="I16" s="2">
        <v>104.84399999999999</v>
      </c>
      <c r="J16" s="2">
        <v>179</v>
      </c>
      <c r="K16" s="2">
        <v>112.12</v>
      </c>
      <c r="L16" s="2">
        <v>328</v>
      </c>
      <c r="M16" s="2">
        <v>115.29900000000001</v>
      </c>
      <c r="N16" s="2">
        <v>332</v>
      </c>
      <c r="O16" s="2">
        <v>-10.455399999999999</v>
      </c>
      <c r="P16" s="2">
        <v>281</v>
      </c>
    </row>
    <row r="17" spans="1:16" ht="15.75" customHeight="1" x14ac:dyDescent="0.4">
      <c r="A17" s="2" t="s">
        <v>314</v>
      </c>
      <c r="B17" s="7"/>
      <c r="C17" s="8"/>
      <c r="D17" s="8"/>
      <c r="E17" s="8"/>
      <c r="F17" s="8"/>
      <c r="G17" s="8"/>
      <c r="H17" s="8"/>
      <c r="I17" s="2">
        <v>100.03700000000001</v>
      </c>
      <c r="J17" s="2">
        <v>259</v>
      </c>
      <c r="K17" s="2">
        <v>104.926</v>
      </c>
      <c r="L17" s="2">
        <v>204</v>
      </c>
      <c r="M17" s="2">
        <v>108.898</v>
      </c>
      <c r="N17" s="2">
        <v>250</v>
      </c>
      <c r="O17" s="2">
        <v>-8.8612000000000002</v>
      </c>
      <c r="P17" s="2">
        <v>264</v>
      </c>
    </row>
    <row r="18" spans="1:16" ht="15.75" customHeight="1" x14ac:dyDescent="0.4">
      <c r="A18" s="2" t="s">
        <v>113</v>
      </c>
      <c r="B18" s="7"/>
      <c r="C18" s="8"/>
      <c r="D18" s="8"/>
      <c r="E18" s="8"/>
      <c r="F18" s="8"/>
      <c r="G18" s="8"/>
      <c r="H18" s="8"/>
      <c r="I18" s="2">
        <v>118.196</v>
      </c>
      <c r="J18" s="2">
        <v>16</v>
      </c>
      <c r="K18" s="2">
        <v>99.930400000000006</v>
      </c>
      <c r="L18" s="2">
        <v>64</v>
      </c>
      <c r="M18" s="2">
        <v>97.561400000000006</v>
      </c>
      <c r="N18" s="2">
        <v>44</v>
      </c>
      <c r="O18" s="2">
        <v>20.634799999999998</v>
      </c>
      <c r="P18" s="2">
        <v>16</v>
      </c>
    </row>
    <row r="19" spans="1:16" ht="15.75" customHeight="1" x14ac:dyDescent="0.4">
      <c r="A19" s="2" t="s">
        <v>227</v>
      </c>
      <c r="B19" s="7"/>
      <c r="C19" s="8"/>
      <c r="D19" s="8"/>
      <c r="E19" s="8"/>
      <c r="F19" s="8"/>
      <c r="G19" s="8"/>
      <c r="H19" s="8"/>
      <c r="I19" s="2">
        <v>105.23</v>
      </c>
      <c r="J19" s="2">
        <v>174</v>
      </c>
      <c r="K19" s="2">
        <v>105.202</v>
      </c>
      <c r="L19" s="2">
        <v>213</v>
      </c>
      <c r="M19" s="2">
        <v>107.535</v>
      </c>
      <c r="N19" s="2">
        <v>218</v>
      </c>
      <c r="O19" s="2">
        <v>-2.3043499999999999</v>
      </c>
      <c r="P19" s="2">
        <v>188</v>
      </c>
    </row>
    <row r="20" spans="1:16" ht="15.75" customHeight="1" x14ac:dyDescent="0.4">
      <c r="A20" s="2" t="s">
        <v>101</v>
      </c>
      <c r="B20" s="7"/>
      <c r="C20" s="8"/>
      <c r="D20" s="8"/>
      <c r="E20" s="8"/>
      <c r="F20" s="8"/>
      <c r="G20" s="8"/>
      <c r="H20" s="8"/>
      <c r="I20" s="2">
        <v>103.571</v>
      </c>
      <c r="J20" s="2">
        <v>204</v>
      </c>
      <c r="K20" s="2">
        <v>102.827</v>
      </c>
      <c r="L20" s="2">
        <v>142</v>
      </c>
      <c r="M20" s="2">
        <v>103.881</v>
      </c>
      <c r="N20" s="2">
        <v>139</v>
      </c>
      <c r="O20" s="2">
        <v>-0.30998799999999999</v>
      </c>
      <c r="P20" s="2">
        <v>174</v>
      </c>
    </row>
    <row r="21" spans="1:16" ht="15.75" customHeight="1" x14ac:dyDescent="0.4">
      <c r="A21" s="2" t="s">
        <v>158</v>
      </c>
      <c r="B21" s="7"/>
      <c r="C21" s="8"/>
      <c r="D21" s="8"/>
      <c r="E21" s="8"/>
      <c r="F21" s="8"/>
      <c r="G21" s="8"/>
      <c r="H21" s="8"/>
      <c r="I21" s="2">
        <v>111.2</v>
      </c>
      <c r="J21" s="2">
        <v>72</v>
      </c>
      <c r="K21" s="2">
        <v>100.53100000000001</v>
      </c>
      <c r="L21" s="2">
        <v>78</v>
      </c>
      <c r="M21" s="2">
        <v>95.034599999999998</v>
      </c>
      <c r="N21" s="2">
        <v>15</v>
      </c>
      <c r="O21" s="2">
        <v>16.164899999999999</v>
      </c>
      <c r="P21" s="2">
        <v>34</v>
      </c>
    </row>
    <row r="22" spans="1:16" ht="15.75" customHeight="1" x14ac:dyDescent="0.4">
      <c r="A22" s="2" t="s">
        <v>244</v>
      </c>
      <c r="B22" s="7"/>
      <c r="C22" s="8"/>
      <c r="D22" s="8"/>
      <c r="E22" s="8"/>
      <c r="F22" s="8"/>
      <c r="G22" s="8"/>
      <c r="H22" s="8"/>
      <c r="I22" s="2">
        <v>113.00700000000001</v>
      </c>
      <c r="J22" s="2">
        <v>58</v>
      </c>
      <c r="K22" s="2">
        <v>101.035</v>
      </c>
      <c r="L22" s="2">
        <v>89</v>
      </c>
      <c r="M22" s="2">
        <v>103.988</v>
      </c>
      <c r="N22" s="2">
        <v>146</v>
      </c>
      <c r="O22" s="2">
        <v>9.0187899999999992</v>
      </c>
      <c r="P22" s="2">
        <v>83</v>
      </c>
    </row>
    <row r="23" spans="1:16" ht="15.75" customHeight="1" x14ac:dyDescent="0.4">
      <c r="A23" s="2" t="s">
        <v>313</v>
      </c>
      <c r="B23" s="7"/>
      <c r="C23" s="8"/>
      <c r="D23" s="8"/>
      <c r="E23" s="8"/>
      <c r="F23" s="8"/>
      <c r="G23" s="8"/>
      <c r="H23" s="8"/>
      <c r="I23" s="2">
        <v>99.855000000000004</v>
      </c>
      <c r="J23" s="2">
        <v>260</v>
      </c>
      <c r="K23" s="2">
        <v>103.02800000000001</v>
      </c>
      <c r="L23" s="2">
        <v>150</v>
      </c>
      <c r="M23" s="2">
        <v>110.955</v>
      </c>
      <c r="N23" s="2">
        <v>289</v>
      </c>
      <c r="O23" s="2">
        <v>-11.1004</v>
      </c>
      <c r="P23" s="2">
        <v>285</v>
      </c>
    </row>
    <row r="24" spans="1:16" ht="15.75" customHeight="1" x14ac:dyDescent="0.4">
      <c r="A24" s="2" t="s">
        <v>315</v>
      </c>
      <c r="B24" s="7"/>
      <c r="C24" s="8"/>
      <c r="D24" s="8"/>
      <c r="E24" s="8"/>
      <c r="F24" s="8"/>
      <c r="G24" s="8"/>
      <c r="H24" s="8"/>
      <c r="I24" s="2">
        <v>97.622200000000007</v>
      </c>
      <c r="J24" s="2">
        <v>309</v>
      </c>
      <c r="K24" s="2">
        <v>105.224</v>
      </c>
      <c r="L24" s="2">
        <v>214</v>
      </c>
      <c r="M24" s="2">
        <v>109.80800000000001</v>
      </c>
      <c r="N24" s="2">
        <v>267</v>
      </c>
      <c r="O24" s="2">
        <v>-12.185600000000001</v>
      </c>
      <c r="P24" s="2">
        <v>300</v>
      </c>
    </row>
    <row r="25" spans="1:16" ht="15.75" customHeight="1" x14ac:dyDescent="0.4">
      <c r="A25" s="2" t="s">
        <v>212</v>
      </c>
      <c r="B25" s="7"/>
      <c r="C25" s="8"/>
      <c r="D25" s="8"/>
      <c r="E25" s="8"/>
      <c r="F25" s="8"/>
      <c r="G25" s="8"/>
      <c r="H25" s="8"/>
      <c r="I25" s="2">
        <v>110.617</v>
      </c>
      <c r="J25" s="2">
        <v>77</v>
      </c>
      <c r="K25" s="2">
        <v>96.921499999999995</v>
      </c>
      <c r="L25" s="2">
        <v>21</v>
      </c>
      <c r="M25" s="2">
        <v>97.490099999999998</v>
      </c>
      <c r="N25" s="2">
        <v>42</v>
      </c>
      <c r="O25" s="2">
        <v>13.127000000000001</v>
      </c>
      <c r="P25" s="2">
        <v>58</v>
      </c>
    </row>
    <row r="26" spans="1:16" ht="15.75" customHeight="1" x14ac:dyDescent="0.4">
      <c r="A26" s="2" t="s">
        <v>95</v>
      </c>
      <c r="B26" s="7"/>
      <c r="C26" s="8"/>
      <c r="D26" s="8"/>
      <c r="E26" s="8"/>
      <c r="F26" s="8"/>
      <c r="G26" s="8"/>
      <c r="H26" s="8"/>
      <c r="I26" s="2">
        <v>113.834</v>
      </c>
      <c r="J26" s="2">
        <v>47</v>
      </c>
      <c r="K26" s="2">
        <v>105.408</v>
      </c>
      <c r="L26" s="2">
        <v>220</v>
      </c>
      <c r="M26" s="2">
        <v>103.11799999999999</v>
      </c>
      <c r="N26" s="2">
        <v>126</v>
      </c>
      <c r="O26" s="2">
        <v>10.715999999999999</v>
      </c>
      <c r="P26" s="2">
        <v>73</v>
      </c>
    </row>
    <row r="27" spans="1:16" ht="15.75" customHeight="1" x14ac:dyDescent="0.4">
      <c r="A27" s="2" t="s">
        <v>203</v>
      </c>
      <c r="B27" s="7"/>
      <c r="C27" s="8"/>
      <c r="D27" s="8"/>
      <c r="E27" s="8"/>
      <c r="F27" s="8"/>
      <c r="G27" s="8"/>
      <c r="H27" s="8"/>
      <c r="I27" s="2">
        <v>100.40600000000001</v>
      </c>
      <c r="J27" s="2">
        <v>254</v>
      </c>
      <c r="K27" s="2">
        <v>105.43</v>
      </c>
      <c r="L27" s="2">
        <v>221</v>
      </c>
      <c r="M27" s="2">
        <v>108.792</v>
      </c>
      <c r="N27" s="2">
        <v>247</v>
      </c>
      <c r="O27" s="2">
        <v>-8.3866599999999991</v>
      </c>
      <c r="P27" s="2">
        <v>260</v>
      </c>
    </row>
    <row r="28" spans="1:16" ht="15.75" customHeight="1" x14ac:dyDescent="0.4">
      <c r="A28" s="2" t="s">
        <v>89</v>
      </c>
      <c r="B28" s="7"/>
      <c r="C28" s="8"/>
      <c r="D28" s="8"/>
      <c r="E28" s="8"/>
      <c r="F28" s="8"/>
      <c r="G28" s="8"/>
      <c r="H28" s="8"/>
      <c r="I28" s="2">
        <v>102.363</v>
      </c>
      <c r="J28" s="2">
        <v>229</v>
      </c>
      <c r="K28" s="2">
        <v>107.06100000000001</v>
      </c>
      <c r="L28" s="2">
        <v>252</v>
      </c>
      <c r="M28" s="2">
        <v>108.678</v>
      </c>
      <c r="N28" s="2">
        <v>240</v>
      </c>
      <c r="O28" s="2">
        <v>-6.3148900000000001</v>
      </c>
      <c r="P28" s="2">
        <v>238</v>
      </c>
    </row>
    <row r="29" spans="1:16" ht="12.3" x14ac:dyDescent="0.4">
      <c r="A29" s="2" t="s">
        <v>245</v>
      </c>
      <c r="B29" s="7"/>
      <c r="C29" s="8"/>
      <c r="D29" s="8"/>
      <c r="E29" s="8"/>
      <c r="F29" s="8"/>
      <c r="G29" s="8"/>
      <c r="H29" s="8"/>
      <c r="I29" s="2">
        <v>104.533</v>
      </c>
      <c r="J29" s="2">
        <v>188</v>
      </c>
      <c r="K29" s="2">
        <v>98.850399999999993</v>
      </c>
      <c r="L29" s="2">
        <v>46</v>
      </c>
      <c r="M29" s="2">
        <v>100.759</v>
      </c>
      <c r="N29" s="2">
        <v>86</v>
      </c>
      <c r="O29" s="2">
        <v>3.7741799999999999</v>
      </c>
      <c r="P29" s="2">
        <v>125</v>
      </c>
    </row>
    <row r="30" spans="1:16" ht="12.3" x14ac:dyDescent="0.4">
      <c r="A30" s="2" t="s">
        <v>233</v>
      </c>
      <c r="B30" s="7"/>
      <c r="C30" s="8"/>
      <c r="D30" s="8"/>
      <c r="E30" s="8"/>
      <c r="F30" s="8"/>
      <c r="G30" s="8"/>
      <c r="H30" s="8"/>
      <c r="I30" s="2">
        <v>101.11799999999999</v>
      </c>
      <c r="J30" s="2">
        <v>246</v>
      </c>
      <c r="K30" s="2">
        <v>107.09</v>
      </c>
      <c r="L30" s="2">
        <v>253</v>
      </c>
      <c r="M30" s="2">
        <v>110.291</v>
      </c>
      <c r="N30" s="2">
        <v>275</v>
      </c>
      <c r="O30" s="2">
        <v>-9.1729099999999999</v>
      </c>
      <c r="P30" s="2">
        <v>269</v>
      </c>
    </row>
    <row r="31" spans="1:16" ht="12.3" x14ac:dyDescent="0.4">
      <c r="A31" s="2" t="s">
        <v>375</v>
      </c>
      <c r="B31" s="7"/>
      <c r="C31" s="8"/>
      <c r="D31" s="8"/>
      <c r="E31" s="8"/>
      <c r="F31" s="8"/>
      <c r="G31" s="8"/>
      <c r="H31" s="8"/>
      <c r="I31" s="2">
        <v>99.151499999999999</v>
      </c>
      <c r="J31" s="2">
        <v>280</v>
      </c>
      <c r="K31" s="2">
        <v>117.098</v>
      </c>
      <c r="L31" s="2">
        <v>347</v>
      </c>
      <c r="M31" s="2">
        <v>120.91</v>
      </c>
      <c r="N31" s="2">
        <v>350</v>
      </c>
      <c r="O31" s="2">
        <v>-21.758800000000001</v>
      </c>
      <c r="P31" s="2">
        <v>344</v>
      </c>
    </row>
    <row r="32" spans="1:16" ht="12.3" x14ac:dyDescent="0.4">
      <c r="A32" s="2" t="s">
        <v>289</v>
      </c>
      <c r="B32" s="7"/>
      <c r="C32" s="8"/>
      <c r="D32" s="8"/>
      <c r="E32" s="8"/>
      <c r="F32" s="8"/>
      <c r="G32" s="8"/>
      <c r="H32" s="8"/>
      <c r="I32" s="2">
        <v>109.182</v>
      </c>
      <c r="J32" s="2">
        <v>99</v>
      </c>
      <c r="K32" s="2">
        <v>98.86</v>
      </c>
      <c r="L32" s="2">
        <v>47</v>
      </c>
      <c r="M32" s="2">
        <v>102.36799999999999</v>
      </c>
      <c r="N32" s="2">
        <v>112</v>
      </c>
      <c r="O32" s="2">
        <v>6.8136999999999999</v>
      </c>
      <c r="P32" s="2">
        <v>100</v>
      </c>
    </row>
    <row r="33" spans="1:16" ht="12.3" x14ac:dyDescent="0.4">
      <c r="A33" s="2" t="s">
        <v>213</v>
      </c>
      <c r="B33" s="7"/>
      <c r="C33" s="8"/>
      <c r="D33" s="8"/>
      <c r="E33" s="8"/>
      <c r="F33" s="8"/>
      <c r="G33" s="8"/>
      <c r="H33" s="8"/>
      <c r="I33" s="2">
        <v>114.28400000000001</v>
      </c>
      <c r="J33" s="2">
        <v>42</v>
      </c>
      <c r="K33" s="2">
        <v>102.44</v>
      </c>
      <c r="L33" s="2">
        <v>131</v>
      </c>
      <c r="M33" s="2">
        <v>103.791</v>
      </c>
      <c r="N33" s="2">
        <v>138</v>
      </c>
      <c r="O33" s="2">
        <v>10.4931</v>
      </c>
      <c r="P33" s="2">
        <v>77</v>
      </c>
    </row>
    <row r="34" spans="1:16" ht="12.3" x14ac:dyDescent="0.4">
      <c r="A34" s="2" t="s">
        <v>18</v>
      </c>
      <c r="B34" s="7"/>
      <c r="C34" s="8"/>
      <c r="D34" s="8"/>
      <c r="E34" s="8"/>
      <c r="F34" s="8"/>
      <c r="G34" s="8"/>
      <c r="H34" s="8"/>
      <c r="I34" s="2">
        <v>115.758</v>
      </c>
      <c r="J34" s="2">
        <v>32</v>
      </c>
      <c r="K34" s="2">
        <v>102.03700000000001</v>
      </c>
      <c r="L34" s="2">
        <v>121</v>
      </c>
      <c r="M34" s="2">
        <v>97.891599999999997</v>
      </c>
      <c r="N34" s="2">
        <v>48</v>
      </c>
      <c r="O34" s="2">
        <v>17.866700000000002</v>
      </c>
      <c r="P34" s="2">
        <v>25</v>
      </c>
    </row>
    <row r="35" spans="1:16" ht="12.3" x14ac:dyDescent="0.4">
      <c r="A35" s="2" t="s">
        <v>96</v>
      </c>
      <c r="B35" s="7"/>
      <c r="C35" s="8"/>
      <c r="D35" s="8"/>
      <c r="E35" s="8"/>
      <c r="F35" s="8"/>
      <c r="G35" s="8"/>
      <c r="H35" s="8"/>
      <c r="I35" s="2">
        <v>109.04300000000001</v>
      </c>
      <c r="J35" s="2">
        <v>102</v>
      </c>
      <c r="K35" s="2">
        <v>98.6053</v>
      </c>
      <c r="L35" s="2">
        <v>41</v>
      </c>
      <c r="M35" s="2">
        <v>98.075800000000001</v>
      </c>
      <c r="N35" s="2">
        <v>52</v>
      </c>
      <c r="O35" s="2">
        <v>10.967000000000001</v>
      </c>
      <c r="P35" s="2">
        <v>70</v>
      </c>
    </row>
    <row r="36" spans="1:16" ht="12.3" x14ac:dyDescent="0.4">
      <c r="A36" s="2" t="s">
        <v>189</v>
      </c>
      <c r="B36" s="7"/>
      <c r="C36" s="8"/>
      <c r="D36" s="8"/>
      <c r="E36" s="8"/>
      <c r="F36" s="8"/>
      <c r="G36" s="8"/>
      <c r="H36" s="8"/>
      <c r="I36" s="2">
        <v>98.692499999999995</v>
      </c>
      <c r="J36" s="2">
        <v>295</v>
      </c>
      <c r="K36" s="2">
        <v>111.27800000000001</v>
      </c>
      <c r="L36" s="2">
        <v>321</v>
      </c>
      <c r="M36" s="2">
        <v>113.371</v>
      </c>
      <c r="N36" s="2">
        <v>320</v>
      </c>
      <c r="O36" s="2">
        <v>-14.6783</v>
      </c>
      <c r="P36" s="2">
        <v>322</v>
      </c>
    </row>
    <row r="37" spans="1:16" ht="12.3" x14ac:dyDescent="0.4">
      <c r="A37" s="2" t="s">
        <v>370</v>
      </c>
      <c r="B37" s="7"/>
      <c r="C37" s="8"/>
      <c r="D37" s="8"/>
      <c r="E37" s="8"/>
      <c r="F37" s="8"/>
      <c r="G37" s="8"/>
      <c r="H37" s="8"/>
      <c r="I37" s="2">
        <v>97.882300000000001</v>
      </c>
      <c r="J37" s="2">
        <v>304</v>
      </c>
      <c r="K37" s="2">
        <v>103.991</v>
      </c>
      <c r="L37" s="2">
        <v>179</v>
      </c>
      <c r="M37" s="2">
        <v>104.20099999999999</v>
      </c>
      <c r="N37" s="2">
        <v>152</v>
      </c>
      <c r="O37" s="2">
        <v>-6.3182799999999997</v>
      </c>
      <c r="P37" s="2">
        <v>239</v>
      </c>
    </row>
    <row r="38" spans="1:16" ht="12.3" x14ac:dyDescent="0.4">
      <c r="A38" s="2" t="s">
        <v>311</v>
      </c>
      <c r="B38" s="7"/>
      <c r="C38" s="8"/>
      <c r="D38" s="8"/>
      <c r="E38" s="8"/>
      <c r="F38" s="8"/>
      <c r="G38" s="8"/>
      <c r="H38" s="8"/>
      <c r="I38" s="2">
        <v>104.98399999999999</v>
      </c>
      <c r="J38" s="2">
        <v>176</v>
      </c>
      <c r="K38" s="2">
        <v>101.526</v>
      </c>
      <c r="L38" s="2">
        <v>110</v>
      </c>
      <c r="M38" s="2">
        <v>103.669</v>
      </c>
      <c r="N38" s="2">
        <v>134</v>
      </c>
      <c r="O38" s="2">
        <v>1.3153999999999999</v>
      </c>
      <c r="P38" s="2">
        <v>153</v>
      </c>
    </row>
    <row r="39" spans="1:16" ht="12.3" x14ac:dyDescent="0.4">
      <c r="A39" s="2" t="s">
        <v>198</v>
      </c>
      <c r="B39" s="7"/>
      <c r="C39" s="8"/>
      <c r="D39" s="8"/>
      <c r="E39" s="8"/>
      <c r="F39" s="8"/>
      <c r="G39" s="8"/>
      <c r="H39" s="8"/>
      <c r="I39" s="2">
        <v>97.174800000000005</v>
      </c>
      <c r="J39" s="2">
        <v>311</v>
      </c>
      <c r="K39" s="2">
        <v>110.797</v>
      </c>
      <c r="L39" s="2">
        <v>312</v>
      </c>
      <c r="M39" s="2">
        <v>113.29</v>
      </c>
      <c r="N39" s="2">
        <v>318</v>
      </c>
      <c r="O39" s="2">
        <v>-16.114799999999999</v>
      </c>
      <c r="P39" s="2">
        <v>328</v>
      </c>
    </row>
    <row r="40" spans="1:16" ht="12.3" x14ac:dyDescent="0.4">
      <c r="A40" s="2" t="s">
        <v>57</v>
      </c>
      <c r="B40" s="7"/>
      <c r="C40" s="8"/>
      <c r="D40" s="8"/>
      <c r="E40" s="8"/>
      <c r="F40" s="8"/>
      <c r="G40" s="8"/>
      <c r="H40" s="8"/>
      <c r="I40" s="2">
        <v>98.714200000000005</v>
      </c>
      <c r="J40" s="2">
        <v>294</v>
      </c>
      <c r="K40" s="2">
        <v>108.66500000000001</v>
      </c>
      <c r="L40" s="2">
        <v>277</v>
      </c>
      <c r="M40" s="2">
        <v>105.496</v>
      </c>
      <c r="N40" s="2">
        <v>172</v>
      </c>
      <c r="O40" s="2">
        <v>-6.7822800000000001</v>
      </c>
      <c r="P40" s="2">
        <v>241</v>
      </c>
    </row>
    <row r="41" spans="1:16" ht="12.3" x14ac:dyDescent="0.4">
      <c r="A41" s="2" t="s">
        <v>319</v>
      </c>
      <c r="B41" s="7"/>
      <c r="C41" s="8"/>
      <c r="D41" s="8"/>
      <c r="E41" s="8"/>
      <c r="F41" s="8"/>
      <c r="G41" s="8"/>
      <c r="H41" s="8"/>
      <c r="I41" s="2">
        <v>104.711</v>
      </c>
      <c r="J41" s="2">
        <v>185</v>
      </c>
      <c r="K41" s="2">
        <v>105.258</v>
      </c>
      <c r="L41" s="2">
        <v>216</v>
      </c>
      <c r="M41" s="2">
        <v>110.369</v>
      </c>
      <c r="N41" s="2">
        <v>277</v>
      </c>
      <c r="O41" s="2">
        <v>-5.6578799999999996</v>
      </c>
      <c r="P41" s="2">
        <v>227</v>
      </c>
    </row>
    <row r="42" spans="1:16" ht="12.3" x14ac:dyDescent="0.4">
      <c r="A42" s="2" t="s">
        <v>283</v>
      </c>
      <c r="B42" s="7"/>
      <c r="C42" s="8"/>
      <c r="D42" s="8"/>
      <c r="E42" s="8"/>
      <c r="F42" s="8"/>
      <c r="G42" s="8"/>
      <c r="H42" s="8"/>
      <c r="I42" s="2">
        <v>107.80200000000001</v>
      </c>
      <c r="J42" s="2">
        <v>126</v>
      </c>
      <c r="K42" s="2">
        <v>101.062</v>
      </c>
      <c r="L42" s="2">
        <v>92</v>
      </c>
      <c r="M42" s="2">
        <v>104.32899999999999</v>
      </c>
      <c r="N42" s="2">
        <v>153</v>
      </c>
      <c r="O42" s="2">
        <v>3.4733100000000001</v>
      </c>
      <c r="P42" s="2">
        <v>130</v>
      </c>
    </row>
    <row r="43" spans="1:16" ht="12.3" x14ac:dyDescent="0.4">
      <c r="A43" s="2" t="s">
        <v>364</v>
      </c>
      <c r="B43" s="7"/>
      <c r="C43" s="8"/>
      <c r="D43" s="8"/>
      <c r="E43" s="8"/>
      <c r="F43" s="8"/>
      <c r="G43" s="8"/>
      <c r="H43" s="8"/>
      <c r="I43" s="2">
        <v>106.065</v>
      </c>
      <c r="J43" s="2">
        <v>154</v>
      </c>
      <c r="K43" s="2">
        <v>105.129</v>
      </c>
      <c r="L43" s="2">
        <v>209</v>
      </c>
      <c r="M43" s="2">
        <v>109.69499999999999</v>
      </c>
      <c r="N43" s="2">
        <v>266</v>
      </c>
      <c r="O43" s="2">
        <v>-3.6301000000000001</v>
      </c>
      <c r="P43" s="2">
        <v>201</v>
      </c>
    </row>
    <row r="44" spans="1:16" ht="12.3" x14ac:dyDescent="0.4">
      <c r="A44" s="2" t="s">
        <v>156</v>
      </c>
      <c r="B44" s="7"/>
      <c r="C44" s="8"/>
      <c r="D44" s="8"/>
      <c r="E44" s="8"/>
      <c r="F44" s="8"/>
      <c r="G44" s="8"/>
      <c r="H44" s="8"/>
      <c r="I44" s="2">
        <v>98.384200000000007</v>
      </c>
      <c r="J44" s="2">
        <v>297</v>
      </c>
      <c r="K44" s="2">
        <v>106.32299999999999</v>
      </c>
      <c r="L44" s="2">
        <v>240</v>
      </c>
      <c r="M44" s="2">
        <v>110.992</v>
      </c>
      <c r="N44" s="2">
        <v>292</v>
      </c>
      <c r="O44" s="2">
        <v>-12.6074</v>
      </c>
      <c r="P44" s="2">
        <v>306</v>
      </c>
    </row>
    <row r="45" spans="1:16" ht="12.3" x14ac:dyDescent="0.4">
      <c r="A45" s="2" t="s">
        <v>235</v>
      </c>
      <c r="B45" s="7"/>
      <c r="C45" s="8"/>
      <c r="D45" s="8"/>
      <c r="E45" s="8"/>
      <c r="F45" s="8"/>
      <c r="G45" s="8"/>
      <c r="H45" s="8"/>
      <c r="I45" s="2">
        <v>108.06</v>
      </c>
      <c r="J45" s="2">
        <v>121</v>
      </c>
      <c r="K45" s="2">
        <v>105.116</v>
      </c>
      <c r="L45" s="2">
        <v>207</v>
      </c>
      <c r="M45" s="2">
        <v>108.518</v>
      </c>
      <c r="N45" s="2">
        <v>236</v>
      </c>
      <c r="O45" s="2">
        <v>-0.45820899999999998</v>
      </c>
      <c r="P45" s="2">
        <v>177</v>
      </c>
    </row>
    <row r="46" spans="1:16" ht="12.3" x14ac:dyDescent="0.4">
      <c r="A46" s="2" t="s">
        <v>305</v>
      </c>
      <c r="B46" s="8"/>
      <c r="C46" s="8"/>
      <c r="D46" s="8"/>
      <c r="E46" s="8"/>
      <c r="F46" s="8"/>
      <c r="G46" s="8"/>
      <c r="H46" s="8"/>
      <c r="I46" s="2">
        <v>99.575100000000006</v>
      </c>
      <c r="J46" s="2">
        <v>269</v>
      </c>
      <c r="K46" s="2">
        <v>104.158</v>
      </c>
      <c r="L46" s="2">
        <v>185</v>
      </c>
      <c r="M46" s="2">
        <v>107.20099999999999</v>
      </c>
      <c r="N46" s="2">
        <v>209</v>
      </c>
      <c r="O46" s="2">
        <v>-7.6262299999999996</v>
      </c>
      <c r="P46" s="2">
        <v>248</v>
      </c>
    </row>
    <row r="47" spans="1:16" ht="12.3" x14ac:dyDescent="0.4">
      <c r="A47" s="2" t="s">
        <v>63</v>
      </c>
      <c r="B47" s="7">
        <v>8</v>
      </c>
      <c r="C47" s="8"/>
      <c r="D47" s="8"/>
      <c r="E47" s="8"/>
      <c r="F47" s="8"/>
      <c r="G47" s="8"/>
      <c r="H47" s="8"/>
      <c r="I47" s="2">
        <v>99.245900000000006</v>
      </c>
      <c r="J47" s="2">
        <v>276</v>
      </c>
      <c r="K47" s="2">
        <v>111.172</v>
      </c>
      <c r="L47" s="2">
        <v>319</v>
      </c>
      <c r="M47" s="2">
        <v>112.812</v>
      </c>
      <c r="N47" s="2">
        <v>314</v>
      </c>
      <c r="O47" s="2">
        <v>-13.565899999999999</v>
      </c>
      <c r="P47" s="2">
        <v>317</v>
      </c>
    </row>
    <row r="48" spans="1:16" ht="12.3" x14ac:dyDescent="0.4">
      <c r="A48" s="2" t="s">
        <v>166</v>
      </c>
      <c r="B48" s="8"/>
      <c r="C48" s="8"/>
      <c r="D48" s="8"/>
      <c r="E48" s="8"/>
      <c r="F48" s="8"/>
      <c r="G48" s="8"/>
      <c r="H48" s="8"/>
      <c r="I48" s="2">
        <v>99.577200000000005</v>
      </c>
      <c r="J48" s="2">
        <v>268</v>
      </c>
      <c r="K48" s="2">
        <v>109.244</v>
      </c>
      <c r="L48" s="2">
        <v>285</v>
      </c>
      <c r="M48" s="2">
        <v>112.148</v>
      </c>
      <c r="N48" s="2">
        <v>307</v>
      </c>
      <c r="O48" s="2">
        <v>-12.570600000000001</v>
      </c>
      <c r="P48" s="2">
        <v>305</v>
      </c>
    </row>
    <row r="49" spans="1:16" ht="12.3" x14ac:dyDescent="0.4">
      <c r="A49" s="2" t="s">
        <v>348</v>
      </c>
      <c r="B49" s="8"/>
      <c r="C49" s="8"/>
      <c r="D49" s="8"/>
      <c r="E49" s="8"/>
      <c r="F49" s="8"/>
      <c r="G49" s="8"/>
      <c r="H49" s="8"/>
      <c r="I49" s="2">
        <v>96.894300000000001</v>
      </c>
      <c r="J49" s="2">
        <v>315</v>
      </c>
      <c r="K49" s="2">
        <v>120.794</v>
      </c>
      <c r="L49" s="2">
        <v>350</v>
      </c>
      <c r="M49" s="2">
        <v>119.36</v>
      </c>
      <c r="N49" s="2">
        <v>348</v>
      </c>
      <c r="O49" s="2">
        <v>-22.466000000000001</v>
      </c>
      <c r="P49" s="2">
        <v>346</v>
      </c>
    </row>
    <row r="50" spans="1:16" ht="12.3" x14ac:dyDescent="0.4">
      <c r="A50" s="2" t="s">
        <v>34</v>
      </c>
      <c r="B50" s="7">
        <v>9</v>
      </c>
      <c r="C50" s="8"/>
      <c r="D50" s="8"/>
      <c r="E50" s="8"/>
      <c r="F50" s="8"/>
      <c r="G50" s="8"/>
      <c r="H50" s="8"/>
      <c r="I50" s="2">
        <v>113.155</v>
      </c>
      <c r="J50" s="2">
        <v>54</v>
      </c>
      <c r="K50" s="2">
        <v>86.3964</v>
      </c>
      <c r="L50" s="2">
        <v>1</v>
      </c>
      <c r="M50" s="2">
        <v>86.158000000000001</v>
      </c>
      <c r="N50" s="2">
        <v>2</v>
      </c>
      <c r="O50" s="2">
        <v>26.996600000000001</v>
      </c>
      <c r="P50" s="2">
        <v>4</v>
      </c>
    </row>
    <row r="51" spans="1:16" ht="12.3" x14ac:dyDescent="0.4">
      <c r="A51" s="2" t="s">
        <v>24</v>
      </c>
      <c r="B51" s="8"/>
      <c r="C51" s="8"/>
      <c r="D51" s="8"/>
      <c r="E51" s="8"/>
      <c r="F51" s="8"/>
      <c r="G51" s="8"/>
      <c r="H51" s="8"/>
      <c r="I51" s="2">
        <v>113.774</v>
      </c>
      <c r="J51" s="2">
        <v>48</v>
      </c>
      <c r="K51" s="2">
        <v>97.3446</v>
      </c>
      <c r="L51" s="2">
        <v>26</v>
      </c>
      <c r="M51" s="2">
        <v>93.505200000000002</v>
      </c>
      <c r="N51" s="2">
        <v>8</v>
      </c>
      <c r="O51" s="2">
        <v>20.269300000000001</v>
      </c>
      <c r="P51" s="2">
        <v>19</v>
      </c>
    </row>
    <row r="52" spans="1:16" ht="12.3" x14ac:dyDescent="0.4">
      <c r="A52" s="2" t="s">
        <v>222</v>
      </c>
      <c r="B52" s="8"/>
      <c r="C52" s="8"/>
      <c r="D52" s="8"/>
      <c r="E52" s="8"/>
      <c r="F52" s="8"/>
      <c r="G52" s="8"/>
      <c r="H52" s="8"/>
      <c r="I52" s="2">
        <v>97.852500000000006</v>
      </c>
      <c r="J52" s="2">
        <v>305</v>
      </c>
      <c r="K52" s="2">
        <v>108.65900000000001</v>
      </c>
      <c r="L52" s="2">
        <v>276</v>
      </c>
      <c r="M52" s="2">
        <v>110.479</v>
      </c>
      <c r="N52" s="2">
        <v>281</v>
      </c>
      <c r="O52" s="2">
        <v>-12.6266</v>
      </c>
      <c r="P52" s="2">
        <v>307</v>
      </c>
    </row>
    <row r="53" spans="1:16" ht="12.3" x14ac:dyDescent="0.4">
      <c r="A53" s="2" t="s">
        <v>334</v>
      </c>
      <c r="B53" s="8"/>
      <c r="C53" s="8"/>
      <c r="D53" s="8"/>
      <c r="E53" s="8"/>
      <c r="F53" s="8"/>
      <c r="G53" s="8"/>
      <c r="H53" s="8"/>
      <c r="I53" s="2">
        <v>102.108</v>
      </c>
      <c r="J53" s="2">
        <v>235</v>
      </c>
      <c r="K53" s="2">
        <v>103.842</v>
      </c>
      <c r="L53" s="2">
        <v>177</v>
      </c>
      <c r="M53" s="2">
        <v>106.185</v>
      </c>
      <c r="N53" s="2">
        <v>188</v>
      </c>
      <c r="O53" s="2">
        <v>-4.0768599999999999</v>
      </c>
      <c r="P53" s="2">
        <v>209</v>
      </c>
    </row>
    <row r="54" spans="1:16" ht="12.3" x14ac:dyDescent="0.4">
      <c r="A54" s="2" t="s">
        <v>247</v>
      </c>
      <c r="B54" s="7">
        <v>10</v>
      </c>
      <c r="C54" s="8"/>
      <c r="D54" s="8"/>
      <c r="E54" s="8"/>
      <c r="F54" s="8"/>
      <c r="G54" s="8"/>
      <c r="H54" s="8"/>
      <c r="I54" s="2">
        <v>105.33199999999999</v>
      </c>
      <c r="J54" s="2">
        <v>170</v>
      </c>
      <c r="K54" s="2">
        <v>105.379</v>
      </c>
      <c r="L54" s="2">
        <v>219</v>
      </c>
      <c r="M54" s="2">
        <v>109.443</v>
      </c>
      <c r="N54" s="2">
        <v>259</v>
      </c>
      <c r="O54" s="2">
        <v>-4.1115399999999998</v>
      </c>
      <c r="P54" s="2">
        <v>210</v>
      </c>
    </row>
    <row r="55" spans="1:16" ht="12.3" x14ac:dyDescent="0.4">
      <c r="A55" s="2" t="s">
        <v>105</v>
      </c>
      <c r="B55" s="7">
        <v>12</v>
      </c>
      <c r="C55" s="8"/>
      <c r="D55" s="8"/>
      <c r="E55" s="8"/>
      <c r="F55" s="8"/>
      <c r="G55" s="8"/>
      <c r="H55" s="8"/>
      <c r="I55" s="2">
        <v>109.887</v>
      </c>
      <c r="J55" s="2">
        <v>87</v>
      </c>
      <c r="K55" s="2">
        <v>103.526</v>
      </c>
      <c r="L55" s="2">
        <v>167</v>
      </c>
      <c r="M55" s="2">
        <v>105.15300000000001</v>
      </c>
      <c r="N55" s="2">
        <v>167</v>
      </c>
      <c r="O55" s="2">
        <v>4.7341800000000003</v>
      </c>
      <c r="P55" s="2">
        <v>120</v>
      </c>
    </row>
    <row r="56" spans="1:16" ht="12.3" x14ac:dyDescent="0.4">
      <c r="A56" s="2" t="s">
        <v>129</v>
      </c>
      <c r="B56" s="8"/>
      <c r="C56" s="8"/>
      <c r="D56" s="8"/>
      <c r="E56" s="8"/>
      <c r="F56" s="8"/>
      <c r="G56" s="8"/>
      <c r="H56" s="8"/>
      <c r="I56" s="2">
        <v>105.41200000000001</v>
      </c>
      <c r="J56" s="2">
        <v>169</v>
      </c>
      <c r="K56" s="2">
        <v>104.04600000000001</v>
      </c>
      <c r="L56" s="2">
        <v>180</v>
      </c>
      <c r="M56" s="2">
        <v>99.736099999999993</v>
      </c>
      <c r="N56" s="2">
        <v>72</v>
      </c>
      <c r="O56" s="2">
        <v>5.6760099999999998</v>
      </c>
      <c r="P56" s="2">
        <v>110</v>
      </c>
    </row>
    <row r="57" spans="1:16" ht="12.3" x14ac:dyDescent="0.4">
      <c r="A57" s="2" t="s">
        <v>157</v>
      </c>
      <c r="B57" s="8"/>
      <c r="C57" s="8"/>
      <c r="D57" s="8"/>
      <c r="E57" s="8"/>
      <c r="F57" s="8"/>
      <c r="G57" s="8"/>
      <c r="H57" s="8"/>
      <c r="I57" s="2">
        <v>102.992</v>
      </c>
      <c r="J57" s="2">
        <v>218</v>
      </c>
      <c r="K57" s="2">
        <v>109.866</v>
      </c>
      <c r="L57" s="2">
        <v>293</v>
      </c>
      <c r="M57" s="2">
        <v>108.542</v>
      </c>
      <c r="N57" s="2">
        <v>237</v>
      </c>
      <c r="O57" s="2">
        <v>-5.5501500000000004</v>
      </c>
      <c r="P57" s="2">
        <v>225</v>
      </c>
    </row>
    <row r="58" spans="1:16" ht="12.3" x14ac:dyDescent="0.4">
      <c r="A58" s="2" t="s">
        <v>271</v>
      </c>
      <c r="B58" s="8"/>
      <c r="C58" s="8"/>
      <c r="D58" s="8"/>
      <c r="E58" s="8"/>
      <c r="F58" s="8"/>
      <c r="G58" s="8"/>
      <c r="H58" s="8"/>
      <c r="I58" s="2">
        <v>107.532</v>
      </c>
      <c r="J58" s="2">
        <v>132</v>
      </c>
      <c r="K58" s="2">
        <v>110.167</v>
      </c>
      <c r="L58" s="2">
        <v>300</v>
      </c>
      <c r="M58" s="2">
        <v>113.676</v>
      </c>
      <c r="N58" s="2">
        <v>322</v>
      </c>
      <c r="O58" s="2">
        <v>-6.14405</v>
      </c>
      <c r="P58" s="2">
        <v>233</v>
      </c>
    </row>
    <row r="59" spans="1:16" ht="12.3" x14ac:dyDescent="0.4">
      <c r="A59" s="2" t="s">
        <v>54</v>
      </c>
      <c r="B59" s="8"/>
      <c r="C59" s="8"/>
      <c r="D59" s="8"/>
      <c r="E59" s="8"/>
      <c r="F59" s="8"/>
      <c r="G59" s="8"/>
      <c r="H59" s="8"/>
      <c r="I59" s="2">
        <v>105.30800000000001</v>
      </c>
      <c r="J59" s="2">
        <v>172</v>
      </c>
      <c r="K59" s="2">
        <v>107.321</v>
      </c>
      <c r="L59" s="2">
        <v>256</v>
      </c>
      <c r="M59" s="2">
        <v>105.56</v>
      </c>
      <c r="N59" s="2">
        <v>173</v>
      </c>
      <c r="O59" s="2">
        <v>-0.25135200000000002</v>
      </c>
      <c r="P59" s="2">
        <v>173</v>
      </c>
    </row>
    <row r="60" spans="1:16" ht="12.3" x14ac:dyDescent="0.4">
      <c r="A60" s="2" t="s">
        <v>341</v>
      </c>
      <c r="B60" s="8"/>
      <c r="C60" s="8"/>
      <c r="D60" s="8"/>
      <c r="E60" s="8"/>
      <c r="F60" s="8"/>
      <c r="G60" s="8"/>
      <c r="H60" s="8"/>
      <c r="I60" s="2">
        <v>86.758499999999998</v>
      </c>
      <c r="J60" s="2">
        <v>350</v>
      </c>
      <c r="K60" s="2">
        <v>105.97799999999999</v>
      </c>
      <c r="L60" s="2">
        <v>232</v>
      </c>
      <c r="M60" s="2">
        <v>110.733</v>
      </c>
      <c r="N60" s="2">
        <v>284</v>
      </c>
      <c r="O60" s="2">
        <v>-23.974499999999999</v>
      </c>
      <c r="P60" s="2">
        <v>347</v>
      </c>
    </row>
    <row r="61" spans="1:16" ht="12.3" x14ac:dyDescent="0.4">
      <c r="A61" s="2" t="s">
        <v>333</v>
      </c>
      <c r="B61" s="8"/>
      <c r="C61" s="8"/>
      <c r="D61" s="8"/>
      <c r="E61" s="8"/>
      <c r="F61" s="8"/>
      <c r="G61" s="8"/>
      <c r="H61" s="8"/>
      <c r="I61" s="2">
        <v>104.81100000000001</v>
      </c>
      <c r="J61" s="2">
        <v>181</v>
      </c>
      <c r="K61" s="2">
        <v>111.798</v>
      </c>
      <c r="L61" s="2">
        <v>325</v>
      </c>
      <c r="M61" s="2">
        <v>113.789</v>
      </c>
      <c r="N61" s="2">
        <v>323</v>
      </c>
      <c r="O61" s="2">
        <v>-8.9783100000000005</v>
      </c>
      <c r="P61" s="2">
        <v>267</v>
      </c>
    </row>
    <row r="62" spans="1:16" ht="12.3" x14ac:dyDescent="0.4">
      <c r="A62" s="2" t="s">
        <v>90</v>
      </c>
      <c r="B62" s="8"/>
      <c r="C62" s="8"/>
      <c r="D62" s="8"/>
      <c r="E62" s="8"/>
      <c r="F62" s="8"/>
      <c r="G62" s="8"/>
      <c r="H62" s="8"/>
      <c r="I62" s="2">
        <v>116.45399999999999</v>
      </c>
      <c r="J62" s="2">
        <v>22</v>
      </c>
      <c r="K62" s="2">
        <v>102.19799999999999</v>
      </c>
      <c r="L62" s="2">
        <v>127</v>
      </c>
      <c r="M62" s="2">
        <v>99.174400000000006</v>
      </c>
      <c r="N62" s="2">
        <v>61</v>
      </c>
      <c r="O62" s="2">
        <v>17.279199999999999</v>
      </c>
      <c r="P62" s="2">
        <v>27</v>
      </c>
    </row>
    <row r="63" spans="1:16" ht="12.3" x14ac:dyDescent="0.4">
      <c r="A63" s="2" t="s">
        <v>327</v>
      </c>
      <c r="B63" s="8"/>
      <c r="C63" s="8"/>
      <c r="D63" s="8"/>
      <c r="E63" s="8"/>
      <c r="F63" s="8"/>
      <c r="G63" s="8"/>
      <c r="H63" s="8"/>
      <c r="I63" s="2">
        <v>98.733099999999993</v>
      </c>
      <c r="J63" s="2">
        <v>293</v>
      </c>
      <c r="K63" s="2">
        <v>108.98</v>
      </c>
      <c r="L63" s="2">
        <v>283</v>
      </c>
      <c r="M63" s="2">
        <v>110.886</v>
      </c>
      <c r="N63" s="2">
        <v>287</v>
      </c>
      <c r="O63" s="2">
        <v>-12.152900000000001</v>
      </c>
      <c r="P63" s="2">
        <v>299</v>
      </c>
    </row>
    <row r="64" spans="1:16" ht="12.3" x14ac:dyDescent="0.4">
      <c r="A64" s="2" t="s">
        <v>134</v>
      </c>
      <c r="B64" s="7">
        <v>13</v>
      </c>
      <c r="C64" s="8"/>
      <c r="D64" s="8"/>
      <c r="E64" s="8"/>
      <c r="F64" s="8"/>
      <c r="G64" s="8"/>
      <c r="H64" s="8"/>
      <c r="I64" s="2">
        <v>117.399</v>
      </c>
      <c r="J64" s="2">
        <v>18</v>
      </c>
      <c r="K64" s="2">
        <v>102.197</v>
      </c>
      <c r="L64" s="2">
        <v>126</v>
      </c>
      <c r="M64" s="2">
        <v>102.494</v>
      </c>
      <c r="N64" s="2">
        <v>115</v>
      </c>
      <c r="O64" s="2">
        <v>14.905099999999999</v>
      </c>
      <c r="P64" s="2">
        <v>43</v>
      </c>
    </row>
    <row r="65" spans="1:16" ht="12.3" x14ac:dyDescent="0.4">
      <c r="A65" s="2" t="s">
        <v>64</v>
      </c>
      <c r="B65" s="8"/>
      <c r="C65" s="8"/>
      <c r="D65" s="8"/>
      <c r="E65" s="8"/>
      <c r="F65" s="8"/>
      <c r="G65" s="8"/>
      <c r="H65" s="8"/>
      <c r="I65" s="2">
        <v>108.66200000000001</v>
      </c>
      <c r="J65" s="2">
        <v>110</v>
      </c>
      <c r="K65" s="2">
        <v>108.21299999999999</v>
      </c>
      <c r="L65" s="2">
        <v>271</v>
      </c>
      <c r="M65" s="2">
        <v>108.587</v>
      </c>
      <c r="N65" s="2">
        <v>238</v>
      </c>
      <c r="O65" s="2">
        <v>7.5461500000000001E-2</v>
      </c>
      <c r="P65" s="2">
        <v>168</v>
      </c>
    </row>
    <row r="66" spans="1:16" ht="12.3" x14ac:dyDescent="0.4">
      <c r="A66" s="2" t="s">
        <v>174</v>
      </c>
      <c r="B66" s="8"/>
      <c r="C66" s="8"/>
      <c r="D66" s="8"/>
      <c r="E66" s="8"/>
      <c r="F66" s="8"/>
      <c r="G66" s="8"/>
      <c r="H66" s="8"/>
      <c r="I66" s="2">
        <v>102.21</v>
      </c>
      <c r="J66" s="2">
        <v>230</v>
      </c>
      <c r="K66" s="2">
        <v>109.503</v>
      </c>
      <c r="L66" s="2">
        <v>290</v>
      </c>
      <c r="M66" s="2">
        <v>109.935</v>
      </c>
      <c r="N66" s="2">
        <v>269</v>
      </c>
      <c r="O66" s="2">
        <v>-7.7245999999999997</v>
      </c>
      <c r="P66" s="2">
        <v>250</v>
      </c>
    </row>
    <row r="67" spans="1:16" ht="12.3" x14ac:dyDescent="0.4">
      <c r="A67" s="2" t="s">
        <v>265</v>
      </c>
      <c r="B67" s="8"/>
      <c r="C67" s="8"/>
      <c r="D67" s="8"/>
      <c r="E67" s="8"/>
      <c r="F67" s="8"/>
      <c r="G67" s="8"/>
      <c r="H67" s="8"/>
      <c r="I67" s="2">
        <v>90.559200000000004</v>
      </c>
      <c r="J67" s="2">
        <v>344</v>
      </c>
      <c r="K67" s="2">
        <v>115.44799999999999</v>
      </c>
      <c r="L67" s="2">
        <v>342</v>
      </c>
      <c r="M67" s="2">
        <v>118.52800000000001</v>
      </c>
      <c r="N67" s="2">
        <v>344</v>
      </c>
      <c r="O67" s="2">
        <v>-27.968499999999999</v>
      </c>
      <c r="P67" s="2">
        <v>350</v>
      </c>
    </row>
    <row r="68" spans="1:16" ht="12.3" x14ac:dyDescent="0.4">
      <c r="A68" s="2" t="s">
        <v>286</v>
      </c>
      <c r="B68" s="8"/>
      <c r="C68" s="8"/>
      <c r="D68" s="8"/>
      <c r="E68" s="8"/>
      <c r="F68" s="8"/>
      <c r="G68" s="8"/>
      <c r="H68" s="8"/>
      <c r="I68" s="2">
        <v>103.105</v>
      </c>
      <c r="J68" s="2">
        <v>217</v>
      </c>
      <c r="K68" s="2">
        <v>106.313</v>
      </c>
      <c r="L68" s="2">
        <v>238</v>
      </c>
      <c r="M68" s="2">
        <v>106.92400000000001</v>
      </c>
      <c r="N68" s="2">
        <v>201</v>
      </c>
      <c r="O68" s="2">
        <v>-3.81948</v>
      </c>
      <c r="P68" s="2">
        <v>206</v>
      </c>
    </row>
    <row r="69" spans="1:16" ht="12.3" x14ac:dyDescent="0.4">
      <c r="A69" s="2" t="s">
        <v>207</v>
      </c>
      <c r="B69" s="8"/>
      <c r="C69" s="8"/>
      <c r="D69" s="8"/>
      <c r="E69" s="8"/>
      <c r="F69" s="8"/>
      <c r="G69" s="8"/>
      <c r="H69" s="8"/>
      <c r="I69" s="2">
        <v>104.75</v>
      </c>
      <c r="J69" s="2">
        <v>183</v>
      </c>
      <c r="K69" s="2">
        <v>103.035</v>
      </c>
      <c r="L69" s="2">
        <v>151</v>
      </c>
      <c r="M69" s="2">
        <v>98.013400000000004</v>
      </c>
      <c r="N69" s="2">
        <v>49</v>
      </c>
      <c r="O69" s="2">
        <v>6.7363099999999996</v>
      </c>
      <c r="P69" s="2">
        <v>101</v>
      </c>
    </row>
    <row r="70" spans="1:16" ht="12.3" x14ac:dyDescent="0.4">
      <c r="A70" s="2" t="s">
        <v>132</v>
      </c>
      <c r="B70" s="8"/>
      <c r="C70" s="8"/>
      <c r="D70" s="8"/>
      <c r="E70" s="8"/>
      <c r="F70" s="8"/>
      <c r="G70" s="8"/>
      <c r="H70" s="8"/>
      <c r="I70" s="2">
        <v>102.60299999999999</v>
      </c>
      <c r="J70" s="2">
        <v>222</v>
      </c>
      <c r="K70" s="2">
        <v>115.09099999999999</v>
      </c>
      <c r="L70" s="2">
        <v>341</v>
      </c>
      <c r="M70" s="2">
        <v>117.28</v>
      </c>
      <c r="N70" s="2">
        <v>342</v>
      </c>
      <c r="O70" s="2">
        <v>-14.676500000000001</v>
      </c>
      <c r="P70" s="2">
        <v>321</v>
      </c>
    </row>
    <row r="71" spans="1:16" ht="12.3" x14ac:dyDescent="0.4">
      <c r="A71" s="2" t="s">
        <v>205</v>
      </c>
      <c r="B71" s="8"/>
      <c r="C71" s="8"/>
      <c r="D71" s="8"/>
      <c r="E71" s="8"/>
      <c r="F71" s="8"/>
      <c r="G71" s="8"/>
      <c r="H71" s="8"/>
      <c r="I71" s="2">
        <v>106.797</v>
      </c>
      <c r="J71" s="2">
        <v>141</v>
      </c>
      <c r="K71" s="2">
        <v>105.233</v>
      </c>
      <c r="L71" s="2">
        <v>215</v>
      </c>
      <c r="M71" s="2">
        <v>105.562</v>
      </c>
      <c r="N71" s="2">
        <v>174</v>
      </c>
      <c r="O71" s="2">
        <v>1.2347600000000001</v>
      </c>
      <c r="P71" s="2">
        <v>154</v>
      </c>
    </row>
    <row r="72" spans="1:16" ht="12.3" x14ac:dyDescent="0.4">
      <c r="A72" s="2" t="s">
        <v>210</v>
      </c>
      <c r="B72" s="7">
        <v>14</v>
      </c>
      <c r="C72" s="8"/>
      <c r="D72" s="8"/>
      <c r="E72" s="8"/>
      <c r="F72" s="8"/>
      <c r="G72" s="8"/>
      <c r="H72" s="8"/>
      <c r="I72" s="2">
        <v>103.158</v>
      </c>
      <c r="J72" s="2">
        <v>215</v>
      </c>
      <c r="K72" s="2">
        <v>110.801</v>
      </c>
      <c r="L72" s="2">
        <v>313</v>
      </c>
      <c r="M72" s="2">
        <v>111.015</v>
      </c>
      <c r="N72" s="2">
        <v>293</v>
      </c>
      <c r="O72" s="2">
        <v>-7.85724</v>
      </c>
      <c r="P72" s="2">
        <v>253</v>
      </c>
    </row>
    <row r="73" spans="1:16" ht="12.3" x14ac:dyDescent="0.4">
      <c r="A73" s="2" t="s">
        <v>32</v>
      </c>
      <c r="B73" s="8"/>
      <c r="C73" s="8"/>
      <c r="D73" s="8"/>
      <c r="E73" s="8"/>
      <c r="F73" s="8"/>
      <c r="G73" s="8"/>
      <c r="H73" s="8"/>
      <c r="I73" s="2">
        <v>122.602</v>
      </c>
      <c r="J73" s="2">
        <v>3</v>
      </c>
      <c r="K73" s="2">
        <v>97.307500000000005</v>
      </c>
      <c r="L73" s="2">
        <v>24</v>
      </c>
      <c r="M73" s="2">
        <v>93.466999999999999</v>
      </c>
      <c r="N73" s="2">
        <v>7</v>
      </c>
      <c r="O73" s="2">
        <v>29.134799999999998</v>
      </c>
      <c r="P73" s="2">
        <v>3</v>
      </c>
    </row>
    <row r="74" spans="1:16" ht="12.3" x14ac:dyDescent="0.4">
      <c r="A74" s="2" t="s">
        <v>250</v>
      </c>
      <c r="B74" s="8"/>
      <c r="C74" s="8"/>
      <c r="D74" s="8"/>
      <c r="E74" s="8"/>
      <c r="F74" s="8"/>
      <c r="G74" s="8"/>
      <c r="H74" s="8"/>
      <c r="I74" s="2">
        <v>104.905</v>
      </c>
      <c r="J74" s="2">
        <v>178</v>
      </c>
      <c r="K74" s="2">
        <v>103.042</v>
      </c>
      <c r="L74" s="2">
        <v>152</v>
      </c>
      <c r="M74" s="2">
        <v>108.458</v>
      </c>
      <c r="N74" s="2">
        <v>235</v>
      </c>
      <c r="O74" s="2">
        <v>-3.5527199999999999</v>
      </c>
      <c r="P74" s="2">
        <v>200</v>
      </c>
    </row>
    <row r="75" spans="1:16" ht="12.3" x14ac:dyDescent="0.4">
      <c r="A75" s="2" t="s">
        <v>206</v>
      </c>
      <c r="B75" s="8"/>
      <c r="C75" s="8"/>
      <c r="D75" s="8"/>
      <c r="E75" s="8"/>
      <c r="F75" s="8"/>
      <c r="G75" s="8"/>
      <c r="H75" s="8"/>
      <c r="I75" s="2">
        <v>97.114800000000002</v>
      </c>
      <c r="J75" s="2">
        <v>313</v>
      </c>
      <c r="K75" s="2">
        <v>107.636</v>
      </c>
      <c r="L75" s="2">
        <v>262</v>
      </c>
      <c r="M75" s="2">
        <v>109.83799999999999</v>
      </c>
      <c r="N75" s="2">
        <v>268</v>
      </c>
      <c r="O75" s="2">
        <v>-12.723599999999999</v>
      </c>
      <c r="P75" s="2">
        <v>308</v>
      </c>
    </row>
    <row r="76" spans="1:16" ht="12.3" x14ac:dyDescent="0.4">
      <c r="A76" s="2" t="s">
        <v>108</v>
      </c>
      <c r="B76" s="8"/>
      <c r="C76" s="8"/>
      <c r="D76" s="8"/>
      <c r="E76" s="8"/>
      <c r="F76" s="8"/>
      <c r="G76" s="8"/>
      <c r="H76" s="8"/>
      <c r="I76" s="2">
        <v>105.60299999999999</v>
      </c>
      <c r="J76" s="2">
        <v>167</v>
      </c>
      <c r="K76" s="2">
        <v>95.808899999999994</v>
      </c>
      <c r="L76" s="2">
        <v>16</v>
      </c>
      <c r="M76" s="2">
        <v>98.073400000000007</v>
      </c>
      <c r="N76" s="2">
        <v>51</v>
      </c>
      <c r="O76" s="2">
        <v>7.5294100000000004</v>
      </c>
      <c r="P76" s="2">
        <v>92</v>
      </c>
    </row>
    <row r="77" spans="1:16" ht="12.3" x14ac:dyDescent="0.4">
      <c r="A77" s="2" t="s">
        <v>264</v>
      </c>
      <c r="B77" s="8"/>
      <c r="C77" s="8"/>
      <c r="D77" s="8"/>
      <c r="E77" s="8"/>
      <c r="F77" s="8"/>
      <c r="G77" s="8"/>
      <c r="H77" s="8"/>
      <c r="I77" s="2">
        <v>99.287300000000002</v>
      </c>
      <c r="J77" s="2">
        <v>275</v>
      </c>
      <c r="K77" s="2">
        <v>105.16200000000001</v>
      </c>
      <c r="L77" s="2">
        <v>210</v>
      </c>
      <c r="M77" s="2">
        <v>107.511</v>
      </c>
      <c r="N77" s="2">
        <v>215</v>
      </c>
      <c r="O77" s="2">
        <v>-8.2237100000000005</v>
      </c>
      <c r="P77" s="2">
        <v>257</v>
      </c>
    </row>
    <row r="78" spans="1:16" ht="12.3" x14ac:dyDescent="0.4">
      <c r="A78" s="2" t="s">
        <v>324</v>
      </c>
      <c r="B78" s="8"/>
      <c r="C78" s="8"/>
      <c r="D78" s="8"/>
      <c r="E78" s="8"/>
      <c r="F78" s="8"/>
      <c r="G78" s="8"/>
      <c r="H78" s="8"/>
      <c r="I78" s="2">
        <v>101.898</v>
      </c>
      <c r="J78" s="2">
        <v>239</v>
      </c>
      <c r="K78" s="2">
        <v>111.139</v>
      </c>
      <c r="L78" s="2">
        <v>318</v>
      </c>
      <c r="M78" s="2">
        <v>113.032</v>
      </c>
      <c r="N78" s="2">
        <v>316</v>
      </c>
      <c r="O78" s="2">
        <v>-11.1333</v>
      </c>
      <c r="P78" s="2">
        <v>286</v>
      </c>
    </row>
    <row r="79" spans="1:16" ht="12.3" x14ac:dyDescent="0.4">
      <c r="A79" s="2" t="s">
        <v>331</v>
      </c>
      <c r="B79" s="7">
        <v>13</v>
      </c>
      <c r="C79" s="8"/>
      <c r="D79" s="8"/>
      <c r="E79" s="8"/>
      <c r="F79" s="8"/>
      <c r="G79" s="8"/>
      <c r="H79" s="8"/>
      <c r="I79" s="2">
        <v>103.38</v>
      </c>
      <c r="J79" s="2">
        <v>210</v>
      </c>
      <c r="K79" s="2">
        <v>100.815</v>
      </c>
      <c r="L79" s="2">
        <v>86</v>
      </c>
      <c r="M79" s="2">
        <v>101.29600000000001</v>
      </c>
      <c r="N79" s="2">
        <v>100</v>
      </c>
      <c r="O79" s="2">
        <v>2.0846800000000001</v>
      </c>
      <c r="P79" s="2">
        <v>147</v>
      </c>
    </row>
    <row r="80" spans="1:16" ht="12.3" x14ac:dyDescent="0.4">
      <c r="A80" s="2" t="s">
        <v>187</v>
      </c>
      <c r="B80" s="8"/>
      <c r="C80" s="8"/>
      <c r="D80" s="8"/>
      <c r="E80" s="8"/>
      <c r="F80" s="8"/>
      <c r="G80" s="8"/>
      <c r="H80" s="8"/>
      <c r="I80" s="2">
        <v>108.34399999999999</v>
      </c>
      <c r="J80" s="2">
        <v>117</v>
      </c>
      <c r="K80" s="2">
        <v>103.892</v>
      </c>
      <c r="L80" s="2">
        <v>178</v>
      </c>
      <c r="M80" s="2">
        <v>104.864</v>
      </c>
      <c r="N80" s="2">
        <v>160</v>
      </c>
      <c r="O80" s="2">
        <v>3.4798499999999999</v>
      </c>
      <c r="P80" s="2">
        <v>129</v>
      </c>
    </row>
    <row r="81" spans="1:16" ht="12.3" x14ac:dyDescent="0.4">
      <c r="A81" s="2" t="s">
        <v>306</v>
      </c>
      <c r="B81" s="8"/>
      <c r="C81" s="8"/>
      <c r="D81" s="8"/>
      <c r="E81" s="8"/>
      <c r="F81" s="8"/>
      <c r="G81" s="8"/>
      <c r="H81" s="8"/>
      <c r="I81" s="2">
        <v>103.81399999999999</v>
      </c>
      <c r="J81" s="2">
        <v>196</v>
      </c>
      <c r="K81" s="2">
        <v>110.849</v>
      </c>
      <c r="L81" s="2">
        <v>315</v>
      </c>
      <c r="M81" s="2">
        <v>111.63</v>
      </c>
      <c r="N81" s="2">
        <v>301</v>
      </c>
      <c r="O81" s="2">
        <v>-7.8159099999999997</v>
      </c>
      <c r="P81" s="2">
        <v>252</v>
      </c>
    </row>
    <row r="82" spans="1:16" ht="12.3" x14ac:dyDescent="0.4">
      <c r="A82" s="2" t="s">
        <v>292</v>
      </c>
      <c r="B82" s="8"/>
      <c r="C82" s="8"/>
      <c r="D82" s="8"/>
      <c r="E82" s="8"/>
      <c r="F82" s="8"/>
      <c r="G82" s="8"/>
      <c r="H82" s="8"/>
      <c r="I82" s="2">
        <v>99.485399999999998</v>
      </c>
      <c r="J82" s="2">
        <v>271</v>
      </c>
      <c r="K82" s="2">
        <v>97.385099999999994</v>
      </c>
      <c r="L82" s="2">
        <v>27</v>
      </c>
      <c r="M82" s="2">
        <v>96.829400000000007</v>
      </c>
      <c r="N82" s="2">
        <v>32</v>
      </c>
      <c r="O82" s="2">
        <v>2.6560700000000002</v>
      </c>
      <c r="P82" s="2">
        <v>138</v>
      </c>
    </row>
    <row r="83" spans="1:16" ht="12.3" x14ac:dyDescent="0.4">
      <c r="A83" s="2" t="s">
        <v>221</v>
      </c>
      <c r="B83" s="8"/>
      <c r="C83" s="8"/>
      <c r="D83" s="8"/>
      <c r="E83" s="8"/>
      <c r="F83" s="8"/>
      <c r="G83" s="8"/>
      <c r="H83" s="8"/>
      <c r="I83" s="2">
        <v>102.399</v>
      </c>
      <c r="J83" s="2">
        <v>227</v>
      </c>
      <c r="K83" s="2">
        <v>104.515</v>
      </c>
      <c r="L83" s="2">
        <v>196</v>
      </c>
      <c r="M83" s="2">
        <v>106.60599999999999</v>
      </c>
      <c r="N83" s="2">
        <v>194</v>
      </c>
      <c r="O83" s="2">
        <v>-4.20669</v>
      </c>
      <c r="P83" s="2">
        <v>211</v>
      </c>
    </row>
    <row r="84" spans="1:16" ht="12.3" x14ac:dyDescent="0.4">
      <c r="A84" s="2" t="s">
        <v>344</v>
      </c>
      <c r="B84" s="8"/>
      <c r="C84" s="8"/>
      <c r="D84" s="8"/>
      <c r="E84" s="8"/>
      <c r="F84" s="8"/>
      <c r="G84" s="8"/>
      <c r="H84" s="8"/>
      <c r="I84" s="2">
        <v>102.60599999999999</v>
      </c>
      <c r="J84" s="2">
        <v>221</v>
      </c>
      <c r="K84" s="2">
        <v>108.916</v>
      </c>
      <c r="L84" s="2">
        <v>280</v>
      </c>
      <c r="M84" s="2">
        <v>112.46</v>
      </c>
      <c r="N84" s="2">
        <v>313</v>
      </c>
      <c r="O84" s="2">
        <v>-9.8536400000000004</v>
      </c>
      <c r="P84" s="2">
        <v>274</v>
      </c>
    </row>
    <row r="85" spans="1:16" ht="12.3" x14ac:dyDescent="0.4">
      <c r="A85" s="2" t="s">
        <v>260</v>
      </c>
      <c r="B85" s="8"/>
      <c r="C85" s="8"/>
      <c r="D85" s="8"/>
      <c r="E85" s="8"/>
      <c r="F85" s="8"/>
      <c r="G85" s="8"/>
      <c r="H85" s="8"/>
      <c r="I85" s="2">
        <v>98.311999999999998</v>
      </c>
      <c r="J85" s="2">
        <v>298</v>
      </c>
      <c r="K85" s="2">
        <v>101.217</v>
      </c>
      <c r="L85" s="2">
        <v>96</v>
      </c>
      <c r="M85" s="2">
        <v>104.495</v>
      </c>
      <c r="N85" s="2">
        <v>155</v>
      </c>
      <c r="O85" s="2">
        <v>-6.1825999999999999</v>
      </c>
      <c r="P85" s="2">
        <v>235</v>
      </c>
    </row>
    <row r="86" spans="1:16" ht="12.3" x14ac:dyDescent="0.4">
      <c r="A86" s="2" t="s">
        <v>37</v>
      </c>
      <c r="B86" s="8"/>
      <c r="C86" s="8"/>
      <c r="D86" s="8"/>
      <c r="E86" s="8"/>
      <c r="F86" s="8"/>
      <c r="G86" s="8"/>
      <c r="H86" s="8"/>
      <c r="I86" s="2">
        <v>115.14</v>
      </c>
      <c r="J86" s="2">
        <v>37</v>
      </c>
      <c r="K86" s="2">
        <v>100.621</v>
      </c>
      <c r="L86" s="2">
        <v>81</v>
      </c>
      <c r="M86" s="2">
        <v>96.426199999999994</v>
      </c>
      <c r="N86" s="2">
        <v>25</v>
      </c>
      <c r="O86" s="2">
        <v>18.713699999999999</v>
      </c>
      <c r="P86" s="2">
        <v>23</v>
      </c>
    </row>
    <row r="87" spans="1:16" ht="12.3" x14ac:dyDescent="0.4">
      <c r="A87" s="2" t="s">
        <v>301</v>
      </c>
      <c r="B87" s="8"/>
      <c r="C87" s="8"/>
      <c r="D87" s="8"/>
      <c r="E87" s="8"/>
      <c r="F87" s="8"/>
      <c r="G87" s="8"/>
      <c r="H87" s="8"/>
      <c r="I87" s="2">
        <v>95.921000000000006</v>
      </c>
      <c r="J87" s="2">
        <v>324</v>
      </c>
      <c r="K87" s="2">
        <v>112.499</v>
      </c>
      <c r="L87" s="2">
        <v>332</v>
      </c>
      <c r="M87" s="2">
        <v>117.051</v>
      </c>
      <c r="N87" s="2">
        <v>341</v>
      </c>
      <c r="O87" s="2">
        <v>-21.13</v>
      </c>
      <c r="P87" s="2">
        <v>341</v>
      </c>
    </row>
    <row r="88" spans="1:16" ht="12.3" x14ac:dyDescent="0.4">
      <c r="A88" s="2" t="s">
        <v>218</v>
      </c>
      <c r="B88" s="8"/>
      <c r="C88" s="8"/>
      <c r="D88" s="8"/>
      <c r="E88" s="8"/>
      <c r="F88" s="8"/>
      <c r="G88" s="8"/>
      <c r="H88" s="8"/>
      <c r="I88" s="2">
        <v>95.800700000000006</v>
      </c>
      <c r="J88" s="2">
        <v>327</v>
      </c>
      <c r="K88" s="2">
        <v>102.081</v>
      </c>
      <c r="L88" s="2">
        <v>123</v>
      </c>
      <c r="M88" s="2">
        <v>102.80500000000001</v>
      </c>
      <c r="N88" s="2">
        <v>122</v>
      </c>
      <c r="O88" s="2">
        <v>-7.0037900000000004</v>
      </c>
      <c r="P88" s="2">
        <v>242</v>
      </c>
    </row>
    <row r="89" spans="1:16" ht="12.3" x14ac:dyDescent="0.4">
      <c r="A89" s="2" t="s">
        <v>369</v>
      </c>
      <c r="B89" s="7">
        <v>15</v>
      </c>
      <c r="C89" s="8"/>
      <c r="D89" s="8"/>
      <c r="E89" s="8"/>
      <c r="F89" s="8"/>
      <c r="G89" s="8"/>
      <c r="H89" s="8"/>
      <c r="I89" s="2">
        <v>108.292</v>
      </c>
      <c r="J89" s="2">
        <v>118</v>
      </c>
      <c r="K89" s="2">
        <v>99.953400000000002</v>
      </c>
      <c r="L89" s="2">
        <v>67</v>
      </c>
      <c r="M89" s="2">
        <v>104.875</v>
      </c>
      <c r="N89" s="2">
        <v>161</v>
      </c>
      <c r="O89" s="2">
        <v>3.4172600000000002</v>
      </c>
      <c r="P89" s="2">
        <v>132</v>
      </c>
    </row>
    <row r="90" spans="1:16" ht="12.3" x14ac:dyDescent="0.4">
      <c r="A90" s="2" t="s">
        <v>20</v>
      </c>
      <c r="B90" s="8"/>
      <c r="C90" s="8"/>
      <c r="D90" s="8"/>
      <c r="E90" s="8"/>
      <c r="F90" s="8"/>
      <c r="G90" s="8"/>
      <c r="H90" s="8"/>
      <c r="I90" s="2">
        <v>115.822</v>
      </c>
      <c r="J90" s="2">
        <v>30</v>
      </c>
      <c r="K90" s="2">
        <v>101.381</v>
      </c>
      <c r="L90" s="2">
        <v>102</v>
      </c>
      <c r="M90" s="2">
        <v>99.998400000000004</v>
      </c>
      <c r="N90" s="2">
        <v>76</v>
      </c>
      <c r="O90" s="2">
        <v>15.8239</v>
      </c>
      <c r="P90" s="2">
        <v>35</v>
      </c>
    </row>
    <row r="91" spans="1:16" ht="12.3" x14ac:dyDescent="0.4">
      <c r="A91" s="2" t="s">
        <v>249</v>
      </c>
      <c r="B91" s="7">
        <v>12</v>
      </c>
      <c r="C91" s="8"/>
      <c r="D91" s="8"/>
      <c r="E91" s="8"/>
      <c r="F91" s="8"/>
      <c r="G91" s="8"/>
      <c r="H91" s="8"/>
      <c r="I91" s="2">
        <v>94.746700000000004</v>
      </c>
      <c r="J91" s="2">
        <v>334</v>
      </c>
      <c r="K91" s="2">
        <v>104.946</v>
      </c>
      <c r="L91" s="2">
        <v>205</v>
      </c>
      <c r="M91" s="2">
        <v>106.371</v>
      </c>
      <c r="N91" s="2">
        <v>190</v>
      </c>
      <c r="O91" s="2">
        <v>-11.624700000000001</v>
      </c>
      <c r="P91" s="2">
        <v>292</v>
      </c>
    </row>
    <row r="92" spans="1:16" ht="12.3" x14ac:dyDescent="0.4">
      <c r="A92" s="2" t="s">
        <v>387</v>
      </c>
      <c r="B92" s="8"/>
      <c r="C92" s="8"/>
      <c r="D92" s="8"/>
      <c r="E92" s="8"/>
      <c r="F92" s="8"/>
      <c r="G92" s="8"/>
      <c r="H92" s="8"/>
      <c r="I92" s="2">
        <v>107.616</v>
      </c>
      <c r="J92" s="2">
        <v>130</v>
      </c>
      <c r="K92" s="2">
        <v>104.771</v>
      </c>
      <c r="L92" s="2">
        <v>201</v>
      </c>
      <c r="M92" s="2">
        <v>106.447</v>
      </c>
      <c r="N92" s="2">
        <v>192</v>
      </c>
      <c r="O92" s="2">
        <v>1.1687099999999999</v>
      </c>
      <c r="P92" s="2">
        <v>156</v>
      </c>
    </row>
    <row r="93" spans="1:16" ht="12.3" x14ac:dyDescent="0.4">
      <c r="A93" s="2" t="s">
        <v>112</v>
      </c>
      <c r="B93" s="8"/>
      <c r="C93" s="8"/>
      <c r="D93" s="8"/>
      <c r="E93" s="8"/>
      <c r="F93" s="8"/>
      <c r="G93" s="8"/>
      <c r="H93" s="8"/>
      <c r="I93" s="2">
        <v>110.083</v>
      </c>
      <c r="J93" s="2">
        <v>84</v>
      </c>
      <c r="K93" s="2">
        <v>100.218</v>
      </c>
      <c r="L93" s="2">
        <v>73</v>
      </c>
      <c r="M93" s="2">
        <v>99.884399999999999</v>
      </c>
      <c r="N93" s="2">
        <v>74</v>
      </c>
      <c r="O93" s="2">
        <v>10.1991</v>
      </c>
      <c r="P93" s="2">
        <v>79</v>
      </c>
    </row>
    <row r="94" spans="1:16" ht="12.3" x14ac:dyDescent="0.4">
      <c r="A94" s="2" t="s">
        <v>195</v>
      </c>
      <c r="B94" s="8"/>
      <c r="C94" s="8"/>
      <c r="D94" s="8"/>
      <c r="E94" s="8"/>
      <c r="F94" s="8"/>
      <c r="G94" s="8"/>
      <c r="H94" s="8"/>
      <c r="I94" s="2">
        <v>109.301</v>
      </c>
      <c r="J94" s="2">
        <v>97</v>
      </c>
      <c r="K94" s="2">
        <v>99.306600000000003</v>
      </c>
      <c r="L94" s="2">
        <v>53</v>
      </c>
      <c r="M94" s="2">
        <v>101.88</v>
      </c>
      <c r="N94" s="2">
        <v>108</v>
      </c>
      <c r="O94" s="2">
        <v>7.4210799999999999</v>
      </c>
      <c r="P94" s="2">
        <v>93</v>
      </c>
    </row>
    <row r="95" spans="1:16" ht="12.3" x14ac:dyDescent="0.4">
      <c r="A95" s="2" t="s">
        <v>211</v>
      </c>
      <c r="B95" s="7">
        <v>13</v>
      </c>
      <c r="C95" s="8"/>
      <c r="D95" s="8"/>
      <c r="E95" s="8"/>
      <c r="F95" s="8"/>
      <c r="G95" s="8"/>
      <c r="H95" s="8"/>
      <c r="I95" s="2">
        <v>97.842600000000004</v>
      </c>
      <c r="J95" s="2">
        <v>306</v>
      </c>
      <c r="K95" s="2">
        <v>104.563</v>
      </c>
      <c r="L95" s="2">
        <v>198</v>
      </c>
      <c r="M95" s="2">
        <v>106.464</v>
      </c>
      <c r="N95" s="2">
        <v>193</v>
      </c>
      <c r="O95" s="2">
        <v>-8.6211800000000007</v>
      </c>
      <c r="P95" s="2">
        <v>261</v>
      </c>
    </row>
    <row r="96" spans="1:16" ht="12.3" x14ac:dyDescent="0.4">
      <c r="A96" s="2" t="s">
        <v>147</v>
      </c>
      <c r="B96" s="8"/>
      <c r="C96" s="8"/>
      <c r="D96" s="8"/>
      <c r="E96" s="8"/>
      <c r="F96" s="8"/>
      <c r="G96" s="8"/>
      <c r="H96" s="8"/>
      <c r="I96" s="2">
        <v>102.42400000000001</v>
      </c>
      <c r="J96" s="2">
        <v>225</v>
      </c>
      <c r="K96" s="2">
        <v>106.89400000000001</v>
      </c>
      <c r="L96" s="2">
        <v>249</v>
      </c>
      <c r="M96" s="2">
        <v>107.583</v>
      </c>
      <c r="N96" s="2">
        <v>219</v>
      </c>
      <c r="O96" s="2">
        <v>-5.1597200000000001</v>
      </c>
      <c r="P96" s="2">
        <v>219</v>
      </c>
    </row>
    <row r="97" spans="1:16" ht="12.3" x14ac:dyDescent="0.4">
      <c r="A97" s="2" t="s">
        <v>232</v>
      </c>
      <c r="B97" s="8"/>
      <c r="C97" s="8"/>
      <c r="D97" s="8"/>
      <c r="E97" s="8"/>
      <c r="F97" s="8"/>
      <c r="G97" s="8"/>
      <c r="H97" s="8"/>
      <c r="I97" s="2">
        <v>103.751</v>
      </c>
      <c r="J97" s="2">
        <v>199</v>
      </c>
      <c r="K97" s="2">
        <v>106.11199999999999</v>
      </c>
      <c r="L97" s="2">
        <v>234</v>
      </c>
      <c r="M97" s="2">
        <v>106.44499999999999</v>
      </c>
      <c r="N97" s="2">
        <v>191</v>
      </c>
      <c r="O97" s="2">
        <v>-2.6940400000000002</v>
      </c>
      <c r="P97" s="2">
        <v>194</v>
      </c>
    </row>
    <row r="98" spans="1:16" ht="12.3" x14ac:dyDescent="0.4">
      <c r="A98" s="2" t="s">
        <v>62</v>
      </c>
      <c r="B98" s="8"/>
      <c r="C98" s="8"/>
      <c r="D98" s="8"/>
      <c r="E98" s="8"/>
      <c r="F98" s="8"/>
      <c r="G98" s="8"/>
      <c r="H98" s="8"/>
      <c r="I98" s="2">
        <v>109.801</v>
      </c>
      <c r="J98" s="2">
        <v>89</v>
      </c>
      <c r="K98" s="2">
        <v>103.703</v>
      </c>
      <c r="L98" s="2">
        <v>173</v>
      </c>
      <c r="M98" s="2">
        <v>102.858</v>
      </c>
      <c r="N98" s="2">
        <v>123</v>
      </c>
      <c r="O98" s="2">
        <v>6.9430800000000001</v>
      </c>
      <c r="P98" s="2">
        <v>99</v>
      </c>
    </row>
    <row r="99" spans="1:16" ht="12.3" x14ac:dyDescent="0.4">
      <c r="A99" s="2" t="s">
        <v>19</v>
      </c>
      <c r="B99" s="8"/>
      <c r="C99" s="8"/>
      <c r="D99" s="8"/>
      <c r="E99" s="8"/>
      <c r="F99" s="8"/>
      <c r="G99" s="8"/>
      <c r="H99" s="8"/>
      <c r="I99" s="2">
        <v>107.77</v>
      </c>
      <c r="J99" s="2">
        <v>127</v>
      </c>
      <c r="K99" s="2">
        <v>100.914</v>
      </c>
      <c r="L99" s="2">
        <v>88</v>
      </c>
      <c r="M99" s="2">
        <v>95.859200000000001</v>
      </c>
      <c r="N99" s="2">
        <v>20</v>
      </c>
      <c r="O99" s="2">
        <v>11.910399999999999</v>
      </c>
      <c r="P99" s="2">
        <v>64</v>
      </c>
    </row>
    <row r="100" spans="1:16" ht="12.3" x14ac:dyDescent="0.4">
      <c r="A100" s="2" t="s">
        <v>153</v>
      </c>
      <c r="B100" s="8"/>
      <c r="C100" s="8"/>
      <c r="D100" s="8"/>
      <c r="E100" s="8"/>
      <c r="F100" s="8"/>
      <c r="G100" s="8"/>
      <c r="H100" s="8"/>
      <c r="I100" s="2">
        <v>106.31699999999999</v>
      </c>
      <c r="J100" s="2">
        <v>151</v>
      </c>
      <c r="K100" s="2">
        <v>101.181</v>
      </c>
      <c r="L100" s="2">
        <v>94</v>
      </c>
      <c r="M100" s="2">
        <v>104.553</v>
      </c>
      <c r="N100" s="2">
        <v>157</v>
      </c>
      <c r="O100" s="2">
        <v>1.7645200000000001</v>
      </c>
      <c r="P100" s="2">
        <v>150</v>
      </c>
    </row>
    <row r="101" spans="1:16" ht="12.3" x14ac:dyDescent="0.4">
      <c r="A101" s="2" t="s">
        <v>152</v>
      </c>
      <c r="B101" s="8"/>
      <c r="C101" s="8"/>
      <c r="D101" s="8"/>
      <c r="E101" s="8"/>
      <c r="F101" s="8"/>
      <c r="G101" s="8"/>
      <c r="H101" s="8"/>
      <c r="I101" s="2">
        <v>109.045</v>
      </c>
      <c r="J101" s="2">
        <v>101</v>
      </c>
      <c r="K101" s="2">
        <v>98.418899999999994</v>
      </c>
      <c r="L101" s="2">
        <v>37</v>
      </c>
      <c r="M101" s="2">
        <v>101.83499999999999</v>
      </c>
      <c r="N101" s="2">
        <v>106</v>
      </c>
      <c r="O101" s="2">
        <v>7.2092099999999997</v>
      </c>
      <c r="P101" s="2">
        <v>96</v>
      </c>
    </row>
    <row r="102" spans="1:16" ht="12.3" x14ac:dyDescent="0.4">
      <c r="A102" s="2" t="s">
        <v>92</v>
      </c>
      <c r="B102" s="8"/>
      <c r="C102" s="8"/>
      <c r="D102" s="8"/>
      <c r="E102" s="8"/>
      <c r="F102" s="8"/>
      <c r="G102" s="8"/>
      <c r="H102" s="8"/>
      <c r="I102" s="2">
        <v>103.961</v>
      </c>
      <c r="J102" s="2">
        <v>193</v>
      </c>
      <c r="K102" s="2">
        <v>101.89</v>
      </c>
      <c r="L102" s="2">
        <v>118</v>
      </c>
      <c r="M102" s="2">
        <v>98.9358</v>
      </c>
      <c r="N102" s="2">
        <v>57</v>
      </c>
      <c r="O102" s="2">
        <v>5.0252100000000004</v>
      </c>
      <c r="P102" s="2">
        <v>116</v>
      </c>
    </row>
    <row r="103" spans="1:16" ht="12.3" x14ac:dyDescent="0.4">
      <c r="A103" s="2" t="s">
        <v>47</v>
      </c>
      <c r="B103" s="7">
        <v>12</v>
      </c>
      <c r="C103" s="8"/>
      <c r="D103" s="8"/>
      <c r="E103" s="8"/>
      <c r="F103" s="8"/>
      <c r="G103" s="8"/>
      <c r="H103" s="8"/>
      <c r="I103" s="2">
        <v>119.824</v>
      </c>
      <c r="J103" s="2">
        <v>12</v>
      </c>
      <c r="K103" s="2">
        <v>95.111500000000007</v>
      </c>
      <c r="L103" s="2">
        <v>14</v>
      </c>
      <c r="M103" s="2">
        <v>95.089100000000002</v>
      </c>
      <c r="N103" s="2">
        <v>17</v>
      </c>
      <c r="O103" s="2">
        <v>24.735199999999999</v>
      </c>
      <c r="P103" s="2">
        <v>8</v>
      </c>
    </row>
    <row r="104" spans="1:16" ht="12.3" x14ac:dyDescent="0.4">
      <c r="A104" s="2" t="s">
        <v>329</v>
      </c>
      <c r="B104" s="8"/>
      <c r="C104" s="8"/>
      <c r="D104" s="8"/>
      <c r="E104" s="8"/>
      <c r="F104" s="8"/>
      <c r="G104" s="8"/>
      <c r="H104" s="8"/>
      <c r="I104" s="2">
        <v>94.478099999999998</v>
      </c>
      <c r="J104" s="2">
        <v>335</v>
      </c>
      <c r="K104" s="2">
        <v>100.31100000000001</v>
      </c>
      <c r="L104" s="2">
        <v>74</v>
      </c>
      <c r="M104" s="2">
        <v>106.366</v>
      </c>
      <c r="N104" s="2">
        <v>189</v>
      </c>
      <c r="O104" s="2">
        <v>-11.887700000000001</v>
      </c>
      <c r="P104" s="2">
        <v>296</v>
      </c>
    </row>
    <row r="105" spans="1:16" ht="12.3" x14ac:dyDescent="0.4">
      <c r="A105" s="2" t="s">
        <v>381</v>
      </c>
      <c r="B105" s="8"/>
      <c r="C105" s="8"/>
      <c r="D105" s="8"/>
      <c r="E105" s="8"/>
      <c r="F105" s="8"/>
      <c r="G105" s="8"/>
      <c r="H105" s="8"/>
      <c r="I105" s="2">
        <v>102.4</v>
      </c>
      <c r="J105" s="2">
        <v>226</v>
      </c>
      <c r="K105" s="2">
        <v>90.445800000000006</v>
      </c>
      <c r="L105" s="2">
        <v>3</v>
      </c>
      <c r="M105" s="2">
        <v>96.902000000000001</v>
      </c>
      <c r="N105" s="2">
        <v>33</v>
      </c>
      <c r="O105" s="2">
        <v>5.4981</v>
      </c>
      <c r="P105" s="2">
        <v>112</v>
      </c>
    </row>
    <row r="106" spans="1:16" ht="12.3" x14ac:dyDescent="0.4">
      <c r="A106" s="2" t="s">
        <v>236</v>
      </c>
      <c r="B106" s="8"/>
      <c r="C106" s="8"/>
      <c r="D106" s="8"/>
      <c r="E106" s="8"/>
      <c r="F106" s="8"/>
      <c r="G106" s="8"/>
      <c r="H106" s="8"/>
      <c r="I106" s="2">
        <v>99.841700000000003</v>
      </c>
      <c r="J106" s="2">
        <v>261</v>
      </c>
      <c r="K106" s="2">
        <v>105.733</v>
      </c>
      <c r="L106" s="2">
        <v>227</v>
      </c>
      <c r="M106" s="2">
        <v>109.068</v>
      </c>
      <c r="N106" s="2">
        <v>253</v>
      </c>
      <c r="O106" s="2">
        <v>-9.2259399999999996</v>
      </c>
      <c r="P106" s="2">
        <v>271</v>
      </c>
    </row>
    <row r="107" spans="1:16" ht="12.3" x14ac:dyDescent="0.4">
      <c r="A107" s="2" t="s">
        <v>135</v>
      </c>
      <c r="B107" s="8"/>
      <c r="C107" s="8"/>
      <c r="D107" s="8"/>
      <c r="E107" s="8"/>
      <c r="F107" s="8"/>
      <c r="G107" s="8"/>
      <c r="H107" s="8"/>
      <c r="I107" s="2">
        <v>101.717</v>
      </c>
      <c r="J107" s="2">
        <v>240</v>
      </c>
      <c r="K107" s="2">
        <v>103.07299999999999</v>
      </c>
      <c r="L107" s="2">
        <v>154</v>
      </c>
      <c r="M107" s="2">
        <v>109.277</v>
      </c>
      <c r="N107" s="2">
        <v>257</v>
      </c>
      <c r="O107" s="2">
        <v>-7.5593000000000004</v>
      </c>
      <c r="P107" s="2">
        <v>246</v>
      </c>
    </row>
    <row r="108" spans="1:16" ht="12.3" x14ac:dyDescent="0.4">
      <c r="A108" s="2" t="s">
        <v>295</v>
      </c>
      <c r="B108" s="8"/>
      <c r="C108" s="8"/>
      <c r="D108" s="8"/>
      <c r="E108" s="8"/>
      <c r="F108" s="8"/>
      <c r="G108" s="8"/>
      <c r="H108" s="8"/>
      <c r="I108" s="2">
        <v>102.66</v>
      </c>
      <c r="J108" s="2">
        <v>220</v>
      </c>
      <c r="K108" s="2">
        <v>103.13</v>
      </c>
      <c r="L108" s="2">
        <v>156</v>
      </c>
      <c r="M108" s="2">
        <v>107.465</v>
      </c>
      <c r="N108" s="2">
        <v>214</v>
      </c>
      <c r="O108" s="2">
        <v>-4.80558</v>
      </c>
      <c r="P108" s="2">
        <v>214</v>
      </c>
    </row>
    <row r="109" spans="1:16" ht="12.3" x14ac:dyDescent="0.4">
      <c r="A109" s="2" t="s">
        <v>255</v>
      </c>
      <c r="B109" s="8"/>
      <c r="C109" s="8"/>
      <c r="D109" s="8"/>
      <c r="E109" s="8"/>
      <c r="F109" s="8"/>
      <c r="G109" s="8"/>
      <c r="H109" s="8"/>
      <c r="I109" s="2">
        <v>101.431</v>
      </c>
      <c r="J109" s="2">
        <v>243</v>
      </c>
      <c r="K109" s="2">
        <v>98.468699999999998</v>
      </c>
      <c r="L109" s="2">
        <v>38</v>
      </c>
      <c r="M109" s="2">
        <v>99.291899999999998</v>
      </c>
      <c r="N109" s="2">
        <v>64</v>
      </c>
      <c r="O109" s="2">
        <v>2.1391100000000001</v>
      </c>
      <c r="P109" s="2">
        <v>144</v>
      </c>
    </row>
    <row r="110" spans="1:16" ht="12.3" x14ac:dyDescent="0.4">
      <c r="A110" s="2" t="s">
        <v>66</v>
      </c>
      <c r="B110" s="8"/>
      <c r="C110" s="8"/>
      <c r="D110" s="8"/>
      <c r="E110" s="8"/>
      <c r="F110" s="8"/>
      <c r="G110" s="8"/>
      <c r="H110" s="8"/>
      <c r="I110" s="2">
        <v>99.578699999999998</v>
      </c>
      <c r="J110" s="2">
        <v>267</v>
      </c>
      <c r="K110" s="2">
        <v>99.507099999999994</v>
      </c>
      <c r="L110" s="2">
        <v>56</v>
      </c>
      <c r="M110" s="2">
        <v>102.705</v>
      </c>
      <c r="N110" s="2">
        <v>121</v>
      </c>
      <c r="O110" s="2">
        <v>-3.1259199999999998</v>
      </c>
      <c r="P110" s="2">
        <v>196</v>
      </c>
    </row>
    <row r="111" spans="1:16" ht="12.3" x14ac:dyDescent="0.4">
      <c r="A111" s="2" t="s">
        <v>330</v>
      </c>
      <c r="B111" s="8"/>
      <c r="C111" s="8"/>
      <c r="D111" s="8"/>
      <c r="E111" s="8"/>
      <c r="F111" s="8"/>
      <c r="G111" s="8"/>
      <c r="H111" s="8"/>
      <c r="I111" s="2">
        <v>100.358</v>
      </c>
      <c r="J111" s="2">
        <v>255</v>
      </c>
      <c r="K111" s="2">
        <v>102.54300000000001</v>
      </c>
      <c r="L111" s="2">
        <v>134</v>
      </c>
      <c r="M111" s="2">
        <v>107.015</v>
      </c>
      <c r="N111" s="2">
        <v>205</v>
      </c>
      <c r="O111" s="2">
        <v>-6.6575899999999999</v>
      </c>
      <c r="P111" s="2">
        <v>240</v>
      </c>
    </row>
    <row r="112" spans="1:16" ht="12.3" x14ac:dyDescent="0.4">
      <c r="A112" s="2" t="s">
        <v>243</v>
      </c>
      <c r="B112" s="8"/>
      <c r="C112" s="8"/>
      <c r="D112" s="8"/>
      <c r="E112" s="8"/>
      <c r="F112" s="8"/>
      <c r="G112" s="8"/>
      <c r="H112" s="8"/>
      <c r="I112" s="2">
        <v>111.27</v>
      </c>
      <c r="J112" s="2">
        <v>70</v>
      </c>
      <c r="K112" s="2">
        <v>110.02800000000001</v>
      </c>
      <c r="L112" s="2">
        <v>297</v>
      </c>
      <c r="M112" s="2">
        <v>110.456</v>
      </c>
      <c r="N112" s="2">
        <v>280</v>
      </c>
      <c r="O112" s="2">
        <v>0.81367699999999998</v>
      </c>
      <c r="P112" s="2">
        <v>162</v>
      </c>
    </row>
    <row r="113" spans="1:16" ht="12.3" x14ac:dyDescent="0.4">
      <c r="A113" s="2" t="s">
        <v>178</v>
      </c>
      <c r="B113" s="8"/>
      <c r="C113" s="8"/>
      <c r="D113" s="8"/>
      <c r="E113" s="8"/>
      <c r="F113" s="8"/>
      <c r="G113" s="8"/>
      <c r="H113" s="8"/>
      <c r="I113" s="2">
        <v>97.749600000000001</v>
      </c>
      <c r="J113" s="2">
        <v>308</v>
      </c>
      <c r="K113" s="2">
        <v>105.636</v>
      </c>
      <c r="L113" s="2">
        <v>225</v>
      </c>
      <c r="M113" s="2">
        <v>109.22199999999999</v>
      </c>
      <c r="N113" s="2">
        <v>256</v>
      </c>
      <c r="O113" s="2">
        <v>-11.472</v>
      </c>
      <c r="P113" s="2">
        <v>290</v>
      </c>
    </row>
    <row r="114" spans="1:16" ht="12.3" x14ac:dyDescent="0.4">
      <c r="A114" s="2" t="s">
        <v>130</v>
      </c>
      <c r="B114" s="8"/>
      <c r="C114" s="8"/>
      <c r="D114" s="8"/>
      <c r="E114" s="8"/>
      <c r="F114" s="8"/>
      <c r="G114" s="8"/>
      <c r="H114" s="8"/>
      <c r="I114" s="2">
        <v>115.78700000000001</v>
      </c>
      <c r="J114" s="2">
        <v>31</v>
      </c>
      <c r="K114" s="2">
        <v>94.887600000000006</v>
      </c>
      <c r="L114" s="2">
        <v>13</v>
      </c>
      <c r="M114" s="2">
        <v>95.247299999999996</v>
      </c>
      <c r="N114" s="2">
        <v>18</v>
      </c>
      <c r="O114" s="2">
        <v>20.5396</v>
      </c>
      <c r="P114" s="2">
        <v>17</v>
      </c>
    </row>
    <row r="115" spans="1:16" ht="12.3" x14ac:dyDescent="0.4">
      <c r="A115" s="2" t="s">
        <v>374</v>
      </c>
      <c r="B115" s="8"/>
      <c r="C115" s="8"/>
      <c r="D115" s="8"/>
      <c r="E115" s="8"/>
      <c r="F115" s="8"/>
      <c r="G115" s="8"/>
      <c r="H115" s="8"/>
      <c r="I115" s="2">
        <v>99.221500000000006</v>
      </c>
      <c r="J115" s="2">
        <v>279</v>
      </c>
      <c r="K115" s="2">
        <v>113.961</v>
      </c>
      <c r="L115" s="2">
        <v>339</v>
      </c>
      <c r="M115" s="2">
        <v>116.873</v>
      </c>
      <c r="N115" s="2">
        <v>340</v>
      </c>
      <c r="O115" s="2">
        <v>-17.651499999999999</v>
      </c>
      <c r="P115" s="2">
        <v>332</v>
      </c>
    </row>
    <row r="116" spans="1:16" ht="12.3" x14ac:dyDescent="0.4">
      <c r="A116" s="2" t="s">
        <v>242</v>
      </c>
      <c r="B116" s="8"/>
      <c r="C116" s="8"/>
      <c r="D116" s="8"/>
      <c r="E116" s="8"/>
      <c r="F116" s="8"/>
      <c r="G116" s="8"/>
      <c r="H116" s="8"/>
      <c r="I116" s="2">
        <v>99.697000000000003</v>
      </c>
      <c r="J116" s="2">
        <v>264</v>
      </c>
      <c r="K116" s="2">
        <v>112.40900000000001</v>
      </c>
      <c r="L116" s="2">
        <v>331</v>
      </c>
      <c r="M116" s="2">
        <v>118.65900000000001</v>
      </c>
      <c r="N116" s="2">
        <v>346</v>
      </c>
      <c r="O116" s="2">
        <v>-18.962399999999999</v>
      </c>
      <c r="P116" s="2">
        <v>335</v>
      </c>
    </row>
    <row r="117" spans="1:16" ht="12.3" x14ac:dyDescent="0.4">
      <c r="A117" s="2" t="s">
        <v>304</v>
      </c>
      <c r="B117" s="8"/>
      <c r="C117" s="8"/>
      <c r="D117" s="8"/>
      <c r="E117" s="8"/>
      <c r="F117" s="8"/>
      <c r="G117" s="8"/>
      <c r="H117" s="8"/>
      <c r="I117" s="2">
        <v>109.523</v>
      </c>
      <c r="J117" s="2">
        <v>93</v>
      </c>
      <c r="K117" s="2">
        <v>102.43600000000001</v>
      </c>
      <c r="L117" s="2">
        <v>130</v>
      </c>
      <c r="M117" s="2">
        <v>105.79900000000001</v>
      </c>
      <c r="N117" s="2">
        <v>181</v>
      </c>
      <c r="O117" s="2">
        <v>3.72472</v>
      </c>
      <c r="P117" s="2">
        <v>126</v>
      </c>
    </row>
    <row r="118" spans="1:16" ht="12.3" x14ac:dyDescent="0.4">
      <c r="A118" s="2" t="s">
        <v>294</v>
      </c>
      <c r="B118" s="8"/>
      <c r="C118" s="8"/>
      <c r="D118" s="8"/>
      <c r="E118" s="8"/>
      <c r="F118" s="8"/>
      <c r="G118" s="8"/>
      <c r="H118" s="8"/>
      <c r="I118" s="2">
        <v>103.631</v>
      </c>
      <c r="J118" s="2">
        <v>201</v>
      </c>
      <c r="K118" s="2">
        <v>107.16</v>
      </c>
      <c r="L118" s="2">
        <v>255</v>
      </c>
      <c r="M118" s="2">
        <v>109.099</v>
      </c>
      <c r="N118" s="2">
        <v>254</v>
      </c>
      <c r="O118" s="2">
        <v>-5.4679900000000004</v>
      </c>
      <c r="P118" s="2">
        <v>221</v>
      </c>
    </row>
    <row r="119" spans="1:16" ht="12.3" x14ac:dyDescent="0.4">
      <c r="A119" s="2" t="s">
        <v>44</v>
      </c>
      <c r="B119" s="8"/>
      <c r="C119" s="8"/>
      <c r="D119" s="8"/>
      <c r="E119" s="8"/>
      <c r="F119" s="8"/>
      <c r="G119" s="8"/>
      <c r="H119" s="8"/>
      <c r="I119" s="2">
        <v>109.86499999999999</v>
      </c>
      <c r="J119" s="2">
        <v>88</v>
      </c>
      <c r="K119" s="2">
        <v>104.29</v>
      </c>
      <c r="L119" s="2">
        <v>191</v>
      </c>
      <c r="M119" s="2">
        <v>103.282</v>
      </c>
      <c r="N119" s="2">
        <v>129</v>
      </c>
      <c r="O119" s="2">
        <v>6.5830299999999999</v>
      </c>
      <c r="P119" s="2">
        <v>103</v>
      </c>
    </row>
    <row r="120" spans="1:16" ht="12.3" x14ac:dyDescent="0.4">
      <c r="A120" s="2" t="s">
        <v>144</v>
      </c>
      <c r="B120" s="8"/>
      <c r="C120" s="8"/>
      <c r="D120" s="8"/>
      <c r="E120" s="8"/>
      <c r="F120" s="8"/>
      <c r="G120" s="8"/>
      <c r="H120" s="8"/>
      <c r="I120" s="2">
        <v>100.88</v>
      </c>
      <c r="J120" s="2">
        <v>249</v>
      </c>
      <c r="K120" s="2">
        <v>100.717</v>
      </c>
      <c r="L120" s="2">
        <v>83</v>
      </c>
      <c r="M120" s="2">
        <v>104.539</v>
      </c>
      <c r="N120" s="2">
        <v>156</v>
      </c>
      <c r="O120" s="2">
        <v>-3.6583999999999999</v>
      </c>
      <c r="P120" s="2">
        <v>202</v>
      </c>
    </row>
    <row r="121" spans="1:16" ht="12.3" x14ac:dyDescent="0.4">
      <c r="A121" s="2" t="s">
        <v>164</v>
      </c>
      <c r="B121" s="7">
        <v>14</v>
      </c>
      <c r="C121" s="8"/>
      <c r="D121" s="8"/>
      <c r="E121" s="8"/>
      <c r="F121" s="8"/>
      <c r="G121" s="8"/>
      <c r="H121" s="8"/>
      <c r="I121" s="2">
        <v>105.791</v>
      </c>
      <c r="J121" s="2">
        <v>159</v>
      </c>
      <c r="K121" s="2">
        <v>104.235</v>
      </c>
      <c r="L121" s="2">
        <v>189</v>
      </c>
      <c r="M121" s="2">
        <v>103.673</v>
      </c>
      <c r="N121" s="2">
        <v>135</v>
      </c>
      <c r="O121" s="2">
        <v>2.1181800000000002</v>
      </c>
      <c r="P121" s="2">
        <v>145</v>
      </c>
    </row>
    <row r="122" spans="1:16" ht="12.3" x14ac:dyDescent="0.4">
      <c r="A122" s="2" t="s">
        <v>382</v>
      </c>
      <c r="B122" s="7">
        <v>14</v>
      </c>
      <c r="C122" s="8"/>
      <c r="D122" s="8"/>
      <c r="E122" s="8"/>
      <c r="F122" s="8"/>
      <c r="G122" s="8"/>
      <c r="H122" s="8"/>
      <c r="I122" s="2">
        <v>93.744200000000006</v>
      </c>
      <c r="J122" s="2">
        <v>341</v>
      </c>
      <c r="K122" s="2">
        <v>112.14700000000001</v>
      </c>
      <c r="L122" s="2">
        <v>329</v>
      </c>
      <c r="M122" s="2">
        <v>115.32599999999999</v>
      </c>
      <c r="N122" s="2">
        <v>334</v>
      </c>
      <c r="O122" s="2">
        <v>-21.581800000000001</v>
      </c>
      <c r="P122" s="2">
        <v>342</v>
      </c>
    </row>
    <row r="123" spans="1:16" ht="12.3" x14ac:dyDescent="0.4">
      <c r="A123" s="2" t="s">
        <v>40</v>
      </c>
      <c r="B123" s="8"/>
      <c r="C123" s="8"/>
      <c r="D123" s="8"/>
      <c r="E123" s="8"/>
      <c r="F123" s="8"/>
      <c r="G123" s="8"/>
      <c r="H123" s="8"/>
      <c r="I123" s="2">
        <v>109.72799999999999</v>
      </c>
      <c r="J123" s="2">
        <v>90</v>
      </c>
      <c r="K123" s="2">
        <v>102.83199999999999</v>
      </c>
      <c r="L123" s="2">
        <v>143</v>
      </c>
      <c r="M123" s="2">
        <v>99.329599999999999</v>
      </c>
      <c r="N123" s="2">
        <v>66</v>
      </c>
      <c r="O123" s="2">
        <v>10.3979</v>
      </c>
      <c r="P123" s="2">
        <v>78</v>
      </c>
    </row>
    <row r="124" spans="1:16" ht="12.3" x14ac:dyDescent="0.4">
      <c r="A124" s="2" t="s">
        <v>267</v>
      </c>
      <c r="B124" s="8"/>
      <c r="C124" s="8"/>
      <c r="D124" s="8"/>
      <c r="E124" s="8"/>
      <c r="F124" s="8"/>
      <c r="G124" s="8"/>
      <c r="H124" s="8"/>
      <c r="I124" s="2">
        <v>104.77200000000001</v>
      </c>
      <c r="J124" s="2">
        <v>182</v>
      </c>
      <c r="K124" s="2">
        <v>101.27500000000001</v>
      </c>
      <c r="L124" s="2">
        <v>98</v>
      </c>
      <c r="M124" s="2">
        <v>102.53700000000001</v>
      </c>
      <c r="N124" s="2">
        <v>118</v>
      </c>
      <c r="O124" s="2">
        <v>2.23522</v>
      </c>
      <c r="P124" s="2">
        <v>143</v>
      </c>
    </row>
    <row r="125" spans="1:16" ht="12.3" x14ac:dyDescent="0.4">
      <c r="A125" s="2" t="s">
        <v>241</v>
      </c>
      <c r="B125" s="8"/>
      <c r="C125" s="8"/>
      <c r="D125" s="8"/>
      <c r="E125" s="8"/>
      <c r="F125" s="8"/>
      <c r="G125" s="8"/>
      <c r="H125" s="8"/>
      <c r="I125" s="2">
        <v>110.261</v>
      </c>
      <c r="J125" s="2">
        <v>80</v>
      </c>
      <c r="K125" s="2">
        <v>104.196</v>
      </c>
      <c r="L125" s="2">
        <v>186</v>
      </c>
      <c r="M125" s="2">
        <v>107.38800000000001</v>
      </c>
      <c r="N125" s="2">
        <v>212</v>
      </c>
      <c r="O125" s="2">
        <v>2.87263</v>
      </c>
      <c r="P125" s="2">
        <v>134</v>
      </c>
    </row>
    <row r="126" spans="1:16" ht="12.3" x14ac:dyDescent="0.4">
      <c r="A126" s="2" t="s">
        <v>84</v>
      </c>
      <c r="B126" s="8"/>
      <c r="C126" s="8"/>
      <c r="D126" s="8"/>
      <c r="E126" s="8"/>
      <c r="F126" s="8"/>
      <c r="G126" s="8"/>
      <c r="H126" s="8"/>
      <c r="I126" s="2">
        <v>116.679</v>
      </c>
      <c r="J126" s="2">
        <v>20</v>
      </c>
      <c r="K126" s="2">
        <v>110.395</v>
      </c>
      <c r="L126" s="2">
        <v>307</v>
      </c>
      <c r="M126" s="2">
        <v>108.754</v>
      </c>
      <c r="N126" s="2">
        <v>243</v>
      </c>
      <c r="O126" s="2">
        <v>7.9244500000000002</v>
      </c>
      <c r="P126" s="2">
        <v>90</v>
      </c>
    </row>
    <row r="127" spans="1:16" ht="12.3" x14ac:dyDescent="0.4">
      <c r="A127" s="2" t="s">
        <v>146</v>
      </c>
      <c r="B127" s="8"/>
      <c r="C127" s="8"/>
      <c r="D127" s="8"/>
      <c r="E127" s="8"/>
      <c r="F127" s="8"/>
      <c r="G127" s="8"/>
      <c r="H127" s="8"/>
      <c r="I127" s="2">
        <v>110.16200000000001</v>
      </c>
      <c r="J127" s="2">
        <v>81</v>
      </c>
      <c r="K127" s="2">
        <v>107.467</v>
      </c>
      <c r="L127" s="2">
        <v>259</v>
      </c>
      <c r="M127" s="2">
        <v>103.59699999999999</v>
      </c>
      <c r="N127" s="2">
        <v>132</v>
      </c>
      <c r="O127" s="2">
        <v>6.5651099999999998</v>
      </c>
      <c r="P127" s="2">
        <v>104</v>
      </c>
    </row>
    <row r="128" spans="1:16" ht="12.3" x14ac:dyDescent="0.4">
      <c r="A128" s="2" t="s">
        <v>199</v>
      </c>
      <c r="B128" s="7">
        <v>16</v>
      </c>
      <c r="C128" s="8"/>
      <c r="D128" s="8"/>
      <c r="E128" s="8"/>
      <c r="F128" s="8"/>
      <c r="G128" s="8"/>
      <c r="H128" s="8"/>
      <c r="I128" s="2">
        <v>98.235399999999998</v>
      </c>
      <c r="J128" s="2">
        <v>300</v>
      </c>
      <c r="K128" s="2">
        <v>107.46899999999999</v>
      </c>
      <c r="L128" s="2">
        <v>260</v>
      </c>
      <c r="M128" s="2">
        <v>109.456</v>
      </c>
      <c r="N128" s="2">
        <v>260</v>
      </c>
      <c r="O128" s="2">
        <v>-11.2209</v>
      </c>
      <c r="P128" s="2">
        <v>287</v>
      </c>
    </row>
    <row r="129" spans="1:16" ht="12.3" x14ac:dyDescent="0.4">
      <c r="A129" s="2" t="s">
        <v>312</v>
      </c>
      <c r="B129" s="8"/>
      <c r="C129" s="8"/>
      <c r="D129" s="8"/>
      <c r="E129" s="8"/>
      <c r="F129" s="8"/>
      <c r="G129" s="8"/>
      <c r="H129" s="8"/>
      <c r="I129" s="2">
        <v>89.643500000000003</v>
      </c>
      <c r="J129" s="2">
        <v>348</v>
      </c>
      <c r="K129" s="2">
        <v>104.545</v>
      </c>
      <c r="L129" s="2">
        <v>197</v>
      </c>
      <c r="M129" s="2">
        <v>109.46299999999999</v>
      </c>
      <c r="N129" s="2">
        <v>261</v>
      </c>
      <c r="O129" s="2">
        <v>-19.819400000000002</v>
      </c>
      <c r="P129" s="2">
        <v>337</v>
      </c>
    </row>
    <row r="130" spans="1:16" ht="12.3" x14ac:dyDescent="0.4">
      <c r="A130" s="2" t="s">
        <v>214</v>
      </c>
      <c r="B130" s="8"/>
      <c r="C130" s="8"/>
      <c r="D130" s="8"/>
      <c r="E130" s="8"/>
      <c r="F130" s="8"/>
      <c r="G130" s="8"/>
      <c r="H130" s="8"/>
      <c r="I130" s="2">
        <v>94.375299999999996</v>
      </c>
      <c r="J130" s="2">
        <v>337</v>
      </c>
      <c r="K130" s="2">
        <v>106.73</v>
      </c>
      <c r="L130" s="2">
        <v>247</v>
      </c>
      <c r="M130" s="2">
        <v>108.73099999999999</v>
      </c>
      <c r="N130" s="2">
        <v>242</v>
      </c>
      <c r="O130" s="2">
        <v>-14.3559</v>
      </c>
      <c r="P130" s="2">
        <v>320</v>
      </c>
    </row>
    <row r="131" spans="1:16" ht="12.3" x14ac:dyDescent="0.4">
      <c r="A131" s="2" t="s">
        <v>275</v>
      </c>
      <c r="B131" s="8"/>
      <c r="C131" s="8"/>
      <c r="D131" s="8"/>
      <c r="E131" s="8"/>
      <c r="F131" s="8"/>
      <c r="G131" s="8"/>
      <c r="H131" s="8"/>
      <c r="I131" s="2">
        <v>102.163</v>
      </c>
      <c r="J131" s="2">
        <v>231</v>
      </c>
      <c r="K131" s="2">
        <v>97.337299999999999</v>
      </c>
      <c r="L131" s="2">
        <v>25</v>
      </c>
      <c r="M131" s="2">
        <v>100.348</v>
      </c>
      <c r="N131" s="2">
        <v>81</v>
      </c>
      <c r="O131" s="2">
        <v>1.8146899999999999</v>
      </c>
      <c r="P131" s="2">
        <v>149</v>
      </c>
    </row>
    <row r="132" spans="1:16" ht="12.3" x14ac:dyDescent="0.4">
      <c r="A132" s="2" t="s">
        <v>200</v>
      </c>
      <c r="B132" s="7">
        <v>14</v>
      </c>
      <c r="C132" s="8"/>
      <c r="D132" s="8"/>
      <c r="E132" s="8"/>
      <c r="F132" s="8"/>
      <c r="G132" s="8"/>
      <c r="H132" s="8"/>
      <c r="I132" s="2">
        <v>101.51300000000001</v>
      </c>
      <c r="J132" s="2">
        <v>242</v>
      </c>
      <c r="K132" s="2">
        <v>107.699</v>
      </c>
      <c r="L132" s="2">
        <v>263</v>
      </c>
      <c r="M132" s="2">
        <v>107.715</v>
      </c>
      <c r="N132" s="2">
        <v>223</v>
      </c>
      <c r="O132" s="2">
        <v>-6.2015799999999999</v>
      </c>
      <c r="P132" s="2">
        <v>236</v>
      </c>
    </row>
    <row r="133" spans="1:16" ht="12.3" x14ac:dyDescent="0.4">
      <c r="A133" s="2" t="s">
        <v>35</v>
      </c>
      <c r="B133" s="8"/>
      <c r="C133" s="8"/>
      <c r="D133" s="8"/>
      <c r="E133" s="8"/>
      <c r="F133" s="8"/>
      <c r="G133" s="8"/>
      <c r="H133" s="8"/>
      <c r="I133" s="2">
        <v>120.93300000000001</v>
      </c>
      <c r="J133" s="2">
        <v>6</v>
      </c>
      <c r="K133" s="2">
        <v>101.438</v>
      </c>
      <c r="L133" s="2">
        <v>104</v>
      </c>
      <c r="M133" s="2">
        <v>97.693799999999996</v>
      </c>
      <c r="N133" s="2">
        <v>46</v>
      </c>
      <c r="O133" s="2">
        <v>23.238800000000001</v>
      </c>
      <c r="P133" s="2">
        <v>9</v>
      </c>
    </row>
    <row r="134" spans="1:16" ht="12.3" x14ac:dyDescent="0.4">
      <c r="A134" s="2" t="s">
        <v>148</v>
      </c>
      <c r="B134" s="8"/>
      <c r="C134" s="8"/>
      <c r="D134" s="8"/>
      <c r="E134" s="8"/>
      <c r="F134" s="8"/>
      <c r="G134" s="8"/>
      <c r="H134" s="8"/>
      <c r="I134" s="2">
        <v>112.178</v>
      </c>
      <c r="J134" s="2">
        <v>60</v>
      </c>
      <c r="K134" s="2">
        <v>101.624</v>
      </c>
      <c r="L134" s="2">
        <v>112</v>
      </c>
      <c r="M134" s="2">
        <v>97.423599999999993</v>
      </c>
      <c r="N134" s="2">
        <v>41</v>
      </c>
      <c r="O134" s="2">
        <v>14.754300000000001</v>
      </c>
      <c r="P134" s="2">
        <v>44</v>
      </c>
    </row>
    <row r="135" spans="1:16" ht="12.3" x14ac:dyDescent="0.4">
      <c r="A135" s="2" t="s">
        <v>361</v>
      </c>
      <c r="B135" s="8"/>
      <c r="C135" s="8"/>
      <c r="D135" s="8"/>
      <c r="E135" s="8"/>
      <c r="F135" s="8"/>
      <c r="G135" s="8"/>
      <c r="H135" s="8"/>
      <c r="I135" s="2">
        <v>99.149799999999999</v>
      </c>
      <c r="J135" s="2">
        <v>281</v>
      </c>
      <c r="K135" s="2">
        <v>110.111</v>
      </c>
      <c r="L135" s="2">
        <v>298</v>
      </c>
      <c r="M135" s="2">
        <v>112.047</v>
      </c>
      <c r="N135" s="2">
        <v>303</v>
      </c>
      <c r="O135" s="2">
        <v>-12.8972</v>
      </c>
      <c r="P135" s="2">
        <v>311</v>
      </c>
    </row>
    <row r="136" spans="1:16" ht="12.3" x14ac:dyDescent="0.4">
      <c r="A136" s="2" t="s">
        <v>53</v>
      </c>
      <c r="B136" s="8"/>
      <c r="C136" s="8"/>
      <c r="D136" s="8"/>
      <c r="E136" s="8"/>
      <c r="F136" s="8"/>
      <c r="G136" s="8"/>
      <c r="H136" s="8"/>
      <c r="I136" s="2">
        <v>102.398</v>
      </c>
      <c r="J136" s="2">
        <v>228</v>
      </c>
      <c r="K136" s="2">
        <v>105.616</v>
      </c>
      <c r="L136" s="2">
        <v>224</v>
      </c>
      <c r="M136" s="2">
        <v>107.026</v>
      </c>
      <c r="N136" s="2">
        <v>207</v>
      </c>
      <c r="O136" s="2">
        <v>-4.6277200000000001</v>
      </c>
      <c r="P136" s="2">
        <v>213</v>
      </c>
    </row>
    <row r="137" spans="1:16" ht="12.3" x14ac:dyDescent="0.4">
      <c r="A137" s="2" t="s">
        <v>45</v>
      </c>
      <c r="B137" s="7">
        <v>13</v>
      </c>
      <c r="C137" s="8"/>
      <c r="D137" s="8"/>
      <c r="E137" s="8"/>
      <c r="F137" s="8"/>
      <c r="G137" s="8"/>
      <c r="H137" s="8"/>
      <c r="I137" s="2">
        <v>116.426</v>
      </c>
      <c r="J137" s="2">
        <v>25</v>
      </c>
      <c r="K137" s="2">
        <v>100.553</v>
      </c>
      <c r="L137" s="2">
        <v>79</v>
      </c>
      <c r="M137" s="2">
        <v>96.019000000000005</v>
      </c>
      <c r="N137" s="2">
        <v>23</v>
      </c>
      <c r="O137" s="2">
        <v>20.4069</v>
      </c>
      <c r="P137" s="2">
        <v>18</v>
      </c>
    </row>
    <row r="138" spans="1:16" ht="12.3" x14ac:dyDescent="0.4">
      <c r="A138" s="2" t="s">
        <v>169</v>
      </c>
      <c r="B138" s="8"/>
      <c r="C138" s="8"/>
      <c r="D138" s="8"/>
      <c r="E138" s="8"/>
      <c r="F138" s="8"/>
      <c r="G138" s="8"/>
      <c r="H138" s="8"/>
      <c r="I138" s="2">
        <v>105.15300000000001</v>
      </c>
      <c r="J138" s="2">
        <v>175</v>
      </c>
      <c r="K138" s="2">
        <v>103.718</v>
      </c>
      <c r="L138" s="2">
        <v>174</v>
      </c>
      <c r="M138" s="2">
        <v>104.098</v>
      </c>
      <c r="N138" s="2">
        <v>150</v>
      </c>
      <c r="O138" s="2">
        <v>1.0551699999999999</v>
      </c>
      <c r="P138" s="2">
        <v>158</v>
      </c>
    </row>
    <row r="139" spans="1:16" ht="12.3" x14ac:dyDescent="0.4">
      <c r="A139" s="2" t="s">
        <v>273</v>
      </c>
      <c r="B139" s="8"/>
      <c r="C139" s="8"/>
      <c r="D139" s="8"/>
      <c r="E139" s="8"/>
      <c r="F139" s="8"/>
      <c r="G139" s="8"/>
      <c r="H139" s="8"/>
      <c r="I139" s="2">
        <v>102.09399999999999</v>
      </c>
      <c r="J139" s="2">
        <v>236</v>
      </c>
      <c r="K139" s="2">
        <v>108.083</v>
      </c>
      <c r="L139" s="2">
        <v>269</v>
      </c>
      <c r="M139" s="2">
        <v>112.413</v>
      </c>
      <c r="N139" s="2">
        <v>311</v>
      </c>
      <c r="O139" s="2">
        <v>-10.319000000000001</v>
      </c>
      <c r="P139" s="2">
        <v>279</v>
      </c>
    </row>
    <row r="140" spans="1:16" ht="12.3" x14ac:dyDescent="0.4">
      <c r="A140" s="2" t="s">
        <v>266</v>
      </c>
      <c r="B140" s="8"/>
      <c r="C140" s="8"/>
      <c r="D140" s="8"/>
      <c r="E140" s="8"/>
      <c r="F140" s="8"/>
      <c r="G140" s="8"/>
      <c r="H140" s="8"/>
      <c r="I140" s="2">
        <v>102.142</v>
      </c>
      <c r="J140" s="2">
        <v>233</v>
      </c>
      <c r="K140" s="2">
        <v>100.32599999999999</v>
      </c>
      <c r="L140" s="2">
        <v>75</v>
      </c>
      <c r="M140" s="2">
        <v>105.806</v>
      </c>
      <c r="N140" s="2">
        <v>183</v>
      </c>
      <c r="O140" s="2">
        <v>-3.6640799999999998</v>
      </c>
      <c r="P140" s="2">
        <v>203</v>
      </c>
    </row>
    <row r="141" spans="1:16" ht="12.3" x14ac:dyDescent="0.4">
      <c r="A141" s="2" t="s">
        <v>326</v>
      </c>
      <c r="B141" s="8"/>
      <c r="C141" s="8"/>
      <c r="D141" s="8"/>
      <c r="E141" s="8"/>
      <c r="F141" s="8"/>
      <c r="G141" s="8"/>
      <c r="H141" s="8"/>
      <c r="I141" s="2">
        <v>106.033</v>
      </c>
      <c r="J141" s="2">
        <v>155</v>
      </c>
      <c r="K141" s="2">
        <v>107.741</v>
      </c>
      <c r="L141" s="2">
        <v>264</v>
      </c>
      <c r="M141" s="2">
        <v>112.26600000000001</v>
      </c>
      <c r="N141" s="2">
        <v>308</v>
      </c>
      <c r="O141" s="2">
        <v>-6.2329100000000004</v>
      </c>
      <c r="P141" s="2">
        <v>237</v>
      </c>
    </row>
    <row r="142" spans="1:16" ht="12.3" x14ac:dyDescent="0.4">
      <c r="A142" s="2" t="s">
        <v>346</v>
      </c>
      <c r="B142" s="8"/>
      <c r="C142" s="8"/>
      <c r="D142" s="8"/>
      <c r="E142" s="8"/>
      <c r="F142" s="8"/>
      <c r="G142" s="8"/>
      <c r="H142" s="8"/>
      <c r="I142" s="2">
        <v>104.81100000000001</v>
      </c>
      <c r="J142" s="2">
        <v>180</v>
      </c>
      <c r="K142" s="2">
        <v>101.036</v>
      </c>
      <c r="L142" s="2">
        <v>90</v>
      </c>
      <c r="M142" s="2">
        <v>105.74299999999999</v>
      </c>
      <c r="N142" s="2">
        <v>180</v>
      </c>
      <c r="O142" s="2">
        <v>-0.93135800000000002</v>
      </c>
      <c r="P142" s="2">
        <v>180</v>
      </c>
    </row>
    <row r="143" spans="1:16" ht="12.3" x14ac:dyDescent="0.4">
      <c r="A143" s="2" t="s">
        <v>337</v>
      </c>
      <c r="B143" s="8"/>
      <c r="C143" s="8"/>
      <c r="D143" s="8"/>
      <c r="E143" s="8"/>
      <c r="F143" s="8"/>
      <c r="G143" s="8"/>
      <c r="H143" s="8"/>
      <c r="I143" s="2">
        <v>103.79300000000001</v>
      </c>
      <c r="J143" s="2">
        <v>197</v>
      </c>
      <c r="K143" s="2">
        <v>100.682</v>
      </c>
      <c r="L143" s="2">
        <v>82</v>
      </c>
      <c r="M143" s="2">
        <v>103.43</v>
      </c>
      <c r="N143" s="2">
        <v>131</v>
      </c>
      <c r="O143" s="2">
        <v>0.36362299999999997</v>
      </c>
      <c r="P143" s="2">
        <v>165</v>
      </c>
    </row>
    <row r="144" spans="1:16" ht="12.3" x14ac:dyDescent="0.4">
      <c r="A144" s="2" t="s">
        <v>388</v>
      </c>
      <c r="B144" s="8"/>
      <c r="C144" s="8"/>
      <c r="D144" s="8"/>
      <c r="E144" s="8"/>
      <c r="F144" s="8"/>
      <c r="G144" s="8"/>
      <c r="H144" s="8"/>
      <c r="I144" s="2">
        <v>94.256200000000007</v>
      </c>
      <c r="J144" s="2">
        <v>338</v>
      </c>
      <c r="K144" s="2">
        <v>104.852</v>
      </c>
      <c r="L144" s="2">
        <v>202</v>
      </c>
      <c r="M144" s="2">
        <v>105.994</v>
      </c>
      <c r="N144" s="2">
        <v>186</v>
      </c>
      <c r="O144" s="2">
        <v>-11.738300000000001</v>
      </c>
      <c r="P144" s="2">
        <v>294</v>
      </c>
    </row>
    <row r="145" spans="1:16" ht="12.3" x14ac:dyDescent="0.4">
      <c r="A145" s="2" t="s">
        <v>343</v>
      </c>
      <c r="B145" s="8"/>
      <c r="C145" s="8"/>
      <c r="D145" s="8"/>
      <c r="E145" s="8"/>
      <c r="F145" s="8"/>
      <c r="G145" s="8"/>
      <c r="H145" s="8"/>
      <c r="I145" s="2">
        <v>103.33499999999999</v>
      </c>
      <c r="J145" s="2">
        <v>211</v>
      </c>
      <c r="K145" s="2">
        <v>105.473</v>
      </c>
      <c r="L145" s="2">
        <v>222</v>
      </c>
      <c r="M145" s="2">
        <v>111.13500000000001</v>
      </c>
      <c r="N145" s="2">
        <v>294</v>
      </c>
      <c r="O145" s="2">
        <v>-7.8002799999999999</v>
      </c>
      <c r="P145" s="2">
        <v>251</v>
      </c>
    </row>
    <row r="146" spans="1:16" ht="12.3" x14ac:dyDescent="0.4">
      <c r="A146" s="2" t="s">
        <v>188</v>
      </c>
      <c r="B146" s="7">
        <v>16</v>
      </c>
      <c r="C146" s="8"/>
      <c r="D146" s="8"/>
      <c r="E146" s="8"/>
      <c r="F146" s="8"/>
      <c r="G146" s="8"/>
      <c r="H146" s="8"/>
      <c r="I146" s="2">
        <v>106.51600000000001</v>
      </c>
      <c r="J146" s="2">
        <v>145</v>
      </c>
      <c r="K146" s="2">
        <v>108.706</v>
      </c>
      <c r="L146" s="2">
        <v>278</v>
      </c>
      <c r="M146" s="2">
        <v>108.726</v>
      </c>
      <c r="N146" s="2">
        <v>241</v>
      </c>
      <c r="O146" s="2">
        <v>-2.2101999999999999</v>
      </c>
      <c r="P146" s="2">
        <v>186</v>
      </c>
    </row>
    <row r="147" spans="1:16" ht="12.3" x14ac:dyDescent="0.4">
      <c r="A147" s="2" t="s">
        <v>359</v>
      </c>
      <c r="B147" s="8"/>
      <c r="C147" s="8"/>
      <c r="D147" s="8"/>
      <c r="E147" s="8"/>
      <c r="F147" s="8"/>
      <c r="G147" s="8"/>
      <c r="H147" s="8"/>
      <c r="I147" s="2">
        <v>89.8977</v>
      </c>
      <c r="J147" s="2">
        <v>347</v>
      </c>
      <c r="K147" s="2">
        <v>108.517</v>
      </c>
      <c r="L147" s="2">
        <v>275</v>
      </c>
      <c r="M147" s="2">
        <v>110.39</v>
      </c>
      <c r="N147" s="2">
        <v>279</v>
      </c>
      <c r="O147" s="2">
        <v>-20.492699999999999</v>
      </c>
      <c r="P147" s="2">
        <v>340</v>
      </c>
    </row>
    <row r="148" spans="1:16" ht="12.3" x14ac:dyDescent="0.4">
      <c r="A148" s="2" t="s">
        <v>117</v>
      </c>
      <c r="B148" s="8"/>
      <c r="C148" s="8"/>
      <c r="D148" s="8"/>
      <c r="E148" s="8"/>
      <c r="F148" s="8"/>
      <c r="G148" s="8"/>
      <c r="H148" s="8"/>
      <c r="I148" s="2">
        <v>113.494</v>
      </c>
      <c r="J148" s="2">
        <v>51</v>
      </c>
      <c r="K148" s="2">
        <v>98.648799999999994</v>
      </c>
      <c r="L148" s="2">
        <v>44</v>
      </c>
      <c r="M148" s="2">
        <v>102.122</v>
      </c>
      <c r="N148" s="2">
        <v>111</v>
      </c>
      <c r="O148" s="2">
        <v>11.372199999999999</v>
      </c>
      <c r="P148" s="2">
        <v>66</v>
      </c>
    </row>
    <row r="149" spans="1:16" ht="12.3" x14ac:dyDescent="0.4">
      <c r="A149" s="2" t="s">
        <v>193</v>
      </c>
      <c r="B149" s="7">
        <v>16</v>
      </c>
      <c r="C149" s="8"/>
      <c r="D149" s="8"/>
      <c r="E149" s="8"/>
      <c r="F149" s="8"/>
      <c r="G149" s="8"/>
      <c r="H149" s="8"/>
      <c r="I149" s="2">
        <v>101.107</v>
      </c>
      <c r="J149" s="2">
        <v>247</v>
      </c>
      <c r="K149" s="2">
        <v>104.059</v>
      </c>
      <c r="L149" s="2">
        <v>181</v>
      </c>
      <c r="M149" s="2">
        <v>106.60899999999999</v>
      </c>
      <c r="N149" s="2">
        <v>195</v>
      </c>
      <c r="O149" s="2">
        <v>-5.5023400000000002</v>
      </c>
      <c r="P149" s="2">
        <v>223</v>
      </c>
    </row>
    <row r="150" spans="1:16" ht="12.3" x14ac:dyDescent="0.4">
      <c r="A150" s="2" t="s">
        <v>94</v>
      </c>
      <c r="B150" s="7">
        <v>15</v>
      </c>
      <c r="C150" s="8"/>
      <c r="D150" s="8"/>
      <c r="E150" s="8"/>
      <c r="F150" s="8"/>
      <c r="G150" s="8"/>
      <c r="H150" s="8"/>
      <c r="I150" s="2">
        <v>106.931</v>
      </c>
      <c r="J150" s="2">
        <v>140</v>
      </c>
      <c r="K150" s="2">
        <v>103.43300000000001</v>
      </c>
      <c r="L150" s="2">
        <v>163</v>
      </c>
      <c r="M150" s="2">
        <v>105.723</v>
      </c>
      <c r="N150" s="2">
        <v>179</v>
      </c>
      <c r="O150" s="2">
        <v>1.2071700000000001</v>
      </c>
      <c r="P150" s="2">
        <v>155</v>
      </c>
    </row>
    <row r="151" spans="1:16" ht="12.3" x14ac:dyDescent="0.4">
      <c r="A151" s="2" t="s">
        <v>86</v>
      </c>
      <c r="B151" s="8"/>
      <c r="C151" s="8"/>
      <c r="D151" s="8"/>
      <c r="E151" s="8"/>
      <c r="F151" s="8"/>
      <c r="G151" s="8"/>
      <c r="H151" s="8"/>
      <c r="I151" s="2">
        <v>113.149</v>
      </c>
      <c r="J151" s="2">
        <v>55</v>
      </c>
      <c r="K151" s="2">
        <v>99.795400000000001</v>
      </c>
      <c r="L151" s="2">
        <v>61</v>
      </c>
      <c r="M151" s="2">
        <v>96.556600000000003</v>
      </c>
      <c r="N151" s="2">
        <v>27</v>
      </c>
      <c r="O151" s="2">
        <v>16.592099999999999</v>
      </c>
      <c r="P151" s="2">
        <v>33</v>
      </c>
    </row>
    <row r="152" spans="1:16" ht="12.3" x14ac:dyDescent="0.4">
      <c r="A152" s="2" t="s">
        <v>150</v>
      </c>
      <c r="B152" s="7">
        <v>15</v>
      </c>
      <c r="C152" s="8"/>
      <c r="D152" s="8"/>
      <c r="E152" s="8"/>
      <c r="F152" s="8"/>
      <c r="G152" s="8"/>
      <c r="H152" s="8"/>
      <c r="I152" s="2">
        <v>111.331</v>
      </c>
      <c r="J152" s="2">
        <v>68</v>
      </c>
      <c r="K152" s="2">
        <v>93.929299999999998</v>
      </c>
      <c r="L152" s="2">
        <v>6</v>
      </c>
      <c r="M152" s="2">
        <v>96.191100000000006</v>
      </c>
      <c r="N152" s="2">
        <v>24</v>
      </c>
      <c r="O152" s="2">
        <v>15.1402</v>
      </c>
      <c r="P152" s="2">
        <v>41</v>
      </c>
    </row>
    <row r="153" spans="1:16" ht="12.3" x14ac:dyDescent="0.4">
      <c r="A153" s="2" t="s">
        <v>291</v>
      </c>
      <c r="B153" s="8"/>
      <c r="C153" s="8"/>
      <c r="D153" s="8"/>
      <c r="E153" s="8"/>
      <c r="F153" s="8"/>
      <c r="G153" s="8"/>
      <c r="H153" s="8"/>
      <c r="I153" s="2">
        <v>107.878</v>
      </c>
      <c r="J153" s="2">
        <v>125</v>
      </c>
      <c r="K153" s="2">
        <v>112.917</v>
      </c>
      <c r="L153" s="2">
        <v>333</v>
      </c>
      <c r="M153" s="2">
        <v>113.35599999999999</v>
      </c>
      <c r="N153" s="2">
        <v>319</v>
      </c>
      <c r="O153" s="2">
        <v>-5.4784899999999999</v>
      </c>
      <c r="P153" s="2">
        <v>222</v>
      </c>
    </row>
    <row r="154" spans="1:16" ht="12.3" x14ac:dyDescent="0.4">
      <c r="A154" s="2" t="s">
        <v>340</v>
      </c>
      <c r="B154" s="8"/>
      <c r="C154" s="8"/>
      <c r="D154" s="8"/>
      <c r="E154" s="8"/>
      <c r="F154" s="8"/>
      <c r="G154" s="8"/>
      <c r="H154" s="8"/>
      <c r="I154" s="2">
        <v>96.4726</v>
      </c>
      <c r="J154" s="2">
        <v>319</v>
      </c>
      <c r="K154" s="2">
        <v>108.15600000000001</v>
      </c>
      <c r="L154" s="2">
        <v>270</v>
      </c>
      <c r="M154" s="2">
        <v>111.251</v>
      </c>
      <c r="N154" s="2">
        <v>297</v>
      </c>
      <c r="O154" s="2">
        <v>-14.778700000000001</v>
      </c>
      <c r="P154" s="2">
        <v>324</v>
      </c>
    </row>
    <row r="155" spans="1:16" ht="12.3" x14ac:dyDescent="0.4">
      <c r="A155" s="2" t="s">
        <v>85</v>
      </c>
      <c r="B155" s="8"/>
      <c r="C155" s="8"/>
      <c r="D155" s="8"/>
      <c r="E155" s="8"/>
      <c r="F155" s="8"/>
      <c r="G155" s="8"/>
      <c r="H155" s="8"/>
      <c r="I155" s="2">
        <v>115.619</v>
      </c>
      <c r="J155" s="2">
        <v>33</v>
      </c>
      <c r="K155" s="2">
        <v>106.572</v>
      </c>
      <c r="L155" s="2">
        <v>243</v>
      </c>
      <c r="M155" s="2">
        <v>103.154</v>
      </c>
      <c r="N155" s="2">
        <v>128</v>
      </c>
      <c r="O155" s="2">
        <v>12.465400000000001</v>
      </c>
      <c r="P155" s="2">
        <v>61</v>
      </c>
    </row>
    <row r="156" spans="1:16" ht="12.3" x14ac:dyDescent="0.4">
      <c r="A156" s="2" t="s">
        <v>309</v>
      </c>
      <c r="B156" s="8"/>
      <c r="C156" s="8"/>
      <c r="D156" s="8"/>
      <c r="E156" s="8"/>
      <c r="F156" s="8"/>
      <c r="G156" s="8"/>
      <c r="H156" s="8"/>
      <c r="I156" s="2">
        <v>91.120599999999996</v>
      </c>
      <c r="J156" s="2">
        <v>342</v>
      </c>
      <c r="K156" s="2">
        <v>106.666</v>
      </c>
      <c r="L156" s="2">
        <v>245</v>
      </c>
      <c r="M156" s="2">
        <v>108.777</v>
      </c>
      <c r="N156" s="2">
        <v>246</v>
      </c>
      <c r="O156" s="2">
        <v>-17.656700000000001</v>
      </c>
      <c r="P156" s="2">
        <v>333</v>
      </c>
    </row>
    <row r="157" spans="1:16" ht="12.3" x14ac:dyDescent="0.4">
      <c r="A157" s="2" t="s">
        <v>139</v>
      </c>
      <c r="B157" s="8"/>
      <c r="C157" s="8"/>
      <c r="D157" s="8"/>
      <c r="E157" s="8"/>
      <c r="F157" s="8"/>
      <c r="G157" s="8"/>
      <c r="H157" s="8"/>
      <c r="I157" s="2">
        <v>99.652699999999996</v>
      </c>
      <c r="J157" s="2">
        <v>266</v>
      </c>
      <c r="K157" s="2">
        <v>102.14400000000001</v>
      </c>
      <c r="L157" s="2">
        <v>125</v>
      </c>
      <c r="M157" s="2">
        <v>104.492</v>
      </c>
      <c r="N157" s="2">
        <v>154</v>
      </c>
      <c r="O157" s="2">
        <v>-4.8393800000000002</v>
      </c>
      <c r="P157" s="2">
        <v>216</v>
      </c>
    </row>
    <row r="158" spans="1:16" ht="12.3" x14ac:dyDescent="0.4">
      <c r="A158" s="2" t="s">
        <v>143</v>
      </c>
      <c r="B158" s="8"/>
      <c r="C158" s="8"/>
      <c r="D158" s="8"/>
      <c r="E158" s="8"/>
      <c r="F158" s="8"/>
      <c r="G158" s="8"/>
      <c r="H158" s="8"/>
      <c r="I158" s="2">
        <v>98.854399999999998</v>
      </c>
      <c r="J158" s="2">
        <v>287</v>
      </c>
      <c r="K158" s="2">
        <v>112.04600000000001</v>
      </c>
      <c r="L158" s="2">
        <v>327</v>
      </c>
      <c r="M158" s="2">
        <v>113.205</v>
      </c>
      <c r="N158" s="2">
        <v>317</v>
      </c>
      <c r="O158" s="2">
        <v>-14.350199999999999</v>
      </c>
      <c r="P158" s="2">
        <v>319</v>
      </c>
    </row>
    <row r="159" spans="1:16" ht="12.3" x14ac:dyDescent="0.4">
      <c r="A159" s="2" t="s">
        <v>39</v>
      </c>
      <c r="B159" s="8"/>
      <c r="C159" s="8"/>
      <c r="D159" s="8"/>
      <c r="E159" s="8"/>
      <c r="F159" s="8"/>
      <c r="G159" s="8"/>
      <c r="H159" s="8"/>
      <c r="I159" s="2">
        <v>119.32599999999999</v>
      </c>
      <c r="J159" s="2">
        <v>13</v>
      </c>
      <c r="K159" s="2">
        <v>110.27200000000001</v>
      </c>
      <c r="L159" s="2">
        <v>303</v>
      </c>
      <c r="M159" s="2">
        <v>105.58499999999999</v>
      </c>
      <c r="N159" s="2">
        <v>176</v>
      </c>
      <c r="O159" s="2">
        <v>13.740600000000001</v>
      </c>
      <c r="P159" s="2">
        <v>53</v>
      </c>
    </row>
    <row r="160" spans="1:16" ht="12.3" x14ac:dyDescent="0.4">
      <c r="A160" s="2" t="s">
        <v>197</v>
      </c>
      <c r="B160" s="8"/>
      <c r="C160" s="8"/>
      <c r="D160" s="8"/>
      <c r="E160" s="8"/>
      <c r="F160" s="8"/>
      <c r="G160" s="8"/>
      <c r="H160" s="8"/>
      <c r="I160" s="2">
        <v>109.328</v>
      </c>
      <c r="J160" s="2">
        <v>96</v>
      </c>
      <c r="K160" s="2">
        <v>102.91500000000001</v>
      </c>
      <c r="L160" s="2">
        <v>146</v>
      </c>
      <c r="M160" s="2">
        <v>103.944</v>
      </c>
      <c r="N160" s="2">
        <v>144</v>
      </c>
      <c r="O160" s="2">
        <v>5.3840199999999996</v>
      </c>
      <c r="P160" s="2">
        <v>114</v>
      </c>
    </row>
    <row r="161" spans="1:16" ht="12.3" x14ac:dyDescent="0.4">
      <c r="A161" s="2" t="s">
        <v>36</v>
      </c>
      <c r="B161" s="8"/>
      <c r="C161" s="8"/>
      <c r="D161" s="8"/>
      <c r="E161" s="8"/>
      <c r="F161" s="8"/>
      <c r="G161" s="8"/>
      <c r="H161" s="8"/>
      <c r="I161" s="2">
        <v>114.10299999999999</v>
      </c>
      <c r="J161" s="2">
        <v>44</v>
      </c>
      <c r="K161" s="2">
        <v>100.82899999999999</v>
      </c>
      <c r="L161" s="2">
        <v>87</v>
      </c>
      <c r="M161" s="2">
        <v>99.438900000000004</v>
      </c>
      <c r="N161" s="2">
        <v>69</v>
      </c>
      <c r="O161" s="2">
        <v>14.664099999999999</v>
      </c>
      <c r="P161" s="2">
        <v>46</v>
      </c>
    </row>
    <row r="162" spans="1:16" ht="12.3" x14ac:dyDescent="0.4">
      <c r="A162" s="2" t="s">
        <v>321</v>
      </c>
      <c r="B162" s="8"/>
      <c r="C162" s="8"/>
      <c r="D162" s="8"/>
      <c r="E162" s="8"/>
      <c r="F162" s="8"/>
      <c r="G162" s="8"/>
      <c r="H162" s="8"/>
      <c r="I162" s="2">
        <v>91.056799999999996</v>
      </c>
      <c r="J162" s="2">
        <v>343</v>
      </c>
      <c r="K162" s="2">
        <v>116.29300000000001</v>
      </c>
      <c r="L162" s="2">
        <v>346</v>
      </c>
      <c r="M162" s="2">
        <v>118.021</v>
      </c>
      <c r="N162" s="2">
        <v>343</v>
      </c>
      <c r="O162" s="2">
        <v>-26.964600000000001</v>
      </c>
      <c r="P162" s="2">
        <v>349</v>
      </c>
    </row>
    <row r="163" spans="1:16" ht="12.3" x14ac:dyDescent="0.4">
      <c r="A163" s="2" t="s">
        <v>155</v>
      </c>
      <c r="B163" s="8"/>
      <c r="C163" s="8"/>
      <c r="D163" s="8"/>
      <c r="E163" s="8"/>
      <c r="F163" s="8"/>
      <c r="G163" s="8"/>
      <c r="H163" s="8"/>
      <c r="I163" s="2">
        <v>106.751</v>
      </c>
      <c r="J163" s="2">
        <v>142</v>
      </c>
      <c r="K163" s="2">
        <v>108.795</v>
      </c>
      <c r="L163" s="2">
        <v>279</v>
      </c>
      <c r="M163" s="2">
        <v>110.77800000000001</v>
      </c>
      <c r="N163" s="2">
        <v>285</v>
      </c>
      <c r="O163" s="2">
        <v>-4.0273099999999999</v>
      </c>
      <c r="P163" s="2">
        <v>207</v>
      </c>
    </row>
    <row r="164" spans="1:16" ht="12.3" x14ac:dyDescent="0.4">
      <c r="A164" s="2" t="s">
        <v>107</v>
      </c>
      <c r="B164" s="8"/>
      <c r="C164" s="8"/>
      <c r="D164" s="8"/>
      <c r="E164" s="8"/>
      <c r="F164" s="8"/>
      <c r="G164" s="8"/>
      <c r="H164" s="8"/>
      <c r="I164" s="2">
        <v>100.821</v>
      </c>
      <c r="J164" s="2">
        <v>251</v>
      </c>
      <c r="K164" s="2">
        <v>108.494</v>
      </c>
      <c r="L164" s="2">
        <v>274</v>
      </c>
      <c r="M164" s="2">
        <v>112.39100000000001</v>
      </c>
      <c r="N164" s="2">
        <v>310</v>
      </c>
      <c r="O164" s="2">
        <v>-11.5693</v>
      </c>
      <c r="P164" s="2">
        <v>291</v>
      </c>
    </row>
    <row r="165" spans="1:16" ht="12.3" x14ac:dyDescent="0.4">
      <c r="A165" s="2" t="s">
        <v>71</v>
      </c>
      <c r="B165" s="8"/>
      <c r="C165" s="8"/>
      <c r="D165" s="8"/>
      <c r="E165" s="8"/>
      <c r="F165" s="8"/>
      <c r="G165" s="8"/>
      <c r="H165" s="8"/>
      <c r="I165" s="2">
        <v>107.91200000000001</v>
      </c>
      <c r="J165" s="2">
        <v>124</v>
      </c>
      <c r="K165" s="2">
        <v>105.843</v>
      </c>
      <c r="L165" s="2">
        <v>229</v>
      </c>
      <c r="M165" s="2">
        <v>106.96</v>
      </c>
      <c r="N165" s="2">
        <v>202</v>
      </c>
      <c r="O165" s="2">
        <v>0.95211400000000002</v>
      </c>
      <c r="P165" s="2">
        <v>161</v>
      </c>
    </row>
    <row r="166" spans="1:16" ht="12.3" x14ac:dyDescent="0.4">
      <c r="A166" s="2" t="s">
        <v>318</v>
      </c>
      <c r="B166" s="8"/>
      <c r="C166" s="8"/>
      <c r="D166" s="8"/>
      <c r="E166" s="8"/>
      <c r="F166" s="8"/>
      <c r="G166" s="8"/>
      <c r="H166" s="8"/>
      <c r="I166" s="2">
        <v>112.054</v>
      </c>
      <c r="J166" s="2">
        <v>62</v>
      </c>
      <c r="K166" s="2">
        <v>106.607</v>
      </c>
      <c r="L166" s="2">
        <v>244</v>
      </c>
      <c r="M166" s="2">
        <v>110.19499999999999</v>
      </c>
      <c r="N166" s="2">
        <v>272</v>
      </c>
      <c r="O166" s="2">
        <v>1.8591800000000001</v>
      </c>
      <c r="P166" s="2">
        <v>148</v>
      </c>
    </row>
    <row r="167" spans="1:16" ht="12.3" x14ac:dyDescent="0.4">
      <c r="A167" s="2" t="s">
        <v>60</v>
      </c>
      <c r="B167" s="8"/>
      <c r="C167" s="8"/>
      <c r="D167" s="8"/>
      <c r="E167" s="8"/>
      <c r="F167" s="8"/>
      <c r="G167" s="8"/>
      <c r="H167" s="8"/>
      <c r="I167" s="2">
        <v>113.309</v>
      </c>
      <c r="J167" s="2">
        <v>52</v>
      </c>
      <c r="K167" s="2">
        <v>99.115200000000002</v>
      </c>
      <c r="L167" s="2">
        <v>50</v>
      </c>
      <c r="M167" s="2">
        <v>97.598799999999997</v>
      </c>
      <c r="N167" s="2">
        <v>45</v>
      </c>
      <c r="O167" s="2">
        <v>15.7103</v>
      </c>
      <c r="P167" s="2">
        <v>36</v>
      </c>
    </row>
    <row r="168" spans="1:16" ht="12.3" x14ac:dyDescent="0.4">
      <c r="A168" s="2" t="s">
        <v>167</v>
      </c>
      <c r="B168" s="8"/>
      <c r="C168" s="8"/>
      <c r="D168" s="8"/>
      <c r="E168" s="8"/>
      <c r="F168" s="8"/>
      <c r="G168" s="8"/>
      <c r="H168" s="8"/>
      <c r="I168" s="2">
        <v>99.413899999999998</v>
      </c>
      <c r="J168" s="2">
        <v>273</v>
      </c>
      <c r="K168" s="2">
        <v>101.313</v>
      </c>
      <c r="L168" s="2">
        <v>101</v>
      </c>
      <c r="M168" s="2">
        <v>102.01</v>
      </c>
      <c r="N168" s="2">
        <v>109</v>
      </c>
      <c r="O168" s="2">
        <v>-2.5957300000000001</v>
      </c>
      <c r="P168" s="2">
        <v>193</v>
      </c>
    </row>
    <row r="169" spans="1:16" ht="12.3" x14ac:dyDescent="0.4">
      <c r="A169" s="2" t="s">
        <v>154</v>
      </c>
      <c r="B169" s="8"/>
      <c r="C169" s="8"/>
      <c r="D169" s="8"/>
      <c r="E169" s="8"/>
      <c r="F169" s="8"/>
      <c r="G169" s="8"/>
      <c r="H169" s="8"/>
      <c r="I169" s="2">
        <v>115.9</v>
      </c>
      <c r="J169" s="2">
        <v>29</v>
      </c>
      <c r="K169" s="2">
        <v>96.455200000000005</v>
      </c>
      <c r="L169" s="2">
        <v>17</v>
      </c>
      <c r="M169" s="2">
        <v>92.709500000000006</v>
      </c>
      <c r="N169" s="2">
        <v>5</v>
      </c>
      <c r="O169" s="2">
        <v>23.190899999999999</v>
      </c>
      <c r="P169" s="2">
        <v>10</v>
      </c>
    </row>
    <row r="170" spans="1:16" ht="12.3" x14ac:dyDescent="0.4">
      <c r="A170" s="2" t="s">
        <v>58</v>
      </c>
      <c r="B170" s="8"/>
      <c r="C170" s="8"/>
      <c r="D170" s="8"/>
      <c r="E170" s="8"/>
      <c r="F170" s="8"/>
      <c r="G170" s="8"/>
      <c r="H170" s="8"/>
      <c r="I170" s="2">
        <v>119.983</v>
      </c>
      <c r="J170" s="2">
        <v>9</v>
      </c>
      <c r="K170" s="2">
        <v>94.887200000000007</v>
      </c>
      <c r="L170" s="2">
        <v>12</v>
      </c>
      <c r="M170" s="2">
        <v>93.636399999999995</v>
      </c>
      <c r="N170" s="2">
        <v>9</v>
      </c>
      <c r="O170" s="2">
        <v>26.3461</v>
      </c>
      <c r="P170" s="2">
        <v>6</v>
      </c>
    </row>
    <row r="171" spans="1:16" ht="12.3" x14ac:dyDescent="0.4">
      <c r="A171" s="2" t="s">
        <v>228</v>
      </c>
      <c r="B171" s="8"/>
      <c r="C171" s="8"/>
      <c r="D171" s="8"/>
      <c r="E171" s="8"/>
      <c r="F171" s="8"/>
      <c r="G171" s="8"/>
      <c r="H171" s="8"/>
      <c r="I171" s="2">
        <v>110.444</v>
      </c>
      <c r="J171" s="2">
        <v>79</v>
      </c>
      <c r="K171" s="2">
        <v>97.158000000000001</v>
      </c>
      <c r="L171" s="2">
        <v>22</v>
      </c>
      <c r="M171" s="2">
        <v>96.665199999999999</v>
      </c>
      <c r="N171" s="2">
        <v>31</v>
      </c>
      <c r="O171" s="2">
        <v>13.7784</v>
      </c>
      <c r="P171" s="2">
        <v>52</v>
      </c>
    </row>
    <row r="172" spans="1:16" ht="12.3" x14ac:dyDescent="0.4">
      <c r="A172" s="2" t="s">
        <v>122</v>
      </c>
      <c r="B172" s="8"/>
      <c r="C172" s="8"/>
      <c r="D172" s="8"/>
      <c r="E172" s="8"/>
      <c r="F172" s="8"/>
      <c r="G172" s="8"/>
      <c r="H172" s="8"/>
      <c r="I172" s="2">
        <v>100.16500000000001</v>
      </c>
      <c r="J172" s="2">
        <v>256</v>
      </c>
      <c r="K172" s="2">
        <v>100.214</v>
      </c>
      <c r="L172" s="2">
        <v>72</v>
      </c>
      <c r="M172" s="2">
        <v>103.911</v>
      </c>
      <c r="N172" s="2">
        <v>141</v>
      </c>
      <c r="O172" s="2">
        <v>-3.7461000000000002</v>
      </c>
      <c r="P172" s="2">
        <v>205</v>
      </c>
    </row>
    <row r="173" spans="1:16" ht="12.3" x14ac:dyDescent="0.4">
      <c r="A173" s="2" t="s">
        <v>75</v>
      </c>
      <c r="B173" s="8"/>
      <c r="C173" s="8"/>
      <c r="D173" s="8"/>
      <c r="E173" s="8"/>
      <c r="F173" s="8"/>
      <c r="G173" s="8"/>
      <c r="H173" s="8"/>
      <c r="I173" s="2">
        <v>108.973</v>
      </c>
      <c r="J173" s="2">
        <v>103</v>
      </c>
      <c r="K173" s="2">
        <v>105.983</v>
      </c>
      <c r="L173" s="2">
        <v>233</v>
      </c>
      <c r="M173" s="2">
        <v>103.976</v>
      </c>
      <c r="N173" s="2">
        <v>145</v>
      </c>
      <c r="O173" s="2">
        <v>4.9967699999999997</v>
      </c>
      <c r="P173" s="2">
        <v>118</v>
      </c>
    </row>
    <row r="174" spans="1:16" ht="12.3" x14ac:dyDescent="0.4">
      <c r="A174" s="2" t="s">
        <v>51</v>
      </c>
      <c r="B174" s="7">
        <v>16</v>
      </c>
      <c r="C174" s="8"/>
      <c r="D174" s="8"/>
      <c r="E174" s="8"/>
      <c r="F174" s="8"/>
      <c r="G174" s="8"/>
      <c r="H174" s="8"/>
      <c r="I174" s="2">
        <v>111.48699999999999</v>
      </c>
      <c r="J174" s="2">
        <v>67</v>
      </c>
      <c r="K174" s="2">
        <v>108.95399999999999</v>
      </c>
      <c r="L174" s="2">
        <v>282</v>
      </c>
      <c r="M174" s="2">
        <v>104.959</v>
      </c>
      <c r="N174" s="2">
        <v>163</v>
      </c>
      <c r="O174" s="2">
        <v>6.5274099999999997</v>
      </c>
      <c r="P174" s="2">
        <v>105</v>
      </c>
    </row>
    <row r="175" spans="1:16" ht="12.3" x14ac:dyDescent="0.4">
      <c r="A175" s="2" t="s">
        <v>48</v>
      </c>
      <c r="B175" s="8"/>
      <c r="C175" s="8"/>
      <c r="D175" s="8"/>
      <c r="E175" s="8"/>
      <c r="F175" s="8"/>
      <c r="G175" s="8"/>
      <c r="H175" s="8"/>
      <c r="I175" s="2">
        <v>109.611</v>
      </c>
      <c r="J175" s="2">
        <v>91</v>
      </c>
      <c r="K175" s="2">
        <v>98.681600000000003</v>
      </c>
      <c r="L175" s="2">
        <v>45</v>
      </c>
      <c r="M175" s="2">
        <v>97.255300000000005</v>
      </c>
      <c r="N175" s="2">
        <v>37</v>
      </c>
      <c r="O175" s="2">
        <v>12.3553</v>
      </c>
      <c r="P175" s="2">
        <v>62</v>
      </c>
    </row>
    <row r="176" spans="1:16" ht="12.3" x14ac:dyDescent="0.4">
      <c r="A176" s="2" t="s">
        <v>299</v>
      </c>
      <c r="B176" s="8"/>
      <c r="C176" s="8"/>
      <c r="D176" s="8"/>
      <c r="E176" s="8"/>
      <c r="F176" s="8"/>
      <c r="G176" s="8"/>
      <c r="H176" s="8"/>
      <c r="I176" s="2">
        <v>90.470500000000001</v>
      </c>
      <c r="J176" s="2">
        <v>345</v>
      </c>
      <c r="K176" s="2">
        <v>110.337</v>
      </c>
      <c r="L176" s="2">
        <v>306</v>
      </c>
      <c r="M176" s="2">
        <v>114.873</v>
      </c>
      <c r="N176" s="2">
        <v>329</v>
      </c>
      <c r="O176" s="2">
        <v>-24.402100000000001</v>
      </c>
      <c r="P176" s="2">
        <v>348</v>
      </c>
    </row>
    <row r="177" spans="1:16" ht="12.3" x14ac:dyDescent="0.4">
      <c r="A177" s="2" t="s">
        <v>73</v>
      </c>
      <c r="B177" s="8"/>
      <c r="C177" s="8"/>
      <c r="D177" s="8"/>
      <c r="E177" s="8"/>
      <c r="F177" s="8"/>
      <c r="G177" s="8"/>
      <c r="H177" s="8"/>
      <c r="I177" s="2">
        <v>113.27500000000001</v>
      </c>
      <c r="J177" s="2">
        <v>53</v>
      </c>
      <c r="K177" s="2">
        <v>100.751</v>
      </c>
      <c r="L177" s="2">
        <v>84</v>
      </c>
      <c r="M177" s="2">
        <v>97.802999999999997</v>
      </c>
      <c r="N177" s="2">
        <v>47</v>
      </c>
      <c r="O177" s="2">
        <v>15.4717</v>
      </c>
      <c r="P177" s="2">
        <v>38</v>
      </c>
    </row>
    <row r="178" spans="1:16" ht="12.3" x14ac:dyDescent="0.4">
      <c r="A178" s="2" t="s">
        <v>22</v>
      </c>
      <c r="B178" s="8"/>
      <c r="C178" s="8"/>
      <c r="D178" s="8"/>
      <c r="E178" s="8"/>
      <c r="F178" s="8"/>
      <c r="G178" s="8"/>
      <c r="H178" s="8"/>
      <c r="I178" s="2">
        <v>108.51600000000001</v>
      </c>
      <c r="J178" s="2">
        <v>113</v>
      </c>
      <c r="K178" s="2">
        <v>101.468</v>
      </c>
      <c r="L178" s="2">
        <v>107</v>
      </c>
      <c r="M178" s="2">
        <v>103.926</v>
      </c>
      <c r="N178" s="2">
        <v>142</v>
      </c>
      <c r="O178" s="2">
        <v>4.5899099999999997</v>
      </c>
      <c r="P178" s="2">
        <v>122</v>
      </c>
    </row>
    <row r="179" spans="1:16" ht="12.3" x14ac:dyDescent="0.4">
      <c r="A179" s="2" t="s">
        <v>251</v>
      </c>
      <c r="B179" s="8"/>
      <c r="C179" s="8"/>
      <c r="D179" s="8"/>
      <c r="E179" s="8"/>
      <c r="F179" s="8"/>
      <c r="G179" s="8"/>
      <c r="H179" s="8"/>
      <c r="I179" s="2">
        <v>103.92700000000001</v>
      </c>
      <c r="J179" s="2">
        <v>194</v>
      </c>
      <c r="K179" s="2">
        <v>104.221</v>
      </c>
      <c r="L179" s="2">
        <v>188</v>
      </c>
      <c r="M179" s="2">
        <v>105</v>
      </c>
      <c r="N179" s="2">
        <v>164</v>
      </c>
      <c r="O179" s="2">
        <v>-1.07324</v>
      </c>
      <c r="P179" s="2">
        <v>181</v>
      </c>
    </row>
    <row r="180" spans="1:16" ht="12.3" x14ac:dyDescent="0.4">
      <c r="A180" s="2" t="s">
        <v>234</v>
      </c>
      <c r="B180" s="8"/>
      <c r="C180" s="8"/>
      <c r="D180" s="8"/>
      <c r="E180" s="8"/>
      <c r="F180" s="8"/>
      <c r="G180" s="8"/>
      <c r="H180" s="8"/>
      <c r="I180" s="2">
        <v>110.14400000000001</v>
      </c>
      <c r="J180" s="2">
        <v>82</v>
      </c>
      <c r="K180" s="2">
        <v>96.839600000000004</v>
      </c>
      <c r="L180" s="2">
        <v>20</v>
      </c>
      <c r="M180" s="2">
        <v>99.313199999999995</v>
      </c>
      <c r="N180" s="2">
        <v>65</v>
      </c>
      <c r="O180" s="2">
        <v>10.830399999999999</v>
      </c>
      <c r="P180" s="2">
        <v>71</v>
      </c>
    </row>
    <row r="181" spans="1:16" ht="12.3" x14ac:dyDescent="0.4">
      <c r="A181" s="2" t="s">
        <v>163</v>
      </c>
      <c r="B181" s="8"/>
      <c r="C181" s="8"/>
      <c r="D181" s="8"/>
      <c r="E181" s="8"/>
      <c r="F181" s="8"/>
      <c r="G181" s="8"/>
      <c r="H181" s="8"/>
      <c r="I181" s="2">
        <v>102.464</v>
      </c>
      <c r="J181" s="2">
        <v>223</v>
      </c>
      <c r="K181" s="2">
        <v>109.926</v>
      </c>
      <c r="L181" s="2">
        <v>295</v>
      </c>
      <c r="M181" s="2">
        <v>111.59699999999999</v>
      </c>
      <c r="N181" s="2">
        <v>300</v>
      </c>
      <c r="O181" s="2">
        <v>-9.1332500000000003</v>
      </c>
      <c r="P181" s="2">
        <v>268</v>
      </c>
    </row>
    <row r="182" spans="1:16" ht="12.3" x14ac:dyDescent="0.4">
      <c r="A182" s="2" t="s">
        <v>201</v>
      </c>
      <c r="B182" s="8"/>
      <c r="C182" s="8"/>
      <c r="D182" s="8"/>
      <c r="E182" s="8"/>
      <c r="F182" s="8"/>
      <c r="G182" s="8"/>
      <c r="H182" s="8"/>
      <c r="I182" s="2">
        <v>99.302700000000002</v>
      </c>
      <c r="J182" s="2">
        <v>274</v>
      </c>
      <c r="K182" s="2">
        <v>109.661</v>
      </c>
      <c r="L182" s="2">
        <v>291</v>
      </c>
      <c r="M182" s="2">
        <v>109.384</v>
      </c>
      <c r="N182" s="2">
        <v>258</v>
      </c>
      <c r="O182" s="2">
        <v>-10.081200000000001</v>
      </c>
      <c r="P182" s="2">
        <v>276</v>
      </c>
    </row>
    <row r="183" spans="1:16" ht="12.3" x14ac:dyDescent="0.4">
      <c r="A183" s="2" t="s">
        <v>345</v>
      </c>
      <c r="B183" s="8"/>
      <c r="C183" s="8"/>
      <c r="D183" s="8"/>
      <c r="E183" s="8"/>
      <c r="F183" s="8"/>
      <c r="G183" s="8"/>
      <c r="H183" s="8"/>
      <c r="I183" s="2">
        <v>96.657300000000006</v>
      </c>
      <c r="J183" s="2">
        <v>317</v>
      </c>
      <c r="K183" s="2">
        <v>104.901</v>
      </c>
      <c r="L183" s="2">
        <v>203</v>
      </c>
      <c r="M183" s="2">
        <v>111.35899999999999</v>
      </c>
      <c r="N183" s="2">
        <v>298</v>
      </c>
      <c r="O183" s="2">
        <v>-14.702</v>
      </c>
      <c r="P183" s="2">
        <v>323</v>
      </c>
    </row>
    <row r="184" spans="1:16" ht="12.3" x14ac:dyDescent="0.4">
      <c r="A184" s="2" t="s">
        <v>349</v>
      </c>
      <c r="B184" s="8"/>
      <c r="C184" s="8"/>
      <c r="D184" s="8"/>
      <c r="E184" s="8"/>
      <c r="F184" s="8"/>
      <c r="G184" s="8"/>
      <c r="H184" s="8"/>
      <c r="I184" s="2">
        <v>104.158</v>
      </c>
      <c r="J184" s="2">
        <v>190</v>
      </c>
      <c r="K184" s="2">
        <v>106.122</v>
      </c>
      <c r="L184" s="2">
        <v>235</v>
      </c>
      <c r="M184" s="2">
        <v>110.233</v>
      </c>
      <c r="N184" s="2">
        <v>274</v>
      </c>
      <c r="O184" s="2">
        <v>-6.0746900000000004</v>
      </c>
      <c r="P184" s="2">
        <v>231</v>
      </c>
    </row>
    <row r="185" spans="1:16" ht="12.3" x14ac:dyDescent="0.4">
      <c r="A185" s="2" t="s">
        <v>181</v>
      </c>
      <c r="B185" s="8"/>
      <c r="C185" s="8"/>
      <c r="D185" s="8"/>
      <c r="E185" s="8"/>
      <c r="F185" s="8"/>
      <c r="G185" s="8"/>
      <c r="H185" s="8"/>
      <c r="I185" s="2">
        <v>113.139</v>
      </c>
      <c r="J185" s="2">
        <v>56</v>
      </c>
      <c r="K185" s="2">
        <v>97.505600000000001</v>
      </c>
      <c r="L185" s="2">
        <v>30</v>
      </c>
      <c r="M185" s="2">
        <v>100.444</v>
      </c>
      <c r="N185" s="2">
        <v>82</v>
      </c>
      <c r="O185" s="2">
        <v>12.6951</v>
      </c>
      <c r="P185" s="2">
        <v>59</v>
      </c>
    </row>
    <row r="186" spans="1:16" ht="12.3" x14ac:dyDescent="0.4">
      <c r="A186" s="2" t="s">
        <v>300</v>
      </c>
      <c r="B186" s="8"/>
      <c r="C186" s="8"/>
      <c r="D186" s="8"/>
      <c r="E186" s="8"/>
      <c r="F186" s="8"/>
      <c r="G186" s="8"/>
      <c r="H186" s="8"/>
      <c r="I186" s="2">
        <v>98.934100000000001</v>
      </c>
      <c r="J186" s="2">
        <v>285</v>
      </c>
      <c r="K186" s="2">
        <v>99.984700000000004</v>
      </c>
      <c r="L186" s="2">
        <v>68</v>
      </c>
      <c r="M186" s="2">
        <v>104.696</v>
      </c>
      <c r="N186" s="2">
        <v>158</v>
      </c>
      <c r="O186" s="2">
        <v>-5.76166</v>
      </c>
      <c r="P186" s="2">
        <v>229</v>
      </c>
    </row>
    <row r="187" spans="1:16" ht="12.3" x14ac:dyDescent="0.4">
      <c r="A187" s="2" t="s">
        <v>136</v>
      </c>
      <c r="B187" s="8"/>
      <c r="C187" s="8"/>
      <c r="D187" s="8"/>
      <c r="E187" s="8"/>
      <c r="F187" s="8"/>
      <c r="G187" s="8"/>
      <c r="H187" s="8"/>
      <c r="I187" s="2">
        <v>110.965</v>
      </c>
      <c r="J187" s="2">
        <v>75</v>
      </c>
      <c r="K187" s="2">
        <v>100.122</v>
      </c>
      <c r="L187" s="2">
        <v>69</v>
      </c>
      <c r="M187" s="2">
        <v>97.534999999999997</v>
      </c>
      <c r="N187" s="2">
        <v>43</v>
      </c>
      <c r="O187" s="2">
        <v>13.4297</v>
      </c>
      <c r="P187" s="2">
        <v>57</v>
      </c>
    </row>
    <row r="188" spans="1:16" ht="12.3" x14ac:dyDescent="0.4">
      <c r="A188" s="2" t="s">
        <v>379</v>
      </c>
      <c r="B188" s="8"/>
      <c r="C188" s="8"/>
      <c r="D188" s="8"/>
      <c r="E188" s="8"/>
      <c r="F188" s="8"/>
      <c r="G188" s="8"/>
      <c r="H188" s="8"/>
      <c r="I188" s="2">
        <v>104.607</v>
      </c>
      <c r="J188" s="2">
        <v>186</v>
      </c>
      <c r="K188" s="2">
        <v>115.955</v>
      </c>
      <c r="L188" s="2">
        <v>345</v>
      </c>
      <c r="M188" s="2">
        <v>114.86499999999999</v>
      </c>
      <c r="N188" s="2">
        <v>328</v>
      </c>
      <c r="O188" s="2">
        <v>-10.2575</v>
      </c>
      <c r="P188" s="2">
        <v>277</v>
      </c>
    </row>
    <row r="189" spans="1:16" ht="12.3" x14ac:dyDescent="0.4">
      <c r="A189" s="2" t="s">
        <v>145</v>
      </c>
      <c r="B189" s="8"/>
      <c r="C189" s="8"/>
      <c r="D189" s="8"/>
      <c r="E189" s="8"/>
      <c r="F189" s="8"/>
      <c r="G189" s="8"/>
      <c r="H189" s="8"/>
      <c r="I189" s="2">
        <v>119.901</v>
      </c>
      <c r="J189" s="2">
        <v>10</v>
      </c>
      <c r="K189" s="2">
        <v>101.735</v>
      </c>
      <c r="L189" s="2">
        <v>114</v>
      </c>
      <c r="M189" s="2">
        <v>101.72</v>
      </c>
      <c r="N189" s="2">
        <v>105</v>
      </c>
      <c r="O189" s="2">
        <v>18.1814</v>
      </c>
      <c r="P189" s="2">
        <v>24</v>
      </c>
    </row>
    <row r="190" spans="1:16" ht="12.3" x14ac:dyDescent="0.4">
      <c r="A190" s="2" t="s">
        <v>310</v>
      </c>
      <c r="B190" s="8"/>
      <c r="C190" s="8"/>
      <c r="D190" s="8"/>
      <c r="E190" s="8"/>
      <c r="F190" s="8"/>
      <c r="G190" s="8"/>
      <c r="H190" s="8"/>
      <c r="I190" s="2">
        <v>98.392700000000005</v>
      </c>
      <c r="J190" s="2">
        <v>296</v>
      </c>
      <c r="K190" s="2">
        <v>105.19799999999999</v>
      </c>
      <c r="L190" s="2">
        <v>212</v>
      </c>
      <c r="M190" s="2">
        <v>108.952</v>
      </c>
      <c r="N190" s="2">
        <v>251</v>
      </c>
      <c r="O190" s="2">
        <v>-10.559200000000001</v>
      </c>
      <c r="P190" s="2">
        <v>283</v>
      </c>
    </row>
    <row r="191" spans="1:16" ht="12.3" x14ac:dyDescent="0.4">
      <c r="A191" s="2" t="s">
        <v>115</v>
      </c>
      <c r="B191" s="8"/>
      <c r="C191" s="8"/>
      <c r="D191" s="8"/>
      <c r="E191" s="8"/>
      <c r="F191" s="8"/>
      <c r="G191" s="8"/>
      <c r="H191" s="8"/>
      <c r="I191" s="2">
        <v>113.687</v>
      </c>
      <c r="J191" s="2">
        <v>49</v>
      </c>
      <c r="K191" s="2">
        <v>106.376</v>
      </c>
      <c r="L191" s="2">
        <v>242</v>
      </c>
      <c r="M191" s="2">
        <v>107.029</v>
      </c>
      <c r="N191" s="2">
        <v>208</v>
      </c>
      <c r="O191" s="2">
        <v>6.6573900000000004</v>
      </c>
      <c r="P191" s="2">
        <v>102</v>
      </c>
    </row>
    <row r="192" spans="1:16" ht="12.3" x14ac:dyDescent="0.4">
      <c r="A192" s="2" t="s">
        <v>118</v>
      </c>
      <c r="B192" s="8"/>
      <c r="C192" s="8"/>
      <c r="D192" s="8"/>
      <c r="E192" s="8"/>
      <c r="F192" s="8"/>
      <c r="G192" s="8"/>
      <c r="H192" s="8"/>
      <c r="I192" s="2">
        <v>108.45699999999999</v>
      </c>
      <c r="J192" s="2">
        <v>116</v>
      </c>
      <c r="K192" s="2">
        <v>92.530199999999994</v>
      </c>
      <c r="L192" s="2">
        <v>4</v>
      </c>
      <c r="M192" s="2">
        <v>94.900099999999995</v>
      </c>
      <c r="N192" s="2">
        <v>14</v>
      </c>
      <c r="O192" s="2">
        <v>13.5573</v>
      </c>
      <c r="P192" s="2">
        <v>55</v>
      </c>
    </row>
    <row r="193" spans="1:16" ht="12.3" x14ac:dyDescent="0.4">
      <c r="A193" s="2" t="s">
        <v>183</v>
      </c>
      <c r="B193" s="8"/>
      <c r="C193" s="8"/>
      <c r="D193" s="8"/>
      <c r="E193" s="8"/>
      <c r="F193" s="8"/>
      <c r="G193" s="8"/>
      <c r="H193" s="8"/>
      <c r="I193" s="2">
        <v>98.236900000000006</v>
      </c>
      <c r="J193" s="2">
        <v>299</v>
      </c>
      <c r="K193" s="2">
        <v>103.52800000000001</v>
      </c>
      <c r="L193" s="2">
        <v>168</v>
      </c>
      <c r="M193" s="2">
        <v>107.446</v>
      </c>
      <c r="N193" s="2">
        <v>213</v>
      </c>
      <c r="O193" s="2">
        <v>-9.2086199999999998</v>
      </c>
      <c r="P193" s="2">
        <v>270</v>
      </c>
    </row>
    <row r="194" spans="1:16" ht="12.3" x14ac:dyDescent="0.4">
      <c r="A194" s="2" t="s">
        <v>194</v>
      </c>
      <c r="B194" s="8"/>
      <c r="C194" s="8"/>
      <c r="D194" s="8"/>
      <c r="E194" s="8"/>
      <c r="F194" s="8"/>
      <c r="G194" s="8"/>
      <c r="H194" s="8"/>
      <c r="I194" s="2">
        <v>110.586</v>
      </c>
      <c r="J194" s="2">
        <v>78</v>
      </c>
      <c r="K194" s="2">
        <v>111.251</v>
      </c>
      <c r="L194" s="2">
        <v>320</v>
      </c>
      <c r="M194" s="2">
        <v>114.11199999999999</v>
      </c>
      <c r="N194" s="2">
        <v>324</v>
      </c>
      <c r="O194" s="2">
        <v>-3.5261100000000001</v>
      </c>
      <c r="P194" s="2">
        <v>199</v>
      </c>
    </row>
    <row r="195" spans="1:16" ht="12.3" x14ac:dyDescent="0.4">
      <c r="A195" s="2" t="s">
        <v>347</v>
      </c>
      <c r="B195" s="9"/>
      <c r="C195" s="8"/>
      <c r="D195" s="8"/>
      <c r="E195" s="8"/>
      <c r="F195" s="8"/>
      <c r="G195" s="8"/>
      <c r="H195" s="8"/>
      <c r="I195" s="2">
        <v>103.593</v>
      </c>
      <c r="J195" s="2">
        <v>202</v>
      </c>
      <c r="K195" s="2">
        <v>101.045</v>
      </c>
      <c r="L195" s="2">
        <v>91</v>
      </c>
      <c r="M195" s="2">
        <v>105.197</v>
      </c>
      <c r="N195" s="2">
        <v>168</v>
      </c>
      <c r="O195" s="2">
        <v>-1.6038399999999999</v>
      </c>
      <c r="P195" s="2">
        <v>183</v>
      </c>
    </row>
    <row r="196" spans="1:16" ht="12.3" x14ac:dyDescent="0.4">
      <c r="A196" s="2" t="s">
        <v>366</v>
      </c>
      <c r="B196" s="7">
        <v>16</v>
      </c>
      <c r="C196" s="8"/>
      <c r="D196" s="8"/>
      <c r="E196" s="8"/>
      <c r="F196" s="8"/>
      <c r="G196" s="8"/>
      <c r="H196" s="8"/>
      <c r="I196" s="2">
        <v>98.857299999999995</v>
      </c>
      <c r="J196" s="2">
        <v>286</v>
      </c>
      <c r="K196" s="2">
        <v>104.45</v>
      </c>
      <c r="L196" s="2">
        <v>194</v>
      </c>
      <c r="M196" s="2">
        <v>106.896</v>
      </c>
      <c r="N196" s="2">
        <v>200</v>
      </c>
      <c r="O196" s="2">
        <v>-8.0389400000000002</v>
      </c>
      <c r="P196" s="2">
        <v>254</v>
      </c>
    </row>
    <row r="197" spans="1:16" ht="12.3" x14ac:dyDescent="0.4">
      <c r="A197" s="2" t="s">
        <v>320</v>
      </c>
      <c r="B197" s="8"/>
      <c r="C197" s="8"/>
      <c r="D197" s="8"/>
      <c r="E197" s="8"/>
      <c r="F197" s="8"/>
      <c r="G197" s="8"/>
      <c r="H197" s="8"/>
      <c r="I197" s="2">
        <v>95.733900000000006</v>
      </c>
      <c r="J197" s="2">
        <v>329</v>
      </c>
      <c r="K197" s="2">
        <v>103.072</v>
      </c>
      <c r="L197" s="2">
        <v>153</v>
      </c>
      <c r="M197" s="2">
        <v>108.771</v>
      </c>
      <c r="N197" s="2">
        <v>244</v>
      </c>
      <c r="O197" s="2">
        <v>-13.036899999999999</v>
      </c>
      <c r="P197" s="2">
        <v>313</v>
      </c>
    </row>
    <row r="198" spans="1:16" ht="12.3" x14ac:dyDescent="0.4">
      <c r="A198" s="2" t="s">
        <v>168</v>
      </c>
      <c r="B198" s="8"/>
      <c r="C198" s="8"/>
      <c r="D198" s="8"/>
      <c r="E198" s="8"/>
      <c r="F198" s="8"/>
      <c r="G198" s="8"/>
      <c r="H198" s="8"/>
      <c r="I198" s="2">
        <v>121.959</v>
      </c>
      <c r="J198" s="2">
        <v>4</v>
      </c>
      <c r="K198" s="2">
        <v>102.48699999999999</v>
      </c>
      <c r="L198" s="2">
        <v>133</v>
      </c>
      <c r="M198" s="2">
        <v>96.924099999999996</v>
      </c>
      <c r="N198" s="2">
        <v>34</v>
      </c>
      <c r="O198" s="2">
        <v>25.034800000000001</v>
      </c>
      <c r="P198" s="2">
        <v>7</v>
      </c>
    </row>
    <row r="199" spans="1:16" ht="12.3" x14ac:dyDescent="0.4">
      <c r="A199" s="2" t="s">
        <v>296</v>
      </c>
      <c r="B199" s="8"/>
      <c r="C199" s="8"/>
      <c r="D199" s="8"/>
      <c r="E199" s="8"/>
      <c r="F199" s="8"/>
      <c r="G199" s="8"/>
      <c r="H199" s="8"/>
      <c r="I199" s="2">
        <v>98.773200000000003</v>
      </c>
      <c r="J199" s="2">
        <v>291</v>
      </c>
      <c r="K199" s="2">
        <v>104.607</v>
      </c>
      <c r="L199" s="2">
        <v>199</v>
      </c>
      <c r="M199" s="2">
        <v>111.246</v>
      </c>
      <c r="N199" s="2">
        <v>296</v>
      </c>
      <c r="O199" s="2">
        <v>-12.472799999999999</v>
      </c>
      <c r="P199" s="2">
        <v>304</v>
      </c>
    </row>
    <row r="200" spans="1:16" ht="12.3" x14ac:dyDescent="0.4">
      <c r="A200" s="2" t="s">
        <v>371</v>
      </c>
      <c r="B200" s="8"/>
      <c r="C200" s="8"/>
      <c r="D200" s="8"/>
      <c r="E200" s="8"/>
      <c r="F200" s="8"/>
      <c r="G200" s="8"/>
      <c r="H200" s="8"/>
      <c r="I200" s="2">
        <v>98.152500000000003</v>
      </c>
      <c r="J200" s="2">
        <v>301</v>
      </c>
      <c r="K200" s="2">
        <v>103.512</v>
      </c>
      <c r="L200" s="2">
        <v>166</v>
      </c>
      <c r="M200" s="2">
        <v>110.889</v>
      </c>
      <c r="N200" s="2">
        <v>288</v>
      </c>
      <c r="O200" s="2">
        <v>-12.736599999999999</v>
      </c>
      <c r="P200" s="2">
        <v>309</v>
      </c>
    </row>
    <row r="201" spans="1:16" ht="12.3" x14ac:dyDescent="0.4">
      <c r="A201" s="2" t="s">
        <v>55</v>
      </c>
      <c r="B201" s="8"/>
      <c r="C201" s="8"/>
      <c r="D201" s="8"/>
      <c r="E201" s="8"/>
      <c r="F201" s="8"/>
      <c r="G201" s="8"/>
      <c r="H201" s="8"/>
      <c r="I201" s="2">
        <v>116.426</v>
      </c>
      <c r="J201" s="2">
        <v>24</v>
      </c>
      <c r="K201" s="2">
        <v>103.121</v>
      </c>
      <c r="L201" s="2">
        <v>155</v>
      </c>
      <c r="M201" s="2">
        <v>101.294</v>
      </c>
      <c r="N201" s="2">
        <v>99</v>
      </c>
      <c r="O201" s="2">
        <v>15.132300000000001</v>
      </c>
      <c r="P201" s="2">
        <v>42</v>
      </c>
    </row>
    <row r="202" spans="1:16" ht="12.3" x14ac:dyDescent="0.4">
      <c r="A202" s="2" t="s">
        <v>378</v>
      </c>
      <c r="B202" s="8"/>
      <c r="C202" s="8"/>
      <c r="D202" s="8"/>
      <c r="E202" s="8"/>
      <c r="F202" s="8"/>
      <c r="G202" s="8"/>
      <c r="H202" s="8"/>
      <c r="I202" s="2">
        <v>103.429</v>
      </c>
      <c r="J202" s="2">
        <v>207</v>
      </c>
      <c r="K202" s="2">
        <v>111.045</v>
      </c>
      <c r="L202" s="2">
        <v>317</v>
      </c>
      <c r="M202" s="2">
        <v>109.586</v>
      </c>
      <c r="N202" s="2">
        <v>265</v>
      </c>
      <c r="O202" s="2">
        <v>-6.1573799999999999</v>
      </c>
      <c r="P202" s="2">
        <v>234</v>
      </c>
    </row>
    <row r="203" spans="1:16" ht="12.3" x14ac:dyDescent="0.4">
      <c r="A203" s="2" t="s">
        <v>360</v>
      </c>
      <c r="B203" s="8"/>
      <c r="C203" s="8"/>
      <c r="D203" s="8"/>
      <c r="E203" s="8"/>
      <c r="F203" s="8"/>
      <c r="G203" s="8"/>
      <c r="H203" s="8"/>
      <c r="I203" s="2">
        <v>105.605</v>
      </c>
      <c r="J203" s="2">
        <v>166</v>
      </c>
      <c r="K203" s="2">
        <v>105.744</v>
      </c>
      <c r="L203" s="2">
        <v>228</v>
      </c>
      <c r="M203" s="2">
        <v>105.63</v>
      </c>
      <c r="N203" s="2">
        <v>177</v>
      </c>
      <c r="O203" s="2">
        <v>-2.5003899999999999E-2</v>
      </c>
      <c r="P203" s="2">
        <v>169</v>
      </c>
    </row>
    <row r="204" spans="1:16" ht="12.3" x14ac:dyDescent="0.4">
      <c r="A204" s="2" t="s">
        <v>363</v>
      </c>
      <c r="B204" s="8"/>
      <c r="C204" s="8"/>
      <c r="D204" s="8"/>
      <c r="E204" s="8"/>
      <c r="F204" s="8"/>
      <c r="G204" s="8"/>
      <c r="H204" s="8"/>
      <c r="I204" s="2">
        <v>107.929</v>
      </c>
      <c r="J204" s="2">
        <v>122</v>
      </c>
      <c r="K204" s="2">
        <v>117.875</v>
      </c>
      <c r="L204" s="2">
        <v>348</v>
      </c>
      <c r="M204" s="2">
        <v>118.63800000000001</v>
      </c>
      <c r="N204" s="2">
        <v>345</v>
      </c>
      <c r="O204" s="2">
        <v>-10.708500000000001</v>
      </c>
      <c r="P204" s="2">
        <v>284</v>
      </c>
    </row>
    <row r="205" spans="1:16" ht="12.3" x14ac:dyDescent="0.4">
      <c r="A205" s="2" t="s">
        <v>184</v>
      </c>
      <c r="B205" s="8"/>
      <c r="C205" s="8"/>
      <c r="D205" s="8"/>
      <c r="E205" s="8"/>
      <c r="F205" s="8"/>
      <c r="G205" s="8"/>
      <c r="H205" s="8"/>
      <c r="I205" s="2">
        <v>103.261</v>
      </c>
      <c r="J205" s="2">
        <v>213</v>
      </c>
      <c r="K205" s="2">
        <v>102.568</v>
      </c>
      <c r="L205" s="2">
        <v>136</v>
      </c>
      <c r="M205" s="2">
        <v>105.372</v>
      </c>
      <c r="N205" s="2">
        <v>171</v>
      </c>
      <c r="O205" s="2">
        <v>-2.1106699999999998</v>
      </c>
      <c r="P205" s="2">
        <v>185</v>
      </c>
    </row>
    <row r="206" spans="1:16" ht="12.3" x14ac:dyDescent="0.4">
      <c r="A206" s="2" t="s">
        <v>308</v>
      </c>
      <c r="B206" s="8"/>
      <c r="C206" s="8"/>
      <c r="D206" s="8"/>
      <c r="E206" s="8"/>
      <c r="F206" s="8"/>
      <c r="G206" s="8"/>
      <c r="H206" s="8"/>
      <c r="I206" s="2">
        <v>107.928</v>
      </c>
      <c r="J206" s="2">
        <v>123</v>
      </c>
      <c r="K206" s="2">
        <v>101.212</v>
      </c>
      <c r="L206" s="2">
        <v>95</v>
      </c>
      <c r="M206" s="2">
        <v>100.752</v>
      </c>
      <c r="N206" s="2">
        <v>85</v>
      </c>
      <c r="O206" s="2">
        <v>7.1754699999999998</v>
      </c>
      <c r="P206" s="2">
        <v>97</v>
      </c>
    </row>
    <row r="207" spans="1:16" ht="12.3" x14ac:dyDescent="0.4">
      <c r="A207" s="2" t="s">
        <v>254</v>
      </c>
      <c r="B207" s="8"/>
      <c r="C207" s="8"/>
      <c r="D207" s="8"/>
      <c r="E207" s="8"/>
      <c r="F207" s="8"/>
      <c r="G207" s="8"/>
      <c r="H207" s="8"/>
      <c r="I207" s="2">
        <v>93.865300000000005</v>
      </c>
      <c r="J207" s="2">
        <v>339</v>
      </c>
      <c r="K207" s="2">
        <v>110.721</v>
      </c>
      <c r="L207" s="2">
        <v>310</v>
      </c>
      <c r="M207" s="2">
        <v>109.57599999999999</v>
      </c>
      <c r="N207" s="2">
        <v>264</v>
      </c>
      <c r="O207" s="2">
        <v>-15.7112</v>
      </c>
      <c r="P207" s="2">
        <v>326</v>
      </c>
    </row>
    <row r="208" spans="1:16" ht="12.3" x14ac:dyDescent="0.4">
      <c r="A208" s="2" t="s">
        <v>358</v>
      </c>
      <c r="B208" s="7">
        <v>15</v>
      </c>
      <c r="C208" s="8"/>
      <c r="D208" s="8"/>
      <c r="E208" s="8"/>
      <c r="F208" s="8"/>
      <c r="G208" s="8"/>
      <c r="H208" s="8"/>
      <c r="I208" s="2">
        <v>107.414</v>
      </c>
      <c r="J208" s="2">
        <v>134</v>
      </c>
      <c r="K208" s="2">
        <v>99.942099999999996</v>
      </c>
      <c r="L208" s="2">
        <v>65</v>
      </c>
      <c r="M208" s="2">
        <v>101.286</v>
      </c>
      <c r="N208" s="2">
        <v>98</v>
      </c>
      <c r="O208" s="2">
        <v>6.1283700000000003</v>
      </c>
      <c r="P208" s="2">
        <v>108</v>
      </c>
    </row>
    <row r="209" spans="1:16" ht="12.3" x14ac:dyDescent="0.4">
      <c r="A209" s="2" t="s">
        <v>209</v>
      </c>
      <c r="B209" s="8"/>
      <c r="C209" s="8"/>
      <c r="D209" s="8"/>
      <c r="E209" s="8"/>
      <c r="F209" s="8"/>
      <c r="G209" s="8"/>
      <c r="H209" s="8"/>
      <c r="I209" s="2">
        <v>103.512</v>
      </c>
      <c r="J209" s="2">
        <v>206</v>
      </c>
      <c r="K209" s="2">
        <v>110.667</v>
      </c>
      <c r="L209" s="2">
        <v>309</v>
      </c>
      <c r="M209" s="2">
        <v>111.55800000000001</v>
      </c>
      <c r="N209" s="2">
        <v>299</v>
      </c>
      <c r="O209" s="2">
        <v>-8.0456400000000006</v>
      </c>
      <c r="P209" s="2">
        <v>255</v>
      </c>
    </row>
    <row r="210" spans="1:16" ht="12.3" x14ac:dyDescent="0.4">
      <c r="A210" s="2" t="s">
        <v>216</v>
      </c>
      <c r="B210" s="8"/>
      <c r="C210" s="8"/>
      <c r="D210" s="8"/>
      <c r="E210" s="8"/>
      <c r="F210" s="8"/>
      <c r="G210" s="8"/>
      <c r="H210" s="8"/>
      <c r="I210" s="2">
        <v>103.32599999999999</v>
      </c>
      <c r="J210" s="2">
        <v>212</v>
      </c>
      <c r="K210" s="2">
        <v>99.067300000000003</v>
      </c>
      <c r="L210" s="2">
        <v>49</v>
      </c>
      <c r="M210" s="2">
        <v>99.053899999999999</v>
      </c>
      <c r="N210" s="2">
        <v>60</v>
      </c>
      <c r="O210" s="2">
        <v>4.2723399999999998</v>
      </c>
      <c r="P210" s="2">
        <v>123</v>
      </c>
    </row>
    <row r="211" spans="1:16" ht="12.3" x14ac:dyDescent="0.4">
      <c r="A211" s="2" t="s">
        <v>380</v>
      </c>
      <c r="B211" s="8"/>
      <c r="C211" s="8"/>
      <c r="D211" s="8"/>
      <c r="E211" s="8"/>
      <c r="F211" s="8"/>
      <c r="G211" s="8"/>
      <c r="H211" s="8"/>
      <c r="I211" s="2">
        <v>108.17</v>
      </c>
      <c r="J211" s="2">
        <v>119</v>
      </c>
      <c r="K211" s="2">
        <v>95.651499999999999</v>
      </c>
      <c r="L211" s="2">
        <v>15</v>
      </c>
      <c r="M211" s="2">
        <v>100.86499999999999</v>
      </c>
      <c r="N211" s="2">
        <v>90</v>
      </c>
      <c r="O211" s="2">
        <v>7.3044099999999998</v>
      </c>
      <c r="P211" s="2">
        <v>95</v>
      </c>
    </row>
    <row r="212" spans="1:16" ht="12.3" x14ac:dyDescent="0.4">
      <c r="A212" s="2" t="s">
        <v>124</v>
      </c>
      <c r="B212" s="8"/>
      <c r="C212" s="8"/>
      <c r="D212" s="8"/>
      <c r="E212" s="8"/>
      <c r="F212" s="8"/>
      <c r="G212" s="8"/>
      <c r="H212" s="8"/>
      <c r="I212" s="2">
        <v>109.271</v>
      </c>
      <c r="J212" s="2">
        <v>98</v>
      </c>
      <c r="K212" s="2">
        <v>102.393</v>
      </c>
      <c r="L212" s="2">
        <v>129</v>
      </c>
      <c r="M212" s="2">
        <v>101.001</v>
      </c>
      <c r="N212" s="2">
        <v>92</v>
      </c>
      <c r="O212" s="2">
        <v>8.2695000000000007</v>
      </c>
      <c r="P212" s="2">
        <v>87</v>
      </c>
    </row>
    <row r="213" spans="1:16" ht="12.3" x14ac:dyDescent="0.4">
      <c r="A213" s="2" t="s">
        <v>259</v>
      </c>
      <c r="B213" s="8"/>
      <c r="C213" s="8"/>
      <c r="D213" s="8"/>
      <c r="E213" s="8"/>
      <c r="F213" s="8"/>
      <c r="G213" s="8"/>
      <c r="H213" s="8"/>
      <c r="I213" s="2">
        <v>88.631399999999999</v>
      </c>
      <c r="J213" s="2">
        <v>349</v>
      </c>
      <c r="K213" s="2">
        <v>110.23099999999999</v>
      </c>
      <c r="L213" s="2">
        <v>301</v>
      </c>
      <c r="M213" s="2">
        <v>110.988</v>
      </c>
      <c r="N213" s="2">
        <v>291</v>
      </c>
      <c r="O213" s="2">
        <v>-22.3565</v>
      </c>
      <c r="P213" s="2">
        <v>345</v>
      </c>
    </row>
    <row r="214" spans="1:16" ht="12.3" x14ac:dyDescent="0.4">
      <c r="A214" s="2" t="s">
        <v>56</v>
      </c>
      <c r="B214" s="8"/>
      <c r="C214" s="8"/>
      <c r="D214" s="8"/>
      <c r="E214" s="8"/>
      <c r="F214" s="8"/>
      <c r="G214" s="8"/>
      <c r="H214" s="8"/>
      <c r="I214" s="2">
        <v>116.105</v>
      </c>
      <c r="J214" s="2">
        <v>28</v>
      </c>
      <c r="K214" s="2">
        <v>103.2</v>
      </c>
      <c r="L214" s="2">
        <v>159</v>
      </c>
      <c r="M214" s="2">
        <v>99.288399999999996</v>
      </c>
      <c r="N214" s="2">
        <v>63</v>
      </c>
      <c r="O214" s="2">
        <v>16.816800000000001</v>
      </c>
      <c r="P214" s="2">
        <v>31</v>
      </c>
    </row>
    <row r="215" spans="1:16" ht="12.3" x14ac:dyDescent="0.4">
      <c r="A215" s="2" t="s">
        <v>165</v>
      </c>
      <c r="B215" s="8"/>
      <c r="C215" s="8"/>
      <c r="D215" s="8"/>
      <c r="E215" s="8"/>
      <c r="F215" s="8"/>
      <c r="G215" s="8"/>
      <c r="H215" s="8"/>
      <c r="I215" s="2">
        <v>107.349</v>
      </c>
      <c r="J215" s="2">
        <v>135</v>
      </c>
      <c r="K215" s="2">
        <v>104.505</v>
      </c>
      <c r="L215" s="2">
        <v>195</v>
      </c>
      <c r="M215" s="2">
        <v>108.10599999999999</v>
      </c>
      <c r="N215" s="2">
        <v>230</v>
      </c>
      <c r="O215" s="2">
        <v>-0.75719800000000004</v>
      </c>
      <c r="P215" s="2">
        <v>178</v>
      </c>
    </row>
    <row r="216" spans="1:16" ht="12.3" x14ac:dyDescent="0.4">
      <c r="A216" s="2" t="s">
        <v>151</v>
      </c>
      <c r="B216" s="8"/>
      <c r="C216" s="8"/>
      <c r="D216" s="8"/>
      <c r="E216" s="8"/>
      <c r="F216" s="8"/>
      <c r="G216" s="8"/>
      <c r="H216" s="8"/>
      <c r="I216" s="2">
        <v>100.79900000000001</v>
      </c>
      <c r="J216" s="2">
        <v>252</v>
      </c>
      <c r="K216" s="2">
        <v>101.86799999999999</v>
      </c>
      <c r="L216" s="2">
        <v>117</v>
      </c>
      <c r="M216" s="2">
        <v>103.883</v>
      </c>
      <c r="N216" s="2">
        <v>140</v>
      </c>
      <c r="O216" s="2">
        <v>-3.0838999999999999</v>
      </c>
      <c r="P216" s="2">
        <v>195</v>
      </c>
    </row>
    <row r="217" spans="1:16" ht="12.3" x14ac:dyDescent="0.4">
      <c r="A217" s="2" t="s">
        <v>21</v>
      </c>
      <c r="B217" s="8"/>
      <c r="C217" s="8"/>
      <c r="D217" s="8"/>
      <c r="E217" s="8"/>
      <c r="F217" s="8"/>
      <c r="G217" s="8"/>
      <c r="H217" s="8"/>
      <c r="I217" s="2">
        <v>116.15</v>
      </c>
      <c r="J217" s="2">
        <v>27</v>
      </c>
      <c r="K217" s="2">
        <v>97.878</v>
      </c>
      <c r="L217" s="2">
        <v>32</v>
      </c>
      <c r="M217" s="2">
        <v>95.040800000000004</v>
      </c>
      <c r="N217" s="2">
        <v>16</v>
      </c>
      <c r="O217" s="2">
        <v>21.109400000000001</v>
      </c>
      <c r="P217" s="2">
        <v>15</v>
      </c>
    </row>
    <row r="218" spans="1:16" ht="12.3" x14ac:dyDescent="0.4">
      <c r="A218" s="2" t="s">
        <v>38</v>
      </c>
      <c r="B218" s="9"/>
      <c r="C218" s="8"/>
      <c r="D218" s="8"/>
      <c r="E218" s="8"/>
      <c r="F218" s="8"/>
      <c r="G218" s="8"/>
      <c r="H218" s="8"/>
      <c r="I218" s="2">
        <v>115.128</v>
      </c>
      <c r="J218" s="2">
        <v>38</v>
      </c>
      <c r="K218" s="2">
        <v>105.88500000000001</v>
      </c>
      <c r="L218" s="2">
        <v>230</v>
      </c>
      <c r="M218" s="2">
        <v>100.709</v>
      </c>
      <c r="N218" s="2">
        <v>83</v>
      </c>
      <c r="O218" s="2">
        <v>14.419</v>
      </c>
      <c r="P218" s="2">
        <v>47</v>
      </c>
    </row>
    <row r="219" spans="1:16" ht="12.3" x14ac:dyDescent="0.4">
      <c r="A219" s="2" t="s">
        <v>72</v>
      </c>
      <c r="B219" s="8"/>
      <c r="C219" s="8"/>
      <c r="D219" s="8"/>
      <c r="E219" s="8"/>
      <c r="F219" s="8"/>
      <c r="G219" s="8"/>
      <c r="H219" s="8"/>
      <c r="I219" s="2">
        <v>112.14400000000001</v>
      </c>
      <c r="J219" s="2">
        <v>61</v>
      </c>
      <c r="K219" s="2">
        <v>102.846</v>
      </c>
      <c r="L219" s="2">
        <v>144</v>
      </c>
      <c r="M219" s="2">
        <v>98.665000000000006</v>
      </c>
      <c r="N219" s="2">
        <v>55</v>
      </c>
      <c r="O219" s="2">
        <v>13.478999999999999</v>
      </c>
      <c r="P219" s="2">
        <v>56</v>
      </c>
    </row>
    <row r="220" spans="1:16" ht="12.3" x14ac:dyDescent="0.4">
      <c r="A220" s="2" t="s">
        <v>190</v>
      </c>
      <c r="B220" s="8"/>
      <c r="C220" s="8"/>
      <c r="D220" s="8"/>
      <c r="E220" s="8"/>
      <c r="F220" s="8"/>
      <c r="G220" s="8"/>
      <c r="H220" s="8"/>
      <c r="I220" s="2">
        <v>108.709</v>
      </c>
      <c r="J220" s="2">
        <v>107</v>
      </c>
      <c r="K220" s="2">
        <v>93.715199999999996</v>
      </c>
      <c r="L220" s="2">
        <v>5</v>
      </c>
      <c r="M220" s="2">
        <v>97.382099999999994</v>
      </c>
      <c r="N220" s="2">
        <v>40</v>
      </c>
      <c r="O220" s="2">
        <v>11.326700000000001</v>
      </c>
      <c r="P220" s="2">
        <v>68</v>
      </c>
    </row>
    <row r="221" spans="1:16" ht="12.3" x14ac:dyDescent="0.4">
      <c r="A221" s="2" t="s">
        <v>138</v>
      </c>
      <c r="B221" s="8"/>
      <c r="C221" s="8"/>
      <c r="D221" s="8"/>
      <c r="E221" s="8"/>
      <c r="F221" s="8"/>
      <c r="G221" s="8"/>
      <c r="H221" s="8"/>
      <c r="I221" s="2">
        <v>106.43600000000001</v>
      </c>
      <c r="J221" s="2">
        <v>147</v>
      </c>
      <c r="K221" s="2">
        <v>114.654</v>
      </c>
      <c r="L221" s="2">
        <v>340</v>
      </c>
      <c r="M221" s="2">
        <v>112.348</v>
      </c>
      <c r="N221" s="2">
        <v>309</v>
      </c>
      <c r="O221" s="2">
        <v>-5.9125199999999998</v>
      </c>
      <c r="P221" s="2">
        <v>230</v>
      </c>
    </row>
    <row r="222" spans="1:16" ht="12.3" x14ac:dyDescent="0.4">
      <c r="A222" s="2" t="s">
        <v>41</v>
      </c>
      <c r="B222" s="8"/>
      <c r="C222" s="8"/>
      <c r="D222" s="8"/>
      <c r="E222" s="8"/>
      <c r="F222" s="8"/>
      <c r="G222" s="8"/>
      <c r="H222" s="8"/>
      <c r="I222" s="2">
        <v>110.876</v>
      </c>
      <c r="J222" s="2">
        <v>76</v>
      </c>
      <c r="K222" s="2">
        <v>101.545</v>
      </c>
      <c r="L222" s="2">
        <v>111</v>
      </c>
      <c r="M222" s="2">
        <v>100.30800000000001</v>
      </c>
      <c r="N222" s="2">
        <v>80</v>
      </c>
      <c r="O222" s="2">
        <v>10.5677</v>
      </c>
      <c r="P222" s="2">
        <v>76</v>
      </c>
    </row>
    <row r="223" spans="1:16" ht="12.3" x14ac:dyDescent="0.4">
      <c r="A223" s="2" t="s">
        <v>149</v>
      </c>
      <c r="B223" s="8"/>
      <c r="C223" s="8"/>
      <c r="D223" s="8"/>
      <c r="E223" s="8"/>
      <c r="F223" s="8"/>
      <c r="G223" s="8"/>
      <c r="H223" s="8"/>
      <c r="I223" s="2">
        <v>108.83</v>
      </c>
      <c r="J223" s="2">
        <v>105</v>
      </c>
      <c r="K223" s="2">
        <v>102.878</v>
      </c>
      <c r="L223" s="2">
        <v>145</v>
      </c>
      <c r="M223" s="2">
        <v>101.453</v>
      </c>
      <c r="N223" s="2">
        <v>101</v>
      </c>
      <c r="O223" s="2">
        <v>7.3765999999999998</v>
      </c>
      <c r="P223" s="2">
        <v>94</v>
      </c>
    </row>
    <row r="224" spans="1:16" ht="12.3" x14ac:dyDescent="0.4">
      <c r="A224" s="2" t="s">
        <v>126</v>
      </c>
      <c r="B224" s="8"/>
      <c r="C224" s="8"/>
      <c r="D224" s="8"/>
      <c r="E224" s="8"/>
      <c r="F224" s="8"/>
      <c r="G224" s="8"/>
      <c r="H224" s="8"/>
      <c r="I224" s="2">
        <v>107.255</v>
      </c>
      <c r="J224" s="2">
        <v>137</v>
      </c>
      <c r="K224" s="2">
        <v>107.574</v>
      </c>
      <c r="L224" s="2">
        <v>261</v>
      </c>
      <c r="M224" s="2">
        <v>107.011</v>
      </c>
      <c r="N224" s="2">
        <v>204</v>
      </c>
      <c r="O224" s="2">
        <v>0.24418200000000001</v>
      </c>
      <c r="P224" s="2">
        <v>166</v>
      </c>
    </row>
    <row r="225" spans="1:16" ht="12.3" x14ac:dyDescent="0.4">
      <c r="A225" s="2" t="s">
        <v>77</v>
      </c>
      <c r="B225" s="8"/>
      <c r="C225" s="8"/>
      <c r="D225" s="8"/>
      <c r="E225" s="8"/>
      <c r="F225" s="8"/>
      <c r="G225" s="8"/>
      <c r="H225" s="8"/>
      <c r="I225" s="2">
        <v>103.553</v>
      </c>
      <c r="J225" s="2">
        <v>205</v>
      </c>
      <c r="K225" s="2">
        <v>96.751599999999996</v>
      </c>
      <c r="L225" s="2">
        <v>19</v>
      </c>
      <c r="M225" s="2">
        <v>99.857699999999994</v>
      </c>
      <c r="N225" s="2">
        <v>73</v>
      </c>
      <c r="O225" s="2">
        <v>3.6953900000000002</v>
      </c>
      <c r="P225" s="2">
        <v>127</v>
      </c>
    </row>
    <row r="226" spans="1:16" ht="12.3" x14ac:dyDescent="0.4">
      <c r="A226" s="2" t="s">
        <v>230</v>
      </c>
      <c r="B226" s="8"/>
      <c r="C226" s="8"/>
      <c r="D226" s="8"/>
      <c r="E226" s="8"/>
      <c r="F226" s="8"/>
      <c r="G226" s="8"/>
      <c r="H226" s="8"/>
      <c r="I226" s="2">
        <v>113.059</v>
      </c>
      <c r="J226" s="2">
        <v>57</v>
      </c>
      <c r="K226" s="2">
        <v>97.398200000000003</v>
      </c>
      <c r="L226" s="2">
        <v>28</v>
      </c>
      <c r="M226" s="2">
        <v>95.955799999999996</v>
      </c>
      <c r="N226" s="2">
        <v>21</v>
      </c>
      <c r="O226" s="2">
        <v>17.102799999999998</v>
      </c>
      <c r="P226" s="2">
        <v>29</v>
      </c>
    </row>
    <row r="227" spans="1:16" ht="12.3" x14ac:dyDescent="0.4">
      <c r="A227" s="2" t="s">
        <v>79</v>
      </c>
      <c r="B227" s="8"/>
      <c r="C227" s="8"/>
      <c r="D227" s="8"/>
      <c r="E227" s="8"/>
      <c r="F227" s="8"/>
      <c r="G227" s="8"/>
      <c r="H227" s="8"/>
      <c r="I227" s="2">
        <v>105.73699999999999</v>
      </c>
      <c r="J227" s="2">
        <v>163</v>
      </c>
      <c r="K227" s="2">
        <v>115.526</v>
      </c>
      <c r="L227" s="2">
        <v>343</v>
      </c>
      <c r="M227" s="2">
        <v>114.581</v>
      </c>
      <c r="N227" s="2">
        <v>325</v>
      </c>
      <c r="O227" s="2">
        <v>-8.8444400000000005</v>
      </c>
      <c r="P227" s="2">
        <v>263</v>
      </c>
    </row>
    <row r="228" spans="1:16" ht="12.3" x14ac:dyDescent="0.4">
      <c r="A228" s="2" t="s">
        <v>46</v>
      </c>
      <c r="B228" s="8"/>
      <c r="C228" s="8"/>
      <c r="D228" s="8"/>
      <c r="E228" s="8"/>
      <c r="F228" s="8"/>
      <c r="G228" s="8"/>
      <c r="H228" s="8"/>
      <c r="I228" s="2">
        <v>99.245000000000005</v>
      </c>
      <c r="J228" s="2">
        <v>277</v>
      </c>
      <c r="K228" s="2">
        <v>109.431</v>
      </c>
      <c r="L228" s="2">
        <v>289</v>
      </c>
      <c r="M228" s="2">
        <v>104.848</v>
      </c>
      <c r="N228" s="2">
        <v>159</v>
      </c>
      <c r="O228" s="2">
        <v>-5.6034600000000001</v>
      </c>
      <c r="P228" s="2">
        <v>226</v>
      </c>
    </row>
    <row r="229" spans="1:16" ht="12.3" x14ac:dyDescent="0.4">
      <c r="A229" s="2" t="s">
        <v>290</v>
      </c>
      <c r="B229" s="8"/>
      <c r="C229" s="8"/>
      <c r="D229" s="8"/>
      <c r="E229" s="8"/>
      <c r="F229" s="8"/>
      <c r="G229" s="8"/>
      <c r="H229" s="8"/>
      <c r="I229" s="2">
        <v>99.683099999999996</v>
      </c>
      <c r="J229" s="2">
        <v>265</v>
      </c>
      <c r="K229" s="2">
        <v>110.601</v>
      </c>
      <c r="L229" s="2">
        <v>308</v>
      </c>
      <c r="M229" s="2">
        <v>108.64</v>
      </c>
      <c r="N229" s="2">
        <v>239</v>
      </c>
      <c r="O229" s="2">
        <v>-8.9572500000000002</v>
      </c>
      <c r="P229" s="2">
        <v>266</v>
      </c>
    </row>
    <row r="230" spans="1:16" ht="12.3" x14ac:dyDescent="0.4">
      <c r="A230" s="2" t="s">
        <v>269</v>
      </c>
      <c r="B230" s="8"/>
      <c r="C230" s="8"/>
      <c r="D230" s="8"/>
      <c r="E230" s="8"/>
      <c r="F230" s="8"/>
      <c r="G230" s="8"/>
      <c r="H230" s="8"/>
      <c r="I230" s="2">
        <v>108.63500000000001</v>
      </c>
      <c r="J230" s="2">
        <v>111</v>
      </c>
      <c r="K230" s="2">
        <v>107.155</v>
      </c>
      <c r="L230" s="2">
        <v>254</v>
      </c>
      <c r="M230" s="2">
        <v>107.884</v>
      </c>
      <c r="N230" s="2">
        <v>226</v>
      </c>
      <c r="O230" s="2">
        <v>0.75144900000000003</v>
      </c>
      <c r="P230" s="2">
        <v>164</v>
      </c>
    </row>
    <row r="231" spans="1:16" ht="12.3" x14ac:dyDescent="0.4">
      <c r="A231" s="2" t="s">
        <v>342</v>
      </c>
      <c r="B231" s="8"/>
      <c r="C231" s="8"/>
      <c r="D231" s="8"/>
      <c r="E231" s="8"/>
      <c r="F231" s="8"/>
      <c r="G231" s="8"/>
      <c r="H231" s="8"/>
      <c r="I231" s="2">
        <v>101.56100000000001</v>
      </c>
      <c r="J231" s="2">
        <v>241</v>
      </c>
      <c r="K231" s="2">
        <v>105.119</v>
      </c>
      <c r="L231" s="2">
        <v>208</v>
      </c>
      <c r="M231" s="2">
        <v>110.971</v>
      </c>
      <c r="N231" s="2">
        <v>290</v>
      </c>
      <c r="O231" s="2">
        <v>-9.4098400000000009</v>
      </c>
      <c r="P231" s="2">
        <v>272</v>
      </c>
    </row>
    <row r="232" spans="1:16" ht="12.3" x14ac:dyDescent="0.4">
      <c r="A232" s="2" t="s">
        <v>368</v>
      </c>
      <c r="B232" s="8"/>
      <c r="C232" s="8"/>
      <c r="D232" s="8"/>
      <c r="E232" s="8"/>
      <c r="F232" s="8"/>
      <c r="G232" s="8"/>
      <c r="H232" s="8"/>
      <c r="I232" s="2">
        <v>98.125600000000006</v>
      </c>
      <c r="J232" s="2">
        <v>302</v>
      </c>
      <c r="K232" s="2">
        <v>111.765</v>
      </c>
      <c r="L232" s="2">
        <v>323</v>
      </c>
      <c r="M232" s="2">
        <v>115.916</v>
      </c>
      <c r="N232" s="2">
        <v>336</v>
      </c>
      <c r="O232" s="2">
        <v>-17.790500000000002</v>
      </c>
      <c r="P232" s="2">
        <v>334</v>
      </c>
    </row>
    <row r="233" spans="1:16" ht="12.3" x14ac:dyDescent="0.4">
      <c r="A233" s="2" t="s">
        <v>176</v>
      </c>
      <c r="B233" s="8"/>
      <c r="C233" s="8"/>
      <c r="D233" s="8"/>
      <c r="E233" s="8"/>
      <c r="F233" s="8"/>
      <c r="G233" s="8"/>
      <c r="H233" s="8"/>
      <c r="I233" s="2">
        <v>105.663</v>
      </c>
      <c r="J233" s="2">
        <v>165</v>
      </c>
      <c r="K233" s="2">
        <v>106.15300000000001</v>
      </c>
      <c r="L233" s="2">
        <v>236</v>
      </c>
      <c r="M233" s="2">
        <v>108.114</v>
      </c>
      <c r="N233" s="2">
        <v>231</v>
      </c>
      <c r="O233" s="2">
        <v>-2.4508200000000002</v>
      </c>
      <c r="P233" s="2">
        <v>191</v>
      </c>
    </row>
    <row r="234" spans="1:16" ht="12.3" x14ac:dyDescent="0.4">
      <c r="A234" s="2" t="s">
        <v>120</v>
      </c>
      <c r="B234" s="8"/>
      <c r="C234" s="8"/>
      <c r="D234" s="8"/>
      <c r="E234" s="8"/>
      <c r="F234" s="8"/>
      <c r="G234" s="8"/>
      <c r="H234" s="8"/>
      <c r="I234" s="2">
        <v>108.926</v>
      </c>
      <c r="J234" s="2">
        <v>104</v>
      </c>
      <c r="K234" s="2">
        <v>102.961</v>
      </c>
      <c r="L234" s="2">
        <v>147</v>
      </c>
      <c r="M234" s="2">
        <v>97.007499999999993</v>
      </c>
      <c r="N234" s="2">
        <v>35</v>
      </c>
      <c r="O234" s="2">
        <v>11.918900000000001</v>
      </c>
      <c r="P234" s="2">
        <v>63</v>
      </c>
    </row>
    <row r="235" spans="1:16" ht="12.3" x14ac:dyDescent="0.4">
      <c r="A235" s="2" t="s">
        <v>121</v>
      </c>
      <c r="B235" s="8"/>
      <c r="C235" s="8"/>
      <c r="D235" s="8"/>
      <c r="E235" s="8"/>
      <c r="F235" s="8"/>
      <c r="G235" s="8"/>
      <c r="H235" s="8"/>
      <c r="I235" s="2">
        <v>123.248</v>
      </c>
      <c r="J235" s="2">
        <v>2</v>
      </c>
      <c r="K235" s="2">
        <v>96.667900000000003</v>
      </c>
      <c r="L235" s="2">
        <v>18</v>
      </c>
      <c r="M235" s="2">
        <v>96.581800000000001</v>
      </c>
      <c r="N235" s="2">
        <v>28</v>
      </c>
      <c r="O235" s="2">
        <v>26.6663</v>
      </c>
      <c r="P235" s="2">
        <v>5</v>
      </c>
    </row>
    <row r="236" spans="1:16" ht="12.3" x14ac:dyDescent="0.4">
      <c r="A236" s="2" t="s">
        <v>274</v>
      </c>
      <c r="B236" s="8"/>
      <c r="C236" s="8"/>
      <c r="D236" s="8"/>
      <c r="E236" s="8"/>
      <c r="F236" s="8"/>
      <c r="G236" s="8"/>
      <c r="H236" s="8"/>
      <c r="I236" s="2">
        <v>102.15600000000001</v>
      </c>
      <c r="J236" s="2">
        <v>232</v>
      </c>
      <c r="K236" s="2">
        <v>110.114</v>
      </c>
      <c r="L236" s="2">
        <v>299</v>
      </c>
      <c r="M236" s="2">
        <v>112.45</v>
      </c>
      <c r="N236" s="2">
        <v>312</v>
      </c>
      <c r="O236" s="2">
        <v>-10.2942</v>
      </c>
      <c r="P236" s="2">
        <v>278</v>
      </c>
    </row>
    <row r="237" spans="1:16" ht="12.3" x14ac:dyDescent="0.4">
      <c r="A237" s="2" t="s">
        <v>223</v>
      </c>
      <c r="B237" s="8"/>
      <c r="C237" s="8"/>
      <c r="D237" s="8"/>
      <c r="E237" s="8"/>
      <c r="F237" s="8"/>
      <c r="G237" s="8"/>
      <c r="H237" s="8"/>
      <c r="I237" s="2">
        <v>103.581</v>
      </c>
      <c r="J237" s="2">
        <v>203</v>
      </c>
      <c r="K237" s="2">
        <v>100.509</v>
      </c>
      <c r="L237" s="2">
        <v>77</v>
      </c>
      <c r="M237" s="2">
        <v>103.629</v>
      </c>
      <c r="N237" s="2">
        <v>133</v>
      </c>
      <c r="O237" s="2">
        <v>-4.7777899999999998E-2</v>
      </c>
      <c r="P237" s="2">
        <v>170</v>
      </c>
    </row>
    <row r="238" spans="1:16" ht="12.3" x14ac:dyDescent="0.4">
      <c r="A238" s="2" t="s">
        <v>258</v>
      </c>
      <c r="B238" s="8"/>
      <c r="C238" s="8"/>
      <c r="D238" s="8"/>
      <c r="E238" s="8"/>
      <c r="F238" s="8"/>
      <c r="G238" s="8"/>
      <c r="H238" s="8"/>
      <c r="I238" s="2">
        <v>111.71</v>
      </c>
      <c r="J238" s="2">
        <v>66</v>
      </c>
      <c r="K238" s="2">
        <v>98.044700000000006</v>
      </c>
      <c r="L238" s="2">
        <v>34</v>
      </c>
      <c r="M238" s="2">
        <v>97.328000000000003</v>
      </c>
      <c r="N238" s="2">
        <v>38</v>
      </c>
      <c r="O238" s="2">
        <v>14.3818</v>
      </c>
      <c r="P238" s="2">
        <v>49</v>
      </c>
    </row>
    <row r="239" spans="1:16" ht="12.3" x14ac:dyDescent="0.4">
      <c r="A239" s="2" t="s">
        <v>231</v>
      </c>
      <c r="B239" s="8"/>
      <c r="C239" s="8"/>
      <c r="D239" s="8"/>
      <c r="E239" s="8"/>
      <c r="F239" s="8"/>
      <c r="G239" s="8"/>
      <c r="H239" s="8"/>
      <c r="I239" s="2">
        <v>98.9816</v>
      </c>
      <c r="J239" s="2">
        <v>284</v>
      </c>
      <c r="K239" s="2">
        <v>108.447</v>
      </c>
      <c r="L239" s="2">
        <v>273</v>
      </c>
      <c r="M239" s="2">
        <v>110.863</v>
      </c>
      <c r="N239" s="2">
        <v>286</v>
      </c>
      <c r="O239" s="2">
        <v>-11.881600000000001</v>
      </c>
      <c r="P239" s="2">
        <v>295</v>
      </c>
    </row>
    <row r="240" spans="1:16" ht="12.3" x14ac:dyDescent="0.4">
      <c r="A240" s="2" t="s">
        <v>100</v>
      </c>
      <c r="B240" s="8"/>
      <c r="C240" s="8"/>
      <c r="D240" s="8"/>
      <c r="E240" s="8"/>
      <c r="F240" s="8"/>
      <c r="G240" s="8"/>
      <c r="H240" s="8"/>
      <c r="I240" s="2">
        <v>107.65</v>
      </c>
      <c r="J240" s="2">
        <v>129</v>
      </c>
      <c r="K240" s="2">
        <v>109.309</v>
      </c>
      <c r="L240" s="2">
        <v>286</v>
      </c>
      <c r="M240" s="2">
        <v>108.447</v>
      </c>
      <c r="N240" s="2">
        <v>234</v>
      </c>
      <c r="O240" s="2">
        <v>-0.79725100000000004</v>
      </c>
      <c r="P240" s="2">
        <v>179</v>
      </c>
    </row>
    <row r="241" spans="1:16" ht="12.3" x14ac:dyDescent="0.4">
      <c r="A241" s="2" t="s">
        <v>182</v>
      </c>
      <c r="B241" s="8"/>
      <c r="C241" s="8"/>
      <c r="D241" s="8"/>
      <c r="E241" s="8"/>
      <c r="F241" s="8"/>
      <c r="G241" s="8"/>
      <c r="H241" s="8"/>
      <c r="I241" s="2">
        <v>109.349</v>
      </c>
      <c r="J241" s="2">
        <v>95</v>
      </c>
      <c r="K241" s="2">
        <v>103.54</v>
      </c>
      <c r="L241" s="2">
        <v>169</v>
      </c>
      <c r="M241" s="2">
        <v>106.842</v>
      </c>
      <c r="N241" s="2">
        <v>199</v>
      </c>
      <c r="O241" s="2">
        <v>2.5066799999999998</v>
      </c>
      <c r="P241" s="2">
        <v>139</v>
      </c>
    </row>
    <row r="242" spans="1:16" ht="12.3" x14ac:dyDescent="0.4">
      <c r="A242" s="2" t="s">
        <v>307</v>
      </c>
      <c r="B242" s="8"/>
      <c r="C242" s="8"/>
      <c r="D242" s="8"/>
      <c r="E242" s="8"/>
      <c r="F242" s="8"/>
      <c r="G242" s="8"/>
      <c r="H242" s="8"/>
      <c r="I242" s="2">
        <v>95.229900000000001</v>
      </c>
      <c r="J242" s="2">
        <v>330</v>
      </c>
      <c r="K242" s="2">
        <v>99.479799999999997</v>
      </c>
      <c r="L242" s="2">
        <v>55</v>
      </c>
      <c r="M242" s="2">
        <v>102.685</v>
      </c>
      <c r="N242" s="2">
        <v>120</v>
      </c>
      <c r="O242" s="2">
        <v>-7.4546299999999999</v>
      </c>
      <c r="P242" s="2">
        <v>244</v>
      </c>
    </row>
    <row r="243" spans="1:16" ht="12.3" x14ac:dyDescent="0.4">
      <c r="A243" s="2" t="s">
        <v>123</v>
      </c>
      <c r="B243" s="8"/>
      <c r="C243" s="8"/>
      <c r="D243" s="8"/>
      <c r="E243" s="8"/>
      <c r="F243" s="8"/>
      <c r="G243" s="8"/>
      <c r="H243" s="8"/>
      <c r="I243" s="2">
        <v>99.450100000000006</v>
      </c>
      <c r="J243" s="2">
        <v>272</v>
      </c>
      <c r="K243" s="2">
        <v>97.564800000000005</v>
      </c>
      <c r="L243" s="2">
        <v>31</v>
      </c>
      <c r="M243" s="2">
        <v>96.507300000000001</v>
      </c>
      <c r="N243" s="2">
        <v>26</v>
      </c>
      <c r="O243" s="2">
        <v>2.9428000000000001</v>
      </c>
      <c r="P243" s="2">
        <v>133</v>
      </c>
    </row>
    <row r="244" spans="1:16" ht="12.3" x14ac:dyDescent="0.4">
      <c r="A244" s="2" t="s">
        <v>302</v>
      </c>
      <c r="B244" s="8"/>
      <c r="C244" s="8"/>
      <c r="D244" s="8"/>
      <c r="E244" s="8"/>
      <c r="F244" s="8"/>
      <c r="G244" s="8"/>
      <c r="H244" s="8"/>
      <c r="I244" s="2">
        <v>100.15600000000001</v>
      </c>
      <c r="J244" s="2">
        <v>257</v>
      </c>
      <c r="K244" s="2">
        <v>110.298</v>
      </c>
      <c r="L244" s="2">
        <v>304</v>
      </c>
      <c r="M244" s="2">
        <v>110.625</v>
      </c>
      <c r="N244" s="2">
        <v>282</v>
      </c>
      <c r="O244" s="2">
        <v>-10.468999999999999</v>
      </c>
      <c r="P244" s="2">
        <v>282</v>
      </c>
    </row>
    <row r="245" spans="1:16" ht="12.3" x14ac:dyDescent="0.4">
      <c r="A245" s="2" t="s">
        <v>316</v>
      </c>
      <c r="B245" s="8"/>
      <c r="C245" s="8"/>
      <c r="D245" s="8"/>
      <c r="E245" s="8"/>
      <c r="F245" s="8"/>
      <c r="G245" s="8"/>
      <c r="H245" s="8"/>
      <c r="I245" s="2">
        <v>96.453800000000001</v>
      </c>
      <c r="J245" s="2">
        <v>320</v>
      </c>
      <c r="K245" s="2">
        <v>104.348</v>
      </c>
      <c r="L245" s="2">
        <v>193</v>
      </c>
      <c r="M245" s="2">
        <v>108.771</v>
      </c>
      <c r="N245" s="2">
        <v>245</v>
      </c>
      <c r="O245" s="2">
        <v>-12.317</v>
      </c>
      <c r="P245" s="2">
        <v>303</v>
      </c>
    </row>
    <row r="246" spans="1:16" ht="12.3" x14ac:dyDescent="0.4">
      <c r="A246" s="2" t="s">
        <v>91</v>
      </c>
      <c r="B246" s="8"/>
      <c r="C246" s="8"/>
      <c r="D246" s="8"/>
      <c r="E246" s="8"/>
      <c r="F246" s="8"/>
      <c r="G246" s="8"/>
      <c r="H246" s="8"/>
      <c r="I246" s="2">
        <v>105.76300000000001</v>
      </c>
      <c r="J246" s="2">
        <v>160</v>
      </c>
      <c r="K246" s="2">
        <v>100.806</v>
      </c>
      <c r="L246" s="2">
        <v>85</v>
      </c>
      <c r="M246" s="2">
        <v>100.747</v>
      </c>
      <c r="N246" s="2">
        <v>84</v>
      </c>
      <c r="O246" s="2">
        <v>5.0163099999999998</v>
      </c>
      <c r="P246" s="2">
        <v>117</v>
      </c>
    </row>
    <row r="247" spans="1:16" ht="12.3" x14ac:dyDescent="0.4">
      <c r="A247" s="2" t="s">
        <v>116</v>
      </c>
      <c r="B247" s="8"/>
      <c r="C247" s="8"/>
      <c r="D247" s="8"/>
      <c r="E247" s="8"/>
      <c r="F247" s="8"/>
      <c r="G247" s="8"/>
      <c r="H247" s="8"/>
      <c r="I247" s="2">
        <v>102.425</v>
      </c>
      <c r="J247" s="2">
        <v>224</v>
      </c>
      <c r="K247" s="2">
        <v>101.304</v>
      </c>
      <c r="L247" s="2">
        <v>100</v>
      </c>
      <c r="M247" s="2">
        <v>100.30800000000001</v>
      </c>
      <c r="N247" s="2">
        <v>79</v>
      </c>
      <c r="O247" s="2">
        <v>2.1173999999999999</v>
      </c>
      <c r="P247" s="2">
        <v>146</v>
      </c>
    </row>
    <row r="248" spans="1:16" ht="12.3" x14ac:dyDescent="0.4">
      <c r="A248" s="2" t="s">
        <v>262</v>
      </c>
      <c r="B248" s="8"/>
      <c r="C248" s="8"/>
      <c r="D248" s="8"/>
      <c r="E248" s="8"/>
      <c r="F248" s="8"/>
      <c r="G248" s="8"/>
      <c r="H248" s="8"/>
      <c r="I248" s="2">
        <v>119.828</v>
      </c>
      <c r="J248" s="2">
        <v>11</v>
      </c>
      <c r="K248" s="2">
        <v>100.18</v>
      </c>
      <c r="L248" s="2">
        <v>70</v>
      </c>
      <c r="M248" s="2">
        <v>102.67</v>
      </c>
      <c r="N248" s="2">
        <v>119</v>
      </c>
      <c r="O248" s="2">
        <v>17.158000000000001</v>
      </c>
      <c r="P248" s="2">
        <v>28</v>
      </c>
    </row>
    <row r="249" spans="1:16" ht="12.3" x14ac:dyDescent="0.4">
      <c r="A249" s="2" t="s">
        <v>335</v>
      </c>
      <c r="B249" s="8"/>
      <c r="C249" s="8"/>
      <c r="D249" s="8"/>
      <c r="E249" s="8"/>
      <c r="F249" s="8"/>
      <c r="G249" s="8"/>
      <c r="H249" s="8"/>
      <c r="I249" s="2">
        <v>95.945999999999998</v>
      </c>
      <c r="J249" s="2">
        <v>323</v>
      </c>
      <c r="K249" s="2">
        <v>99.272300000000001</v>
      </c>
      <c r="L249" s="2">
        <v>52</v>
      </c>
      <c r="M249" s="2">
        <v>100.774</v>
      </c>
      <c r="N249" s="2">
        <v>87</v>
      </c>
      <c r="O249" s="2">
        <v>-4.8275699999999997</v>
      </c>
      <c r="P249" s="2">
        <v>215</v>
      </c>
    </row>
    <row r="250" spans="1:16" ht="12.3" x14ac:dyDescent="0.4">
      <c r="A250" s="2" t="s">
        <v>225</v>
      </c>
      <c r="B250" s="8"/>
      <c r="C250" s="8"/>
      <c r="D250" s="8"/>
      <c r="E250" s="8"/>
      <c r="F250" s="8"/>
      <c r="G250" s="8"/>
      <c r="H250" s="8"/>
      <c r="I250" s="2">
        <v>102.129</v>
      </c>
      <c r="J250" s="2">
        <v>234</v>
      </c>
      <c r="K250" s="2">
        <v>102.71299999999999</v>
      </c>
      <c r="L250" s="2">
        <v>139</v>
      </c>
      <c r="M250" s="2">
        <v>106.658</v>
      </c>
      <c r="N250" s="2">
        <v>196</v>
      </c>
      <c r="O250" s="2">
        <v>-4.5284500000000003</v>
      </c>
      <c r="P250" s="2">
        <v>212</v>
      </c>
    </row>
    <row r="251" spans="1:16" ht="12.3" x14ac:dyDescent="0.4">
      <c r="A251" s="2" t="s">
        <v>208</v>
      </c>
      <c r="B251" s="7">
        <v>16</v>
      </c>
      <c r="C251" s="8"/>
      <c r="D251" s="8"/>
      <c r="E251" s="8"/>
      <c r="F251" s="8"/>
      <c r="G251" s="8"/>
      <c r="H251" s="8"/>
      <c r="I251" s="2">
        <v>108.13</v>
      </c>
      <c r="J251" s="2">
        <v>120</v>
      </c>
      <c r="K251" s="2">
        <v>117.937</v>
      </c>
      <c r="L251" s="2">
        <v>349</v>
      </c>
      <c r="M251" s="2">
        <v>120.065</v>
      </c>
      <c r="N251" s="2">
        <v>349</v>
      </c>
      <c r="O251" s="2">
        <v>-11.935600000000001</v>
      </c>
      <c r="P251" s="2">
        <v>297</v>
      </c>
    </row>
    <row r="252" spans="1:16" ht="12.3" x14ac:dyDescent="0.4">
      <c r="A252" s="2" t="s">
        <v>133</v>
      </c>
      <c r="B252" s="8"/>
      <c r="C252" s="8"/>
      <c r="D252" s="8"/>
      <c r="E252" s="8"/>
      <c r="F252" s="8"/>
      <c r="G252" s="8"/>
      <c r="H252" s="8"/>
      <c r="I252" s="2">
        <v>104.017</v>
      </c>
      <c r="J252" s="2">
        <v>192</v>
      </c>
      <c r="K252" s="2">
        <v>98.611900000000006</v>
      </c>
      <c r="L252" s="2">
        <v>42</v>
      </c>
      <c r="M252" s="2">
        <v>100.056</v>
      </c>
      <c r="N252" s="2">
        <v>77</v>
      </c>
      <c r="O252" s="2">
        <v>3.96095</v>
      </c>
      <c r="P252" s="2">
        <v>124</v>
      </c>
    </row>
    <row r="253" spans="1:16" ht="12.3" x14ac:dyDescent="0.4">
      <c r="A253" s="2" t="s">
        <v>97</v>
      </c>
      <c r="B253" s="8"/>
      <c r="C253" s="8"/>
      <c r="D253" s="8"/>
      <c r="E253" s="8"/>
      <c r="F253" s="8"/>
      <c r="G253" s="8"/>
      <c r="H253" s="8"/>
      <c r="I253" s="2">
        <v>111.286</v>
      </c>
      <c r="J253" s="2">
        <v>69</v>
      </c>
      <c r="K253" s="2">
        <v>97.281899999999993</v>
      </c>
      <c r="L253" s="2">
        <v>23</v>
      </c>
      <c r="M253" s="2">
        <v>97.135800000000003</v>
      </c>
      <c r="N253" s="2">
        <v>36</v>
      </c>
      <c r="O253" s="2">
        <v>14.150399999999999</v>
      </c>
      <c r="P253" s="2">
        <v>50</v>
      </c>
    </row>
    <row r="254" spans="1:16" ht="12.3" x14ac:dyDescent="0.4">
      <c r="A254" s="2" t="s">
        <v>173</v>
      </c>
      <c r="B254" s="8"/>
      <c r="C254" s="8"/>
      <c r="D254" s="8"/>
      <c r="E254" s="8"/>
      <c r="F254" s="8"/>
      <c r="G254" s="8"/>
      <c r="H254" s="8"/>
      <c r="I254" s="2">
        <v>103.139</v>
      </c>
      <c r="J254" s="2">
        <v>216</v>
      </c>
      <c r="K254" s="2">
        <v>102.44199999999999</v>
      </c>
      <c r="L254" s="2">
        <v>132</v>
      </c>
      <c r="M254" s="2">
        <v>100.892</v>
      </c>
      <c r="N254" s="2">
        <v>91</v>
      </c>
      <c r="O254" s="2">
        <v>2.2469000000000001</v>
      </c>
      <c r="P254" s="2">
        <v>142</v>
      </c>
    </row>
    <row r="255" spans="1:16" ht="12.3" x14ac:dyDescent="0.4">
      <c r="A255" s="2" t="s">
        <v>278</v>
      </c>
      <c r="B255" s="8"/>
      <c r="C255" s="8"/>
      <c r="D255" s="8"/>
      <c r="E255" s="8"/>
      <c r="F255" s="8"/>
      <c r="G255" s="8"/>
      <c r="H255" s="8"/>
      <c r="I255" s="2">
        <v>95.894099999999995</v>
      </c>
      <c r="J255" s="2">
        <v>325</v>
      </c>
      <c r="K255" s="2">
        <v>109.902</v>
      </c>
      <c r="L255" s="2">
        <v>294</v>
      </c>
      <c r="M255" s="2">
        <v>107.932</v>
      </c>
      <c r="N255" s="2">
        <v>228</v>
      </c>
      <c r="O255" s="2">
        <v>-12.0379</v>
      </c>
      <c r="P255" s="2">
        <v>298</v>
      </c>
    </row>
    <row r="256" spans="1:16" ht="12.3" x14ac:dyDescent="0.4">
      <c r="A256" s="2" t="s">
        <v>217</v>
      </c>
      <c r="B256" s="8"/>
      <c r="C256" s="8"/>
      <c r="D256" s="8"/>
      <c r="E256" s="8"/>
      <c r="F256" s="8"/>
      <c r="G256" s="8"/>
      <c r="H256" s="8"/>
      <c r="I256" s="2">
        <v>99.835400000000007</v>
      </c>
      <c r="J256" s="2">
        <v>262</v>
      </c>
      <c r="K256" s="2">
        <v>110.251</v>
      </c>
      <c r="L256" s="2">
        <v>302</v>
      </c>
      <c r="M256" s="2">
        <v>109.55500000000001</v>
      </c>
      <c r="N256" s="2">
        <v>262</v>
      </c>
      <c r="O256" s="2">
        <v>-9.7198200000000003</v>
      </c>
      <c r="P256" s="2">
        <v>273</v>
      </c>
    </row>
    <row r="257" spans="1:16" ht="12.3" x14ac:dyDescent="0.4">
      <c r="A257" s="2" t="s">
        <v>352</v>
      </c>
      <c r="B257" s="8"/>
      <c r="C257" s="8"/>
      <c r="D257" s="8"/>
      <c r="E257" s="8"/>
      <c r="F257" s="8"/>
      <c r="G257" s="8"/>
      <c r="H257" s="8"/>
      <c r="I257" s="2">
        <v>101.283</v>
      </c>
      <c r="J257" s="2">
        <v>245</v>
      </c>
      <c r="K257" s="2">
        <v>112.239</v>
      </c>
      <c r="L257" s="2">
        <v>330</v>
      </c>
      <c r="M257" s="2">
        <v>114.69499999999999</v>
      </c>
      <c r="N257" s="2">
        <v>326</v>
      </c>
      <c r="O257" s="2">
        <v>-13.4122</v>
      </c>
      <c r="P257" s="2">
        <v>316</v>
      </c>
    </row>
    <row r="258" spans="1:16" ht="12.3" x14ac:dyDescent="0.4">
      <c r="A258" s="2" t="s">
        <v>376</v>
      </c>
      <c r="B258" s="8"/>
      <c r="C258" s="8"/>
      <c r="D258" s="8"/>
      <c r="E258" s="8"/>
      <c r="F258" s="8"/>
      <c r="G258" s="8"/>
      <c r="H258" s="8"/>
      <c r="I258" s="2">
        <v>104.36</v>
      </c>
      <c r="J258" s="2">
        <v>189</v>
      </c>
      <c r="K258" s="2">
        <v>103.617</v>
      </c>
      <c r="L258" s="2">
        <v>172</v>
      </c>
      <c r="M258" s="2">
        <v>106.684</v>
      </c>
      <c r="N258" s="2">
        <v>197</v>
      </c>
      <c r="O258" s="2">
        <v>-2.3237100000000002</v>
      </c>
      <c r="P258" s="2">
        <v>189</v>
      </c>
    </row>
    <row r="259" spans="1:16" ht="12.3" x14ac:dyDescent="0.4">
      <c r="A259" s="2" t="s">
        <v>119</v>
      </c>
      <c r="B259" s="8"/>
      <c r="C259" s="8"/>
      <c r="D259" s="8"/>
      <c r="E259" s="8"/>
      <c r="F259" s="8"/>
      <c r="G259" s="8"/>
      <c r="H259" s="8"/>
      <c r="I259" s="2">
        <v>116.33499999999999</v>
      </c>
      <c r="J259" s="2">
        <v>26</v>
      </c>
      <c r="K259" s="2">
        <v>102.55800000000001</v>
      </c>
      <c r="L259" s="2">
        <v>135</v>
      </c>
      <c r="M259" s="2">
        <v>98.999399999999994</v>
      </c>
      <c r="N259" s="2">
        <v>58</v>
      </c>
      <c r="O259" s="2">
        <v>17.3352</v>
      </c>
      <c r="P259" s="2">
        <v>26</v>
      </c>
    </row>
    <row r="260" spans="1:16" ht="12.3" x14ac:dyDescent="0.4">
      <c r="A260" s="2" t="s">
        <v>196</v>
      </c>
      <c r="B260" s="8"/>
      <c r="C260" s="8"/>
      <c r="D260" s="8"/>
      <c r="E260" s="8"/>
      <c r="F260" s="8"/>
      <c r="G260" s="8"/>
      <c r="H260" s="8"/>
      <c r="I260" s="2">
        <v>96.811999999999998</v>
      </c>
      <c r="J260" s="2">
        <v>316</v>
      </c>
      <c r="K260" s="2">
        <v>107.974</v>
      </c>
      <c r="L260" s="2">
        <v>267</v>
      </c>
      <c r="M260" s="2">
        <v>109.047</v>
      </c>
      <c r="N260" s="2">
        <v>252</v>
      </c>
      <c r="O260" s="2">
        <v>-12.2354</v>
      </c>
      <c r="P260" s="2">
        <v>301</v>
      </c>
    </row>
    <row r="261" spans="1:16" ht="12.3" x14ac:dyDescent="0.4">
      <c r="A261" s="2" t="s">
        <v>373</v>
      </c>
      <c r="B261" s="8"/>
      <c r="C261" s="8"/>
      <c r="D261" s="8"/>
      <c r="E261" s="8"/>
      <c r="F261" s="8"/>
      <c r="G261" s="8"/>
      <c r="H261" s="8"/>
      <c r="I261" s="2">
        <v>99.791300000000007</v>
      </c>
      <c r="J261" s="2">
        <v>263</v>
      </c>
      <c r="K261" s="2">
        <v>111.85899999999999</v>
      </c>
      <c r="L261" s="2">
        <v>326</v>
      </c>
      <c r="M261" s="2">
        <v>113.459</v>
      </c>
      <c r="N261" s="2">
        <v>321</v>
      </c>
      <c r="O261" s="2">
        <v>-13.668100000000001</v>
      </c>
      <c r="P261" s="2">
        <v>318</v>
      </c>
    </row>
    <row r="262" spans="1:16" ht="12.3" x14ac:dyDescent="0.4">
      <c r="A262" s="2" t="s">
        <v>140</v>
      </c>
      <c r="B262" s="8"/>
      <c r="C262" s="8"/>
      <c r="D262" s="8"/>
      <c r="E262" s="8"/>
      <c r="F262" s="8"/>
      <c r="G262" s="8"/>
      <c r="H262" s="8"/>
      <c r="I262" s="2">
        <v>109.895</v>
      </c>
      <c r="J262" s="2">
        <v>86</v>
      </c>
      <c r="K262" s="2">
        <v>99.380300000000005</v>
      </c>
      <c r="L262" s="2">
        <v>54</v>
      </c>
      <c r="M262" s="2">
        <v>101.114</v>
      </c>
      <c r="N262" s="2">
        <v>95</v>
      </c>
      <c r="O262" s="2">
        <v>8.7804400000000005</v>
      </c>
      <c r="P262" s="2">
        <v>85</v>
      </c>
    </row>
    <row r="263" spans="1:16" ht="12.3" x14ac:dyDescent="0.4">
      <c r="A263" s="2" t="s">
        <v>287</v>
      </c>
      <c r="B263" s="8"/>
      <c r="C263" s="8"/>
      <c r="D263" s="8"/>
      <c r="E263" s="8"/>
      <c r="F263" s="8"/>
      <c r="G263" s="8"/>
      <c r="H263" s="8"/>
      <c r="I263" s="2">
        <v>97.202699999999993</v>
      </c>
      <c r="J263" s="2">
        <v>310</v>
      </c>
      <c r="K263" s="2">
        <v>99.582599999999999</v>
      </c>
      <c r="L263" s="2">
        <v>57</v>
      </c>
      <c r="M263" s="2">
        <v>102.508</v>
      </c>
      <c r="N263" s="2">
        <v>117</v>
      </c>
      <c r="O263" s="2">
        <v>-5.3052599999999996</v>
      </c>
      <c r="P263" s="2">
        <v>220</v>
      </c>
    </row>
    <row r="264" spans="1:16" ht="12.3" x14ac:dyDescent="0.4">
      <c r="A264" s="2" t="s">
        <v>17</v>
      </c>
      <c r="B264" s="8"/>
      <c r="C264" s="8"/>
      <c r="D264" s="8"/>
      <c r="E264" s="8"/>
      <c r="F264" s="8"/>
      <c r="G264" s="8"/>
      <c r="H264" s="8"/>
      <c r="I264" s="2">
        <v>105.82599999999999</v>
      </c>
      <c r="J264" s="2">
        <v>158</v>
      </c>
      <c r="K264" s="2">
        <v>99.811000000000007</v>
      </c>
      <c r="L264" s="2">
        <v>62</v>
      </c>
      <c r="M264" s="2">
        <v>95.840900000000005</v>
      </c>
      <c r="N264" s="2">
        <v>19</v>
      </c>
      <c r="O264" s="2">
        <v>9.9855199999999993</v>
      </c>
      <c r="P264" s="2">
        <v>81</v>
      </c>
    </row>
    <row r="265" spans="1:16" ht="12.3" x14ac:dyDescent="0.4">
      <c r="A265" s="2" t="s">
        <v>288</v>
      </c>
      <c r="B265" s="8"/>
      <c r="C265" s="8"/>
      <c r="D265" s="8"/>
      <c r="E265" s="8"/>
      <c r="F265" s="8"/>
      <c r="G265" s="8"/>
      <c r="H265" s="8"/>
      <c r="I265" s="2">
        <v>97.157600000000002</v>
      </c>
      <c r="J265" s="2">
        <v>312</v>
      </c>
      <c r="K265" s="2">
        <v>113.57599999999999</v>
      </c>
      <c r="L265" s="2">
        <v>335</v>
      </c>
      <c r="M265" s="2">
        <v>118.9</v>
      </c>
      <c r="N265" s="2">
        <v>347</v>
      </c>
      <c r="O265" s="2">
        <v>-21.742100000000001</v>
      </c>
      <c r="P265" s="2">
        <v>343</v>
      </c>
    </row>
    <row r="266" spans="1:16" ht="12.3" x14ac:dyDescent="0.4">
      <c r="A266" s="2" t="s">
        <v>377</v>
      </c>
      <c r="B266" s="8"/>
      <c r="C266" s="8"/>
      <c r="D266" s="8"/>
      <c r="E266" s="8"/>
      <c r="F266" s="8"/>
      <c r="G266" s="8"/>
      <c r="H266" s="8"/>
      <c r="I266" s="2">
        <v>110.133</v>
      </c>
      <c r="J266" s="2">
        <v>83</v>
      </c>
      <c r="K266" s="2">
        <v>97.448300000000003</v>
      </c>
      <c r="L266" s="2">
        <v>29</v>
      </c>
      <c r="M266" s="2">
        <v>98.775300000000001</v>
      </c>
      <c r="N266" s="2">
        <v>56</v>
      </c>
      <c r="O266" s="2">
        <v>11.357200000000001</v>
      </c>
      <c r="P266" s="2">
        <v>67</v>
      </c>
    </row>
    <row r="267" spans="1:16" ht="12.3" x14ac:dyDescent="0.4">
      <c r="A267" s="2" t="s">
        <v>362</v>
      </c>
      <c r="B267" s="8"/>
      <c r="C267" s="8"/>
      <c r="D267" s="8"/>
      <c r="E267" s="8"/>
      <c r="F267" s="8"/>
      <c r="G267" s="8"/>
      <c r="H267" s="8"/>
      <c r="I267" s="2">
        <v>114.629</v>
      </c>
      <c r="J267" s="2">
        <v>41</v>
      </c>
      <c r="K267" s="2">
        <v>103.379</v>
      </c>
      <c r="L267" s="2">
        <v>162</v>
      </c>
      <c r="M267" s="2">
        <v>104.038</v>
      </c>
      <c r="N267" s="2">
        <v>148</v>
      </c>
      <c r="O267" s="2">
        <v>10.5907</v>
      </c>
      <c r="P267" s="2">
        <v>75</v>
      </c>
    </row>
    <row r="268" spans="1:16" ht="12.3" x14ac:dyDescent="0.4">
      <c r="A268" s="2" t="s">
        <v>103</v>
      </c>
      <c r="B268" s="8"/>
      <c r="C268" s="8"/>
      <c r="D268" s="8"/>
      <c r="E268" s="8"/>
      <c r="F268" s="8"/>
      <c r="G268" s="8"/>
      <c r="H268" s="8"/>
      <c r="I268" s="2">
        <v>99.147300000000001</v>
      </c>
      <c r="J268" s="2">
        <v>282</v>
      </c>
      <c r="K268" s="2">
        <v>107.744</v>
      </c>
      <c r="L268" s="2">
        <v>265</v>
      </c>
      <c r="M268" s="2">
        <v>109.557</v>
      </c>
      <c r="N268" s="2">
        <v>263</v>
      </c>
      <c r="O268" s="2">
        <v>-10.4093</v>
      </c>
      <c r="P268" s="2">
        <v>280</v>
      </c>
    </row>
    <row r="269" spans="1:16" ht="12.3" x14ac:dyDescent="0.4">
      <c r="A269" s="2" t="s">
        <v>303</v>
      </c>
      <c r="B269" s="8"/>
      <c r="C269" s="8"/>
      <c r="D269" s="8"/>
      <c r="E269" s="8"/>
      <c r="F269" s="8"/>
      <c r="G269" s="8"/>
      <c r="H269" s="8"/>
      <c r="I269" s="2">
        <v>108.69199999999999</v>
      </c>
      <c r="J269" s="2">
        <v>109</v>
      </c>
      <c r="K269" s="2">
        <v>113.14</v>
      </c>
      <c r="L269" s="2">
        <v>334</v>
      </c>
      <c r="M269" s="2">
        <v>116.831</v>
      </c>
      <c r="N269" s="2">
        <v>339</v>
      </c>
      <c r="O269" s="2">
        <v>-8.1395599999999995</v>
      </c>
      <c r="P269" s="2">
        <v>256</v>
      </c>
    </row>
    <row r="270" spans="1:16" ht="12.3" x14ac:dyDescent="0.4">
      <c r="A270" s="2" t="s">
        <v>328</v>
      </c>
      <c r="B270" s="8"/>
      <c r="C270" s="8"/>
      <c r="D270" s="8"/>
      <c r="E270" s="8"/>
      <c r="F270" s="8"/>
      <c r="G270" s="8"/>
      <c r="H270" s="8"/>
      <c r="I270" s="2">
        <v>103.383</v>
      </c>
      <c r="J270" s="2">
        <v>209</v>
      </c>
      <c r="K270" s="2">
        <v>101.23399999999999</v>
      </c>
      <c r="L270" s="2">
        <v>97</v>
      </c>
      <c r="M270" s="2">
        <v>105.803</v>
      </c>
      <c r="N270" s="2">
        <v>182</v>
      </c>
      <c r="O270" s="2">
        <v>-2.41981</v>
      </c>
      <c r="P270" s="2">
        <v>190</v>
      </c>
    </row>
    <row r="271" spans="1:16" ht="12.3" x14ac:dyDescent="0.4">
      <c r="A271" s="2" t="s">
        <v>338</v>
      </c>
      <c r="B271" s="8"/>
      <c r="C271" s="8"/>
      <c r="D271" s="8"/>
      <c r="E271" s="8"/>
      <c r="F271" s="8"/>
      <c r="G271" s="8"/>
      <c r="H271" s="8"/>
      <c r="I271" s="2">
        <v>94.436099999999996</v>
      </c>
      <c r="J271" s="2">
        <v>336</v>
      </c>
      <c r="K271" s="2">
        <v>103.453</v>
      </c>
      <c r="L271" s="2">
        <v>164</v>
      </c>
      <c r="M271" s="2">
        <v>110.15900000000001</v>
      </c>
      <c r="N271" s="2">
        <v>270</v>
      </c>
      <c r="O271" s="2">
        <v>-15.7227</v>
      </c>
      <c r="P271" s="2">
        <v>327</v>
      </c>
    </row>
    <row r="272" spans="1:16" ht="12.3" x14ac:dyDescent="0.4">
      <c r="A272" s="2" t="s">
        <v>82</v>
      </c>
      <c r="B272" s="8"/>
      <c r="C272" s="8"/>
      <c r="D272" s="8"/>
      <c r="E272" s="8"/>
      <c r="F272" s="8"/>
      <c r="G272" s="8"/>
      <c r="H272" s="8"/>
      <c r="I272" s="2">
        <v>106.375</v>
      </c>
      <c r="J272" s="2">
        <v>149</v>
      </c>
      <c r="K272" s="2">
        <v>102.09099999999999</v>
      </c>
      <c r="L272" s="2">
        <v>124</v>
      </c>
      <c r="M272" s="2">
        <v>103.712</v>
      </c>
      <c r="N272" s="2">
        <v>136</v>
      </c>
      <c r="O272" s="2">
        <v>2.66309</v>
      </c>
      <c r="P272" s="2">
        <v>137</v>
      </c>
    </row>
    <row r="273" spans="1:16" ht="12.3" x14ac:dyDescent="0.4">
      <c r="A273" s="2" t="s">
        <v>175</v>
      </c>
      <c r="B273" s="8"/>
      <c r="C273" s="8"/>
      <c r="D273" s="8"/>
      <c r="E273" s="8"/>
      <c r="F273" s="8"/>
      <c r="G273" s="8"/>
      <c r="H273" s="8"/>
      <c r="I273" s="2">
        <v>105.745</v>
      </c>
      <c r="J273" s="2">
        <v>162</v>
      </c>
      <c r="K273" s="2">
        <v>109.928</v>
      </c>
      <c r="L273" s="2">
        <v>296</v>
      </c>
      <c r="M273" s="2">
        <v>110.633</v>
      </c>
      <c r="N273" s="2">
        <v>283</v>
      </c>
      <c r="O273" s="2">
        <v>-4.8885300000000003</v>
      </c>
      <c r="P273" s="2">
        <v>217</v>
      </c>
    </row>
    <row r="274" spans="1:16" ht="12.3" x14ac:dyDescent="0.4">
      <c r="A274" s="2" t="s">
        <v>237</v>
      </c>
      <c r="B274" s="8"/>
      <c r="C274" s="8"/>
      <c r="D274" s="8"/>
      <c r="E274" s="8"/>
      <c r="F274" s="8"/>
      <c r="G274" s="8"/>
      <c r="H274" s="8"/>
      <c r="I274" s="2">
        <v>102.71</v>
      </c>
      <c r="J274" s="2">
        <v>219</v>
      </c>
      <c r="K274" s="2">
        <v>110.96</v>
      </c>
      <c r="L274" s="2">
        <v>316</v>
      </c>
      <c r="M274" s="2">
        <v>110.178</v>
      </c>
      <c r="N274" s="2">
        <v>271</v>
      </c>
      <c r="O274" s="2">
        <v>-7.4685100000000002</v>
      </c>
      <c r="P274" s="2">
        <v>245</v>
      </c>
    </row>
    <row r="275" spans="1:16" ht="12.3" x14ac:dyDescent="0.4">
      <c r="A275" s="2" t="s">
        <v>106</v>
      </c>
      <c r="B275" s="8"/>
      <c r="C275" s="8"/>
      <c r="D275" s="8"/>
      <c r="E275" s="8"/>
      <c r="F275" s="8"/>
      <c r="G275" s="8"/>
      <c r="H275" s="8"/>
      <c r="I275" s="2">
        <v>112.288</v>
      </c>
      <c r="J275" s="2">
        <v>59</v>
      </c>
      <c r="K275" s="2">
        <v>101.078</v>
      </c>
      <c r="L275" s="2">
        <v>93</v>
      </c>
      <c r="M275" s="2">
        <v>101.093</v>
      </c>
      <c r="N275" s="2">
        <v>94</v>
      </c>
      <c r="O275" s="2">
        <v>11.195399999999999</v>
      </c>
      <c r="P275" s="2">
        <v>69</v>
      </c>
    </row>
    <row r="276" spans="1:16" ht="12.3" x14ac:dyDescent="0.4">
      <c r="A276" s="2" t="s">
        <v>277</v>
      </c>
      <c r="B276" s="8"/>
      <c r="C276" s="8"/>
      <c r="D276" s="8"/>
      <c r="E276" s="8"/>
      <c r="F276" s="8"/>
      <c r="G276" s="8"/>
      <c r="H276" s="8"/>
      <c r="I276" s="2">
        <v>99.0672</v>
      </c>
      <c r="J276" s="2">
        <v>283</v>
      </c>
      <c r="K276" s="2">
        <v>107.036</v>
      </c>
      <c r="L276" s="2">
        <v>251</v>
      </c>
      <c r="M276" s="2">
        <v>111.88500000000001</v>
      </c>
      <c r="N276" s="2">
        <v>302</v>
      </c>
      <c r="O276" s="2">
        <v>-12.817500000000001</v>
      </c>
      <c r="P276" s="2">
        <v>310</v>
      </c>
    </row>
    <row r="277" spans="1:16" ht="12.3" x14ac:dyDescent="0.4">
      <c r="A277" s="2" t="s">
        <v>332</v>
      </c>
      <c r="B277" s="8"/>
      <c r="C277" s="8"/>
      <c r="D277" s="8"/>
      <c r="E277" s="8"/>
      <c r="F277" s="8"/>
      <c r="G277" s="8"/>
      <c r="H277" s="8"/>
      <c r="I277" s="2">
        <v>107.492</v>
      </c>
      <c r="J277" s="2">
        <v>133</v>
      </c>
      <c r="K277" s="2">
        <v>107.38</v>
      </c>
      <c r="L277" s="2">
        <v>257</v>
      </c>
      <c r="M277" s="2">
        <v>111.2</v>
      </c>
      <c r="N277" s="2">
        <v>295</v>
      </c>
      <c r="O277" s="2">
        <v>-3.70886</v>
      </c>
      <c r="P277" s="2">
        <v>204</v>
      </c>
    </row>
    <row r="278" spans="1:16" ht="12.3" x14ac:dyDescent="0.4">
      <c r="A278" s="2" t="s">
        <v>102</v>
      </c>
      <c r="B278" s="8"/>
      <c r="C278" s="8"/>
      <c r="D278" s="8"/>
      <c r="E278" s="8"/>
      <c r="F278" s="8"/>
      <c r="G278" s="8"/>
      <c r="H278" s="8"/>
      <c r="I278" s="2">
        <v>106.673</v>
      </c>
      <c r="J278" s="2">
        <v>143</v>
      </c>
      <c r="K278" s="2">
        <v>101.858</v>
      </c>
      <c r="L278" s="2">
        <v>116</v>
      </c>
      <c r="M278" s="2">
        <v>96.585599999999999</v>
      </c>
      <c r="N278" s="2">
        <v>29</v>
      </c>
      <c r="O278" s="2">
        <v>10.0876</v>
      </c>
      <c r="P278" s="2">
        <v>80</v>
      </c>
    </row>
    <row r="279" spans="1:16" ht="12.3" x14ac:dyDescent="0.4">
      <c r="A279" s="2" t="s">
        <v>52</v>
      </c>
      <c r="B279" s="8"/>
      <c r="C279" s="8"/>
      <c r="D279" s="8"/>
      <c r="E279" s="8"/>
      <c r="F279" s="8"/>
      <c r="G279" s="8"/>
      <c r="H279" s="8"/>
      <c r="I279" s="2">
        <v>108.482</v>
      </c>
      <c r="J279" s="2">
        <v>114</v>
      </c>
      <c r="K279" s="2">
        <v>103.184</v>
      </c>
      <c r="L279" s="2">
        <v>157</v>
      </c>
      <c r="M279" s="2">
        <v>99.686199999999999</v>
      </c>
      <c r="N279" s="2">
        <v>71</v>
      </c>
      <c r="O279" s="2">
        <v>8.7954600000000003</v>
      </c>
      <c r="P279" s="2">
        <v>84</v>
      </c>
    </row>
    <row r="280" spans="1:16" ht="12.3" x14ac:dyDescent="0.4">
      <c r="A280" s="2" t="s">
        <v>282</v>
      </c>
      <c r="B280" s="8"/>
      <c r="C280" s="8"/>
      <c r="D280" s="8"/>
      <c r="E280" s="8"/>
      <c r="F280" s="8"/>
      <c r="G280" s="8"/>
      <c r="H280" s="8"/>
      <c r="I280" s="2">
        <v>104.983</v>
      </c>
      <c r="J280" s="2">
        <v>177</v>
      </c>
      <c r="K280" s="2">
        <v>93.961799999999997</v>
      </c>
      <c r="L280" s="2">
        <v>8</v>
      </c>
      <c r="M280" s="2">
        <v>99.420599999999993</v>
      </c>
      <c r="N280" s="2">
        <v>67</v>
      </c>
      <c r="O280" s="2">
        <v>5.5628900000000003</v>
      </c>
      <c r="P280" s="2">
        <v>111</v>
      </c>
    </row>
    <row r="281" spans="1:16" ht="12.3" x14ac:dyDescent="0.4">
      <c r="A281" s="2" t="s">
        <v>298</v>
      </c>
      <c r="B281" s="8"/>
      <c r="C281" s="8"/>
      <c r="D281" s="8"/>
      <c r="E281" s="8"/>
      <c r="F281" s="8"/>
      <c r="G281" s="8"/>
      <c r="H281" s="8"/>
      <c r="I281" s="2">
        <v>98.804199999999994</v>
      </c>
      <c r="J281" s="2">
        <v>289</v>
      </c>
      <c r="K281" s="2">
        <v>108.339</v>
      </c>
      <c r="L281" s="2">
        <v>272</v>
      </c>
      <c r="M281" s="2">
        <v>112.142</v>
      </c>
      <c r="N281" s="2">
        <v>306</v>
      </c>
      <c r="O281" s="2">
        <v>-13.3378</v>
      </c>
      <c r="P281" s="2">
        <v>314</v>
      </c>
    </row>
    <row r="282" spans="1:16" ht="12.3" x14ac:dyDescent="0.4">
      <c r="A282" s="2" t="s">
        <v>336</v>
      </c>
      <c r="B282" s="8"/>
      <c r="C282" s="8"/>
      <c r="D282" s="8"/>
      <c r="E282" s="8"/>
      <c r="F282" s="8"/>
      <c r="G282" s="8"/>
      <c r="H282" s="8"/>
      <c r="I282" s="2">
        <v>96.980900000000005</v>
      </c>
      <c r="J282" s="2">
        <v>314</v>
      </c>
      <c r="K282" s="2">
        <v>101.494</v>
      </c>
      <c r="L282" s="2">
        <v>109</v>
      </c>
      <c r="M282" s="2">
        <v>102.508</v>
      </c>
      <c r="N282" s="2">
        <v>116</v>
      </c>
      <c r="O282" s="2">
        <v>-5.52705</v>
      </c>
      <c r="P282" s="2">
        <v>224</v>
      </c>
    </row>
    <row r="283" spans="1:16" ht="12.3" x14ac:dyDescent="0.4">
      <c r="A283" s="2" t="s">
        <v>23</v>
      </c>
      <c r="B283" s="8"/>
      <c r="C283" s="8"/>
      <c r="D283" s="8"/>
      <c r="E283" s="8"/>
      <c r="F283" s="8"/>
      <c r="G283" s="8"/>
      <c r="H283" s="8"/>
      <c r="I283" s="2">
        <v>107.705</v>
      </c>
      <c r="J283" s="2">
        <v>128</v>
      </c>
      <c r="K283" s="2">
        <v>98.328900000000004</v>
      </c>
      <c r="L283" s="2">
        <v>35</v>
      </c>
      <c r="M283" s="2">
        <v>94.112200000000001</v>
      </c>
      <c r="N283" s="2">
        <v>11</v>
      </c>
      <c r="O283" s="2">
        <v>13.5929</v>
      </c>
      <c r="P283" s="2">
        <v>54</v>
      </c>
    </row>
    <row r="284" spans="1:16" ht="12.3" x14ac:dyDescent="0.4">
      <c r="A284" s="2" t="s">
        <v>142</v>
      </c>
      <c r="B284" s="8"/>
      <c r="C284" s="8"/>
      <c r="D284" s="8"/>
      <c r="E284" s="8"/>
      <c r="F284" s="8"/>
      <c r="G284" s="8"/>
      <c r="H284" s="8"/>
      <c r="I284" s="2">
        <v>120.625</v>
      </c>
      <c r="J284" s="2">
        <v>8</v>
      </c>
      <c r="K284" s="2">
        <v>106.375</v>
      </c>
      <c r="L284" s="2">
        <v>241</v>
      </c>
      <c r="M284" s="2">
        <v>101.705</v>
      </c>
      <c r="N284" s="2">
        <v>104</v>
      </c>
      <c r="O284" s="2">
        <v>18.920100000000001</v>
      </c>
      <c r="P284" s="2">
        <v>22</v>
      </c>
    </row>
    <row r="285" spans="1:16" ht="12.3" x14ac:dyDescent="0.4">
      <c r="A285" s="2" t="s">
        <v>88</v>
      </c>
      <c r="B285" s="8"/>
      <c r="C285" s="8"/>
      <c r="D285" s="8"/>
      <c r="E285" s="8"/>
      <c r="F285" s="8"/>
      <c r="G285" s="8"/>
      <c r="H285" s="8"/>
      <c r="I285" s="2">
        <v>109.06100000000001</v>
      </c>
      <c r="J285" s="2">
        <v>100</v>
      </c>
      <c r="K285" s="2">
        <v>103.771</v>
      </c>
      <c r="L285" s="2">
        <v>175</v>
      </c>
      <c r="M285" s="2">
        <v>100.774</v>
      </c>
      <c r="N285" s="2">
        <v>88</v>
      </c>
      <c r="O285" s="2">
        <v>8.2874499999999998</v>
      </c>
      <c r="P285" s="2">
        <v>86</v>
      </c>
    </row>
    <row r="286" spans="1:16" ht="12.3" x14ac:dyDescent="0.4">
      <c r="A286" s="2" t="s">
        <v>81</v>
      </c>
      <c r="B286" s="8"/>
      <c r="C286" s="8"/>
      <c r="D286" s="8"/>
      <c r="E286" s="8"/>
      <c r="F286" s="8"/>
      <c r="G286" s="8"/>
      <c r="H286" s="8"/>
      <c r="I286" s="2">
        <v>114.839</v>
      </c>
      <c r="J286" s="2">
        <v>40</v>
      </c>
      <c r="K286" s="2">
        <v>97.882499999999993</v>
      </c>
      <c r="L286" s="2">
        <v>33</v>
      </c>
      <c r="M286" s="2">
        <v>92.690100000000001</v>
      </c>
      <c r="N286" s="2">
        <v>4</v>
      </c>
      <c r="O286" s="2">
        <v>22.148599999999998</v>
      </c>
      <c r="P286" s="2">
        <v>11</v>
      </c>
    </row>
    <row r="287" spans="1:16" ht="12.3" x14ac:dyDescent="0.4">
      <c r="A287" s="2" t="s">
        <v>280</v>
      </c>
      <c r="B287" s="8"/>
      <c r="C287" s="8"/>
      <c r="D287" s="8"/>
      <c r="E287" s="8"/>
      <c r="F287" s="8"/>
      <c r="G287" s="8"/>
      <c r="H287" s="8"/>
      <c r="I287" s="2">
        <v>95.796300000000002</v>
      </c>
      <c r="J287" s="2">
        <v>328</v>
      </c>
      <c r="K287" s="2">
        <v>105.66500000000001</v>
      </c>
      <c r="L287" s="2">
        <v>226</v>
      </c>
      <c r="M287" s="2">
        <v>107.52800000000001</v>
      </c>
      <c r="N287" s="2">
        <v>217</v>
      </c>
      <c r="O287" s="2">
        <v>-11.731199999999999</v>
      </c>
      <c r="P287" s="2">
        <v>293</v>
      </c>
    </row>
    <row r="288" spans="1:16" ht="12.3" x14ac:dyDescent="0.4">
      <c r="A288" s="2" t="s">
        <v>268</v>
      </c>
      <c r="B288" s="8"/>
      <c r="C288" s="8"/>
      <c r="D288" s="8"/>
      <c r="E288" s="8"/>
      <c r="F288" s="8"/>
      <c r="G288" s="8"/>
      <c r="H288" s="8"/>
      <c r="I288" s="2">
        <v>97.831400000000002</v>
      </c>
      <c r="J288" s="2">
        <v>307</v>
      </c>
      <c r="K288" s="2">
        <v>99.943299999999994</v>
      </c>
      <c r="L288" s="2">
        <v>66</v>
      </c>
      <c r="M288" s="2">
        <v>101.199</v>
      </c>
      <c r="N288" s="2">
        <v>97</v>
      </c>
      <c r="O288" s="2">
        <v>-3.3671600000000002</v>
      </c>
      <c r="P288" s="2">
        <v>198</v>
      </c>
    </row>
    <row r="289" spans="1:16" ht="12.3" x14ac:dyDescent="0.4">
      <c r="A289" s="2" t="s">
        <v>114</v>
      </c>
      <c r="B289" s="8"/>
      <c r="C289" s="8"/>
      <c r="D289" s="8"/>
      <c r="E289" s="8"/>
      <c r="F289" s="8"/>
      <c r="G289" s="8"/>
      <c r="H289" s="8"/>
      <c r="I289" s="2">
        <v>98.851799999999997</v>
      </c>
      <c r="J289" s="2">
        <v>288</v>
      </c>
      <c r="K289" s="2">
        <v>102.64400000000001</v>
      </c>
      <c r="L289" s="2">
        <v>137</v>
      </c>
      <c r="M289" s="2">
        <v>103.99</v>
      </c>
      <c r="N289" s="2">
        <v>147</v>
      </c>
      <c r="O289" s="2">
        <v>-5.1377300000000004</v>
      </c>
      <c r="P289" s="2">
        <v>218</v>
      </c>
    </row>
    <row r="290" spans="1:16" ht="12.3" x14ac:dyDescent="0.4">
      <c r="A290" s="2" t="s">
        <v>67</v>
      </c>
      <c r="B290" s="8"/>
      <c r="C290" s="8"/>
      <c r="D290" s="8"/>
      <c r="E290" s="8"/>
      <c r="F290" s="8"/>
      <c r="G290" s="8"/>
      <c r="H290" s="8"/>
      <c r="I290" s="2">
        <v>109.372</v>
      </c>
      <c r="J290" s="2">
        <v>94</v>
      </c>
      <c r="K290" s="2">
        <v>98.631</v>
      </c>
      <c r="L290" s="2">
        <v>43</v>
      </c>
      <c r="M290" s="2">
        <v>93.914000000000001</v>
      </c>
      <c r="N290" s="2">
        <v>10</v>
      </c>
      <c r="O290" s="2">
        <v>15.457700000000001</v>
      </c>
      <c r="P290" s="2">
        <v>39</v>
      </c>
    </row>
    <row r="291" spans="1:16" ht="12.3" x14ac:dyDescent="0.4">
      <c r="A291" s="2" t="s">
        <v>248</v>
      </c>
      <c r="B291" s="8"/>
      <c r="C291" s="8"/>
      <c r="D291" s="8"/>
      <c r="E291" s="8"/>
      <c r="F291" s="8"/>
      <c r="G291" s="8"/>
      <c r="H291" s="8"/>
      <c r="I291" s="2">
        <v>111.20399999999999</v>
      </c>
      <c r="J291" s="2">
        <v>71</v>
      </c>
      <c r="K291" s="2">
        <v>99.063900000000004</v>
      </c>
      <c r="L291" s="2">
        <v>48</v>
      </c>
      <c r="M291" s="2">
        <v>94.294899999999998</v>
      </c>
      <c r="N291" s="2">
        <v>12</v>
      </c>
      <c r="O291" s="2">
        <v>16.9086</v>
      </c>
      <c r="P291" s="2">
        <v>30</v>
      </c>
    </row>
    <row r="292" spans="1:16" ht="12.3" x14ac:dyDescent="0.4">
      <c r="A292" s="2" t="s">
        <v>276</v>
      </c>
      <c r="B292" s="8"/>
      <c r="C292" s="8"/>
      <c r="D292" s="8"/>
      <c r="E292" s="8"/>
      <c r="F292" s="8"/>
      <c r="G292" s="8"/>
      <c r="H292" s="8"/>
      <c r="I292" s="2">
        <v>94.861800000000002</v>
      </c>
      <c r="J292" s="2">
        <v>333</v>
      </c>
      <c r="K292" s="2">
        <v>103.29</v>
      </c>
      <c r="L292" s="2">
        <v>161</v>
      </c>
      <c r="M292" s="2">
        <v>107.79300000000001</v>
      </c>
      <c r="N292" s="2">
        <v>224</v>
      </c>
      <c r="O292" s="2">
        <v>-12.930899999999999</v>
      </c>
      <c r="P292" s="2">
        <v>312</v>
      </c>
    </row>
    <row r="293" spans="1:16" ht="12.3" x14ac:dyDescent="0.4">
      <c r="A293" s="2" t="s">
        <v>325</v>
      </c>
      <c r="B293" s="8"/>
      <c r="C293" s="8"/>
      <c r="D293" s="8"/>
      <c r="E293" s="8"/>
      <c r="F293" s="8"/>
      <c r="G293" s="8"/>
      <c r="H293" s="8"/>
      <c r="I293" s="2">
        <v>105.28100000000001</v>
      </c>
      <c r="J293" s="2">
        <v>173</v>
      </c>
      <c r="K293" s="2">
        <v>109.31100000000001</v>
      </c>
      <c r="L293" s="2">
        <v>287</v>
      </c>
      <c r="M293" s="2">
        <v>112.94</v>
      </c>
      <c r="N293" s="2">
        <v>315</v>
      </c>
      <c r="O293" s="2">
        <v>-7.6589999999999998</v>
      </c>
      <c r="P293" s="2">
        <v>249</v>
      </c>
    </row>
    <row r="294" spans="1:16" ht="12.3" x14ac:dyDescent="0.4">
      <c r="A294" s="2" t="s">
        <v>354</v>
      </c>
      <c r="B294" s="8"/>
      <c r="C294" s="8"/>
      <c r="D294" s="8"/>
      <c r="E294" s="8"/>
      <c r="F294" s="8"/>
      <c r="G294" s="8"/>
      <c r="H294" s="8"/>
      <c r="I294" s="2">
        <v>100.13</v>
      </c>
      <c r="J294" s="2">
        <v>258</v>
      </c>
      <c r="K294" s="2">
        <v>102.971</v>
      </c>
      <c r="L294" s="2">
        <v>148</v>
      </c>
      <c r="M294" s="2">
        <v>105.812</v>
      </c>
      <c r="N294" s="2">
        <v>184</v>
      </c>
      <c r="O294" s="2">
        <v>-5.68248</v>
      </c>
      <c r="P294" s="2">
        <v>228</v>
      </c>
    </row>
    <row r="295" spans="1:16" ht="12.3" x14ac:dyDescent="0.4">
      <c r="A295" s="2" t="s">
        <v>59</v>
      </c>
      <c r="B295" s="8"/>
      <c r="C295" s="8"/>
      <c r="D295" s="8"/>
      <c r="E295" s="8"/>
      <c r="F295" s="8"/>
      <c r="G295" s="8"/>
      <c r="H295" s="8"/>
      <c r="I295" s="2">
        <v>114.03</v>
      </c>
      <c r="J295" s="2">
        <v>46</v>
      </c>
      <c r="K295" s="2">
        <v>94.208299999999994</v>
      </c>
      <c r="L295" s="2">
        <v>10</v>
      </c>
      <c r="M295" s="2">
        <v>92.087299999999999</v>
      </c>
      <c r="N295" s="2">
        <v>3</v>
      </c>
      <c r="O295" s="2">
        <v>21.942399999999999</v>
      </c>
      <c r="P295" s="2">
        <v>12</v>
      </c>
    </row>
    <row r="296" spans="1:16" ht="12.3" x14ac:dyDescent="0.4">
      <c r="A296" s="2" t="s">
        <v>179</v>
      </c>
      <c r="B296" s="8"/>
      <c r="C296" s="8"/>
      <c r="D296" s="8"/>
      <c r="E296" s="8"/>
      <c r="F296" s="8"/>
      <c r="G296" s="8"/>
      <c r="H296" s="8"/>
      <c r="I296" s="2">
        <v>101.9</v>
      </c>
      <c r="J296" s="2">
        <v>238</v>
      </c>
      <c r="K296" s="2">
        <v>113.92100000000001</v>
      </c>
      <c r="L296" s="2">
        <v>337</v>
      </c>
      <c r="M296" s="2">
        <v>115.29600000000001</v>
      </c>
      <c r="N296" s="2">
        <v>331</v>
      </c>
      <c r="O296" s="2">
        <v>-13.3963</v>
      </c>
      <c r="P296" s="2">
        <v>315</v>
      </c>
    </row>
    <row r="297" spans="1:16" ht="12.3" x14ac:dyDescent="0.4">
      <c r="A297" s="2" t="s">
        <v>186</v>
      </c>
      <c r="B297" s="8"/>
      <c r="C297" s="8"/>
      <c r="D297" s="8"/>
      <c r="E297" s="8"/>
      <c r="F297" s="8"/>
      <c r="G297" s="8"/>
      <c r="H297" s="8"/>
      <c r="I297" s="2">
        <v>114.05800000000001</v>
      </c>
      <c r="J297" s="2">
        <v>45</v>
      </c>
      <c r="K297" s="2">
        <v>107.03100000000001</v>
      </c>
      <c r="L297" s="2">
        <v>250</v>
      </c>
      <c r="M297" s="2">
        <v>109.116</v>
      </c>
      <c r="N297" s="2">
        <v>255</v>
      </c>
      <c r="O297" s="2">
        <v>4.9413900000000002</v>
      </c>
      <c r="P297" s="2">
        <v>119</v>
      </c>
    </row>
    <row r="298" spans="1:16" ht="12.3" x14ac:dyDescent="0.4">
      <c r="A298" s="2" t="s">
        <v>293</v>
      </c>
      <c r="B298" s="8"/>
      <c r="C298" s="8"/>
      <c r="D298" s="8"/>
      <c r="E298" s="8"/>
      <c r="F298" s="8"/>
      <c r="G298" s="8"/>
      <c r="H298" s="8"/>
      <c r="I298" s="2">
        <v>106.14100000000001</v>
      </c>
      <c r="J298" s="2">
        <v>153</v>
      </c>
      <c r="K298" s="2">
        <v>103.562</v>
      </c>
      <c r="L298" s="2">
        <v>170</v>
      </c>
      <c r="M298" s="2">
        <v>105.123</v>
      </c>
      <c r="N298" s="2">
        <v>165</v>
      </c>
      <c r="O298" s="2">
        <v>1.0181199999999999</v>
      </c>
      <c r="P298" s="2">
        <v>160</v>
      </c>
    </row>
    <row r="299" spans="1:16" ht="12.3" x14ac:dyDescent="0.4">
      <c r="A299" s="2" t="s">
        <v>356</v>
      </c>
      <c r="B299" s="8"/>
      <c r="C299" s="8"/>
      <c r="D299" s="8"/>
      <c r="E299" s="8"/>
      <c r="F299" s="8"/>
      <c r="G299" s="8"/>
      <c r="H299" s="8"/>
      <c r="I299" s="2">
        <v>106.447</v>
      </c>
      <c r="J299" s="2">
        <v>146</v>
      </c>
      <c r="K299" s="2">
        <v>104.742</v>
      </c>
      <c r="L299" s="2">
        <v>200</v>
      </c>
      <c r="M299" s="2">
        <v>106.831</v>
      </c>
      <c r="N299" s="2">
        <v>198</v>
      </c>
      <c r="O299" s="2">
        <v>-0.38372800000000001</v>
      </c>
      <c r="P299" s="2">
        <v>176</v>
      </c>
    </row>
    <row r="300" spans="1:16" ht="12.3" x14ac:dyDescent="0.4">
      <c r="A300" s="2" t="s">
        <v>161</v>
      </c>
      <c r="B300" s="8"/>
      <c r="C300" s="8"/>
      <c r="D300" s="8"/>
      <c r="E300" s="8"/>
      <c r="F300" s="8"/>
      <c r="G300" s="8"/>
      <c r="H300" s="8"/>
      <c r="I300" s="2">
        <v>107.196</v>
      </c>
      <c r="J300" s="2">
        <v>138</v>
      </c>
      <c r="K300" s="2">
        <v>105.514</v>
      </c>
      <c r="L300" s="2">
        <v>223</v>
      </c>
      <c r="M300" s="2">
        <v>107.02</v>
      </c>
      <c r="N300" s="2">
        <v>206</v>
      </c>
      <c r="O300" s="2">
        <v>0.176511</v>
      </c>
      <c r="P300" s="2">
        <v>167</v>
      </c>
    </row>
    <row r="301" spans="1:16" ht="12.3" x14ac:dyDescent="0.4">
      <c r="A301" s="2" t="s">
        <v>69</v>
      </c>
      <c r="B301" s="8"/>
      <c r="C301" s="8"/>
      <c r="D301" s="8"/>
      <c r="E301" s="8"/>
      <c r="F301" s="8"/>
      <c r="G301" s="8"/>
      <c r="H301" s="8"/>
      <c r="I301" s="2">
        <v>108.59099999999999</v>
      </c>
      <c r="J301" s="2">
        <v>112</v>
      </c>
      <c r="K301" s="2">
        <v>102.68300000000001</v>
      </c>
      <c r="L301" s="2">
        <v>138</v>
      </c>
      <c r="M301" s="2">
        <v>102.41500000000001</v>
      </c>
      <c r="N301" s="2">
        <v>113</v>
      </c>
      <c r="O301" s="2">
        <v>6.1751899999999997</v>
      </c>
      <c r="P301" s="2">
        <v>107</v>
      </c>
    </row>
    <row r="302" spans="1:16" ht="12.3" x14ac:dyDescent="0.4">
      <c r="A302" s="2" t="s">
        <v>128</v>
      </c>
      <c r="B302" s="8"/>
      <c r="C302" s="8"/>
      <c r="D302" s="8"/>
      <c r="E302" s="8"/>
      <c r="F302" s="8"/>
      <c r="G302" s="8"/>
      <c r="H302" s="8"/>
      <c r="I302" s="2">
        <v>109.533</v>
      </c>
      <c r="J302" s="2">
        <v>92</v>
      </c>
      <c r="K302" s="2">
        <v>101.643</v>
      </c>
      <c r="L302" s="2">
        <v>113</v>
      </c>
      <c r="M302" s="2">
        <v>104.06</v>
      </c>
      <c r="N302" s="2">
        <v>149</v>
      </c>
      <c r="O302" s="2">
        <v>5.4731300000000003</v>
      </c>
      <c r="P302" s="2">
        <v>113</v>
      </c>
    </row>
    <row r="303" spans="1:16" ht="12.3" x14ac:dyDescent="0.4">
      <c r="A303" s="2" t="s">
        <v>357</v>
      </c>
      <c r="B303" s="8"/>
      <c r="C303" s="8"/>
      <c r="D303" s="8"/>
      <c r="E303" s="8"/>
      <c r="F303" s="8"/>
      <c r="G303" s="8"/>
      <c r="H303" s="8"/>
      <c r="I303" s="2">
        <v>104.729</v>
      </c>
      <c r="J303" s="2">
        <v>184</v>
      </c>
      <c r="K303" s="2">
        <v>98.595600000000005</v>
      </c>
      <c r="L303" s="2">
        <v>40</v>
      </c>
      <c r="M303" s="2">
        <v>101.128</v>
      </c>
      <c r="N303" s="2">
        <v>96</v>
      </c>
      <c r="O303" s="2">
        <v>3.6012400000000002</v>
      </c>
      <c r="P303" s="2">
        <v>128</v>
      </c>
    </row>
    <row r="304" spans="1:16" ht="12.3" x14ac:dyDescent="0.4">
      <c r="A304" s="2" t="s">
        <v>110</v>
      </c>
      <c r="B304" s="8"/>
      <c r="C304" s="8"/>
      <c r="D304" s="8"/>
      <c r="E304" s="8"/>
      <c r="F304" s="8"/>
      <c r="G304" s="8"/>
      <c r="H304" s="8"/>
      <c r="I304" s="2">
        <v>100.538</v>
      </c>
      <c r="J304" s="2">
        <v>253</v>
      </c>
      <c r="K304" s="2">
        <v>98.3643</v>
      </c>
      <c r="L304" s="2">
        <v>36</v>
      </c>
      <c r="M304" s="2">
        <v>98.042599999999993</v>
      </c>
      <c r="N304" s="2">
        <v>50</v>
      </c>
      <c r="O304" s="2">
        <v>2.4958100000000001</v>
      </c>
      <c r="P304" s="2">
        <v>140</v>
      </c>
    </row>
    <row r="305" spans="1:16" ht="12.3" x14ac:dyDescent="0.4">
      <c r="A305" s="2" t="s">
        <v>284</v>
      </c>
      <c r="B305" s="8"/>
      <c r="C305" s="8"/>
      <c r="D305" s="8"/>
      <c r="E305" s="8"/>
      <c r="F305" s="8"/>
      <c r="G305" s="8"/>
      <c r="H305" s="8"/>
      <c r="I305" s="2">
        <v>94.947699999999998</v>
      </c>
      <c r="J305" s="2">
        <v>332</v>
      </c>
      <c r="K305" s="2">
        <v>102.73</v>
      </c>
      <c r="L305" s="2">
        <v>140</v>
      </c>
      <c r="M305" s="2">
        <v>103.74299999999999</v>
      </c>
      <c r="N305" s="2">
        <v>137</v>
      </c>
      <c r="O305" s="2">
        <v>-8.7952700000000004</v>
      </c>
      <c r="P305" s="2">
        <v>262</v>
      </c>
    </row>
    <row r="306" spans="1:16" ht="12.3" x14ac:dyDescent="0.4">
      <c r="A306" s="2" t="s">
        <v>104</v>
      </c>
      <c r="B306" s="8"/>
      <c r="C306" s="8"/>
      <c r="D306" s="8"/>
      <c r="E306" s="8"/>
      <c r="F306" s="8"/>
      <c r="G306" s="8"/>
      <c r="H306" s="8"/>
      <c r="I306" s="2">
        <v>111.90900000000001</v>
      </c>
      <c r="J306" s="2">
        <v>63</v>
      </c>
      <c r="K306" s="2">
        <v>103.19199999999999</v>
      </c>
      <c r="L306" s="2">
        <v>158</v>
      </c>
      <c r="M306" s="2">
        <v>107.21899999999999</v>
      </c>
      <c r="N306" s="2">
        <v>210</v>
      </c>
      <c r="O306" s="2">
        <v>4.6898099999999996</v>
      </c>
      <c r="P306" s="2">
        <v>121</v>
      </c>
    </row>
    <row r="307" spans="1:16" ht="12.3" x14ac:dyDescent="0.4">
      <c r="A307" s="2" t="s">
        <v>177</v>
      </c>
      <c r="B307" s="9"/>
      <c r="C307" s="8"/>
      <c r="D307" s="8"/>
      <c r="E307" s="8"/>
      <c r="F307" s="8"/>
      <c r="G307" s="8"/>
      <c r="H307" s="8"/>
      <c r="I307" s="2">
        <v>99.235100000000003</v>
      </c>
      <c r="J307" s="2">
        <v>278</v>
      </c>
      <c r="K307" s="2">
        <v>94.501099999999994</v>
      </c>
      <c r="L307" s="2">
        <v>11</v>
      </c>
      <c r="M307" s="2">
        <v>93.435100000000006</v>
      </c>
      <c r="N307" s="2">
        <v>6</v>
      </c>
      <c r="O307" s="2">
        <v>5.7999700000000001</v>
      </c>
      <c r="P307" s="2">
        <v>109</v>
      </c>
    </row>
    <row r="308" spans="1:16" ht="12.3" x14ac:dyDescent="0.4">
      <c r="A308" s="2" t="s">
        <v>65</v>
      </c>
      <c r="B308" s="8"/>
      <c r="C308" s="8"/>
      <c r="D308" s="8"/>
      <c r="E308" s="8"/>
      <c r="F308" s="8"/>
      <c r="G308" s="8"/>
      <c r="H308" s="8"/>
      <c r="I308" s="2">
        <v>116.447</v>
      </c>
      <c r="J308" s="2">
        <v>23</v>
      </c>
      <c r="K308" s="2">
        <v>104.07299999999999</v>
      </c>
      <c r="L308" s="2">
        <v>183</v>
      </c>
      <c r="M308" s="2">
        <v>102.063</v>
      </c>
      <c r="N308" s="2">
        <v>110</v>
      </c>
      <c r="O308" s="2">
        <v>14.3834</v>
      </c>
      <c r="P308" s="2">
        <v>48</v>
      </c>
    </row>
    <row r="309" spans="1:16" ht="12.3" x14ac:dyDescent="0.4">
      <c r="A309" s="2" t="s">
        <v>383</v>
      </c>
      <c r="B309" s="8"/>
      <c r="C309" s="8"/>
      <c r="D309" s="8"/>
      <c r="E309" s="8"/>
      <c r="F309" s="8"/>
      <c r="G309" s="8"/>
      <c r="H309" s="8"/>
      <c r="I309" s="2">
        <v>103.71</v>
      </c>
      <c r="J309" s="2">
        <v>200</v>
      </c>
      <c r="K309" s="2">
        <v>110.304</v>
      </c>
      <c r="L309" s="2">
        <v>305</v>
      </c>
      <c r="M309" s="2">
        <v>115.015</v>
      </c>
      <c r="N309" s="2">
        <v>330</v>
      </c>
      <c r="O309" s="2">
        <v>-11.3048</v>
      </c>
      <c r="P309" s="2">
        <v>288</v>
      </c>
    </row>
    <row r="310" spans="1:16" ht="12.3" x14ac:dyDescent="0.4">
      <c r="A310" s="2" t="s">
        <v>252</v>
      </c>
      <c r="B310" s="8"/>
      <c r="C310" s="8"/>
      <c r="D310" s="8"/>
      <c r="E310" s="8"/>
      <c r="F310" s="8"/>
      <c r="G310" s="8"/>
      <c r="H310" s="8"/>
      <c r="I310" s="2">
        <v>103.389</v>
      </c>
      <c r="J310" s="2">
        <v>208</v>
      </c>
      <c r="K310" s="2">
        <v>102.773</v>
      </c>
      <c r="L310" s="2">
        <v>141</v>
      </c>
      <c r="M310" s="2">
        <v>105.297</v>
      </c>
      <c r="N310" s="2">
        <v>170</v>
      </c>
      <c r="O310" s="2">
        <v>-1.9086000000000001</v>
      </c>
      <c r="P310" s="2">
        <v>184</v>
      </c>
    </row>
    <row r="311" spans="1:16" ht="12.3" x14ac:dyDescent="0.4">
      <c r="A311" s="2" t="s">
        <v>191</v>
      </c>
      <c r="B311" s="8"/>
      <c r="C311" s="8"/>
      <c r="D311" s="8"/>
      <c r="E311" s="8"/>
      <c r="F311" s="8"/>
      <c r="G311" s="8"/>
      <c r="H311" s="8"/>
      <c r="I311" s="2">
        <v>98.781599999999997</v>
      </c>
      <c r="J311" s="2">
        <v>290</v>
      </c>
      <c r="K311" s="2">
        <v>108.06699999999999</v>
      </c>
      <c r="L311" s="2">
        <v>268</v>
      </c>
      <c r="M311" s="2">
        <v>108.812</v>
      </c>
      <c r="N311" s="2">
        <v>248</v>
      </c>
      <c r="O311" s="2">
        <v>-10.0303</v>
      </c>
      <c r="P311" s="2">
        <v>275</v>
      </c>
    </row>
    <row r="312" spans="1:16" ht="12.3" x14ac:dyDescent="0.4">
      <c r="A312" s="2" t="s">
        <v>281</v>
      </c>
      <c r="B312" s="8"/>
      <c r="C312" s="8"/>
      <c r="D312" s="8"/>
      <c r="E312" s="8"/>
      <c r="F312" s="8"/>
      <c r="G312" s="8"/>
      <c r="H312" s="8"/>
      <c r="I312" s="2">
        <v>105.756</v>
      </c>
      <c r="J312" s="2">
        <v>161</v>
      </c>
      <c r="K312" s="2">
        <v>105.36199999999999</v>
      </c>
      <c r="L312" s="2">
        <v>218</v>
      </c>
      <c r="M312" s="2">
        <v>108.277</v>
      </c>
      <c r="N312" s="2">
        <v>232</v>
      </c>
      <c r="O312" s="2">
        <v>-2.5209299999999999</v>
      </c>
      <c r="P312" s="2">
        <v>192</v>
      </c>
    </row>
    <row r="313" spans="1:16" ht="12.3" x14ac:dyDescent="0.4">
      <c r="A313" s="2" t="s">
        <v>127</v>
      </c>
      <c r="B313" s="8"/>
      <c r="C313" s="8"/>
      <c r="D313" s="8"/>
      <c r="E313" s="8"/>
      <c r="F313" s="8"/>
      <c r="G313" s="8"/>
      <c r="H313" s="8"/>
      <c r="I313" s="2">
        <v>105.672</v>
      </c>
      <c r="J313" s="2">
        <v>164</v>
      </c>
      <c r="K313" s="2">
        <v>93.960999999999999</v>
      </c>
      <c r="L313" s="2">
        <v>7</v>
      </c>
      <c r="M313" s="2">
        <v>96.615600000000001</v>
      </c>
      <c r="N313" s="2">
        <v>30</v>
      </c>
      <c r="O313" s="2">
        <v>9.0562000000000005</v>
      </c>
      <c r="P313" s="2">
        <v>82</v>
      </c>
    </row>
    <row r="314" spans="1:16" ht="12.3" x14ac:dyDescent="0.4">
      <c r="A314" s="2" t="s">
        <v>83</v>
      </c>
      <c r="B314" s="8"/>
      <c r="C314" s="8"/>
      <c r="D314" s="8"/>
      <c r="E314" s="8"/>
      <c r="F314" s="8"/>
      <c r="G314" s="8"/>
      <c r="H314" s="8"/>
      <c r="I314" s="2">
        <v>104.544</v>
      </c>
      <c r="J314" s="2">
        <v>187</v>
      </c>
      <c r="K314" s="2">
        <v>113.943</v>
      </c>
      <c r="L314" s="2">
        <v>338</v>
      </c>
      <c r="M314" s="2">
        <v>112.126</v>
      </c>
      <c r="N314" s="2">
        <v>305</v>
      </c>
      <c r="O314" s="2">
        <v>-7.5821100000000001</v>
      </c>
      <c r="P314" s="2">
        <v>247</v>
      </c>
    </row>
    <row r="315" spans="1:16" ht="12.3" x14ac:dyDescent="0.4">
      <c r="A315" s="2" t="s">
        <v>109</v>
      </c>
      <c r="B315" s="8"/>
      <c r="C315" s="8"/>
      <c r="D315" s="8"/>
      <c r="E315" s="8"/>
      <c r="F315" s="8"/>
      <c r="G315" s="8"/>
      <c r="H315" s="8"/>
      <c r="I315" s="2">
        <v>111.747</v>
      </c>
      <c r="J315" s="2">
        <v>65</v>
      </c>
      <c r="K315" s="2">
        <v>104.342</v>
      </c>
      <c r="L315" s="2">
        <v>192</v>
      </c>
      <c r="M315" s="2">
        <v>105.229</v>
      </c>
      <c r="N315" s="2">
        <v>169</v>
      </c>
      <c r="O315" s="2">
        <v>6.51797</v>
      </c>
      <c r="P315" s="2">
        <v>106</v>
      </c>
    </row>
    <row r="316" spans="1:16" ht="12.3" x14ac:dyDescent="0.4">
      <c r="A316" s="2" t="s">
        <v>42</v>
      </c>
      <c r="B316" s="8"/>
      <c r="C316" s="8"/>
      <c r="D316" s="8"/>
      <c r="E316" s="8"/>
      <c r="F316" s="8"/>
      <c r="G316" s="8"/>
      <c r="H316" s="8"/>
      <c r="I316" s="2">
        <v>115.387</v>
      </c>
      <c r="J316" s="2">
        <v>36</v>
      </c>
      <c r="K316" s="2">
        <v>101.80200000000001</v>
      </c>
      <c r="L316" s="2">
        <v>115</v>
      </c>
      <c r="M316" s="2">
        <v>100.1</v>
      </c>
      <c r="N316" s="2">
        <v>78</v>
      </c>
      <c r="O316" s="2">
        <v>15.287599999999999</v>
      </c>
      <c r="P316" s="2">
        <v>40</v>
      </c>
    </row>
    <row r="317" spans="1:16" ht="12.3" x14ac:dyDescent="0.4">
      <c r="A317" s="2" t="s">
        <v>367</v>
      </c>
      <c r="B317" s="8"/>
      <c r="C317" s="8"/>
      <c r="D317" s="8"/>
      <c r="E317" s="8"/>
      <c r="F317" s="8"/>
      <c r="G317" s="8"/>
      <c r="H317" s="8"/>
      <c r="I317" s="2">
        <v>105.45099999999999</v>
      </c>
      <c r="J317" s="2">
        <v>168</v>
      </c>
      <c r="K317" s="2">
        <v>122.669</v>
      </c>
      <c r="L317" s="2">
        <v>351</v>
      </c>
      <c r="M317" s="2">
        <v>125.313</v>
      </c>
      <c r="N317" s="2">
        <v>351</v>
      </c>
      <c r="O317" s="2">
        <v>-19.861599999999999</v>
      </c>
      <c r="P317" s="2">
        <v>338</v>
      </c>
    </row>
    <row r="318" spans="1:16" ht="12.3" x14ac:dyDescent="0.4">
      <c r="A318" s="2" t="s">
        <v>270</v>
      </c>
      <c r="B318" s="8"/>
      <c r="C318" s="8"/>
      <c r="D318" s="8"/>
      <c r="E318" s="8"/>
      <c r="F318" s="8"/>
      <c r="G318" s="8"/>
      <c r="H318" s="8"/>
      <c r="I318" s="2">
        <v>105.842</v>
      </c>
      <c r="J318" s="2">
        <v>157</v>
      </c>
      <c r="K318" s="2">
        <v>100.18899999999999</v>
      </c>
      <c r="L318" s="2">
        <v>71</v>
      </c>
      <c r="M318" s="2">
        <v>102.416</v>
      </c>
      <c r="N318" s="2">
        <v>114</v>
      </c>
      <c r="O318" s="2">
        <v>3.4260100000000002</v>
      </c>
      <c r="P318" s="2">
        <v>131</v>
      </c>
    </row>
    <row r="319" spans="1:16" ht="12.3" x14ac:dyDescent="0.4">
      <c r="A319" s="2" t="s">
        <v>389</v>
      </c>
      <c r="B319" s="8"/>
      <c r="C319" s="8"/>
      <c r="D319" s="8"/>
      <c r="E319" s="8"/>
      <c r="F319" s="8"/>
      <c r="G319" s="8"/>
      <c r="H319" s="8"/>
      <c r="I319" s="2">
        <v>99.526700000000005</v>
      </c>
      <c r="J319" s="2">
        <v>270</v>
      </c>
      <c r="K319" s="2">
        <v>104.283</v>
      </c>
      <c r="L319" s="2">
        <v>190</v>
      </c>
      <c r="M319" s="2">
        <v>107.884</v>
      </c>
      <c r="N319" s="2">
        <v>227</v>
      </c>
      <c r="O319" s="2">
        <v>-8.3571600000000004</v>
      </c>
      <c r="P319" s="2">
        <v>259</v>
      </c>
    </row>
    <row r="320" spans="1:16" ht="12.3" x14ac:dyDescent="0.4">
      <c r="A320" s="2" t="s">
        <v>70</v>
      </c>
      <c r="B320" s="8"/>
      <c r="C320" s="8"/>
      <c r="D320" s="8"/>
      <c r="E320" s="8"/>
      <c r="F320" s="8"/>
      <c r="G320" s="8"/>
      <c r="H320" s="8"/>
      <c r="I320" s="2">
        <v>111.869</v>
      </c>
      <c r="J320" s="2">
        <v>64</v>
      </c>
      <c r="K320" s="2">
        <v>101.476</v>
      </c>
      <c r="L320" s="2">
        <v>108</v>
      </c>
      <c r="M320" s="2">
        <v>99.990399999999994</v>
      </c>
      <c r="N320" s="2">
        <v>75</v>
      </c>
      <c r="O320" s="2">
        <v>11.878399999999999</v>
      </c>
      <c r="P320" s="2">
        <v>65</v>
      </c>
    </row>
    <row r="321" spans="1:16" ht="12.3" x14ac:dyDescent="0.4">
      <c r="A321" s="2" t="s">
        <v>98</v>
      </c>
      <c r="B321" s="8"/>
      <c r="C321" s="8"/>
      <c r="D321" s="8"/>
      <c r="E321" s="8"/>
      <c r="F321" s="8"/>
      <c r="G321" s="8"/>
      <c r="H321" s="8"/>
      <c r="I321" s="2">
        <v>107.554</v>
      </c>
      <c r="J321" s="2">
        <v>131</v>
      </c>
      <c r="K321" s="2">
        <v>105.279</v>
      </c>
      <c r="L321" s="2">
        <v>217</v>
      </c>
      <c r="M321" s="2">
        <v>104.89</v>
      </c>
      <c r="N321" s="2">
        <v>162</v>
      </c>
      <c r="O321" s="2">
        <v>2.6633599999999999</v>
      </c>
      <c r="P321" s="2">
        <v>136</v>
      </c>
    </row>
    <row r="322" spans="1:16" ht="12.3" x14ac:dyDescent="0.4">
      <c r="A322" s="2" t="s">
        <v>372</v>
      </c>
      <c r="B322" s="8"/>
      <c r="C322" s="8"/>
      <c r="D322" s="8"/>
      <c r="E322" s="8"/>
      <c r="F322" s="8"/>
      <c r="G322" s="8"/>
      <c r="H322" s="8"/>
      <c r="I322" s="2">
        <v>111.038</v>
      </c>
      <c r="J322" s="2">
        <v>74</v>
      </c>
      <c r="K322" s="2">
        <v>99.199100000000001</v>
      </c>
      <c r="L322" s="2">
        <v>51</v>
      </c>
      <c r="M322" s="2">
        <v>103.119</v>
      </c>
      <c r="N322" s="2">
        <v>127</v>
      </c>
      <c r="O322" s="2">
        <v>7.9196499999999999</v>
      </c>
      <c r="P322" s="2">
        <v>91</v>
      </c>
    </row>
    <row r="323" spans="1:16" ht="12.3" x14ac:dyDescent="0.4">
      <c r="A323" s="2" t="s">
        <v>219</v>
      </c>
      <c r="B323" s="8"/>
      <c r="C323" s="8"/>
      <c r="D323" s="8"/>
      <c r="E323" s="8"/>
      <c r="F323" s="8"/>
      <c r="G323" s="8"/>
      <c r="H323" s="8"/>
      <c r="I323" s="2">
        <v>97.925799999999995</v>
      </c>
      <c r="J323" s="2">
        <v>303</v>
      </c>
      <c r="K323" s="2">
        <v>103.456</v>
      </c>
      <c r="L323" s="2">
        <v>165</v>
      </c>
      <c r="M323" s="2">
        <v>105.13200000000001</v>
      </c>
      <c r="N323" s="2">
        <v>166</v>
      </c>
      <c r="O323" s="2">
        <v>-7.2061900000000003</v>
      </c>
      <c r="P323" s="2">
        <v>243</v>
      </c>
    </row>
    <row r="324" spans="1:16" ht="12.3" x14ac:dyDescent="0.4">
      <c r="A324" s="2" t="s">
        <v>185</v>
      </c>
      <c r="B324" s="8"/>
      <c r="C324" s="8"/>
      <c r="D324" s="8"/>
      <c r="E324" s="8"/>
      <c r="F324" s="8"/>
      <c r="G324" s="8"/>
      <c r="H324" s="8"/>
      <c r="I324" s="2">
        <v>105.32599999999999</v>
      </c>
      <c r="J324" s="2">
        <v>171</v>
      </c>
      <c r="K324" s="2">
        <v>104.202</v>
      </c>
      <c r="L324" s="2">
        <v>187</v>
      </c>
      <c r="M324" s="2">
        <v>105.63800000000001</v>
      </c>
      <c r="N324" s="2">
        <v>178</v>
      </c>
      <c r="O324" s="2">
        <v>-0.31259900000000002</v>
      </c>
      <c r="P324" s="2">
        <v>175</v>
      </c>
    </row>
    <row r="325" spans="1:16" ht="12.3" x14ac:dyDescent="0.4">
      <c r="A325" s="2" t="s">
        <v>74</v>
      </c>
      <c r="B325" s="8"/>
      <c r="C325" s="8"/>
      <c r="D325" s="8"/>
      <c r="E325" s="8"/>
      <c r="F325" s="8"/>
      <c r="G325" s="8"/>
      <c r="H325" s="8"/>
      <c r="I325" s="2">
        <v>103.229</v>
      </c>
      <c r="J325" s="2">
        <v>214</v>
      </c>
      <c r="K325" s="2">
        <v>100.443</v>
      </c>
      <c r="L325" s="2">
        <v>76</v>
      </c>
      <c r="M325" s="2">
        <v>101.6</v>
      </c>
      <c r="N325" s="2">
        <v>102</v>
      </c>
      <c r="O325" s="2">
        <v>1.6283399999999999</v>
      </c>
      <c r="P325" s="2">
        <v>151</v>
      </c>
    </row>
    <row r="326" spans="1:16" ht="12.3" x14ac:dyDescent="0.4">
      <c r="A326" s="2" t="s">
        <v>111</v>
      </c>
      <c r="B326" s="8"/>
      <c r="C326" s="8"/>
      <c r="D326" s="8"/>
      <c r="E326" s="8"/>
      <c r="F326" s="8"/>
      <c r="G326" s="8"/>
      <c r="H326" s="8"/>
      <c r="I326" s="2">
        <v>115.59699999999999</v>
      </c>
      <c r="J326" s="2">
        <v>34</v>
      </c>
      <c r="K326" s="2">
        <v>110.77800000000001</v>
      </c>
      <c r="L326" s="2">
        <v>311</v>
      </c>
      <c r="M326" s="2">
        <v>107.51900000000001</v>
      </c>
      <c r="N326" s="2">
        <v>216</v>
      </c>
      <c r="O326" s="2">
        <v>8.07789</v>
      </c>
      <c r="P326" s="2">
        <v>88</v>
      </c>
    </row>
    <row r="327" spans="1:16" ht="12.3" x14ac:dyDescent="0.4">
      <c r="A327" s="2" t="s">
        <v>137</v>
      </c>
      <c r="B327" s="8"/>
      <c r="C327" s="8"/>
      <c r="D327" s="8"/>
      <c r="E327" s="8"/>
      <c r="F327" s="8"/>
      <c r="G327" s="8"/>
      <c r="H327" s="8"/>
      <c r="I327" s="2">
        <v>106.408</v>
      </c>
      <c r="J327" s="2">
        <v>148</v>
      </c>
      <c r="K327" s="2">
        <v>103.797</v>
      </c>
      <c r="L327" s="2">
        <v>176</v>
      </c>
      <c r="M327" s="2">
        <v>104.101</v>
      </c>
      <c r="N327" s="2">
        <v>151</v>
      </c>
      <c r="O327" s="2">
        <v>2.30681</v>
      </c>
      <c r="P327" s="2">
        <v>141</v>
      </c>
    </row>
    <row r="328" spans="1:16" ht="12.3" x14ac:dyDescent="0.4">
      <c r="A328" s="2" t="s">
        <v>220</v>
      </c>
      <c r="B328" s="8"/>
      <c r="C328" s="8"/>
      <c r="D328" s="8"/>
      <c r="E328" s="8"/>
      <c r="F328" s="8"/>
      <c r="G328" s="8"/>
      <c r="H328" s="8"/>
      <c r="I328" s="2">
        <v>114.117</v>
      </c>
      <c r="J328" s="2">
        <v>43</v>
      </c>
      <c r="K328" s="2">
        <v>99.717200000000005</v>
      </c>
      <c r="L328" s="2">
        <v>60</v>
      </c>
      <c r="M328" s="2">
        <v>103.361</v>
      </c>
      <c r="N328" s="2">
        <v>130</v>
      </c>
      <c r="O328" s="2">
        <v>10.755699999999999</v>
      </c>
      <c r="P328" s="2">
        <v>72</v>
      </c>
    </row>
    <row r="329" spans="1:16" ht="12.3" x14ac:dyDescent="0.4">
      <c r="A329" s="2" t="s">
        <v>78</v>
      </c>
      <c r="B329" s="8"/>
      <c r="C329" s="8"/>
      <c r="D329" s="8"/>
      <c r="E329" s="8"/>
      <c r="F329" s="8"/>
      <c r="G329" s="8"/>
      <c r="H329" s="8"/>
      <c r="I329" s="2">
        <v>127.384</v>
      </c>
      <c r="J329" s="2">
        <v>1</v>
      </c>
      <c r="K329" s="2">
        <v>99.880300000000005</v>
      </c>
      <c r="L329" s="2">
        <v>63</v>
      </c>
      <c r="M329" s="2">
        <v>95.974900000000005</v>
      </c>
      <c r="N329" s="2">
        <v>22</v>
      </c>
      <c r="O329" s="2">
        <v>31.409099999999999</v>
      </c>
      <c r="P329" s="2">
        <v>2</v>
      </c>
    </row>
    <row r="330" spans="1:16" ht="12.3" x14ac:dyDescent="0.4">
      <c r="A330" s="2" t="s">
        <v>87</v>
      </c>
      <c r="B330" s="8"/>
      <c r="C330" s="8"/>
      <c r="D330" s="8"/>
      <c r="E330" s="8"/>
      <c r="F330" s="8"/>
      <c r="G330" s="8"/>
      <c r="H330" s="8"/>
      <c r="I330" s="2">
        <v>116.52800000000001</v>
      </c>
      <c r="J330" s="2">
        <v>21</v>
      </c>
      <c r="K330" s="2">
        <v>88.040899999999993</v>
      </c>
      <c r="L330" s="2">
        <v>2</v>
      </c>
      <c r="M330" s="2">
        <v>84.375299999999996</v>
      </c>
      <c r="N330" s="2">
        <v>1</v>
      </c>
      <c r="O330" s="2">
        <v>32.152700000000003</v>
      </c>
      <c r="P330" s="2">
        <v>1</v>
      </c>
    </row>
    <row r="331" spans="1:16" ht="12.3" x14ac:dyDescent="0.4">
      <c r="A331" s="2" t="s">
        <v>159</v>
      </c>
      <c r="B331" s="8"/>
      <c r="C331" s="8"/>
      <c r="D331" s="8"/>
      <c r="E331" s="8"/>
      <c r="F331" s="8"/>
      <c r="G331" s="8"/>
      <c r="H331" s="8"/>
      <c r="I331" s="2">
        <v>115.01600000000001</v>
      </c>
      <c r="J331" s="2">
        <v>39</v>
      </c>
      <c r="K331" s="2">
        <v>101.42100000000001</v>
      </c>
      <c r="L331" s="2">
        <v>103</v>
      </c>
      <c r="M331" s="2">
        <v>98.377300000000005</v>
      </c>
      <c r="N331" s="2">
        <v>54</v>
      </c>
      <c r="O331" s="2">
        <v>16.6388</v>
      </c>
      <c r="P331" s="2">
        <v>32</v>
      </c>
    </row>
    <row r="332" spans="1:16" ht="12.3" x14ac:dyDescent="0.4">
      <c r="A332" s="2" t="s">
        <v>263</v>
      </c>
      <c r="B332" s="8"/>
      <c r="C332" s="8"/>
      <c r="D332" s="8"/>
      <c r="E332" s="8"/>
      <c r="F332" s="8"/>
      <c r="G332" s="8"/>
      <c r="H332" s="8"/>
      <c r="I332" s="2">
        <v>90.313500000000005</v>
      </c>
      <c r="J332" s="2">
        <v>346</v>
      </c>
      <c r="K332" s="2">
        <v>106.816</v>
      </c>
      <c r="L332" s="2">
        <v>248</v>
      </c>
      <c r="M332" s="2">
        <v>107.67400000000001</v>
      </c>
      <c r="N332" s="2">
        <v>222</v>
      </c>
      <c r="O332" s="2">
        <v>-17.361000000000001</v>
      </c>
      <c r="P332" s="2">
        <v>331</v>
      </c>
    </row>
    <row r="333" spans="1:16" ht="12.3" x14ac:dyDescent="0.4">
      <c r="A333" s="2" t="s">
        <v>215</v>
      </c>
      <c r="B333" s="8"/>
      <c r="C333" s="8"/>
      <c r="D333" s="8"/>
      <c r="E333" s="8"/>
      <c r="F333" s="8"/>
      <c r="G333" s="8"/>
      <c r="H333" s="8"/>
      <c r="I333" s="2">
        <v>103.84</v>
      </c>
      <c r="J333" s="2">
        <v>195</v>
      </c>
      <c r="K333" s="2">
        <v>99.647199999999998</v>
      </c>
      <c r="L333" s="2">
        <v>58</v>
      </c>
      <c r="M333" s="2">
        <v>103.94199999999999</v>
      </c>
      <c r="N333" s="2">
        <v>143</v>
      </c>
      <c r="O333" s="2">
        <v>-0.10173</v>
      </c>
      <c r="P333" s="2">
        <v>171</v>
      </c>
    </row>
    <row r="334" spans="1:16" ht="12.3" x14ac:dyDescent="0.4">
      <c r="A334" s="2" t="s">
        <v>61</v>
      </c>
      <c r="B334" s="8"/>
      <c r="C334" s="8"/>
      <c r="D334" s="8"/>
      <c r="E334" s="8"/>
      <c r="F334" s="8"/>
      <c r="G334" s="8"/>
      <c r="H334" s="8"/>
      <c r="I334" s="2">
        <v>111.107</v>
      </c>
      <c r="J334" s="2">
        <v>73</v>
      </c>
      <c r="K334" s="2">
        <v>106.315</v>
      </c>
      <c r="L334" s="2">
        <v>239</v>
      </c>
      <c r="M334" s="2">
        <v>103.102</v>
      </c>
      <c r="N334" s="2">
        <v>125</v>
      </c>
      <c r="O334" s="2">
        <v>8.0048300000000001</v>
      </c>
      <c r="P334" s="2">
        <v>89</v>
      </c>
    </row>
    <row r="335" spans="1:16" ht="12.3" x14ac:dyDescent="0.4">
      <c r="A335" s="2" t="s">
        <v>131</v>
      </c>
      <c r="B335" s="8"/>
      <c r="C335" s="8"/>
      <c r="D335" s="8"/>
      <c r="E335" s="8"/>
      <c r="F335" s="8"/>
      <c r="G335" s="8"/>
      <c r="H335" s="8"/>
      <c r="I335" s="2">
        <v>106.264</v>
      </c>
      <c r="J335" s="2">
        <v>152</v>
      </c>
      <c r="K335" s="2">
        <v>101.461</v>
      </c>
      <c r="L335" s="2">
        <v>105</v>
      </c>
      <c r="M335" s="2">
        <v>99.255499999999998</v>
      </c>
      <c r="N335" s="2">
        <v>62</v>
      </c>
      <c r="O335" s="2">
        <v>7.0088600000000003</v>
      </c>
      <c r="P335" s="2">
        <v>98</v>
      </c>
    </row>
    <row r="336" spans="1:16" ht="12.3" x14ac:dyDescent="0.4">
      <c r="A336" s="2" t="s">
        <v>239</v>
      </c>
      <c r="B336" s="8"/>
      <c r="C336" s="8"/>
      <c r="D336" s="8"/>
      <c r="E336" s="8"/>
      <c r="F336" s="8"/>
      <c r="G336" s="8"/>
      <c r="H336" s="8"/>
      <c r="I336" s="2">
        <v>108.782</v>
      </c>
      <c r="J336" s="2">
        <v>106</v>
      </c>
      <c r="K336" s="2">
        <v>111.324</v>
      </c>
      <c r="L336" s="2">
        <v>322</v>
      </c>
      <c r="M336" s="2">
        <v>110.22199999999999</v>
      </c>
      <c r="N336" s="2">
        <v>273</v>
      </c>
      <c r="O336" s="2">
        <v>-1.43964</v>
      </c>
      <c r="P336" s="2">
        <v>182</v>
      </c>
    </row>
    <row r="337" spans="1:16" ht="12.3" x14ac:dyDescent="0.4">
      <c r="A337" s="2" t="s">
        <v>170</v>
      </c>
      <c r="B337" s="8"/>
      <c r="C337" s="8"/>
      <c r="D337" s="8"/>
      <c r="E337" s="8"/>
      <c r="F337" s="8"/>
      <c r="G337" s="8"/>
      <c r="H337" s="8"/>
      <c r="I337" s="2">
        <v>107.09399999999999</v>
      </c>
      <c r="J337" s="2">
        <v>139</v>
      </c>
      <c r="K337" s="2">
        <v>104.14400000000001</v>
      </c>
      <c r="L337" s="2">
        <v>184</v>
      </c>
      <c r="M337" s="2">
        <v>106.06100000000001</v>
      </c>
      <c r="N337" s="2">
        <v>187</v>
      </c>
      <c r="O337" s="2">
        <v>1.0325599999999999</v>
      </c>
      <c r="P337" s="2">
        <v>159</v>
      </c>
    </row>
    <row r="338" spans="1:16" ht="12.3" x14ac:dyDescent="0.4">
      <c r="A338" s="2" t="s">
        <v>229</v>
      </c>
      <c r="B338" s="8"/>
      <c r="C338" s="8"/>
      <c r="D338" s="8"/>
      <c r="E338" s="8"/>
      <c r="F338" s="8"/>
      <c r="G338" s="8"/>
      <c r="H338" s="8"/>
      <c r="I338" s="2">
        <v>119.151</v>
      </c>
      <c r="J338" s="2">
        <v>14</v>
      </c>
      <c r="K338" s="2">
        <v>98.469399999999993</v>
      </c>
      <c r="L338" s="2">
        <v>39</v>
      </c>
      <c r="M338" s="2">
        <v>97.376599999999996</v>
      </c>
      <c r="N338" s="2">
        <v>39</v>
      </c>
      <c r="O338" s="2">
        <v>21.774799999999999</v>
      </c>
      <c r="P338" s="2">
        <v>13</v>
      </c>
    </row>
    <row r="339" spans="1:16" ht="12.3" x14ac:dyDescent="0.4">
      <c r="A339" s="2" t="s">
        <v>246</v>
      </c>
      <c r="B339" s="8"/>
      <c r="C339" s="8"/>
      <c r="D339" s="8"/>
      <c r="E339" s="8"/>
      <c r="F339" s="8"/>
      <c r="G339" s="8"/>
      <c r="H339" s="8"/>
      <c r="I339" s="2">
        <v>96.077399999999997</v>
      </c>
      <c r="J339" s="2">
        <v>321</v>
      </c>
      <c r="K339" s="2">
        <v>109.157</v>
      </c>
      <c r="L339" s="2">
        <v>284</v>
      </c>
      <c r="M339" s="2">
        <v>108.337</v>
      </c>
      <c r="N339" s="2">
        <v>233</v>
      </c>
      <c r="O339" s="2">
        <v>-12.2593</v>
      </c>
      <c r="P339" s="2">
        <v>302</v>
      </c>
    </row>
    <row r="340" spans="1:16" ht="12.3" x14ac:dyDescent="0.4">
      <c r="A340" s="2" t="s">
        <v>285</v>
      </c>
      <c r="B340" s="8"/>
      <c r="C340" s="8"/>
      <c r="D340" s="8"/>
      <c r="E340" s="8"/>
      <c r="F340" s="8"/>
      <c r="G340" s="8"/>
      <c r="H340" s="8"/>
      <c r="I340" s="2">
        <v>96.6297</v>
      </c>
      <c r="J340" s="2">
        <v>318</v>
      </c>
      <c r="K340" s="2">
        <v>107.82</v>
      </c>
      <c r="L340" s="2">
        <v>266</v>
      </c>
      <c r="M340" s="2">
        <v>108</v>
      </c>
      <c r="N340" s="2">
        <v>229</v>
      </c>
      <c r="O340" s="2">
        <v>-11.3706</v>
      </c>
      <c r="P340" s="2">
        <v>289</v>
      </c>
    </row>
    <row r="341" spans="1:16" ht="12.3" x14ac:dyDescent="0.4">
      <c r="A341" s="2" t="s">
        <v>68</v>
      </c>
      <c r="B341" s="8"/>
      <c r="C341" s="8"/>
      <c r="D341" s="8"/>
      <c r="E341" s="8"/>
      <c r="F341" s="8"/>
      <c r="G341" s="8"/>
      <c r="H341" s="8"/>
      <c r="I341" s="2">
        <v>113.624</v>
      </c>
      <c r="J341" s="2">
        <v>50</v>
      </c>
      <c r="K341" s="2">
        <v>100.589</v>
      </c>
      <c r="L341" s="2">
        <v>80</v>
      </c>
      <c r="M341" s="2">
        <v>101.07299999999999</v>
      </c>
      <c r="N341" s="2">
        <v>93</v>
      </c>
      <c r="O341" s="2">
        <v>12.5511</v>
      </c>
      <c r="P341" s="2">
        <v>60</v>
      </c>
    </row>
    <row r="342" spans="1:16" ht="12.3" x14ac:dyDescent="0.4">
      <c r="A342" s="2" t="s">
        <v>162</v>
      </c>
      <c r="B342" s="8"/>
      <c r="C342" s="8"/>
      <c r="D342" s="8"/>
      <c r="E342" s="8"/>
      <c r="F342" s="8"/>
      <c r="G342" s="8"/>
      <c r="H342" s="8"/>
      <c r="I342" s="2">
        <v>106.536</v>
      </c>
      <c r="J342" s="2">
        <v>144</v>
      </c>
      <c r="K342" s="2">
        <v>106.729</v>
      </c>
      <c r="L342" s="2">
        <v>246</v>
      </c>
      <c r="M342" s="2">
        <v>108.82299999999999</v>
      </c>
      <c r="N342" s="2">
        <v>249</v>
      </c>
      <c r="O342" s="2">
        <v>-2.2873299999999999</v>
      </c>
      <c r="P342" s="2">
        <v>187</v>
      </c>
    </row>
    <row r="343" spans="1:16" ht="12.3" x14ac:dyDescent="0.4">
      <c r="A343" s="2" t="s">
        <v>192</v>
      </c>
      <c r="B343" s="8"/>
      <c r="C343" s="8"/>
      <c r="D343" s="8"/>
      <c r="E343" s="8"/>
      <c r="F343" s="8"/>
      <c r="G343" s="8"/>
      <c r="H343" s="8"/>
      <c r="I343" s="2">
        <v>121.925</v>
      </c>
      <c r="J343" s="2">
        <v>5</v>
      </c>
      <c r="K343" s="2">
        <v>101.934</v>
      </c>
      <c r="L343" s="2">
        <v>120</v>
      </c>
      <c r="M343" s="2">
        <v>101.857</v>
      </c>
      <c r="N343" s="2">
        <v>107</v>
      </c>
      <c r="O343" s="2">
        <v>20.068000000000001</v>
      </c>
      <c r="P343" s="2">
        <v>20</v>
      </c>
    </row>
    <row r="344" spans="1:16" ht="12.3" x14ac:dyDescent="0.4">
      <c r="A344" s="2" t="s">
        <v>257</v>
      </c>
      <c r="B344" s="8"/>
      <c r="C344" s="8"/>
      <c r="D344" s="8"/>
      <c r="E344" s="8"/>
      <c r="F344" s="8"/>
      <c r="G344" s="8"/>
      <c r="H344" s="8"/>
      <c r="I344" s="2">
        <v>115.44</v>
      </c>
      <c r="J344" s="2">
        <v>35</v>
      </c>
      <c r="K344" s="2">
        <v>115.62</v>
      </c>
      <c r="L344" s="2">
        <v>344</v>
      </c>
      <c r="M344" s="2">
        <v>115.554</v>
      </c>
      <c r="N344" s="2">
        <v>335</v>
      </c>
      <c r="O344" s="2">
        <v>-0.114014</v>
      </c>
      <c r="P344" s="2">
        <v>172</v>
      </c>
    </row>
    <row r="345" spans="1:16" ht="12.3" x14ac:dyDescent="0.4">
      <c r="A345" s="2" t="s">
        <v>240</v>
      </c>
      <c r="B345" s="8"/>
      <c r="C345" s="8"/>
      <c r="D345" s="8"/>
      <c r="E345" s="8"/>
      <c r="F345" s="8"/>
      <c r="G345" s="8"/>
      <c r="H345" s="8"/>
      <c r="I345" s="2">
        <v>106.333</v>
      </c>
      <c r="J345" s="2">
        <v>150</v>
      </c>
      <c r="K345" s="2">
        <v>101.461</v>
      </c>
      <c r="L345" s="2">
        <v>106</v>
      </c>
      <c r="M345" s="2">
        <v>105.575</v>
      </c>
      <c r="N345" s="2">
        <v>175</v>
      </c>
      <c r="O345" s="2">
        <v>0.758073</v>
      </c>
      <c r="P345" s="2">
        <v>163</v>
      </c>
    </row>
    <row r="346" spans="1:16" ht="12.3" x14ac:dyDescent="0.4">
      <c r="A346" s="2" t="s">
        <v>76</v>
      </c>
      <c r="B346" s="8"/>
      <c r="C346" s="8"/>
      <c r="D346" s="8"/>
      <c r="E346" s="8"/>
      <c r="F346" s="8"/>
      <c r="G346" s="8"/>
      <c r="H346" s="8"/>
      <c r="I346" s="2">
        <v>110.048</v>
      </c>
      <c r="J346" s="2">
        <v>85</v>
      </c>
      <c r="K346" s="2">
        <v>103.6</v>
      </c>
      <c r="L346" s="2">
        <v>171</v>
      </c>
      <c r="M346" s="2">
        <v>99.432599999999994</v>
      </c>
      <c r="N346" s="2">
        <v>68</v>
      </c>
      <c r="O346" s="2">
        <v>10.615500000000001</v>
      </c>
      <c r="P346" s="2">
        <v>74</v>
      </c>
    </row>
    <row r="347" spans="1:16" ht="12.3" x14ac:dyDescent="0.4">
      <c r="A347" s="2" t="s">
        <v>279</v>
      </c>
      <c r="B347" s="8"/>
      <c r="C347" s="8"/>
      <c r="D347" s="8"/>
      <c r="E347" s="8"/>
      <c r="F347" s="8"/>
      <c r="G347" s="8"/>
      <c r="H347" s="8"/>
      <c r="I347" s="2">
        <v>108.706</v>
      </c>
      <c r="J347" s="2">
        <v>108</v>
      </c>
      <c r="K347" s="2">
        <v>105.96599999999999</v>
      </c>
      <c r="L347" s="2">
        <v>231</v>
      </c>
      <c r="M347" s="2">
        <v>107.593</v>
      </c>
      <c r="N347" s="2">
        <v>220</v>
      </c>
      <c r="O347" s="2">
        <v>1.11283</v>
      </c>
      <c r="P347" s="2">
        <v>157</v>
      </c>
    </row>
    <row r="348" spans="1:16" ht="12.3" x14ac:dyDescent="0.4">
      <c r="A348" s="2" t="s">
        <v>171</v>
      </c>
      <c r="B348" s="8"/>
      <c r="C348" s="8"/>
      <c r="D348" s="8"/>
      <c r="E348" s="8"/>
      <c r="F348" s="8"/>
      <c r="G348" s="8"/>
      <c r="H348" s="8"/>
      <c r="I348" s="2">
        <v>101.068</v>
      </c>
      <c r="J348" s="2">
        <v>248</v>
      </c>
      <c r="K348" s="2">
        <v>94.064899999999994</v>
      </c>
      <c r="L348" s="2">
        <v>9</v>
      </c>
      <c r="M348" s="2">
        <v>98.251000000000005</v>
      </c>
      <c r="N348" s="2">
        <v>53</v>
      </c>
      <c r="O348" s="2">
        <v>2.8167399999999998</v>
      </c>
      <c r="P348" s="2">
        <v>135</v>
      </c>
    </row>
    <row r="349" spans="1:16" ht="12.3" x14ac:dyDescent="0.4">
      <c r="A349" s="2" t="s">
        <v>93</v>
      </c>
      <c r="B349" s="8"/>
      <c r="C349" s="8"/>
      <c r="D349" s="8"/>
      <c r="E349" s="8"/>
      <c r="F349" s="8"/>
      <c r="G349" s="8"/>
      <c r="H349" s="8"/>
      <c r="I349" s="2">
        <v>105.92100000000001</v>
      </c>
      <c r="J349" s="2">
        <v>156</v>
      </c>
      <c r="K349" s="2">
        <v>102.053</v>
      </c>
      <c r="L349" s="2">
        <v>122</v>
      </c>
      <c r="M349" s="2">
        <v>100.807</v>
      </c>
      <c r="N349" s="2">
        <v>89</v>
      </c>
      <c r="O349" s="2">
        <v>5.11463</v>
      </c>
      <c r="P349" s="2">
        <v>115</v>
      </c>
    </row>
    <row r="350" spans="1:16" ht="12.3" x14ac:dyDescent="0.4">
      <c r="A350" s="2" t="s">
        <v>50</v>
      </c>
      <c r="B350" s="8"/>
      <c r="C350" s="8"/>
      <c r="D350" s="8"/>
      <c r="E350" s="8"/>
      <c r="F350" s="8"/>
      <c r="G350" s="8"/>
      <c r="H350" s="8"/>
      <c r="I350" s="2">
        <v>120.74</v>
      </c>
      <c r="J350" s="2">
        <v>7</v>
      </c>
      <c r="K350" s="2">
        <v>102.209</v>
      </c>
      <c r="L350" s="2">
        <v>128</v>
      </c>
      <c r="M350" s="2">
        <v>99.049199999999999</v>
      </c>
      <c r="N350" s="2">
        <v>59</v>
      </c>
      <c r="O350" s="2">
        <v>21.690899999999999</v>
      </c>
      <c r="P350" s="2">
        <v>14</v>
      </c>
    </row>
    <row r="351" spans="1:16" ht="12.3" x14ac:dyDescent="0.4">
      <c r="A351" s="2" t="s">
        <v>160</v>
      </c>
      <c r="B351" s="8"/>
      <c r="C351" s="8"/>
      <c r="D351" s="8"/>
      <c r="E351" s="8"/>
      <c r="F351" s="8"/>
      <c r="G351" s="8"/>
      <c r="H351" s="8"/>
      <c r="I351" s="2">
        <v>104.05</v>
      </c>
      <c r="J351" s="2">
        <v>191</v>
      </c>
      <c r="K351" s="2">
        <v>106.181</v>
      </c>
      <c r="L351" s="2">
        <v>237</v>
      </c>
      <c r="M351" s="2">
        <v>107.229</v>
      </c>
      <c r="N351" s="2">
        <v>211</v>
      </c>
      <c r="O351" s="2">
        <v>-3.17937</v>
      </c>
      <c r="P351" s="2">
        <v>197</v>
      </c>
    </row>
    <row r="352" spans="1:16" ht="12.3" x14ac:dyDescent="0.4">
      <c r="A352" s="2" t="s">
        <v>317</v>
      </c>
      <c r="B352" s="8"/>
      <c r="C352" s="8"/>
      <c r="D352" s="8"/>
      <c r="E352" s="8"/>
      <c r="F352" s="8"/>
      <c r="G352" s="8"/>
      <c r="H352" s="8"/>
      <c r="I352" s="2">
        <v>101.405</v>
      </c>
      <c r="J352" s="2">
        <v>244</v>
      </c>
      <c r="K352" s="2">
        <v>113.721</v>
      </c>
      <c r="L352" s="2">
        <v>336</v>
      </c>
      <c r="M352" s="2">
        <v>116.489</v>
      </c>
      <c r="N352" s="2">
        <v>338</v>
      </c>
      <c r="O352" s="2">
        <v>-15.083500000000001</v>
      </c>
      <c r="P352" s="2">
        <v>325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S352"/>
  <sheetViews>
    <sheetView workbookViewId="0"/>
  </sheetViews>
  <sheetFormatPr defaultColWidth="14.44140625" defaultRowHeight="15.75" customHeight="1" x14ac:dyDescent="0.4"/>
  <cols>
    <col min="1" max="1" width="14.44140625" customWidth="1"/>
    <col min="2" max="2" width="5.109375" customWidth="1"/>
    <col min="3" max="3" width="7.71875" hidden="1" customWidth="1"/>
    <col min="4" max="4" width="11.109375" hidden="1" customWidth="1"/>
    <col min="5" max="5" width="9.44140625" hidden="1" customWidth="1"/>
    <col min="6" max="6" width="13.83203125" hidden="1" customWidth="1"/>
    <col min="7" max="7" width="8.71875" hidden="1" customWidth="1"/>
    <col min="8" max="8" width="8" hidden="1" customWidth="1"/>
    <col min="9" max="9" width="8.71875" customWidth="1"/>
    <col min="10" max="10" width="10.71875" customWidth="1"/>
    <col min="11" max="11" width="8.71875" hidden="1" customWidth="1"/>
    <col min="12" max="12" width="7.83203125" hidden="1" customWidth="1"/>
    <col min="13" max="13" width="8.71875" customWidth="1"/>
    <col min="14" max="14" width="10.5546875" customWidth="1"/>
    <col min="15" max="15" width="8.71875" hidden="1" customWidth="1"/>
    <col min="16" max="17" width="11.109375" customWidth="1"/>
    <col min="18" max="19" width="13" customWidth="1"/>
  </cols>
  <sheetData>
    <row r="1" spans="1:19" ht="15.75" customHeight="1" x14ac:dyDescent="0.4">
      <c r="A1" s="2" t="s">
        <v>1</v>
      </c>
      <c r="B1" s="2" t="s">
        <v>25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3</v>
      </c>
      <c r="Q1" s="10" t="s">
        <v>391</v>
      </c>
      <c r="R1" s="10" t="s">
        <v>392</v>
      </c>
      <c r="S1" s="10"/>
    </row>
    <row r="2" spans="1:19" ht="15.75" customHeight="1" x14ac:dyDescent="0.4">
      <c r="A2" s="2" t="s">
        <v>273</v>
      </c>
      <c r="B2" s="2">
        <v>16</v>
      </c>
      <c r="C2" s="2">
        <v>64.612300000000005</v>
      </c>
      <c r="D2" s="2">
        <v>184</v>
      </c>
      <c r="E2" s="2">
        <v>64.965900000000005</v>
      </c>
      <c r="F2" s="2">
        <v>158</v>
      </c>
      <c r="G2" s="2">
        <v>113.6553</v>
      </c>
      <c r="H2" s="2">
        <v>15</v>
      </c>
      <c r="I2" s="2">
        <v>110.35250000000001</v>
      </c>
      <c r="J2" s="2">
        <v>40</v>
      </c>
      <c r="K2" s="2">
        <v>111.764</v>
      </c>
      <c r="L2" s="2">
        <v>336</v>
      </c>
      <c r="M2" s="2">
        <v>113.15089999999999</v>
      </c>
      <c r="N2" s="2">
        <v>338</v>
      </c>
      <c r="O2" s="2">
        <v>0.42849599999999999</v>
      </c>
      <c r="P2" s="2">
        <v>195</v>
      </c>
      <c r="Q2" s="10">
        <f t="shared" ref="Q2:Q69" si="0">I2-M2</f>
        <v>-2.7983999999999867</v>
      </c>
      <c r="R2" s="11">
        <f t="shared" ref="R2:R69" si="1">ABS(J2-N2)</f>
        <v>298</v>
      </c>
      <c r="S2" s="11"/>
    </row>
    <row r="3" spans="1:19" ht="15.75" customHeight="1" x14ac:dyDescent="0.4">
      <c r="A3" s="2" t="s">
        <v>187</v>
      </c>
      <c r="B3" s="2">
        <v>13</v>
      </c>
      <c r="C3" s="2">
        <v>68.415199999999999</v>
      </c>
      <c r="D3" s="2">
        <v>33</v>
      </c>
      <c r="E3" s="2">
        <v>68.779499999999999</v>
      </c>
      <c r="F3" s="2">
        <v>24</v>
      </c>
      <c r="G3" s="2">
        <v>114.81950000000001</v>
      </c>
      <c r="H3" s="2">
        <v>13</v>
      </c>
      <c r="I3" s="2">
        <v>110.0324</v>
      </c>
      <c r="J3" s="2">
        <v>46</v>
      </c>
      <c r="K3" s="2">
        <v>107.6451</v>
      </c>
      <c r="L3" s="2">
        <v>296</v>
      </c>
      <c r="M3" s="2">
        <v>107.68</v>
      </c>
      <c r="N3" s="2">
        <v>279</v>
      </c>
      <c r="O3" s="2">
        <v>0.56181300000000001</v>
      </c>
      <c r="P3" s="2">
        <v>136</v>
      </c>
      <c r="Q3" s="10">
        <f t="shared" si="0"/>
        <v>2.3523999999999887</v>
      </c>
      <c r="R3" s="11">
        <f t="shared" si="1"/>
        <v>233</v>
      </c>
      <c r="S3" s="11"/>
    </row>
    <row r="4" spans="1:19" ht="15.75" customHeight="1" x14ac:dyDescent="0.4">
      <c r="A4" s="2" t="s">
        <v>40</v>
      </c>
      <c r="B4" s="2">
        <v>10</v>
      </c>
      <c r="C4" s="2">
        <v>66.840699999999998</v>
      </c>
      <c r="D4" s="2">
        <v>80</v>
      </c>
      <c r="E4" s="2">
        <v>66.5749</v>
      </c>
      <c r="F4" s="2">
        <v>84</v>
      </c>
      <c r="G4" s="2">
        <v>115.3436</v>
      </c>
      <c r="H4" s="2">
        <v>12</v>
      </c>
      <c r="I4" s="2">
        <v>116.60550000000001</v>
      </c>
      <c r="J4" s="2">
        <v>10</v>
      </c>
      <c r="K4" s="2">
        <v>106.7491</v>
      </c>
      <c r="L4" s="2">
        <v>279</v>
      </c>
      <c r="M4" s="2">
        <v>104.6528</v>
      </c>
      <c r="N4" s="2">
        <v>216</v>
      </c>
      <c r="O4" s="2">
        <v>0.77620900000000004</v>
      </c>
      <c r="P4" s="2">
        <v>53</v>
      </c>
      <c r="Q4" s="10">
        <f t="shared" si="0"/>
        <v>11.952700000000007</v>
      </c>
      <c r="R4" s="11">
        <f t="shared" si="1"/>
        <v>206</v>
      </c>
      <c r="S4" s="11"/>
    </row>
    <row r="5" spans="1:19" ht="15.75" customHeight="1" x14ac:dyDescent="0.4">
      <c r="A5" s="2" t="s">
        <v>244</v>
      </c>
      <c r="B5" s="2">
        <v>15</v>
      </c>
      <c r="C5" s="2">
        <v>67.383899999999997</v>
      </c>
      <c r="D5" s="2">
        <v>65</v>
      </c>
      <c r="E5" s="2">
        <v>67.092399999999998</v>
      </c>
      <c r="F5" s="2">
        <v>63</v>
      </c>
      <c r="G5" s="2">
        <v>109.27070000000001</v>
      </c>
      <c r="H5" s="2">
        <v>41</v>
      </c>
      <c r="I5" s="2">
        <v>107.8516</v>
      </c>
      <c r="J5" s="2">
        <v>64</v>
      </c>
      <c r="K5" s="2">
        <v>104.0763</v>
      </c>
      <c r="L5" s="2">
        <v>215</v>
      </c>
      <c r="M5" s="2">
        <v>106.4962</v>
      </c>
      <c r="N5" s="2">
        <v>259</v>
      </c>
      <c r="O5" s="2">
        <v>0.53629599999999999</v>
      </c>
      <c r="P5" s="2">
        <v>149</v>
      </c>
      <c r="Q5" s="10">
        <f t="shared" si="0"/>
        <v>1.355400000000003</v>
      </c>
      <c r="R5" s="11">
        <f t="shared" si="1"/>
        <v>195</v>
      </c>
      <c r="S5" s="11"/>
    </row>
    <row r="6" spans="1:19" ht="15.75" customHeight="1" x14ac:dyDescent="0.4">
      <c r="A6" s="2" t="s">
        <v>134</v>
      </c>
      <c r="B6" s="2">
        <v>10</v>
      </c>
      <c r="C6" s="2">
        <v>67.252700000000004</v>
      </c>
      <c r="D6" s="2">
        <v>69</v>
      </c>
      <c r="E6" s="2">
        <v>67.004800000000003</v>
      </c>
      <c r="F6" s="2">
        <v>68</v>
      </c>
      <c r="G6" s="2">
        <v>117.1584</v>
      </c>
      <c r="H6" s="2">
        <v>5</v>
      </c>
      <c r="I6" s="2">
        <v>118.4924</v>
      </c>
      <c r="J6" s="2">
        <v>8</v>
      </c>
      <c r="K6" s="2">
        <v>102.4216</v>
      </c>
      <c r="L6" s="2">
        <v>179</v>
      </c>
      <c r="M6" s="2">
        <v>103.107</v>
      </c>
      <c r="N6" s="2">
        <v>181</v>
      </c>
      <c r="O6" s="2">
        <v>0.83194000000000001</v>
      </c>
      <c r="P6" s="2">
        <v>32</v>
      </c>
      <c r="Q6" s="10">
        <f t="shared" si="0"/>
        <v>15.385400000000004</v>
      </c>
      <c r="R6" s="11">
        <f t="shared" si="1"/>
        <v>173</v>
      </c>
      <c r="S6" s="11"/>
    </row>
    <row r="7" spans="1:19" ht="15.75" customHeight="1" x14ac:dyDescent="0.4">
      <c r="A7" s="2" t="s">
        <v>97</v>
      </c>
      <c r="B7" s="2">
        <v>8</v>
      </c>
      <c r="C7" s="2">
        <v>60.249400000000001</v>
      </c>
      <c r="D7" s="2">
        <v>339</v>
      </c>
      <c r="E7" s="2">
        <v>60.672400000000003</v>
      </c>
      <c r="F7" s="2">
        <v>334</v>
      </c>
      <c r="G7" s="2">
        <v>100.6559</v>
      </c>
      <c r="H7" s="2">
        <v>206</v>
      </c>
      <c r="I7" s="2">
        <v>102.4036</v>
      </c>
      <c r="J7" s="2">
        <v>161</v>
      </c>
      <c r="K7" s="2">
        <v>87.338099999999997</v>
      </c>
      <c r="L7" s="2">
        <v>3</v>
      </c>
      <c r="M7" s="2">
        <v>88.254499999999993</v>
      </c>
      <c r="N7" s="2">
        <v>4</v>
      </c>
      <c r="O7" s="2">
        <v>0.84683799999999998</v>
      </c>
      <c r="P7" s="2">
        <v>27</v>
      </c>
      <c r="Q7" s="10">
        <f t="shared" si="0"/>
        <v>14.149100000000004</v>
      </c>
      <c r="R7" s="11">
        <f t="shared" si="1"/>
        <v>157</v>
      </c>
      <c r="S7" s="11"/>
    </row>
    <row r="8" spans="1:19" ht="15.75" customHeight="1" x14ac:dyDescent="0.4">
      <c r="A8" s="2" t="s">
        <v>255</v>
      </c>
      <c r="B8" s="2">
        <v>13</v>
      </c>
      <c r="C8" s="2">
        <v>61.022599999999997</v>
      </c>
      <c r="D8" s="2">
        <v>326</v>
      </c>
      <c r="E8" s="2">
        <v>61.493699999999997</v>
      </c>
      <c r="F8" s="2">
        <v>317</v>
      </c>
      <c r="G8" s="2">
        <v>101.7488</v>
      </c>
      <c r="H8" s="2">
        <v>181</v>
      </c>
      <c r="I8" s="2">
        <v>102.02209999999999</v>
      </c>
      <c r="J8" s="2">
        <v>170</v>
      </c>
      <c r="K8" s="2">
        <v>93.631200000000007</v>
      </c>
      <c r="L8" s="2">
        <v>20</v>
      </c>
      <c r="M8" s="2">
        <v>94.544600000000003</v>
      </c>
      <c r="N8" s="2">
        <v>34</v>
      </c>
      <c r="O8" s="2">
        <v>0.70585900000000001</v>
      </c>
      <c r="P8" s="2">
        <v>78</v>
      </c>
      <c r="Q8" s="10">
        <f t="shared" si="0"/>
        <v>7.477499999999992</v>
      </c>
      <c r="R8" s="11">
        <f t="shared" si="1"/>
        <v>136</v>
      </c>
      <c r="S8" s="11"/>
    </row>
    <row r="9" spans="1:19" ht="15.75" customHeight="1" x14ac:dyDescent="0.4">
      <c r="A9" s="2" t="s">
        <v>135</v>
      </c>
      <c r="B9" s="2">
        <v>16</v>
      </c>
      <c r="C9" s="2">
        <v>69.142300000000006</v>
      </c>
      <c r="D9" s="2">
        <v>18</v>
      </c>
      <c r="E9" s="2">
        <v>69.543000000000006</v>
      </c>
      <c r="F9" s="2">
        <v>16</v>
      </c>
      <c r="G9" s="2">
        <v>96.609899999999996</v>
      </c>
      <c r="H9" s="2">
        <v>280</v>
      </c>
      <c r="I9" s="2">
        <v>95.571600000000004</v>
      </c>
      <c r="J9" s="2">
        <v>302</v>
      </c>
      <c r="K9" s="2">
        <v>98.523200000000003</v>
      </c>
      <c r="L9" s="2">
        <v>94</v>
      </c>
      <c r="M9" s="2">
        <v>102.34569999999999</v>
      </c>
      <c r="N9" s="2">
        <v>170</v>
      </c>
      <c r="O9" s="2">
        <v>0.312699</v>
      </c>
      <c r="P9" s="2">
        <v>250</v>
      </c>
      <c r="Q9" s="10">
        <f t="shared" si="0"/>
        <v>-6.77409999999999</v>
      </c>
      <c r="R9" s="11">
        <f t="shared" si="1"/>
        <v>132</v>
      </c>
      <c r="S9" s="11"/>
    </row>
    <row r="10" spans="1:19" ht="15.75" customHeight="1" x14ac:dyDescent="0.4">
      <c r="A10" s="2" t="s">
        <v>96</v>
      </c>
      <c r="B10" s="2">
        <v>11</v>
      </c>
      <c r="C10" s="2">
        <v>69.656400000000005</v>
      </c>
      <c r="D10" s="2">
        <v>14</v>
      </c>
      <c r="E10" s="2">
        <v>70.376199999999997</v>
      </c>
      <c r="F10" s="2">
        <v>6</v>
      </c>
      <c r="G10" s="2">
        <v>116.02849999999999</v>
      </c>
      <c r="H10" s="2">
        <v>7</v>
      </c>
      <c r="I10" s="2">
        <v>116.7226</v>
      </c>
      <c r="J10" s="2">
        <v>9</v>
      </c>
      <c r="K10" s="2">
        <v>102.9773</v>
      </c>
      <c r="L10" s="2">
        <v>187</v>
      </c>
      <c r="M10" s="2">
        <v>101.07859999999999</v>
      </c>
      <c r="N10" s="2">
        <v>139</v>
      </c>
      <c r="O10" s="2">
        <v>0.83954799999999996</v>
      </c>
      <c r="P10" s="2">
        <v>31</v>
      </c>
      <c r="Q10" s="10">
        <f t="shared" si="0"/>
        <v>15.644000000000005</v>
      </c>
      <c r="R10" s="11">
        <f t="shared" si="1"/>
        <v>130</v>
      </c>
      <c r="S10" s="11"/>
    </row>
    <row r="11" spans="1:19" ht="15.75" customHeight="1" x14ac:dyDescent="0.4">
      <c r="A11" s="2" t="s">
        <v>41</v>
      </c>
      <c r="B11" s="2">
        <v>8</v>
      </c>
      <c r="C11" s="2">
        <v>67.776600000000002</v>
      </c>
      <c r="D11" s="2">
        <v>50</v>
      </c>
      <c r="E11" s="2">
        <v>66.543999999999997</v>
      </c>
      <c r="F11" s="2">
        <v>87</v>
      </c>
      <c r="G11" s="2">
        <v>108.9756</v>
      </c>
      <c r="H11" s="2">
        <v>44</v>
      </c>
      <c r="I11" s="2">
        <v>113.3464</v>
      </c>
      <c r="J11" s="2">
        <v>16</v>
      </c>
      <c r="K11" s="2">
        <v>103.4173</v>
      </c>
      <c r="L11" s="2">
        <v>198</v>
      </c>
      <c r="M11" s="2">
        <v>100.6238</v>
      </c>
      <c r="N11" s="2">
        <v>134</v>
      </c>
      <c r="O11" s="2">
        <v>0.79724899999999999</v>
      </c>
      <c r="P11" s="2">
        <v>46</v>
      </c>
      <c r="Q11" s="10">
        <f t="shared" si="0"/>
        <v>12.7226</v>
      </c>
      <c r="R11" s="11">
        <f t="shared" si="1"/>
        <v>118</v>
      </c>
      <c r="S11" s="11"/>
    </row>
    <row r="12" spans="1:19" ht="15.75" customHeight="1" x14ac:dyDescent="0.4">
      <c r="A12" s="2" t="s">
        <v>56</v>
      </c>
      <c r="B12" s="2">
        <v>3</v>
      </c>
      <c r="C12" s="2">
        <v>64.113699999999994</v>
      </c>
      <c r="D12" s="2">
        <v>217</v>
      </c>
      <c r="E12" s="2">
        <v>64.128299999999996</v>
      </c>
      <c r="F12" s="2">
        <v>204</v>
      </c>
      <c r="G12" s="2">
        <v>121.2585</v>
      </c>
      <c r="H12" s="2">
        <v>1</v>
      </c>
      <c r="I12" s="2">
        <v>122.2296</v>
      </c>
      <c r="J12" s="2">
        <v>2</v>
      </c>
      <c r="K12" s="2">
        <v>101.40730000000001</v>
      </c>
      <c r="L12" s="2">
        <v>162</v>
      </c>
      <c r="M12" s="2">
        <v>99.664900000000003</v>
      </c>
      <c r="N12" s="2">
        <v>112</v>
      </c>
      <c r="O12" s="2">
        <v>0.91269599999999995</v>
      </c>
      <c r="P12" s="2">
        <v>10</v>
      </c>
      <c r="Q12" s="10">
        <f t="shared" si="0"/>
        <v>22.564700000000002</v>
      </c>
      <c r="R12" s="11">
        <f t="shared" si="1"/>
        <v>110</v>
      </c>
      <c r="S12" s="11"/>
    </row>
    <row r="13" spans="1:19" ht="15.75" customHeight="1" x14ac:dyDescent="0.4">
      <c r="A13" s="2" t="s">
        <v>93</v>
      </c>
      <c r="B13" s="2">
        <v>12</v>
      </c>
      <c r="C13" s="2">
        <v>58.364800000000002</v>
      </c>
      <c r="D13" s="2">
        <v>348</v>
      </c>
      <c r="E13" s="2">
        <v>59.237099999999998</v>
      </c>
      <c r="F13" s="2">
        <v>344</v>
      </c>
      <c r="G13" s="2">
        <v>103.1922</v>
      </c>
      <c r="H13" s="2">
        <v>147</v>
      </c>
      <c r="I13" s="2">
        <v>101.8455</v>
      </c>
      <c r="J13" s="2">
        <v>175</v>
      </c>
      <c r="K13" s="2">
        <v>95.343900000000005</v>
      </c>
      <c r="L13" s="2">
        <v>37</v>
      </c>
      <c r="M13" s="2">
        <v>96.974800000000002</v>
      </c>
      <c r="N13" s="2">
        <v>67</v>
      </c>
      <c r="O13" s="2">
        <v>0.63727699999999998</v>
      </c>
      <c r="P13" s="2">
        <v>102</v>
      </c>
      <c r="Q13" s="10">
        <f t="shared" si="0"/>
        <v>4.8706999999999994</v>
      </c>
      <c r="R13" s="11">
        <f t="shared" si="1"/>
        <v>108</v>
      </c>
      <c r="S13" s="11"/>
    </row>
    <row r="14" spans="1:19" ht="15.75" customHeight="1" x14ac:dyDescent="0.4">
      <c r="A14" s="2" t="s">
        <v>51</v>
      </c>
      <c r="B14" s="2">
        <v>11</v>
      </c>
      <c r="C14" s="2">
        <v>66.566199999999995</v>
      </c>
      <c r="D14" s="2">
        <v>92</v>
      </c>
      <c r="E14" s="2">
        <v>66.4054</v>
      </c>
      <c r="F14" s="2">
        <v>94</v>
      </c>
      <c r="G14" s="2">
        <v>108.54</v>
      </c>
      <c r="H14" s="2">
        <v>50</v>
      </c>
      <c r="I14" s="2">
        <v>112.9358</v>
      </c>
      <c r="J14" s="2">
        <v>22</v>
      </c>
      <c r="K14" s="2">
        <v>100.5981</v>
      </c>
      <c r="L14" s="2">
        <v>137</v>
      </c>
      <c r="M14" s="2">
        <v>100.13460000000001</v>
      </c>
      <c r="N14" s="2">
        <v>125</v>
      </c>
      <c r="O14" s="2">
        <v>0.79955399999999999</v>
      </c>
      <c r="P14" s="2">
        <v>44</v>
      </c>
      <c r="Q14" s="10">
        <f t="shared" si="0"/>
        <v>12.801199999999994</v>
      </c>
      <c r="R14" s="11">
        <f t="shared" si="1"/>
        <v>103</v>
      </c>
      <c r="S14" s="11"/>
    </row>
    <row r="15" spans="1:19" ht="15.75" customHeight="1" x14ac:dyDescent="0.4">
      <c r="A15" s="2" t="s">
        <v>74</v>
      </c>
      <c r="B15" s="2">
        <v>13</v>
      </c>
      <c r="C15" s="2">
        <v>63.183</v>
      </c>
      <c r="D15" s="2">
        <v>264</v>
      </c>
      <c r="E15" s="2">
        <v>62.755800000000001</v>
      </c>
      <c r="F15" s="2">
        <v>275</v>
      </c>
      <c r="G15" s="2">
        <v>107.5521</v>
      </c>
      <c r="H15" s="2">
        <v>58</v>
      </c>
      <c r="I15" s="2">
        <v>103.7859</v>
      </c>
      <c r="J15" s="2">
        <v>129</v>
      </c>
      <c r="K15" s="2">
        <v>93.935900000000004</v>
      </c>
      <c r="L15" s="2">
        <v>23</v>
      </c>
      <c r="M15" s="2">
        <v>94.3339</v>
      </c>
      <c r="N15" s="2">
        <v>31</v>
      </c>
      <c r="O15" s="2">
        <v>0.74990999999999997</v>
      </c>
      <c r="P15" s="2">
        <v>63</v>
      </c>
      <c r="Q15" s="10">
        <f t="shared" si="0"/>
        <v>9.4519999999999982</v>
      </c>
      <c r="R15" s="11">
        <f t="shared" si="1"/>
        <v>98</v>
      </c>
      <c r="S15" s="11"/>
    </row>
    <row r="16" spans="1:19" ht="15.75" customHeight="1" x14ac:dyDescent="0.4">
      <c r="A16" s="2" t="s">
        <v>86</v>
      </c>
      <c r="B16" s="2">
        <v>4</v>
      </c>
      <c r="C16" s="2">
        <v>66.242000000000004</v>
      </c>
      <c r="D16" s="2">
        <v>105</v>
      </c>
      <c r="E16" s="2">
        <v>65.4983</v>
      </c>
      <c r="F16" s="2">
        <v>136</v>
      </c>
      <c r="G16" s="2">
        <v>103.4782</v>
      </c>
      <c r="H16" s="2">
        <v>139</v>
      </c>
      <c r="I16" s="2">
        <v>105.8796</v>
      </c>
      <c r="J16" s="2">
        <v>95</v>
      </c>
      <c r="K16" s="2">
        <v>89.928200000000004</v>
      </c>
      <c r="L16" s="2">
        <v>6</v>
      </c>
      <c r="M16" s="2">
        <v>89.357799999999997</v>
      </c>
      <c r="N16" s="2">
        <v>6</v>
      </c>
      <c r="O16" s="2">
        <v>0.87555799999999995</v>
      </c>
      <c r="P16" s="2">
        <v>18</v>
      </c>
      <c r="Q16" s="10">
        <f t="shared" si="0"/>
        <v>16.521799999999999</v>
      </c>
      <c r="R16" s="11">
        <f t="shared" si="1"/>
        <v>89</v>
      </c>
      <c r="S16" s="11"/>
    </row>
    <row r="17" spans="1:19" ht="15.75" customHeight="1" x14ac:dyDescent="0.4">
      <c r="A17" s="2" t="s">
        <v>139</v>
      </c>
      <c r="B17" s="2">
        <v>16</v>
      </c>
      <c r="C17" s="2">
        <v>67.941100000000006</v>
      </c>
      <c r="D17" s="2">
        <v>45</v>
      </c>
      <c r="E17" s="2">
        <v>68.223100000000002</v>
      </c>
      <c r="F17" s="2">
        <v>30</v>
      </c>
      <c r="G17" s="2">
        <v>101.2805</v>
      </c>
      <c r="H17" s="2">
        <v>189</v>
      </c>
      <c r="I17" s="2">
        <v>100.907</v>
      </c>
      <c r="J17" s="2">
        <v>196</v>
      </c>
      <c r="K17" s="2">
        <v>97.792599999999993</v>
      </c>
      <c r="L17" s="2">
        <v>81</v>
      </c>
      <c r="M17" s="2">
        <v>99.471800000000002</v>
      </c>
      <c r="N17" s="2">
        <v>109</v>
      </c>
      <c r="O17" s="2">
        <v>0.54108999999999996</v>
      </c>
      <c r="P17" s="2">
        <v>145</v>
      </c>
      <c r="Q17" s="10">
        <f t="shared" si="0"/>
        <v>1.4351999999999947</v>
      </c>
      <c r="R17" s="11">
        <f t="shared" si="1"/>
        <v>87</v>
      </c>
      <c r="S17" s="11"/>
    </row>
    <row r="18" spans="1:19" ht="15.75" customHeight="1" x14ac:dyDescent="0.4">
      <c r="A18" s="2" t="s">
        <v>282</v>
      </c>
      <c r="B18" s="2">
        <v>12</v>
      </c>
      <c r="C18" s="2">
        <v>67.862300000000005</v>
      </c>
      <c r="D18" s="2">
        <v>47</v>
      </c>
      <c r="E18" s="2">
        <v>66.766599999999997</v>
      </c>
      <c r="F18" s="2">
        <v>75</v>
      </c>
      <c r="G18" s="2">
        <v>115.7403</v>
      </c>
      <c r="H18" s="2">
        <v>10</v>
      </c>
      <c r="I18" s="2">
        <v>112.9876</v>
      </c>
      <c r="J18" s="2">
        <v>19</v>
      </c>
      <c r="K18" s="2">
        <v>96.518699999999995</v>
      </c>
      <c r="L18" s="2">
        <v>57</v>
      </c>
      <c r="M18" s="2">
        <v>99.130899999999997</v>
      </c>
      <c r="N18" s="2">
        <v>103</v>
      </c>
      <c r="O18" s="2">
        <v>0.81826299999999996</v>
      </c>
      <c r="P18" s="2">
        <v>35</v>
      </c>
      <c r="Q18" s="10">
        <f t="shared" si="0"/>
        <v>13.856700000000004</v>
      </c>
      <c r="R18" s="11">
        <f t="shared" si="1"/>
        <v>84</v>
      </c>
      <c r="S18" s="11"/>
    </row>
    <row r="19" spans="1:19" ht="15.75" customHeight="1" x14ac:dyDescent="0.4">
      <c r="A19" s="2" t="s">
        <v>308</v>
      </c>
      <c r="B19" s="2">
        <v>14</v>
      </c>
      <c r="C19" s="2">
        <v>63.4818</v>
      </c>
      <c r="D19" s="2">
        <v>251</v>
      </c>
      <c r="E19" s="2">
        <v>63.667000000000002</v>
      </c>
      <c r="F19" s="2">
        <v>239</v>
      </c>
      <c r="G19" s="2">
        <v>107.29640000000001</v>
      </c>
      <c r="H19" s="2">
        <v>63</v>
      </c>
      <c r="I19" s="2">
        <v>105.9911</v>
      </c>
      <c r="J19" s="2">
        <v>90</v>
      </c>
      <c r="K19" s="2">
        <v>101.1421</v>
      </c>
      <c r="L19" s="2">
        <v>151</v>
      </c>
      <c r="M19" s="2">
        <v>102.3937</v>
      </c>
      <c r="N19" s="2">
        <v>171</v>
      </c>
      <c r="O19" s="2">
        <v>0.59798799999999996</v>
      </c>
      <c r="P19" s="2">
        <v>120</v>
      </c>
      <c r="Q19" s="10">
        <f t="shared" si="0"/>
        <v>3.5974000000000075</v>
      </c>
      <c r="R19" s="11">
        <f t="shared" si="1"/>
        <v>81</v>
      </c>
      <c r="S19" s="11"/>
    </row>
    <row r="20" spans="1:19" ht="15.75" customHeight="1" x14ac:dyDescent="0.4">
      <c r="A20" s="2" t="s">
        <v>363</v>
      </c>
      <c r="B20" s="2">
        <v>16</v>
      </c>
      <c r="C20" s="2">
        <v>67.5625</v>
      </c>
      <c r="D20" s="2">
        <v>59</v>
      </c>
      <c r="E20" s="2">
        <v>67.115399999999994</v>
      </c>
      <c r="F20" s="2">
        <v>60</v>
      </c>
      <c r="G20" s="2">
        <v>109.6328</v>
      </c>
      <c r="H20" s="2">
        <v>37</v>
      </c>
      <c r="I20" s="2">
        <v>105.69</v>
      </c>
      <c r="J20" s="2">
        <v>98</v>
      </c>
      <c r="K20" s="2">
        <v>101.3077</v>
      </c>
      <c r="L20" s="2">
        <v>157</v>
      </c>
      <c r="M20" s="2">
        <v>102.83750000000001</v>
      </c>
      <c r="N20" s="2">
        <v>178</v>
      </c>
      <c r="O20" s="2">
        <v>0.57801800000000003</v>
      </c>
      <c r="P20" s="2">
        <v>127</v>
      </c>
      <c r="Q20" s="10">
        <f t="shared" si="0"/>
        <v>2.852499999999992</v>
      </c>
      <c r="R20" s="11">
        <f t="shared" si="1"/>
        <v>80</v>
      </c>
      <c r="S20" s="11"/>
    </row>
    <row r="21" spans="1:19" ht="15.75" customHeight="1" x14ac:dyDescent="0.4">
      <c r="A21" s="2" t="s">
        <v>146</v>
      </c>
      <c r="B21" s="2">
        <v>3</v>
      </c>
      <c r="C21" s="2">
        <v>69.847700000000003</v>
      </c>
      <c r="D21" s="2">
        <v>12</v>
      </c>
      <c r="E21" s="2">
        <v>69.557900000000004</v>
      </c>
      <c r="F21" s="2">
        <v>15</v>
      </c>
      <c r="G21" s="2">
        <v>112.19499999999999</v>
      </c>
      <c r="H21" s="2">
        <v>23</v>
      </c>
      <c r="I21" s="2">
        <v>118.86069999999999</v>
      </c>
      <c r="J21" s="2">
        <v>7</v>
      </c>
      <c r="K21" s="2">
        <v>99.106899999999996</v>
      </c>
      <c r="L21" s="2">
        <v>106</v>
      </c>
      <c r="M21" s="2">
        <v>97.734999999999999</v>
      </c>
      <c r="N21" s="2">
        <v>82</v>
      </c>
      <c r="O21" s="2">
        <v>0.90469100000000002</v>
      </c>
      <c r="P21" s="2">
        <v>13</v>
      </c>
      <c r="Q21" s="10">
        <f t="shared" si="0"/>
        <v>21.125699999999995</v>
      </c>
      <c r="R21" s="11">
        <f t="shared" si="1"/>
        <v>75</v>
      </c>
      <c r="S21" s="11"/>
    </row>
    <row r="22" spans="1:19" ht="15.75" customHeight="1" x14ac:dyDescent="0.4">
      <c r="A22" s="2" t="s">
        <v>360</v>
      </c>
      <c r="B22" s="2">
        <v>15</v>
      </c>
      <c r="C22" s="2">
        <v>61.424900000000001</v>
      </c>
      <c r="D22" s="2">
        <v>317</v>
      </c>
      <c r="E22" s="2">
        <v>61.176299999999998</v>
      </c>
      <c r="F22" s="2">
        <v>321</v>
      </c>
      <c r="G22" s="2">
        <v>103.55240000000001</v>
      </c>
      <c r="H22" s="2">
        <v>137</v>
      </c>
      <c r="I22" s="2">
        <v>100.9777</v>
      </c>
      <c r="J22" s="2">
        <v>194</v>
      </c>
      <c r="K22" s="2">
        <v>98.960700000000003</v>
      </c>
      <c r="L22" s="2">
        <v>105</v>
      </c>
      <c r="M22" s="2">
        <v>100.07470000000001</v>
      </c>
      <c r="N22" s="2">
        <v>124</v>
      </c>
      <c r="O22" s="2">
        <v>0.52580099999999996</v>
      </c>
      <c r="P22" s="2">
        <v>151</v>
      </c>
      <c r="Q22" s="10">
        <f t="shared" si="0"/>
        <v>0.90299999999999159</v>
      </c>
      <c r="R22" s="11">
        <f t="shared" si="1"/>
        <v>70</v>
      </c>
      <c r="S22" s="11"/>
    </row>
    <row r="23" spans="1:19" ht="15.75" customHeight="1" x14ac:dyDescent="0.4">
      <c r="A23" s="2" t="s">
        <v>279</v>
      </c>
      <c r="B23" s="2">
        <v>12</v>
      </c>
      <c r="C23" s="2">
        <v>62.146500000000003</v>
      </c>
      <c r="D23" s="2">
        <v>300</v>
      </c>
      <c r="E23" s="2">
        <v>61.510899999999999</v>
      </c>
      <c r="F23" s="2">
        <v>316</v>
      </c>
      <c r="G23" s="2">
        <v>106.367</v>
      </c>
      <c r="H23" s="2">
        <v>79</v>
      </c>
      <c r="I23" s="2">
        <v>103.3306</v>
      </c>
      <c r="J23" s="2">
        <v>143</v>
      </c>
      <c r="K23" s="2">
        <v>96.729200000000006</v>
      </c>
      <c r="L23" s="2">
        <v>64</v>
      </c>
      <c r="M23" s="2">
        <v>97.473799999999997</v>
      </c>
      <c r="N23" s="2">
        <v>78</v>
      </c>
      <c r="O23" s="2">
        <v>0.66173300000000002</v>
      </c>
      <c r="P23" s="2">
        <v>90</v>
      </c>
      <c r="Q23" s="10">
        <f t="shared" si="0"/>
        <v>5.8568000000000069</v>
      </c>
      <c r="R23" s="11">
        <f t="shared" si="1"/>
        <v>65</v>
      </c>
      <c r="S23" s="11"/>
    </row>
    <row r="24" spans="1:19" ht="15.75" customHeight="1" x14ac:dyDescent="0.4">
      <c r="A24" s="2" t="s">
        <v>80</v>
      </c>
      <c r="B24" s="2">
        <v>5</v>
      </c>
      <c r="C24" s="2">
        <v>70.318100000000001</v>
      </c>
      <c r="D24" s="2">
        <v>10</v>
      </c>
      <c r="E24" s="2">
        <v>69.979600000000005</v>
      </c>
      <c r="F24" s="2">
        <v>9</v>
      </c>
      <c r="G24" s="2">
        <v>109.87739999999999</v>
      </c>
      <c r="H24" s="2">
        <v>36</v>
      </c>
      <c r="I24" s="2">
        <v>112.9615</v>
      </c>
      <c r="J24" s="2">
        <v>21</v>
      </c>
      <c r="K24" s="2">
        <v>99.305800000000005</v>
      </c>
      <c r="L24" s="2">
        <v>114</v>
      </c>
      <c r="M24" s="2">
        <v>97.691800000000001</v>
      </c>
      <c r="N24" s="2">
        <v>81</v>
      </c>
      <c r="O24" s="2">
        <v>0.84159399999999995</v>
      </c>
      <c r="P24" s="2">
        <v>29</v>
      </c>
      <c r="Q24" s="10">
        <f t="shared" si="0"/>
        <v>15.2697</v>
      </c>
      <c r="R24" s="11">
        <f t="shared" si="1"/>
        <v>60</v>
      </c>
      <c r="S24" s="11"/>
    </row>
    <row r="25" spans="1:19" ht="15.75" customHeight="1" x14ac:dyDescent="0.4">
      <c r="A25" s="2" t="s">
        <v>55</v>
      </c>
      <c r="B25" s="2">
        <v>8</v>
      </c>
      <c r="C25" s="2">
        <v>64.474100000000007</v>
      </c>
      <c r="D25" s="2">
        <v>193</v>
      </c>
      <c r="E25" s="2">
        <v>64.434399999999997</v>
      </c>
      <c r="F25" s="2">
        <v>189</v>
      </c>
      <c r="G25" s="2">
        <v>108.15179999999999</v>
      </c>
      <c r="H25" s="2">
        <v>54</v>
      </c>
      <c r="I25" s="2">
        <v>111.4712</v>
      </c>
      <c r="J25" s="2">
        <v>30</v>
      </c>
      <c r="K25" s="2">
        <v>101.0564</v>
      </c>
      <c r="L25" s="2">
        <v>148</v>
      </c>
      <c r="M25" s="2">
        <v>98.203000000000003</v>
      </c>
      <c r="N25" s="2">
        <v>89</v>
      </c>
      <c r="O25" s="2">
        <v>0.81113400000000002</v>
      </c>
      <c r="P25" s="2">
        <v>38</v>
      </c>
      <c r="Q25" s="10">
        <f t="shared" si="0"/>
        <v>13.268199999999993</v>
      </c>
      <c r="R25" s="11">
        <f t="shared" si="1"/>
        <v>59</v>
      </c>
      <c r="S25" s="11"/>
    </row>
    <row r="26" spans="1:19" ht="15.75" customHeight="1" x14ac:dyDescent="0.4">
      <c r="A26" s="2" t="s">
        <v>34</v>
      </c>
      <c r="B26" s="2">
        <v>8</v>
      </c>
      <c r="C26" s="2">
        <v>59.401299999999999</v>
      </c>
      <c r="D26" s="2">
        <v>343</v>
      </c>
      <c r="E26" s="2">
        <v>59.9908</v>
      </c>
      <c r="F26" s="2">
        <v>341</v>
      </c>
      <c r="G26" s="2">
        <v>104.0583</v>
      </c>
      <c r="H26" s="2">
        <v>123</v>
      </c>
      <c r="I26" s="2">
        <v>106.6968</v>
      </c>
      <c r="J26" s="2">
        <v>76</v>
      </c>
      <c r="K26" s="2">
        <v>92.421599999999998</v>
      </c>
      <c r="L26" s="2">
        <v>13</v>
      </c>
      <c r="M26" s="2">
        <v>93.2851</v>
      </c>
      <c r="N26" s="2">
        <v>18</v>
      </c>
      <c r="O26" s="2">
        <v>0.82416299999999998</v>
      </c>
      <c r="P26" s="2">
        <v>34</v>
      </c>
      <c r="Q26" s="10">
        <f t="shared" si="0"/>
        <v>13.411699999999996</v>
      </c>
      <c r="R26" s="11">
        <f t="shared" si="1"/>
        <v>58</v>
      </c>
      <c r="S26" s="11"/>
    </row>
    <row r="27" spans="1:19" ht="15.75" customHeight="1" x14ac:dyDescent="0.4">
      <c r="A27" s="2" t="s">
        <v>18</v>
      </c>
      <c r="B27" s="2">
        <v>6</v>
      </c>
      <c r="C27" s="2">
        <v>64.577299999999994</v>
      </c>
      <c r="D27" s="2">
        <v>190</v>
      </c>
      <c r="E27" s="2">
        <v>63.750500000000002</v>
      </c>
      <c r="F27" s="2">
        <v>231</v>
      </c>
      <c r="G27" s="2">
        <v>106.5519</v>
      </c>
      <c r="H27" s="2">
        <v>74</v>
      </c>
      <c r="I27" s="2">
        <v>107.51990000000001</v>
      </c>
      <c r="J27" s="2">
        <v>67</v>
      </c>
      <c r="K27" s="2">
        <v>93.881299999999996</v>
      </c>
      <c r="L27" s="2">
        <v>22</v>
      </c>
      <c r="M27" s="2">
        <v>91.659199999999998</v>
      </c>
      <c r="N27" s="2">
        <v>10</v>
      </c>
      <c r="O27" s="2">
        <v>0.862402</v>
      </c>
      <c r="P27" s="2">
        <v>23</v>
      </c>
      <c r="Q27" s="10">
        <f t="shared" si="0"/>
        <v>15.860700000000008</v>
      </c>
      <c r="R27" s="11">
        <f t="shared" si="1"/>
        <v>57</v>
      </c>
      <c r="S27" s="11"/>
    </row>
    <row r="28" spans="1:19" ht="15.75" customHeight="1" x14ac:dyDescent="0.4">
      <c r="A28" s="2" t="s">
        <v>32</v>
      </c>
      <c r="B28" s="2">
        <v>1</v>
      </c>
      <c r="C28" s="2">
        <v>66.573499999999996</v>
      </c>
      <c r="D28" s="2">
        <v>91</v>
      </c>
      <c r="E28" s="2">
        <v>66.236500000000007</v>
      </c>
      <c r="F28" s="2">
        <v>103</v>
      </c>
      <c r="G28" s="2">
        <v>120.49890000000001</v>
      </c>
      <c r="H28" s="2">
        <v>2</v>
      </c>
      <c r="I28" s="2">
        <v>122.0286</v>
      </c>
      <c r="J28" s="2">
        <v>3</v>
      </c>
      <c r="K28" s="2">
        <v>97.777900000000002</v>
      </c>
      <c r="L28" s="2">
        <v>80</v>
      </c>
      <c r="M28" s="2">
        <v>96.131299999999996</v>
      </c>
      <c r="N28" s="2">
        <v>57</v>
      </c>
      <c r="O28" s="2">
        <v>0.93952999999999998</v>
      </c>
      <c r="P28" s="2">
        <v>7</v>
      </c>
      <c r="Q28" s="10">
        <f t="shared" si="0"/>
        <v>25.897300000000001</v>
      </c>
      <c r="R28" s="11">
        <f t="shared" si="1"/>
        <v>54</v>
      </c>
      <c r="S28" s="11"/>
    </row>
    <row r="29" spans="1:19" ht="12.3" x14ac:dyDescent="0.4">
      <c r="A29" s="2" t="s">
        <v>152</v>
      </c>
      <c r="B29" s="2">
        <v>14</v>
      </c>
      <c r="C29" s="2">
        <v>64.316800000000001</v>
      </c>
      <c r="D29" s="2">
        <v>203</v>
      </c>
      <c r="E29" s="2">
        <v>63.297199999999997</v>
      </c>
      <c r="F29" s="2">
        <v>258</v>
      </c>
      <c r="G29" s="2">
        <v>108.6194</v>
      </c>
      <c r="H29" s="2">
        <v>48</v>
      </c>
      <c r="I29" s="2">
        <v>108.4051</v>
      </c>
      <c r="J29" s="2">
        <v>58</v>
      </c>
      <c r="K29" s="2">
        <v>95.783299999999997</v>
      </c>
      <c r="L29" s="2">
        <v>43</v>
      </c>
      <c r="M29" s="2">
        <v>99.227999999999994</v>
      </c>
      <c r="N29" s="2">
        <v>106</v>
      </c>
      <c r="O29" s="2">
        <v>0.73443199999999997</v>
      </c>
      <c r="P29" s="2">
        <v>71</v>
      </c>
      <c r="Q29" s="10">
        <f t="shared" si="0"/>
        <v>9.17710000000001</v>
      </c>
      <c r="R29" s="11">
        <f t="shared" si="1"/>
        <v>48</v>
      </c>
      <c r="S29" s="11"/>
    </row>
    <row r="30" spans="1:19" ht="12.3" x14ac:dyDescent="0.4">
      <c r="A30" s="2" t="s">
        <v>213</v>
      </c>
      <c r="B30" s="2">
        <v>12</v>
      </c>
      <c r="C30" s="2">
        <v>68.8703</v>
      </c>
      <c r="D30" s="2">
        <v>24</v>
      </c>
      <c r="E30" s="2">
        <v>69.258899999999997</v>
      </c>
      <c r="F30" s="2">
        <v>20</v>
      </c>
      <c r="G30" s="2">
        <v>108.9585</v>
      </c>
      <c r="H30" s="2">
        <v>45</v>
      </c>
      <c r="I30" s="2">
        <v>109.75109999999999</v>
      </c>
      <c r="J30" s="2">
        <v>47</v>
      </c>
      <c r="K30" s="2">
        <v>99.291399999999996</v>
      </c>
      <c r="L30" s="2">
        <v>113</v>
      </c>
      <c r="M30" s="2">
        <v>98.515000000000001</v>
      </c>
      <c r="N30" s="2">
        <v>94</v>
      </c>
      <c r="O30" s="2">
        <v>0.77592300000000003</v>
      </c>
      <c r="P30" s="2">
        <v>54</v>
      </c>
      <c r="Q30" s="10">
        <f t="shared" si="0"/>
        <v>11.236099999999993</v>
      </c>
      <c r="R30" s="11">
        <f t="shared" si="1"/>
        <v>47</v>
      </c>
      <c r="S30" s="11"/>
    </row>
    <row r="31" spans="1:19" ht="12.3" x14ac:dyDescent="0.4">
      <c r="A31" s="2" t="s">
        <v>19</v>
      </c>
      <c r="B31" s="2">
        <v>10</v>
      </c>
      <c r="C31" s="2">
        <v>64.773700000000005</v>
      </c>
      <c r="D31" s="2">
        <v>173</v>
      </c>
      <c r="E31" s="2">
        <v>64.1785</v>
      </c>
      <c r="F31" s="2">
        <v>201</v>
      </c>
      <c r="G31" s="2">
        <v>103.2958</v>
      </c>
      <c r="H31" s="2">
        <v>144</v>
      </c>
      <c r="I31" s="2">
        <v>107.01519999999999</v>
      </c>
      <c r="J31" s="2">
        <v>74</v>
      </c>
      <c r="K31" s="2">
        <v>96.905600000000007</v>
      </c>
      <c r="L31" s="2">
        <v>67</v>
      </c>
      <c r="M31" s="2">
        <v>93.9191</v>
      </c>
      <c r="N31" s="2">
        <v>28</v>
      </c>
      <c r="O31" s="2">
        <v>0.81775100000000001</v>
      </c>
      <c r="P31" s="2">
        <v>36</v>
      </c>
      <c r="Q31" s="10">
        <f t="shared" si="0"/>
        <v>13.096099999999993</v>
      </c>
      <c r="R31" s="11">
        <f t="shared" si="1"/>
        <v>46</v>
      </c>
      <c r="S31" s="11"/>
    </row>
    <row r="32" spans="1:19" ht="12.3" x14ac:dyDescent="0.4">
      <c r="A32" s="2" t="s">
        <v>38</v>
      </c>
      <c r="B32" s="2">
        <v>3</v>
      </c>
      <c r="C32" s="2">
        <v>68.155199999999994</v>
      </c>
      <c r="D32" s="2">
        <v>39</v>
      </c>
      <c r="E32" s="2">
        <v>67.644900000000007</v>
      </c>
      <c r="F32" s="2">
        <v>44</v>
      </c>
      <c r="G32" s="2">
        <v>104.8258</v>
      </c>
      <c r="H32" s="2">
        <v>108</v>
      </c>
      <c r="I32" s="2">
        <v>109.3152</v>
      </c>
      <c r="J32" s="2">
        <v>50</v>
      </c>
      <c r="K32" s="2">
        <v>91.352400000000003</v>
      </c>
      <c r="L32" s="2">
        <v>12</v>
      </c>
      <c r="M32" s="2">
        <v>88.907799999999995</v>
      </c>
      <c r="N32" s="2">
        <v>5</v>
      </c>
      <c r="O32" s="2">
        <v>0.91500199999999998</v>
      </c>
      <c r="P32" s="2">
        <v>9</v>
      </c>
      <c r="Q32" s="10">
        <f t="shared" si="0"/>
        <v>20.40740000000001</v>
      </c>
      <c r="R32" s="11">
        <f t="shared" si="1"/>
        <v>45</v>
      </c>
      <c r="S32" s="11"/>
    </row>
    <row r="33" spans="1:19" ht="12.3" x14ac:dyDescent="0.4">
      <c r="A33" s="2" t="s">
        <v>325</v>
      </c>
      <c r="B33" s="2">
        <v>15</v>
      </c>
      <c r="C33" s="2">
        <v>64.5565</v>
      </c>
      <c r="D33" s="2">
        <v>191</v>
      </c>
      <c r="E33" s="2">
        <v>63.928699999999999</v>
      </c>
      <c r="F33" s="2">
        <v>221</v>
      </c>
      <c r="G33" s="2">
        <v>103.3623</v>
      </c>
      <c r="H33" s="2">
        <v>142</v>
      </c>
      <c r="I33" s="2">
        <v>101.67319999999999</v>
      </c>
      <c r="J33" s="2">
        <v>177</v>
      </c>
      <c r="K33" s="2">
        <v>102.42140000000001</v>
      </c>
      <c r="L33" s="2">
        <v>178</v>
      </c>
      <c r="M33" s="2">
        <v>104.902</v>
      </c>
      <c r="N33" s="2">
        <v>220</v>
      </c>
      <c r="O33" s="2">
        <v>0.41107300000000002</v>
      </c>
      <c r="P33" s="2">
        <v>207</v>
      </c>
      <c r="Q33" s="10">
        <f t="shared" si="0"/>
        <v>-3.2288000000000068</v>
      </c>
      <c r="R33" s="11">
        <f t="shared" si="1"/>
        <v>43</v>
      </c>
      <c r="S33" s="11"/>
    </row>
    <row r="34" spans="1:19" ht="12.3" x14ac:dyDescent="0.4">
      <c r="A34" s="2" t="s">
        <v>58</v>
      </c>
      <c r="B34" s="2">
        <v>7</v>
      </c>
      <c r="C34" s="2">
        <v>63.132599999999996</v>
      </c>
      <c r="D34" s="2">
        <v>267</v>
      </c>
      <c r="E34" s="2">
        <v>63.700499999999998</v>
      </c>
      <c r="F34" s="2">
        <v>235</v>
      </c>
      <c r="G34" s="2">
        <v>110.8472</v>
      </c>
      <c r="H34" s="2">
        <v>29</v>
      </c>
      <c r="I34" s="2">
        <v>114.1116</v>
      </c>
      <c r="J34" s="2">
        <v>14</v>
      </c>
      <c r="K34" s="2">
        <v>97.901899999999998</v>
      </c>
      <c r="L34" s="2">
        <v>83</v>
      </c>
      <c r="M34" s="2">
        <v>96.071799999999996</v>
      </c>
      <c r="N34" s="2">
        <v>53</v>
      </c>
      <c r="O34" s="2">
        <v>0.87856699999999999</v>
      </c>
      <c r="P34" s="2">
        <v>17</v>
      </c>
      <c r="Q34" s="10">
        <f t="shared" si="0"/>
        <v>18.0398</v>
      </c>
      <c r="R34" s="11">
        <f t="shared" si="1"/>
        <v>39</v>
      </c>
      <c r="S34" s="11"/>
    </row>
    <row r="35" spans="1:19" ht="12.3" x14ac:dyDescent="0.4">
      <c r="A35" s="2" t="s">
        <v>137</v>
      </c>
      <c r="B35" s="2">
        <v>7</v>
      </c>
      <c r="C35" s="2">
        <v>66.6751</v>
      </c>
      <c r="D35" s="2">
        <v>87</v>
      </c>
      <c r="E35" s="2">
        <v>67.088300000000004</v>
      </c>
      <c r="F35" s="2">
        <v>64</v>
      </c>
      <c r="G35" s="2">
        <v>106.5592</v>
      </c>
      <c r="H35" s="2">
        <v>73</v>
      </c>
      <c r="I35" s="2">
        <v>108.11839999999999</v>
      </c>
      <c r="J35" s="2">
        <v>61</v>
      </c>
      <c r="K35" s="2">
        <v>96.571399999999997</v>
      </c>
      <c r="L35" s="2">
        <v>59</v>
      </c>
      <c r="M35" s="2">
        <v>93.600399999999993</v>
      </c>
      <c r="N35" s="2">
        <v>23</v>
      </c>
      <c r="O35" s="2">
        <v>0.83999800000000002</v>
      </c>
      <c r="P35" s="2">
        <v>30</v>
      </c>
      <c r="Q35" s="10">
        <f t="shared" si="0"/>
        <v>14.518000000000001</v>
      </c>
      <c r="R35" s="11">
        <f t="shared" si="1"/>
        <v>38</v>
      </c>
      <c r="S35" s="11"/>
    </row>
    <row r="36" spans="1:19" ht="12.3" x14ac:dyDescent="0.4">
      <c r="A36" s="2" t="s">
        <v>85</v>
      </c>
      <c r="B36" s="2">
        <v>9</v>
      </c>
      <c r="C36" s="2">
        <v>69.757999999999996</v>
      </c>
      <c r="D36" s="2">
        <v>13</v>
      </c>
      <c r="E36" s="2">
        <v>69.774799999999999</v>
      </c>
      <c r="F36" s="2">
        <v>13</v>
      </c>
      <c r="G36" s="2">
        <v>103.49469999999999</v>
      </c>
      <c r="H36" s="2">
        <v>138</v>
      </c>
      <c r="I36" s="2">
        <v>106.8287</v>
      </c>
      <c r="J36" s="2">
        <v>75</v>
      </c>
      <c r="K36" s="2">
        <v>95.167500000000004</v>
      </c>
      <c r="L36" s="2">
        <v>36</v>
      </c>
      <c r="M36" s="2">
        <v>94.665899999999993</v>
      </c>
      <c r="N36" s="2">
        <v>37</v>
      </c>
      <c r="O36" s="2">
        <v>0.80059899999999995</v>
      </c>
      <c r="P36" s="2">
        <v>43</v>
      </c>
      <c r="Q36" s="10">
        <f t="shared" si="0"/>
        <v>12.162800000000004</v>
      </c>
      <c r="R36" s="11">
        <f t="shared" si="1"/>
        <v>38</v>
      </c>
      <c r="S36" s="11"/>
    </row>
    <row r="37" spans="1:19" ht="12.3" x14ac:dyDescent="0.4">
      <c r="A37" s="2" t="s">
        <v>339</v>
      </c>
      <c r="B37" s="2">
        <v>14</v>
      </c>
      <c r="C37" s="2">
        <v>61.230899999999998</v>
      </c>
      <c r="D37" s="2">
        <v>321</v>
      </c>
      <c r="E37" s="2">
        <v>61.329700000000003</v>
      </c>
      <c r="F37" s="2">
        <v>320</v>
      </c>
      <c r="G37" s="2">
        <v>106.7968</v>
      </c>
      <c r="H37" s="2">
        <v>67</v>
      </c>
      <c r="I37" s="2">
        <v>104.2175</v>
      </c>
      <c r="J37" s="2">
        <v>117</v>
      </c>
      <c r="K37" s="2">
        <v>98.084199999999996</v>
      </c>
      <c r="L37" s="2">
        <v>86</v>
      </c>
      <c r="M37" s="2">
        <v>101.7462</v>
      </c>
      <c r="N37" s="2">
        <v>155</v>
      </c>
      <c r="O37" s="2">
        <v>0.56856200000000001</v>
      </c>
      <c r="P37" s="2">
        <v>131</v>
      </c>
      <c r="Q37" s="10">
        <f t="shared" si="0"/>
        <v>2.4712999999999994</v>
      </c>
      <c r="R37" s="11">
        <f t="shared" si="1"/>
        <v>38</v>
      </c>
      <c r="S37" s="11"/>
    </row>
    <row r="38" spans="1:19" ht="12.3" x14ac:dyDescent="0.4">
      <c r="A38" s="2" t="s">
        <v>64</v>
      </c>
      <c r="B38" s="2">
        <v>11</v>
      </c>
      <c r="C38" s="2">
        <v>64.366</v>
      </c>
      <c r="D38" s="2">
        <v>199</v>
      </c>
      <c r="E38" s="2">
        <v>63.979500000000002</v>
      </c>
      <c r="F38" s="2">
        <v>214</v>
      </c>
      <c r="G38" s="2">
        <v>105.5587</v>
      </c>
      <c r="H38" s="2">
        <v>93</v>
      </c>
      <c r="I38" s="2">
        <v>107.1481</v>
      </c>
      <c r="J38" s="2">
        <v>73</v>
      </c>
      <c r="K38" s="2">
        <v>94.128699999999995</v>
      </c>
      <c r="L38" s="2">
        <v>24</v>
      </c>
      <c r="M38" s="2">
        <v>94.681200000000004</v>
      </c>
      <c r="N38" s="2">
        <v>38</v>
      </c>
      <c r="O38" s="2">
        <v>0.80573099999999998</v>
      </c>
      <c r="P38" s="2">
        <v>40</v>
      </c>
      <c r="Q38" s="10">
        <f t="shared" si="0"/>
        <v>12.466899999999995</v>
      </c>
      <c r="R38" s="11">
        <f t="shared" si="1"/>
        <v>35</v>
      </c>
      <c r="S38" s="11"/>
    </row>
    <row r="39" spans="1:19" ht="12.3" x14ac:dyDescent="0.4">
      <c r="A39" s="2" t="s">
        <v>168</v>
      </c>
      <c r="B39" s="2">
        <v>4</v>
      </c>
      <c r="C39" s="2">
        <v>69.453699999999998</v>
      </c>
      <c r="D39" s="2">
        <v>15</v>
      </c>
      <c r="E39" s="2">
        <v>69.958100000000002</v>
      </c>
      <c r="F39" s="2">
        <v>10</v>
      </c>
      <c r="G39" s="2">
        <v>111.20740000000001</v>
      </c>
      <c r="H39" s="2">
        <v>27</v>
      </c>
      <c r="I39" s="2">
        <v>115.2564</v>
      </c>
      <c r="J39" s="2">
        <v>12</v>
      </c>
      <c r="K39" s="2">
        <v>98.121600000000001</v>
      </c>
      <c r="L39" s="2">
        <v>87</v>
      </c>
      <c r="M39" s="2">
        <v>95.036600000000007</v>
      </c>
      <c r="N39" s="2">
        <v>45</v>
      </c>
      <c r="O39" s="2">
        <v>0.90188199999999996</v>
      </c>
      <c r="P39" s="2">
        <v>16</v>
      </c>
      <c r="Q39" s="10">
        <f t="shared" si="0"/>
        <v>20.219799999999992</v>
      </c>
      <c r="R39" s="11">
        <f t="shared" si="1"/>
        <v>33</v>
      </c>
      <c r="S39" s="11"/>
    </row>
    <row r="40" spans="1:19" ht="12.3" x14ac:dyDescent="0.4">
      <c r="A40" s="2" t="s">
        <v>118</v>
      </c>
      <c r="B40" s="2">
        <v>15</v>
      </c>
      <c r="C40" s="2">
        <v>62.7971</v>
      </c>
      <c r="D40" s="2">
        <v>281</v>
      </c>
      <c r="E40" s="2">
        <v>63.728200000000001</v>
      </c>
      <c r="F40" s="2">
        <v>233</v>
      </c>
      <c r="G40" s="2">
        <v>107.3347</v>
      </c>
      <c r="H40" s="2">
        <v>61</v>
      </c>
      <c r="I40" s="2">
        <v>104.06180000000001</v>
      </c>
      <c r="J40" s="2">
        <v>120</v>
      </c>
      <c r="K40" s="2">
        <v>94.170599999999993</v>
      </c>
      <c r="L40" s="2">
        <v>25</v>
      </c>
      <c r="M40" s="2">
        <v>97.947000000000003</v>
      </c>
      <c r="N40" s="2">
        <v>87</v>
      </c>
      <c r="O40" s="2">
        <v>0.66739300000000001</v>
      </c>
      <c r="P40" s="2">
        <v>88</v>
      </c>
      <c r="Q40" s="10">
        <f t="shared" si="0"/>
        <v>6.1148000000000025</v>
      </c>
      <c r="R40" s="11">
        <f t="shared" si="1"/>
        <v>33</v>
      </c>
      <c r="S40" s="11"/>
    </row>
    <row r="41" spans="1:19" ht="12.3" x14ac:dyDescent="0.4">
      <c r="A41" s="2" t="s">
        <v>65</v>
      </c>
      <c r="B41" s="2">
        <v>11</v>
      </c>
      <c r="C41" s="2">
        <v>67.521600000000007</v>
      </c>
      <c r="D41" s="2">
        <v>60</v>
      </c>
      <c r="E41" s="2">
        <v>66.040800000000004</v>
      </c>
      <c r="F41" s="2">
        <v>111</v>
      </c>
      <c r="G41" s="2">
        <v>105.51690000000001</v>
      </c>
      <c r="H41" s="2">
        <v>95</v>
      </c>
      <c r="I41" s="2">
        <v>110.1957</v>
      </c>
      <c r="J41" s="2">
        <v>45</v>
      </c>
      <c r="K41" s="2">
        <v>100.3759</v>
      </c>
      <c r="L41" s="2">
        <v>132</v>
      </c>
      <c r="M41" s="2">
        <v>97.382400000000004</v>
      </c>
      <c r="N41" s="2">
        <v>76</v>
      </c>
      <c r="O41" s="2">
        <v>0.80557999999999996</v>
      </c>
      <c r="P41" s="2">
        <v>41</v>
      </c>
      <c r="Q41" s="10">
        <f t="shared" si="0"/>
        <v>12.813299999999998</v>
      </c>
      <c r="R41" s="11">
        <f t="shared" si="1"/>
        <v>31</v>
      </c>
      <c r="S41" s="11"/>
    </row>
    <row r="42" spans="1:19" ht="12.3" x14ac:dyDescent="0.4">
      <c r="A42" s="2" t="s">
        <v>110</v>
      </c>
      <c r="B42" s="2">
        <v>13</v>
      </c>
      <c r="C42" s="2">
        <v>64.040499999999994</v>
      </c>
      <c r="D42" s="2">
        <v>221</v>
      </c>
      <c r="E42" s="2">
        <v>63.725900000000003</v>
      </c>
      <c r="F42" s="2">
        <v>234</v>
      </c>
      <c r="G42" s="2">
        <v>103.69370000000001</v>
      </c>
      <c r="H42" s="2">
        <v>133</v>
      </c>
      <c r="I42" s="2">
        <v>103.9436</v>
      </c>
      <c r="J42" s="2">
        <v>123</v>
      </c>
      <c r="K42" s="2">
        <v>98.204400000000007</v>
      </c>
      <c r="L42" s="2">
        <v>90</v>
      </c>
      <c r="M42" s="2">
        <v>98.272199999999998</v>
      </c>
      <c r="N42" s="2">
        <v>92</v>
      </c>
      <c r="O42" s="2">
        <v>0.65593599999999996</v>
      </c>
      <c r="P42" s="2">
        <v>94</v>
      </c>
      <c r="Q42" s="10">
        <f t="shared" si="0"/>
        <v>5.6714000000000055</v>
      </c>
      <c r="R42" s="11">
        <f t="shared" si="1"/>
        <v>31</v>
      </c>
      <c r="S42" s="11"/>
    </row>
    <row r="43" spans="1:19" ht="12.3" x14ac:dyDescent="0.4">
      <c r="A43" s="2" t="s">
        <v>35</v>
      </c>
      <c r="B43" s="2">
        <v>2</v>
      </c>
      <c r="C43" s="2">
        <v>66.792400000000001</v>
      </c>
      <c r="D43" s="2">
        <v>82</v>
      </c>
      <c r="E43" s="2">
        <v>67.438199999999995</v>
      </c>
      <c r="F43" s="2">
        <v>55</v>
      </c>
      <c r="G43" s="2">
        <v>106.3417</v>
      </c>
      <c r="H43" s="2">
        <v>80</v>
      </c>
      <c r="I43" s="2">
        <v>110.7779</v>
      </c>
      <c r="J43" s="2">
        <v>37</v>
      </c>
      <c r="K43" s="2">
        <v>96.674999999999997</v>
      </c>
      <c r="L43" s="2">
        <v>62</v>
      </c>
      <c r="M43" s="2">
        <v>90.479600000000005</v>
      </c>
      <c r="N43" s="2">
        <v>7</v>
      </c>
      <c r="O43" s="2">
        <v>0.91113900000000003</v>
      </c>
      <c r="P43" s="2">
        <v>11</v>
      </c>
      <c r="Q43" s="10">
        <f t="shared" si="0"/>
        <v>20.298299999999998</v>
      </c>
      <c r="R43" s="11">
        <f t="shared" si="1"/>
        <v>30</v>
      </c>
      <c r="S43" s="11"/>
    </row>
    <row r="44" spans="1:19" ht="12.3" x14ac:dyDescent="0.4">
      <c r="A44" s="2" t="s">
        <v>76</v>
      </c>
      <c r="B44" s="2">
        <v>1</v>
      </c>
      <c r="C44" s="2">
        <v>59.265599999999999</v>
      </c>
      <c r="D44" s="2">
        <v>345</v>
      </c>
      <c r="E44" s="2">
        <v>58.743299999999998</v>
      </c>
      <c r="F44" s="2">
        <v>347</v>
      </c>
      <c r="G44" s="2">
        <v>120.4953</v>
      </c>
      <c r="H44" s="2">
        <v>3</v>
      </c>
      <c r="I44" s="2">
        <v>124.69499999999999</v>
      </c>
      <c r="J44" s="2">
        <v>1</v>
      </c>
      <c r="K44" s="2">
        <v>94.464600000000004</v>
      </c>
      <c r="L44" s="2">
        <v>27</v>
      </c>
      <c r="M44" s="2">
        <v>94.260499999999993</v>
      </c>
      <c r="N44" s="2">
        <v>30</v>
      </c>
      <c r="O44" s="2">
        <v>0.96149799999999996</v>
      </c>
      <c r="P44" s="2">
        <v>3</v>
      </c>
      <c r="Q44" s="10">
        <f t="shared" si="0"/>
        <v>30.4345</v>
      </c>
      <c r="R44" s="11">
        <f t="shared" si="1"/>
        <v>29</v>
      </c>
      <c r="S44" s="11"/>
    </row>
    <row r="45" spans="1:19" ht="12.3" x14ac:dyDescent="0.4">
      <c r="A45" s="2" t="s">
        <v>334</v>
      </c>
      <c r="B45" s="2">
        <v>16</v>
      </c>
      <c r="C45" s="2">
        <v>64.762100000000004</v>
      </c>
      <c r="D45" s="2">
        <v>174</v>
      </c>
      <c r="E45" s="2">
        <v>64.417000000000002</v>
      </c>
      <c r="F45" s="2">
        <v>190</v>
      </c>
      <c r="G45" s="2">
        <v>109.07940000000001</v>
      </c>
      <c r="H45" s="2">
        <v>43</v>
      </c>
      <c r="I45" s="2">
        <v>103.5363</v>
      </c>
      <c r="J45" s="2">
        <v>136</v>
      </c>
      <c r="K45" s="2">
        <v>99.710400000000007</v>
      </c>
      <c r="L45" s="2">
        <v>119</v>
      </c>
      <c r="M45" s="2">
        <v>102.2055</v>
      </c>
      <c r="N45" s="2">
        <v>164</v>
      </c>
      <c r="O45" s="2">
        <v>0.53712300000000002</v>
      </c>
      <c r="P45" s="2">
        <v>148</v>
      </c>
      <c r="Q45" s="10">
        <f t="shared" si="0"/>
        <v>1.3307999999999964</v>
      </c>
      <c r="R45" s="11">
        <f t="shared" si="1"/>
        <v>28</v>
      </c>
      <c r="S45" s="11"/>
    </row>
    <row r="46" spans="1:19" ht="12.3" x14ac:dyDescent="0.4">
      <c r="A46" s="2" t="s">
        <v>50</v>
      </c>
      <c r="B46" s="2">
        <v>6</v>
      </c>
      <c r="C46" s="2">
        <v>66.031800000000004</v>
      </c>
      <c r="D46" s="2">
        <v>118</v>
      </c>
      <c r="E46" s="2">
        <v>65.672200000000004</v>
      </c>
      <c r="F46" s="2">
        <v>128</v>
      </c>
      <c r="G46" s="2">
        <v>109.35080000000001</v>
      </c>
      <c r="H46" s="2">
        <v>40</v>
      </c>
      <c r="I46" s="2">
        <v>111.88639999999999</v>
      </c>
      <c r="J46" s="2">
        <v>28</v>
      </c>
      <c r="K46" s="2">
        <v>100.52809999999999</v>
      </c>
      <c r="L46" s="2">
        <v>135</v>
      </c>
      <c r="M46" s="2">
        <v>96.102900000000005</v>
      </c>
      <c r="N46" s="2">
        <v>55</v>
      </c>
      <c r="O46" s="2">
        <v>0.85179300000000002</v>
      </c>
      <c r="P46" s="2">
        <v>26</v>
      </c>
      <c r="Q46" s="10">
        <f t="shared" si="0"/>
        <v>15.783499999999989</v>
      </c>
      <c r="R46" s="11">
        <f t="shared" si="1"/>
        <v>27</v>
      </c>
      <c r="S46" s="11"/>
    </row>
    <row r="47" spans="1:19" ht="12.3" x14ac:dyDescent="0.4">
      <c r="A47" s="2" t="s">
        <v>87</v>
      </c>
      <c r="B47" s="2">
        <v>2</v>
      </c>
      <c r="C47" s="2">
        <v>58.496299999999998</v>
      </c>
      <c r="D47" s="2">
        <v>347</v>
      </c>
      <c r="E47" s="2">
        <v>58.158000000000001</v>
      </c>
      <c r="F47" s="2">
        <v>349</v>
      </c>
      <c r="G47" s="2">
        <v>110.6799</v>
      </c>
      <c r="H47" s="2">
        <v>31</v>
      </c>
      <c r="I47" s="2">
        <v>112.22499999999999</v>
      </c>
      <c r="J47" s="2">
        <v>27</v>
      </c>
      <c r="K47" s="2">
        <v>85.616200000000006</v>
      </c>
      <c r="L47" s="2">
        <v>2</v>
      </c>
      <c r="M47" s="2">
        <v>85.371399999999994</v>
      </c>
      <c r="N47" s="2">
        <v>1</v>
      </c>
      <c r="O47" s="2">
        <v>0.95871899999999999</v>
      </c>
      <c r="P47" s="2">
        <v>4</v>
      </c>
      <c r="Q47" s="10">
        <f t="shared" si="0"/>
        <v>26.8536</v>
      </c>
      <c r="R47" s="11">
        <f t="shared" si="1"/>
        <v>26</v>
      </c>
      <c r="S47" s="11"/>
    </row>
    <row r="48" spans="1:19" ht="12.3" x14ac:dyDescent="0.4">
      <c r="A48" s="2" t="s">
        <v>67</v>
      </c>
      <c r="B48" s="2">
        <v>11</v>
      </c>
      <c r="C48" s="2">
        <v>63.084699999999998</v>
      </c>
      <c r="D48" s="2">
        <v>269</v>
      </c>
      <c r="E48" s="2">
        <v>62.279299999999999</v>
      </c>
      <c r="F48" s="2">
        <v>294</v>
      </c>
      <c r="G48" s="2">
        <v>106.4896</v>
      </c>
      <c r="H48" s="2">
        <v>77</v>
      </c>
      <c r="I48" s="2">
        <v>110.2882</v>
      </c>
      <c r="J48" s="2">
        <v>42</v>
      </c>
      <c r="K48" s="2">
        <v>94.586500000000001</v>
      </c>
      <c r="L48" s="2">
        <v>28</v>
      </c>
      <c r="M48" s="2">
        <v>93.307100000000005</v>
      </c>
      <c r="N48" s="2">
        <v>19</v>
      </c>
      <c r="O48" s="2">
        <v>0.87245200000000001</v>
      </c>
      <c r="P48" s="2">
        <v>20</v>
      </c>
      <c r="Q48" s="10">
        <f t="shared" si="0"/>
        <v>16.981099999999998</v>
      </c>
      <c r="R48" s="11">
        <f t="shared" si="1"/>
        <v>23</v>
      </c>
      <c r="S48" s="11"/>
    </row>
    <row r="49" spans="1:19" ht="12.3" x14ac:dyDescent="0.4">
      <c r="A49" s="2" t="s">
        <v>307</v>
      </c>
      <c r="B49" s="2">
        <v>16</v>
      </c>
      <c r="C49" s="2">
        <v>66.733500000000006</v>
      </c>
      <c r="D49" s="2">
        <v>85</v>
      </c>
      <c r="E49" s="2">
        <v>65.608199999999997</v>
      </c>
      <c r="F49" s="2">
        <v>131</v>
      </c>
      <c r="G49" s="2">
        <v>103.0624</v>
      </c>
      <c r="H49" s="2">
        <v>151</v>
      </c>
      <c r="I49" s="2">
        <v>101.0371</v>
      </c>
      <c r="J49" s="2">
        <v>191</v>
      </c>
      <c r="K49" s="2">
        <v>100.7603</v>
      </c>
      <c r="L49" s="2">
        <v>142</v>
      </c>
      <c r="M49" s="2">
        <v>102.3443</v>
      </c>
      <c r="N49" s="2">
        <v>169</v>
      </c>
      <c r="O49" s="2">
        <v>0.46310800000000002</v>
      </c>
      <c r="P49" s="2">
        <v>173</v>
      </c>
      <c r="Q49" s="10">
        <f t="shared" si="0"/>
        <v>-1.3072000000000088</v>
      </c>
      <c r="R49" s="11">
        <f t="shared" si="1"/>
        <v>22</v>
      </c>
      <c r="S49" s="11"/>
    </row>
    <row r="50" spans="1:19" ht="12.3" x14ac:dyDescent="0.4">
      <c r="A50" s="2" t="s">
        <v>158</v>
      </c>
      <c r="B50" s="2">
        <v>3</v>
      </c>
      <c r="C50" s="2">
        <v>62.660200000000003</v>
      </c>
      <c r="D50" s="2">
        <v>286</v>
      </c>
      <c r="E50" s="2">
        <v>62.177300000000002</v>
      </c>
      <c r="F50" s="2">
        <v>296</v>
      </c>
      <c r="G50" s="2">
        <v>109.56440000000001</v>
      </c>
      <c r="H50" s="2">
        <v>38</v>
      </c>
      <c r="I50" s="2">
        <v>114.8484</v>
      </c>
      <c r="J50" s="2">
        <v>13</v>
      </c>
      <c r="K50" s="2">
        <v>95.708500000000001</v>
      </c>
      <c r="L50" s="2">
        <v>41</v>
      </c>
      <c r="M50" s="2">
        <v>94.519000000000005</v>
      </c>
      <c r="N50" s="2">
        <v>33</v>
      </c>
      <c r="O50" s="2">
        <v>0.90381299999999998</v>
      </c>
      <c r="P50" s="2">
        <v>15</v>
      </c>
      <c r="Q50" s="10">
        <f t="shared" si="0"/>
        <v>20.329399999999993</v>
      </c>
      <c r="R50" s="11">
        <f t="shared" si="1"/>
        <v>20</v>
      </c>
      <c r="S50" s="11"/>
    </row>
    <row r="51" spans="1:19" ht="12.3" x14ac:dyDescent="0.4">
      <c r="A51" s="2" t="s">
        <v>36</v>
      </c>
      <c r="B51" s="2">
        <v>4</v>
      </c>
      <c r="C51" s="2">
        <v>64.756799999999998</v>
      </c>
      <c r="D51" s="2">
        <v>176</v>
      </c>
      <c r="E51" s="2">
        <v>64.447199999999995</v>
      </c>
      <c r="F51" s="2">
        <v>184</v>
      </c>
      <c r="G51" s="2">
        <v>106.60509999999999</v>
      </c>
      <c r="H51" s="2">
        <v>70</v>
      </c>
      <c r="I51" s="2">
        <v>108.5398</v>
      </c>
      <c r="J51" s="2">
        <v>56</v>
      </c>
      <c r="K51" s="2">
        <v>97.330200000000005</v>
      </c>
      <c r="L51" s="2">
        <v>74</v>
      </c>
      <c r="M51" s="2">
        <v>94.622900000000001</v>
      </c>
      <c r="N51" s="2">
        <v>36</v>
      </c>
      <c r="O51" s="2">
        <v>0.82892100000000002</v>
      </c>
      <c r="P51" s="2">
        <v>33</v>
      </c>
      <c r="Q51" s="10">
        <f t="shared" si="0"/>
        <v>13.916899999999998</v>
      </c>
      <c r="R51" s="11">
        <f t="shared" si="1"/>
        <v>20</v>
      </c>
      <c r="S51" s="11"/>
    </row>
    <row r="52" spans="1:19" ht="12.3" x14ac:dyDescent="0.4">
      <c r="A52" s="2" t="s">
        <v>140</v>
      </c>
      <c r="B52" s="2">
        <v>6</v>
      </c>
      <c r="C52" s="2">
        <v>62.933100000000003</v>
      </c>
      <c r="D52" s="2">
        <v>275</v>
      </c>
      <c r="E52" s="2">
        <v>63.799599999999998</v>
      </c>
      <c r="F52" s="2">
        <v>226</v>
      </c>
      <c r="G52" s="2">
        <v>109.9414</v>
      </c>
      <c r="H52" s="2">
        <v>33</v>
      </c>
      <c r="I52" s="2">
        <v>112.30929999999999</v>
      </c>
      <c r="J52" s="2">
        <v>24</v>
      </c>
      <c r="K52" s="2">
        <v>94.651300000000006</v>
      </c>
      <c r="L52" s="2">
        <v>30</v>
      </c>
      <c r="M52" s="2">
        <v>94.944400000000002</v>
      </c>
      <c r="N52" s="2">
        <v>43</v>
      </c>
      <c r="O52" s="2">
        <v>0.87342600000000004</v>
      </c>
      <c r="P52" s="2">
        <v>19</v>
      </c>
      <c r="Q52" s="10">
        <f t="shared" si="0"/>
        <v>17.364899999999992</v>
      </c>
      <c r="R52" s="11">
        <f t="shared" si="1"/>
        <v>19</v>
      </c>
      <c r="S52" s="11"/>
    </row>
    <row r="53" spans="1:19" ht="12.3" x14ac:dyDescent="0.4">
      <c r="A53" s="2" t="s">
        <v>62</v>
      </c>
      <c r="B53" s="2">
        <v>4</v>
      </c>
      <c r="C53" s="2">
        <v>64.674599999999998</v>
      </c>
      <c r="D53" s="2">
        <v>180</v>
      </c>
      <c r="E53" s="2">
        <v>64.438999999999993</v>
      </c>
      <c r="F53" s="2">
        <v>187</v>
      </c>
      <c r="G53" s="2">
        <v>107.5475</v>
      </c>
      <c r="H53" s="2">
        <v>59</v>
      </c>
      <c r="I53" s="2">
        <v>110.29600000000001</v>
      </c>
      <c r="J53" s="2">
        <v>41</v>
      </c>
      <c r="K53" s="2">
        <v>98.203100000000006</v>
      </c>
      <c r="L53" s="2">
        <v>89</v>
      </c>
      <c r="M53" s="2">
        <v>93.704999999999998</v>
      </c>
      <c r="N53" s="2">
        <v>25</v>
      </c>
      <c r="O53" s="2">
        <v>0.86699899999999996</v>
      </c>
      <c r="P53" s="2">
        <v>22</v>
      </c>
      <c r="Q53" s="10">
        <f t="shared" si="0"/>
        <v>16.591000000000008</v>
      </c>
      <c r="R53" s="11">
        <f t="shared" si="1"/>
        <v>16</v>
      </c>
      <c r="S53" s="11"/>
    </row>
    <row r="54" spans="1:19" ht="12.3" x14ac:dyDescent="0.4">
      <c r="A54" s="2" t="s">
        <v>212</v>
      </c>
      <c r="B54" s="2">
        <v>11</v>
      </c>
      <c r="C54" s="2">
        <v>62.3307</v>
      </c>
      <c r="D54" s="2">
        <v>295</v>
      </c>
      <c r="E54" s="2">
        <v>63.736899999999999</v>
      </c>
      <c r="F54" s="2">
        <v>232</v>
      </c>
      <c r="G54" s="2">
        <v>109.92400000000001</v>
      </c>
      <c r="H54" s="2">
        <v>34</v>
      </c>
      <c r="I54" s="2">
        <v>109.42149999999999</v>
      </c>
      <c r="J54" s="2">
        <v>48</v>
      </c>
      <c r="K54" s="2">
        <v>95.963899999999995</v>
      </c>
      <c r="L54" s="2">
        <v>45</v>
      </c>
      <c r="M54" s="2">
        <v>96.506699999999995</v>
      </c>
      <c r="N54" s="2">
        <v>64</v>
      </c>
      <c r="O54" s="2">
        <v>0.80912499999999998</v>
      </c>
      <c r="P54" s="2">
        <v>39</v>
      </c>
      <c r="Q54" s="10">
        <f t="shared" si="0"/>
        <v>12.9148</v>
      </c>
      <c r="R54" s="11">
        <f t="shared" si="1"/>
        <v>16</v>
      </c>
      <c r="S54" s="11"/>
    </row>
    <row r="55" spans="1:19" ht="12.3" x14ac:dyDescent="0.4">
      <c r="A55" s="2" t="s">
        <v>47</v>
      </c>
      <c r="B55" s="2">
        <v>2</v>
      </c>
      <c r="C55" s="2">
        <v>64.950900000000004</v>
      </c>
      <c r="D55" s="2">
        <v>162</v>
      </c>
      <c r="E55" s="2">
        <v>65.060500000000005</v>
      </c>
      <c r="F55" s="2">
        <v>153</v>
      </c>
      <c r="G55" s="2">
        <v>120.00660000000001</v>
      </c>
      <c r="H55" s="2">
        <v>4</v>
      </c>
      <c r="I55" s="2">
        <v>119.4414</v>
      </c>
      <c r="J55" s="2">
        <v>6</v>
      </c>
      <c r="K55" s="2">
        <v>93.631100000000004</v>
      </c>
      <c r="L55" s="2">
        <v>19</v>
      </c>
      <c r="M55" s="2">
        <v>93.431299999999993</v>
      </c>
      <c r="N55" s="2">
        <v>20</v>
      </c>
      <c r="O55" s="2">
        <v>0.94398000000000004</v>
      </c>
      <c r="P55" s="2">
        <v>6</v>
      </c>
      <c r="Q55" s="10">
        <f t="shared" si="0"/>
        <v>26.010100000000008</v>
      </c>
      <c r="R55" s="11">
        <f t="shared" si="1"/>
        <v>14</v>
      </c>
      <c r="S55" s="11"/>
    </row>
    <row r="56" spans="1:19" ht="12.3" x14ac:dyDescent="0.4">
      <c r="A56" s="2" t="s">
        <v>229</v>
      </c>
      <c r="B56" s="2">
        <v>5</v>
      </c>
      <c r="C56" s="2">
        <v>69.122699999999995</v>
      </c>
      <c r="D56" s="2">
        <v>21</v>
      </c>
      <c r="E56" s="2">
        <v>68.691299999999998</v>
      </c>
      <c r="F56" s="2">
        <v>26</v>
      </c>
      <c r="G56" s="2">
        <v>106.45229999999999</v>
      </c>
      <c r="H56" s="2">
        <v>78</v>
      </c>
      <c r="I56" s="2">
        <v>111.2441</v>
      </c>
      <c r="J56" s="2">
        <v>33</v>
      </c>
      <c r="K56" s="2">
        <v>96.350499999999997</v>
      </c>
      <c r="L56" s="2">
        <v>52</v>
      </c>
      <c r="M56" s="2">
        <v>95.414500000000004</v>
      </c>
      <c r="N56" s="2">
        <v>47</v>
      </c>
      <c r="O56" s="2">
        <v>0.85385999999999995</v>
      </c>
      <c r="P56" s="2">
        <v>25</v>
      </c>
      <c r="Q56" s="10">
        <f t="shared" si="0"/>
        <v>15.829599999999999</v>
      </c>
      <c r="R56" s="11">
        <f t="shared" si="1"/>
        <v>14</v>
      </c>
      <c r="S56" s="11"/>
    </row>
    <row r="57" spans="1:19" ht="12.3" x14ac:dyDescent="0.4">
      <c r="A57" s="2" t="s">
        <v>121</v>
      </c>
      <c r="B57" s="2">
        <v>9</v>
      </c>
      <c r="C57" s="2">
        <v>65.047399999999996</v>
      </c>
      <c r="D57" s="2">
        <v>159</v>
      </c>
      <c r="E57" s="2">
        <v>64.540499999999994</v>
      </c>
      <c r="F57" s="2">
        <v>180</v>
      </c>
      <c r="G57" s="2">
        <v>106.5732</v>
      </c>
      <c r="H57" s="2">
        <v>71</v>
      </c>
      <c r="I57" s="2">
        <v>108.4853</v>
      </c>
      <c r="J57" s="2">
        <v>57</v>
      </c>
      <c r="K57" s="2">
        <v>98.530299999999997</v>
      </c>
      <c r="L57" s="2">
        <v>95</v>
      </c>
      <c r="M57" s="2">
        <v>97.056399999999996</v>
      </c>
      <c r="N57" s="2">
        <v>69</v>
      </c>
      <c r="O57" s="2">
        <v>0.78248499999999999</v>
      </c>
      <c r="P57" s="2">
        <v>49</v>
      </c>
      <c r="Q57" s="10">
        <f t="shared" si="0"/>
        <v>11.428899999999999</v>
      </c>
      <c r="R57" s="11">
        <f t="shared" si="1"/>
        <v>12</v>
      </c>
      <c r="S57" s="11"/>
    </row>
    <row r="58" spans="1:19" ht="12.3" x14ac:dyDescent="0.4">
      <c r="A58" s="2" t="s">
        <v>21</v>
      </c>
      <c r="B58" s="2">
        <v>10</v>
      </c>
      <c r="C58" s="2">
        <v>66.177800000000005</v>
      </c>
      <c r="D58" s="2">
        <v>108</v>
      </c>
      <c r="E58" s="2">
        <v>66.353399999999993</v>
      </c>
      <c r="F58" s="2">
        <v>96</v>
      </c>
      <c r="G58" s="2">
        <v>113.80029999999999</v>
      </c>
      <c r="H58" s="2">
        <v>14</v>
      </c>
      <c r="I58" s="2">
        <v>111.6073</v>
      </c>
      <c r="J58" s="2">
        <v>29</v>
      </c>
      <c r="K58" s="2">
        <v>94.655000000000001</v>
      </c>
      <c r="L58" s="2">
        <v>31</v>
      </c>
      <c r="M58" s="2">
        <v>94.745500000000007</v>
      </c>
      <c r="N58" s="2">
        <v>40</v>
      </c>
      <c r="O58" s="2">
        <v>0.86802500000000005</v>
      </c>
      <c r="P58" s="2">
        <v>21</v>
      </c>
      <c r="Q58" s="10">
        <f t="shared" si="0"/>
        <v>16.861799999999988</v>
      </c>
      <c r="R58" s="11">
        <f t="shared" si="1"/>
        <v>11</v>
      </c>
      <c r="S58" s="11"/>
    </row>
    <row r="59" spans="1:19" ht="12.3" x14ac:dyDescent="0.4">
      <c r="A59" s="2" t="s">
        <v>102</v>
      </c>
      <c r="B59" s="2">
        <v>9</v>
      </c>
      <c r="C59" s="2">
        <v>67.391999999999996</v>
      </c>
      <c r="D59" s="2">
        <v>64</v>
      </c>
      <c r="E59" s="2">
        <v>67.1036</v>
      </c>
      <c r="F59" s="2">
        <v>61</v>
      </c>
      <c r="G59" s="2">
        <v>104.3664</v>
      </c>
      <c r="H59" s="2">
        <v>117</v>
      </c>
      <c r="I59" s="2">
        <v>108.0677</v>
      </c>
      <c r="J59" s="2">
        <v>62</v>
      </c>
      <c r="K59" s="2">
        <v>99.385199999999998</v>
      </c>
      <c r="L59" s="2">
        <v>115</v>
      </c>
      <c r="M59" s="2">
        <v>95.694500000000005</v>
      </c>
      <c r="N59" s="2">
        <v>51</v>
      </c>
      <c r="O59" s="2">
        <v>0.801925</v>
      </c>
      <c r="P59" s="2">
        <v>42</v>
      </c>
      <c r="Q59" s="10">
        <f t="shared" si="0"/>
        <v>12.373199999999997</v>
      </c>
      <c r="R59" s="11">
        <f t="shared" si="1"/>
        <v>11</v>
      </c>
      <c r="S59" s="11"/>
    </row>
    <row r="60" spans="1:19" ht="12.3" x14ac:dyDescent="0.4">
      <c r="A60" s="2" t="s">
        <v>70</v>
      </c>
      <c r="B60" s="2">
        <v>5</v>
      </c>
      <c r="C60" s="2">
        <v>62.686500000000002</v>
      </c>
      <c r="D60" s="2">
        <v>284</v>
      </c>
      <c r="E60" s="2">
        <v>61.168500000000002</v>
      </c>
      <c r="F60" s="2">
        <v>322</v>
      </c>
      <c r="G60" s="2">
        <v>113.6498</v>
      </c>
      <c r="H60" s="2">
        <v>16</v>
      </c>
      <c r="I60" s="2">
        <v>113.0478</v>
      </c>
      <c r="J60" s="2">
        <v>18</v>
      </c>
      <c r="K60" s="2">
        <v>91.083799999999997</v>
      </c>
      <c r="L60" s="2">
        <v>10</v>
      </c>
      <c r="M60" s="2">
        <v>90.569100000000006</v>
      </c>
      <c r="N60" s="2">
        <v>8</v>
      </c>
      <c r="O60" s="2">
        <v>0.92754199999999998</v>
      </c>
      <c r="P60" s="2">
        <v>8</v>
      </c>
      <c r="Q60" s="10">
        <f t="shared" si="0"/>
        <v>22.478699999999989</v>
      </c>
      <c r="R60" s="11">
        <f t="shared" si="1"/>
        <v>10</v>
      </c>
      <c r="S60" s="11"/>
    </row>
    <row r="61" spans="1:19" ht="12.3" x14ac:dyDescent="0.4">
      <c r="A61" s="2" t="s">
        <v>120</v>
      </c>
      <c r="B61" s="2">
        <v>6</v>
      </c>
      <c r="C61" s="2">
        <v>65.701300000000003</v>
      </c>
      <c r="D61" s="2">
        <v>131</v>
      </c>
      <c r="E61" s="2">
        <v>65.740300000000005</v>
      </c>
      <c r="F61" s="2">
        <v>125</v>
      </c>
      <c r="G61" s="2">
        <v>106.0313</v>
      </c>
      <c r="H61" s="2">
        <v>85</v>
      </c>
      <c r="I61" s="2">
        <v>110.7193</v>
      </c>
      <c r="J61" s="2">
        <v>38</v>
      </c>
      <c r="K61" s="2">
        <v>99.275999999999996</v>
      </c>
      <c r="L61" s="2">
        <v>112</v>
      </c>
      <c r="M61" s="2">
        <v>95.485200000000006</v>
      </c>
      <c r="N61" s="2">
        <v>48</v>
      </c>
      <c r="O61" s="2">
        <v>0.84583600000000003</v>
      </c>
      <c r="P61" s="2">
        <v>28</v>
      </c>
      <c r="Q61" s="10">
        <f t="shared" si="0"/>
        <v>15.234099999999998</v>
      </c>
      <c r="R61" s="11">
        <f t="shared" si="1"/>
        <v>10</v>
      </c>
      <c r="S61" s="11"/>
    </row>
    <row r="62" spans="1:19" ht="12.3" x14ac:dyDescent="0.4">
      <c r="A62" s="2" t="s">
        <v>78</v>
      </c>
      <c r="B62" s="2">
        <v>1</v>
      </c>
      <c r="C62" s="2">
        <v>65.056799999999996</v>
      </c>
      <c r="D62" s="2">
        <v>158</v>
      </c>
      <c r="E62" s="2">
        <v>64.479699999999994</v>
      </c>
      <c r="F62" s="2">
        <v>181</v>
      </c>
      <c r="G62" s="2">
        <v>116.6189</v>
      </c>
      <c r="H62" s="2">
        <v>6</v>
      </c>
      <c r="I62" s="2">
        <v>120.8395</v>
      </c>
      <c r="J62" s="2">
        <v>4</v>
      </c>
      <c r="K62" s="2">
        <v>92.974100000000007</v>
      </c>
      <c r="L62" s="2">
        <v>18</v>
      </c>
      <c r="M62" s="2">
        <v>92.245999999999995</v>
      </c>
      <c r="N62" s="2">
        <v>13</v>
      </c>
      <c r="O62" s="2">
        <v>0.95710099999999998</v>
      </c>
      <c r="P62" s="2">
        <v>5</v>
      </c>
      <c r="Q62" s="10">
        <f t="shared" si="0"/>
        <v>28.593500000000006</v>
      </c>
      <c r="R62" s="11">
        <f t="shared" si="1"/>
        <v>9</v>
      </c>
      <c r="S62" s="11"/>
    </row>
    <row r="63" spans="1:19" ht="12.3" x14ac:dyDescent="0.4">
      <c r="A63" s="2" t="s">
        <v>72</v>
      </c>
      <c r="B63" s="2">
        <v>9</v>
      </c>
      <c r="C63" s="2">
        <v>64.140100000000004</v>
      </c>
      <c r="D63" s="2">
        <v>214</v>
      </c>
      <c r="E63" s="2">
        <v>63.2804</v>
      </c>
      <c r="F63" s="2">
        <v>259</v>
      </c>
      <c r="G63" s="2">
        <v>103.2058</v>
      </c>
      <c r="H63" s="2">
        <v>146</v>
      </c>
      <c r="I63" s="2">
        <v>109.4165</v>
      </c>
      <c r="J63" s="2">
        <v>49</v>
      </c>
      <c r="K63" s="2">
        <v>97.563699999999997</v>
      </c>
      <c r="L63" s="2">
        <v>78</v>
      </c>
      <c r="M63" s="2">
        <v>96.230599999999995</v>
      </c>
      <c r="N63" s="2">
        <v>58</v>
      </c>
      <c r="O63" s="2">
        <v>0.81408400000000003</v>
      </c>
      <c r="P63" s="2">
        <v>37</v>
      </c>
      <c r="Q63" s="10">
        <f t="shared" si="0"/>
        <v>13.185900000000004</v>
      </c>
      <c r="R63" s="11">
        <f t="shared" si="1"/>
        <v>9</v>
      </c>
      <c r="S63" s="11"/>
    </row>
    <row r="64" spans="1:19" ht="12.3" x14ac:dyDescent="0.4">
      <c r="A64" s="2" t="s">
        <v>43</v>
      </c>
      <c r="B64" s="2">
        <v>2</v>
      </c>
      <c r="C64" s="2">
        <v>66.842799999999997</v>
      </c>
      <c r="D64" s="2">
        <v>79</v>
      </c>
      <c r="E64" s="2">
        <v>66.727699999999999</v>
      </c>
      <c r="F64" s="2">
        <v>78</v>
      </c>
      <c r="G64" s="2">
        <v>113.6254</v>
      </c>
      <c r="H64" s="2">
        <v>17</v>
      </c>
      <c r="I64" s="2">
        <v>116.0039</v>
      </c>
      <c r="J64" s="2">
        <v>11</v>
      </c>
      <c r="K64" s="2">
        <v>87.414000000000001</v>
      </c>
      <c r="L64" s="2">
        <v>4</v>
      </c>
      <c r="M64" s="2">
        <v>86.383099999999999</v>
      </c>
      <c r="N64" s="2">
        <v>3</v>
      </c>
      <c r="O64" s="2">
        <v>0.96740800000000005</v>
      </c>
      <c r="P64" s="2">
        <v>2</v>
      </c>
      <c r="Q64" s="10">
        <f t="shared" si="0"/>
        <v>29.620800000000003</v>
      </c>
      <c r="R64" s="11">
        <f t="shared" si="1"/>
        <v>8</v>
      </c>
      <c r="S64" s="11"/>
    </row>
    <row r="65" spans="1:19" ht="12.3" x14ac:dyDescent="0.4">
      <c r="A65" s="2" t="s">
        <v>84</v>
      </c>
      <c r="B65" s="2">
        <v>7</v>
      </c>
      <c r="C65" s="2">
        <v>64.412400000000005</v>
      </c>
      <c r="D65" s="2">
        <v>196</v>
      </c>
      <c r="E65" s="2">
        <v>64.261200000000002</v>
      </c>
      <c r="F65" s="2">
        <v>198</v>
      </c>
      <c r="G65" s="2">
        <v>107.03579999999999</v>
      </c>
      <c r="H65" s="2">
        <v>66</v>
      </c>
      <c r="I65" s="2">
        <v>111.1324</v>
      </c>
      <c r="J65" s="2">
        <v>35</v>
      </c>
      <c r="K65" s="2">
        <v>96.219399999999993</v>
      </c>
      <c r="L65" s="2">
        <v>49</v>
      </c>
      <c r="M65" s="2">
        <v>94.942499999999995</v>
      </c>
      <c r="N65" s="2">
        <v>42</v>
      </c>
      <c r="O65" s="2">
        <v>0.85944500000000001</v>
      </c>
      <c r="P65" s="2">
        <v>24</v>
      </c>
      <c r="Q65" s="10">
        <f t="shared" si="0"/>
        <v>16.189900000000009</v>
      </c>
      <c r="R65" s="11">
        <f t="shared" si="1"/>
        <v>7</v>
      </c>
      <c r="S65" s="11"/>
    </row>
    <row r="66" spans="1:19" ht="12.3" x14ac:dyDescent="0.4">
      <c r="A66" s="2" t="s">
        <v>192</v>
      </c>
      <c r="B66" s="2">
        <v>7</v>
      </c>
      <c r="C66" s="2">
        <v>60.910600000000002</v>
      </c>
      <c r="D66" s="2">
        <v>330</v>
      </c>
      <c r="E66" s="2">
        <v>62.147199999999998</v>
      </c>
      <c r="F66" s="2">
        <v>298</v>
      </c>
      <c r="G66" s="2">
        <v>111.9834</v>
      </c>
      <c r="H66" s="2">
        <v>24</v>
      </c>
      <c r="I66" s="2">
        <v>112.9808</v>
      </c>
      <c r="J66" s="2">
        <v>20</v>
      </c>
      <c r="K66" s="2">
        <v>90.987099999999998</v>
      </c>
      <c r="L66" s="2">
        <v>8</v>
      </c>
      <c r="M66" s="2">
        <v>92.925399999999996</v>
      </c>
      <c r="N66" s="2">
        <v>15</v>
      </c>
      <c r="O66" s="2">
        <v>0.90442100000000003</v>
      </c>
      <c r="P66" s="2">
        <v>14</v>
      </c>
      <c r="Q66" s="10">
        <f t="shared" si="0"/>
        <v>20.055400000000006</v>
      </c>
      <c r="R66" s="11">
        <f t="shared" si="1"/>
        <v>5</v>
      </c>
      <c r="S66" s="11"/>
    </row>
    <row r="67" spans="1:19" ht="12.3" x14ac:dyDescent="0.4">
      <c r="A67" s="2" t="s">
        <v>45</v>
      </c>
      <c r="B67" s="2">
        <v>1</v>
      </c>
      <c r="C67" s="2">
        <v>63.865900000000003</v>
      </c>
      <c r="D67" s="2">
        <v>233</v>
      </c>
      <c r="E67" s="2">
        <v>63.442799999999998</v>
      </c>
      <c r="F67" s="2">
        <v>251</v>
      </c>
      <c r="G67" s="2">
        <v>115.89579999999999</v>
      </c>
      <c r="H67" s="2">
        <v>9</v>
      </c>
      <c r="I67" s="2">
        <v>119.72499999999999</v>
      </c>
      <c r="J67" s="2">
        <v>5</v>
      </c>
      <c r="K67" s="2">
        <v>83.647400000000005</v>
      </c>
      <c r="L67" s="2">
        <v>1</v>
      </c>
      <c r="M67" s="2">
        <v>85.8155</v>
      </c>
      <c r="N67" s="2">
        <v>2</v>
      </c>
      <c r="O67" s="2">
        <v>0.97874099999999997</v>
      </c>
      <c r="P67" s="2">
        <v>1</v>
      </c>
      <c r="Q67" s="10">
        <f t="shared" si="0"/>
        <v>33.909499999999994</v>
      </c>
      <c r="R67" s="11">
        <f t="shared" si="1"/>
        <v>3</v>
      </c>
      <c r="S67" s="11"/>
    </row>
    <row r="68" spans="1:19" ht="12.3" x14ac:dyDescent="0.4">
      <c r="A68" s="2" t="s">
        <v>216</v>
      </c>
      <c r="B68" s="2">
        <v>5</v>
      </c>
      <c r="C68" s="2">
        <v>57.4039</v>
      </c>
      <c r="D68" s="2">
        <v>350</v>
      </c>
      <c r="E68" s="2">
        <v>58.500599999999999</v>
      </c>
      <c r="F68" s="2">
        <v>348</v>
      </c>
      <c r="G68" s="2">
        <v>112.49720000000001</v>
      </c>
      <c r="H68" s="2">
        <v>22</v>
      </c>
      <c r="I68" s="2">
        <v>113.78660000000001</v>
      </c>
      <c r="J68" s="2">
        <v>15</v>
      </c>
      <c r="K68" s="2">
        <v>92.710700000000003</v>
      </c>
      <c r="L68" s="2">
        <v>16</v>
      </c>
      <c r="M68" s="2">
        <v>93.2423</v>
      </c>
      <c r="N68" s="2">
        <v>16</v>
      </c>
      <c r="O68" s="2">
        <v>0.90803800000000001</v>
      </c>
      <c r="P68" s="2">
        <v>12</v>
      </c>
      <c r="Q68" s="10">
        <f t="shared" si="0"/>
        <v>20.544300000000007</v>
      </c>
      <c r="R68" s="11">
        <f t="shared" si="1"/>
        <v>1</v>
      </c>
      <c r="S68" s="11"/>
    </row>
    <row r="69" spans="1:19" ht="12.3" x14ac:dyDescent="0.4">
      <c r="A69" s="2" t="s">
        <v>128</v>
      </c>
      <c r="B69" s="2">
        <v>14</v>
      </c>
      <c r="C69" s="2">
        <v>65.496200000000002</v>
      </c>
      <c r="D69" s="2">
        <v>142</v>
      </c>
      <c r="E69" s="2">
        <v>64.950299999999999</v>
      </c>
      <c r="F69" s="2">
        <v>159</v>
      </c>
      <c r="G69" s="2">
        <v>101.1444</v>
      </c>
      <c r="H69" s="2">
        <v>192</v>
      </c>
      <c r="I69" s="2">
        <v>103.7809</v>
      </c>
      <c r="J69" s="2">
        <v>130</v>
      </c>
      <c r="K69" s="2">
        <v>99.581400000000002</v>
      </c>
      <c r="L69" s="2">
        <v>116</v>
      </c>
      <c r="M69" s="2">
        <v>100.26009999999999</v>
      </c>
      <c r="N69" s="2">
        <v>130</v>
      </c>
      <c r="O69" s="2">
        <v>0.597943</v>
      </c>
      <c r="P69" s="2">
        <v>121</v>
      </c>
      <c r="Q69" s="10">
        <f t="shared" si="0"/>
        <v>3.5208000000000084</v>
      </c>
      <c r="R69" s="11">
        <f t="shared" si="1"/>
        <v>0</v>
      </c>
      <c r="S69" s="11"/>
    </row>
    <row r="70" spans="1:19" ht="12.3" x14ac:dyDescent="0.4">
      <c r="A70" s="2" t="s">
        <v>37</v>
      </c>
      <c r="B70" s="2"/>
      <c r="C70" s="2">
        <v>62.8063</v>
      </c>
      <c r="D70" s="2">
        <v>280</v>
      </c>
      <c r="E70" s="2">
        <v>62.878300000000003</v>
      </c>
      <c r="F70" s="2">
        <v>273</v>
      </c>
      <c r="G70" s="2">
        <v>101.3845</v>
      </c>
      <c r="H70" s="2">
        <v>187</v>
      </c>
      <c r="I70" s="2">
        <v>103.38549999999999</v>
      </c>
      <c r="J70" s="2">
        <v>142</v>
      </c>
      <c r="K70" s="2">
        <v>94.7196</v>
      </c>
      <c r="L70" s="2">
        <v>32</v>
      </c>
      <c r="M70" s="2">
        <v>91.701700000000002</v>
      </c>
      <c r="N70" s="2">
        <v>11</v>
      </c>
      <c r="O70" s="2">
        <v>0.79884999999999995</v>
      </c>
      <c r="P70" s="2">
        <v>45</v>
      </c>
      <c r="Q70" s="2"/>
      <c r="R70" s="2"/>
      <c r="S70" s="2"/>
    </row>
    <row r="71" spans="1:19" ht="12.3" x14ac:dyDescent="0.4">
      <c r="A71" s="2" t="s">
        <v>111</v>
      </c>
      <c r="B71" s="2"/>
      <c r="C71" s="2">
        <v>62.686100000000003</v>
      </c>
      <c r="D71" s="2">
        <v>285</v>
      </c>
      <c r="E71" s="2">
        <v>63.442599999999999</v>
      </c>
      <c r="F71" s="2">
        <v>252</v>
      </c>
      <c r="G71" s="2">
        <v>108.7739</v>
      </c>
      <c r="H71" s="2">
        <v>46</v>
      </c>
      <c r="I71" s="2">
        <v>112.3048</v>
      </c>
      <c r="J71" s="2">
        <v>25</v>
      </c>
      <c r="K71" s="2">
        <v>100.07250000000001</v>
      </c>
      <c r="L71" s="2">
        <v>124</v>
      </c>
      <c r="M71" s="2">
        <v>99.723500000000001</v>
      </c>
      <c r="N71" s="2">
        <v>113</v>
      </c>
      <c r="O71" s="2">
        <v>0.796794</v>
      </c>
      <c r="P71" s="2">
        <v>47</v>
      </c>
      <c r="Q71" s="2"/>
      <c r="R71" s="2"/>
      <c r="S71" s="2"/>
    </row>
    <row r="72" spans="1:19" ht="12.3" x14ac:dyDescent="0.4">
      <c r="A72" s="2" t="s">
        <v>52</v>
      </c>
      <c r="B72" s="2"/>
      <c r="C72" s="2">
        <v>65.590900000000005</v>
      </c>
      <c r="D72" s="2">
        <v>139</v>
      </c>
      <c r="E72" s="2">
        <v>65.329700000000003</v>
      </c>
      <c r="F72" s="2">
        <v>144</v>
      </c>
      <c r="G72" s="2">
        <v>108.6934</v>
      </c>
      <c r="H72" s="2">
        <v>47</v>
      </c>
      <c r="I72" s="2">
        <v>111.0924</v>
      </c>
      <c r="J72" s="2">
        <v>36</v>
      </c>
      <c r="K72" s="2">
        <v>101.3027</v>
      </c>
      <c r="L72" s="2">
        <v>156</v>
      </c>
      <c r="M72" s="2">
        <v>99.250799999999998</v>
      </c>
      <c r="N72" s="2">
        <v>107</v>
      </c>
      <c r="O72" s="2">
        <v>0.78519300000000003</v>
      </c>
      <c r="P72" s="2">
        <v>48</v>
      </c>
      <c r="Q72" s="2"/>
      <c r="R72" s="2"/>
      <c r="S72" s="2"/>
    </row>
    <row r="73" spans="1:19" ht="12.3" x14ac:dyDescent="0.4">
      <c r="A73" s="2" t="s">
        <v>248</v>
      </c>
      <c r="B73" s="2"/>
      <c r="C73" s="2">
        <v>64.2</v>
      </c>
      <c r="D73" s="2">
        <v>210</v>
      </c>
      <c r="E73" s="2">
        <v>63.987400000000001</v>
      </c>
      <c r="F73" s="2">
        <v>213</v>
      </c>
      <c r="G73" s="2">
        <v>104.0296</v>
      </c>
      <c r="H73" s="2">
        <v>125</v>
      </c>
      <c r="I73" s="2">
        <v>105.8927</v>
      </c>
      <c r="J73" s="2">
        <v>94</v>
      </c>
      <c r="K73" s="2">
        <v>96.528499999999994</v>
      </c>
      <c r="L73" s="2">
        <v>58</v>
      </c>
      <c r="M73" s="2">
        <v>94.817599999999999</v>
      </c>
      <c r="N73" s="2">
        <v>41</v>
      </c>
      <c r="O73" s="2">
        <v>0.78081500000000004</v>
      </c>
      <c r="P73" s="2">
        <v>50</v>
      </c>
      <c r="Q73" s="2"/>
      <c r="R73" s="2"/>
      <c r="S73" s="2"/>
    </row>
    <row r="74" spans="1:19" ht="12.3" x14ac:dyDescent="0.4">
      <c r="A74" s="2" t="s">
        <v>100</v>
      </c>
      <c r="B74" s="2"/>
      <c r="C74" s="2">
        <v>61.409500000000001</v>
      </c>
      <c r="D74" s="2">
        <v>318</v>
      </c>
      <c r="E74" s="2">
        <v>61.720599999999997</v>
      </c>
      <c r="F74" s="2">
        <v>311</v>
      </c>
      <c r="G74" s="2">
        <v>104.7623</v>
      </c>
      <c r="H74" s="2">
        <v>111</v>
      </c>
      <c r="I74" s="2">
        <v>106.01390000000001</v>
      </c>
      <c r="J74" s="2">
        <v>89</v>
      </c>
      <c r="K74" s="2">
        <v>96.719200000000001</v>
      </c>
      <c r="L74" s="2">
        <v>63</v>
      </c>
      <c r="M74" s="2">
        <v>94.947100000000006</v>
      </c>
      <c r="N74" s="2">
        <v>44</v>
      </c>
      <c r="O74" s="2">
        <v>0.78037999999999996</v>
      </c>
      <c r="P74" s="2">
        <v>51</v>
      </c>
      <c r="Q74" s="2"/>
      <c r="R74" s="2"/>
      <c r="S74" s="2"/>
    </row>
    <row r="75" spans="1:19" ht="12.3" x14ac:dyDescent="0.4">
      <c r="A75" s="2" t="s">
        <v>60</v>
      </c>
      <c r="B75" s="2"/>
      <c r="C75" s="2">
        <v>62.518900000000002</v>
      </c>
      <c r="D75" s="2">
        <v>289</v>
      </c>
      <c r="E75" s="2">
        <v>62.515999999999998</v>
      </c>
      <c r="F75" s="2">
        <v>284</v>
      </c>
      <c r="G75" s="2">
        <v>107.6332</v>
      </c>
      <c r="H75" s="2">
        <v>56</v>
      </c>
      <c r="I75" s="2">
        <v>109.23050000000001</v>
      </c>
      <c r="J75" s="2">
        <v>51</v>
      </c>
      <c r="K75" s="2">
        <v>99.189499999999995</v>
      </c>
      <c r="L75" s="2">
        <v>107</v>
      </c>
      <c r="M75" s="2">
        <v>98.026499999999999</v>
      </c>
      <c r="N75" s="2">
        <v>88</v>
      </c>
      <c r="O75" s="2">
        <v>0.77635600000000005</v>
      </c>
      <c r="P75" s="2">
        <v>52</v>
      </c>
      <c r="Q75" s="2"/>
      <c r="R75" s="2"/>
      <c r="S75" s="2"/>
    </row>
    <row r="76" spans="1:19" ht="12.3" x14ac:dyDescent="0.4">
      <c r="A76" s="2" t="s">
        <v>258</v>
      </c>
      <c r="B76" s="2"/>
      <c r="C76" s="2">
        <v>65.533100000000005</v>
      </c>
      <c r="D76" s="2">
        <v>140</v>
      </c>
      <c r="E76" s="2">
        <v>65.833500000000001</v>
      </c>
      <c r="F76" s="2">
        <v>120</v>
      </c>
      <c r="G76" s="2">
        <v>100.7038</v>
      </c>
      <c r="H76" s="2">
        <v>203</v>
      </c>
      <c r="I76" s="2">
        <v>101.3689</v>
      </c>
      <c r="J76" s="2">
        <v>186</v>
      </c>
      <c r="K76" s="2">
        <v>90.558000000000007</v>
      </c>
      <c r="L76" s="2">
        <v>7</v>
      </c>
      <c r="M76" s="2">
        <v>91.155000000000001</v>
      </c>
      <c r="N76" s="2">
        <v>9</v>
      </c>
      <c r="O76" s="2">
        <v>0.77230299999999996</v>
      </c>
      <c r="P76" s="2">
        <v>55</v>
      </c>
      <c r="Q76" s="2"/>
      <c r="R76" s="2"/>
      <c r="S76" s="2"/>
    </row>
    <row r="77" spans="1:19" ht="12.3" x14ac:dyDescent="0.4">
      <c r="A77" s="2" t="s">
        <v>88</v>
      </c>
      <c r="B77" s="2"/>
      <c r="C77" s="2">
        <v>65.075599999999994</v>
      </c>
      <c r="D77" s="2">
        <v>155</v>
      </c>
      <c r="E77" s="2">
        <v>65.760000000000005</v>
      </c>
      <c r="F77" s="2">
        <v>123</v>
      </c>
      <c r="G77" s="2">
        <v>99.273899999999998</v>
      </c>
      <c r="H77" s="2">
        <v>236</v>
      </c>
      <c r="I77" s="2">
        <v>101.9924</v>
      </c>
      <c r="J77" s="2">
        <v>172</v>
      </c>
      <c r="K77" s="2">
        <v>92.648099999999999</v>
      </c>
      <c r="L77" s="2">
        <v>15</v>
      </c>
      <c r="M77" s="2">
        <v>91.746300000000005</v>
      </c>
      <c r="N77" s="2">
        <v>12</v>
      </c>
      <c r="O77" s="2">
        <v>0.77162799999999998</v>
      </c>
      <c r="P77" s="2">
        <v>56</v>
      </c>
      <c r="Q77" s="2"/>
      <c r="R77" s="2"/>
      <c r="S77" s="2"/>
    </row>
    <row r="78" spans="1:19" ht="12.3" x14ac:dyDescent="0.4">
      <c r="A78" s="2" t="s">
        <v>142</v>
      </c>
      <c r="B78" s="2"/>
      <c r="C78" s="2">
        <v>64.674300000000002</v>
      </c>
      <c r="D78" s="2">
        <v>181</v>
      </c>
      <c r="E78" s="2">
        <v>64.320700000000002</v>
      </c>
      <c r="F78" s="2">
        <v>196</v>
      </c>
      <c r="G78" s="2">
        <v>104.4496</v>
      </c>
      <c r="H78" s="2">
        <v>116</v>
      </c>
      <c r="I78" s="2">
        <v>105.9772</v>
      </c>
      <c r="J78" s="2">
        <v>91</v>
      </c>
      <c r="K78" s="2">
        <v>95.657499999999999</v>
      </c>
      <c r="L78" s="2">
        <v>40</v>
      </c>
      <c r="M78" s="2">
        <v>95.607200000000006</v>
      </c>
      <c r="N78" s="2">
        <v>50</v>
      </c>
      <c r="O78" s="2">
        <v>0.76570499999999997</v>
      </c>
      <c r="P78" s="2">
        <v>57</v>
      </c>
      <c r="Q78" s="2"/>
      <c r="R78" s="2"/>
      <c r="S78" s="2"/>
    </row>
    <row r="79" spans="1:19" ht="12.3" x14ac:dyDescent="0.4">
      <c r="A79" s="2" t="s">
        <v>75</v>
      </c>
      <c r="B79" s="2"/>
      <c r="C79" s="2">
        <v>67.979299999999995</v>
      </c>
      <c r="D79" s="2">
        <v>44</v>
      </c>
      <c r="E79" s="2">
        <v>67.630600000000001</v>
      </c>
      <c r="F79" s="2">
        <v>46</v>
      </c>
      <c r="G79" s="2">
        <v>106.5629</v>
      </c>
      <c r="H79" s="2">
        <v>72</v>
      </c>
      <c r="I79" s="2">
        <v>110.2149</v>
      </c>
      <c r="J79" s="2">
        <v>44</v>
      </c>
      <c r="K79" s="2">
        <v>99.699200000000005</v>
      </c>
      <c r="L79" s="2">
        <v>118</v>
      </c>
      <c r="M79" s="2">
        <v>99.758899999999997</v>
      </c>
      <c r="N79" s="2">
        <v>114</v>
      </c>
      <c r="O79" s="2">
        <v>0.75882899999999998</v>
      </c>
      <c r="P79" s="2">
        <v>58</v>
      </c>
      <c r="Q79" s="2"/>
      <c r="R79" s="2"/>
      <c r="S79" s="2"/>
    </row>
    <row r="80" spans="1:19" ht="12.3" x14ac:dyDescent="0.4">
      <c r="A80" s="2" t="s">
        <v>54</v>
      </c>
      <c r="B80" s="2"/>
      <c r="C80" s="2">
        <v>61.758699999999997</v>
      </c>
      <c r="D80" s="2">
        <v>311</v>
      </c>
      <c r="E80" s="2">
        <v>61.917200000000001</v>
      </c>
      <c r="F80" s="2">
        <v>303</v>
      </c>
      <c r="G80" s="2">
        <v>103.6451</v>
      </c>
      <c r="H80" s="2">
        <v>134</v>
      </c>
      <c r="I80" s="2">
        <v>105.9499</v>
      </c>
      <c r="J80" s="2">
        <v>92</v>
      </c>
      <c r="K80" s="2">
        <v>96.214100000000002</v>
      </c>
      <c r="L80" s="2">
        <v>48</v>
      </c>
      <c r="M80" s="2">
        <v>96.102900000000005</v>
      </c>
      <c r="N80" s="2">
        <v>54</v>
      </c>
      <c r="O80" s="2">
        <v>0.75431999999999999</v>
      </c>
      <c r="P80" s="2">
        <v>59</v>
      </c>
      <c r="Q80" s="2"/>
      <c r="R80" s="2"/>
      <c r="S80" s="2"/>
    </row>
    <row r="81" spans="1:19" ht="12.3" x14ac:dyDescent="0.4">
      <c r="A81" s="2" t="s">
        <v>164</v>
      </c>
      <c r="B81" s="2"/>
      <c r="C81" s="2">
        <v>63.791400000000003</v>
      </c>
      <c r="D81" s="2">
        <v>240</v>
      </c>
      <c r="E81" s="2">
        <v>65.028300000000002</v>
      </c>
      <c r="F81" s="2">
        <v>154</v>
      </c>
      <c r="G81" s="2">
        <v>104.9824</v>
      </c>
      <c r="H81" s="2">
        <v>101</v>
      </c>
      <c r="I81" s="2">
        <v>106.33969999999999</v>
      </c>
      <c r="J81" s="2">
        <v>83</v>
      </c>
      <c r="K81" s="2">
        <v>97.115200000000002</v>
      </c>
      <c r="L81" s="2">
        <v>72</v>
      </c>
      <c r="M81" s="2">
        <v>96.474000000000004</v>
      </c>
      <c r="N81" s="2">
        <v>63</v>
      </c>
      <c r="O81" s="2">
        <v>0.75393200000000005</v>
      </c>
      <c r="P81" s="2">
        <v>60</v>
      </c>
      <c r="Q81" s="2"/>
      <c r="R81" s="2"/>
      <c r="S81" s="2"/>
    </row>
    <row r="82" spans="1:19" ht="12.3" x14ac:dyDescent="0.4">
      <c r="A82" s="2" t="s">
        <v>49</v>
      </c>
      <c r="B82" s="2"/>
      <c r="C82" s="2">
        <v>62.840899999999998</v>
      </c>
      <c r="D82" s="2">
        <v>279</v>
      </c>
      <c r="E82" s="2">
        <v>62.148200000000003</v>
      </c>
      <c r="F82" s="2">
        <v>297</v>
      </c>
      <c r="G82" s="2">
        <v>104.92230000000001</v>
      </c>
      <c r="H82" s="2">
        <v>103</v>
      </c>
      <c r="I82" s="2">
        <v>108.2912</v>
      </c>
      <c r="J82" s="2">
        <v>60</v>
      </c>
      <c r="K82" s="2">
        <v>101.6914</v>
      </c>
      <c r="L82" s="2">
        <v>164</v>
      </c>
      <c r="M82" s="2">
        <v>98.311300000000003</v>
      </c>
      <c r="N82" s="2">
        <v>93</v>
      </c>
      <c r="O82" s="2">
        <v>0.75247900000000001</v>
      </c>
      <c r="P82" s="2">
        <v>61</v>
      </c>
      <c r="Q82" s="2"/>
      <c r="R82" s="2"/>
      <c r="S82" s="2"/>
    </row>
    <row r="83" spans="1:19" ht="12.3" x14ac:dyDescent="0.4">
      <c r="A83" s="2" t="s">
        <v>23</v>
      </c>
      <c r="B83" s="2"/>
      <c r="C83" s="2">
        <v>66.059200000000004</v>
      </c>
      <c r="D83" s="2">
        <v>115</v>
      </c>
      <c r="E83" s="2">
        <v>66.563699999999997</v>
      </c>
      <c r="F83" s="2">
        <v>85</v>
      </c>
      <c r="G83" s="2">
        <v>101.3741</v>
      </c>
      <c r="H83" s="2">
        <v>188</v>
      </c>
      <c r="I83" s="2">
        <v>103.0368</v>
      </c>
      <c r="J83" s="2">
        <v>147</v>
      </c>
      <c r="K83" s="2">
        <v>95.037300000000002</v>
      </c>
      <c r="L83" s="2">
        <v>34</v>
      </c>
      <c r="M83" s="2">
        <v>93.6083</v>
      </c>
      <c r="N83" s="2">
        <v>24</v>
      </c>
      <c r="O83" s="2">
        <v>0.75093699999999997</v>
      </c>
      <c r="P83" s="2">
        <v>62</v>
      </c>
      <c r="Q83" s="2"/>
      <c r="R83" s="2"/>
      <c r="S83" s="2"/>
    </row>
    <row r="84" spans="1:19" ht="12.3" x14ac:dyDescent="0.4">
      <c r="A84" s="2" t="s">
        <v>190</v>
      </c>
      <c r="B84" s="2"/>
      <c r="C84" s="2">
        <v>61.014699999999998</v>
      </c>
      <c r="D84" s="2">
        <v>327</v>
      </c>
      <c r="E84" s="2">
        <v>60.412999999999997</v>
      </c>
      <c r="F84" s="2">
        <v>338</v>
      </c>
      <c r="G84" s="2">
        <v>106.5012</v>
      </c>
      <c r="H84" s="2">
        <v>75</v>
      </c>
      <c r="I84" s="2">
        <v>105.0117</v>
      </c>
      <c r="J84" s="2">
        <v>108</v>
      </c>
      <c r="K84" s="2">
        <v>92.589100000000002</v>
      </c>
      <c r="L84" s="2">
        <v>14</v>
      </c>
      <c r="M84" s="2">
        <v>95.563599999999994</v>
      </c>
      <c r="N84" s="2">
        <v>49</v>
      </c>
      <c r="O84" s="2">
        <v>0.74729000000000001</v>
      </c>
      <c r="P84" s="2">
        <v>64</v>
      </c>
      <c r="Q84" s="2"/>
      <c r="R84" s="2"/>
      <c r="S84" s="2"/>
    </row>
    <row r="85" spans="1:19" ht="12.3" x14ac:dyDescent="0.4">
      <c r="A85" s="2" t="s">
        <v>44</v>
      </c>
      <c r="B85" s="2"/>
      <c r="C85" s="2">
        <v>65.145399999999995</v>
      </c>
      <c r="D85" s="2">
        <v>152</v>
      </c>
      <c r="E85" s="2">
        <v>65.150899999999993</v>
      </c>
      <c r="F85" s="2">
        <v>151</v>
      </c>
      <c r="G85" s="2">
        <v>105.23569999999999</v>
      </c>
      <c r="H85" s="2">
        <v>98</v>
      </c>
      <c r="I85" s="2">
        <v>104.0244</v>
      </c>
      <c r="J85" s="2">
        <v>122</v>
      </c>
      <c r="K85" s="2">
        <v>96.927800000000005</v>
      </c>
      <c r="L85" s="2">
        <v>68</v>
      </c>
      <c r="M85" s="2">
        <v>94.691599999999994</v>
      </c>
      <c r="N85" s="2">
        <v>39</v>
      </c>
      <c r="O85" s="2">
        <v>0.74668299999999999</v>
      </c>
      <c r="P85" s="2">
        <v>65</v>
      </c>
      <c r="Q85" s="2"/>
      <c r="R85" s="2"/>
      <c r="S85" s="2"/>
    </row>
    <row r="86" spans="1:19" ht="12.3" x14ac:dyDescent="0.4">
      <c r="A86" s="2" t="s">
        <v>262</v>
      </c>
      <c r="B86" s="2"/>
      <c r="C86" s="2">
        <v>62.175199999999997</v>
      </c>
      <c r="D86" s="2">
        <v>299</v>
      </c>
      <c r="E86" s="2">
        <v>62.5505</v>
      </c>
      <c r="F86" s="2">
        <v>281</v>
      </c>
      <c r="G86" s="2">
        <v>109.16249999999999</v>
      </c>
      <c r="H86" s="2">
        <v>42</v>
      </c>
      <c r="I86" s="2">
        <v>108.5664</v>
      </c>
      <c r="J86" s="2">
        <v>55</v>
      </c>
      <c r="K86" s="2">
        <v>100.6049</v>
      </c>
      <c r="L86" s="2">
        <v>138</v>
      </c>
      <c r="M86" s="2">
        <v>98.965000000000003</v>
      </c>
      <c r="N86" s="2">
        <v>99</v>
      </c>
      <c r="O86" s="2">
        <v>0.74361699999999997</v>
      </c>
      <c r="P86" s="2">
        <v>66</v>
      </c>
      <c r="Q86" s="2"/>
      <c r="R86" s="2"/>
      <c r="S86" s="2"/>
    </row>
    <row r="87" spans="1:19" ht="12.3" x14ac:dyDescent="0.4">
      <c r="A87" s="2" t="s">
        <v>17</v>
      </c>
      <c r="B87" s="2"/>
      <c r="C87" s="2">
        <v>65.131200000000007</v>
      </c>
      <c r="D87" s="2">
        <v>153</v>
      </c>
      <c r="E87" s="2">
        <v>64.378600000000006</v>
      </c>
      <c r="F87" s="2">
        <v>192</v>
      </c>
      <c r="G87" s="2">
        <v>99.167199999999994</v>
      </c>
      <c r="H87" s="2">
        <v>240</v>
      </c>
      <c r="I87" s="2">
        <v>102.9397</v>
      </c>
      <c r="J87" s="2">
        <v>149</v>
      </c>
      <c r="K87" s="2">
        <v>96.281099999999995</v>
      </c>
      <c r="L87" s="2">
        <v>51</v>
      </c>
      <c r="M87" s="2">
        <v>93.880899999999997</v>
      </c>
      <c r="N87" s="2">
        <v>27</v>
      </c>
      <c r="O87" s="2">
        <v>0.74256500000000003</v>
      </c>
      <c r="P87" s="2">
        <v>67</v>
      </c>
      <c r="Q87" s="2"/>
      <c r="R87" s="2"/>
      <c r="S87" s="2"/>
    </row>
    <row r="88" spans="1:19" ht="12.3" x14ac:dyDescent="0.4">
      <c r="A88" s="2" t="s">
        <v>157</v>
      </c>
      <c r="B88" s="2"/>
      <c r="C88" s="2">
        <v>64.941800000000001</v>
      </c>
      <c r="D88" s="2">
        <v>163</v>
      </c>
      <c r="E88" s="2">
        <v>66.905199999999994</v>
      </c>
      <c r="F88" s="2">
        <v>73</v>
      </c>
      <c r="G88" s="2">
        <v>109.8995</v>
      </c>
      <c r="H88" s="2">
        <v>35</v>
      </c>
      <c r="I88" s="2">
        <v>108.97790000000001</v>
      </c>
      <c r="J88" s="2">
        <v>52</v>
      </c>
      <c r="K88" s="2">
        <v>97.795199999999994</v>
      </c>
      <c r="L88" s="2">
        <v>82</v>
      </c>
      <c r="M88" s="2">
        <v>99.486999999999995</v>
      </c>
      <c r="N88" s="2">
        <v>110</v>
      </c>
      <c r="O88" s="2">
        <v>0.74036400000000002</v>
      </c>
      <c r="P88" s="2">
        <v>68</v>
      </c>
      <c r="Q88" s="2"/>
      <c r="R88" s="2"/>
      <c r="S88" s="2"/>
    </row>
    <row r="89" spans="1:19" ht="12.3" x14ac:dyDescent="0.4">
      <c r="A89" s="2" t="s">
        <v>236</v>
      </c>
      <c r="B89" s="2"/>
      <c r="C89" s="2">
        <v>64.586699999999993</v>
      </c>
      <c r="D89" s="2">
        <v>188</v>
      </c>
      <c r="E89" s="2">
        <v>65.216999999999999</v>
      </c>
      <c r="F89" s="2">
        <v>150</v>
      </c>
      <c r="G89" s="2">
        <v>104.2056</v>
      </c>
      <c r="H89" s="2">
        <v>120</v>
      </c>
      <c r="I89" s="2">
        <v>102.3317</v>
      </c>
      <c r="J89" s="2">
        <v>164</v>
      </c>
      <c r="K89" s="2">
        <v>93.858699999999999</v>
      </c>
      <c r="L89" s="2">
        <v>21</v>
      </c>
      <c r="M89" s="2">
        <v>93.536100000000005</v>
      </c>
      <c r="N89" s="2">
        <v>22</v>
      </c>
      <c r="O89" s="2">
        <v>0.73760000000000003</v>
      </c>
      <c r="P89" s="2">
        <v>69</v>
      </c>
      <c r="Q89" s="2"/>
      <c r="R89" s="2"/>
      <c r="S89" s="2"/>
    </row>
    <row r="90" spans="1:19" ht="12.3" x14ac:dyDescent="0.4">
      <c r="A90" s="2" t="s">
        <v>99</v>
      </c>
      <c r="B90" s="2"/>
      <c r="C90" s="2">
        <v>66.0124</v>
      </c>
      <c r="D90" s="2">
        <v>119</v>
      </c>
      <c r="E90" s="2">
        <v>66.026700000000005</v>
      </c>
      <c r="F90" s="2">
        <v>112</v>
      </c>
      <c r="G90" s="2">
        <v>103.4195</v>
      </c>
      <c r="H90" s="2">
        <v>141</v>
      </c>
      <c r="I90" s="2">
        <v>107.3888</v>
      </c>
      <c r="J90" s="2">
        <v>69</v>
      </c>
      <c r="K90" s="2">
        <v>99.225800000000007</v>
      </c>
      <c r="L90" s="2">
        <v>109</v>
      </c>
      <c r="M90" s="2">
        <v>98.223799999999997</v>
      </c>
      <c r="N90" s="2">
        <v>90</v>
      </c>
      <c r="O90" s="2">
        <v>0.73611700000000002</v>
      </c>
      <c r="P90" s="2">
        <v>70</v>
      </c>
      <c r="Q90" s="2"/>
      <c r="R90" s="2"/>
      <c r="S90" s="2"/>
    </row>
    <row r="91" spans="1:19" ht="12.3" x14ac:dyDescent="0.4">
      <c r="A91" s="2" t="s">
        <v>69</v>
      </c>
      <c r="B91" s="2"/>
      <c r="C91" s="2">
        <v>63.829900000000002</v>
      </c>
      <c r="D91" s="2">
        <v>236</v>
      </c>
      <c r="E91" s="2">
        <v>63.977499999999999</v>
      </c>
      <c r="F91" s="2">
        <v>215</v>
      </c>
      <c r="G91" s="2">
        <v>99.688800000000001</v>
      </c>
      <c r="H91" s="2">
        <v>226</v>
      </c>
      <c r="I91" s="2">
        <v>100.5658</v>
      </c>
      <c r="J91" s="2">
        <v>207</v>
      </c>
      <c r="K91" s="2">
        <v>92.921899999999994</v>
      </c>
      <c r="L91" s="2">
        <v>17</v>
      </c>
      <c r="M91" s="2">
        <v>92.281800000000004</v>
      </c>
      <c r="N91" s="2">
        <v>14</v>
      </c>
      <c r="O91" s="2">
        <v>0.72881200000000002</v>
      </c>
      <c r="P91" s="2">
        <v>72</v>
      </c>
      <c r="Q91" s="2"/>
      <c r="R91" s="2"/>
      <c r="S91" s="2"/>
    </row>
    <row r="92" spans="1:19" ht="12.3" x14ac:dyDescent="0.4">
      <c r="A92" s="2" t="s">
        <v>181</v>
      </c>
      <c r="B92" s="2"/>
      <c r="C92" s="2">
        <v>66.733999999999995</v>
      </c>
      <c r="D92" s="2">
        <v>84</v>
      </c>
      <c r="E92" s="2">
        <v>66.650000000000006</v>
      </c>
      <c r="F92" s="2">
        <v>82</v>
      </c>
      <c r="G92" s="2">
        <v>116.02509999999999</v>
      </c>
      <c r="H92" s="2">
        <v>8</v>
      </c>
      <c r="I92" s="2">
        <v>113.0887</v>
      </c>
      <c r="J92" s="2">
        <v>17</v>
      </c>
      <c r="K92" s="2">
        <v>100.83759999999999</v>
      </c>
      <c r="L92" s="2">
        <v>144</v>
      </c>
      <c r="M92" s="2">
        <v>104.0421</v>
      </c>
      <c r="N92" s="2">
        <v>203</v>
      </c>
      <c r="O92" s="2">
        <v>0.72288799999999998</v>
      </c>
      <c r="P92" s="2">
        <v>73</v>
      </c>
      <c r="Q92" s="2"/>
      <c r="R92" s="2"/>
      <c r="S92" s="2"/>
    </row>
    <row r="93" spans="1:19" ht="12.3" x14ac:dyDescent="0.4">
      <c r="A93" s="2" t="s">
        <v>160</v>
      </c>
      <c r="B93" s="2"/>
      <c r="C93" s="2">
        <v>61.818399999999997</v>
      </c>
      <c r="D93" s="2">
        <v>308</v>
      </c>
      <c r="E93" s="2">
        <v>62.4146</v>
      </c>
      <c r="F93" s="2">
        <v>289</v>
      </c>
      <c r="G93" s="2">
        <v>104.017</v>
      </c>
      <c r="H93" s="2">
        <v>126</v>
      </c>
      <c r="I93" s="2">
        <v>104.7351</v>
      </c>
      <c r="J93" s="2">
        <v>112</v>
      </c>
      <c r="K93" s="2">
        <v>97.147000000000006</v>
      </c>
      <c r="L93" s="2">
        <v>73</v>
      </c>
      <c r="M93" s="2">
        <v>96.450199999999995</v>
      </c>
      <c r="N93" s="2">
        <v>62</v>
      </c>
      <c r="O93" s="2">
        <v>0.72064899999999998</v>
      </c>
      <c r="P93" s="2">
        <v>74</v>
      </c>
      <c r="Q93" s="2"/>
      <c r="R93" s="2"/>
      <c r="S93" s="2"/>
    </row>
    <row r="94" spans="1:19" ht="12.3" x14ac:dyDescent="0.4">
      <c r="A94" s="2" t="s">
        <v>232</v>
      </c>
      <c r="B94" s="2"/>
      <c r="C94" s="2">
        <v>63.314700000000002</v>
      </c>
      <c r="D94" s="2">
        <v>257</v>
      </c>
      <c r="E94" s="2">
        <v>61.851799999999997</v>
      </c>
      <c r="F94" s="2">
        <v>307</v>
      </c>
      <c r="G94" s="2">
        <v>104.9117</v>
      </c>
      <c r="H94" s="2">
        <v>105</v>
      </c>
      <c r="I94" s="2">
        <v>105.4472</v>
      </c>
      <c r="J94" s="2">
        <v>103</v>
      </c>
      <c r="K94" s="2">
        <v>96.414100000000005</v>
      </c>
      <c r="L94" s="2">
        <v>56</v>
      </c>
      <c r="M94" s="2">
        <v>97.174599999999998</v>
      </c>
      <c r="N94" s="2">
        <v>74</v>
      </c>
      <c r="O94" s="2">
        <v>0.71901099999999996</v>
      </c>
      <c r="P94" s="2">
        <v>75</v>
      </c>
      <c r="Q94" s="2"/>
      <c r="R94" s="2"/>
      <c r="S94" s="2"/>
    </row>
    <row r="95" spans="1:19" ht="12.3" x14ac:dyDescent="0.4">
      <c r="A95" s="2" t="s">
        <v>94</v>
      </c>
      <c r="B95" s="2"/>
      <c r="C95" s="2">
        <v>67.734099999999998</v>
      </c>
      <c r="D95" s="2">
        <v>52</v>
      </c>
      <c r="E95" s="2">
        <v>67.543599999999998</v>
      </c>
      <c r="F95" s="2">
        <v>50</v>
      </c>
      <c r="G95" s="2">
        <v>106.70829999999999</v>
      </c>
      <c r="H95" s="2">
        <v>68</v>
      </c>
      <c r="I95" s="2">
        <v>104.68680000000001</v>
      </c>
      <c r="J95" s="2">
        <v>114</v>
      </c>
      <c r="K95" s="2">
        <v>95.075199999999995</v>
      </c>
      <c r="L95" s="2">
        <v>35</v>
      </c>
      <c r="M95" s="2">
        <v>96.876800000000003</v>
      </c>
      <c r="N95" s="2">
        <v>66</v>
      </c>
      <c r="O95" s="2">
        <v>0.70922700000000005</v>
      </c>
      <c r="P95" s="2">
        <v>76</v>
      </c>
      <c r="Q95" s="2"/>
      <c r="R95" s="2"/>
      <c r="S95" s="2"/>
    </row>
    <row r="96" spans="1:19" ht="12.3" x14ac:dyDescent="0.4">
      <c r="A96" s="2" t="s">
        <v>154</v>
      </c>
      <c r="B96" s="2"/>
      <c r="C96" s="2">
        <v>60.5441</v>
      </c>
      <c r="D96" s="2">
        <v>335</v>
      </c>
      <c r="E96" s="2">
        <v>60.083500000000001</v>
      </c>
      <c r="F96" s="2">
        <v>340</v>
      </c>
      <c r="G96" s="2">
        <v>103.17359999999999</v>
      </c>
      <c r="H96" s="2">
        <v>148</v>
      </c>
      <c r="I96" s="2">
        <v>107.9328</v>
      </c>
      <c r="J96" s="2">
        <v>63</v>
      </c>
      <c r="K96" s="2">
        <v>103.595</v>
      </c>
      <c r="L96" s="2">
        <v>200</v>
      </c>
      <c r="M96" s="2">
        <v>99.884799999999998</v>
      </c>
      <c r="N96" s="2">
        <v>117</v>
      </c>
      <c r="O96" s="2">
        <v>0.70912900000000001</v>
      </c>
      <c r="P96" s="2">
        <v>77</v>
      </c>
      <c r="Q96" s="2"/>
      <c r="R96" s="2"/>
      <c r="S96" s="2"/>
    </row>
    <row r="97" spans="1:19" ht="12.3" x14ac:dyDescent="0.4">
      <c r="A97" s="2" t="s">
        <v>225</v>
      </c>
      <c r="B97" s="2"/>
      <c r="C97" s="2">
        <v>66.089299999999994</v>
      </c>
      <c r="D97" s="2">
        <v>112</v>
      </c>
      <c r="E97" s="2">
        <v>64.838099999999997</v>
      </c>
      <c r="F97" s="2">
        <v>162</v>
      </c>
      <c r="G97" s="2">
        <v>105.21729999999999</v>
      </c>
      <c r="H97" s="2">
        <v>99</v>
      </c>
      <c r="I97" s="2">
        <v>100.8698</v>
      </c>
      <c r="J97" s="2">
        <v>197</v>
      </c>
      <c r="K97" s="2">
        <v>91.038600000000002</v>
      </c>
      <c r="L97" s="2">
        <v>9</v>
      </c>
      <c r="M97" s="2">
        <v>93.782700000000006</v>
      </c>
      <c r="N97" s="2">
        <v>26</v>
      </c>
      <c r="O97" s="2">
        <v>0.69799500000000003</v>
      </c>
      <c r="P97" s="2">
        <v>79</v>
      </c>
      <c r="Q97" s="2"/>
      <c r="R97" s="2"/>
      <c r="S97" s="2"/>
    </row>
    <row r="98" spans="1:19" ht="12.3" x14ac:dyDescent="0.4">
      <c r="A98" s="2" t="s">
        <v>46</v>
      </c>
      <c r="B98" s="2"/>
      <c r="C98" s="2">
        <v>61.058100000000003</v>
      </c>
      <c r="D98" s="2">
        <v>325</v>
      </c>
      <c r="E98" s="2">
        <v>60.982300000000002</v>
      </c>
      <c r="F98" s="2">
        <v>327</v>
      </c>
      <c r="G98" s="2">
        <v>108.5946</v>
      </c>
      <c r="H98" s="2">
        <v>49</v>
      </c>
      <c r="I98" s="2">
        <v>112.7343</v>
      </c>
      <c r="J98" s="2">
        <v>23</v>
      </c>
      <c r="K98" s="2">
        <v>106.55200000000001</v>
      </c>
      <c r="L98" s="2">
        <v>275</v>
      </c>
      <c r="M98" s="2">
        <v>104.83759999999999</v>
      </c>
      <c r="N98" s="2">
        <v>218</v>
      </c>
      <c r="O98" s="2">
        <v>0.69743999999999995</v>
      </c>
      <c r="P98" s="2">
        <v>80</v>
      </c>
      <c r="Q98" s="2"/>
      <c r="R98" s="2"/>
      <c r="S98" s="2"/>
    </row>
    <row r="99" spans="1:19" ht="12.3" x14ac:dyDescent="0.4">
      <c r="A99" s="2" t="s">
        <v>148</v>
      </c>
      <c r="B99" s="2"/>
      <c r="C99" s="2">
        <v>63.071599999999997</v>
      </c>
      <c r="D99" s="2">
        <v>270</v>
      </c>
      <c r="E99" s="2">
        <v>62.5411</v>
      </c>
      <c r="F99" s="2">
        <v>283</v>
      </c>
      <c r="G99" s="2">
        <v>99.165199999999999</v>
      </c>
      <c r="H99" s="2">
        <v>242</v>
      </c>
      <c r="I99" s="2">
        <v>103.2577</v>
      </c>
      <c r="J99" s="2">
        <v>144</v>
      </c>
      <c r="K99" s="2">
        <v>101.16970000000001</v>
      </c>
      <c r="L99" s="2">
        <v>152</v>
      </c>
      <c r="M99" s="2">
        <v>96.3249</v>
      </c>
      <c r="N99" s="2">
        <v>59</v>
      </c>
      <c r="O99" s="2">
        <v>0.68981700000000001</v>
      </c>
      <c r="P99" s="2">
        <v>81</v>
      </c>
      <c r="Q99" s="2"/>
      <c r="R99" s="2"/>
      <c r="S99" s="2"/>
    </row>
    <row r="100" spans="1:19" ht="12.3" x14ac:dyDescent="0.4">
      <c r="A100" s="2" t="s">
        <v>90</v>
      </c>
      <c r="B100" s="2"/>
      <c r="C100" s="2">
        <v>63.324399999999997</v>
      </c>
      <c r="D100" s="2">
        <v>255</v>
      </c>
      <c r="E100" s="2">
        <v>62.7592</v>
      </c>
      <c r="F100" s="2">
        <v>274</v>
      </c>
      <c r="G100" s="2">
        <v>104.5754</v>
      </c>
      <c r="H100" s="2">
        <v>115</v>
      </c>
      <c r="I100" s="2">
        <v>108.3368</v>
      </c>
      <c r="J100" s="2">
        <v>59</v>
      </c>
      <c r="K100" s="2">
        <v>104.22320000000001</v>
      </c>
      <c r="L100" s="2">
        <v>217</v>
      </c>
      <c r="M100" s="2">
        <v>101.4216</v>
      </c>
      <c r="N100" s="2">
        <v>147</v>
      </c>
      <c r="O100" s="2">
        <v>0.68103400000000003</v>
      </c>
      <c r="P100" s="2">
        <v>82</v>
      </c>
      <c r="Q100" s="2"/>
      <c r="R100" s="2"/>
      <c r="S100" s="2"/>
    </row>
    <row r="101" spans="1:19" ht="12.3" x14ac:dyDescent="0.4">
      <c r="A101" s="2" t="s">
        <v>230</v>
      </c>
      <c r="B101" s="2"/>
      <c r="C101" s="2">
        <v>65.7316</v>
      </c>
      <c r="D101" s="2">
        <v>128</v>
      </c>
      <c r="E101" s="2">
        <v>65.895499999999998</v>
      </c>
      <c r="F101" s="2">
        <v>117</v>
      </c>
      <c r="G101" s="2">
        <v>99.882999999999996</v>
      </c>
      <c r="H101" s="2">
        <v>224</v>
      </c>
      <c r="I101" s="2">
        <v>102.2462</v>
      </c>
      <c r="J101" s="2">
        <v>167</v>
      </c>
      <c r="K101" s="2">
        <v>98.815600000000003</v>
      </c>
      <c r="L101" s="2">
        <v>102</v>
      </c>
      <c r="M101" s="2">
        <v>95.785899999999998</v>
      </c>
      <c r="N101" s="2">
        <v>52</v>
      </c>
      <c r="O101" s="2">
        <v>0.67930500000000005</v>
      </c>
      <c r="P101" s="2">
        <v>83</v>
      </c>
      <c r="Q101" s="2"/>
      <c r="R101" s="2"/>
      <c r="S101" s="2"/>
    </row>
    <row r="102" spans="1:19" ht="12.3" x14ac:dyDescent="0.4">
      <c r="A102" s="2" t="s">
        <v>235</v>
      </c>
      <c r="B102" s="2"/>
      <c r="C102" s="2">
        <v>64.681600000000003</v>
      </c>
      <c r="D102" s="2">
        <v>179</v>
      </c>
      <c r="E102" s="2">
        <v>63.947200000000002</v>
      </c>
      <c r="F102" s="2">
        <v>218</v>
      </c>
      <c r="G102" s="2">
        <v>115.64409999999999</v>
      </c>
      <c r="H102" s="2">
        <v>11</v>
      </c>
      <c r="I102" s="2">
        <v>112.292</v>
      </c>
      <c r="J102" s="2">
        <v>26</v>
      </c>
      <c r="K102" s="2">
        <v>104.133</v>
      </c>
      <c r="L102" s="2">
        <v>216</v>
      </c>
      <c r="M102" s="2">
        <v>105.2315</v>
      </c>
      <c r="N102" s="2">
        <v>227</v>
      </c>
      <c r="O102" s="2">
        <v>0.67848299999999995</v>
      </c>
      <c r="P102" s="2">
        <v>84</v>
      </c>
      <c r="Q102" s="2"/>
      <c r="R102" s="2"/>
      <c r="S102" s="2"/>
    </row>
    <row r="103" spans="1:19" ht="12.3" x14ac:dyDescent="0.4">
      <c r="A103" s="2" t="s">
        <v>71</v>
      </c>
      <c r="B103" s="2"/>
      <c r="C103" s="2">
        <v>65.653199999999998</v>
      </c>
      <c r="D103" s="2">
        <v>134</v>
      </c>
      <c r="E103" s="2">
        <v>66.528899999999993</v>
      </c>
      <c r="F103" s="2">
        <v>88</v>
      </c>
      <c r="G103" s="2">
        <v>101.75920000000001</v>
      </c>
      <c r="H103" s="2">
        <v>180</v>
      </c>
      <c r="I103" s="2">
        <v>103.45</v>
      </c>
      <c r="J103" s="2">
        <v>141</v>
      </c>
      <c r="K103" s="2">
        <v>95.546999999999997</v>
      </c>
      <c r="L103" s="2">
        <v>38</v>
      </c>
      <c r="M103" s="2">
        <v>97.085400000000007</v>
      </c>
      <c r="N103" s="2">
        <v>70</v>
      </c>
      <c r="O103" s="2">
        <v>0.67485300000000004</v>
      </c>
      <c r="P103" s="2">
        <v>85</v>
      </c>
      <c r="Q103" s="2"/>
      <c r="R103" s="2"/>
      <c r="S103" s="2"/>
    </row>
    <row r="104" spans="1:19" ht="12.3" x14ac:dyDescent="0.4">
      <c r="A104" s="2" t="s">
        <v>24</v>
      </c>
      <c r="B104" s="2"/>
      <c r="C104" s="2">
        <v>62.7791</v>
      </c>
      <c r="D104" s="2">
        <v>282</v>
      </c>
      <c r="E104" s="2">
        <v>62.314599999999999</v>
      </c>
      <c r="F104" s="2">
        <v>293</v>
      </c>
      <c r="G104" s="2">
        <v>99.069000000000003</v>
      </c>
      <c r="H104" s="2">
        <v>245</v>
      </c>
      <c r="I104" s="2">
        <v>101.4939</v>
      </c>
      <c r="J104" s="2">
        <v>181</v>
      </c>
      <c r="K104" s="2">
        <v>98.673500000000004</v>
      </c>
      <c r="L104" s="2">
        <v>99</v>
      </c>
      <c r="M104" s="2">
        <v>95.382199999999997</v>
      </c>
      <c r="N104" s="2">
        <v>46</v>
      </c>
      <c r="O104" s="2">
        <v>0.67133600000000004</v>
      </c>
      <c r="P104" s="2">
        <v>86</v>
      </c>
      <c r="Q104" s="2"/>
      <c r="R104" s="2"/>
      <c r="S104" s="2"/>
    </row>
    <row r="105" spans="1:19" ht="12.3" x14ac:dyDescent="0.4">
      <c r="A105" s="2" t="s">
        <v>186</v>
      </c>
      <c r="B105" s="2"/>
      <c r="C105" s="2">
        <v>67.232699999999994</v>
      </c>
      <c r="D105" s="2">
        <v>70</v>
      </c>
      <c r="E105" s="2">
        <v>67.290800000000004</v>
      </c>
      <c r="F105" s="2">
        <v>57</v>
      </c>
      <c r="G105" s="2">
        <v>111.14</v>
      </c>
      <c r="H105" s="2">
        <v>28</v>
      </c>
      <c r="I105" s="2">
        <v>111.1798</v>
      </c>
      <c r="J105" s="2">
        <v>34</v>
      </c>
      <c r="K105" s="2">
        <v>104.88930000000001</v>
      </c>
      <c r="L105" s="2">
        <v>234</v>
      </c>
      <c r="M105" s="2">
        <v>104.56610000000001</v>
      </c>
      <c r="N105" s="2">
        <v>213</v>
      </c>
      <c r="O105" s="2">
        <v>0.66936099999999998</v>
      </c>
      <c r="P105" s="2">
        <v>87</v>
      </c>
      <c r="Q105" s="2"/>
      <c r="R105" s="2"/>
      <c r="S105" s="2"/>
    </row>
    <row r="106" spans="1:19" ht="12.3" x14ac:dyDescent="0.4">
      <c r="A106" s="2" t="s">
        <v>81</v>
      </c>
      <c r="B106" s="2"/>
      <c r="C106" s="2">
        <v>61.183199999999999</v>
      </c>
      <c r="D106" s="2">
        <v>323</v>
      </c>
      <c r="E106" s="2">
        <v>60.581400000000002</v>
      </c>
      <c r="F106" s="2">
        <v>335</v>
      </c>
      <c r="G106" s="2">
        <v>103.0849</v>
      </c>
      <c r="H106" s="2">
        <v>150</v>
      </c>
      <c r="I106" s="2">
        <v>107.4029</v>
      </c>
      <c r="J106" s="2">
        <v>68</v>
      </c>
      <c r="K106" s="2">
        <v>104.5068</v>
      </c>
      <c r="L106" s="2">
        <v>225</v>
      </c>
      <c r="M106" s="2">
        <v>101.12439999999999</v>
      </c>
      <c r="N106" s="2">
        <v>142</v>
      </c>
      <c r="O106" s="2">
        <v>0.66657</v>
      </c>
      <c r="P106" s="2">
        <v>89</v>
      </c>
      <c r="Q106" s="2"/>
      <c r="R106" s="2"/>
      <c r="S106" s="2"/>
    </row>
    <row r="107" spans="1:19" ht="12.3" x14ac:dyDescent="0.4">
      <c r="A107" s="2" t="s">
        <v>92</v>
      </c>
      <c r="B107" s="2"/>
      <c r="C107" s="2">
        <v>63.984299999999998</v>
      </c>
      <c r="D107" s="2">
        <v>227</v>
      </c>
      <c r="E107" s="2">
        <v>63.929699999999997</v>
      </c>
      <c r="F107" s="2">
        <v>220</v>
      </c>
      <c r="G107" s="2">
        <v>97.111999999999995</v>
      </c>
      <c r="H107" s="2">
        <v>272</v>
      </c>
      <c r="I107" s="2">
        <v>100.1186</v>
      </c>
      <c r="J107" s="2">
        <v>224</v>
      </c>
      <c r="K107" s="2">
        <v>99.2363</v>
      </c>
      <c r="L107" s="2">
        <v>110</v>
      </c>
      <c r="M107" s="2">
        <v>94.491200000000006</v>
      </c>
      <c r="N107" s="2">
        <v>32</v>
      </c>
      <c r="O107" s="2">
        <v>0.660443</v>
      </c>
      <c r="P107" s="2">
        <v>91</v>
      </c>
      <c r="Q107" s="2"/>
      <c r="R107" s="2"/>
      <c r="S107" s="2"/>
    </row>
    <row r="108" spans="1:19" ht="12.3" x14ac:dyDescent="0.4">
      <c r="A108" s="2" t="s">
        <v>256</v>
      </c>
      <c r="B108" s="2"/>
      <c r="C108" s="2">
        <v>64.599699999999999</v>
      </c>
      <c r="D108" s="2">
        <v>185</v>
      </c>
      <c r="E108" s="2">
        <v>63.785299999999999</v>
      </c>
      <c r="F108" s="2">
        <v>227</v>
      </c>
      <c r="G108" s="2">
        <v>103.9374</v>
      </c>
      <c r="H108" s="2">
        <v>128</v>
      </c>
      <c r="I108" s="2">
        <v>102.7533</v>
      </c>
      <c r="J108" s="2">
        <v>157</v>
      </c>
      <c r="K108" s="2">
        <v>97.551299999999998</v>
      </c>
      <c r="L108" s="2">
        <v>77</v>
      </c>
      <c r="M108" s="2">
        <v>96.980999999999995</v>
      </c>
      <c r="N108" s="2">
        <v>68</v>
      </c>
      <c r="O108" s="2">
        <v>0.66035500000000003</v>
      </c>
      <c r="P108" s="2">
        <v>92</v>
      </c>
      <c r="Q108" s="2"/>
      <c r="R108" s="2"/>
      <c r="S108" s="2"/>
    </row>
    <row r="109" spans="1:19" ht="12.3" x14ac:dyDescent="0.4">
      <c r="A109" s="2" t="s">
        <v>357</v>
      </c>
      <c r="B109" s="2"/>
      <c r="C109" s="2">
        <v>63.015999999999998</v>
      </c>
      <c r="D109" s="2">
        <v>271</v>
      </c>
      <c r="E109" s="2">
        <v>63.228999999999999</v>
      </c>
      <c r="F109" s="2">
        <v>261</v>
      </c>
      <c r="G109" s="2">
        <v>111.75620000000001</v>
      </c>
      <c r="H109" s="2">
        <v>25</v>
      </c>
      <c r="I109" s="2">
        <v>110.2679</v>
      </c>
      <c r="J109" s="2">
        <v>43</v>
      </c>
      <c r="K109" s="2">
        <v>102.97929999999999</v>
      </c>
      <c r="L109" s="2">
        <v>188</v>
      </c>
      <c r="M109" s="2">
        <v>104.14490000000001</v>
      </c>
      <c r="N109" s="2">
        <v>205</v>
      </c>
      <c r="O109" s="2">
        <v>0.65858399999999995</v>
      </c>
      <c r="P109" s="2">
        <v>93</v>
      </c>
      <c r="Q109" s="2"/>
      <c r="R109" s="2"/>
      <c r="S109" s="2"/>
    </row>
    <row r="110" spans="1:19" ht="12.3" x14ac:dyDescent="0.4">
      <c r="A110" s="2" t="s">
        <v>129</v>
      </c>
      <c r="B110" s="2"/>
      <c r="C110" s="2">
        <v>65.445400000000006</v>
      </c>
      <c r="D110" s="2">
        <v>144</v>
      </c>
      <c r="E110" s="2">
        <v>65.502499999999998</v>
      </c>
      <c r="F110" s="2">
        <v>135</v>
      </c>
      <c r="G110" s="2">
        <v>102.45780000000001</v>
      </c>
      <c r="H110" s="2">
        <v>168</v>
      </c>
      <c r="I110" s="2">
        <v>104.7274</v>
      </c>
      <c r="J110" s="2">
        <v>113</v>
      </c>
      <c r="K110" s="2">
        <v>101.7471</v>
      </c>
      <c r="L110" s="2">
        <v>165</v>
      </c>
      <c r="M110" s="2">
        <v>99.024199999999993</v>
      </c>
      <c r="N110" s="2">
        <v>101</v>
      </c>
      <c r="O110" s="2">
        <v>0.65564800000000001</v>
      </c>
      <c r="P110" s="2">
        <v>95</v>
      </c>
      <c r="Q110" s="2"/>
      <c r="R110" s="2"/>
      <c r="S110" s="2"/>
    </row>
    <row r="111" spans="1:19" ht="12.3" x14ac:dyDescent="0.4">
      <c r="A111" s="2" t="s">
        <v>89</v>
      </c>
      <c r="B111" s="2"/>
      <c r="C111" s="2">
        <v>63.6008</v>
      </c>
      <c r="D111" s="2">
        <v>247</v>
      </c>
      <c r="E111" s="2">
        <v>63.778100000000002</v>
      </c>
      <c r="F111" s="2">
        <v>228</v>
      </c>
      <c r="G111" s="2">
        <v>104.8595</v>
      </c>
      <c r="H111" s="2">
        <v>106</v>
      </c>
      <c r="I111" s="2">
        <v>104.6544</v>
      </c>
      <c r="J111" s="2">
        <v>115</v>
      </c>
      <c r="K111" s="2">
        <v>96.375200000000007</v>
      </c>
      <c r="L111" s="2">
        <v>54</v>
      </c>
      <c r="M111" s="2">
        <v>99.078599999999994</v>
      </c>
      <c r="N111" s="2">
        <v>102</v>
      </c>
      <c r="O111" s="2">
        <v>0.65240600000000004</v>
      </c>
      <c r="P111" s="2">
        <v>96</v>
      </c>
      <c r="Q111" s="2"/>
      <c r="R111" s="2"/>
      <c r="S111" s="2"/>
    </row>
    <row r="112" spans="1:19" ht="12.3" x14ac:dyDescent="0.4">
      <c r="A112" s="2" t="s">
        <v>219</v>
      </c>
      <c r="B112" s="2"/>
      <c r="C112" s="2">
        <v>65.251999999999995</v>
      </c>
      <c r="D112" s="2">
        <v>151</v>
      </c>
      <c r="E112" s="2">
        <v>64.749600000000001</v>
      </c>
      <c r="F112" s="2">
        <v>166</v>
      </c>
      <c r="G112" s="2">
        <v>105.8853</v>
      </c>
      <c r="H112" s="2">
        <v>90</v>
      </c>
      <c r="I112" s="2">
        <v>104.0536</v>
      </c>
      <c r="J112" s="2">
        <v>121</v>
      </c>
      <c r="K112" s="2">
        <v>96.365600000000001</v>
      </c>
      <c r="L112" s="2">
        <v>53</v>
      </c>
      <c r="M112" s="2">
        <v>98.545599999999993</v>
      </c>
      <c r="N112" s="2">
        <v>95</v>
      </c>
      <c r="O112" s="2">
        <v>0.65145799999999998</v>
      </c>
      <c r="P112" s="2">
        <v>97</v>
      </c>
      <c r="Q112" s="2"/>
      <c r="R112" s="2"/>
      <c r="S112" s="2"/>
    </row>
    <row r="113" spans="1:19" ht="12.3" x14ac:dyDescent="0.4">
      <c r="A113" s="2" t="s">
        <v>133</v>
      </c>
      <c r="B113" s="2"/>
      <c r="C113" s="2">
        <v>63.338299999999997</v>
      </c>
      <c r="D113" s="2">
        <v>254</v>
      </c>
      <c r="E113" s="2">
        <v>63.065199999999997</v>
      </c>
      <c r="F113" s="2">
        <v>267</v>
      </c>
      <c r="G113" s="2">
        <v>100.96040000000001</v>
      </c>
      <c r="H113" s="2">
        <v>197</v>
      </c>
      <c r="I113" s="2">
        <v>101.4466</v>
      </c>
      <c r="J113" s="2">
        <v>183</v>
      </c>
      <c r="K113" s="2">
        <v>98.790300000000002</v>
      </c>
      <c r="L113" s="2">
        <v>100</v>
      </c>
      <c r="M113" s="2">
        <v>96.123900000000006</v>
      </c>
      <c r="N113" s="2">
        <v>56</v>
      </c>
      <c r="O113" s="2">
        <v>0.650169</v>
      </c>
      <c r="P113" s="2">
        <v>98</v>
      </c>
      <c r="Q113" s="2"/>
      <c r="R113" s="2"/>
      <c r="S113" s="2"/>
    </row>
    <row r="114" spans="1:19" ht="12.3" x14ac:dyDescent="0.4">
      <c r="A114" s="2" t="s">
        <v>222</v>
      </c>
      <c r="B114" s="2"/>
      <c r="C114" s="2">
        <v>61.686500000000002</v>
      </c>
      <c r="D114" s="2">
        <v>313</v>
      </c>
      <c r="E114" s="2">
        <v>60.901000000000003</v>
      </c>
      <c r="F114" s="2">
        <v>330</v>
      </c>
      <c r="G114" s="2">
        <v>104.7013</v>
      </c>
      <c r="H114" s="2">
        <v>112</v>
      </c>
      <c r="I114" s="2">
        <v>105.2698</v>
      </c>
      <c r="J114" s="2">
        <v>104</v>
      </c>
      <c r="K114" s="2">
        <v>99.659099999999995</v>
      </c>
      <c r="L114" s="2">
        <v>117</v>
      </c>
      <c r="M114" s="2">
        <v>99.789900000000003</v>
      </c>
      <c r="N114" s="2">
        <v>115</v>
      </c>
      <c r="O114" s="2">
        <v>0.64903200000000005</v>
      </c>
      <c r="P114" s="2">
        <v>99</v>
      </c>
      <c r="Q114" s="2"/>
      <c r="R114" s="2"/>
      <c r="S114" s="2"/>
    </row>
    <row r="115" spans="1:19" ht="12.3" x14ac:dyDescent="0.4">
      <c r="A115" s="2" t="s">
        <v>109</v>
      </c>
      <c r="B115" s="2"/>
      <c r="C115" s="2">
        <v>64.580399999999997</v>
      </c>
      <c r="D115" s="2">
        <v>189</v>
      </c>
      <c r="E115" s="2">
        <v>65.459900000000005</v>
      </c>
      <c r="F115" s="2">
        <v>137</v>
      </c>
      <c r="G115" s="2">
        <v>102.48439999999999</v>
      </c>
      <c r="H115" s="2">
        <v>167</v>
      </c>
      <c r="I115" s="2">
        <v>106.4499</v>
      </c>
      <c r="J115" s="2">
        <v>79</v>
      </c>
      <c r="K115" s="2">
        <v>99.265199999999993</v>
      </c>
      <c r="L115" s="2">
        <v>111</v>
      </c>
      <c r="M115" s="2">
        <v>100.9712</v>
      </c>
      <c r="N115" s="2">
        <v>138</v>
      </c>
      <c r="O115" s="2">
        <v>0.64740500000000001</v>
      </c>
      <c r="P115" s="2">
        <v>100</v>
      </c>
      <c r="Q115" s="2"/>
      <c r="R115" s="2"/>
      <c r="S115" s="2"/>
    </row>
    <row r="116" spans="1:19" ht="12.3" x14ac:dyDescent="0.4">
      <c r="A116" s="2" t="s">
        <v>169</v>
      </c>
      <c r="B116" s="2"/>
      <c r="C116" s="2">
        <v>64.371499999999997</v>
      </c>
      <c r="D116" s="2">
        <v>197</v>
      </c>
      <c r="E116" s="2">
        <v>64.616900000000001</v>
      </c>
      <c r="F116" s="2">
        <v>177</v>
      </c>
      <c r="G116" s="2">
        <v>96.755600000000001</v>
      </c>
      <c r="H116" s="2">
        <v>275</v>
      </c>
      <c r="I116" s="2">
        <v>98.294300000000007</v>
      </c>
      <c r="J116" s="2">
        <v>250</v>
      </c>
      <c r="K116" s="2">
        <v>95.564899999999994</v>
      </c>
      <c r="L116" s="2">
        <v>39</v>
      </c>
      <c r="M116" s="2">
        <v>93.450599999999994</v>
      </c>
      <c r="N116" s="2">
        <v>21</v>
      </c>
      <c r="O116" s="2">
        <v>0.64132800000000001</v>
      </c>
      <c r="P116" s="2">
        <v>101</v>
      </c>
      <c r="Q116" s="2"/>
      <c r="R116" s="2"/>
      <c r="S116" s="2"/>
    </row>
    <row r="117" spans="1:19" ht="12.3" x14ac:dyDescent="0.4">
      <c r="A117" s="2" t="s">
        <v>20</v>
      </c>
      <c r="B117" s="2"/>
      <c r="C117" s="2">
        <v>65.778000000000006</v>
      </c>
      <c r="D117" s="2">
        <v>125</v>
      </c>
      <c r="E117" s="2">
        <v>66.360600000000005</v>
      </c>
      <c r="F117" s="2">
        <v>95</v>
      </c>
      <c r="G117" s="2">
        <v>100.288</v>
      </c>
      <c r="H117" s="2">
        <v>209</v>
      </c>
      <c r="I117" s="2">
        <v>102.3403</v>
      </c>
      <c r="J117" s="2">
        <v>163</v>
      </c>
      <c r="K117" s="2">
        <v>101.2564</v>
      </c>
      <c r="L117" s="2">
        <v>155</v>
      </c>
      <c r="M117" s="2">
        <v>97.564099999999996</v>
      </c>
      <c r="N117" s="2">
        <v>79</v>
      </c>
      <c r="O117" s="2">
        <v>0.63405199999999995</v>
      </c>
      <c r="P117" s="2">
        <v>103</v>
      </c>
      <c r="Q117" s="2"/>
      <c r="R117" s="2"/>
      <c r="S117" s="2"/>
    </row>
    <row r="118" spans="1:19" ht="12.3" x14ac:dyDescent="0.4">
      <c r="A118" s="2" t="s">
        <v>119</v>
      </c>
      <c r="B118" s="2"/>
      <c r="C118" s="2">
        <v>66.049899999999994</v>
      </c>
      <c r="D118" s="2">
        <v>117</v>
      </c>
      <c r="E118" s="2">
        <v>66.203599999999994</v>
      </c>
      <c r="F118" s="2">
        <v>104</v>
      </c>
      <c r="G118" s="2">
        <v>102.68680000000001</v>
      </c>
      <c r="H118" s="2">
        <v>163</v>
      </c>
      <c r="I118" s="2">
        <v>106.0894</v>
      </c>
      <c r="J118" s="2">
        <v>87</v>
      </c>
      <c r="K118" s="2">
        <v>102.4281</v>
      </c>
      <c r="L118" s="2">
        <v>180</v>
      </c>
      <c r="M118" s="2">
        <v>101.1507</v>
      </c>
      <c r="N118" s="2">
        <v>143</v>
      </c>
      <c r="O118" s="2">
        <v>0.63372200000000001</v>
      </c>
      <c r="P118" s="2">
        <v>104</v>
      </c>
      <c r="Q118" s="2"/>
      <c r="R118" s="2"/>
      <c r="S118" s="2"/>
    </row>
    <row r="119" spans="1:19" ht="12.3" x14ac:dyDescent="0.4">
      <c r="A119" s="2" t="s">
        <v>362</v>
      </c>
      <c r="B119" s="2"/>
      <c r="C119" s="2">
        <v>66.071299999999994</v>
      </c>
      <c r="D119" s="2">
        <v>113</v>
      </c>
      <c r="E119" s="2">
        <v>66.115399999999994</v>
      </c>
      <c r="F119" s="2">
        <v>108</v>
      </c>
      <c r="G119" s="2">
        <v>108.4213</v>
      </c>
      <c r="H119" s="2">
        <v>52</v>
      </c>
      <c r="I119" s="2">
        <v>104.9011</v>
      </c>
      <c r="J119" s="2">
        <v>111</v>
      </c>
      <c r="K119" s="2">
        <v>97.365399999999994</v>
      </c>
      <c r="L119" s="2">
        <v>75</v>
      </c>
      <c r="M119" s="2">
        <v>100.0656</v>
      </c>
      <c r="N119" s="2">
        <v>123</v>
      </c>
      <c r="O119" s="2">
        <v>0.63244299999999998</v>
      </c>
      <c r="P119" s="2">
        <v>105</v>
      </c>
      <c r="Q119" s="2"/>
      <c r="R119" s="2"/>
      <c r="S119" s="2"/>
    </row>
    <row r="120" spans="1:19" ht="12.3" x14ac:dyDescent="0.4">
      <c r="A120" s="2" t="s">
        <v>79</v>
      </c>
      <c r="B120" s="2"/>
      <c r="C120" s="2">
        <v>63.7029</v>
      </c>
      <c r="D120" s="2">
        <v>243</v>
      </c>
      <c r="E120" s="2">
        <v>63.631599999999999</v>
      </c>
      <c r="F120" s="2">
        <v>243</v>
      </c>
      <c r="G120" s="2">
        <v>99.200999999999993</v>
      </c>
      <c r="H120" s="2">
        <v>238</v>
      </c>
      <c r="I120" s="2">
        <v>99.101100000000002</v>
      </c>
      <c r="J120" s="2">
        <v>235</v>
      </c>
      <c r="K120" s="2">
        <v>96.769400000000005</v>
      </c>
      <c r="L120" s="2">
        <v>66</v>
      </c>
      <c r="M120" s="2">
        <v>94.591499999999996</v>
      </c>
      <c r="N120" s="2">
        <v>35</v>
      </c>
      <c r="O120" s="2">
        <v>0.63078500000000004</v>
      </c>
      <c r="P120" s="2">
        <v>106</v>
      </c>
      <c r="Q120" s="2"/>
      <c r="R120" s="2"/>
      <c r="S120" s="2"/>
    </row>
    <row r="121" spans="1:19" ht="12.3" x14ac:dyDescent="0.4">
      <c r="A121" s="2" t="s">
        <v>106</v>
      </c>
      <c r="B121" s="2"/>
      <c r="C121" s="2">
        <v>65.071600000000004</v>
      </c>
      <c r="D121" s="2">
        <v>157</v>
      </c>
      <c r="E121" s="2">
        <v>64.733500000000006</v>
      </c>
      <c r="F121" s="2">
        <v>169</v>
      </c>
      <c r="G121" s="2">
        <v>102.1118</v>
      </c>
      <c r="H121" s="2">
        <v>176</v>
      </c>
      <c r="I121" s="2">
        <v>102.7805</v>
      </c>
      <c r="J121" s="2">
        <v>154</v>
      </c>
      <c r="K121" s="2">
        <v>98.661799999999999</v>
      </c>
      <c r="L121" s="2">
        <v>98</v>
      </c>
      <c r="M121" s="2">
        <v>98.234800000000007</v>
      </c>
      <c r="N121" s="2">
        <v>91</v>
      </c>
      <c r="O121" s="2">
        <v>0.62719499999999995</v>
      </c>
      <c r="P121" s="2">
        <v>107</v>
      </c>
      <c r="Q121" s="2"/>
      <c r="R121" s="2"/>
      <c r="S121" s="2"/>
    </row>
    <row r="122" spans="1:19" ht="12.3" x14ac:dyDescent="0.4">
      <c r="A122" s="2" t="s">
        <v>241</v>
      </c>
      <c r="B122" s="2"/>
      <c r="C122" s="2">
        <v>70.379000000000005</v>
      </c>
      <c r="D122" s="2">
        <v>8</v>
      </c>
      <c r="E122" s="2">
        <v>69.531899999999993</v>
      </c>
      <c r="F122" s="2">
        <v>17</v>
      </c>
      <c r="G122" s="2">
        <v>112.8446</v>
      </c>
      <c r="H122" s="2">
        <v>19</v>
      </c>
      <c r="I122" s="2">
        <v>110.3827</v>
      </c>
      <c r="J122" s="2">
        <v>39</v>
      </c>
      <c r="K122" s="2">
        <v>103.2941</v>
      </c>
      <c r="L122" s="2">
        <v>195</v>
      </c>
      <c r="M122" s="2">
        <v>105.50620000000001</v>
      </c>
      <c r="N122" s="2">
        <v>233</v>
      </c>
      <c r="O122" s="2">
        <v>0.62705599999999995</v>
      </c>
      <c r="P122" s="2">
        <v>108</v>
      </c>
      <c r="Q122" s="2"/>
      <c r="R122" s="2"/>
      <c r="S122" s="2"/>
    </row>
    <row r="123" spans="1:19" ht="12.3" x14ac:dyDescent="0.4">
      <c r="A123" s="2" t="s">
        <v>371</v>
      </c>
      <c r="B123" s="2"/>
      <c r="C123" s="2">
        <v>60.780500000000004</v>
      </c>
      <c r="D123" s="2">
        <v>332</v>
      </c>
      <c r="E123" s="2">
        <v>59.947200000000002</v>
      </c>
      <c r="F123" s="2">
        <v>342</v>
      </c>
      <c r="G123" s="2">
        <v>106.1863</v>
      </c>
      <c r="H123" s="2">
        <v>84</v>
      </c>
      <c r="I123" s="2">
        <v>100.8309</v>
      </c>
      <c r="J123" s="2">
        <v>198</v>
      </c>
      <c r="K123" s="2">
        <v>89.814300000000003</v>
      </c>
      <c r="L123" s="2">
        <v>5</v>
      </c>
      <c r="M123" s="2">
        <v>96.398700000000005</v>
      </c>
      <c r="N123" s="2">
        <v>61</v>
      </c>
      <c r="O123" s="2">
        <v>0.62643499999999996</v>
      </c>
      <c r="P123" s="2">
        <v>109</v>
      </c>
      <c r="Q123" s="2"/>
      <c r="R123" s="2"/>
      <c r="S123" s="2"/>
    </row>
    <row r="124" spans="1:19" ht="12.3" x14ac:dyDescent="0.4">
      <c r="A124" s="2" t="s">
        <v>104</v>
      </c>
      <c r="B124" s="2"/>
      <c r="C124" s="2">
        <v>62.243099999999998</v>
      </c>
      <c r="D124" s="2">
        <v>297</v>
      </c>
      <c r="E124" s="2">
        <v>62.564100000000003</v>
      </c>
      <c r="F124" s="2">
        <v>279</v>
      </c>
      <c r="G124" s="2">
        <v>105.53440000000001</v>
      </c>
      <c r="H124" s="2">
        <v>94</v>
      </c>
      <c r="I124" s="2">
        <v>106.4174</v>
      </c>
      <c r="J124" s="2">
        <v>80</v>
      </c>
      <c r="K124" s="2">
        <v>100.70569999999999</v>
      </c>
      <c r="L124" s="2">
        <v>141</v>
      </c>
      <c r="M124" s="2">
        <v>101.7565</v>
      </c>
      <c r="N124" s="2">
        <v>156</v>
      </c>
      <c r="O124" s="2">
        <v>0.62598900000000002</v>
      </c>
      <c r="P124" s="2">
        <v>110</v>
      </c>
      <c r="Q124" s="2"/>
      <c r="R124" s="2"/>
      <c r="S124" s="2"/>
    </row>
    <row r="125" spans="1:19" ht="12.3" x14ac:dyDescent="0.4">
      <c r="A125" s="2" t="s">
        <v>39</v>
      </c>
      <c r="B125" s="2"/>
      <c r="C125" s="2">
        <v>64.630099999999999</v>
      </c>
      <c r="D125" s="2">
        <v>183</v>
      </c>
      <c r="E125" s="2">
        <v>64.182599999999994</v>
      </c>
      <c r="F125" s="2">
        <v>200</v>
      </c>
      <c r="G125" s="2">
        <v>99.631200000000007</v>
      </c>
      <c r="H125" s="2">
        <v>228</v>
      </c>
      <c r="I125" s="2">
        <v>101.661</v>
      </c>
      <c r="J125" s="2">
        <v>178</v>
      </c>
      <c r="K125" s="2">
        <v>102.60939999999999</v>
      </c>
      <c r="L125" s="2">
        <v>184</v>
      </c>
      <c r="M125" s="2">
        <v>97.408000000000001</v>
      </c>
      <c r="N125" s="2">
        <v>77</v>
      </c>
      <c r="O125" s="2">
        <v>0.62044900000000003</v>
      </c>
      <c r="P125" s="2">
        <v>111</v>
      </c>
      <c r="Q125" s="2"/>
      <c r="R125" s="2"/>
      <c r="S125" s="2"/>
    </row>
    <row r="126" spans="1:19" ht="12.3" x14ac:dyDescent="0.4">
      <c r="A126" s="2" t="s">
        <v>95</v>
      </c>
      <c r="B126" s="2"/>
      <c r="C126" s="2">
        <v>63.8643</v>
      </c>
      <c r="D126" s="2">
        <v>234</v>
      </c>
      <c r="E126" s="2">
        <v>63.660600000000002</v>
      </c>
      <c r="F126" s="2">
        <v>240</v>
      </c>
      <c r="G126" s="2">
        <v>101.4389</v>
      </c>
      <c r="H126" s="2">
        <v>185</v>
      </c>
      <c r="I126" s="2">
        <v>105.6427</v>
      </c>
      <c r="J126" s="2">
        <v>99</v>
      </c>
      <c r="K126" s="2">
        <v>104.236</v>
      </c>
      <c r="L126" s="2">
        <v>218</v>
      </c>
      <c r="M126" s="2">
        <v>101.35599999999999</v>
      </c>
      <c r="N126" s="2">
        <v>146</v>
      </c>
      <c r="O126" s="2">
        <v>0.616892</v>
      </c>
      <c r="P126" s="2">
        <v>112</v>
      </c>
      <c r="Q126" s="2"/>
      <c r="R126" s="2"/>
      <c r="S126" s="2"/>
    </row>
    <row r="127" spans="1:19" ht="12.3" x14ac:dyDescent="0.4">
      <c r="A127" s="2" t="s">
        <v>53</v>
      </c>
      <c r="B127" s="2"/>
      <c r="C127" s="2">
        <v>62.073900000000002</v>
      </c>
      <c r="D127" s="2">
        <v>303</v>
      </c>
      <c r="E127" s="2">
        <v>61.810600000000001</v>
      </c>
      <c r="F127" s="2">
        <v>309</v>
      </c>
      <c r="G127" s="2">
        <v>104.785</v>
      </c>
      <c r="H127" s="2">
        <v>109</v>
      </c>
      <c r="I127" s="2">
        <v>105.1349</v>
      </c>
      <c r="J127" s="2">
        <v>107</v>
      </c>
      <c r="K127" s="2">
        <v>100.3544</v>
      </c>
      <c r="L127" s="2">
        <v>131</v>
      </c>
      <c r="M127" s="2">
        <v>100.9268</v>
      </c>
      <c r="N127" s="2">
        <v>137</v>
      </c>
      <c r="O127" s="2">
        <v>0.61532799999999999</v>
      </c>
      <c r="P127" s="2">
        <v>113</v>
      </c>
      <c r="Q127" s="2"/>
      <c r="R127" s="2"/>
      <c r="S127" s="2"/>
    </row>
    <row r="128" spans="1:19" ht="12.3" x14ac:dyDescent="0.4">
      <c r="A128" s="2" t="s">
        <v>324</v>
      </c>
      <c r="B128" s="2"/>
      <c r="C128" s="2">
        <v>64.878200000000007</v>
      </c>
      <c r="D128" s="2">
        <v>168</v>
      </c>
      <c r="E128" s="2">
        <v>63.600999999999999</v>
      </c>
      <c r="F128" s="2">
        <v>246</v>
      </c>
      <c r="G128" s="2">
        <v>105.4774</v>
      </c>
      <c r="H128" s="2">
        <v>96</v>
      </c>
      <c r="I128" s="2">
        <v>104.105</v>
      </c>
      <c r="J128" s="2">
        <v>119</v>
      </c>
      <c r="K128" s="2">
        <v>98.251800000000003</v>
      </c>
      <c r="L128" s="2">
        <v>91</v>
      </c>
      <c r="M128" s="2">
        <v>99.986400000000003</v>
      </c>
      <c r="N128" s="2">
        <v>122</v>
      </c>
      <c r="O128" s="2">
        <v>0.614012</v>
      </c>
      <c r="P128" s="2">
        <v>114</v>
      </c>
      <c r="Q128" s="2"/>
      <c r="R128" s="2"/>
      <c r="S128" s="2"/>
    </row>
    <row r="129" spans="1:19" ht="12.3" x14ac:dyDescent="0.4">
      <c r="A129" s="2" t="s">
        <v>220</v>
      </c>
      <c r="B129" s="2"/>
      <c r="C129" s="2">
        <v>63.403500000000001</v>
      </c>
      <c r="D129" s="2">
        <v>253</v>
      </c>
      <c r="E129" s="2">
        <v>63.957900000000002</v>
      </c>
      <c r="F129" s="2">
        <v>216</v>
      </c>
      <c r="G129" s="2">
        <v>102.73099999999999</v>
      </c>
      <c r="H129" s="2">
        <v>160</v>
      </c>
      <c r="I129" s="2">
        <v>100.71939999999999</v>
      </c>
      <c r="J129" s="2">
        <v>203</v>
      </c>
      <c r="K129" s="2">
        <v>91.297200000000004</v>
      </c>
      <c r="L129" s="2">
        <v>11</v>
      </c>
      <c r="M129" s="2">
        <v>96.810400000000001</v>
      </c>
      <c r="N129" s="2">
        <v>65</v>
      </c>
      <c r="O129" s="2">
        <v>0.61187800000000003</v>
      </c>
      <c r="P129" s="2">
        <v>115</v>
      </c>
      <c r="Q129" s="2"/>
      <c r="R129" s="2"/>
      <c r="S129" s="2"/>
    </row>
    <row r="130" spans="1:19" ht="12.3" x14ac:dyDescent="0.4">
      <c r="A130" s="2" t="s">
        <v>57</v>
      </c>
      <c r="B130" s="2"/>
      <c r="C130" s="2">
        <v>66.319599999999994</v>
      </c>
      <c r="D130" s="2">
        <v>103</v>
      </c>
      <c r="E130" s="2">
        <v>66.155799999999999</v>
      </c>
      <c r="F130" s="2">
        <v>106</v>
      </c>
      <c r="G130" s="2">
        <v>99.580600000000004</v>
      </c>
      <c r="H130" s="2">
        <v>232</v>
      </c>
      <c r="I130" s="2">
        <v>101.51479999999999</v>
      </c>
      <c r="J130" s="2">
        <v>180</v>
      </c>
      <c r="K130" s="2">
        <v>100.61579999999999</v>
      </c>
      <c r="L130" s="2">
        <v>139</v>
      </c>
      <c r="M130" s="2">
        <v>97.740399999999994</v>
      </c>
      <c r="N130" s="2">
        <v>83</v>
      </c>
      <c r="O130" s="2">
        <v>0.60724100000000003</v>
      </c>
      <c r="P130" s="2">
        <v>116</v>
      </c>
      <c r="Q130" s="2"/>
      <c r="R130" s="2"/>
      <c r="S130" s="2"/>
    </row>
    <row r="131" spans="1:19" ht="12.3" x14ac:dyDescent="0.4">
      <c r="A131" s="2" t="s">
        <v>149</v>
      </c>
      <c r="B131" s="2"/>
      <c r="C131" s="2">
        <v>62.009700000000002</v>
      </c>
      <c r="D131" s="2">
        <v>304</v>
      </c>
      <c r="E131" s="2">
        <v>61.133000000000003</v>
      </c>
      <c r="F131" s="2">
        <v>324</v>
      </c>
      <c r="G131" s="2">
        <v>96.090500000000006</v>
      </c>
      <c r="H131" s="2">
        <v>288</v>
      </c>
      <c r="I131" s="2">
        <v>96.816199999999995</v>
      </c>
      <c r="J131" s="2">
        <v>276</v>
      </c>
      <c r="K131" s="2">
        <v>94.876900000000006</v>
      </c>
      <c r="L131" s="2">
        <v>33</v>
      </c>
      <c r="M131" s="2">
        <v>93.263099999999994</v>
      </c>
      <c r="N131" s="2">
        <v>17</v>
      </c>
      <c r="O131" s="2">
        <v>0.60586899999999999</v>
      </c>
      <c r="P131" s="2">
        <v>117</v>
      </c>
      <c r="Q131" s="2"/>
      <c r="R131" s="2"/>
      <c r="S131" s="2"/>
    </row>
    <row r="132" spans="1:19" ht="12.3" x14ac:dyDescent="0.4">
      <c r="A132" s="2" t="s">
        <v>98</v>
      </c>
      <c r="B132" s="2"/>
      <c r="C132" s="2">
        <v>62.898099999999999</v>
      </c>
      <c r="D132" s="2">
        <v>277</v>
      </c>
      <c r="E132" s="2">
        <v>64.026700000000005</v>
      </c>
      <c r="F132" s="2">
        <v>211</v>
      </c>
      <c r="G132" s="2">
        <v>104.1123</v>
      </c>
      <c r="H132" s="2">
        <v>121</v>
      </c>
      <c r="I132" s="2">
        <v>105.7786</v>
      </c>
      <c r="J132" s="2">
        <v>97</v>
      </c>
      <c r="K132" s="2">
        <v>99.8489</v>
      </c>
      <c r="L132" s="2">
        <v>120</v>
      </c>
      <c r="M132" s="2">
        <v>102.0248</v>
      </c>
      <c r="N132" s="2">
        <v>160</v>
      </c>
      <c r="O132" s="2">
        <v>0.60241199999999995</v>
      </c>
      <c r="P132" s="2">
        <v>118</v>
      </c>
      <c r="Q132" s="2"/>
      <c r="R132" s="2"/>
      <c r="S132" s="2"/>
    </row>
    <row r="133" spans="1:19" ht="12.3" x14ac:dyDescent="0.4">
      <c r="A133" s="2" t="s">
        <v>124</v>
      </c>
      <c r="B133" s="2"/>
      <c r="C133" s="2">
        <v>60.501399999999997</v>
      </c>
      <c r="D133" s="2">
        <v>337</v>
      </c>
      <c r="E133" s="2">
        <v>60.410800000000002</v>
      </c>
      <c r="F133" s="2">
        <v>339</v>
      </c>
      <c r="G133" s="2">
        <v>102.6982</v>
      </c>
      <c r="H133" s="2">
        <v>161</v>
      </c>
      <c r="I133" s="2">
        <v>105.8665</v>
      </c>
      <c r="J133" s="2">
        <v>96</v>
      </c>
      <c r="K133" s="2">
        <v>105.23050000000001</v>
      </c>
      <c r="L133" s="2">
        <v>243</v>
      </c>
      <c r="M133" s="2">
        <v>102.2543</v>
      </c>
      <c r="N133" s="2">
        <v>166</v>
      </c>
      <c r="O133" s="2">
        <v>0.59850400000000004</v>
      </c>
      <c r="P133" s="2">
        <v>119</v>
      </c>
      <c r="Q133" s="2"/>
      <c r="R133" s="2"/>
      <c r="S133" s="2"/>
    </row>
    <row r="134" spans="1:19" ht="12.3" x14ac:dyDescent="0.4">
      <c r="A134" s="2" t="s">
        <v>66</v>
      </c>
      <c r="B134" s="2"/>
      <c r="C134" s="2">
        <v>69.063800000000001</v>
      </c>
      <c r="D134" s="2">
        <v>22</v>
      </c>
      <c r="E134" s="2">
        <v>69.674400000000006</v>
      </c>
      <c r="F134" s="2">
        <v>14</v>
      </c>
      <c r="G134" s="2">
        <v>103.3463</v>
      </c>
      <c r="H134" s="2">
        <v>143</v>
      </c>
      <c r="I134" s="2">
        <v>102.86320000000001</v>
      </c>
      <c r="J134" s="2">
        <v>152</v>
      </c>
      <c r="K134" s="2">
        <v>98.428299999999993</v>
      </c>
      <c r="L134" s="2">
        <v>93</v>
      </c>
      <c r="M134" s="2">
        <v>99.540400000000005</v>
      </c>
      <c r="N134" s="2">
        <v>111</v>
      </c>
      <c r="O134" s="2">
        <v>0.59329699999999996</v>
      </c>
      <c r="P134" s="2">
        <v>122</v>
      </c>
      <c r="Q134" s="2"/>
      <c r="R134" s="2"/>
      <c r="S134" s="2"/>
    </row>
    <row r="135" spans="1:19" ht="12.3" x14ac:dyDescent="0.4">
      <c r="A135" s="2" t="s">
        <v>131</v>
      </c>
      <c r="B135" s="2"/>
      <c r="C135" s="2">
        <v>66.179100000000005</v>
      </c>
      <c r="D135" s="2">
        <v>107</v>
      </c>
      <c r="E135" s="2">
        <v>65.632099999999994</v>
      </c>
      <c r="F135" s="2">
        <v>130</v>
      </c>
      <c r="G135" s="2">
        <v>103.2264</v>
      </c>
      <c r="H135" s="2">
        <v>145</v>
      </c>
      <c r="I135" s="2">
        <v>106.38420000000001</v>
      </c>
      <c r="J135" s="2">
        <v>82</v>
      </c>
      <c r="K135" s="2">
        <v>102.2034</v>
      </c>
      <c r="L135" s="2">
        <v>173</v>
      </c>
      <c r="M135" s="2">
        <v>102.9525</v>
      </c>
      <c r="N135" s="2">
        <v>180</v>
      </c>
      <c r="O135" s="2">
        <v>0.59316800000000003</v>
      </c>
      <c r="P135" s="2">
        <v>123</v>
      </c>
      <c r="Q135" s="2"/>
      <c r="R135" s="2"/>
      <c r="S135" s="2"/>
    </row>
    <row r="136" spans="1:19" ht="12.3" x14ac:dyDescent="0.4">
      <c r="A136" s="2" t="s">
        <v>243</v>
      </c>
      <c r="B136" s="2"/>
      <c r="C136" s="2">
        <v>69.139799999999994</v>
      </c>
      <c r="D136" s="2">
        <v>19</v>
      </c>
      <c r="E136" s="2">
        <v>69.212199999999996</v>
      </c>
      <c r="F136" s="2">
        <v>21</v>
      </c>
      <c r="G136" s="2">
        <v>112.7814</v>
      </c>
      <c r="H136" s="2">
        <v>20</v>
      </c>
      <c r="I136" s="2">
        <v>108.8591</v>
      </c>
      <c r="J136" s="2">
        <v>53</v>
      </c>
      <c r="K136" s="2">
        <v>100.3509</v>
      </c>
      <c r="L136" s="2">
        <v>130</v>
      </c>
      <c r="M136" s="2">
        <v>105.4353</v>
      </c>
      <c r="N136" s="2">
        <v>232</v>
      </c>
      <c r="O136" s="2">
        <v>0.59085699999999997</v>
      </c>
      <c r="P136" s="2">
        <v>124</v>
      </c>
      <c r="Q136" s="2"/>
      <c r="R136" s="2"/>
      <c r="S136" s="2"/>
    </row>
    <row r="137" spans="1:19" ht="12.3" x14ac:dyDescent="0.4">
      <c r="A137" s="2" t="s">
        <v>290</v>
      </c>
      <c r="B137" s="2"/>
      <c r="C137" s="2">
        <v>64.1875</v>
      </c>
      <c r="D137" s="2">
        <v>211</v>
      </c>
      <c r="E137" s="2">
        <v>64.627300000000005</v>
      </c>
      <c r="F137" s="2">
        <v>176</v>
      </c>
      <c r="G137" s="2">
        <v>107.0598</v>
      </c>
      <c r="H137" s="2">
        <v>65</v>
      </c>
      <c r="I137" s="2">
        <v>107.1825</v>
      </c>
      <c r="J137" s="2">
        <v>71</v>
      </c>
      <c r="K137" s="2">
        <v>105.67400000000001</v>
      </c>
      <c r="L137" s="2">
        <v>255</v>
      </c>
      <c r="M137" s="2">
        <v>103.8222</v>
      </c>
      <c r="N137" s="2">
        <v>198</v>
      </c>
      <c r="O137" s="2">
        <v>0.59056699999999995</v>
      </c>
      <c r="P137" s="2">
        <v>125</v>
      </c>
      <c r="Q137" s="2"/>
      <c r="R137" s="2"/>
      <c r="S137" s="2"/>
    </row>
    <row r="138" spans="1:19" ht="12.3" x14ac:dyDescent="0.4">
      <c r="A138" s="2" t="s">
        <v>61</v>
      </c>
      <c r="B138" s="2"/>
      <c r="C138" s="2">
        <v>68.696700000000007</v>
      </c>
      <c r="D138" s="2">
        <v>28</v>
      </c>
      <c r="E138" s="2">
        <v>68.643100000000004</v>
      </c>
      <c r="F138" s="2">
        <v>27</v>
      </c>
      <c r="G138" s="2">
        <v>99.464399999999998</v>
      </c>
      <c r="H138" s="2">
        <v>234</v>
      </c>
      <c r="I138" s="2">
        <v>103.93640000000001</v>
      </c>
      <c r="J138" s="2">
        <v>124</v>
      </c>
      <c r="K138" s="2">
        <v>103.751</v>
      </c>
      <c r="L138" s="2">
        <v>207</v>
      </c>
      <c r="M138" s="2">
        <v>101.1138</v>
      </c>
      <c r="N138" s="2">
        <v>141</v>
      </c>
      <c r="O138" s="2">
        <v>0.57850299999999999</v>
      </c>
      <c r="P138" s="2">
        <v>126</v>
      </c>
      <c r="Q138" s="2"/>
      <c r="R138" s="2"/>
      <c r="S138" s="2"/>
    </row>
    <row r="139" spans="1:19" ht="12.3" x14ac:dyDescent="0.4">
      <c r="A139" s="2" t="s">
        <v>336</v>
      </c>
      <c r="B139" s="2"/>
      <c r="C139" s="2">
        <v>63.321399999999997</v>
      </c>
      <c r="D139" s="2">
        <v>256</v>
      </c>
      <c r="E139" s="2">
        <v>64.292900000000003</v>
      </c>
      <c r="F139" s="2">
        <v>197</v>
      </c>
      <c r="G139" s="2">
        <v>101.6561</v>
      </c>
      <c r="H139" s="2">
        <v>182</v>
      </c>
      <c r="I139" s="2">
        <v>99.876999999999995</v>
      </c>
      <c r="J139" s="2">
        <v>228</v>
      </c>
      <c r="K139" s="2">
        <v>94.642899999999997</v>
      </c>
      <c r="L139" s="2">
        <v>29</v>
      </c>
      <c r="M139" s="2">
        <v>97.270300000000006</v>
      </c>
      <c r="N139" s="2">
        <v>75</v>
      </c>
      <c r="O139" s="2">
        <v>0.57544899999999999</v>
      </c>
      <c r="P139" s="2">
        <v>128</v>
      </c>
      <c r="Q139" s="2"/>
      <c r="R139" s="2"/>
      <c r="S139" s="2"/>
    </row>
    <row r="140" spans="1:19" ht="12.3" x14ac:dyDescent="0.4">
      <c r="A140" s="2" t="s">
        <v>117</v>
      </c>
      <c r="B140" s="2"/>
      <c r="C140" s="2">
        <v>70.852199999999996</v>
      </c>
      <c r="D140" s="2">
        <v>7</v>
      </c>
      <c r="E140" s="2">
        <v>69.8309</v>
      </c>
      <c r="F140" s="2">
        <v>12</v>
      </c>
      <c r="G140" s="2">
        <v>104.3497</v>
      </c>
      <c r="H140" s="2">
        <v>118</v>
      </c>
      <c r="I140" s="2">
        <v>103.62569999999999</v>
      </c>
      <c r="J140" s="2">
        <v>135</v>
      </c>
      <c r="K140" s="2">
        <v>97.578400000000002</v>
      </c>
      <c r="L140" s="2">
        <v>79</v>
      </c>
      <c r="M140" s="2">
        <v>101.09220000000001</v>
      </c>
      <c r="N140" s="2">
        <v>140</v>
      </c>
      <c r="O140" s="2">
        <v>0.57068799999999997</v>
      </c>
      <c r="P140" s="2">
        <v>129</v>
      </c>
      <c r="Q140" s="2"/>
      <c r="R140" s="2"/>
      <c r="S140" s="2"/>
    </row>
    <row r="141" spans="1:19" ht="12.3" x14ac:dyDescent="0.4">
      <c r="A141" s="2" t="s">
        <v>257</v>
      </c>
      <c r="B141" s="2"/>
      <c r="C141" s="2">
        <v>64.238299999999995</v>
      </c>
      <c r="D141" s="2">
        <v>207</v>
      </c>
      <c r="E141" s="2">
        <v>64.178299999999993</v>
      </c>
      <c r="F141" s="2">
        <v>202</v>
      </c>
      <c r="G141" s="2">
        <v>111.2893</v>
      </c>
      <c r="H141" s="2">
        <v>26</v>
      </c>
      <c r="I141" s="2">
        <v>111.3608</v>
      </c>
      <c r="J141" s="2">
        <v>32</v>
      </c>
      <c r="K141" s="2">
        <v>105.1348</v>
      </c>
      <c r="L141" s="2">
        <v>240</v>
      </c>
      <c r="M141" s="2">
        <v>108.70059999999999</v>
      </c>
      <c r="N141" s="2">
        <v>299</v>
      </c>
      <c r="O141" s="2">
        <v>0.56906699999999999</v>
      </c>
      <c r="P141" s="2">
        <v>130</v>
      </c>
      <c r="Q141" s="2"/>
      <c r="R141" s="2"/>
      <c r="S141" s="2"/>
    </row>
    <row r="142" spans="1:19" ht="12.3" x14ac:dyDescent="0.4">
      <c r="A142" s="2" t="s">
        <v>136</v>
      </c>
      <c r="B142" s="2"/>
      <c r="C142" s="2">
        <v>63.871299999999998</v>
      </c>
      <c r="D142" s="2">
        <v>232</v>
      </c>
      <c r="E142" s="2">
        <v>63.604799999999997</v>
      </c>
      <c r="F142" s="2">
        <v>245</v>
      </c>
      <c r="G142" s="2">
        <v>94.679299999999998</v>
      </c>
      <c r="H142" s="2">
        <v>302</v>
      </c>
      <c r="I142" s="2">
        <v>96.395200000000003</v>
      </c>
      <c r="J142" s="2">
        <v>283</v>
      </c>
      <c r="K142" s="2">
        <v>98.001800000000003</v>
      </c>
      <c r="L142" s="2">
        <v>85</v>
      </c>
      <c r="M142" s="2">
        <v>94.131699999999995</v>
      </c>
      <c r="N142" s="2">
        <v>29</v>
      </c>
      <c r="O142" s="2">
        <v>0.56789199999999995</v>
      </c>
      <c r="P142" s="2">
        <v>132</v>
      </c>
      <c r="Q142" s="2"/>
      <c r="R142" s="2"/>
      <c r="S142" s="2"/>
    </row>
    <row r="143" spans="1:19" ht="12.3" x14ac:dyDescent="0.4">
      <c r="A143" s="2" t="s">
        <v>292</v>
      </c>
      <c r="B143" s="2"/>
      <c r="C143" s="2">
        <v>64.880499999999998</v>
      </c>
      <c r="D143" s="2">
        <v>167</v>
      </c>
      <c r="E143" s="2">
        <v>65.979399999999998</v>
      </c>
      <c r="F143" s="2">
        <v>114</v>
      </c>
      <c r="G143" s="2">
        <v>102.8339</v>
      </c>
      <c r="H143" s="2">
        <v>156</v>
      </c>
      <c r="I143" s="2">
        <v>102.3623</v>
      </c>
      <c r="J143" s="2">
        <v>162</v>
      </c>
      <c r="K143" s="2">
        <v>99.224400000000003</v>
      </c>
      <c r="L143" s="2">
        <v>108</v>
      </c>
      <c r="M143" s="2">
        <v>99.965699999999998</v>
      </c>
      <c r="N143" s="2">
        <v>121</v>
      </c>
      <c r="O143" s="2">
        <v>0.56769599999999998</v>
      </c>
      <c r="P143" s="2">
        <v>133</v>
      </c>
      <c r="Q143" s="2"/>
      <c r="R143" s="2"/>
      <c r="S143" s="2"/>
    </row>
    <row r="144" spans="1:19" ht="12.3" x14ac:dyDescent="0.4">
      <c r="A144" s="2" t="s">
        <v>331</v>
      </c>
      <c r="B144" s="2"/>
      <c r="C144" s="2">
        <v>66.531199999999998</v>
      </c>
      <c r="D144" s="2">
        <v>93</v>
      </c>
      <c r="E144" s="2">
        <v>66.149799999999999</v>
      </c>
      <c r="F144" s="2">
        <v>107</v>
      </c>
      <c r="G144" s="2">
        <v>101.2353</v>
      </c>
      <c r="H144" s="2">
        <v>190</v>
      </c>
      <c r="I144" s="2">
        <v>100.2362</v>
      </c>
      <c r="J144" s="2">
        <v>220</v>
      </c>
      <c r="K144" s="2">
        <v>98.316500000000005</v>
      </c>
      <c r="L144" s="2">
        <v>92</v>
      </c>
      <c r="M144" s="2">
        <v>97.932199999999995</v>
      </c>
      <c r="N144" s="2">
        <v>85</v>
      </c>
      <c r="O144" s="2">
        <v>0.56646200000000002</v>
      </c>
      <c r="P144" s="2">
        <v>134</v>
      </c>
      <c r="Q144" s="2"/>
      <c r="R144" s="2"/>
      <c r="S144" s="2"/>
    </row>
    <row r="145" spans="1:19" ht="12.3" x14ac:dyDescent="0.4">
      <c r="A145" s="2" t="s">
        <v>155</v>
      </c>
      <c r="B145" s="2"/>
      <c r="C145" s="2">
        <v>68.347899999999996</v>
      </c>
      <c r="D145" s="2">
        <v>35</v>
      </c>
      <c r="E145" s="2">
        <v>67.553600000000003</v>
      </c>
      <c r="F145" s="2">
        <v>49</v>
      </c>
      <c r="G145" s="2">
        <v>100.7353</v>
      </c>
      <c r="H145" s="2">
        <v>202</v>
      </c>
      <c r="I145" s="2">
        <v>103.80889999999999</v>
      </c>
      <c r="J145" s="2">
        <v>128</v>
      </c>
      <c r="K145" s="2">
        <v>102.2518</v>
      </c>
      <c r="L145" s="2">
        <v>174</v>
      </c>
      <c r="M145" s="2">
        <v>101.55759999999999</v>
      </c>
      <c r="N145" s="2">
        <v>150</v>
      </c>
      <c r="O145" s="2">
        <v>0.56270399999999998</v>
      </c>
      <c r="P145" s="2">
        <v>135</v>
      </c>
      <c r="Q145" s="2"/>
      <c r="R145" s="2"/>
      <c r="S145" s="2"/>
    </row>
    <row r="146" spans="1:19" ht="12.3" x14ac:dyDescent="0.4">
      <c r="A146" s="2" t="s">
        <v>188</v>
      </c>
      <c r="B146" s="2"/>
      <c r="C146" s="2">
        <v>65.947900000000004</v>
      </c>
      <c r="D146" s="2">
        <v>121</v>
      </c>
      <c r="E146" s="2">
        <v>65.424899999999994</v>
      </c>
      <c r="F146" s="2">
        <v>139</v>
      </c>
      <c r="G146" s="2">
        <v>98.559399999999997</v>
      </c>
      <c r="H146" s="2">
        <v>252</v>
      </c>
      <c r="I146" s="2">
        <v>100.97410000000001</v>
      </c>
      <c r="J146" s="2">
        <v>195</v>
      </c>
      <c r="K146" s="2">
        <v>102.5891</v>
      </c>
      <c r="L146" s="2">
        <v>183</v>
      </c>
      <c r="M146" s="2">
        <v>99.018699999999995</v>
      </c>
      <c r="N146" s="2">
        <v>100</v>
      </c>
      <c r="O146" s="2">
        <v>0.55598800000000004</v>
      </c>
      <c r="P146" s="2">
        <v>137</v>
      </c>
      <c r="Q146" s="2"/>
      <c r="R146" s="2"/>
      <c r="S146" s="2"/>
    </row>
    <row r="147" spans="1:19" ht="12.3" x14ac:dyDescent="0.4">
      <c r="A147" s="2" t="s">
        <v>68</v>
      </c>
      <c r="B147" s="2"/>
      <c r="C147" s="2">
        <v>67.442099999999996</v>
      </c>
      <c r="D147" s="2">
        <v>62</v>
      </c>
      <c r="E147" s="2">
        <v>66.553399999999996</v>
      </c>
      <c r="F147" s="2">
        <v>86</v>
      </c>
      <c r="G147" s="2">
        <v>102.3048</v>
      </c>
      <c r="H147" s="2">
        <v>171</v>
      </c>
      <c r="I147" s="2">
        <v>102.60120000000001</v>
      </c>
      <c r="J147" s="2">
        <v>159</v>
      </c>
      <c r="K147" s="2">
        <v>99.929900000000004</v>
      </c>
      <c r="L147" s="2">
        <v>123</v>
      </c>
      <c r="M147" s="2">
        <v>100.6144</v>
      </c>
      <c r="N147" s="2">
        <v>133</v>
      </c>
      <c r="O147" s="2">
        <v>0.55598099999999995</v>
      </c>
      <c r="P147" s="2">
        <v>138</v>
      </c>
      <c r="Q147" s="2"/>
      <c r="R147" s="2"/>
      <c r="S147" s="2"/>
    </row>
    <row r="148" spans="1:19" ht="12.3" x14ac:dyDescent="0.4">
      <c r="A148" s="2" t="s">
        <v>330</v>
      </c>
      <c r="B148" s="2"/>
      <c r="C148" s="2">
        <v>62.913800000000002</v>
      </c>
      <c r="D148" s="2">
        <v>276</v>
      </c>
      <c r="E148" s="2">
        <v>62.485399999999998</v>
      </c>
      <c r="F148" s="2">
        <v>286</v>
      </c>
      <c r="G148" s="2">
        <v>108.5372</v>
      </c>
      <c r="H148" s="2">
        <v>51</v>
      </c>
      <c r="I148" s="2">
        <v>106.1998</v>
      </c>
      <c r="J148" s="2">
        <v>86</v>
      </c>
      <c r="K148" s="2">
        <v>105.0124</v>
      </c>
      <c r="L148" s="2">
        <v>238</v>
      </c>
      <c r="M148" s="2">
        <v>104.16540000000001</v>
      </c>
      <c r="N148" s="2">
        <v>207</v>
      </c>
      <c r="O148" s="2">
        <v>0.55538100000000001</v>
      </c>
      <c r="P148" s="2">
        <v>139</v>
      </c>
      <c r="Q148" s="2"/>
      <c r="R148" s="2"/>
      <c r="S148" s="2"/>
    </row>
    <row r="149" spans="1:19" ht="12.3" x14ac:dyDescent="0.4">
      <c r="A149" s="2" t="s">
        <v>162</v>
      </c>
      <c r="B149" s="2"/>
      <c r="C149" s="2">
        <v>64.758899999999997</v>
      </c>
      <c r="D149" s="2">
        <v>175</v>
      </c>
      <c r="E149" s="2">
        <v>64.8078</v>
      </c>
      <c r="F149" s="2">
        <v>163</v>
      </c>
      <c r="G149" s="2">
        <v>107.59180000000001</v>
      </c>
      <c r="H149" s="2">
        <v>57</v>
      </c>
      <c r="I149" s="2">
        <v>106.25</v>
      </c>
      <c r="J149" s="2">
        <v>84</v>
      </c>
      <c r="K149" s="2">
        <v>106.0688</v>
      </c>
      <c r="L149" s="2">
        <v>263</v>
      </c>
      <c r="M149" s="2">
        <v>104.3518</v>
      </c>
      <c r="N149" s="2">
        <v>209</v>
      </c>
      <c r="O149" s="2">
        <v>0.55164299999999999</v>
      </c>
      <c r="P149" s="2">
        <v>140</v>
      </c>
      <c r="Q149" s="2"/>
      <c r="R149" s="2"/>
      <c r="S149" s="2"/>
    </row>
    <row r="150" spans="1:19" ht="12.3" x14ac:dyDescent="0.4">
      <c r="A150" s="2" t="s">
        <v>115</v>
      </c>
      <c r="B150" s="2"/>
      <c r="C150" s="2">
        <v>61.960799999999999</v>
      </c>
      <c r="D150" s="2">
        <v>306</v>
      </c>
      <c r="E150" s="2">
        <v>62.491799999999998</v>
      </c>
      <c r="F150" s="2">
        <v>285</v>
      </c>
      <c r="G150" s="2">
        <v>98.853499999999997</v>
      </c>
      <c r="H150" s="2">
        <v>247</v>
      </c>
      <c r="I150" s="2">
        <v>98.918300000000002</v>
      </c>
      <c r="J150" s="2">
        <v>242</v>
      </c>
      <c r="K150" s="2">
        <v>96.384600000000006</v>
      </c>
      <c r="L150" s="2">
        <v>55</v>
      </c>
      <c r="M150" s="2">
        <v>97.174000000000007</v>
      </c>
      <c r="N150" s="2">
        <v>73</v>
      </c>
      <c r="O150" s="2">
        <v>0.55096999999999996</v>
      </c>
      <c r="P150" s="2">
        <v>141</v>
      </c>
      <c r="Q150" s="2"/>
      <c r="R150" s="2"/>
      <c r="S150" s="2"/>
    </row>
    <row r="151" spans="1:19" ht="12.3" x14ac:dyDescent="0.4">
      <c r="A151" s="2" t="s">
        <v>113</v>
      </c>
      <c r="B151" s="2"/>
      <c r="C151" s="2">
        <v>67.692999999999998</v>
      </c>
      <c r="D151" s="2">
        <v>57</v>
      </c>
      <c r="E151" s="2">
        <v>67.999799999999993</v>
      </c>
      <c r="F151" s="2">
        <v>34</v>
      </c>
      <c r="G151" s="2">
        <v>98.200199999999995</v>
      </c>
      <c r="H151" s="2">
        <v>257</v>
      </c>
      <c r="I151" s="2">
        <v>103.4796</v>
      </c>
      <c r="J151" s="2">
        <v>138</v>
      </c>
      <c r="K151" s="2">
        <v>105.4881</v>
      </c>
      <c r="L151" s="2">
        <v>251</v>
      </c>
      <c r="M151" s="2">
        <v>101.745</v>
      </c>
      <c r="N151" s="2">
        <v>154</v>
      </c>
      <c r="O151" s="2">
        <v>0.54844800000000005</v>
      </c>
      <c r="P151" s="2">
        <v>142</v>
      </c>
      <c r="Q151" s="2"/>
      <c r="R151" s="2"/>
      <c r="S151" s="2"/>
    </row>
    <row r="152" spans="1:19" ht="12.3" x14ac:dyDescent="0.4">
      <c r="A152" s="2" t="s">
        <v>228</v>
      </c>
      <c r="B152" s="2"/>
      <c r="C152" s="2">
        <v>61.779000000000003</v>
      </c>
      <c r="D152" s="2">
        <v>309</v>
      </c>
      <c r="E152" s="2">
        <v>61.572899999999997</v>
      </c>
      <c r="F152" s="2">
        <v>314</v>
      </c>
      <c r="G152" s="2">
        <v>99.896900000000002</v>
      </c>
      <c r="H152" s="2">
        <v>222</v>
      </c>
      <c r="I152" s="2">
        <v>100.5522</v>
      </c>
      <c r="J152" s="2">
        <v>208</v>
      </c>
      <c r="K152" s="2">
        <v>98.623000000000005</v>
      </c>
      <c r="L152" s="2">
        <v>97</v>
      </c>
      <c r="M152" s="2">
        <v>98.9024</v>
      </c>
      <c r="N152" s="2">
        <v>96</v>
      </c>
      <c r="O152" s="2">
        <v>0.54741899999999999</v>
      </c>
      <c r="P152" s="2">
        <v>143</v>
      </c>
      <c r="Q152" s="2"/>
      <c r="R152" s="2"/>
      <c r="S152" s="2"/>
    </row>
    <row r="153" spans="1:19" ht="12.3" x14ac:dyDescent="0.4">
      <c r="A153" s="2" t="s">
        <v>150</v>
      </c>
      <c r="B153" s="2"/>
      <c r="C153" s="2">
        <v>59.482300000000002</v>
      </c>
      <c r="D153" s="2">
        <v>342</v>
      </c>
      <c r="E153" s="2">
        <v>60.724800000000002</v>
      </c>
      <c r="F153" s="2">
        <v>333</v>
      </c>
      <c r="G153" s="2">
        <v>102.22069999999999</v>
      </c>
      <c r="H153" s="2">
        <v>173</v>
      </c>
      <c r="I153" s="2">
        <v>103.1549</v>
      </c>
      <c r="J153" s="2">
        <v>145</v>
      </c>
      <c r="K153" s="2">
        <v>100.6918</v>
      </c>
      <c r="L153" s="2">
        <v>140</v>
      </c>
      <c r="M153" s="2">
        <v>101.62820000000001</v>
      </c>
      <c r="N153" s="2">
        <v>151</v>
      </c>
      <c r="O153" s="2">
        <v>0.54276400000000002</v>
      </c>
      <c r="P153" s="2">
        <v>144</v>
      </c>
      <c r="Q153" s="2"/>
      <c r="R153" s="2"/>
      <c r="S153" s="2"/>
    </row>
    <row r="154" spans="1:19" ht="12.3" x14ac:dyDescent="0.4">
      <c r="A154" s="2" t="s">
        <v>173</v>
      </c>
      <c r="B154" s="2"/>
      <c r="C154" s="2">
        <v>65.632400000000004</v>
      </c>
      <c r="D154" s="2">
        <v>135</v>
      </c>
      <c r="E154" s="2">
        <v>65.941900000000004</v>
      </c>
      <c r="F154" s="2">
        <v>116</v>
      </c>
      <c r="G154" s="2">
        <v>103.8844</v>
      </c>
      <c r="H154" s="2">
        <v>130</v>
      </c>
      <c r="I154" s="2">
        <v>103.1443</v>
      </c>
      <c r="J154" s="2">
        <v>146</v>
      </c>
      <c r="K154" s="2">
        <v>103.7987</v>
      </c>
      <c r="L154" s="2">
        <v>208</v>
      </c>
      <c r="M154" s="2">
        <v>101.6806</v>
      </c>
      <c r="N154" s="2">
        <v>153</v>
      </c>
      <c r="O154" s="2">
        <v>0.54099900000000001</v>
      </c>
      <c r="P154" s="2">
        <v>146</v>
      </c>
      <c r="Q154" s="2"/>
      <c r="R154" s="2"/>
      <c r="S154" s="2"/>
    </row>
    <row r="155" spans="1:19" ht="12.3" x14ac:dyDescent="0.4">
      <c r="A155" s="2" t="s">
        <v>153</v>
      </c>
      <c r="B155" s="2"/>
      <c r="C155" s="2">
        <v>64.310500000000005</v>
      </c>
      <c r="D155" s="2">
        <v>204</v>
      </c>
      <c r="E155" s="2">
        <v>63.252600000000001</v>
      </c>
      <c r="F155" s="2">
        <v>260</v>
      </c>
      <c r="G155" s="2">
        <v>100.7567</v>
      </c>
      <c r="H155" s="2">
        <v>201</v>
      </c>
      <c r="I155" s="2">
        <v>97.706299999999999</v>
      </c>
      <c r="J155" s="2">
        <v>260</v>
      </c>
      <c r="K155" s="2">
        <v>94.275400000000005</v>
      </c>
      <c r="L155" s="2">
        <v>26</v>
      </c>
      <c r="M155" s="2">
        <v>96.342600000000004</v>
      </c>
      <c r="N155" s="2">
        <v>60</v>
      </c>
      <c r="O155" s="2">
        <v>0.54032000000000002</v>
      </c>
      <c r="P155" s="2">
        <v>147</v>
      </c>
      <c r="Q155" s="2"/>
      <c r="R155" s="2"/>
      <c r="S155" s="2"/>
    </row>
    <row r="156" spans="1:19" ht="12.3" x14ac:dyDescent="0.4">
      <c r="A156" s="2" t="s">
        <v>176</v>
      </c>
      <c r="B156" s="2"/>
      <c r="C156" s="2">
        <v>64.850899999999996</v>
      </c>
      <c r="D156" s="2">
        <v>170</v>
      </c>
      <c r="E156" s="2">
        <v>65.3613</v>
      </c>
      <c r="F156" s="2">
        <v>142</v>
      </c>
      <c r="G156" s="2">
        <v>104.8515</v>
      </c>
      <c r="H156" s="2">
        <v>107</v>
      </c>
      <c r="I156" s="2">
        <v>105.9199</v>
      </c>
      <c r="J156" s="2">
        <v>93</v>
      </c>
      <c r="K156" s="2">
        <v>102.4628</v>
      </c>
      <c r="L156" s="2">
        <v>182</v>
      </c>
      <c r="M156" s="2">
        <v>104.6057</v>
      </c>
      <c r="N156" s="2">
        <v>215</v>
      </c>
      <c r="O156" s="2">
        <v>0.53583400000000003</v>
      </c>
      <c r="P156" s="2">
        <v>150</v>
      </c>
      <c r="Q156" s="2"/>
      <c r="R156" s="2"/>
      <c r="S156" s="2"/>
    </row>
    <row r="157" spans="1:19" ht="12.3" x14ac:dyDescent="0.4">
      <c r="A157" s="2" t="s">
        <v>277</v>
      </c>
      <c r="B157" s="2"/>
      <c r="C157" s="2">
        <v>65.299800000000005</v>
      </c>
      <c r="D157" s="2">
        <v>149</v>
      </c>
      <c r="E157" s="2">
        <v>64.325400000000002</v>
      </c>
      <c r="F157" s="2">
        <v>195</v>
      </c>
      <c r="G157" s="2">
        <v>103.9547</v>
      </c>
      <c r="H157" s="2">
        <v>127</v>
      </c>
      <c r="I157" s="2">
        <v>101.09820000000001</v>
      </c>
      <c r="J157" s="2">
        <v>190</v>
      </c>
      <c r="K157" s="2">
        <v>96.577200000000005</v>
      </c>
      <c r="L157" s="2">
        <v>60</v>
      </c>
      <c r="M157" s="2">
        <v>100.25700000000001</v>
      </c>
      <c r="N157" s="2">
        <v>128</v>
      </c>
      <c r="O157" s="2">
        <v>0.52400199999999997</v>
      </c>
      <c r="P157" s="2">
        <v>152</v>
      </c>
      <c r="Q157" s="2"/>
      <c r="R157" s="2"/>
      <c r="S157" s="2"/>
    </row>
    <row r="158" spans="1:19" ht="12.3" x14ac:dyDescent="0.4">
      <c r="A158" s="2" t="s">
        <v>63</v>
      </c>
      <c r="B158" s="2"/>
      <c r="C158" s="2">
        <v>67.276799999999994</v>
      </c>
      <c r="D158" s="2">
        <v>68</v>
      </c>
      <c r="E158" s="2">
        <v>67.494299999999996</v>
      </c>
      <c r="F158" s="2">
        <v>53</v>
      </c>
      <c r="G158" s="2">
        <v>106.2287</v>
      </c>
      <c r="H158" s="2">
        <v>83</v>
      </c>
      <c r="I158" s="2">
        <v>107.53740000000001</v>
      </c>
      <c r="J158" s="2">
        <v>66</v>
      </c>
      <c r="K158" s="2">
        <v>104.578</v>
      </c>
      <c r="L158" s="2">
        <v>227</v>
      </c>
      <c r="M158" s="2">
        <v>106.78530000000001</v>
      </c>
      <c r="N158" s="2">
        <v>265</v>
      </c>
      <c r="O158" s="2">
        <v>0.52016700000000005</v>
      </c>
      <c r="P158" s="2">
        <v>153</v>
      </c>
      <c r="Q158" s="2"/>
      <c r="R158" s="2"/>
      <c r="S158" s="2"/>
    </row>
    <row r="159" spans="1:19" ht="12.3" x14ac:dyDescent="0.4">
      <c r="A159" s="2" t="s">
        <v>42</v>
      </c>
      <c r="B159" s="2"/>
      <c r="C159" s="2">
        <v>68.758099999999999</v>
      </c>
      <c r="D159" s="2">
        <v>25</v>
      </c>
      <c r="E159" s="2">
        <v>68.704899999999995</v>
      </c>
      <c r="F159" s="2">
        <v>25</v>
      </c>
      <c r="G159" s="2">
        <v>95.722200000000001</v>
      </c>
      <c r="H159" s="2">
        <v>293</v>
      </c>
      <c r="I159" s="2">
        <v>98.609399999999994</v>
      </c>
      <c r="J159" s="2">
        <v>245</v>
      </c>
      <c r="K159" s="2">
        <v>101.5765</v>
      </c>
      <c r="L159" s="2">
        <v>163</v>
      </c>
      <c r="M159" s="2">
        <v>97.945999999999998</v>
      </c>
      <c r="N159" s="2">
        <v>86</v>
      </c>
      <c r="O159" s="2">
        <v>0.51939500000000005</v>
      </c>
      <c r="P159" s="2">
        <v>154</v>
      </c>
      <c r="Q159" s="2"/>
      <c r="R159" s="2"/>
      <c r="S159" s="2"/>
    </row>
    <row r="160" spans="1:19" ht="12.3" x14ac:dyDescent="0.4">
      <c r="A160" s="2" t="s">
        <v>165</v>
      </c>
      <c r="B160" s="2"/>
      <c r="C160" s="2">
        <v>66.577699999999993</v>
      </c>
      <c r="D160" s="2">
        <v>90</v>
      </c>
      <c r="E160" s="2">
        <v>66.632300000000001</v>
      </c>
      <c r="F160" s="2">
        <v>83</v>
      </c>
      <c r="G160" s="2">
        <v>107.3304</v>
      </c>
      <c r="H160" s="2">
        <v>62</v>
      </c>
      <c r="I160" s="2">
        <v>108.6431</v>
      </c>
      <c r="J160" s="2">
        <v>54</v>
      </c>
      <c r="K160" s="2">
        <v>110.62560000000001</v>
      </c>
      <c r="L160" s="2">
        <v>327</v>
      </c>
      <c r="M160" s="2">
        <v>107.998</v>
      </c>
      <c r="N160" s="2">
        <v>288</v>
      </c>
      <c r="O160" s="2">
        <v>0.51711600000000002</v>
      </c>
      <c r="P160" s="2">
        <v>155</v>
      </c>
      <c r="Q160" s="2"/>
      <c r="R160" s="2"/>
      <c r="S160" s="2"/>
    </row>
    <row r="161" spans="1:19" ht="12.3" x14ac:dyDescent="0.4">
      <c r="A161" s="2" t="s">
        <v>59</v>
      </c>
      <c r="B161" s="2"/>
      <c r="C161" s="2">
        <v>62.965000000000003</v>
      </c>
      <c r="D161" s="2">
        <v>273</v>
      </c>
      <c r="E161" s="2">
        <v>61.923000000000002</v>
      </c>
      <c r="F161" s="2">
        <v>302</v>
      </c>
      <c r="G161" s="2">
        <v>95.632999999999996</v>
      </c>
      <c r="H161" s="2">
        <v>295</v>
      </c>
      <c r="I161" s="2">
        <v>100.4308</v>
      </c>
      <c r="J161" s="2">
        <v>216</v>
      </c>
      <c r="K161" s="2">
        <v>101.82810000000001</v>
      </c>
      <c r="L161" s="2">
        <v>167</v>
      </c>
      <c r="M161" s="2">
        <v>99.851799999999997</v>
      </c>
      <c r="N161" s="2">
        <v>116</v>
      </c>
      <c r="O161" s="2">
        <v>0.51661699999999999</v>
      </c>
      <c r="P161" s="2">
        <v>156</v>
      </c>
      <c r="Q161" s="2"/>
      <c r="R161" s="2"/>
      <c r="S161" s="2"/>
    </row>
    <row r="162" spans="1:19" ht="12.3" x14ac:dyDescent="0.4">
      <c r="A162" s="2" t="s">
        <v>189</v>
      </c>
      <c r="B162" s="2"/>
      <c r="C162" s="2">
        <v>59.279000000000003</v>
      </c>
      <c r="D162" s="2">
        <v>344</v>
      </c>
      <c r="E162" s="2">
        <v>58.895899999999997</v>
      </c>
      <c r="F162" s="2">
        <v>346</v>
      </c>
      <c r="G162" s="2">
        <v>100.0248</v>
      </c>
      <c r="H162" s="2">
        <v>216</v>
      </c>
      <c r="I162" s="2">
        <v>100.5223</v>
      </c>
      <c r="J162" s="2">
        <v>212</v>
      </c>
      <c r="K162" s="2">
        <v>101.8018</v>
      </c>
      <c r="L162" s="2">
        <v>166</v>
      </c>
      <c r="M162" s="2">
        <v>100.18210000000001</v>
      </c>
      <c r="N162" s="2">
        <v>126</v>
      </c>
      <c r="O162" s="2">
        <v>0.50974399999999997</v>
      </c>
      <c r="P162" s="2">
        <v>157</v>
      </c>
      <c r="Q162" s="2"/>
      <c r="R162" s="2"/>
      <c r="S162" s="2"/>
    </row>
    <row r="163" spans="1:19" ht="12.3" x14ac:dyDescent="0.4">
      <c r="A163" s="2" t="s">
        <v>166</v>
      </c>
      <c r="B163" s="2"/>
      <c r="C163" s="2">
        <v>65.283799999999999</v>
      </c>
      <c r="D163" s="2">
        <v>150</v>
      </c>
      <c r="E163" s="2">
        <v>65.013999999999996</v>
      </c>
      <c r="F163" s="2">
        <v>155</v>
      </c>
      <c r="G163" s="2">
        <v>106.00369999999999</v>
      </c>
      <c r="H163" s="2">
        <v>86</v>
      </c>
      <c r="I163" s="2">
        <v>103.4679</v>
      </c>
      <c r="J163" s="2">
        <v>140</v>
      </c>
      <c r="K163" s="2">
        <v>102.36579999999999</v>
      </c>
      <c r="L163" s="2">
        <v>176</v>
      </c>
      <c r="M163" s="2">
        <v>103.32089999999999</v>
      </c>
      <c r="N163" s="2">
        <v>185</v>
      </c>
      <c r="O163" s="2">
        <v>0.50408900000000001</v>
      </c>
      <c r="P163" s="2">
        <v>158</v>
      </c>
      <c r="Q163" s="2"/>
      <c r="R163" s="2"/>
      <c r="S163" s="2"/>
    </row>
    <row r="164" spans="1:19" ht="12.3" x14ac:dyDescent="0.4">
      <c r="A164" s="2" t="s">
        <v>182</v>
      </c>
      <c r="B164" s="2"/>
      <c r="C164" s="2">
        <v>64.598699999999994</v>
      </c>
      <c r="D164" s="2">
        <v>186</v>
      </c>
      <c r="E164" s="2">
        <v>64.739400000000003</v>
      </c>
      <c r="F164" s="2">
        <v>168</v>
      </c>
      <c r="G164" s="2">
        <v>99.953500000000005</v>
      </c>
      <c r="H164" s="2">
        <v>219</v>
      </c>
      <c r="I164" s="2">
        <v>99.066599999999994</v>
      </c>
      <c r="J164" s="2">
        <v>238</v>
      </c>
      <c r="K164" s="2">
        <v>97.516199999999998</v>
      </c>
      <c r="L164" s="2">
        <v>76</v>
      </c>
      <c r="M164" s="2">
        <v>98.948599999999999</v>
      </c>
      <c r="N164" s="2">
        <v>98</v>
      </c>
      <c r="O164" s="2">
        <v>0.50342699999999996</v>
      </c>
      <c r="P164" s="2">
        <v>159</v>
      </c>
      <c r="Q164" s="2"/>
      <c r="R164" s="2"/>
      <c r="S164" s="2"/>
    </row>
    <row r="165" spans="1:19" ht="12.3" x14ac:dyDescent="0.4">
      <c r="A165" s="2" t="s">
        <v>327</v>
      </c>
      <c r="B165" s="2"/>
      <c r="C165" s="2">
        <v>62.515799999999999</v>
      </c>
      <c r="D165" s="2">
        <v>290</v>
      </c>
      <c r="E165" s="2">
        <v>63.569200000000002</v>
      </c>
      <c r="F165" s="2">
        <v>247</v>
      </c>
      <c r="G165" s="2">
        <v>100.01309999999999</v>
      </c>
      <c r="H165" s="2">
        <v>217</v>
      </c>
      <c r="I165" s="2">
        <v>100.2837</v>
      </c>
      <c r="J165" s="2">
        <v>219</v>
      </c>
      <c r="K165" s="2">
        <v>98.810599999999994</v>
      </c>
      <c r="L165" s="2">
        <v>101</v>
      </c>
      <c r="M165" s="2">
        <v>100.1931</v>
      </c>
      <c r="N165" s="2">
        <v>127</v>
      </c>
      <c r="O165" s="2">
        <v>0.50259699999999996</v>
      </c>
      <c r="P165" s="2">
        <v>160</v>
      </c>
      <c r="Q165" s="2"/>
      <c r="R165" s="2"/>
      <c r="S165" s="2"/>
    </row>
    <row r="166" spans="1:19" ht="12.3" x14ac:dyDescent="0.4">
      <c r="A166" s="2" t="s">
        <v>91</v>
      </c>
      <c r="B166" s="2"/>
      <c r="C166" s="2">
        <v>64.098399999999998</v>
      </c>
      <c r="D166" s="2">
        <v>218</v>
      </c>
      <c r="E166" s="2">
        <v>64.337599999999995</v>
      </c>
      <c r="F166" s="2">
        <v>194</v>
      </c>
      <c r="G166" s="2">
        <v>95.008600000000001</v>
      </c>
      <c r="H166" s="2">
        <v>300</v>
      </c>
      <c r="I166" s="2">
        <v>98.014399999999995</v>
      </c>
      <c r="J166" s="2">
        <v>254</v>
      </c>
      <c r="K166" s="2">
        <v>98.923599999999993</v>
      </c>
      <c r="L166" s="2">
        <v>104</v>
      </c>
      <c r="M166" s="2">
        <v>97.9298</v>
      </c>
      <c r="N166" s="2">
        <v>84</v>
      </c>
      <c r="O166" s="2">
        <v>0.50248400000000004</v>
      </c>
      <c r="P166" s="2">
        <v>161</v>
      </c>
      <c r="Q166" s="2"/>
      <c r="R166" s="2"/>
      <c r="S166" s="2"/>
    </row>
    <row r="167" spans="1:19" ht="12.3" x14ac:dyDescent="0.4">
      <c r="A167" s="2" t="s">
        <v>234</v>
      </c>
      <c r="B167" s="2"/>
      <c r="C167" s="2">
        <v>62.9786</v>
      </c>
      <c r="D167" s="2">
        <v>272</v>
      </c>
      <c r="E167" s="2">
        <v>62.1068</v>
      </c>
      <c r="F167" s="2">
        <v>299</v>
      </c>
      <c r="G167" s="2">
        <v>108.1944</v>
      </c>
      <c r="H167" s="2">
        <v>53</v>
      </c>
      <c r="I167" s="2">
        <v>103.73609999999999</v>
      </c>
      <c r="J167" s="2">
        <v>133</v>
      </c>
      <c r="K167" s="2">
        <v>103.65770000000001</v>
      </c>
      <c r="L167" s="2">
        <v>204</v>
      </c>
      <c r="M167" s="2">
        <v>103.697</v>
      </c>
      <c r="N167" s="2">
        <v>194</v>
      </c>
      <c r="O167" s="2">
        <v>0.50108299999999995</v>
      </c>
      <c r="P167" s="2">
        <v>162</v>
      </c>
      <c r="Q167" s="2"/>
      <c r="R167" s="2"/>
      <c r="S167" s="2"/>
    </row>
    <row r="168" spans="1:19" ht="12.3" x14ac:dyDescent="0.4">
      <c r="A168" s="2" t="s">
        <v>207</v>
      </c>
      <c r="B168" s="2"/>
      <c r="C168" s="2">
        <v>67.281700000000001</v>
      </c>
      <c r="D168" s="2">
        <v>67</v>
      </c>
      <c r="E168" s="2">
        <v>66.986599999999996</v>
      </c>
      <c r="F168" s="2">
        <v>69</v>
      </c>
      <c r="G168" s="2">
        <v>102.756</v>
      </c>
      <c r="H168" s="2">
        <v>159</v>
      </c>
      <c r="I168" s="2">
        <v>104.98269999999999</v>
      </c>
      <c r="J168" s="2">
        <v>110</v>
      </c>
      <c r="K168" s="2">
        <v>109.1224</v>
      </c>
      <c r="L168" s="2">
        <v>314</v>
      </c>
      <c r="M168" s="2">
        <v>105.04</v>
      </c>
      <c r="N168" s="2">
        <v>224</v>
      </c>
      <c r="O168" s="2">
        <v>0.49842999999999998</v>
      </c>
      <c r="P168" s="2">
        <v>163</v>
      </c>
      <c r="Q168" s="2"/>
      <c r="R168" s="2"/>
      <c r="S168" s="2"/>
    </row>
    <row r="169" spans="1:19" ht="12.3" x14ac:dyDescent="0.4">
      <c r="A169" s="2" t="s">
        <v>201</v>
      </c>
      <c r="B169" s="2"/>
      <c r="C169" s="2">
        <v>66.091999999999999</v>
      </c>
      <c r="D169" s="2">
        <v>111</v>
      </c>
      <c r="E169" s="2">
        <v>66.161600000000007</v>
      </c>
      <c r="F169" s="2">
        <v>105</v>
      </c>
      <c r="G169" s="2">
        <v>103.4487</v>
      </c>
      <c r="H169" s="2">
        <v>140</v>
      </c>
      <c r="I169" s="2">
        <v>101.7557</v>
      </c>
      <c r="J169" s="2">
        <v>176</v>
      </c>
      <c r="K169" s="2">
        <v>100.2715</v>
      </c>
      <c r="L169" s="2">
        <v>129</v>
      </c>
      <c r="M169" s="2">
        <v>101.8939</v>
      </c>
      <c r="N169" s="2">
        <v>157</v>
      </c>
      <c r="O169" s="2">
        <v>0.49609900000000001</v>
      </c>
      <c r="P169" s="2">
        <v>164</v>
      </c>
      <c r="Q169" s="2"/>
      <c r="R169" s="2"/>
      <c r="S169" s="2"/>
    </row>
    <row r="170" spans="1:19" ht="12.3" x14ac:dyDescent="0.4">
      <c r="A170" s="2" t="s">
        <v>83</v>
      </c>
      <c r="B170" s="2"/>
      <c r="C170" s="2">
        <v>67.8172</v>
      </c>
      <c r="D170" s="2">
        <v>48</v>
      </c>
      <c r="E170" s="2">
        <v>67.665700000000001</v>
      </c>
      <c r="F170" s="2">
        <v>43</v>
      </c>
      <c r="G170" s="2">
        <v>100.4255</v>
      </c>
      <c r="H170" s="2">
        <v>208</v>
      </c>
      <c r="I170" s="2">
        <v>99.0702</v>
      </c>
      <c r="J170" s="2">
        <v>237</v>
      </c>
      <c r="K170" s="2">
        <v>100.1906</v>
      </c>
      <c r="L170" s="2">
        <v>128</v>
      </c>
      <c r="M170" s="2">
        <v>99.419600000000003</v>
      </c>
      <c r="N170" s="2">
        <v>108</v>
      </c>
      <c r="O170" s="2">
        <v>0.48988100000000001</v>
      </c>
      <c r="P170" s="2">
        <v>165</v>
      </c>
      <c r="Q170" s="2"/>
      <c r="R170" s="2"/>
      <c r="S170" s="2"/>
    </row>
    <row r="171" spans="1:19" ht="12.3" x14ac:dyDescent="0.4">
      <c r="A171" s="2" t="s">
        <v>240</v>
      </c>
      <c r="B171" s="2"/>
      <c r="C171" s="2">
        <v>66.622600000000006</v>
      </c>
      <c r="D171" s="2">
        <v>88</v>
      </c>
      <c r="E171" s="2">
        <v>66.043800000000005</v>
      </c>
      <c r="F171" s="2">
        <v>110</v>
      </c>
      <c r="G171" s="2">
        <v>105.88339999999999</v>
      </c>
      <c r="H171" s="2">
        <v>91</v>
      </c>
      <c r="I171" s="2">
        <v>103.036</v>
      </c>
      <c r="J171" s="2">
        <v>148</v>
      </c>
      <c r="K171" s="2">
        <v>100.85599999999999</v>
      </c>
      <c r="L171" s="2">
        <v>145</v>
      </c>
      <c r="M171" s="2">
        <v>103.6468</v>
      </c>
      <c r="N171" s="2">
        <v>193</v>
      </c>
      <c r="O171" s="2">
        <v>0.48301500000000003</v>
      </c>
      <c r="P171" s="2">
        <v>166</v>
      </c>
      <c r="Q171" s="2"/>
      <c r="R171" s="2"/>
      <c r="S171" s="2"/>
    </row>
    <row r="172" spans="1:19" ht="12.3" x14ac:dyDescent="0.4">
      <c r="A172" s="2" t="s">
        <v>209</v>
      </c>
      <c r="B172" s="2"/>
      <c r="C172" s="2">
        <v>63.503900000000002</v>
      </c>
      <c r="D172" s="2">
        <v>250</v>
      </c>
      <c r="E172" s="2">
        <v>62.945999999999998</v>
      </c>
      <c r="F172" s="2">
        <v>269</v>
      </c>
      <c r="G172" s="2">
        <v>101.0759</v>
      </c>
      <c r="H172" s="2">
        <v>196</v>
      </c>
      <c r="I172" s="2">
        <v>101.4195</v>
      </c>
      <c r="J172" s="2">
        <v>185</v>
      </c>
      <c r="K172" s="2">
        <v>103.81310000000001</v>
      </c>
      <c r="L172" s="2">
        <v>210</v>
      </c>
      <c r="M172" s="2">
        <v>102.0599</v>
      </c>
      <c r="N172" s="2">
        <v>161</v>
      </c>
      <c r="O172" s="2">
        <v>0.48191000000000001</v>
      </c>
      <c r="P172" s="2">
        <v>167</v>
      </c>
      <c r="Q172" s="2"/>
      <c r="R172" s="2"/>
      <c r="S172" s="2"/>
    </row>
    <row r="173" spans="1:19" ht="12.3" x14ac:dyDescent="0.4">
      <c r="A173" s="2" t="s">
        <v>366</v>
      </c>
      <c r="B173" s="2"/>
      <c r="C173" s="2">
        <v>66.745999999999995</v>
      </c>
      <c r="D173" s="2">
        <v>83</v>
      </c>
      <c r="E173" s="2">
        <v>66.345699999999994</v>
      </c>
      <c r="F173" s="2">
        <v>97</v>
      </c>
      <c r="G173" s="2">
        <v>102.79349999999999</v>
      </c>
      <c r="H173" s="2">
        <v>158</v>
      </c>
      <c r="I173" s="2">
        <v>101.4469</v>
      </c>
      <c r="J173" s="2">
        <v>182</v>
      </c>
      <c r="K173" s="2">
        <v>101.4066</v>
      </c>
      <c r="L173" s="2">
        <v>161</v>
      </c>
      <c r="M173" s="2">
        <v>102.2133</v>
      </c>
      <c r="N173" s="2">
        <v>165</v>
      </c>
      <c r="O173" s="2">
        <v>0.47837600000000002</v>
      </c>
      <c r="P173" s="2">
        <v>168</v>
      </c>
      <c r="Q173" s="2"/>
      <c r="R173" s="2"/>
      <c r="S173" s="2"/>
    </row>
    <row r="174" spans="1:19" ht="12.3" x14ac:dyDescent="0.4">
      <c r="A174" s="2" t="s">
        <v>48</v>
      </c>
      <c r="B174" s="2"/>
      <c r="C174" s="2">
        <v>64.206900000000005</v>
      </c>
      <c r="D174" s="2">
        <v>208</v>
      </c>
      <c r="E174" s="2">
        <v>64.366500000000002</v>
      </c>
      <c r="F174" s="2">
        <v>193</v>
      </c>
      <c r="G174" s="2">
        <v>96.204999999999998</v>
      </c>
      <c r="H174" s="2">
        <v>287</v>
      </c>
      <c r="I174" s="2">
        <v>98.035499999999999</v>
      </c>
      <c r="J174" s="2">
        <v>253</v>
      </c>
      <c r="K174" s="2">
        <v>100.1207</v>
      </c>
      <c r="L174" s="2">
        <v>127</v>
      </c>
      <c r="M174" s="2">
        <v>98.928799999999995</v>
      </c>
      <c r="N174" s="2">
        <v>97</v>
      </c>
      <c r="O174" s="2">
        <v>0.47394399999999998</v>
      </c>
      <c r="P174" s="2">
        <v>169</v>
      </c>
      <c r="Q174" s="2"/>
      <c r="R174" s="2"/>
      <c r="S174" s="2"/>
    </row>
    <row r="175" spans="1:19" ht="12.3" x14ac:dyDescent="0.4">
      <c r="A175" s="2" t="s">
        <v>271</v>
      </c>
      <c r="B175" s="2"/>
      <c r="C175" s="2">
        <v>59.939399999999999</v>
      </c>
      <c r="D175" s="2">
        <v>340</v>
      </c>
      <c r="E175" s="2">
        <v>60.894300000000001</v>
      </c>
      <c r="F175" s="2">
        <v>331</v>
      </c>
      <c r="G175" s="2">
        <v>104.9614</v>
      </c>
      <c r="H175" s="2">
        <v>102</v>
      </c>
      <c r="I175" s="2">
        <v>105.5252</v>
      </c>
      <c r="J175" s="2">
        <v>100</v>
      </c>
      <c r="K175" s="2">
        <v>103.1964</v>
      </c>
      <c r="L175" s="2">
        <v>192</v>
      </c>
      <c r="M175" s="2">
        <v>106.5531</v>
      </c>
      <c r="N175" s="2">
        <v>261</v>
      </c>
      <c r="O175" s="2">
        <v>0.47216000000000002</v>
      </c>
      <c r="P175" s="2">
        <v>170</v>
      </c>
      <c r="Q175" s="2"/>
      <c r="R175" s="2"/>
      <c r="S175" s="2"/>
    </row>
    <row r="176" spans="1:19" ht="12.3" x14ac:dyDescent="0.4">
      <c r="A176" s="2" t="s">
        <v>322</v>
      </c>
      <c r="B176" s="2"/>
      <c r="C176" s="2">
        <v>64.869</v>
      </c>
      <c r="D176" s="2">
        <v>169</v>
      </c>
      <c r="E176" s="2">
        <v>64.461500000000001</v>
      </c>
      <c r="F176" s="2">
        <v>182</v>
      </c>
      <c r="G176" s="2">
        <v>106.0014</v>
      </c>
      <c r="H176" s="2">
        <v>87</v>
      </c>
      <c r="I176" s="2">
        <v>105.5241</v>
      </c>
      <c r="J176" s="2">
        <v>101</v>
      </c>
      <c r="K176" s="2">
        <v>104.9406</v>
      </c>
      <c r="L176" s="2">
        <v>236</v>
      </c>
      <c r="M176" s="2">
        <v>106.7847</v>
      </c>
      <c r="N176" s="2">
        <v>264</v>
      </c>
      <c r="O176" s="2">
        <v>0.46590999999999999</v>
      </c>
      <c r="P176" s="2">
        <v>171</v>
      </c>
      <c r="Q176" s="2"/>
      <c r="R176" s="2"/>
      <c r="S176" s="2"/>
    </row>
    <row r="177" spans="1:19" ht="12.3" x14ac:dyDescent="0.4">
      <c r="A177" s="2" t="s">
        <v>267</v>
      </c>
      <c r="B177" s="2"/>
      <c r="C177" s="2">
        <v>65.795100000000005</v>
      </c>
      <c r="D177" s="2">
        <v>124</v>
      </c>
      <c r="E177" s="2">
        <v>67.570499999999996</v>
      </c>
      <c r="F177" s="2">
        <v>48</v>
      </c>
      <c r="G177" s="2">
        <v>98.700400000000002</v>
      </c>
      <c r="H177" s="2">
        <v>249</v>
      </c>
      <c r="I177" s="2">
        <v>100.0573</v>
      </c>
      <c r="J177" s="2">
        <v>226</v>
      </c>
      <c r="K177" s="2">
        <v>101.0438</v>
      </c>
      <c r="L177" s="2">
        <v>147</v>
      </c>
      <c r="M177" s="2">
        <v>101.3082</v>
      </c>
      <c r="N177" s="2">
        <v>144</v>
      </c>
      <c r="O177" s="2">
        <v>0.464339</v>
      </c>
      <c r="P177" s="2">
        <v>172</v>
      </c>
      <c r="Q177" s="2"/>
      <c r="R177" s="2"/>
      <c r="S177" s="2"/>
    </row>
    <row r="178" spans="1:19" ht="12.3" x14ac:dyDescent="0.4">
      <c r="A178" s="2" t="s">
        <v>193</v>
      </c>
      <c r="B178" s="2"/>
      <c r="C178" s="2">
        <v>62.202800000000003</v>
      </c>
      <c r="D178" s="2">
        <v>298</v>
      </c>
      <c r="E178" s="2">
        <v>61.070999999999998</v>
      </c>
      <c r="F178" s="2">
        <v>325</v>
      </c>
      <c r="G178" s="2">
        <v>96.529600000000002</v>
      </c>
      <c r="H178" s="2">
        <v>282</v>
      </c>
      <c r="I178" s="2">
        <v>95.840100000000007</v>
      </c>
      <c r="J178" s="2">
        <v>295</v>
      </c>
      <c r="K178" s="2">
        <v>95.732600000000005</v>
      </c>
      <c r="L178" s="2">
        <v>42</v>
      </c>
      <c r="M178" s="2">
        <v>97.120599999999996</v>
      </c>
      <c r="N178" s="2">
        <v>71</v>
      </c>
      <c r="O178" s="2">
        <v>0.46191599999999999</v>
      </c>
      <c r="P178" s="2">
        <v>174</v>
      </c>
      <c r="Q178" s="2"/>
      <c r="R178" s="2"/>
      <c r="S178" s="2"/>
    </row>
    <row r="179" spans="1:19" ht="12.3" x14ac:dyDescent="0.4">
      <c r="A179" s="2" t="s">
        <v>310</v>
      </c>
      <c r="B179" s="2"/>
      <c r="C179" s="2">
        <v>63.801499999999997</v>
      </c>
      <c r="D179" s="2">
        <v>238</v>
      </c>
      <c r="E179" s="2">
        <v>64.026799999999994</v>
      </c>
      <c r="F179" s="2">
        <v>210</v>
      </c>
      <c r="G179" s="2">
        <v>100.52500000000001</v>
      </c>
      <c r="H179" s="2">
        <v>207</v>
      </c>
      <c r="I179" s="2">
        <v>98.575100000000006</v>
      </c>
      <c r="J179" s="2">
        <v>246</v>
      </c>
      <c r="K179" s="2">
        <v>96.062600000000003</v>
      </c>
      <c r="L179" s="2">
        <v>46</v>
      </c>
      <c r="M179" s="2">
        <v>99.894499999999994</v>
      </c>
      <c r="N179" s="2">
        <v>119</v>
      </c>
      <c r="O179" s="2">
        <v>0.46185100000000001</v>
      </c>
      <c r="P179" s="2">
        <v>175</v>
      </c>
      <c r="Q179" s="2"/>
      <c r="R179" s="2"/>
      <c r="S179" s="2"/>
    </row>
    <row r="180" spans="1:19" ht="12.3" x14ac:dyDescent="0.4">
      <c r="A180" s="2" t="s">
        <v>247</v>
      </c>
      <c r="B180" s="2"/>
      <c r="C180" s="2">
        <v>60.2911</v>
      </c>
      <c r="D180" s="2">
        <v>338</v>
      </c>
      <c r="E180" s="2">
        <v>61.139000000000003</v>
      </c>
      <c r="F180" s="2">
        <v>323</v>
      </c>
      <c r="G180" s="2">
        <v>106.63079999999999</v>
      </c>
      <c r="H180" s="2">
        <v>69</v>
      </c>
      <c r="I180" s="2">
        <v>106.39100000000001</v>
      </c>
      <c r="J180" s="2">
        <v>81</v>
      </c>
      <c r="K180" s="2">
        <v>105.5082</v>
      </c>
      <c r="L180" s="2">
        <v>252</v>
      </c>
      <c r="M180" s="2">
        <v>107.8404</v>
      </c>
      <c r="N180" s="2">
        <v>284</v>
      </c>
      <c r="O180" s="2">
        <v>0.461177</v>
      </c>
      <c r="P180" s="2">
        <v>176</v>
      </c>
      <c r="Q180" s="2"/>
      <c r="R180" s="2"/>
      <c r="S180" s="2"/>
    </row>
    <row r="181" spans="1:19" ht="12.3" x14ac:dyDescent="0.4">
      <c r="A181" s="2" t="s">
        <v>280</v>
      </c>
      <c r="B181" s="2"/>
      <c r="C181" s="2">
        <v>62.099600000000002</v>
      </c>
      <c r="D181" s="2">
        <v>302</v>
      </c>
      <c r="E181" s="2">
        <v>61.668999999999997</v>
      </c>
      <c r="F181" s="2">
        <v>312</v>
      </c>
      <c r="G181" s="2">
        <v>107.7264</v>
      </c>
      <c r="H181" s="2">
        <v>55</v>
      </c>
      <c r="I181" s="2">
        <v>106.2377</v>
      </c>
      <c r="J181" s="2">
        <v>85</v>
      </c>
      <c r="K181" s="2">
        <v>105.21120000000001</v>
      </c>
      <c r="L181" s="2">
        <v>242</v>
      </c>
      <c r="M181" s="2">
        <v>107.7252</v>
      </c>
      <c r="N181" s="2">
        <v>281</v>
      </c>
      <c r="O181" s="2">
        <v>0.46010899999999999</v>
      </c>
      <c r="P181" s="2">
        <v>177</v>
      </c>
      <c r="Q181" s="2"/>
      <c r="R181" s="2"/>
      <c r="S181" s="2"/>
    </row>
    <row r="182" spans="1:19" ht="12.3" x14ac:dyDescent="0.4">
      <c r="A182" s="2" t="s">
        <v>367</v>
      </c>
      <c r="B182" s="2"/>
      <c r="C182" s="2">
        <v>64.132499999999993</v>
      </c>
      <c r="D182" s="2">
        <v>215</v>
      </c>
      <c r="E182" s="2">
        <v>63.639600000000002</v>
      </c>
      <c r="F182" s="2">
        <v>242</v>
      </c>
      <c r="G182" s="2">
        <v>107.3442</v>
      </c>
      <c r="H182" s="2">
        <v>60</v>
      </c>
      <c r="I182" s="2">
        <v>102.2701</v>
      </c>
      <c r="J182" s="2">
        <v>166</v>
      </c>
      <c r="K182" s="2">
        <v>97.946899999999999</v>
      </c>
      <c r="L182" s="2">
        <v>84</v>
      </c>
      <c r="M182" s="2">
        <v>103.7213</v>
      </c>
      <c r="N182" s="2">
        <v>195</v>
      </c>
      <c r="O182" s="2">
        <v>0.45957900000000002</v>
      </c>
      <c r="P182" s="2">
        <v>178</v>
      </c>
      <c r="Q182" s="2"/>
      <c r="R182" s="2"/>
      <c r="S182" s="2"/>
    </row>
    <row r="183" spans="1:19" ht="12.3" x14ac:dyDescent="0.4">
      <c r="A183" s="2" t="s">
        <v>369</v>
      </c>
      <c r="B183" s="2"/>
      <c r="C183" s="2">
        <v>65.109300000000005</v>
      </c>
      <c r="D183" s="2">
        <v>154</v>
      </c>
      <c r="E183" s="2">
        <v>64.439300000000003</v>
      </c>
      <c r="F183" s="2">
        <v>186</v>
      </c>
      <c r="G183" s="2">
        <v>103.6277</v>
      </c>
      <c r="H183" s="2">
        <v>135</v>
      </c>
      <c r="I183" s="2">
        <v>99.800899999999999</v>
      </c>
      <c r="J183" s="2">
        <v>229</v>
      </c>
      <c r="K183" s="2">
        <v>98.533699999999996</v>
      </c>
      <c r="L183" s="2">
        <v>96</v>
      </c>
      <c r="M183" s="2">
        <v>101.355</v>
      </c>
      <c r="N183" s="2">
        <v>145</v>
      </c>
      <c r="O183" s="2">
        <v>0.45569300000000001</v>
      </c>
      <c r="P183" s="2">
        <v>179</v>
      </c>
      <c r="Q183" s="2"/>
      <c r="R183" s="2"/>
      <c r="S183" s="2"/>
    </row>
    <row r="184" spans="1:19" ht="12.3" x14ac:dyDescent="0.4">
      <c r="A184" s="2" t="s">
        <v>274</v>
      </c>
      <c r="B184" s="2"/>
      <c r="C184" s="2">
        <v>66.520899999999997</v>
      </c>
      <c r="D184" s="2">
        <v>94</v>
      </c>
      <c r="E184" s="2">
        <v>67.208699999999993</v>
      </c>
      <c r="F184" s="2">
        <v>59</v>
      </c>
      <c r="G184" s="2">
        <v>102.2961</v>
      </c>
      <c r="H184" s="2">
        <v>172</v>
      </c>
      <c r="I184" s="2">
        <v>100.22620000000001</v>
      </c>
      <c r="J184" s="2">
        <v>221</v>
      </c>
      <c r="K184" s="2">
        <v>98.838300000000004</v>
      </c>
      <c r="L184" s="2">
        <v>103</v>
      </c>
      <c r="M184" s="2">
        <v>101.92749999999999</v>
      </c>
      <c r="N184" s="2">
        <v>158</v>
      </c>
      <c r="O184" s="2">
        <v>0.45175700000000002</v>
      </c>
      <c r="P184" s="2">
        <v>180</v>
      </c>
      <c r="Q184" s="2"/>
      <c r="R184" s="2"/>
      <c r="S184" s="2"/>
    </row>
    <row r="185" spans="1:19" ht="12.3" x14ac:dyDescent="0.4">
      <c r="A185" s="2" t="s">
        <v>318</v>
      </c>
      <c r="B185" s="2"/>
      <c r="C185" s="2">
        <v>60.871299999999998</v>
      </c>
      <c r="D185" s="2">
        <v>331</v>
      </c>
      <c r="E185" s="2">
        <v>60.454500000000003</v>
      </c>
      <c r="F185" s="2">
        <v>337</v>
      </c>
      <c r="G185" s="2">
        <v>105.92319999999999</v>
      </c>
      <c r="H185" s="2">
        <v>89</v>
      </c>
      <c r="I185" s="2">
        <v>101.9469</v>
      </c>
      <c r="J185" s="2">
        <v>173</v>
      </c>
      <c r="K185" s="2">
        <v>102.3274</v>
      </c>
      <c r="L185" s="2">
        <v>175</v>
      </c>
      <c r="M185" s="2">
        <v>103.765</v>
      </c>
      <c r="N185" s="2">
        <v>197</v>
      </c>
      <c r="O185" s="2">
        <v>0.44935399999999998</v>
      </c>
      <c r="P185" s="2">
        <v>181</v>
      </c>
      <c r="Q185" s="2"/>
      <c r="R185" s="2"/>
      <c r="S185" s="2"/>
    </row>
    <row r="186" spans="1:19" ht="12.3" x14ac:dyDescent="0.4">
      <c r="A186" s="2" t="s">
        <v>223</v>
      </c>
      <c r="B186" s="2"/>
      <c r="C186" s="2">
        <v>64.589100000000002</v>
      </c>
      <c r="D186" s="2">
        <v>187</v>
      </c>
      <c r="E186" s="2">
        <v>64.690899999999999</v>
      </c>
      <c r="F186" s="2">
        <v>172</v>
      </c>
      <c r="G186" s="2">
        <v>106.3395</v>
      </c>
      <c r="H186" s="2">
        <v>81</v>
      </c>
      <c r="I186" s="2">
        <v>104.20740000000001</v>
      </c>
      <c r="J186" s="2">
        <v>118</v>
      </c>
      <c r="K186" s="2">
        <v>104.435</v>
      </c>
      <c r="L186" s="2">
        <v>222</v>
      </c>
      <c r="M186" s="2">
        <v>106.21210000000001</v>
      </c>
      <c r="N186" s="2">
        <v>249</v>
      </c>
      <c r="O186" s="2">
        <v>0.445434</v>
      </c>
      <c r="P186" s="2">
        <v>182</v>
      </c>
      <c r="Q186" s="2"/>
      <c r="R186" s="2"/>
      <c r="S186" s="2"/>
    </row>
    <row r="187" spans="1:19" ht="12.3" x14ac:dyDescent="0.4">
      <c r="A187" s="2" t="s">
        <v>251</v>
      </c>
      <c r="B187" s="2"/>
      <c r="C187" s="2">
        <v>64.161199999999994</v>
      </c>
      <c r="D187" s="2">
        <v>213</v>
      </c>
      <c r="E187" s="2">
        <v>64.166300000000007</v>
      </c>
      <c r="F187" s="2">
        <v>203</v>
      </c>
      <c r="G187" s="2">
        <v>99.625200000000007</v>
      </c>
      <c r="H187" s="2">
        <v>229</v>
      </c>
      <c r="I187" s="2">
        <v>98.357799999999997</v>
      </c>
      <c r="J187" s="2">
        <v>248</v>
      </c>
      <c r="K187" s="2">
        <v>98.188199999999995</v>
      </c>
      <c r="L187" s="2">
        <v>88</v>
      </c>
      <c r="M187" s="2">
        <v>100.264</v>
      </c>
      <c r="N187" s="2">
        <v>131</v>
      </c>
      <c r="O187" s="2">
        <v>0.44503900000000002</v>
      </c>
      <c r="P187" s="2">
        <v>183</v>
      </c>
      <c r="Q187" s="2"/>
      <c r="R187" s="2"/>
      <c r="S187" s="2"/>
    </row>
    <row r="188" spans="1:19" ht="12.3" x14ac:dyDescent="0.4">
      <c r="A188" s="2" t="s">
        <v>283</v>
      </c>
      <c r="B188" s="2"/>
      <c r="C188" s="2">
        <v>63.800400000000003</v>
      </c>
      <c r="D188" s="2">
        <v>239</v>
      </c>
      <c r="E188" s="2">
        <v>63.121699999999997</v>
      </c>
      <c r="F188" s="2">
        <v>265</v>
      </c>
      <c r="G188" s="2">
        <v>100.0273</v>
      </c>
      <c r="H188" s="2">
        <v>215</v>
      </c>
      <c r="I188" s="2">
        <v>99.487799999999993</v>
      </c>
      <c r="J188" s="2">
        <v>231</v>
      </c>
      <c r="K188" s="2">
        <v>96.933700000000002</v>
      </c>
      <c r="L188" s="2">
        <v>69</v>
      </c>
      <c r="M188" s="2">
        <v>101.4371</v>
      </c>
      <c r="N188" s="2">
        <v>148</v>
      </c>
      <c r="O188" s="2">
        <v>0.44444600000000001</v>
      </c>
      <c r="P188" s="2">
        <v>184</v>
      </c>
      <c r="Q188" s="2"/>
      <c r="R188" s="2"/>
      <c r="S188" s="2"/>
    </row>
    <row r="189" spans="1:19" ht="12.3" x14ac:dyDescent="0.4">
      <c r="A189" s="2" t="s">
        <v>226</v>
      </c>
      <c r="B189" s="2"/>
      <c r="C189" s="2">
        <v>57.061700000000002</v>
      </c>
      <c r="D189" s="2">
        <v>351</v>
      </c>
      <c r="E189" s="2">
        <v>57.583199999999998</v>
      </c>
      <c r="F189" s="2">
        <v>350</v>
      </c>
      <c r="G189" s="2">
        <v>101.23260000000001</v>
      </c>
      <c r="H189" s="2">
        <v>191</v>
      </c>
      <c r="I189" s="2">
        <v>101.2268</v>
      </c>
      <c r="J189" s="2">
        <v>189</v>
      </c>
      <c r="K189" s="2">
        <v>101.2037</v>
      </c>
      <c r="L189" s="2">
        <v>153</v>
      </c>
      <c r="M189" s="2">
        <v>103.3064</v>
      </c>
      <c r="N189" s="2">
        <v>184</v>
      </c>
      <c r="O189" s="2">
        <v>0.44180199999999997</v>
      </c>
      <c r="P189" s="2">
        <v>185</v>
      </c>
      <c r="Q189" s="2"/>
      <c r="R189" s="2"/>
      <c r="S189" s="2"/>
    </row>
    <row r="190" spans="1:19" ht="12.3" x14ac:dyDescent="0.4">
      <c r="A190" s="2" t="s">
        <v>132</v>
      </c>
      <c r="B190" s="2"/>
      <c r="C190" s="2">
        <v>67.912400000000005</v>
      </c>
      <c r="D190" s="2">
        <v>46</v>
      </c>
      <c r="E190" s="2">
        <v>68.029300000000006</v>
      </c>
      <c r="F190" s="2">
        <v>33</v>
      </c>
      <c r="G190" s="2">
        <v>101.0795</v>
      </c>
      <c r="H190" s="2">
        <v>195</v>
      </c>
      <c r="I190" s="2">
        <v>101.42310000000001</v>
      </c>
      <c r="J190" s="2">
        <v>184</v>
      </c>
      <c r="K190" s="2">
        <v>104.3873</v>
      </c>
      <c r="L190" s="2">
        <v>221</v>
      </c>
      <c r="M190" s="2">
        <v>103.5082</v>
      </c>
      <c r="N190" s="2">
        <v>190</v>
      </c>
      <c r="O190" s="2">
        <v>0.44175700000000001</v>
      </c>
      <c r="P190" s="2">
        <v>186</v>
      </c>
      <c r="Q190" s="2"/>
      <c r="R190" s="2"/>
      <c r="S190" s="2"/>
    </row>
    <row r="191" spans="1:19" ht="12.3" x14ac:dyDescent="0.4">
      <c r="A191" s="2" t="s">
        <v>305</v>
      </c>
      <c r="B191" s="2"/>
      <c r="C191" s="2">
        <v>66.070999999999998</v>
      </c>
      <c r="D191" s="2">
        <v>114</v>
      </c>
      <c r="E191" s="2">
        <v>65.737700000000004</v>
      </c>
      <c r="F191" s="2">
        <v>126</v>
      </c>
      <c r="G191" s="2">
        <v>107.2186</v>
      </c>
      <c r="H191" s="2">
        <v>64</v>
      </c>
      <c r="I191" s="2">
        <v>105.50149999999999</v>
      </c>
      <c r="J191" s="2">
        <v>102</v>
      </c>
      <c r="K191" s="2">
        <v>105.5707</v>
      </c>
      <c r="L191" s="2">
        <v>254</v>
      </c>
      <c r="M191" s="2">
        <v>107.6758</v>
      </c>
      <c r="N191" s="2">
        <v>278</v>
      </c>
      <c r="O191" s="2">
        <v>0.44161800000000001</v>
      </c>
      <c r="P191" s="2">
        <v>187</v>
      </c>
      <c r="Q191" s="2"/>
      <c r="R191" s="2"/>
      <c r="S191" s="2"/>
    </row>
    <row r="192" spans="1:19" ht="12.3" x14ac:dyDescent="0.4">
      <c r="A192" s="2" t="s">
        <v>159</v>
      </c>
      <c r="B192" s="2"/>
      <c r="C192" s="2">
        <v>64.119600000000005</v>
      </c>
      <c r="D192" s="2">
        <v>216</v>
      </c>
      <c r="E192" s="2">
        <v>63.800600000000003</v>
      </c>
      <c r="F192" s="2">
        <v>225</v>
      </c>
      <c r="G192" s="2">
        <v>101.0958</v>
      </c>
      <c r="H192" s="2">
        <v>194</v>
      </c>
      <c r="I192" s="2">
        <v>103.91200000000001</v>
      </c>
      <c r="J192" s="2">
        <v>126</v>
      </c>
      <c r="K192" s="2">
        <v>107.96899999999999</v>
      </c>
      <c r="L192" s="2">
        <v>299</v>
      </c>
      <c r="M192" s="2">
        <v>106.0578</v>
      </c>
      <c r="N192" s="2">
        <v>244</v>
      </c>
      <c r="O192" s="2">
        <v>0.44150400000000001</v>
      </c>
      <c r="P192" s="2">
        <v>188</v>
      </c>
      <c r="Q192" s="2"/>
      <c r="R192" s="2"/>
      <c r="S192" s="2"/>
    </row>
    <row r="193" spans="1:19" ht="12.3" x14ac:dyDescent="0.4">
      <c r="A193" s="2" t="s">
        <v>217</v>
      </c>
      <c r="B193" s="2"/>
      <c r="C193" s="2">
        <v>61.328200000000002</v>
      </c>
      <c r="D193" s="2">
        <v>320</v>
      </c>
      <c r="E193" s="2">
        <v>61.8902</v>
      </c>
      <c r="F193" s="2">
        <v>305</v>
      </c>
      <c r="G193" s="2">
        <v>101.95529999999999</v>
      </c>
      <c r="H193" s="2">
        <v>178</v>
      </c>
      <c r="I193" s="2">
        <v>103.50539999999999</v>
      </c>
      <c r="J193" s="2">
        <v>137</v>
      </c>
      <c r="K193" s="2">
        <v>109.0847</v>
      </c>
      <c r="L193" s="2">
        <v>312</v>
      </c>
      <c r="M193" s="2">
        <v>105.6461</v>
      </c>
      <c r="N193" s="2">
        <v>236</v>
      </c>
      <c r="O193" s="2">
        <v>0.441415</v>
      </c>
      <c r="P193" s="2">
        <v>189</v>
      </c>
      <c r="Q193" s="2"/>
      <c r="R193" s="2"/>
      <c r="S193" s="2"/>
    </row>
    <row r="194" spans="1:19" ht="12.3" x14ac:dyDescent="0.4">
      <c r="A194" s="2" t="s">
        <v>254</v>
      </c>
      <c r="B194" s="2"/>
      <c r="C194" s="2">
        <v>65.010499999999993</v>
      </c>
      <c r="D194" s="2">
        <v>161</v>
      </c>
      <c r="E194" s="2">
        <v>64.573400000000007</v>
      </c>
      <c r="F194" s="2">
        <v>179</v>
      </c>
      <c r="G194" s="2">
        <v>104.0416</v>
      </c>
      <c r="H194" s="2">
        <v>124</v>
      </c>
      <c r="I194" s="2">
        <v>100.3389</v>
      </c>
      <c r="J194" s="2">
        <v>218</v>
      </c>
      <c r="K194" s="2">
        <v>103.0275</v>
      </c>
      <c r="L194" s="2">
        <v>190</v>
      </c>
      <c r="M194" s="2">
        <v>102.5962</v>
      </c>
      <c r="N194" s="2">
        <v>173</v>
      </c>
      <c r="O194" s="2">
        <v>0.43638399999999999</v>
      </c>
      <c r="P194" s="2">
        <v>190</v>
      </c>
      <c r="Q194" s="2"/>
      <c r="R194" s="2"/>
      <c r="S194" s="2"/>
    </row>
    <row r="195" spans="1:19" ht="12.3" x14ac:dyDescent="0.4">
      <c r="A195" s="2" t="s">
        <v>239</v>
      </c>
      <c r="B195" s="2"/>
      <c r="C195" s="2">
        <v>67.618499999999997</v>
      </c>
      <c r="D195" s="2">
        <v>58</v>
      </c>
      <c r="E195" s="2">
        <v>67.463300000000004</v>
      </c>
      <c r="F195" s="2">
        <v>54</v>
      </c>
      <c r="G195" s="2">
        <v>102.68510000000001</v>
      </c>
      <c r="H195" s="2">
        <v>164</v>
      </c>
      <c r="I195" s="2">
        <v>107.1711</v>
      </c>
      <c r="J195" s="2">
        <v>72</v>
      </c>
      <c r="K195" s="2">
        <v>111.9995</v>
      </c>
      <c r="L195" s="2">
        <v>338</v>
      </c>
      <c r="M195" s="2">
        <v>109.5917</v>
      </c>
      <c r="N195" s="2">
        <v>315</v>
      </c>
      <c r="O195" s="2">
        <v>0.43613800000000003</v>
      </c>
      <c r="P195" s="2">
        <v>191</v>
      </c>
      <c r="Q195" s="2"/>
      <c r="R195" s="2"/>
      <c r="S195" s="2"/>
    </row>
    <row r="196" spans="1:19" ht="12.3" x14ac:dyDescent="0.4">
      <c r="A196" s="2" t="s">
        <v>335</v>
      </c>
      <c r="B196" s="2"/>
      <c r="C196" s="2">
        <v>61.334099999999999</v>
      </c>
      <c r="D196" s="2">
        <v>319</v>
      </c>
      <c r="E196" s="2">
        <v>60.738</v>
      </c>
      <c r="F196" s="2">
        <v>332</v>
      </c>
      <c r="G196" s="2">
        <v>98.8369</v>
      </c>
      <c r="H196" s="2">
        <v>248</v>
      </c>
      <c r="I196" s="2">
        <v>97.596299999999999</v>
      </c>
      <c r="J196" s="2">
        <v>263</v>
      </c>
      <c r="K196" s="2">
        <v>97.035200000000003</v>
      </c>
      <c r="L196" s="2">
        <v>71</v>
      </c>
      <c r="M196" s="2">
        <v>99.885000000000005</v>
      </c>
      <c r="N196" s="2">
        <v>118</v>
      </c>
      <c r="O196" s="2">
        <v>0.43374800000000002</v>
      </c>
      <c r="P196" s="2">
        <v>192</v>
      </c>
      <c r="Q196" s="2"/>
      <c r="R196" s="2"/>
      <c r="S196" s="2"/>
    </row>
    <row r="197" spans="1:19" ht="12.3" x14ac:dyDescent="0.4">
      <c r="A197" s="2" t="s">
        <v>112</v>
      </c>
      <c r="B197" s="2"/>
      <c r="C197" s="2">
        <v>63.905099999999997</v>
      </c>
      <c r="D197" s="2">
        <v>230</v>
      </c>
      <c r="E197" s="2">
        <v>65.515600000000006</v>
      </c>
      <c r="F197" s="2">
        <v>133</v>
      </c>
      <c r="G197" s="2">
        <v>98.152000000000001</v>
      </c>
      <c r="H197" s="2">
        <v>258</v>
      </c>
      <c r="I197" s="2">
        <v>100.6512</v>
      </c>
      <c r="J197" s="2">
        <v>206</v>
      </c>
      <c r="K197" s="2">
        <v>103.60299999999999</v>
      </c>
      <c r="L197" s="2">
        <v>202</v>
      </c>
      <c r="M197" s="2">
        <v>103.1157</v>
      </c>
      <c r="N197" s="2">
        <v>182</v>
      </c>
      <c r="O197" s="2">
        <v>0.43090000000000001</v>
      </c>
      <c r="P197" s="2">
        <v>193</v>
      </c>
      <c r="Q197" s="2"/>
      <c r="R197" s="2"/>
      <c r="S197" s="2"/>
    </row>
    <row r="198" spans="1:19" ht="12.3" x14ac:dyDescent="0.4">
      <c r="A198" s="2" t="s">
        <v>321</v>
      </c>
      <c r="B198" s="2"/>
      <c r="C198" s="2">
        <v>65.072299999999998</v>
      </c>
      <c r="D198" s="2">
        <v>156</v>
      </c>
      <c r="E198" s="2">
        <v>65.408000000000001</v>
      </c>
      <c r="F198" s="2">
        <v>140</v>
      </c>
      <c r="G198" s="2">
        <v>103.0446</v>
      </c>
      <c r="H198" s="2">
        <v>152</v>
      </c>
      <c r="I198" s="2">
        <v>103.4684</v>
      </c>
      <c r="J198" s="2">
        <v>139</v>
      </c>
      <c r="K198" s="2">
        <v>102.44499999999999</v>
      </c>
      <c r="L198" s="2">
        <v>181</v>
      </c>
      <c r="M198" s="2">
        <v>106.0365</v>
      </c>
      <c r="N198" s="2">
        <v>243</v>
      </c>
      <c r="O198" s="2">
        <v>0.429977</v>
      </c>
      <c r="P198" s="2">
        <v>194</v>
      </c>
      <c r="Q198" s="2"/>
      <c r="R198" s="2"/>
      <c r="S198" s="2"/>
    </row>
    <row r="199" spans="1:19" ht="12.3" x14ac:dyDescent="0.4">
      <c r="A199" s="2" t="s">
        <v>167</v>
      </c>
      <c r="B199" s="2"/>
      <c r="C199" s="2">
        <v>65.67</v>
      </c>
      <c r="D199" s="2">
        <v>133</v>
      </c>
      <c r="E199" s="2">
        <v>65.264700000000005</v>
      </c>
      <c r="F199" s="2">
        <v>147</v>
      </c>
      <c r="G199" s="2">
        <v>99.746499999999997</v>
      </c>
      <c r="H199" s="2">
        <v>225</v>
      </c>
      <c r="I199" s="2">
        <v>100.80029999999999</v>
      </c>
      <c r="J199" s="2">
        <v>201</v>
      </c>
      <c r="K199" s="2">
        <v>105.4753</v>
      </c>
      <c r="L199" s="2">
        <v>250</v>
      </c>
      <c r="M199" s="2">
        <v>103.48350000000001</v>
      </c>
      <c r="N199" s="2">
        <v>188</v>
      </c>
      <c r="O199" s="2">
        <v>0.42504199999999998</v>
      </c>
      <c r="P199" s="2">
        <v>196</v>
      </c>
      <c r="Q199" s="2"/>
      <c r="R199" s="2"/>
      <c r="S199" s="2"/>
    </row>
    <row r="200" spans="1:19" ht="12.3" x14ac:dyDescent="0.4">
      <c r="A200" s="2" t="s">
        <v>320</v>
      </c>
      <c r="B200" s="2"/>
      <c r="C200" s="2">
        <v>65.39</v>
      </c>
      <c r="D200" s="2">
        <v>146</v>
      </c>
      <c r="E200" s="2">
        <v>65.008399999999995</v>
      </c>
      <c r="F200" s="2">
        <v>156</v>
      </c>
      <c r="G200" s="2">
        <v>103.7974</v>
      </c>
      <c r="H200" s="2">
        <v>131</v>
      </c>
      <c r="I200" s="2">
        <v>102.5454</v>
      </c>
      <c r="J200" s="2">
        <v>160</v>
      </c>
      <c r="K200" s="2">
        <v>101.33459999999999</v>
      </c>
      <c r="L200" s="2">
        <v>158</v>
      </c>
      <c r="M200" s="2">
        <v>105.3236</v>
      </c>
      <c r="N200" s="2">
        <v>230</v>
      </c>
      <c r="O200" s="2">
        <v>0.42374499999999998</v>
      </c>
      <c r="P200" s="2">
        <v>197</v>
      </c>
      <c r="Q200" s="2"/>
      <c r="R200" s="2"/>
      <c r="S200" s="2"/>
    </row>
    <row r="201" spans="1:19" ht="12.3" x14ac:dyDescent="0.4">
      <c r="A201" s="2" t="s">
        <v>302</v>
      </c>
      <c r="B201" s="2"/>
      <c r="C201" s="2">
        <v>63.3065</v>
      </c>
      <c r="D201" s="2">
        <v>258</v>
      </c>
      <c r="E201" s="2">
        <v>62.268300000000004</v>
      </c>
      <c r="F201" s="2">
        <v>295</v>
      </c>
      <c r="G201" s="2">
        <v>110.6938</v>
      </c>
      <c r="H201" s="2">
        <v>30</v>
      </c>
      <c r="I201" s="2">
        <v>106.49079999999999</v>
      </c>
      <c r="J201" s="2">
        <v>78</v>
      </c>
      <c r="K201" s="2">
        <v>108.80110000000001</v>
      </c>
      <c r="L201" s="2">
        <v>309</v>
      </c>
      <c r="M201" s="2">
        <v>109.38890000000001</v>
      </c>
      <c r="N201" s="2">
        <v>310</v>
      </c>
      <c r="O201" s="2">
        <v>0.42341099999999998</v>
      </c>
      <c r="P201" s="2">
        <v>198</v>
      </c>
      <c r="Q201" s="2"/>
      <c r="R201" s="2"/>
      <c r="S201" s="2"/>
    </row>
    <row r="202" spans="1:19" ht="12.3" x14ac:dyDescent="0.4">
      <c r="A202" s="2" t="s">
        <v>270</v>
      </c>
      <c r="B202" s="2"/>
      <c r="C202" s="2">
        <v>70.124399999999994</v>
      </c>
      <c r="D202" s="2">
        <v>11</v>
      </c>
      <c r="E202" s="2">
        <v>70.229399999999998</v>
      </c>
      <c r="F202" s="2">
        <v>8</v>
      </c>
      <c r="G202" s="2">
        <v>100.6643</v>
      </c>
      <c r="H202" s="2">
        <v>205</v>
      </c>
      <c r="I202" s="2">
        <v>101.36750000000001</v>
      </c>
      <c r="J202" s="2">
        <v>187</v>
      </c>
      <c r="K202" s="2">
        <v>101.8657</v>
      </c>
      <c r="L202" s="2">
        <v>168</v>
      </c>
      <c r="M202" s="2">
        <v>104.1459</v>
      </c>
      <c r="N202" s="2">
        <v>206</v>
      </c>
      <c r="O202" s="2">
        <v>0.42288199999999998</v>
      </c>
      <c r="P202" s="2">
        <v>199</v>
      </c>
      <c r="Q202" s="2"/>
      <c r="R202" s="2"/>
      <c r="S202" s="2"/>
    </row>
    <row r="203" spans="1:19" ht="12.3" x14ac:dyDescent="0.4">
      <c r="A203" s="2" t="s">
        <v>122</v>
      </c>
      <c r="B203" s="2"/>
      <c r="C203" s="2">
        <v>65.497799999999998</v>
      </c>
      <c r="D203" s="2">
        <v>141</v>
      </c>
      <c r="E203" s="2">
        <v>65.235900000000001</v>
      </c>
      <c r="F203" s="2">
        <v>148</v>
      </c>
      <c r="G203" s="2">
        <v>99.899799999999999</v>
      </c>
      <c r="H203" s="2">
        <v>221</v>
      </c>
      <c r="I203" s="2">
        <v>100.9859</v>
      </c>
      <c r="J203" s="2">
        <v>193</v>
      </c>
      <c r="K203" s="2">
        <v>107.1789</v>
      </c>
      <c r="L203" s="2">
        <v>286</v>
      </c>
      <c r="M203" s="2">
        <v>103.8291</v>
      </c>
      <c r="N203" s="2">
        <v>199</v>
      </c>
      <c r="O203" s="2">
        <v>0.420846</v>
      </c>
      <c r="P203" s="2">
        <v>200</v>
      </c>
      <c r="Q203" s="2"/>
      <c r="R203" s="2"/>
      <c r="S203" s="2"/>
    </row>
    <row r="204" spans="1:19" ht="12.3" x14ac:dyDescent="0.4">
      <c r="A204" s="2" t="s">
        <v>250</v>
      </c>
      <c r="B204" s="2"/>
      <c r="C204" s="2">
        <v>67.183999999999997</v>
      </c>
      <c r="D204" s="2">
        <v>73</v>
      </c>
      <c r="E204" s="2">
        <v>67.517799999999994</v>
      </c>
      <c r="F204" s="2">
        <v>52</v>
      </c>
      <c r="G204" s="2">
        <v>104.66379999999999</v>
      </c>
      <c r="H204" s="2">
        <v>114</v>
      </c>
      <c r="I204" s="2">
        <v>107.31</v>
      </c>
      <c r="J204" s="2">
        <v>70</v>
      </c>
      <c r="K204" s="2">
        <v>111.4102</v>
      </c>
      <c r="L204" s="2">
        <v>332</v>
      </c>
      <c r="M204" s="2">
        <v>110.45440000000001</v>
      </c>
      <c r="N204" s="2">
        <v>322</v>
      </c>
      <c r="O204" s="2">
        <v>0.41772100000000001</v>
      </c>
      <c r="P204" s="2">
        <v>201</v>
      </c>
      <c r="Q204" s="2"/>
      <c r="R204" s="2"/>
      <c r="S204" s="2"/>
    </row>
    <row r="205" spans="1:19" ht="12.3" x14ac:dyDescent="0.4">
      <c r="A205" s="2" t="s">
        <v>289</v>
      </c>
      <c r="B205" s="2"/>
      <c r="C205" s="2">
        <v>63.8309</v>
      </c>
      <c r="D205" s="2">
        <v>235</v>
      </c>
      <c r="E205" s="2">
        <v>64.697900000000004</v>
      </c>
      <c r="F205" s="2">
        <v>171</v>
      </c>
      <c r="G205" s="2">
        <v>105.2872</v>
      </c>
      <c r="H205" s="2">
        <v>97</v>
      </c>
      <c r="I205" s="2">
        <v>103.9209</v>
      </c>
      <c r="J205" s="2">
        <v>125</v>
      </c>
      <c r="K205" s="2">
        <v>106.3524</v>
      </c>
      <c r="L205" s="2">
        <v>269</v>
      </c>
      <c r="M205" s="2">
        <v>106.96899999999999</v>
      </c>
      <c r="N205" s="2">
        <v>269</v>
      </c>
      <c r="O205" s="2">
        <v>0.41764200000000001</v>
      </c>
      <c r="P205" s="2">
        <v>202</v>
      </c>
      <c r="Q205" s="2"/>
      <c r="R205" s="2"/>
      <c r="S205" s="2"/>
    </row>
    <row r="206" spans="1:19" ht="12.3" x14ac:dyDescent="0.4">
      <c r="A206" s="2" t="s">
        <v>204</v>
      </c>
      <c r="B206" s="2"/>
      <c r="C206" s="2">
        <v>60.9649</v>
      </c>
      <c r="D206" s="2">
        <v>329</v>
      </c>
      <c r="E206" s="2">
        <v>61.915599999999998</v>
      </c>
      <c r="F206" s="2">
        <v>304</v>
      </c>
      <c r="G206" s="2">
        <v>105.70910000000001</v>
      </c>
      <c r="H206" s="2">
        <v>92</v>
      </c>
      <c r="I206" s="2">
        <v>106.0735</v>
      </c>
      <c r="J206" s="2">
        <v>88</v>
      </c>
      <c r="K206" s="2">
        <v>107.1352</v>
      </c>
      <c r="L206" s="2">
        <v>285</v>
      </c>
      <c r="M206" s="2">
        <v>109.19110000000001</v>
      </c>
      <c r="N206" s="2">
        <v>308</v>
      </c>
      <c r="O206" s="2">
        <v>0.41748099999999999</v>
      </c>
      <c r="P206" s="2">
        <v>203</v>
      </c>
      <c r="Q206" s="2"/>
      <c r="R206" s="2"/>
      <c r="S206" s="2"/>
    </row>
    <row r="207" spans="1:19" ht="12.3" x14ac:dyDescent="0.4">
      <c r="A207" s="2" t="s">
        <v>326</v>
      </c>
      <c r="B207" s="2"/>
      <c r="C207" s="2">
        <v>65.808700000000002</v>
      </c>
      <c r="D207" s="2">
        <v>123</v>
      </c>
      <c r="E207" s="2">
        <v>66.706500000000005</v>
      </c>
      <c r="F207" s="2">
        <v>79</v>
      </c>
      <c r="G207" s="2">
        <v>100.2602</v>
      </c>
      <c r="H207" s="2">
        <v>211</v>
      </c>
      <c r="I207" s="2">
        <v>97.700999999999993</v>
      </c>
      <c r="J207" s="2">
        <v>261</v>
      </c>
      <c r="K207" s="2">
        <v>99.878</v>
      </c>
      <c r="L207" s="2">
        <v>121</v>
      </c>
      <c r="M207" s="2">
        <v>100.5748</v>
      </c>
      <c r="N207" s="2">
        <v>132</v>
      </c>
      <c r="O207" s="2">
        <v>0.41741600000000001</v>
      </c>
      <c r="P207" s="2">
        <v>204</v>
      </c>
      <c r="Q207" s="2"/>
      <c r="R207" s="2"/>
      <c r="S207" s="2"/>
    </row>
    <row r="208" spans="1:19" ht="12.3" x14ac:dyDescent="0.4">
      <c r="A208" s="2" t="s">
        <v>231</v>
      </c>
      <c r="B208" s="2"/>
      <c r="C208" s="2">
        <v>62.579799999999999</v>
      </c>
      <c r="D208" s="2">
        <v>288</v>
      </c>
      <c r="E208" s="2">
        <v>62.55</v>
      </c>
      <c r="F208" s="2">
        <v>282</v>
      </c>
      <c r="G208" s="2">
        <v>100.0741</v>
      </c>
      <c r="H208" s="2">
        <v>213</v>
      </c>
      <c r="I208" s="2">
        <v>100.5318</v>
      </c>
      <c r="J208" s="2">
        <v>211</v>
      </c>
      <c r="K208" s="2">
        <v>103.6015</v>
      </c>
      <c r="L208" s="2">
        <v>201</v>
      </c>
      <c r="M208" s="2">
        <v>103.5136</v>
      </c>
      <c r="N208" s="2">
        <v>191</v>
      </c>
      <c r="O208" s="2">
        <v>0.41674800000000001</v>
      </c>
      <c r="P208" s="2">
        <v>205</v>
      </c>
      <c r="Q208" s="2"/>
      <c r="R208" s="2"/>
      <c r="S208" s="2"/>
    </row>
    <row r="209" spans="1:19" ht="12.3" x14ac:dyDescent="0.4">
      <c r="A209" s="2" t="s">
        <v>185</v>
      </c>
      <c r="B209" s="2"/>
      <c r="C209" s="2">
        <v>66.101699999999994</v>
      </c>
      <c r="D209" s="2">
        <v>110</v>
      </c>
      <c r="E209" s="2">
        <v>66.003500000000003</v>
      </c>
      <c r="F209" s="2">
        <v>113</v>
      </c>
      <c r="G209" s="2">
        <v>104.91759999999999</v>
      </c>
      <c r="H209" s="2">
        <v>104</v>
      </c>
      <c r="I209" s="2">
        <v>104.4879</v>
      </c>
      <c r="J209" s="2">
        <v>116</v>
      </c>
      <c r="K209" s="2">
        <v>106.0124</v>
      </c>
      <c r="L209" s="2">
        <v>261</v>
      </c>
      <c r="M209" s="2">
        <v>107.74250000000001</v>
      </c>
      <c r="N209" s="2">
        <v>282</v>
      </c>
      <c r="O209" s="2">
        <v>0.412717</v>
      </c>
      <c r="P209" s="2">
        <v>206</v>
      </c>
      <c r="Q209" s="2"/>
      <c r="R209" s="2"/>
      <c r="S209" s="2"/>
    </row>
    <row r="210" spans="1:19" ht="12.3" x14ac:dyDescent="0.4">
      <c r="A210" s="2" t="s">
        <v>200</v>
      </c>
      <c r="B210" s="2"/>
      <c r="C210" s="2">
        <v>64.328000000000003</v>
      </c>
      <c r="D210" s="2">
        <v>201</v>
      </c>
      <c r="E210" s="2">
        <v>64.441299999999998</v>
      </c>
      <c r="F210" s="2">
        <v>185</v>
      </c>
      <c r="G210" s="2">
        <v>103.9149</v>
      </c>
      <c r="H210" s="2">
        <v>129</v>
      </c>
      <c r="I210" s="2">
        <v>102.8428</v>
      </c>
      <c r="J210" s="2">
        <v>153</v>
      </c>
      <c r="K210" s="2">
        <v>105.3258</v>
      </c>
      <c r="L210" s="2">
        <v>247</v>
      </c>
      <c r="M210" s="2">
        <v>106.134</v>
      </c>
      <c r="N210" s="2">
        <v>246</v>
      </c>
      <c r="O210" s="2">
        <v>0.41041100000000003</v>
      </c>
      <c r="P210" s="2">
        <v>208</v>
      </c>
      <c r="Q210" s="2"/>
      <c r="R210" s="2"/>
      <c r="S210" s="2"/>
    </row>
    <row r="211" spans="1:19" ht="12.3" x14ac:dyDescent="0.4">
      <c r="A211" s="2" t="s">
        <v>333</v>
      </c>
      <c r="B211" s="2"/>
      <c r="C211" s="2">
        <v>64.201099999999997</v>
      </c>
      <c r="D211" s="2">
        <v>209</v>
      </c>
      <c r="E211" s="2">
        <v>64.698400000000007</v>
      </c>
      <c r="F211" s="2">
        <v>170</v>
      </c>
      <c r="G211" s="2">
        <v>93.838300000000004</v>
      </c>
      <c r="H211" s="2">
        <v>313</v>
      </c>
      <c r="I211" s="2">
        <v>94.561000000000007</v>
      </c>
      <c r="J211" s="2">
        <v>311</v>
      </c>
      <c r="K211" s="2">
        <v>96.267200000000003</v>
      </c>
      <c r="L211" s="2">
        <v>50</v>
      </c>
      <c r="M211" s="2">
        <v>97.628900000000002</v>
      </c>
      <c r="N211" s="2">
        <v>80</v>
      </c>
      <c r="O211" s="2">
        <v>0.40922399999999998</v>
      </c>
      <c r="P211" s="2">
        <v>209</v>
      </c>
      <c r="Q211" s="2"/>
      <c r="R211" s="2"/>
      <c r="S211" s="2"/>
    </row>
    <row r="212" spans="1:19" ht="12.3" x14ac:dyDescent="0.4">
      <c r="A212" s="2" t="s">
        <v>73</v>
      </c>
      <c r="B212" s="2"/>
      <c r="C212" s="2">
        <v>63.2254</v>
      </c>
      <c r="D212" s="2">
        <v>260</v>
      </c>
      <c r="E212" s="2">
        <v>62.559399999999997</v>
      </c>
      <c r="F212" s="2">
        <v>280</v>
      </c>
      <c r="G212" s="2">
        <v>93.997799999999998</v>
      </c>
      <c r="H212" s="2">
        <v>309</v>
      </c>
      <c r="I212" s="2">
        <v>98.911900000000003</v>
      </c>
      <c r="J212" s="2">
        <v>243</v>
      </c>
      <c r="K212" s="2">
        <v>106.9547</v>
      </c>
      <c r="L212" s="2">
        <v>282</v>
      </c>
      <c r="M212" s="2">
        <v>102.15479999999999</v>
      </c>
      <c r="N212" s="2">
        <v>163</v>
      </c>
      <c r="O212" s="2">
        <v>0.408304</v>
      </c>
      <c r="P212" s="2">
        <v>210</v>
      </c>
      <c r="Q212" s="2"/>
      <c r="R212" s="2"/>
      <c r="S212" s="2"/>
    </row>
    <row r="213" spans="1:19" ht="12.3" x14ac:dyDescent="0.4">
      <c r="A213" s="2" t="s">
        <v>249</v>
      </c>
      <c r="B213" s="2"/>
      <c r="C213" s="2">
        <v>66.246899999999997</v>
      </c>
      <c r="D213" s="2">
        <v>104</v>
      </c>
      <c r="E213" s="2">
        <v>65.754300000000001</v>
      </c>
      <c r="F213" s="2">
        <v>124</v>
      </c>
      <c r="G213" s="2">
        <v>96.489599999999996</v>
      </c>
      <c r="H213" s="2">
        <v>284</v>
      </c>
      <c r="I213" s="2">
        <v>100.38930000000001</v>
      </c>
      <c r="J213" s="2">
        <v>217</v>
      </c>
      <c r="K213" s="2">
        <v>103.6317</v>
      </c>
      <c r="L213" s="2">
        <v>203</v>
      </c>
      <c r="M213" s="2">
        <v>103.72329999999999</v>
      </c>
      <c r="N213" s="2">
        <v>196</v>
      </c>
      <c r="O213" s="2">
        <v>0.40716000000000002</v>
      </c>
      <c r="P213" s="2">
        <v>211</v>
      </c>
      <c r="Q213" s="2"/>
      <c r="R213" s="2"/>
      <c r="S213" s="2"/>
    </row>
    <row r="214" spans="1:19" ht="12.3" x14ac:dyDescent="0.4">
      <c r="A214" s="2" t="s">
        <v>211</v>
      </c>
      <c r="B214" s="2"/>
      <c r="C214" s="2">
        <v>67.697500000000005</v>
      </c>
      <c r="D214" s="2">
        <v>56</v>
      </c>
      <c r="E214" s="2">
        <v>67.821100000000001</v>
      </c>
      <c r="F214" s="2">
        <v>38</v>
      </c>
      <c r="G214" s="2">
        <v>106.2987</v>
      </c>
      <c r="H214" s="2">
        <v>82</v>
      </c>
      <c r="I214" s="2">
        <v>105.26609999999999</v>
      </c>
      <c r="J214" s="2">
        <v>105</v>
      </c>
      <c r="K214" s="2">
        <v>109.04219999999999</v>
      </c>
      <c r="L214" s="2">
        <v>311</v>
      </c>
      <c r="M214" s="2">
        <v>108.7811</v>
      </c>
      <c r="N214" s="2">
        <v>302</v>
      </c>
      <c r="O214" s="2">
        <v>0.40667500000000001</v>
      </c>
      <c r="P214" s="2">
        <v>212</v>
      </c>
      <c r="Q214" s="2"/>
      <c r="R214" s="2"/>
      <c r="S214" s="2"/>
    </row>
    <row r="215" spans="1:19" ht="12.3" x14ac:dyDescent="0.4">
      <c r="A215" s="2" t="s">
        <v>259</v>
      </c>
      <c r="B215" s="2"/>
      <c r="C215" s="2">
        <v>74.448599999999999</v>
      </c>
      <c r="D215" s="2">
        <v>2</v>
      </c>
      <c r="E215" s="2">
        <v>72.884900000000002</v>
      </c>
      <c r="F215" s="2">
        <v>4</v>
      </c>
      <c r="G215" s="2">
        <v>112.7389</v>
      </c>
      <c r="H215" s="2">
        <v>21</v>
      </c>
      <c r="I215" s="2">
        <v>111.43899999999999</v>
      </c>
      <c r="J215" s="2">
        <v>31</v>
      </c>
      <c r="K215" s="2">
        <v>112.6271</v>
      </c>
      <c r="L215" s="2">
        <v>344</v>
      </c>
      <c r="M215" s="2">
        <v>115.2453</v>
      </c>
      <c r="N215" s="2">
        <v>348</v>
      </c>
      <c r="O215" s="2">
        <v>0.40462500000000001</v>
      </c>
      <c r="P215" s="2">
        <v>213</v>
      </c>
      <c r="Q215" s="2"/>
      <c r="R215" s="2"/>
      <c r="S215" s="2"/>
    </row>
    <row r="216" spans="1:19" ht="12.3" x14ac:dyDescent="0.4">
      <c r="A216" s="2" t="s">
        <v>382</v>
      </c>
      <c r="B216" s="2"/>
      <c r="C216" s="2">
        <v>68.753100000000003</v>
      </c>
      <c r="D216" s="2">
        <v>26</v>
      </c>
      <c r="E216" s="2">
        <v>67.4285</v>
      </c>
      <c r="F216" s="2">
        <v>56</v>
      </c>
      <c r="G216" s="2">
        <v>109.38379999999999</v>
      </c>
      <c r="H216" s="2">
        <v>39</v>
      </c>
      <c r="I216" s="2">
        <v>106.5021</v>
      </c>
      <c r="J216" s="2">
        <v>77</v>
      </c>
      <c r="K216" s="2">
        <v>107.5613</v>
      </c>
      <c r="L216" s="2">
        <v>293</v>
      </c>
      <c r="M216" s="2">
        <v>110.15479999999999</v>
      </c>
      <c r="N216" s="2">
        <v>319</v>
      </c>
      <c r="O216" s="2">
        <v>0.40424700000000002</v>
      </c>
      <c r="P216" s="2">
        <v>214</v>
      </c>
      <c r="Q216" s="2"/>
      <c r="R216" s="2"/>
      <c r="S216" s="2"/>
    </row>
    <row r="217" spans="1:19" ht="12.3" x14ac:dyDescent="0.4">
      <c r="A217" s="2" t="s">
        <v>130</v>
      </c>
      <c r="B217" s="2"/>
      <c r="C217" s="2">
        <v>63.872599999999998</v>
      </c>
      <c r="D217" s="2">
        <v>231</v>
      </c>
      <c r="E217" s="2">
        <v>64.031700000000001</v>
      </c>
      <c r="F217" s="2">
        <v>209</v>
      </c>
      <c r="G217" s="2">
        <v>99.459699999999998</v>
      </c>
      <c r="H217" s="2">
        <v>235</v>
      </c>
      <c r="I217" s="2">
        <v>99.400599999999997</v>
      </c>
      <c r="J217" s="2">
        <v>232</v>
      </c>
      <c r="K217" s="2">
        <v>101.3391</v>
      </c>
      <c r="L217" s="2">
        <v>159</v>
      </c>
      <c r="M217" s="2">
        <v>102.8322</v>
      </c>
      <c r="N217" s="2">
        <v>177</v>
      </c>
      <c r="O217" s="2">
        <v>0.40364100000000003</v>
      </c>
      <c r="P217" s="2">
        <v>215</v>
      </c>
      <c r="Q217" s="2"/>
      <c r="R217" s="2"/>
      <c r="S217" s="2"/>
    </row>
    <row r="218" spans="1:19" ht="12.3" x14ac:dyDescent="0.4">
      <c r="A218" s="2" t="s">
        <v>138</v>
      </c>
      <c r="B218" s="2"/>
      <c r="C218" s="2">
        <v>65.302499999999995</v>
      </c>
      <c r="D218" s="2">
        <v>148</v>
      </c>
      <c r="E218" s="2">
        <v>65.384200000000007</v>
      </c>
      <c r="F218" s="2">
        <v>141</v>
      </c>
      <c r="G218" s="2">
        <v>102.2076</v>
      </c>
      <c r="H218" s="2">
        <v>174</v>
      </c>
      <c r="I218" s="2">
        <v>102.6737</v>
      </c>
      <c r="J218" s="2">
        <v>158</v>
      </c>
      <c r="K218" s="2">
        <v>105.2439</v>
      </c>
      <c r="L218" s="2">
        <v>245</v>
      </c>
      <c r="M218" s="2">
        <v>106.3505</v>
      </c>
      <c r="N218" s="2">
        <v>252</v>
      </c>
      <c r="O218" s="2">
        <v>0.400202</v>
      </c>
      <c r="P218" s="2">
        <v>216</v>
      </c>
      <c r="Q218" s="2"/>
      <c r="R218" s="2"/>
      <c r="S218" s="2"/>
    </row>
    <row r="219" spans="1:19" ht="12.3" x14ac:dyDescent="0.4">
      <c r="A219" s="2" t="s">
        <v>276</v>
      </c>
      <c r="B219" s="2"/>
      <c r="C219" s="2">
        <v>63.714599999999997</v>
      </c>
      <c r="D219" s="2">
        <v>242</v>
      </c>
      <c r="E219" s="2">
        <v>62.726799999999997</v>
      </c>
      <c r="F219" s="2">
        <v>276</v>
      </c>
      <c r="G219" s="2">
        <v>102.05889999999999</v>
      </c>
      <c r="H219" s="2">
        <v>177</v>
      </c>
      <c r="I219" s="2">
        <v>99.091499999999996</v>
      </c>
      <c r="J219" s="2">
        <v>236</v>
      </c>
      <c r="K219" s="2">
        <v>101.0736</v>
      </c>
      <c r="L219" s="2">
        <v>149</v>
      </c>
      <c r="M219" s="2">
        <v>102.6953</v>
      </c>
      <c r="N219" s="2">
        <v>174</v>
      </c>
      <c r="O219" s="2">
        <v>0.39871800000000002</v>
      </c>
      <c r="P219" s="2">
        <v>217</v>
      </c>
      <c r="Q219" s="2"/>
      <c r="R219" s="2"/>
      <c r="S219" s="2"/>
    </row>
    <row r="220" spans="1:19" ht="12.3" x14ac:dyDescent="0.4">
      <c r="A220" s="2" t="s">
        <v>147</v>
      </c>
      <c r="B220" s="2"/>
      <c r="C220" s="2">
        <v>64.788899999999998</v>
      </c>
      <c r="D220" s="2">
        <v>172</v>
      </c>
      <c r="E220" s="2">
        <v>64.456100000000006</v>
      </c>
      <c r="F220" s="2">
        <v>183</v>
      </c>
      <c r="G220" s="2">
        <v>96.779200000000003</v>
      </c>
      <c r="H220" s="2">
        <v>274</v>
      </c>
      <c r="I220" s="2">
        <v>100.82980000000001</v>
      </c>
      <c r="J220" s="2">
        <v>199</v>
      </c>
      <c r="K220" s="2">
        <v>105.7765</v>
      </c>
      <c r="L220" s="2">
        <v>257</v>
      </c>
      <c r="M220" s="2">
        <v>104.587</v>
      </c>
      <c r="N220" s="2">
        <v>214</v>
      </c>
      <c r="O220" s="2">
        <v>0.396341</v>
      </c>
      <c r="P220" s="2">
        <v>218</v>
      </c>
      <c r="Q220" s="2"/>
      <c r="R220" s="2"/>
      <c r="S220" s="2"/>
    </row>
    <row r="221" spans="1:19" ht="12.3" x14ac:dyDescent="0.4">
      <c r="A221" s="2" t="s">
        <v>123</v>
      </c>
      <c r="B221" s="2"/>
      <c r="C221" s="2">
        <v>64.9148</v>
      </c>
      <c r="D221" s="2">
        <v>164</v>
      </c>
      <c r="E221" s="2">
        <v>65.737099999999998</v>
      </c>
      <c r="F221" s="2">
        <v>127</v>
      </c>
      <c r="G221" s="2">
        <v>91.273600000000002</v>
      </c>
      <c r="H221" s="2">
        <v>338</v>
      </c>
      <c r="I221" s="2">
        <v>96.290800000000004</v>
      </c>
      <c r="J221" s="2">
        <v>286</v>
      </c>
      <c r="K221" s="2">
        <v>103.25060000000001</v>
      </c>
      <c r="L221" s="2">
        <v>193</v>
      </c>
      <c r="M221" s="2">
        <v>99.937899999999999</v>
      </c>
      <c r="N221" s="2">
        <v>120</v>
      </c>
      <c r="O221" s="2">
        <v>0.39471699999999998</v>
      </c>
      <c r="P221" s="2">
        <v>219</v>
      </c>
      <c r="Q221" s="2"/>
      <c r="R221" s="2"/>
      <c r="S221" s="2"/>
    </row>
    <row r="222" spans="1:19" ht="12.3" x14ac:dyDescent="0.4">
      <c r="A222" s="2" t="s">
        <v>206</v>
      </c>
      <c r="B222" s="2"/>
      <c r="C222" s="2">
        <v>62.000799999999998</v>
      </c>
      <c r="D222" s="2">
        <v>305</v>
      </c>
      <c r="E222" s="2">
        <v>61.812100000000001</v>
      </c>
      <c r="F222" s="2">
        <v>308</v>
      </c>
      <c r="G222" s="2">
        <v>99.883899999999997</v>
      </c>
      <c r="H222" s="2">
        <v>223</v>
      </c>
      <c r="I222" s="2">
        <v>102.0099</v>
      </c>
      <c r="J222" s="2">
        <v>171</v>
      </c>
      <c r="K222" s="2">
        <v>106.1267</v>
      </c>
      <c r="L222" s="2">
        <v>265</v>
      </c>
      <c r="M222" s="2">
        <v>106.42270000000001</v>
      </c>
      <c r="N222" s="2">
        <v>256</v>
      </c>
      <c r="O222" s="2">
        <v>0.38059700000000002</v>
      </c>
      <c r="P222" s="2">
        <v>220</v>
      </c>
      <c r="Q222" s="2"/>
      <c r="R222" s="2"/>
      <c r="S222" s="2"/>
    </row>
    <row r="223" spans="1:19" ht="12.3" x14ac:dyDescent="0.4">
      <c r="A223" s="2" t="s">
        <v>332</v>
      </c>
      <c r="B223" s="2"/>
      <c r="C223" s="2">
        <v>63.196800000000003</v>
      </c>
      <c r="D223" s="2">
        <v>263</v>
      </c>
      <c r="E223" s="2">
        <v>63.215200000000003</v>
      </c>
      <c r="F223" s="2">
        <v>263</v>
      </c>
      <c r="G223" s="2">
        <v>98.623599999999996</v>
      </c>
      <c r="H223" s="2">
        <v>251</v>
      </c>
      <c r="I223" s="2">
        <v>97.601799999999997</v>
      </c>
      <c r="J223" s="2">
        <v>262</v>
      </c>
      <c r="K223" s="2">
        <v>100.11</v>
      </c>
      <c r="L223" s="2">
        <v>126</v>
      </c>
      <c r="M223" s="2">
        <v>101.98350000000001</v>
      </c>
      <c r="N223" s="2">
        <v>159</v>
      </c>
      <c r="O223" s="2">
        <v>0.376361</v>
      </c>
      <c r="P223" s="2">
        <v>221</v>
      </c>
      <c r="Q223" s="2"/>
      <c r="R223" s="2"/>
      <c r="S223" s="2"/>
    </row>
    <row r="224" spans="1:19" ht="12.3" x14ac:dyDescent="0.4">
      <c r="A224" s="2" t="s">
        <v>286</v>
      </c>
      <c r="B224" s="2"/>
      <c r="C224" s="2">
        <v>58.241100000000003</v>
      </c>
      <c r="D224" s="2">
        <v>349</v>
      </c>
      <c r="E224" s="2">
        <v>57.572899999999997</v>
      </c>
      <c r="F224" s="2">
        <v>351</v>
      </c>
      <c r="G224" s="2">
        <v>105.1713</v>
      </c>
      <c r="H224" s="2">
        <v>100</v>
      </c>
      <c r="I224" s="2">
        <v>103.7491</v>
      </c>
      <c r="J224" s="2">
        <v>131</v>
      </c>
      <c r="K224" s="2">
        <v>107.19880000000001</v>
      </c>
      <c r="L224" s="2">
        <v>287</v>
      </c>
      <c r="M224" s="2">
        <v>108.413</v>
      </c>
      <c r="N224" s="2">
        <v>296</v>
      </c>
      <c r="O224" s="2">
        <v>0.37620399999999998</v>
      </c>
      <c r="P224" s="2">
        <v>222</v>
      </c>
      <c r="Q224" s="2"/>
      <c r="R224" s="2"/>
      <c r="S224" s="2"/>
    </row>
    <row r="225" spans="1:19" ht="12.3" x14ac:dyDescent="0.4">
      <c r="A225" s="2" t="s">
        <v>284</v>
      </c>
      <c r="B225" s="2"/>
      <c r="C225" s="2">
        <v>65.028700000000001</v>
      </c>
      <c r="D225" s="2">
        <v>160</v>
      </c>
      <c r="E225" s="2">
        <v>65.666499999999999</v>
      </c>
      <c r="F225" s="2">
        <v>129</v>
      </c>
      <c r="G225" s="2">
        <v>96.646799999999999</v>
      </c>
      <c r="H225" s="2">
        <v>279</v>
      </c>
      <c r="I225" s="2">
        <v>95.867500000000007</v>
      </c>
      <c r="J225" s="2">
        <v>294</v>
      </c>
      <c r="K225" s="2">
        <v>102.1066</v>
      </c>
      <c r="L225" s="2">
        <v>171</v>
      </c>
      <c r="M225" s="2">
        <v>100.2585</v>
      </c>
      <c r="N225" s="2">
        <v>129</v>
      </c>
      <c r="O225" s="2">
        <v>0.37401600000000002</v>
      </c>
      <c r="P225" s="2">
        <v>223</v>
      </c>
      <c r="Q225" s="2"/>
      <c r="R225" s="2"/>
      <c r="S225" s="2"/>
    </row>
    <row r="226" spans="1:19" ht="12.3" x14ac:dyDescent="0.4">
      <c r="A226" s="2" t="s">
        <v>349</v>
      </c>
      <c r="B226" s="2"/>
      <c r="C226" s="2">
        <v>63.095399999999998</v>
      </c>
      <c r="D226" s="2">
        <v>268</v>
      </c>
      <c r="E226" s="2">
        <v>62.888599999999997</v>
      </c>
      <c r="F226" s="2">
        <v>271</v>
      </c>
      <c r="G226" s="2">
        <v>97.954899999999995</v>
      </c>
      <c r="H226" s="2">
        <v>261</v>
      </c>
      <c r="I226" s="2">
        <v>96.487300000000005</v>
      </c>
      <c r="J226" s="2">
        <v>280</v>
      </c>
      <c r="K226" s="2">
        <v>100.54259999999999</v>
      </c>
      <c r="L226" s="2">
        <v>136</v>
      </c>
      <c r="M226" s="2">
        <v>100.9121</v>
      </c>
      <c r="N226" s="2">
        <v>136</v>
      </c>
      <c r="O226" s="2">
        <v>0.37387199999999998</v>
      </c>
      <c r="P226" s="2">
        <v>224</v>
      </c>
      <c r="Q226" s="2"/>
      <c r="R226" s="2"/>
      <c r="S226" s="2"/>
    </row>
    <row r="227" spans="1:19" ht="12.3" x14ac:dyDescent="0.4">
      <c r="A227" s="2" t="s">
        <v>377</v>
      </c>
      <c r="B227" s="2"/>
      <c r="C227" s="2">
        <v>65.680199999999999</v>
      </c>
      <c r="D227" s="2">
        <v>132</v>
      </c>
      <c r="E227" s="2">
        <v>65.806399999999996</v>
      </c>
      <c r="F227" s="2">
        <v>122</v>
      </c>
      <c r="G227" s="2">
        <v>102.6876</v>
      </c>
      <c r="H227" s="2">
        <v>162</v>
      </c>
      <c r="I227" s="2">
        <v>101.2907</v>
      </c>
      <c r="J227" s="2">
        <v>188</v>
      </c>
      <c r="K227" s="2">
        <v>104.8353</v>
      </c>
      <c r="L227" s="2">
        <v>232</v>
      </c>
      <c r="M227" s="2">
        <v>105.9628</v>
      </c>
      <c r="N227" s="2">
        <v>242</v>
      </c>
      <c r="O227" s="2">
        <v>0.37318499999999999</v>
      </c>
      <c r="P227" s="2">
        <v>225</v>
      </c>
      <c r="Q227" s="2"/>
      <c r="R227" s="2"/>
      <c r="S227" s="2"/>
    </row>
    <row r="228" spans="1:19" ht="12.3" x14ac:dyDescent="0.4">
      <c r="A228" s="2" t="s">
        <v>151</v>
      </c>
      <c r="B228" s="2"/>
      <c r="C228" s="2">
        <v>67.183199999999999</v>
      </c>
      <c r="D228" s="2">
        <v>74</v>
      </c>
      <c r="E228" s="2">
        <v>66.963399999999993</v>
      </c>
      <c r="F228" s="2">
        <v>70</v>
      </c>
      <c r="G228" s="2">
        <v>100.066</v>
      </c>
      <c r="H228" s="2">
        <v>214</v>
      </c>
      <c r="I228" s="2">
        <v>101.93640000000001</v>
      </c>
      <c r="J228" s="2">
        <v>174</v>
      </c>
      <c r="K228" s="2">
        <v>107.2591</v>
      </c>
      <c r="L228" s="2">
        <v>289</v>
      </c>
      <c r="M228" s="2">
        <v>106.7929</v>
      </c>
      <c r="N228" s="2">
        <v>266</v>
      </c>
      <c r="O228" s="2">
        <v>0.36929800000000002</v>
      </c>
      <c r="P228" s="2">
        <v>226</v>
      </c>
      <c r="Q228" s="2"/>
      <c r="R228" s="2"/>
      <c r="S228" s="2"/>
    </row>
    <row r="229" spans="1:19" ht="12.3" x14ac:dyDescent="0.4">
      <c r="A229" s="2" t="s">
        <v>108</v>
      </c>
      <c r="B229" s="2"/>
      <c r="C229" s="2">
        <v>68.072500000000005</v>
      </c>
      <c r="D229" s="2">
        <v>42</v>
      </c>
      <c r="E229" s="2">
        <v>67.9773</v>
      </c>
      <c r="F229" s="2">
        <v>35</v>
      </c>
      <c r="G229" s="2">
        <v>104.3031</v>
      </c>
      <c r="H229" s="2">
        <v>119</v>
      </c>
      <c r="I229" s="2">
        <v>100.1219</v>
      </c>
      <c r="J229" s="2">
        <v>223</v>
      </c>
      <c r="K229" s="2">
        <v>105.3693</v>
      </c>
      <c r="L229" s="2">
        <v>248</v>
      </c>
      <c r="M229" s="2">
        <v>104.9644</v>
      </c>
      <c r="N229" s="2">
        <v>223</v>
      </c>
      <c r="O229" s="2">
        <v>0.367448</v>
      </c>
      <c r="P229" s="2">
        <v>227</v>
      </c>
      <c r="Q229" s="2"/>
      <c r="R229" s="2"/>
      <c r="S229" s="2"/>
    </row>
    <row r="230" spans="1:19" ht="12.3" x14ac:dyDescent="0.4">
      <c r="A230" s="2" t="s">
        <v>264</v>
      </c>
      <c r="B230" s="2"/>
      <c r="C230" s="2">
        <v>62.425400000000003</v>
      </c>
      <c r="D230" s="2">
        <v>294</v>
      </c>
      <c r="E230" s="2">
        <v>62.664299999999997</v>
      </c>
      <c r="F230" s="2">
        <v>277</v>
      </c>
      <c r="G230" s="2">
        <v>98.037599999999998</v>
      </c>
      <c r="H230" s="2">
        <v>260</v>
      </c>
      <c r="I230" s="2">
        <v>97.971000000000004</v>
      </c>
      <c r="J230" s="2">
        <v>255</v>
      </c>
      <c r="K230" s="2">
        <v>103.3227</v>
      </c>
      <c r="L230" s="2">
        <v>197</v>
      </c>
      <c r="M230" s="2">
        <v>102.7543</v>
      </c>
      <c r="N230" s="2">
        <v>176</v>
      </c>
      <c r="O230" s="2">
        <v>0.366282</v>
      </c>
      <c r="P230" s="2">
        <v>228</v>
      </c>
      <c r="Q230" s="2"/>
      <c r="R230" s="2"/>
      <c r="S230" s="2"/>
    </row>
    <row r="231" spans="1:19" ht="12.3" x14ac:dyDescent="0.4">
      <c r="A231" s="2" t="s">
        <v>125</v>
      </c>
      <c r="B231" s="2"/>
      <c r="C231" s="2">
        <v>65.373199999999997</v>
      </c>
      <c r="D231" s="2">
        <v>147</v>
      </c>
      <c r="E231" s="2">
        <v>64.631900000000002</v>
      </c>
      <c r="F231" s="2">
        <v>175</v>
      </c>
      <c r="G231" s="2">
        <v>102.6653</v>
      </c>
      <c r="H231" s="2">
        <v>166</v>
      </c>
      <c r="I231" s="2">
        <v>102.7692</v>
      </c>
      <c r="J231" s="2">
        <v>155</v>
      </c>
      <c r="K231" s="2">
        <v>104.8297</v>
      </c>
      <c r="L231" s="2">
        <v>231</v>
      </c>
      <c r="M231" s="2">
        <v>107.9586</v>
      </c>
      <c r="N231" s="2">
        <v>287</v>
      </c>
      <c r="O231" s="2">
        <v>0.362041</v>
      </c>
      <c r="P231" s="2">
        <v>229</v>
      </c>
      <c r="Q231" s="2"/>
      <c r="R231" s="2"/>
      <c r="S231" s="2"/>
    </row>
    <row r="232" spans="1:19" ht="12.3" x14ac:dyDescent="0.4">
      <c r="A232" s="2" t="s">
        <v>161</v>
      </c>
      <c r="B232" s="2"/>
      <c r="C232" s="2">
        <v>63.5807</v>
      </c>
      <c r="D232" s="2">
        <v>248</v>
      </c>
      <c r="E232" s="2">
        <v>63.3626</v>
      </c>
      <c r="F232" s="2">
        <v>254</v>
      </c>
      <c r="G232" s="2">
        <v>96.683899999999994</v>
      </c>
      <c r="H232" s="2">
        <v>277</v>
      </c>
      <c r="I232" s="2">
        <v>97.711699999999993</v>
      </c>
      <c r="J232" s="2">
        <v>259</v>
      </c>
      <c r="K232" s="2">
        <v>99.885999999999996</v>
      </c>
      <c r="L232" s="2">
        <v>122</v>
      </c>
      <c r="M232" s="2">
        <v>102.7329</v>
      </c>
      <c r="N232" s="2">
        <v>175</v>
      </c>
      <c r="O232" s="2">
        <v>0.35978900000000003</v>
      </c>
      <c r="P232" s="2">
        <v>230</v>
      </c>
      <c r="Q232" s="2"/>
      <c r="R232" s="2"/>
      <c r="S232" s="2"/>
    </row>
    <row r="233" spans="1:19" ht="12.3" x14ac:dyDescent="0.4">
      <c r="A233" s="2" t="s">
        <v>316</v>
      </c>
      <c r="B233" s="2"/>
      <c r="C233" s="2">
        <v>68.939400000000006</v>
      </c>
      <c r="D233" s="2">
        <v>23</v>
      </c>
      <c r="E233" s="2">
        <v>68.954599999999999</v>
      </c>
      <c r="F233" s="2">
        <v>23</v>
      </c>
      <c r="G233" s="2">
        <v>102.9757</v>
      </c>
      <c r="H233" s="2">
        <v>154</v>
      </c>
      <c r="I233" s="2">
        <v>102.08150000000001</v>
      </c>
      <c r="J233" s="2">
        <v>169</v>
      </c>
      <c r="K233" s="2">
        <v>104.77679999999999</v>
      </c>
      <c r="L233" s="2">
        <v>230</v>
      </c>
      <c r="M233" s="2">
        <v>107.60299999999999</v>
      </c>
      <c r="N233" s="2">
        <v>276</v>
      </c>
      <c r="O233" s="2">
        <v>0.35302099999999997</v>
      </c>
      <c r="P233" s="2">
        <v>231</v>
      </c>
      <c r="Q233" s="2"/>
      <c r="R233" s="2"/>
      <c r="S233" s="2"/>
    </row>
    <row r="234" spans="1:19" ht="12.3" x14ac:dyDescent="0.4">
      <c r="A234" s="2" t="s">
        <v>380</v>
      </c>
      <c r="B234" s="2"/>
      <c r="C234" s="2">
        <v>64.741299999999995</v>
      </c>
      <c r="D234" s="2">
        <v>177</v>
      </c>
      <c r="E234" s="2">
        <v>63.930500000000002</v>
      </c>
      <c r="F234" s="2">
        <v>219</v>
      </c>
      <c r="G234" s="2">
        <v>104.7701</v>
      </c>
      <c r="H234" s="2">
        <v>110</v>
      </c>
      <c r="I234" s="2">
        <v>102.932</v>
      </c>
      <c r="J234" s="2">
        <v>151</v>
      </c>
      <c r="K234" s="2">
        <v>107.9808</v>
      </c>
      <c r="L234" s="2">
        <v>300</v>
      </c>
      <c r="M234" s="2">
        <v>108.7264</v>
      </c>
      <c r="N234" s="2">
        <v>300</v>
      </c>
      <c r="O234" s="2">
        <v>0.34755200000000003</v>
      </c>
      <c r="P234" s="2">
        <v>232</v>
      </c>
      <c r="Q234" s="2"/>
      <c r="R234" s="2"/>
      <c r="S234" s="2"/>
    </row>
    <row r="235" spans="1:19" ht="12.3" x14ac:dyDescent="0.4">
      <c r="A235" s="2" t="s">
        <v>304</v>
      </c>
      <c r="B235" s="2"/>
      <c r="C235" s="2">
        <v>68.210499999999996</v>
      </c>
      <c r="D235" s="2">
        <v>37</v>
      </c>
      <c r="E235" s="2">
        <v>67.572500000000005</v>
      </c>
      <c r="F235" s="2">
        <v>47</v>
      </c>
      <c r="G235" s="2">
        <v>110.2294</v>
      </c>
      <c r="H235" s="2">
        <v>32</v>
      </c>
      <c r="I235" s="2">
        <v>105.00620000000001</v>
      </c>
      <c r="J235" s="2">
        <v>109</v>
      </c>
      <c r="K235" s="2">
        <v>111.4926</v>
      </c>
      <c r="L235" s="2">
        <v>334</v>
      </c>
      <c r="M235" s="2">
        <v>110.92740000000001</v>
      </c>
      <c r="N235" s="2">
        <v>325</v>
      </c>
      <c r="O235" s="2">
        <v>0.34731699999999999</v>
      </c>
      <c r="P235" s="2">
        <v>233</v>
      </c>
      <c r="Q235" s="2"/>
      <c r="R235" s="2"/>
      <c r="S235" s="2"/>
    </row>
    <row r="236" spans="1:19" ht="12.3" x14ac:dyDescent="0.4">
      <c r="A236" s="2" t="s">
        <v>82</v>
      </c>
      <c r="B236" s="2"/>
      <c r="C236" s="2">
        <v>61.508600000000001</v>
      </c>
      <c r="D236" s="2">
        <v>316</v>
      </c>
      <c r="E236" s="2">
        <v>62.896700000000003</v>
      </c>
      <c r="F236" s="2">
        <v>270</v>
      </c>
      <c r="G236" s="2">
        <v>95.915499999999994</v>
      </c>
      <c r="H236" s="2">
        <v>291</v>
      </c>
      <c r="I236" s="2">
        <v>96.059200000000004</v>
      </c>
      <c r="J236" s="2">
        <v>291</v>
      </c>
      <c r="K236" s="2">
        <v>100.81189999999999</v>
      </c>
      <c r="L236" s="2">
        <v>143</v>
      </c>
      <c r="M236" s="2">
        <v>101.5154</v>
      </c>
      <c r="N236" s="2">
        <v>149</v>
      </c>
      <c r="O236" s="2">
        <v>0.346304</v>
      </c>
      <c r="P236" s="2">
        <v>234</v>
      </c>
      <c r="Q236" s="2"/>
      <c r="R236" s="2"/>
      <c r="S236" s="2"/>
    </row>
    <row r="237" spans="1:19" ht="12.3" x14ac:dyDescent="0.4">
      <c r="A237" s="2" t="s">
        <v>246</v>
      </c>
      <c r="B237" s="2"/>
      <c r="C237" s="2">
        <v>66.464200000000005</v>
      </c>
      <c r="D237" s="2">
        <v>98</v>
      </c>
      <c r="E237" s="2">
        <v>66.089699999999993</v>
      </c>
      <c r="F237" s="2">
        <v>109</v>
      </c>
      <c r="G237" s="2">
        <v>102.67</v>
      </c>
      <c r="H237" s="2">
        <v>165</v>
      </c>
      <c r="I237" s="2">
        <v>99.016300000000001</v>
      </c>
      <c r="J237" s="2">
        <v>239</v>
      </c>
      <c r="K237" s="2">
        <v>105.9755</v>
      </c>
      <c r="L237" s="2">
        <v>260</v>
      </c>
      <c r="M237" s="2">
        <v>104.759</v>
      </c>
      <c r="N237" s="2">
        <v>217</v>
      </c>
      <c r="O237" s="2">
        <v>0.343362</v>
      </c>
      <c r="P237" s="2">
        <v>235</v>
      </c>
      <c r="Q237" s="2"/>
      <c r="R237" s="2"/>
      <c r="S237" s="2"/>
    </row>
    <row r="238" spans="1:19" ht="12.3" x14ac:dyDescent="0.4">
      <c r="A238" s="2" t="s">
        <v>303</v>
      </c>
      <c r="B238" s="2"/>
      <c r="C238" s="2">
        <v>66.474900000000005</v>
      </c>
      <c r="D238" s="2">
        <v>96</v>
      </c>
      <c r="E238" s="2">
        <v>66.453000000000003</v>
      </c>
      <c r="F238" s="2">
        <v>91</v>
      </c>
      <c r="G238" s="2">
        <v>101.8235</v>
      </c>
      <c r="H238" s="2">
        <v>179</v>
      </c>
      <c r="I238" s="2">
        <v>101.02630000000001</v>
      </c>
      <c r="J238" s="2">
        <v>192</v>
      </c>
      <c r="K238" s="2">
        <v>104.2723</v>
      </c>
      <c r="L238" s="2">
        <v>219</v>
      </c>
      <c r="M238" s="2">
        <v>106.9331</v>
      </c>
      <c r="N238" s="2">
        <v>268</v>
      </c>
      <c r="O238" s="2">
        <v>0.34221000000000001</v>
      </c>
      <c r="P238" s="2">
        <v>236</v>
      </c>
      <c r="Q238" s="2"/>
      <c r="R238" s="2"/>
      <c r="S238" s="2"/>
    </row>
    <row r="239" spans="1:19" ht="12.3" x14ac:dyDescent="0.4">
      <c r="A239" s="2" t="s">
        <v>126</v>
      </c>
      <c r="B239" s="2"/>
      <c r="C239" s="2">
        <v>61.775700000000001</v>
      </c>
      <c r="D239" s="2">
        <v>310</v>
      </c>
      <c r="E239" s="2">
        <v>61.863999999999997</v>
      </c>
      <c r="F239" s="2">
        <v>306</v>
      </c>
      <c r="G239" s="2">
        <v>100.2826</v>
      </c>
      <c r="H239" s="2">
        <v>210</v>
      </c>
      <c r="I239" s="2">
        <v>100.4773</v>
      </c>
      <c r="J239" s="2">
        <v>214</v>
      </c>
      <c r="K239" s="2">
        <v>110.9314</v>
      </c>
      <c r="L239" s="2">
        <v>330</v>
      </c>
      <c r="M239" s="2">
        <v>106.4131</v>
      </c>
      <c r="N239" s="2">
        <v>255</v>
      </c>
      <c r="O239" s="2">
        <v>0.340725</v>
      </c>
      <c r="P239" s="2">
        <v>237</v>
      </c>
      <c r="Q239" s="2"/>
      <c r="R239" s="2"/>
      <c r="S239" s="2"/>
    </row>
    <row r="240" spans="1:19" ht="12.3" x14ac:dyDescent="0.4">
      <c r="A240" s="2" t="s">
        <v>375</v>
      </c>
      <c r="B240" s="2"/>
      <c r="C240" s="2">
        <v>63.753700000000002</v>
      </c>
      <c r="D240" s="2">
        <v>241</v>
      </c>
      <c r="E240" s="2">
        <v>63.304699999999997</v>
      </c>
      <c r="F240" s="2">
        <v>256</v>
      </c>
      <c r="G240" s="2">
        <v>103.09569999999999</v>
      </c>
      <c r="H240" s="2">
        <v>149</v>
      </c>
      <c r="I240" s="2">
        <v>102.7565</v>
      </c>
      <c r="J240" s="2">
        <v>156</v>
      </c>
      <c r="K240" s="2">
        <v>105.2341</v>
      </c>
      <c r="L240" s="2">
        <v>244</v>
      </c>
      <c r="M240" s="2">
        <v>108.9341</v>
      </c>
      <c r="N240" s="2">
        <v>305</v>
      </c>
      <c r="O240" s="2">
        <v>0.33818700000000002</v>
      </c>
      <c r="P240" s="2">
        <v>238</v>
      </c>
      <c r="Q240" s="2"/>
      <c r="R240" s="2"/>
      <c r="S240" s="2"/>
    </row>
    <row r="241" spans="1:19" ht="12.3" x14ac:dyDescent="0.4">
      <c r="A241" s="2" t="s">
        <v>354</v>
      </c>
      <c r="B241" s="2"/>
      <c r="C241" s="2">
        <v>62.887799999999999</v>
      </c>
      <c r="D241" s="2">
        <v>278</v>
      </c>
      <c r="E241" s="2">
        <v>61.579099999999997</v>
      </c>
      <c r="F241" s="2">
        <v>313</v>
      </c>
      <c r="G241" s="2">
        <v>92.350200000000001</v>
      </c>
      <c r="H241" s="2">
        <v>328</v>
      </c>
      <c r="I241" s="2">
        <v>91.585300000000004</v>
      </c>
      <c r="J241" s="2">
        <v>332</v>
      </c>
      <c r="K241" s="2">
        <v>95.847700000000003</v>
      </c>
      <c r="L241" s="2">
        <v>44</v>
      </c>
      <c r="M241" s="2">
        <v>97.158199999999994</v>
      </c>
      <c r="N241" s="2">
        <v>72</v>
      </c>
      <c r="O241" s="2">
        <v>0.33641700000000002</v>
      </c>
      <c r="P241" s="2">
        <v>239</v>
      </c>
      <c r="Q241" s="2"/>
      <c r="R241" s="2"/>
      <c r="S241" s="2"/>
    </row>
    <row r="242" spans="1:19" ht="12.3" x14ac:dyDescent="0.4">
      <c r="A242" s="2" t="s">
        <v>281</v>
      </c>
      <c r="B242" s="2"/>
      <c r="C242" s="2">
        <v>68.733900000000006</v>
      </c>
      <c r="D242" s="2">
        <v>27</v>
      </c>
      <c r="E242" s="2">
        <v>68.295000000000002</v>
      </c>
      <c r="F242" s="2">
        <v>29</v>
      </c>
      <c r="G242" s="2">
        <v>102.8931</v>
      </c>
      <c r="H242" s="2">
        <v>155</v>
      </c>
      <c r="I242" s="2">
        <v>100.6614</v>
      </c>
      <c r="J242" s="2">
        <v>205</v>
      </c>
      <c r="K242" s="2">
        <v>105.03270000000001</v>
      </c>
      <c r="L242" s="2">
        <v>239</v>
      </c>
      <c r="M242" s="2">
        <v>106.79649999999999</v>
      </c>
      <c r="N242" s="2">
        <v>267</v>
      </c>
      <c r="O242" s="2">
        <v>0.33617900000000001</v>
      </c>
      <c r="P242" s="2">
        <v>240</v>
      </c>
      <c r="Q242" s="2"/>
      <c r="R242" s="2"/>
      <c r="S242" s="2"/>
    </row>
    <row r="243" spans="1:19" ht="12.3" x14ac:dyDescent="0.4">
      <c r="A243" s="2" t="s">
        <v>184</v>
      </c>
      <c r="B243" s="2"/>
      <c r="C243" s="2">
        <v>66.495400000000004</v>
      </c>
      <c r="D243" s="2">
        <v>95</v>
      </c>
      <c r="E243" s="2">
        <v>65.850499999999997</v>
      </c>
      <c r="F243" s="2">
        <v>119</v>
      </c>
      <c r="G243" s="2">
        <v>96.394599999999997</v>
      </c>
      <c r="H243" s="2">
        <v>285</v>
      </c>
      <c r="I243" s="2">
        <v>97.518600000000006</v>
      </c>
      <c r="J243" s="2">
        <v>265</v>
      </c>
      <c r="K243" s="2">
        <v>102.9288</v>
      </c>
      <c r="L243" s="2">
        <v>186</v>
      </c>
      <c r="M243" s="2">
        <v>103.50709999999999</v>
      </c>
      <c r="N243" s="2">
        <v>189</v>
      </c>
      <c r="O243" s="2">
        <v>0.335065</v>
      </c>
      <c r="P243" s="2">
        <v>241</v>
      </c>
      <c r="Q243" s="2"/>
      <c r="R243" s="2"/>
      <c r="S243" s="2"/>
    </row>
    <row r="244" spans="1:19" ht="12.3" x14ac:dyDescent="0.4">
      <c r="A244" s="2" t="s">
        <v>203</v>
      </c>
      <c r="B244" s="2"/>
      <c r="C244" s="2">
        <v>63.603000000000002</v>
      </c>
      <c r="D244" s="2">
        <v>246</v>
      </c>
      <c r="E244" s="2">
        <v>64.801199999999994</v>
      </c>
      <c r="F244" s="2">
        <v>164</v>
      </c>
      <c r="G244" s="2">
        <v>105.973</v>
      </c>
      <c r="H244" s="2">
        <v>88</v>
      </c>
      <c r="I244" s="2">
        <v>103.7227</v>
      </c>
      <c r="J244" s="2">
        <v>134</v>
      </c>
      <c r="K244" s="2">
        <v>110.0368</v>
      </c>
      <c r="L244" s="2">
        <v>325</v>
      </c>
      <c r="M244" s="2">
        <v>110.1712</v>
      </c>
      <c r="N244" s="2">
        <v>320</v>
      </c>
      <c r="O244" s="2">
        <v>0.33323000000000003</v>
      </c>
      <c r="P244" s="2">
        <v>242</v>
      </c>
      <c r="Q244" s="2"/>
      <c r="R244" s="2"/>
      <c r="S244" s="2"/>
    </row>
    <row r="245" spans="1:19" ht="12.3" x14ac:dyDescent="0.4">
      <c r="A245" s="2" t="s">
        <v>178</v>
      </c>
      <c r="B245" s="2"/>
      <c r="C245" s="2">
        <v>63.181699999999999</v>
      </c>
      <c r="D245" s="2">
        <v>265</v>
      </c>
      <c r="E245" s="2">
        <v>63.948599999999999</v>
      </c>
      <c r="F245" s="2">
        <v>217</v>
      </c>
      <c r="G245" s="2">
        <v>100.91800000000001</v>
      </c>
      <c r="H245" s="2">
        <v>198</v>
      </c>
      <c r="I245" s="2">
        <v>100.0629</v>
      </c>
      <c r="J245" s="2">
        <v>225</v>
      </c>
      <c r="K245" s="2">
        <v>104.7174</v>
      </c>
      <c r="L245" s="2">
        <v>228</v>
      </c>
      <c r="M245" s="2">
        <v>106.295</v>
      </c>
      <c r="N245" s="2">
        <v>250</v>
      </c>
      <c r="O245" s="2">
        <v>0.33295999999999998</v>
      </c>
      <c r="P245" s="2">
        <v>243</v>
      </c>
      <c r="Q245" s="2"/>
      <c r="R245" s="2"/>
      <c r="S245" s="2"/>
    </row>
    <row r="246" spans="1:19" ht="12.3" x14ac:dyDescent="0.4">
      <c r="A246" s="2" t="s">
        <v>373</v>
      </c>
      <c r="B246" s="2"/>
      <c r="C246" s="2">
        <v>66.418800000000005</v>
      </c>
      <c r="D246" s="2">
        <v>101</v>
      </c>
      <c r="E246" s="2">
        <v>66.757999999999996</v>
      </c>
      <c r="F246" s="2">
        <v>76</v>
      </c>
      <c r="G246" s="2">
        <v>97.888000000000005</v>
      </c>
      <c r="H246" s="2">
        <v>263</v>
      </c>
      <c r="I246" s="2">
        <v>96.121499999999997</v>
      </c>
      <c r="J246" s="2">
        <v>288</v>
      </c>
      <c r="K246" s="2">
        <v>102.11369999999999</v>
      </c>
      <c r="L246" s="2">
        <v>172</v>
      </c>
      <c r="M246" s="2">
        <v>102.2908</v>
      </c>
      <c r="N246" s="2">
        <v>167</v>
      </c>
      <c r="O246" s="2">
        <v>0.32841100000000001</v>
      </c>
      <c r="P246" s="2">
        <v>244</v>
      </c>
      <c r="Q246" s="2"/>
      <c r="R246" s="2"/>
      <c r="S246" s="2"/>
    </row>
    <row r="247" spans="1:19" ht="12.3" x14ac:dyDescent="0.4">
      <c r="A247" s="2" t="s">
        <v>266</v>
      </c>
      <c r="B247" s="2"/>
      <c r="C247" s="2">
        <v>67.488799999999998</v>
      </c>
      <c r="D247" s="2">
        <v>61</v>
      </c>
      <c r="E247" s="2">
        <v>66.514700000000005</v>
      </c>
      <c r="F247" s="2">
        <v>89</v>
      </c>
      <c r="G247" s="2">
        <v>100.8723</v>
      </c>
      <c r="H247" s="2">
        <v>200</v>
      </c>
      <c r="I247" s="2">
        <v>98.540300000000002</v>
      </c>
      <c r="J247" s="2">
        <v>247</v>
      </c>
      <c r="K247" s="2">
        <v>107.3014</v>
      </c>
      <c r="L247" s="2">
        <v>290</v>
      </c>
      <c r="M247" s="2">
        <v>104.9509</v>
      </c>
      <c r="N247" s="2">
        <v>221</v>
      </c>
      <c r="O247" s="2">
        <v>0.32633499999999999</v>
      </c>
      <c r="P247" s="2">
        <v>245</v>
      </c>
      <c r="Q247" s="2"/>
      <c r="R247" s="2"/>
      <c r="S247" s="2"/>
    </row>
    <row r="248" spans="1:19" ht="12.3" x14ac:dyDescent="0.4">
      <c r="A248" s="2" t="s">
        <v>265</v>
      </c>
      <c r="B248" s="2"/>
      <c r="C248" s="2">
        <v>68.517499999999998</v>
      </c>
      <c r="D248" s="2">
        <v>32</v>
      </c>
      <c r="E248" s="2">
        <v>67.087000000000003</v>
      </c>
      <c r="F248" s="2">
        <v>65</v>
      </c>
      <c r="G248" s="2">
        <v>100.6977</v>
      </c>
      <c r="H248" s="2">
        <v>204</v>
      </c>
      <c r="I248" s="2">
        <v>102.2098</v>
      </c>
      <c r="J248" s="2">
        <v>168</v>
      </c>
      <c r="K248" s="2">
        <v>104.8809</v>
      </c>
      <c r="L248" s="2">
        <v>233</v>
      </c>
      <c r="M248" s="2">
        <v>108.8947</v>
      </c>
      <c r="N248" s="2">
        <v>304</v>
      </c>
      <c r="O248" s="2">
        <v>0.32550899999999999</v>
      </c>
      <c r="P248" s="2">
        <v>246</v>
      </c>
      <c r="Q248" s="2"/>
      <c r="R248" s="2"/>
      <c r="S248" s="2"/>
    </row>
    <row r="249" spans="1:19" ht="12.3" x14ac:dyDescent="0.4">
      <c r="A249" s="2" t="s">
        <v>174</v>
      </c>
      <c r="B249" s="2"/>
      <c r="C249" s="2">
        <v>65.755600000000001</v>
      </c>
      <c r="D249" s="2">
        <v>126</v>
      </c>
      <c r="E249" s="2">
        <v>65.870900000000006</v>
      </c>
      <c r="F249" s="2">
        <v>118</v>
      </c>
      <c r="G249" s="2">
        <v>99.166499999999999</v>
      </c>
      <c r="H249" s="2">
        <v>241</v>
      </c>
      <c r="I249" s="2">
        <v>99.965999999999994</v>
      </c>
      <c r="J249" s="2">
        <v>227</v>
      </c>
      <c r="K249" s="2">
        <v>108.16679999999999</v>
      </c>
      <c r="L249" s="2">
        <v>303</v>
      </c>
      <c r="M249" s="2">
        <v>106.547</v>
      </c>
      <c r="N249" s="2">
        <v>260</v>
      </c>
      <c r="O249" s="2">
        <v>0.32449299999999998</v>
      </c>
      <c r="P249" s="2">
        <v>247</v>
      </c>
      <c r="Q249" s="2"/>
      <c r="R249" s="2"/>
      <c r="S249" s="2"/>
    </row>
    <row r="250" spans="1:19" ht="12.3" x14ac:dyDescent="0.4">
      <c r="A250" s="2" t="s">
        <v>210</v>
      </c>
      <c r="B250" s="2"/>
      <c r="C250" s="2">
        <v>61.673200000000001</v>
      </c>
      <c r="D250" s="2">
        <v>314</v>
      </c>
      <c r="E250" s="2">
        <v>60.905500000000004</v>
      </c>
      <c r="F250" s="2">
        <v>329</v>
      </c>
      <c r="G250" s="2">
        <v>96.939700000000002</v>
      </c>
      <c r="H250" s="2">
        <v>273</v>
      </c>
      <c r="I250" s="2">
        <v>98.355699999999999</v>
      </c>
      <c r="J250" s="2">
        <v>249</v>
      </c>
      <c r="K250" s="2">
        <v>103.80410000000001</v>
      </c>
      <c r="L250" s="2">
        <v>209</v>
      </c>
      <c r="M250" s="2">
        <v>104.8729</v>
      </c>
      <c r="N250" s="2">
        <v>219</v>
      </c>
      <c r="O250" s="2">
        <v>0.32348199999999999</v>
      </c>
      <c r="P250" s="2">
        <v>248</v>
      </c>
      <c r="Q250" s="2"/>
      <c r="R250" s="2"/>
      <c r="S250" s="2"/>
    </row>
    <row r="251" spans="1:19" ht="12.3" x14ac:dyDescent="0.4">
      <c r="A251" s="2" t="s">
        <v>171</v>
      </c>
      <c r="B251" s="2"/>
      <c r="C251" s="2">
        <v>64.330799999999996</v>
      </c>
      <c r="D251" s="2">
        <v>200</v>
      </c>
      <c r="E251" s="2">
        <v>63.641599999999997</v>
      </c>
      <c r="F251" s="2">
        <v>241</v>
      </c>
      <c r="G251" s="2">
        <v>97.370900000000006</v>
      </c>
      <c r="H251" s="2">
        <v>269</v>
      </c>
      <c r="I251" s="2">
        <v>96.203299999999999</v>
      </c>
      <c r="J251" s="2">
        <v>287</v>
      </c>
      <c r="K251" s="2">
        <v>105.4226</v>
      </c>
      <c r="L251" s="2">
        <v>249</v>
      </c>
      <c r="M251" s="2">
        <v>102.88930000000001</v>
      </c>
      <c r="N251" s="2">
        <v>179</v>
      </c>
      <c r="O251" s="2">
        <v>0.31590000000000001</v>
      </c>
      <c r="P251" s="2">
        <v>249</v>
      </c>
      <c r="Q251" s="2"/>
      <c r="R251" s="2"/>
      <c r="S251" s="2"/>
    </row>
    <row r="252" spans="1:19" ht="12.3" x14ac:dyDescent="0.4">
      <c r="A252" s="2" t="s">
        <v>242</v>
      </c>
      <c r="B252" s="2"/>
      <c r="C252" s="2">
        <v>64.088300000000004</v>
      </c>
      <c r="D252" s="2">
        <v>219</v>
      </c>
      <c r="E252" s="2">
        <v>63.222900000000003</v>
      </c>
      <c r="F252" s="2">
        <v>262</v>
      </c>
      <c r="G252" s="2">
        <v>93.459599999999995</v>
      </c>
      <c r="H252" s="2">
        <v>316</v>
      </c>
      <c r="I252" s="2">
        <v>92.4298</v>
      </c>
      <c r="J252" s="2">
        <v>325</v>
      </c>
      <c r="K252" s="2">
        <v>96.753900000000002</v>
      </c>
      <c r="L252" s="2">
        <v>65</v>
      </c>
      <c r="M252" s="2">
        <v>99.134100000000004</v>
      </c>
      <c r="N252" s="2">
        <v>104</v>
      </c>
      <c r="O252" s="2">
        <v>0.30889899999999998</v>
      </c>
      <c r="P252" s="2">
        <v>251</v>
      </c>
      <c r="Q252" s="2"/>
      <c r="R252" s="2"/>
      <c r="S252" s="2"/>
    </row>
    <row r="253" spans="1:19" ht="12.3" x14ac:dyDescent="0.4">
      <c r="A253" s="2" t="s">
        <v>114</v>
      </c>
      <c r="B253" s="2"/>
      <c r="C253" s="2">
        <v>67.218400000000003</v>
      </c>
      <c r="D253" s="2">
        <v>71</v>
      </c>
      <c r="E253" s="2">
        <v>66.660799999999995</v>
      </c>
      <c r="F253" s="2">
        <v>81</v>
      </c>
      <c r="G253" s="2">
        <v>102.8246</v>
      </c>
      <c r="H253" s="2">
        <v>157</v>
      </c>
      <c r="I253" s="2">
        <v>102.29810000000001</v>
      </c>
      <c r="J253" s="2">
        <v>165</v>
      </c>
      <c r="K253" s="2">
        <v>106.9594</v>
      </c>
      <c r="L253" s="2">
        <v>283</v>
      </c>
      <c r="M253" s="2">
        <v>109.7479</v>
      </c>
      <c r="N253" s="2">
        <v>317</v>
      </c>
      <c r="O253" s="2">
        <v>0.30823200000000001</v>
      </c>
      <c r="P253" s="2">
        <v>252</v>
      </c>
      <c r="Q253" s="2"/>
      <c r="R253" s="2"/>
      <c r="S253" s="2"/>
    </row>
    <row r="254" spans="1:19" ht="12.3" x14ac:dyDescent="0.4">
      <c r="A254" s="2" t="s">
        <v>379</v>
      </c>
      <c r="B254" s="2"/>
      <c r="C254" s="2">
        <v>73.401300000000006</v>
      </c>
      <c r="D254" s="2">
        <v>4</v>
      </c>
      <c r="E254" s="2">
        <v>73.897300000000001</v>
      </c>
      <c r="F254" s="2">
        <v>3</v>
      </c>
      <c r="G254" s="2">
        <v>102.9868</v>
      </c>
      <c r="H254" s="2">
        <v>153</v>
      </c>
      <c r="I254" s="2">
        <v>100.68210000000001</v>
      </c>
      <c r="J254" s="2">
        <v>204</v>
      </c>
      <c r="K254" s="2">
        <v>105.9268</v>
      </c>
      <c r="L254" s="2">
        <v>259</v>
      </c>
      <c r="M254" s="2">
        <v>108.0519</v>
      </c>
      <c r="N254" s="2">
        <v>290</v>
      </c>
      <c r="O254" s="2">
        <v>0.30737700000000001</v>
      </c>
      <c r="P254" s="2">
        <v>253</v>
      </c>
      <c r="Q254" s="2"/>
      <c r="R254" s="2"/>
      <c r="S254" s="2"/>
    </row>
    <row r="255" spans="1:19" ht="12.3" x14ac:dyDescent="0.4">
      <c r="A255" s="2" t="s">
        <v>306</v>
      </c>
      <c r="B255" s="2"/>
      <c r="C255" s="2">
        <v>68.188900000000004</v>
      </c>
      <c r="D255" s="2">
        <v>38</v>
      </c>
      <c r="E255" s="2">
        <v>68.212299999999999</v>
      </c>
      <c r="F255" s="2">
        <v>31</v>
      </c>
      <c r="G255" s="2">
        <v>98.270399999999995</v>
      </c>
      <c r="H255" s="2">
        <v>255</v>
      </c>
      <c r="I255" s="2">
        <v>96.865799999999993</v>
      </c>
      <c r="J255" s="2">
        <v>275</v>
      </c>
      <c r="K255" s="2">
        <v>103.45050000000001</v>
      </c>
      <c r="L255" s="2">
        <v>199</v>
      </c>
      <c r="M255" s="2">
        <v>104.1208</v>
      </c>
      <c r="N255" s="2">
        <v>204</v>
      </c>
      <c r="O255" s="2">
        <v>0.30352000000000001</v>
      </c>
      <c r="P255" s="2">
        <v>254</v>
      </c>
      <c r="Q255" s="2"/>
      <c r="R255" s="2"/>
      <c r="S255" s="2"/>
    </row>
    <row r="256" spans="1:19" ht="12.3" x14ac:dyDescent="0.4">
      <c r="A256" s="2" t="s">
        <v>269</v>
      </c>
      <c r="B256" s="2"/>
      <c r="C256" s="2">
        <v>66.956900000000005</v>
      </c>
      <c r="D256" s="2">
        <v>76</v>
      </c>
      <c r="E256" s="2">
        <v>66.245900000000006</v>
      </c>
      <c r="F256" s="2">
        <v>101</v>
      </c>
      <c r="G256" s="2">
        <v>104.6827</v>
      </c>
      <c r="H256" s="2">
        <v>113</v>
      </c>
      <c r="I256" s="2">
        <v>100.8249</v>
      </c>
      <c r="J256" s="2">
        <v>200</v>
      </c>
      <c r="K256" s="2">
        <v>109.3064</v>
      </c>
      <c r="L256" s="2">
        <v>315</v>
      </c>
      <c r="M256" s="2">
        <v>108.37779999999999</v>
      </c>
      <c r="N256" s="2">
        <v>295</v>
      </c>
      <c r="O256" s="2">
        <v>0.30348999999999998</v>
      </c>
      <c r="P256" s="2">
        <v>255</v>
      </c>
      <c r="Q256" s="2"/>
      <c r="R256" s="2"/>
      <c r="S256" s="2"/>
    </row>
    <row r="257" spans="1:19" ht="12.3" x14ac:dyDescent="0.4">
      <c r="A257" s="2" t="s">
        <v>233</v>
      </c>
      <c r="B257" s="2"/>
      <c r="C257" s="2">
        <v>67.105599999999995</v>
      </c>
      <c r="D257" s="2">
        <v>75</v>
      </c>
      <c r="E257" s="2">
        <v>67.974999999999994</v>
      </c>
      <c r="F257" s="2">
        <v>36</v>
      </c>
      <c r="G257" s="2">
        <v>96.493600000000001</v>
      </c>
      <c r="H257" s="2">
        <v>283</v>
      </c>
      <c r="I257" s="2">
        <v>97.595699999999994</v>
      </c>
      <c r="J257" s="2">
        <v>264</v>
      </c>
      <c r="K257" s="2">
        <v>104.377</v>
      </c>
      <c r="L257" s="2">
        <v>220</v>
      </c>
      <c r="M257" s="2">
        <v>104.961</v>
      </c>
      <c r="N257" s="2">
        <v>222</v>
      </c>
      <c r="O257" s="2">
        <v>0.30223299999999997</v>
      </c>
      <c r="P257" s="2">
        <v>256</v>
      </c>
      <c r="Q257" s="2"/>
      <c r="R257" s="2"/>
      <c r="S257" s="2"/>
    </row>
    <row r="258" spans="1:19" ht="12.3" x14ac:dyDescent="0.4">
      <c r="A258" s="2" t="s">
        <v>370</v>
      </c>
      <c r="B258" s="2"/>
      <c r="C258" s="2">
        <v>60.524299999999997</v>
      </c>
      <c r="D258" s="2">
        <v>336</v>
      </c>
      <c r="E258" s="2">
        <v>61.014899999999997</v>
      </c>
      <c r="F258" s="2">
        <v>326</v>
      </c>
      <c r="G258" s="2">
        <v>99.523799999999994</v>
      </c>
      <c r="H258" s="2">
        <v>233</v>
      </c>
      <c r="I258" s="2">
        <v>98.23</v>
      </c>
      <c r="J258" s="2">
        <v>252</v>
      </c>
      <c r="K258" s="2">
        <v>100.0975</v>
      </c>
      <c r="L258" s="2">
        <v>125</v>
      </c>
      <c r="M258" s="2">
        <v>105.6807</v>
      </c>
      <c r="N258" s="2">
        <v>237</v>
      </c>
      <c r="O258" s="2">
        <v>0.30137199999999997</v>
      </c>
      <c r="P258" s="2">
        <v>257</v>
      </c>
      <c r="Q258" s="2"/>
      <c r="R258" s="2"/>
      <c r="S258" s="2"/>
    </row>
    <row r="259" spans="1:19" ht="12.3" x14ac:dyDescent="0.4">
      <c r="A259" s="2" t="s">
        <v>297</v>
      </c>
      <c r="B259" s="2"/>
      <c r="C259" s="2">
        <v>69.219700000000003</v>
      </c>
      <c r="D259" s="2">
        <v>17</v>
      </c>
      <c r="E259" s="2">
        <v>67.537700000000001</v>
      </c>
      <c r="F259" s="2">
        <v>51</v>
      </c>
      <c r="G259" s="2">
        <v>101.64060000000001</v>
      </c>
      <c r="H259" s="2">
        <v>183</v>
      </c>
      <c r="I259" s="2">
        <v>95.815299999999993</v>
      </c>
      <c r="J259" s="2">
        <v>296</v>
      </c>
      <c r="K259" s="2">
        <v>96.0745</v>
      </c>
      <c r="L259" s="2">
        <v>47</v>
      </c>
      <c r="M259" s="2">
        <v>103.2803</v>
      </c>
      <c r="N259" s="2">
        <v>183</v>
      </c>
      <c r="O259" s="2">
        <v>0.29675800000000002</v>
      </c>
      <c r="P259" s="2">
        <v>258</v>
      </c>
      <c r="Q259" s="2"/>
      <c r="R259" s="2"/>
      <c r="S259" s="2"/>
    </row>
    <row r="260" spans="1:19" ht="12.3" x14ac:dyDescent="0.4">
      <c r="A260" s="2" t="s">
        <v>358</v>
      </c>
      <c r="B260" s="2"/>
      <c r="C260" s="2">
        <v>64.174599999999998</v>
      </c>
      <c r="D260" s="2">
        <v>212</v>
      </c>
      <c r="E260" s="2">
        <v>63.565600000000003</v>
      </c>
      <c r="F260" s="2">
        <v>248</v>
      </c>
      <c r="G260" s="2">
        <v>113.01220000000001</v>
      </c>
      <c r="H260" s="2">
        <v>18</v>
      </c>
      <c r="I260" s="2">
        <v>107.6771</v>
      </c>
      <c r="J260" s="2">
        <v>65</v>
      </c>
      <c r="K260" s="2">
        <v>114.1934</v>
      </c>
      <c r="L260" s="2">
        <v>349</v>
      </c>
      <c r="M260" s="2">
        <v>116.1155</v>
      </c>
      <c r="N260" s="2">
        <v>350</v>
      </c>
      <c r="O260" s="2">
        <v>0.295742</v>
      </c>
      <c r="P260" s="2">
        <v>259</v>
      </c>
      <c r="Q260" s="2"/>
      <c r="R260" s="2"/>
      <c r="S260" s="2"/>
    </row>
    <row r="261" spans="1:19" ht="12.3" x14ac:dyDescent="0.4">
      <c r="A261" s="2" t="s">
        <v>205</v>
      </c>
      <c r="B261" s="2"/>
      <c r="C261" s="2">
        <v>58.794199999999996</v>
      </c>
      <c r="D261" s="2">
        <v>346</v>
      </c>
      <c r="E261" s="2">
        <v>59.144799999999996</v>
      </c>
      <c r="F261" s="2">
        <v>345</v>
      </c>
      <c r="G261" s="2">
        <v>98.940299999999993</v>
      </c>
      <c r="H261" s="2">
        <v>246</v>
      </c>
      <c r="I261" s="2">
        <v>103.8233</v>
      </c>
      <c r="J261" s="2">
        <v>127</v>
      </c>
      <c r="K261" s="2">
        <v>113.2597</v>
      </c>
      <c r="L261" s="2">
        <v>346</v>
      </c>
      <c r="M261" s="2">
        <v>112.07470000000001</v>
      </c>
      <c r="N261" s="2">
        <v>333</v>
      </c>
      <c r="O261" s="2">
        <v>0.29328900000000002</v>
      </c>
      <c r="P261" s="2">
        <v>260</v>
      </c>
      <c r="Q261" s="2"/>
      <c r="R261" s="2"/>
      <c r="S261" s="2"/>
    </row>
    <row r="262" spans="1:19" ht="12.3" x14ac:dyDescent="0.4">
      <c r="A262" s="2" t="s">
        <v>101</v>
      </c>
      <c r="B262" s="2"/>
      <c r="C262" s="2">
        <v>63.640700000000002</v>
      </c>
      <c r="D262" s="2">
        <v>244</v>
      </c>
      <c r="E262" s="2">
        <v>63.753100000000003</v>
      </c>
      <c r="F262" s="2">
        <v>230</v>
      </c>
      <c r="G262" s="2">
        <v>98.497500000000002</v>
      </c>
      <c r="H262" s="2">
        <v>253</v>
      </c>
      <c r="I262" s="2">
        <v>98.238100000000003</v>
      </c>
      <c r="J262" s="2">
        <v>251</v>
      </c>
      <c r="K262" s="2">
        <v>106.6764</v>
      </c>
      <c r="L262" s="2">
        <v>278</v>
      </c>
      <c r="M262" s="2">
        <v>106.0946</v>
      </c>
      <c r="N262" s="2">
        <v>245</v>
      </c>
      <c r="O262" s="2">
        <v>0.292188</v>
      </c>
      <c r="P262" s="2">
        <v>261</v>
      </c>
      <c r="Q262" s="2"/>
      <c r="R262" s="2"/>
      <c r="S262" s="2"/>
    </row>
    <row r="263" spans="1:19" ht="12.3" x14ac:dyDescent="0.4">
      <c r="A263" s="2" t="s">
        <v>314</v>
      </c>
      <c r="B263" s="2"/>
      <c r="C263" s="2">
        <v>69.138000000000005</v>
      </c>
      <c r="D263" s="2">
        <v>20</v>
      </c>
      <c r="E263" s="2">
        <v>69.927899999999994</v>
      </c>
      <c r="F263" s="2">
        <v>11</v>
      </c>
      <c r="G263" s="2">
        <v>102.3202</v>
      </c>
      <c r="H263" s="2">
        <v>170</v>
      </c>
      <c r="I263" s="2">
        <v>97.357600000000005</v>
      </c>
      <c r="J263" s="2">
        <v>267</v>
      </c>
      <c r="K263" s="2">
        <v>104.4452</v>
      </c>
      <c r="L263" s="2">
        <v>223</v>
      </c>
      <c r="M263" s="2">
        <v>105.21129999999999</v>
      </c>
      <c r="N263" s="2">
        <v>226</v>
      </c>
      <c r="O263" s="2">
        <v>0.290663</v>
      </c>
      <c r="P263" s="2">
        <v>262</v>
      </c>
      <c r="Q263" s="2"/>
      <c r="R263" s="2"/>
      <c r="S263" s="2"/>
    </row>
    <row r="264" spans="1:19" ht="12.3" x14ac:dyDescent="0.4">
      <c r="A264" s="2" t="s">
        <v>376</v>
      </c>
      <c r="B264" s="2"/>
      <c r="C264" s="2">
        <v>61.653399999999998</v>
      </c>
      <c r="D264" s="2">
        <v>315</v>
      </c>
      <c r="E264" s="2">
        <v>62.092399999999998</v>
      </c>
      <c r="F264" s="2">
        <v>300</v>
      </c>
      <c r="G264" s="2">
        <v>99.637699999999995</v>
      </c>
      <c r="H264" s="2">
        <v>227</v>
      </c>
      <c r="I264" s="2">
        <v>96.459199999999996</v>
      </c>
      <c r="J264" s="2">
        <v>281</v>
      </c>
      <c r="K264" s="2">
        <v>101.34699999999999</v>
      </c>
      <c r="L264" s="2">
        <v>160</v>
      </c>
      <c r="M264" s="2">
        <v>104.3807</v>
      </c>
      <c r="N264" s="2">
        <v>210</v>
      </c>
      <c r="O264" s="2">
        <v>0.28748400000000002</v>
      </c>
      <c r="P264" s="2">
        <v>263</v>
      </c>
      <c r="Q264" s="2"/>
      <c r="R264" s="2"/>
      <c r="S264" s="2"/>
    </row>
    <row r="265" spans="1:19" ht="12.3" x14ac:dyDescent="0.4">
      <c r="A265" s="2" t="s">
        <v>197</v>
      </c>
      <c r="B265" s="2"/>
      <c r="C265" s="2">
        <v>70.366200000000006</v>
      </c>
      <c r="D265" s="2">
        <v>9</v>
      </c>
      <c r="E265" s="2">
        <v>70.2333</v>
      </c>
      <c r="F265" s="2">
        <v>7</v>
      </c>
      <c r="G265" s="2">
        <v>92.729500000000002</v>
      </c>
      <c r="H265" s="2">
        <v>324</v>
      </c>
      <c r="I265" s="2">
        <v>94.53</v>
      </c>
      <c r="J265" s="2">
        <v>313</v>
      </c>
      <c r="K265" s="2">
        <v>101.2342</v>
      </c>
      <c r="L265" s="2">
        <v>154</v>
      </c>
      <c r="M265" s="2">
        <v>102.30759999999999</v>
      </c>
      <c r="N265" s="2">
        <v>168</v>
      </c>
      <c r="O265" s="2">
        <v>0.28715000000000002</v>
      </c>
      <c r="P265" s="2">
        <v>264</v>
      </c>
      <c r="Q265" s="2"/>
      <c r="R265" s="2"/>
      <c r="S265" s="2"/>
    </row>
    <row r="266" spans="1:19" ht="12.3" x14ac:dyDescent="0.4">
      <c r="A266" s="2" t="s">
        <v>293</v>
      </c>
      <c r="B266" s="2"/>
      <c r="C266" s="2">
        <v>61.227400000000003</v>
      </c>
      <c r="D266" s="2">
        <v>322</v>
      </c>
      <c r="E266" s="2">
        <v>60.930799999999998</v>
      </c>
      <c r="F266" s="2">
        <v>328</v>
      </c>
      <c r="G266" s="2">
        <v>99.957599999999999</v>
      </c>
      <c r="H266" s="2">
        <v>218</v>
      </c>
      <c r="I266" s="2">
        <v>98.961200000000005</v>
      </c>
      <c r="J266" s="2">
        <v>241</v>
      </c>
      <c r="K266" s="2">
        <v>105.5526</v>
      </c>
      <c r="L266" s="2">
        <v>253</v>
      </c>
      <c r="M266" s="2">
        <v>107.1322</v>
      </c>
      <c r="N266" s="2">
        <v>271</v>
      </c>
      <c r="O266" s="2">
        <v>0.28651599999999999</v>
      </c>
      <c r="P266" s="2">
        <v>265</v>
      </c>
      <c r="Q266" s="2"/>
      <c r="R266" s="2"/>
      <c r="S266" s="2"/>
    </row>
    <row r="267" spans="1:19" ht="12.3" x14ac:dyDescent="0.4">
      <c r="A267" s="2" t="s">
        <v>22</v>
      </c>
      <c r="B267" s="2"/>
      <c r="C267" s="2">
        <v>60.738900000000001</v>
      </c>
      <c r="D267" s="2">
        <v>333</v>
      </c>
      <c r="E267" s="2">
        <v>61.953000000000003</v>
      </c>
      <c r="F267" s="2">
        <v>301</v>
      </c>
      <c r="G267" s="2">
        <v>95.199200000000005</v>
      </c>
      <c r="H267" s="2">
        <v>299</v>
      </c>
      <c r="I267" s="2">
        <v>96.073099999999997</v>
      </c>
      <c r="J267" s="2">
        <v>290</v>
      </c>
      <c r="K267" s="2">
        <v>105.81870000000001</v>
      </c>
      <c r="L267" s="2">
        <v>258</v>
      </c>
      <c r="M267" s="2">
        <v>104.03619999999999</v>
      </c>
      <c r="N267" s="2">
        <v>202</v>
      </c>
      <c r="O267" s="2">
        <v>0.28582800000000003</v>
      </c>
      <c r="P267" s="2">
        <v>266</v>
      </c>
      <c r="Q267" s="2"/>
      <c r="R267" s="2"/>
      <c r="S267" s="2"/>
    </row>
    <row r="268" spans="1:19" ht="12.3" x14ac:dyDescent="0.4">
      <c r="A268" s="2" t="s">
        <v>300</v>
      </c>
      <c r="B268" s="2"/>
      <c r="C268" s="2">
        <v>61.158900000000003</v>
      </c>
      <c r="D268" s="2">
        <v>324</v>
      </c>
      <c r="E268" s="2">
        <v>61.4816</v>
      </c>
      <c r="F268" s="2">
        <v>318</v>
      </c>
      <c r="G268" s="2">
        <v>99.585700000000003</v>
      </c>
      <c r="H268" s="2">
        <v>231</v>
      </c>
      <c r="I268" s="2">
        <v>97.225999999999999</v>
      </c>
      <c r="J268" s="2">
        <v>269</v>
      </c>
      <c r="K268" s="2">
        <v>106.3228</v>
      </c>
      <c r="L268" s="2">
        <v>267</v>
      </c>
      <c r="M268" s="2">
        <v>105.2903</v>
      </c>
      <c r="N268" s="2">
        <v>229</v>
      </c>
      <c r="O268" s="2">
        <v>0.28570000000000001</v>
      </c>
      <c r="P268" s="2">
        <v>267</v>
      </c>
      <c r="Q268" s="2"/>
      <c r="R268" s="2"/>
      <c r="S268" s="2"/>
    </row>
    <row r="269" spans="1:19" ht="12.3" x14ac:dyDescent="0.4">
      <c r="A269" s="2" t="s">
        <v>260</v>
      </c>
      <c r="B269" s="2"/>
      <c r="C269" s="2">
        <v>65.433400000000006</v>
      </c>
      <c r="D269" s="2">
        <v>145</v>
      </c>
      <c r="E269" s="2">
        <v>65.322800000000001</v>
      </c>
      <c r="F269" s="2">
        <v>145</v>
      </c>
      <c r="G269" s="2">
        <v>94.008399999999995</v>
      </c>
      <c r="H269" s="2">
        <v>308</v>
      </c>
      <c r="I269" s="2">
        <v>94.536000000000001</v>
      </c>
      <c r="J269" s="2">
        <v>312</v>
      </c>
      <c r="K269" s="2">
        <v>100.47490000000001</v>
      </c>
      <c r="L269" s="2">
        <v>134</v>
      </c>
      <c r="M269" s="2">
        <v>102.4408</v>
      </c>
      <c r="N269" s="2">
        <v>172</v>
      </c>
      <c r="O269" s="2">
        <v>0.28424500000000003</v>
      </c>
      <c r="P269" s="2">
        <v>268</v>
      </c>
      <c r="Q269" s="2"/>
      <c r="R269" s="2"/>
      <c r="S269" s="2"/>
    </row>
    <row r="270" spans="1:19" ht="12.3" x14ac:dyDescent="0.4">
      <c r="A270" s="2" t="s">
        <v>170</v>
      </c>
      <c r="B270" s="2"/>
      <c r="C270" s="2">
        <v>64.246200000000002</v>
      </c>
      <c r="D270" s="2">
        <v>206</v>
      </c>
      <c r="E270" s="2">
        <v>63.351399999999998</v>
      </c>
      <c r="F270" s="2">
        <v>255</v>
      </c>
      <c r="G270" s="2">
        <v>100.9087</v>
      </c>
      <c r="H270" s="2">
        <v>199</v>
      </c>
      <c r="I270" s="2">
        <v>97.7346</v>
      </c>
      <c r="J270" s="2">
        <v>258</v>
      </c>
      <c r="K270" s="2">
        <v>106.66030000000001</v>
      </c>
      <c r="L270" s="2">
        <v>277</v>
      </c>
      <c r="M270" s="2">
        <v>105.92740000000001</v>
      </c>
      <c r="N270" s="2">
        <v>241</v>
      </c>
      <c r="O270" s="2">
        <v>0.28379100000000002</v>
      </c>
      <c r="P270" s="2">
        <v>269</v>
      </c>
      <c r="Q270" s="2"/>
      <c r="R270" s="2"/>
      <c r="S270" s="2"/>
    </row>
    <row r="271" spans="1:19" ht="12.3" x14ac:dyDescent="0.4">
      <c r="A271" s="2" t="s">
        <v>253</v>
      </c>
      <c r="B271" s="2"/>
      <c r="C271" s="2">
        <v>66.474100000000007</v>
      </c>
      <c r="D271" s="2">
        <v>97</v>
      </c>
      <c r="E271" s="2">
        <v>65.826999999999998</v>
      </c>
      <c r="F271" s="2">
        <v>121</v>
      </c>
      <c r="G271" s="2">
        <v>95.525099999999995</v>
      </c>
      <c r="H271" s="2">
        <v>296</v>
      </c>
      <c r="I271" s="2">
        <v>97.370400000000004</v>
      </c>
      <c r="J271" s="2">
        <v>266</v>
      </c>
      <c r="K271" s="2">
        <v>105.15179999999999</v>
      </c>
      <c r="L271" s="2">
        <v>241</v>
      </c>
      <c r="M271" s="2">
        <v>105.58280000000001</v>
      </c>
      <c r="N271" s="2">
        <v>235</v>
      </c>
      <c r="O271" s="2">
        <v>0.28268300000000002</v>
      </c>
      <c r="P271" s="2">
        <v>270</v>
      </c>
      <c r="Q271" s="2"/>
      <c r="R271" s="2"/>
      <c r="S271" s="2"/>
    </row>
    <row r="272" spans="1:19" ht="12.3" x14ac:dyDescent="0.4">
      <c r="A272" s="2" t="s">
        <v>381</v>
      </c>
      <c r="B272" s="2"/>
      <c r="C272" s="2">
        <v>63.989199999999997</v>
      </c>
      <c r="D272" s="2">
        <v>226</v>
      </c>
      <c r="E272" s="2">
        <v>64.775599999999997</v>
      </c>
      <c r="F272" s="2">
        <v>165</v>
      </c>
      <c r="G272" s="2">
        <v>106.5008</v>
      </c>
      <c r="H272" s="2">
        <v>76</v>
      </c>
      <c r="I272" s="2">
        <v>105.259</v>
      </c>
      <c r="J272" s="2">
        <v>106</v>
      </c>
      <c r="K272" s="2">
        <v>107.4695</v>
      </c>
      <c r="L272" s="2">
        <v>292</v>
      </c>
      <c r="M272" s="2">
        <v>114.1506</v>
      </c>
      <c r="N272" s="2">
        <v>342</v>
      </c>
      <c r="O272" s="2">
        <v>0.28240100000000001</v>
      </c>
      <c r="P272" s="2">
        <v>271</v>
      </c>
      <c r="Q272" s="2"/>
      <c r="R272" s="2"/>
      <c r="S272" s="2"/>
    </row>
    <row r="273" spans="1:19" ht="12.3" x14ac:dyDescent="0.4">
      <c r="A273" s="2" t="s">
        <v>338</v>
      </c>
      <c r="B273" s="2"/>
      <c r="C273" s="2">
        <v>65.971699999999998</v>
      </c>
      <c r="D273" s="2">
        <v>120</v>
      </c>
      <c r="E273" s="2">
        <v>65.217200000000005</v>
      </c>
      <c r="F273" s="2">
        <v>149</v>
      </c>
      <c r="G273" s="2">
        <v>94.244900000000001</v>
      </c>
      <c r="H273" s="2">
        <v>306</v>
      </c>
      <c r="I273" s="2">
        <v>92.930800000000005</v>
      </c>
      <c r="J273" s="2">
        <v>320</v>
      </c>
      <c r="K273" s="2">
        <v>96.593199999999996</v>
      </c>
      <c r="L273" s="2">
        <v>61</v>
      </c>
      <c r="M273" s="2">
        <v>100.782</v>
      </c>
      <c r="N273" s="2">
        <v>135</v>
      </c>
      <c r="O273" s="2">
        <v>0.28237699999999999</v>
      </c>
      <c r="P273" s="2">
        <v>272</v>
      </c>
      <c r="Q273" s="2"/>
      <c r="R273" s="2"/>
      <c r="S273" s="2"/>
    </row>
    <row r="274" spans="1:19" ht="12.3" x14ac:dyDescent="0.4">
      <c r="A274" s="2" t="s">
        <v>145</v>
      </c>
      <c r="B274" s="2"/>
      <c r="C274" s="2">
        <v>63.461199999999998</v>
      </c>
      <c r="D274" s="2">
        <v>252</v>
      </c>
      <c r="E274" s="2">
        <v>64.434600000000003</v>
      </c>
      <c r="F274" s="2">
        <v>188</v>
      </c>
      <c r="G274" s="2">
        <v>93.647599999999997</v>
      </c>
      <c r="H274" s="2">
        <v>315</v>
      </c>
      <c r="I274" s="2">
        <v>95.714299999999994</v>
      </c>
      <c r="J274" s="2">
        <v>298</v>
      </c>
      <c r="K274" s="2">
        <v>104.9014</v>
      </c>
      <c r="L274" s="2">
        <v>235</v>
      </c>
      <c r="M274" s="2">
        <v>103.8916</v>
      </c>
      <c r="N274" s="2">
        <v>200</v>
      </c>
      <c r="O274" s="2">
        <v>0.28034199999999998</v>
      </c>
      <c r="P274" s="2">
        <v>273</v>
      </c>
      <c r="Q274" s="2"/>
      <c r="R274" s="2"/>
      <c r="S274" s="2"/>
    </row>
    <row r="275" spans="1:19" ht="12.3" x14ac:dyDescent="0.4">
      <c r="A275" s="2" t="s">
        <v>198</v>
      </c>
      <c r="B275" s="2"/>
      <c r="C275" s="2">
        <v>65.618099999999998</v>
      </c>
      <c r="D275" s="2">
        <v>136</v>
      </c>
      <c r="E275" s="2">
        <v>65.441699999999997</v>
      </c>
      <c r="F275" s="2">
        <v>138</v>
      </c>
      <c r="G275" s="2">
        <v>97.119799999999998</v>
      </c>
      <c r="H275" s="2">
        <v>271</v>
      </c>
      <c r="I275" s="2">
        <v>98.877600000000001</v>
      </c>
      <c r="J275" s="2">
        <v>244</v>
      </c>
      <c r="K275" s="2">
        <v>107.5761</v>
      </c>
      <c r="L275" s="2">
        <v>294</v>
      </c>
      <c r="M275" s="2">
        <v>107.3681</v>
      </c>
      <c r="N275" s="2">
        <v>273</v>
      </c>
      <c r="O275" s="2">
        <v>0.27941199999999999</v>
      </c>
      <c r="P275" s="2">
        <v>274</v>
      </c>
      <c r="Q275" s="2"/>
      <c r="R275" s="2"/>
      <c r="S275" s="2"/>
    </row>
    <row r="276" spans="1:19" ht="12.3" x14ac:dyDescent="0.4">
      <c r="A276" s="2" t="s">
        <v>144</v>
      </c>
      <c r="B276" s="2"/>
      <c r="C276" s="2">
        <v>64.736099999999993</v>
      </c>
      <c r="D276" s="2">
        <v>178</v>
      </c>
      <c r="E276" s="2">
        <v>64.747600000000006</v>
      </c>
      <c r="F276" s="2">
        <v>167</v>
      </c>
      <c r="G276" s="2">
        <v>97.852000000000004</v>
      </c>
      <c r="H276" s="2">
        <v>264</v>
      </c>
      <c r="I276" s="2">
        <v>100.45059999999999</v>
      </c>
      <c r="J276" s="2">
        <v>215</v>
      </c>
      <c r="K276" s="2">
        <v>109.52809999999999</v>
      </c>
      <c r="L276" s="2">
        <v>318</v>
      </c>
      <c r="M276" s="2">
        <v>109.1075</v>
      </c>
      <c r="N276" s="2">
        <v>307</v>
      </c>
      <c r="O276" s="2">
        <v>0.27875</v>
      </c>
      <c r="P276" s="2">
        <v>275</v>
      </c>
      <c r="Q276" s="2"/>
      <c r="R276" s="2"/>
      <c r="S276" s="2"/>
    </row>
    <row r="277" spans="1:19" ht="12.3" x14ac:dyDescent="0.4">
      <c r="A277" s="2" t="s">
        <v>127</v>
      </c>
      <c r="B277" s="2"/>
      <c r="C277" s="2">
        <v>66.706699999999998</v>
      </c>
      <c r="D277" s="2">
        <v>86</v>
      </c>
      <c r="E277" s="2">
        <v>65.9435</v>
      </c>
      <c r="F277" s="2">
        <v>115</v>
      </c>
      <c r="G277" s="2">
        <v>101.1036</v>
      </c>
      <c r="H277" s="2">
        <v>193</v>
      </c>
      <c r="I277" s="2">
        <v>97.871700000000004</v>
      </c>
      <c r="J277" s="2">
        <v>257</v>
      </c>
      <c r="K277" s="2">
        <v>106.771</v>
      </c>
      <c r="L277" s="2">
        <v>280</v>
      </c>
      <c r="M277" s="2">
        <v>106.47190000000001</v>
      </c>
      <c r="N277" s="2">
        <v>257</v>
      </c>
      <c r="O277" s="2">
        <v>0.27516600000000002</v>
      </c>
      <c r="P277" s="2">
        <v>276</v>
      </c>
      <c r="Q277" s="2"/>
      <c r="R277" s="2"/>
      <c r="S277" s="2"/>
    </row>
    <row r="278" spans="1:19" ht="12.3" x14ac:dyDescent="0.4">
      <c r="A278" s="2" t="s">
        <v>196</v>
      </c>
      <c r="B278" s="2"/>
      <c r="C278" s="2">
        <v>66.928700000000006</v>
      </c>
      <c r="D278" s="2">
        <v>77</v>
      </c>
      <c r="E278" s="2">
        <v>66.293800000000005</v>
      </c>
      <c r="F278" s="2">
        <v>98</v>
      </c>
      <c r="G278" s="2">
        <v>104.0831</v>
      </c>
      <c r="H278" s="2">
        <v>122</v>
      </c>
      <c r="I278" s="2">
        <v>102.9391</v>
      </c>
      <c r="J278" s="2">
        <v>150</v>
      </c>
      <c r="K278" s="2">
        <v>109.9513</v>
      </c>
      <c r="L278" s="2">
        <v>323</v>
      </c>
      <c r="M278" s="2">
        <v>112.0898</v>
      </c>
      <c r="N278" s="2">
        <v>334</v>
      </c>
      <c r="O278" s="2">
        <v>0.27301700000000001</v>
      </c>
      <c r="P278" s="2">
        <v>277</v>
      </c>
      <c r="Q278" s="2"/>
      <c r="R278" s="2"/>
      <c r="S278" s="2"/>
    </row>
    <row r="279" spans="1:19" ht="12.3" x14ac:dyDescent="0.4">
      <c r="A279" s="2" t="s">
        <v>245</v>
      </c>
      <c r="B279" s="2"/>
      <c r="C279" s="2">
        <v>60.985500000000002</v>
      </c>
      <c r="D279" s="2">
        <v>328</v>
      </c>
      <c r="E279" s="2">
        <v>62.363900000000001</v>
      </c>
      <c r="F279" s="2">
        <v>291</v>
      </c>
      <c r="G279" s="2">
        <v>90.8005</v>
      </c>
      <c r="H279" s="2">
        <v>339</v>
      </c>
      <c r="I279" s="2">
        <v>91.034199999999998</v>
      </c>
      <c r="J279" s="2">
        <v>336</v>
      </c>
      <c r="K279" s="2">
        <v>100.4344</v>
      </c>
      <c r="L279" s="2">
        <v>133</v>
      </c>
      <c r="M279" s="2">
        <v>99.140199999999993</v>
      </c>
      <c r="N279" s="2">
        <v>105</v>
      </c>
      <c r="O279" s="2">
        <v>0.272704</v>
      </c>
      <c r="P279" s="2">
        <v>278</v>
      </c>
      <c r="Q279" s="2"/>
      <c r="R279" s="2"/>
      <c r="S279" s="2"/>
    </row>
    <row r="280" spans="1:19" ht="12.3" x14ac:dyDescent="0.4">
      <c r="A280" s="2" t="s">
        <v>291</v>
      </c>
      <c r="B280" s="2"/>
      <c r="C280" s="2">
        <v>62.732599999999998</v>
      </c>
      <c r="D280" s="2">
        <v>283</v>
      </c>
      <c r="E280" s="2">
        <v>62.8874</v>
      </c>
      <c r="F280" s="2">
        <v>272</v>
      </c>
      <c r="G280" s="2">
        <v>97.672399999999996</v>
      </c>
      <c r="H280" s="2">
        <v>267</v>
      </c>
      <c r="I280" s="2">
        <v>100.74679999999999</v>
      </c>
      <c r="J280" s="2">
        <v>202</v>
      </c>
      <c r="K280" s="2">
        <v>112.7184</v>
      </c>
      <c r="L280" s="2">
        <v>345</v>
      </c>
      <c r="M280" s="2">
        <v>109.9572</v>
      </c>
      <c r="N280" s="2">
        <v>318</v>
      </c>
      <c r="O280" s="2">
        <v>0.26775900000000002</v>
      </c>
      <c r="P280" s="2">
        <v>279</v>
      </c>
      <c r="Q280" s="2"/>
      <c r="R280" s="2"/>
      <c r="S280" s="2"/>
    </row>
    <row r="281" spans="1:19" ht="12.3" x14ac:dyDescent="0.4">
      <c r="A281" s="2" t="s">
        <v>177</v>
      </c>
      <c r="B281" s="2"/>
      <c r="C281" s="2">
        <v>64.020200000000003</v>
      </c>
      <c r="D281" s="2">
        <v>223</v>
      </c>
      <c r="E281" s="2">
        <v>64.6541</v>
      </c>
      <c r="F281" s="2">
        <v>173</v>
      </c>
      <c r="G281" s="2">
        <v>99.945300000000003</v>
      </c>
      <c r="H281" s="2">
        <v>220</v>
      </c>
      <c r="I281" s="2">
        <v>100.5021</v>
      </c>
      <c r="J281" s="2">
        <v>213</v>
      </c>
      <c r="K281" s="2">
        <v>109.45910000000001</v>
      </c>
      <c r="L281" s="2">
        <v>317</v>
      </c>
      <c r="M281" s="2">
        <v>109.7428</v>
      </c>
      <c r="N281" s="2">
        <v>316</v>
      </c>
      <c r="O281" s="2">
        <v>0.26667600000000002</v>
      </c>
      <c r="P281" s="2">
        <v>280</v>
      </c>
      <c r="Q281" s="2"/>
      <c r="R281" s="2"/>
      <c r="S281" s="2"/>
    </row>
    <row r="282" spans="1:19" ht="12.3" x14ac:dyDescent="0.4">
      <c r="A282" s="2" t="s">
        <v>317</v>
      </c>
      <c r="B282" s="2"/>
      <c r="C282" s="2">
        <v>67.752700000000004</v>
      </c>
      <c r="D282" s="2">
        <v>51</v>
      </c>
      <c r="E282" s="2">
        <v>67.696299999999994</v>
      </c>
      <c r="F282" s="2">
        <v>42</v>
      </c>
      <c r="G282" s="2">
        <v>103.6228</v>
      </c>
      <c r="H282" s="2">
        <v>136</v>
      </c>
      <c r="I282" s="2">
        <v>103.73779999999999</v>
      </c>
      <c r="J282" s="2">
        <v>132</v>
      </c>
      <c r="K282" s="2">
        <v>112.3669</v>
      </c>
      <c r="L282" s="2">
        <v>342</v>
      </c>
      <c r="M282" s="2">
        <v>113.3163</v>
      </c>
      <c r="N282" s="2">
        <v>339</v>
      </c>
      <c r="O282" s="2">
        <v>0.265878</v>
      </c>
      <c r="P282" s="2">
        <v>281</v>
      </c>
      <c r="Q282" s="2"/>
      <c r="R282" s="2"/>
      <c r="S282" s="2"/>
    </row>
    <row r="283" spans="1:19" ht="12.3" x14ac:dyDescent="0.4">
      <c r="A283" s="2" t="s">
        <v>107</v>
      </c>
      <c r="B283" s="2"/>
      <c r="C283" s="2">
        <v>65.600899999999996</v>
      </c>
      <c r="D283" s="2">
        <v>138</v>
      </c>
      <c r="E283" s="2">
        <v>63.188600000000001</v>
      </c>
      <c r="F283" s="2">
        <v>264</v>
      </c>
      <c r="G283" s="2">
        <v>102.151</v>
      </c>
      <c r="H283" s="2">
        <v>175</v>
      </c>
      <c r="I283" s="2">
        <v>100.13979999999999</v>
      </c>
      <c r="J283" s="2">
        <v>222</v>
      </c>
      <c r="K283" s="2">
        <v>109.1062</v>
      </c>
      <c r="L283" s="2">
        <v>313</v>
      </c>
      <c r="M283" s="2">
        <v>109.4769</v>
      </c>
      <c r="N283" s="2">
        <v>312</v>
      </c>
      <c r="O283" s="2">
        <v>0.26401799999999997</v>
      </c>
      <c r="P283" s="2">
        <v>282</v>
      </c>
      <c r="Q283" s="2"/>
      <c r="R283" s="2"/>
      <c r="S283" s="2"/>
    </row>
    <row r="284" spans="1:19" ht="12.3" x14ac:dyDescent="0.4">
      <c r="A284" s="2" t="s">
        <v>105</v>
      </c>
      <c r="B284" s="2"/>
      <c r="C284" s="2">
        <v>61.7181</v>
      </c>
      <c r="D284" s="2">
        <v>312</v>
      </c>
      <c r="E284" s="2">
        <v>61.351599999999998</v>
      </c>
      <c r="F284" s="2">
        <v>319</v>
      </c>
      <c r="G284" s="2">
        <v>94.658900000000003</v>
      </c>
      <c r="H284" s="2">
        <v>303</v>
      </c>
      <c r="I284" s="2">
        <v>94.646500000000003</v>
      </c>
      <c r="J284" s="2">
        <v>308</v>
      </c>
      <c r="K284" s="2">
        <v>103.71120000000001</v>
      </c>
      <c r="L284" s="2">
        <v>206</v>
      </c>
      <c r="M284" s="2">
        <v>103.5275</v>
      </c>
      <c r="N284" s="2">
        <v>192</v>
      </c>
      <c r="O284" s="2">
        <v>0.26280999999999999</v>
      </c>
      <c r="P284" s="2">
        <v>283</v>
      </c>
      <c r="Q284" s="2"/>
      <c r="R284" s="2"/>
      <c r="S284" s="2"/>
    </row>
    <row r="285" spans="1:19" ht="12.3" x14ac:dyDescent="0.4">
      <c r="A285" s="2" t="s">
        <v>343</v>
      </c>
      <c r="B285" s="2"/>
      <c r="C285" s="2">
        <v>68.137</v>
      </c>
      <c r="D285" s="2">
        <v>40</v>
      </c>
      <c r="E285" s="2">
        <v>67.825299999999999</v>
      </c>
      <c r="F285" s="2">
        <v>37</v>
      </c>
      <c r="G285" s="2">
        <v>96.564800000000005</v>
      </c>
      <c r="H285" s="2">
        <v>281</v>
      </c>
      <c r="I285" s="2">
        <v>95.206299999999999</v>
      </c>
      <c r="J285" s="2">
        <v>305</v>
      </c>
      <c r="K285" s="2">
        <v>102.0838</v>
      </c>
      <c r="L285" s="2">
        <v>170</v>
      </c>
      <c r="M285" s="2">
        <v>104.32559999999999</v>
      </c>
      <c r="N285" s="2">
        <v>208</v>
      </c>
      <c r="O285" s="2">
        <v>0.258857</v>
      </c>
      <c r="P285" s="2">
        <v>284</v>
      </c>
      <c r="Q285" s="2"/>
      <c r="R285" s="2"/>
      <c r="S285" s="2"/>
    </row>
    <row r="286" spans="1:19" ht="12.3" x14ac:dyDescent="0.4">
      <c r="A286" s="2" t="s">
        <v>356</v>
      </c>
      <c r="B286" s="2"/>
      <c r="C286" s="2">
        <v>65.947500000000005</v>
      </c>
      <c r="D286" s="2">
        <v>122</v>
      </c>
      <c r="E286" s="2">
        <v>65.123900000000006</v>
      </c>
      <c r="F286" s="2">
        <v>152</v>
      </c>
      <c r="G286" s="2">
        <v>99.152699999999996</v>
      </c>
      <c r="H286" s="2">
        <v>243</v>
      </c>
      <c r="I286" s="2">
        <v>97.916899999999998</v>
      </c>
      <c r="J286" s="2">
        <v>256</v>
      </c>
      <c r="K286" s="2">
        <v>104.4697</v>
      </c>
      <c r="L286" s="2">
        <v>224</v>
      </c>
      <c r="M286" s="2">
        <v>107.39660000000001</v>
      </c>
      <c r="N286" s="2">
        <v>275</v>
      </c>
      <c r="O286" s="2">
        <v>0.25679400000000002</v>
      </c>
      <c r="P286" s="2">
        <v>285</v>
      </c>
      <c r="Q286" s="2"/>
      <c r="R286" s="2"/>
      <c r="S286" s="2"/>
    </row>
    <row r="287" spans="1:19" ht="12.3" x14ac:dyDescent="0.4">
      <c r="A287" s="2" t="s">
        <v>208</v>
      </c>
      <c r="B287" s="2"/>
      <c r="C287" s="2">
        <v>66.914199999999994</v>
      </c>
      <c r="D287" s="2">
        <v>78</v>
      </c>
      <c r="E287" s="2">
        <v>66.770899999999997</v>
      </c>
      <c r="F287" s="2">
        <v>74</v>
      </c>
      <c r="G287" s="2">
        <v>102.3492</v>
      </c>
      <c r="H287" s="2">
        <v>169</v>
      </c>
      <c r="I287" s="2">
        <v>100.539</v>
      </c>
      <c r="J287" s="2">
        <v>209</v>
      </c>
      <c r="K287" s="2">
        <v>108.014</v>
      </c>
      <c r="L287" s="2">
        <v>301</v>
      </c>
      <c r="M287" s="2">
        <v>110.29519999999999</v>
      </c>
      <c r="N287" s="2">
        <v>321</v>
      </c>
      <c r="O287" s="2">
        <v>0.25634200000000001</v>
      </c>
      <c r="P287" s="2">
        <v>286</v>
      </c>
      <c r="Q287" s="2"/>
      <c r="R287" s="2"/>
      <c r="S287" s="2"/>
    </row>
    <row r="288" spans="1:19" ht="12.3" x14ac:dyDescent="0.4">
      <c r="A288" s="2" t="s">
        <v>103</v>
      </c>
      <c r="B288" s="2"/>
      <c r="C288" s="2">
        <v>63.959299999999999</v>
      </c>
      <c r="D288" s="2">
        <v>228</v>
      </c>
      <c r="E288" s="2">
        <v>64.049300000000002</v>
      </c>
      <c r="F288" s="2">
        <v>206</v>
      </c>
      <c r="G288" s="2">
        <v>94.516999999999996</v>
      </c>
      <c r="H288" s="2">
        <v>305</v>
      </c>
      <c r="I288" s="2">
        <v>96.926500000000004</v>
      </c>
      <c r="J288" s="2">
        <v>273</v>
      </c>
      <c r="K288" s="2">
        <v>106.44070000000001</v>
      </c>
      <c r="L288" s="2">
        <v>271</v>
      </c>
      <c r="M288" s="2">
        <v>106.49590000000001</v>
      </c>
      <c r="N288" s="2">
        <v>258</v>
      </c>
      <c r="O288" s="2">
        <v>0.25298399999999999</v>
      </c>
      <c r="P288" s="2">
        <v>287</v>
      </c>
      <c r="Q288" s="2"/>
      <c r="R288" s="2"/>
      <c r="S288" s="2"/>
    </row>
    <row r="289" spans="1:19" ht="12.3" x14ac:dyDescent="0.4">
      <c r="A289" s="2" t="s">
        <v>191</v>
      </c>
      <c r="B289" s="2"/>
      <c r="C289" s="2">
        <v>64.014499999999998</v>
      </c>
      <c r="D289" s="2">
        <v>224</v>
      </c>
      <c r="E289" s="2">
        <v>63.6892</v>
      </c>
      <c r="F289" s="2">
        <v>237</v>
      </c>
      <c r="G289" s="2">
        <v>98.364800000000002</v>
      </c>
      <c r="H289" s="2">
        <v>254</v>
      </c>
      <c r="I289" s="2">
        <v>96.391999999999996</v>
      </c>
      <c r="J289" s="2">
        <v>284</v>
      </c>
      <c r="K289" s="2">
        <v>103.32089999999999</v>
      </c>
      <c r="L289" s="2">
        <v>196</v>
      </c>
      <c r="M289" s="2">
        <v>106.1579</v>
      </c>
      <c r="N289" s="2">
        <v>247</v>
      </c>
      <c r="O289" s="2">
        <v>0.24790899999999999</v>
      </c>
      <c r="P289" s="2">
        <v>288</v>
      </c>
      <c r="Q289" s="2"/>
      <c r="R289" s="2"/>
      <c r="S289" s="2"/>
    </row>
    <row r="290" spans="1:19" ht="12.3" x14ac:dyDescent="0.4">
      <c r="A290" s="2" t="s">
        <v>77</v>
      </c>
      <c r="B290" s="2"/>
      <c r="C290" s="2">
        <v>63.177300000000002</v>
      </c>
      <c r="D290" s="2">
        <v>266</v>
      </c>
      <c r="E290" s="2">
        <v>63.428400000000003</v>
      </c>
      <c r="F290" s="2">
        <v>253</v>
      </c>
      <c r="G290" s="2">
        <v>94.579099999999997</v>
      </c>
      <c r="H290" s="2">
        <v>304</v>
      </c>
      <c r="I290" s="2">
        <v>96.085999999999999</v>
      </c>
      <c r="J290" s="2">
        <v>289</v>
      </c>
      <c r="K290" s="2">
        <v>106.0915</v>
      </c>
      <c r="L290" s="2">
        <v>264</v>
      </c>
      <c r="M290" s="2">
        <v>105.9088</v>
      </c>
      <c r="N290" s="2">
        <v>240</v>
      </c>
      <c r="O290" s="2">
        <v>0.24613199999999999</v>
      </c>
      <c r="P290" s="2">
        <v>289</v>
      </c>
      <c r="Q290" s="2"/>
      <c r="R290" s="2"/>
      <c r="S290" s="2"/>
    </row>
    <row r="291" spans="1:19" ht="12.3" x14ac:dyDescent="0.4">
      <c r="A291" s="2" t="s">
        <v>337</v>
      </c>
      <c r="B291" s="2"/>
      <c r="C291" s="2">
        <v>68.645300000000006</v>
      </c>
      <c r="D291" s="2">
        <v>30</v>
      </c>
      <c r="E291" s="2">
        <v>68.331699999999998</v>
      </c>
      <c r="F291" s="2">
        <v>28</v>
      </c>
      <c r="G291" s="2">
        <v>101.414</v>
      </c>
      <c r="H291" s="2">
        <v>186</v>
      </c>
      <c r="I291" s="2">
        <v>99.272999999999996</v>
      </c>
      <c r="J291" s="2">
        <v>233</v>
      </c>
      <c r="K291" s="2">
        <v>109.8152</v>
      </c>
      <c r="L291" s="2">
        <v>321</v>
      </c>
      <c r="M291" s="2">
        <v>109.4678</v>
      </c>
      <c r="N291" s="2">
        <v>311</v>
      </c>
      <c r="O291" s="2">
        <v>0.24523200000000001</v>
      </c>
      <c r="P291" s="2">
        <v>290</v>
      </c>
      <c r="Q291" s="2"/>
      <c r="R291" s="2"/>
      <c r="S291" s="2"/>
    </row>
    <row r="292" spans="1:19" ht="12.3" x14ac:dyDescent="0.4">
      <c r="A292" s="2" t="s">
        <v>199</v>
      </c>
      <c r="B292" s="2"/>
      <c r="C292" s="2">
        <v>64.023499999999999</v>
      </c>
      <c r="D292" s="2">
        <v>222</v>
      </c>
      <c r="E292" s="2">
        <v>63.8992</v>
      </c>
      <c r="F292" s="2">
        <v>223</v>
      </c>
      <c r="G292" s="2">
        <v>92.306200000000004</v>
      </c>
      <c r="H292" s="2">
        <v>329</v>
      </c>
      <c r="I292" s="2">
        <v>92.099599999999995</v>
      </c>
      <c r="J292" s="2">
        <v>329</v>
      </c>
      <c r="K292" s="2">
        <v>101.893</v>
      </c>
      <c r="L292" s="2">
        <v>169</v>
      </c>
      <c r="M292" s="2">
        <v>101.6696</v>
      </c>
      <c r="N292" s="2">
        <v>152</v>
      </c>
      <c r="O292" s="2">
        <v>0.242898</v>
      </c>
      <c r="P292" s="2">
        <v>291</v>
      </c>
      <c r="Q292" s="2"/>
      <c r="R292" s="2"/>
      <c r="S292" s="2"/>
    </row>
    <row r="293" spans="1:19" ht="12.3" x14ac:dyDescent="0.4">
      <c r="A293" s="2" t="s">
        <v>194</v>
      </c>
      <c r="B293" s="2"/>
      <c r="C293" s="2">
        <v>65.4512</v>
      </c>
      <c r="D293" s="2">
        <v>143</v>
      </c>
      <c r="E293" s="2">
        <v>64.869699999999995</v>
      </c>
      <c r="F293" s="2">
        <v>161</v>
      </c>
      <c r="G293" s="2">
        <v>97.343599999999995</v>
      </c>
      <c r="H293" s="2">
        <v>270</v>
      </c>
      <c r="I293" s="2">
        <v>99.137299999999996</v>
      </c>
      <c r="J293" s="2">
        <v>234</v>
      </c>
      <c r="K293" s="2">
        <v>108.434</v>
      </c>
      <c r="L293" s="2">
        <v>305</v>
      </c>
      <c r="M293" s="2">
        <v>109.5624</v>
      </c>
      <c r="N293" s="2">
        <v>313</v>
      </c>
      <c r="O293" s="2">
        <v>0.240512</v>
      </c>
      <c r="P293" s="2">
        <v>292</v>
      </c>
      <c r="Q293" s="2"/>
      <c r="R293" s="2"/>
      <c r="S293" s="2"/>
    </row>
    <row r="294" spans="1:19" ht="12.3" x14ac:dyDescent="0.4">
      <c r="A294" s="2" t="s">
        <v>295</v>
      </c>
      <c r="B294" s="2"/>
      <c r="C294" s="2">
        <v>63.214399999999998</v>
      </c>
      <c r="D294" s="2">
        <v>262</v>
      </c>
      <c r="E294" s="2">
        <v>63.768500000000003</v>
      </c>
      <c r="F294" s="2">
        <v>229</v>
      </c>
      <c r="G294" s="2">
        <v>95.878500000000003</v>
      </c>
      <c r="H294" s="2">
        <v>292</v>
      </c>
      <c r="I294" s="2">
        <v>95.778599999999997</v>
      </c>
      <c r="J294" s="2">
        <v>297</v>
      </c>
      <c r="K294" s="2">
        <v>100.86239999999999</v>
      </c>
      <c r="L294" s="2">
        <v>146</v>
      </c>
      <c r="M294" s="2">
        <v>105.85080000000001</v>
      </c>
      <c r="N294" s="2">
        <v>239</v>
      </c>
      <c r="O294" s="2">
        <v>0.240508</v>
      </c>
      <c r="P294" s="2">
        <v>293</v>
      </c>
      <c r="Q294" s="2"/>
      <c r="R294" s="2"/>
      <c r="S294" s="2"/>
    </row>
    <row r="295" spans="1:19" ht="12.3" x14ac:dyDescent="0.4">
      <c r="A295" s="2" t="s">
        <v>116</v>
      </c>
      <c r="B295" s="2"/>
      <c r="C295" s="2">
        <v>63.579799999999999</v>
      </c>
      <c r="D295" s="2">
        <v>249</v>
      </c>
      <c r="E295" s="2">
        <v>63.529499999999999</v>
      </c>
      <c r="F295" s="2">
        <v>249</v>
      </c>
      <c r="G295" s="2">
        <v>92.134699999999995</v>
      </c>
      <c r="H295" s="2">
        <v>331</v>
      </c>
      <c r="I295" s="2">
        <v>93.260999999999996</v>
      </c>
      <c r="J295" s="2">
        <v>316</v>
      </c>
      <c r="K295" s="2">
        <v>104.5176</v>
      </c>
      <c r="L295" s="2">
        <v>226</v>
      </c>
      <c r="M295" s="2">
        <v>103.39919999999999</v>
      </c>
      <c r="N295" s="2">
        <v>187</v>
      </c>
      <c r="O295" s="2">
        <v>0.23383999999999999</v>
      </c>
      <c r="P295" s="2">
        <v>294</v>
      </c>
      <c r="Q295" s="2"/>
      <c r="R295" s="2"/>
      <c r="S295" s="2"/>
    </row>
    <row r="296" spans="1:19" ht="12.3" x14ac:dyDescent="0.4">
      <c r="A296" s="2" t="s">
        <v>172</v>
      </c>
      <c r="B296" s="2"/>
      <c r="C296" s="2">
        <v>66.811300000000003</v>
      </c>
      <c r="D296" s="2">
        <v>81</v>
      </c>
      <c r="E296" s="2">
        <v>66.492699999999999</v>
      </c>
      <c r="F296" s="2">
        <v>90</v>
      </c>
      <c r="G296" s="2">
        <v>94.123900000000006</v>
      </c>
      <c r="H296" s="2">
        <v>307</v>
      </c>
      <c r="I296" s="2">
        <v>94.704899999999995</v>
      </c>
      <c r="J296" s="2">
        <v>307</v>
      </c>
      <c r="K296" s="2">
        <v>103.2885</v>
      </c>
      <c r="L296" s="2">
        <v>194</v>
      </c>
      <c r="M296" s="2">
        <v>105.09529999999999</v>
      </c>
      <c r="N296" s="2">
        <v>225</v>
      </c>
      <c r="O296" s="2">
        <v>0.23197999999999999</v>
      </c>
      <c r="P296" s="2">
        <v>295</v>
      </c>
      <c r="Q296" s="2"/>
      <c r="R296" s="2"/>
      <c r="S296" s="2"/>
    </row>
    <row r="297" spans="1:19" ht="12.3" x14ac:dyDescent="0.4">
      <c r="A297" s="2" t="s">
        <v>218</v>
      </c>
      <c r="B297" s="2"/>
      <c r="C297" s="2">
        <v>64.4923</v>
      </c>
      <c r="D297" s="2">
        <v>192</v>
      </c>
      <c r="E297" s="2">
        <v>64.203000000000003</v>
      </c>
      <c r="F297" s="2">
        <v>199</v>
      </c>
      <c r="G297" s="2">
        <v>96.67</v>
      </c>
      <c r="H297" s="2">
        <v>278</v>
      </c>
      <c r="I297" s="2">
        <v>97.328999999999994</v>
      </c>
      <c r="J297" s="2">
        <v>268</v>
      </c>
      <c r="K297" s="2">
        <v>105.2787</v>
      </c>
      <c r="L297" s="2">
        <v>246</v>
      </c>
      <c r="M297" s="2">
        <v>108.0543</v>
      </c>
      <c r="N297" s="2">
        <v>291</v>
      </c>
      <c r="O297" s="2">
        <v>0.23108699999999999</v>
      </c>
      <c r="P297" s="2">
        <v>296</v>
      </c>
      <c r="Q297" s="2"/>
      <c r="R297" s="2"/>
      <c r="S297" s="2"/>
    </row>
    <row r="298" spans="1:19" ht="12.3" x14ac:dyDescent="0.4">
      <c r="A298" s="2" t="s">
        <v>263</v>
      </c>
      <c r="B298" s="2"/>
      <c r="C298" s="2">
        <v>76.533799999999999</v>
      </c>
      <c r="D298" s="2">
        <v>1</v>
      </c>
      <c r="E298" s="2">
        <v>77.138400000000004</v>
      </c>
      <c r="F298" s="2">
        <v>1</v>
      </c>
      <c r="G298" s="2">
        <v>99.599699999999999</v>
      </c>
      <c r="H298" s="2">
        <v>230</v>
      </c>
      <c r="I298" s="2">
        <v>96.023099999999999</v>
      </c>
      <c r="J298" s="2">
        <v>293</v>
      </c>
      <c r="K298" s="2">
        <v>106.57599999999999</v>
      </c>
      <c r="L298" s="2">
        <v>276</v>
      </c>
      <c r="M298" s="2">
        <v>106.63339999999999</v>
      </c>
      <c r="N298" s="2">
        <v>262</v>
      </c>
      <c r="O298" s="2">
        <v>0.23053599999999999</v>
      </c>
      <c r="P298" s="2">
        <v>297</v>
      </c>
      <c r="Q298" s="2"/>
      <c r="R298" s="2"/>
      <c r="S298" s="2"/>
    </row>
    <row r="299" spans="1:19" ht="12.3" x14ac:dyDescent="0.4">
      <c r="A299" s="2" t="s">
        <v>319</v>
      </c>
      <c r="B299" s="2"/>
      <c r="C299" s="2">
        <v>62.6006</v>
      </c>
      <c r="D299" s="2">
        <v>287</v>
      </c>
      <c r="E299" s="2">
        <v>61.572200000000002</v>
      </c>
      <c r="F299" s="2">
        <v>315</v>
      </c>
      <c r="G299" s="2">
        <v>98.660399999999996</v>
      </c>
      <c r="H299" s="2">
        <v>250</v>
      </c>
      <c r="I299" s="2">
        <v>96.517899999999997</v>
      </c>
      <c r="J299" s="2">
        <v>279</v>
      </c>
      <c r="K299" s="2">
        <v>107.61109999999999</v>
      </c>
      <c r="L299" s="2">
        <v>295</v>
      </c>
      <c r="M299" s="2">
        <v>107.3798</v>
      </c>
      <c r="N299" s="2">
        <v>274</v>
      </c>
      <c r="O299" s="2">
        <v>0.22681100000000001</v>
      </c>
      <c r="P299" s="2">
        <v>298</v>
      </c>
      <c r="Q299" s="2"/>
      <c r="R299" s="2"/>
      <c r="S299" s="2"/>
    </row>
    <row r="300" spans="1:19" ht="12.3" x14ac:dyDescent="0.4">
      <c r="A300" s="2" t="s">
        <v>221</v>
      </c>
      <c r="B300" s="2"/>
      <c r="C300" s="2">
        <v>62.143300000000004</v>
      </c>
      <c r="D300" s="2">
        <v>301</v>
      </c>
      <c r="E300" s="2">
        <v>61.722499999999997</v>
      </c>
      <c r="F300" s="2">
        <v>310</v>
      </c>
      <c r="G300" s="2">
        <v>93.902500000000003</v>
      </c>
      <c r="H300" s="2">
        <v>312</v>
      </c>
      <c r="I300" s="2">
        <v>93.452299999999994</v>
      </c>
      <c r="J300" s="2">
        <v>315</v>
      </c>
      <c r="K300" s="2">
        <v>103.8458</v>
      </c>
      <c r="L300" s="2">
        <v>211</v>
      </c>
      <c r="M300" s="2">
        <v>103.98099999999999</v>
      </c>
      <c r="N300" s="2">
        <v>201</v>
      </c>
      <c r="O300" s="2">
        <v>0.22658500000000001</v>
      </c>
      <c r="P300" s="2">
        <v>299</v>
      </c>
      <c r="Q300" s="2"/>
      <c r="R300" s="2"/>
      <c r="S300" s="2"/>
    </row>
    <row r="301" spans="1:19" ht="12.3" x14ac:dyDescent="0.4">
      <c r="A301" s="2" t="s">
        <v>311</v>
      </c>
      <c r="B301" s="2"/>
      <c r="C301" s="2">
        <v>65.7286</v>
      </c>
      <c r="D301" s="2">
        <v>129</v>
      </c>
      <c r="E301" s="2">
        <v>66.278700000000001</v>
      </c>
      <c r="F301" s="2">
        <v>99</v>
      </c>
      <c r="G301" s="2">
        <v>95.409499999999994</v>
      </c>
      <c r="H301" s="2">
        <v>298</v>
      </c>
      <c r="I301" s="2">
        <v>96.959699999999998</v>
      </c>
      <c r="J301" s="2">
        <v>272</v>
      </c>
      <c r="K301" s="2">
        <v>106.5094</v>
      </c>
      <c r="L301" s="2">
        <v>273</v>
      </c>
      <c r="M301" s="2">
        <v>108.0124</v>
      </c>
      <c r="N301" s="2">
        <v>289</v>
      </c>
      <c r="O301" s="2">
        <v>0.224185</v>
      </c>
      <c r="P301" s="2">
        <v>300</v>
      </c>
      <c r="Q301" s="2"/>
      <c r="R301" s="2"/>
      <c r="S301" s="2"/>
    </row>
    <row r="302" spans="1:19" ht="12.3" x14ac:dyDescent="0.4">
      <c r="A302" s="2" t="s">
        <v>215</v>
      </c>
      <c r="B302" s="2"/>
      <c r="C302" s="2">
        <v>67.727999999999994</v>
      </c>
      <c r="D302" s="2">
        <v>53</v>
      </c>
      <c r="E302" s="2">
        <v>67.643600000000006</v>
      </c>
      <c r="F302" s="2">
        <v>45</v>
      </c>
      <c r="G302" s="2">
        <v>98.235100000000003</v>
      </c>
      <c r="H302" s="2">
        <v>256</v>
      </c>
      <c r="I302" s="2">
        <v>96.6982</v>
      </c>
      <c r="J302" s="2">
        <v>277</v>
      </c>
      <c r="K302" s="2">
        <v>107.9661</v>
      </c>
      <c r="L302" s="2">
        <v>298</v>
      </c>
      <c r="M302" s="2">
        <v>107.8539</v>
      </c>
      <c r="N302" s="2">
        <v>285</v>
      </c>
      <c r="O302" s="2">
        <v>0.22173300000000001</v>
      </c>
      <c r="P302" s="2">
        <v>301</v>
      </c>
      <c r="Q302" s="2"/>
      <c r="R302" s="2"/>
      <c r="S302" s="2"/>
    </row>
    <row r="303" spans="1:19" ht="12.3" x14ac:dyDescent="0.4">
      <c r="A303" s="2" t="s">
        <v>287</v>
      </c>
      <c r="B303" s="2"/>
      <c r="C303" s="2">
        <v>68.652100000000004</v>
      </c>
      <c r="D303" s="2">
        <v>29</v>
      </c>
      <c r="E303" s="2">
        <v>69.173699999999997</v>
      </c>
      <c r="F303" s="2">
        <v>22</v>
      </c>
      <c r="G303" s="2">
        <v>98.089399999999998</v>
      </c>
      <c r="H303" s="2">
        <v>259</v>
      </c>
      <c r="I303" s="2">
        <v>99.672300000000007</v>
      </c>
      <c r="J303" s="2">
        <v>230</v>
      </c>
      <c r="K303" s="2">
        <v>107.8574</v>
      </c>
      <c r="L303" s="2">
        <v>297</v>
      </c>
      <c r="M303" s="2">
        <v>111.1849</v>
      </c>
      <c r="N303" s="2">
        <v>328</v>
      </c>
      <c r="O303" s="2">
        <v>0.22148699999999999</v>
      </c>
      <c r="P303" s="2">
        <v>302</v>
      </c>
      <c r="Q303" s="2"/>
      <c r="R303" s="2"/>
      <c r="S303" s="2"/>
    </row>
    <row r="304" spans="1:19" ht="12.3" x14ac:dyDescent="0.4">
      <c r="A304" s="2" t="s">
        <v>342</v>
      </c>
      <c r="B304" s="2"/>
      <c r="C304" s="2">
        <v>69.418000000000006</v>
      </c>
      <c r="D304" s="2">
        <v>16</v>
      </c>
      <c r="E304" s="2">
        <v>69.332800000000006</v>
      </c>
      <c r="F304" s="2">
        <v>19</v>
      </c>
      <c r="G304" s="2">
        <v>96.3703</v>
      </c>
      <c r="H304" s="2">
        <v>286</v>
      </c>
      <c r="I304" s="2">
        <v>96.302700000000002</v>
      </c>
      <c r="J304" s="2">
        <v>285</v>
      </c>
      <c r="K304" s="2">
        <v>101.0844</v>
      </c>
      <c r="L304" s="2">
        <v>150</v>
      </c>
      <c r="M304" s="2">
        <v>107.6399</v>
      </c>
      <c r="N304" s="2">
        <v>277</v>
      </c>
      <c r="O304" s="2">
        <v>0.21757000000000001</v>
      </c>
      <c r="P304" s="2">
        <v>303</v>
      </c>
      <c r="Q304" s="2"/>
      <c r="R304" s="2"/>
      <c r="S304" s="2"/>
    </row>
    <row r="305" spans="1:19" ht="12.3" x14ac:dyDescent="0.4">
      <c r="A305" s="2" t="s">
        <v>183</v>
      </c>
      <c r="B305" s="2"/>
      <c r="C305" s="2">
        <v>68.553700000000006</v>
      </c>
      <c r="D305" s="2">
        <v>31</v>
      </c>
      <c r="E305" s="2">
        <v>67.706999999999994</v>
      </c>
      <c r="F305" s="2">
        <v>40</v>
      </c>
      <c r="G305" s="2">
        <v>99.200699999999998</v>
      </c>
      <c r="H305" s="2">
        <v>239</v>
      </c>
      <c r="I305" s="2">
        <v>96.533799999999999</v>
      </c>
      <c r="J305" s="2">
        <v>278</v>
      </c>
      <c r="K305" s="2">
        <v>107.2191</v>
      </c>
      <c r="L305" s="2">
        <v>288</v>
      </c>
      <c r="M305" s="2">
        <v>107.90349999999999</v>
      </c>
      <c r="N305" s="2">
        <v>286</v>
      </c>
      <c r="O305" s="2">
        <v>0.217473</v>
      </c>
      <c r="P305" s="2">
        <v>304</v>
      </c>
      <c r="Q305" s="2"/>
      <c r="R305" s="2"/>
      <c r="S305" s="2"/>
    </row>
    <row r="306" spans="1:19" ht="12.3" x14ac:dyDescent="0.4">
      <c r="A306" s="2" t="s">
        <v>195</v>
      </c>
      <c r="B306" s="2"/>
      <c r="C306" s="2">
        <v>62.933799999999998</v>
      </c>
      <c r="D306" s="2">
        <v>274</v>
      </c>
      <c r="E306" s="2">
        <v>62.441400000000002</v>
      </c>
      <c r="F306" s="2">
        <v>288</v>
      </c>
      <c r="G306" s="2">
        <v>99.2376</v>
      </c>
      <c r="H306" s="2">
        <v>237</v>
      </c>
      <c r="I306" s="2">
        <v>97.044899999999998</v>
      </c>
      <c r="J306" s="2">
        <v>270</v>
      </c>
      <c r="K306" s="2">
        <v>110.59010000000001</v>
      </c>
      <c r="L306" s="2">
        <v>326</v>
      </c>
      <c r="M306" s="2">
        <v>108.8603</v>
      </c>
      <c r="N306" s="2">
        <v>303</v>
      </c>
      <c r="O306" s="2">
        <v>0.21060899999999999</v>
      </c>
      <c r="P306" s="2">
        <v>305</v>
      </c>
      <c r="Q306" s="2"/>
      <c r="R306" s="2"/>
      <c r="S306" s="2"/>
    </row>
    <row r="307" spans="1:19" ht="12.3" x14ac:dyDescent="0.4">
      <c r="A307" s="2" t="s">
        <v>328</v>
      </c>
      <c r="B307" s="2"/>
      <c r="C307" s="2">
        <v>68.225800000000007</v>
      </c>
      <c r="D307" s="2">
        <v>36</v>
      </c>
      <c r="E307" s="2">
        <v>66.729600000000005</v>
      </c>
      <c r="F307" s="2">
        <v>77</v>
      </c>
      <c r="G307" s="2">
        <v>97.948700000000002</v>
      </c>
      <c r="H307" s="2">
        <v>262</v>
      </c>
      <c r="I307" s="2">
        <v>94.5976</v>
      </c>
      <c r="J307" s="2">
        <v>310</v>
      </c>
      <c r="K307" s="2">
        <v>104.7239</v>
      </c>
      <c r="L307" s="2">
        <v>229</v>
      </c>
      <c r="M307" s="2">
        <v>106.34</v>
      </c>
      <c r="N307" s="2">
        <v>251</v>
      </c>
      <c r="O307" s="2">
        <v>0.20659</v>
      </c>
      <c r="P307" s="2">
        <v>306</v>
      </c>
      <c r="Q307" s="2"/>
      <c r="R307" s="2"/>
      <c r="S307" s="2"/>
    </row>
    <row r="308" spans="1:19" ht="12.3" x14ac:dyDescent="0.4">
      <c r="A308" s="2" t="s">
        <v>374</v>
      </c>
      <c r="B308" s="2"/>
      <c r="C308" s="2">
        <v>67.717200000000005</v>
      </c>
      <c r="D308" s="2">
        <v>54</v>
      </c>
      <c r="E308" s="2">
        <v>67.055499999999995</v>
      </c>
      <c r="F308" s="2">
        <v>67</v>
      </c>
      <c r="G308" s="2">
        <v>101.4469</v>
      </c>
      <c r="H308" s="2">
        <v>184</v>
      </c>
      <c r="I308" s="2">
        <v>100.5381</v>
      </c>
      <c r="J308" s="2">
        <v>210</v>
      </c>
      <c r="K308" s="2">
        <v>112.09820000000001</v>
      </c>
      <c r="L308" s="2">
        <v>340</v>
      </c>
      <c r="M308" s="2">
        <v>113.1373</v>
      </c>
      <c r="N308" s="2">
        <v>337</v>
      </c>
      <c r="O308" s="2">
        <v>0.20460600000000001</v>
      </c>
      <c r="P308" s="2">
        <v>307</v>
      </c>
      <c r="Q308" s="2"/>
      <c r="R308" s="2"/>
      <c r="S308" s="2"/>
    </row>
    <row r="309" spans="1:19" ht="12.3" x14ac:dyDescent="0.4">
      <c r="A309" s="2" t="s">
        <v>143</v>
      </c>
      <c r="B309" s="2"/>
      <c r="C309" s="2">
        <v>66.427300000000002</v>
      </c>
      <c r="D309" s="2">
        <v>100</v>
      </c>
      <c r="E309" s="2">
        <v>65.509399999999999</v>
      </c>
      <c r="F309" s="2">
        <v>134</v>
      </c>
      <c r="G309" s="2">
        <v>92.354699999999994</v>
      </c>
      <c r="H309" s="2">
        <v>327</v>
      </c>
      <c r="I309" s="2">
        <v>93.653899999999993</v>
      </c>
      <c r="J309" s="2">
        <v>314</v>
      </c>
      <c r="K309" s="2">
        <v>103.7085</v>
      </c>
      <c r="L309" s="2">
        <v>205</v>
      </c>
      <c r="M309" s="2">
        <v>105.4264</v>
      </c>
      <c r="N309" s="2">
        <v>231</v>
      </c>
      <c r="O309" s="2">
        <v>0.20396700000000001</v>
      </c>
      <c r="P309" s="2">
        <v>308</v>
      </c>
      <c r="Q309" s="2"/>
      <c r="R309" s="2"/>
      <c r="S309" s="2"/>
    </row>
    <row r="310" spans="1:19" ht="12.3" x14ac:dyDescent="0.4">
      <c r="A310" s="2" t="s">
        <v>237</v>
      </c>
      <c r="B310" s="2"/>
      <c r="C310" s="2">
        <v>67.788700000000006</v>
      </c>
      <c r="D310" s="2">
        <v>49</v>
      </c>
      <c r="E310" s="2">
        <v>67.813100000000006</v>
      </c>
      <c r="F310" s="2">
        <v>39</v>
      </c>
      <c r="G310" s="2">
        <v>100.2597</v>
      </c>
      <c r="H310" s="2">
        <v>212</v>
      </c>
      <c r="I310" s="2">
        <v>96.995199999999997</v>
      </c>
      <c r="J310" s="2">
        <v>271</v>
      </c>
      <c r="K310" s="2">
        <v>109.73520000000001</v>
      </c>
      <c r="L310" s="2">
        <v>320</v>
      </c>
      <c r="M310" s="2">
        <v>109.3425</v>
      </c>
      <c r="N310" s="2">
        <v>309</v>
      </c>
      <c r="O310" s="2">
        <v>0.20133599999999999</v>
      </c>
      <c r="P310" s="2">
        <v>309</v>
      </c>
      <c r="Q310" s="2"/>
      <c r="R310" s="2"/>
      <c r="S310" s="2"/>
    </row>
    <row r="311" spans="1:19" ht="12.3" x14ac:dyDescent="0.4">
      <c r="A311" s="2" t="s">
        <v>275</v>
      </c>
      <c r="B311" s="2"/>
      <c r="C311" s="2">
        <v>64.322699999999998</v>
      </c>
      <c r="D311" s="2">
        <v>202</v>
      </c>
      <c r="E311" s="2">
        <v>63.88</v>
      </c>
      <c r="F311" s="2">
        <v>224</v>
      </c>
      <c r="G311" s="2">
        <v>93.740899999999996</v>
      </c>
      <c r="H311" s="2">
        <v>314</v>
      </c>
      <c r="I311" s="2">
        <v>93.233800000000002</v>
      </c>
      <c r="J311" s="2">
        <v>317</v>
      </c>
      <c r="K311" s="2">
        <v>106.038</v>
      </c>
      <c r="L311" s="2">
        <v>262</v>
      </c>
      <c r="M311" s="2">
        <v>105.2467</v>
      </c>
      <c r="N311" s="2">
        <v>228</v>
      </c>
      <c r="O311" s="2">
        <v>0.19880700000000001</v>
      </c>
      <c r="P311" s="2">
        <v>310</v>
      </c>
      <c r="Q311" s="2"/>
      <c r="R311" s="2"/>
      <c r="S311" s="2"/>
    </row>
    <row r="312" spans="1:19" ht="12.3" x14ac:dyDescent="0.4">
      <c r="A312" s="2" t="s">
        <v>383</v>
      </c>
      <c r="B312" s="2"/>
      <c r="C312" s="2">
        <v>64.259799999999998</v>
      </c>
      <c r="D312" s="2">
        <v>205</v>
      </c>
      <c r="E312" s="2">
        <v>64.412400000000005</v>
      </c>
      <c r="F312" s="2">
        <v>191</v>
      </c>
      <c r="G312" s="2">
        <v>92.104100000000003</v>
      </c>
      <c r="H312" s="2">
        <v>333</v>
      </c>
      <c r="I312" s="2">
        <v>92.421999999999997</v>
      </c>
      <c r="J312" s="2">
        <v>326</v>
      </c>
      <c r="K312" s="2">
        <v>103.0843</v>
      </c>
      <c r="L312" s="2">
        <v>191</v>
      </c>
      <c r="M312" s="2">
        <v>104.45820000000001</v>
      </c>
      <c r="N312" s="2">
        <v>212</v>
      </c>
      <c r="O312" s="2">
        <v>0.196574</v>
      </c>
      <c r="P312" s="2">
        <v>311</v>
      </c>
      <c r="Q312" s="2"/>
      <c r="R312" s="2"/>
      <c r="S312" s="2"/>
    </row>
    <row r="313" spans="1:19" ht="12.3" x14ac:dyDescent="0.4">
      <c r="A313" s="2" t="s">
        <v>340</v>
      </c>
      <c r="B313" s="2"/>
      <c r="C313" s="2">
        <v>62.326799999999999</v>
      </c>
      <c r="D313" s="2">
        <v>296</v>
      </c>
      <c r="E313" s="2">
        <v>63.013800000000003</v>
      </c>
      <c r="F313" s="2">
        <v>268</v>
      </c>
      <c r="G313" s="2">
        <v>91.952100000000002</v>
      </c>
      <c r="H313" s="2">
        <v>334</v>
      </c>
      <c r="I313" s="2">
        <v>91.418199999999999</v>
      </c>
      <c r="J313" s="2">
        <v>334</v>
      </c>
      <c r="K313" s="2">
        <v>103.9393</v>
      </c>
      <c r="L313" s="2">
        <v>214</v>
      </c>
      <c r="M313" s="2">
        <v>103.3369</v>
      </c>
      <c r="N313" s="2">
        <v>186</v>
      </c>
      <c r="O313" s="2">
        <v>0.19634099999999999</v>
      </c>
      <c r="P313" s="2">
        <v>312</v>
      </c>
      <c r="Q313" s="2"/>
      <c r="R313" s="2"/>
      <c r="S313" s="2"/>
    </row>
    <row r="314" spans="1:19" ht="12.3" x14ac:dyDescent="0.4">
      <c r="A314" s="2" t="s">
        <v>175</v>
      </c>
      <c r="B314" s="2"/>
      <c r="C314" s="2">
        <v>62.5077</v>
      </c>
      <c r="D314" s="2">
        <v>292</v>
      </c>
      <c r="E314" s="2">
        <v>62.480400000000003</v>
      </c>
      <c r="F314" s="2">
        <v>287</v>
      </c>
      <c r="G314" s="2">
        <v>93.1995</v>
      </c>
      <c r="H314" s="2">
        <v>319</v>
      </c>
      <c r="I314" s="2">
        <v>95.677800000000005</v>
      </c>
      <c r="J314" s="2">
        <v>300</v>
      </c>
      <c r="K314" s="2">
        <v>109.3857</v>
      </c>
      <c r="L314" s="2">
        <v>316</v>
      </c>
      <c r="M314" s="2">
        <v>108.2491</v>
      </c>
      <c r="N314" s="2">
        <v>292</v>
      </c>
      <c r="O314" s="2">
        <v>0.194715</v>
      </c>
      <c r="P314" s="2">
        <v>313</v>
      </c>
      <c r="Q314" s="2"/>
      <c r="R314" s="2"/>
      <c r="S314" s="2"/>
    </row>
    <row r="315" spans="1:19" ht="12.3" x14ac:dyDescent="0.4">
      <c r="A315" s="2" t="s">
        <v>359</v>
      </c>
      <c r="B315" s="2"/>
      <c r="C315" s="2">
        <v>67.200800000000001</v>
      </c>
      <c r="D315" s="2">
        <v>72</v>
      </c>
      <c r="E315" s="2">
        <v>66.933899999999994</v>
      </c>
      <c r="F315" s="2">
        <v>72</v>
      </c>
      <c r="G315" s="2">
        <v>97.690600000000003</v>
      </c>
      <c r="H315" s="2">
        <v>266</v>
      </c>
      <c r="I315" s="2">
        <v>95.709100000000007</v>
      </c>
      <c r="J315" s="2">
        <v>299</v>
      </c>
      <c r="K315" s="2">
        <v>108.55500000000001</v>
      </c>
      <c r="L315" s="2">
        <v>306</v>
      </c>
      <c r="M315" s="2">
        <v>108.3218</v>
      </c>
      <c r="N315" s="2">
        <v>293</v>
      </c>
      <c r="O315" s="2">
        <v>0.19409499999999999</v>
      </c>
      <c r="P315" s="2">
        <v>314</v>
      </c>
      <c r="Q315" s="2"/>
      <c r="R315" s="2"/>
      <c r="S315" s="2"/>
    </row>
    <row r="316" spans="1:19" ht="12.3" x14ac:dyDescent="0.4">
      <c r="A316" s="2" t="s">
        <v>294</v>
      </c>
      <c r="B316" s="2"/>
      <c r="C316" s="2">
        <v>63.806399999999996</v>
      </c>
      <c r="D316" s="2">
        <v>237</v>
      </c>
      <c r="E316" s="2">
        <v>64.004999999999995</v>
      </c>
      <c r="F316" s="2">
        <v>212</v>
      </c>
      <c r="G316" s="2">
        <v>99.119100000000003</v>
      </c>
      <c r="H316" s="2">
        <v>244</v>
      </c>
      <c r="I316" s="2">
        <v>96.448700000000002</v>
      </c>
      <c r="J316" s="2">
        <v>282</v>
      </c>
      <c r="K316" s="2">
        <v>108.60429999999999</v>
      </c>
      <c r="L316" s="2">
        <v>307</v>
      </c>
      <c r="M316" s="2">
        <v>109.56529999999999</v>
      </c>
      <c r="N316" s="2">
        <v>314</v>
      </c>
      <c r="O316" s="2">
        <v>0.187496</v>
      </c>
      <c r="P316" s="2">
        <v>315</v>
      </c>
      <c r="Q316" s="2"/>
      <c r="R316" s="2"/>
      <c r="S316" s="2"/>
    </row>
    <row r="317" spans="1:19" ht="12.3" x14ac:dyDescent="0.4">
      <c r="A317" s="2" t="s">
        <v>312</v>
      </c>
      <c r="B317" s="2"/>
      <c r="C317" s="2">
        <v>64.892899999999997</v>
      </c>
      <c r="D317" s="2">
        <v>165</v>
      </c>
      <c r="E317" s="2">
        <v>63.670400000000001</v>
      </c>
      <c r="F317" s="2">
        <v>238</v>
      </c>
      <c r="G317" s="2">
        <v>93.093199999999996</v>
      </c>
      <c r="H317" s="2">
        <v>320</v>
      </c>
      <c r="I317" s="2">
        <v>89.682100000000005</v>
      </c>
      <c r="J317" s="2">
        <v>344</v>
      </c>
      <c r="K317" s="2">
        <v>97.008200000000002</v>
      </c>
      <c r="L317" s="2">
        <v>70</v>
      </c>
      <c r="M317" s="2">
        <v>102.0677</v>
      </c>
      <c r="N317" s="2">
        <v>162</v>
      </c>
      <c r="O317" s="2">
        <v>0.18426799999999999</v>
      </c>
      <c r="P317" s="2">
        <v>316</v>
      </c>
      <c r="Q317" s="2"/>
      <c r="R317" s="2"/>
      <c r="S317" s="2"/>
    </row>
    <row r="318" spans="1:19" ht="12.3" x14ac:dyDescent="0.4">
      <c r="A318" s="2" t="s">
        <v>378</v>
      </c>
      <c r="B318" s="2"/>
      <c r="C318" s="2">
        <v>68.017600000000002</v>
      </c>
      <c r="D318" s="2">
        <v>43</v>
      </c>
      <c r="E318" s="2">
        <v>68.052700000000002</v>
      </c>
      <c r="F318" s="2">
        <v>32</v>
      </c>
      <c r="G318" s="2">
        <v>97.474699999999999</v>
      </c>
      <c r="H318" s="2">
        <v>268</v>
      </c>
      <c r="I318" s="2">
        <v>95.395700000000005</v>
      </c>
      <c r="J318" s="2">
        <v>304</v>
      </c>
      <c r="K318" s="2">
        <v>109.9978</v>
      </c>
      <c r="L318" s="2">
        <v>324</v>
      </c>
      <c r="M318" s="2">
        <v>109.0568</v>
      </c>
      <c r="N318" s="2">
        <v>306</v>
      </c>
      <c r="O318" s="2">
        <v>0.17666499999999999</v>
      </c>
      <c r="P318" s="2">
        <v>317</v>
      </c>
      <c r="Q318" s="2"/>
      <c r="R318" s="2"/>
      <c r="S318" s="2"/>
    </row>
    <row r="319" spans="1:19" ht="12.3" x14ac:dyDescent="0.4">
      <c r="A319" s="2" t="s">
        <v>227</v>
      </c>
      <c r="B319" s="2"/>
      <c r="C319" s="2">
        <v>68.127200000000002</v>
      </c>
      <c r="D319" s="2">
        <v>41</v>
      </c>
      <c r="E319" s="2">
        <v>67.212599999999995</v>
      </c>
      <c r="F319" s="2">
        <v>58</v>
      </c>
      <c r="G319" s="2">
        <v>93.984999999999999</v>
      </c>
      <c r="H319" s="2">
        <v>310</v>
      </c>
      <c r="I319" s="2">
        <v>92.735500000000002</v>
      </c>
      <c r="J319" s="2">
        <v>321</v>
      </c>
      <c r="K319" s="2">
        <v>108.1296</v>
      </c>
      <c r="L319" s="2">
        <v>302</v>
      </c>
      <c r="M319" s="2">
        <v>106.3943</v>
      </c>
      <c r="N319" s="2">
        <v>254</v>
      </c>
      <c r="O319" s="2">
        <v>0.17077999999999999</v>
      </c>
      <c r="P319" s="2">
        <v>318</v>
      </c>
      <c r="Q319" s="2"/>
      <c r="R319" s="2"/>
      <c r="S319" s="2"/>
    </row>
    <row r="320" spans="1:19" ht="12.3" x14ac:dyDescent="0.4">
      <c r="A320" s="2" t="s">
        <v>163</v>
      </c>
      <c r="B320" s="2"/>
      <c r="C320" s="2">
        <v>66.170299999999997</v>
      </c>
      <c r="D320" s="2">
        <v>109</v>
      </c>
      <c r="E320" s="2">
        <v>66.243399999999994</v>
      </c>
      <c r="F320" s="2">
        <v>102</v>
      </c>
      <c r="G320" s="2">
        <v>95.721500000000006</v>
      </c>
      <c r="H320" s="2">
        <v>294</v>
      </c>
      <c r="I320" s="2">
        <v>94.604500000000002</v>
      </c>
      <c r="J320" s="2">
        <v>309</v>
      </c>
      <c r="K320" s="2">
        <v>109.8999</v>
      </c>
      <c r="L320" s="2">
        <v>322</v>
      </c>
      <c r="M320" s="2">
        <v>108.7619</v>
      </c>
      <c r="N320" s="2">
        <v>301</v>
      </c>
      <c r="O320" s="2">
        <v>0.167459</v>
      </c>
      <c r="P320" s="2">
        <v>319</v>
      </c>
      <c r="Q320" s="2"/>
      <c r="R320" s="2"/>
      <c r="S320" s="2"/>
    </row>
    <row r="321" spans="1:19" ht="12.3" x14ac:dyDescent="0.4">
      <c r="A321" s="2" t="s">
        <v>344</v>
      </c>
      <c r="B321" s="2"/>
      <c r="C321" s="2">
        <v>67.394400000000005</v>
      </c>
      <c r="D321" s="2">
        <v>63</v>
      </c>
      <c r="E321" s="2">
        <v>67.701999999999998</v>
      </c>
      <c r="F321" s="2">
        <v>41</v>
      </c>
      <c r="G321" s="2">
        <v>96.736699999999999</v>
      </c>
      <c r="H321" s="2">
        <v>276</v>
      </c>
      <c r="I321" s="2">
        <v>96.048699999999997</v>
      </c>
      <c r="J321" s="2">
        <v>292</v>
      </c>
      <c r="K321" s="2">
        <v>108.4136</v>
      </c>
      <c r="L321" s="2">
        <v>304</v>
      </c>
      <c r="M321" s="2">
        <v>111.08459999999999</v>
      </c>
      <c r="N321" s="2">
        <v>327</v>
      </c>
      <c r="O321" s="2">
        <v>0.15808900000000001</v>
      </c>
      <c r="P321" s="2">
        <v>320</v>
      </c>
      <c r="Q321" s="2"/>
      <c r="R321" s="2"/>
      <c r="S321" s="2"/>
    </row>
    <row r="322" spans="1:19" ht="12.3" x14ac:dyDescent="0.4">
      <c r="A322" s="2" t="s">
        <v>347</v>
      </c>
      <c r="B322" s="2"/>
      <c r="C322" s="2">
        <v>68.373999999999995</v>
      </c>
      <c r="D322" s="2">
        <v>34</v>
      </c>
      <c r="E322" s="2">
        <v>66.696899999999999</v>
      </c>
      <c r="F322" s="2">
        <v>80</v>
      </c>
      <c r="G322" s="2">
        <v>91.452600000000004</v>
      </c>
      <c r="H322" s="2">
        <v>336</v>
      </c>
      <c r="I322" s="2">
        <v>90.878399999999999</v>
      </c>
      <c r="J322" s="2">
        <v>338</v>
      </c>
      <c r="K322" s="2">
        <v>106.97110000000001</v>
      </c>
      <c r="L322" s="2">
        <v>284</v>
      </c>
      <c r="M322" s="2">
        <v>105.5252</v>
      </c>
      <c r="N322" s="2">
        <v>234</v>
      </c>
      <c r="O322" s="2">
        <v>0.15207599999999999</v>
      </c>
      <c r="P322" s="2">
        <v>321</v>
      </c>
      <c r="Q322" s="2"/>
      <c r="R322" s="2"/>
      <c r="S322" s="2"/>
    </row>
    <row r="323" spans="1:19" ht="12.3" x14ac:dyDescent="0.4">
      <c r="A323" s="2" t="s">
        <v>214</v>
      </c>
      <c r="B323" s="2"/>
      <c r="C323" s="2">
        <v>64.460400000000007</v>
      </c>
      <c r="D323" s="2">
        <v>194</v>
      </c>
      <c r="E323" s="2">
        <v>64.043099999999995</v>
      </c>
      <c r="F323" s="2">
        <v>208</v>
      </c>
      <c r="G323" s="2">
        <v>95.991399999999999</v>
      </c>
      <c r="H323" s="2">
        <v>290</v>
      </c>
      <c r="I323" s="2">
        <v>96.911000000000001</v>
      </c>
      <c r="J323" s="2">
        <v>274</v>
      </c>
      <c r="K323" s="2">
        <v>112.57550000000001</v>
      </c>
      <c r="L323" s="2">
        <v>343</v>
      </c>
      <c r="M323" s="2">
        <v>112.5373</v>
      </c>
      <c r="N323" s="2">
        <v>336</v>
      </c>
      <c r="O323" s="2">
        <v>0.151981</v>
      </c>
      <c r="P323" s="2">
        <v>322</v>
      </c>
      <c r="Q323" s="2"/>
      <c r="R323" s="2"/>
      <c r="S323" s="2"/>
    </row>
    <row r="324" spans="1:19" ht="12.3" x14ac:dyDescent="0.4">
      <c r="A324" s="2" t="s">
        <v>341</v>
      </c>
      <c r="B324" s="2"/>
      <c r="C324" s="2">
        <v>73.488699999999994</v>
      </c>
      <c r="D324" s="2">
        <v>3</v>
      </c>
      <c r="E324" s="2">
        <v>74.168800000000005</v>
      </c>
      <c r="F324" s="2">
        <v>2</v>
      </c>
      <c r="G324" s="2">
        <v>96.076300000000003</v>
      </c>
      <c r="H324" s="2">
        <v>289</v>
      </c>
      <c r="I324" s="2">
        <v>99.002300000000005</v>
      </c>
      <c r="J324" s="2">
        <v>240</v>
      </c>
      <c r="K324" s="2">
        <v>113.626</v>
      </c>
      <c r="L324" s="2">
        <v>347</v>
      </c>
      <c r="M324" s="2">
        <v>115.00490000000001</v>
      </c>
      <c r="N324" s="2">
        <v>345</v>
      </c>
      <c r="O324" s="2">
        <v>0.151478</v>
      </c>
      <c r="P324" s="2">
        <v>323</v>
      </c>
      <c r="Q324" s="2"/>
      <c r="R324" s="2"/>
      <c r="S324" s="2"/>
    </row>
    <row r="325" spans="1:19" ht="12.3" x14ac:dyDescent="0.4">
      <c r="A325" s="2" t="s">
        <v>351</v>
      </c>
      <c r="B325" s="2"/>
      <c r="C325" s="2">
        <v>64.655799999999999</v>
      </c>
      <c r="D325" s="2">
        <v>182</v>
      </c>
      <c r="E325" s="2">
        <v>64.114800000000002</v>
      </c>
      <c r="F325" s="2">
        <v>205</v>
      </c>
      <c r="G325" s="2">
        <v>92.108999999999995</v>
      </c>
      <c r="H325" s="2">
        <v>332</v>
      </c>
      <c r="I325" s="2">
        <v>91.542100000000005</v>
      </c>
      <c r="J325" s="2">
        <v>333</v>
      </c>
      <c r="K325" s="2">
        <v>103.0091</v>
      </c>
      <c r="L325" s="2">
        <v>189</v>
      </c>
      <c r="M325" s="2">
        <v>106.7758</v>
      </c>
      <c r="N325" s="2">
        <v>263</v>
      </c>
      <c r="O325" s="2">
        <v>0.14551500000000001</v>
      </c>
      <c r="P325" s="2">
        <v>324</v>
      </c>
      <c r="Q325" s="2"/>
      <c r="R325" s="2"/>
      <c r="S325" s="2"/>
    </row>
    <row r="326" spans="1:19" ht="12.3" x14ac:dyDescent="0.4">
      <c r="A326" s="2" t="s">
        <v>368</v>
      </c>
      <c r="B326" s="2"/>
      <c r="C326" s="2">
        <v>62.510300000000001</v>
      </c>
      <c r="D326" s="2">
        <v>291</v>
      </c>
      <c r="E326" s="2">
        <v>62.624000000000002</v>
      </c>
      <c r="F326" s="2">
        <v>278</v>
      </c>
      <c r="G326" s="2">
        <v>95.443600000000004</v>
      </c>
      <c r="H326" s="2">
        <v>297</v>
      </c>
      <c r="I326" s="2">
        <v>95.591200000000001</v>
      </c>
      <c r="J326" s="2">
        <v>301</v>
      </c>
      <c r="K326" s="2">
        <v>114.1002</v>
      </c>
      <c r="L326" s="2">
        <v>348</v>
      </c>
      <c r="M326" s="2">
        <v>111.51</v>
      </c>
      <c r="N326" s="2">
        <v>332</v>
      </c>
      <c r="O326" s="2">
        <v>0.14537</v>
      </c>
      <c r="P326" s="2">
        <v>325</v>
      </c>
      <c r="Q326" s="2"/>
      <c r="R326" s="2"/>
      <c r="S326" s="2"/>
    </row>
    <row r="327" spans="1:19" ht="12.3" x14ac:dyDescent="0.4">
      <c r="A327" s="2" t="s">
        <v>315</v>
      </c>
      <c r="B327" s="2"/>
      <c r="C327" s="2">
        <v>63.244900000000001</v>
      </c>
      <c r="D327" s="2">
        <v>259</v>
      </c>
      <c r="E327" s="2">
        <v>63.2986</v>
      </c>
      <c r="F327" s="2">
        <v>257</v>
      </c>
      <c r="G327" s="2">
        <v>90.057199999999995</v>
      </c>
      <c r="H327" s="2">
        <v>341</v>
      </c>
      <c r="I327" s="2">
        <v>92.997299999999996</v>
      </c>
      <c r="J327" s="2">
        <v>318</v>
      </c>
      <c r="K327" s="2">
        <v>105.699</v>
      </c>
      <c r="L327" s="2">
        <v>256</v>
      </c>
      <c r="M327" s="2">
        <v>108.5744</v>
      </c>
      <c r="N327" s="2">
        <v>297</v>
      </c>
      <c r="O327" s="2">
        <v>0.14418600000000001</v>
      </c>
      <c r="P327" s="2">
        <v>326</v>
      </c>
      <c r="Q327" s="2"/>
      <c r="R327" s="2"/>
      <c r="S327" s="2"/>
    </row>
    <row r="328" spans="1:19" ht="12.3" x14ac:dyDescent="0.4">
      <c r="A328" s="2" t="s">
        <v>285</v>
      </c>
      <c r="B328" s="2"/>
      <c r="C328" s="2">
        <v>67.282399999999996</v>
      </c>
      <c r="D328" s="2">
        <v>66</v>
      </c>
      <c r="E328" s="2">
        <v>67.068600000000004</v>
      </c>
      <c r="F328" s="2">
        <v>66</v>
      </c>
      <c r="G328" s="2">
        <v>89.989599999999996</v>
      </c>
      <c r="H328" s="2">
        <v>342</v>
      </c>
      <c r="I328" s="2">
        <v>90.579800000000006</v>
      </c>
      <c r="J328" s="2">
        <v>340</v>
      </c>
      <c r="K328" s="2">
        <v>106.54340000000001</v>
      </c>
      <c r="L328" s="2">
        <v>274</v>
      </c>
      <c r="M328" s="2">
        <v>106.374</v>
      </c>
      <c r="N328" s="2">
        <v>253</v>
      </c>
      <c r="O328" s="2">
        <v>0.13606199999999999</v>
      </c>
      <c r="P328" s="2">
        <v>327</v>
      </c>
      <c r="Q328" s="2"/>
      <c r="R328" s="2"/>
      <c r="S328" s="2"/>
    </row>
    <row r="329" spans="1:19" ht="12.3" x14ac:dyDescent="0.4">
      <c r="A329" s="2" t="s">
        <v>372</v>
      </c>
      <c r="B329" s="2"/>
      <c r="C329" s="2">
        <v>61.827199999999998</v>
      </c>
      <c r="D329" s="2">
        <v>307</v>
      </c>
      <c r="E329" s="2">
        <v>62.384799999999998</v>
      </c>
      <c r="F329" s="2">
        <v>290</v>
      </c>
      <c r="G329" s="2">
        <v>92.403800000000004</v>
      </c>
      <c r="H329" s="2">
        <v>326</v>
      </c>
      <c r="I329" s="2">
        <v>91.162999999999997</v>
      </c>
      <c r="J329" s="2">
        <v>335</v>
      </c>
      <c r="K329" s="2">
        <v>104.95959999999999</v>
      </c>
      <c r="L329" s="2">
        <v>237</v>
      </c>
      <c r="M329" s="2">
        <v>107.09350000000001</v>
      </c>
      <c r="N329" s="2">
        <v>270</v>
      </c>
      <c r="O329" s="2">
        <v>0.135625</v>
      </c>
      <c r="P329" s="2">
        <v>328</v>
      </c>
      <c r="Q329" s="2"/>
      <c r="R329" s="2"/>
      <c r="S329" s="2"/>
    </row>
    <row r="330" spans="1:19" ht="12.3" x14ac:dyDescent="0.4">
      <c r="A330" s="2" t="s">
        <v>179</v>
      </c>
      <c r="B330" s="2"/>
      <c r="C330" s="2">
        <v>59.6126</v>
      </c>
      <c r="D330" s="2">
        <v>341</v>
      </c>
      <c r="E330" s="2">
        <v>59.345700000000001</v>
      </c>
      <c r="F330" s="2">
        <v>343</v>
      </c>
      <c r="G330" s="2">
        <v>103.7441</v>
      </c>
      <c r="H330" s="2">
        <v>132</v>
      </c>
      <c r="I330" s="2">
        <v>101.6238</v>
      </c>
      <c r="J330" s="2">
        <v>179</v>
      </c>
      <c r="K330" s="2">
        <v>117.8852</v>
      </c>
      <c r="L330" s="2">
        <v>351</v>
      </c>
      <c r="M330" s="2">
        <v>120.408</v>
      </c>
      <c r="N330" s="2">
        <v>351</v>
      </c>
      <c r="O330" s="2">
        <v>0.1245</v>
      </c>
      <c r="P330" s="2">
        <v>329</v>
      </c>
      <c r="Q330" s="2"/>
      <c r="R330" s="2"/>
      <c r="S330" s="2"/>
    </row>
    <row r="331" spans="1:19" ht="12.3" x14ac:dyDescent="0.4">
      <c r="A331" s="2" t="s">
        <v>272</v>
      </c>
      <c r="B331" s="2"/>
      <c r="C331" s="2">
        <v>64.371300000000005</v>
      </c>
      <c r="D331" s="2">
        <v>198</v>
      </c>
      <c r="E331" s="2">
        <v>63.691000000000003</v>
      </c>
      <c r="F331" s="2">
        <v>236</v>
      </c>
      <c r="G331" s="2">
        <v>94.785499999999999</v>
      </c>
      <c r="H331" s="2">
        <v>301</v>
      </c>
      <c r="I331" s="2">
        <v>94.733900000000006</v>
      </c>
      <c r="J331" s="2">
        <v>306</v>
      </c>
      <c r="K331" s="2">
        <v>106.4526</v>
      </c>
      <c r="L331" s="2">
        <v>272</v>
      </c>
      <c r="M331" s="2">
        <v>112.3258</v>
      </c>
      <c r="N331" s="2">
        <v>335</v>
      </c>
      <c r="O331" s="2">
        <v>0.123595</v>
      </c>
      <c r="P331" s="2">
        <v>330</v>
      </c>
      <c r="Q331" s="2"/>
      <c r="R331" s="2"/>
      <c r="S331" s="2"/>
    </row>
    <row r="332" spans="1:19" ht="12.3" x14ac:dyDescent="0.4">
      <c r="A332" s="2" t="s">
        <v>346</v>
      </c>
      <c r="B332" s="2"/>
      <c r="C332" s="2">
        <v>66.605099999999993</v>
      </c>
      <c r="D332" s="2">
        <v>89</v>
      </c>
      <c r="E332" s="2">
        <v>66.421000000000006</v>
      </c>
      <c r="F332" s="2">
        <v>93</v>
      </c>
      <c r="G332" s="2">
        <v>91.9238</v>
      </c>
      <c r="H332" s="2">
        <v>335</v>
      </c>
      <c r="I332" s="2">
        <v>90.555999999999997</v>
      </c>
      <c r="J332" s="2">
        <v>341</v>
      </c>
      <c r="K332" s="2">
        <v>106.3501</v>
      </c>
      <c r="L332" s="2">
        <v>268</v>
      </c>
      <c r="M332" s="2">
        <v>107.6855</v>
      </c>
      <c r="N332" s="2">
        <v>280</v>
      </c>
      <c r="O332" s="2">
        <v>0.12001000000000001</v>
      </c>
      <c r="P332" s="2">
        <v>331</v>
      </c>
      <c r="Q332" s="2"/>
      <c r="R332" s="2"/>
      <c r="S332" s="2"/>
    </row>
    <row r="333" spans="1:19" ht="12.3" x14ac:dyDescent="0.4">
      <c r="A333" s="2" t="s">
        <v>384</v>
      </c>
      <c r="B333" s="2"/>
      <c r="C333" s="2">
        <v>64.841499999999996</v>
      </c>
      <c r="D333" s="2">
        <v>171</v>
      </c>
      <c r="E333" s="2">
        <v>63.627299999999998</v>
      </c>
      <c r="F333" s="2">
        <v>244</v>
      </c>
      <c r="G333" s="2">
        <v>93.329499999999996</v>
      </c>
      <c r="H333" s="2">
        <v>318</v>
      </c>
      <c r="I333" s="2">
        <v>92.950100000000006</v>
      </c>
      <c r="J333" s="2">
        <v>319</v>
      </c>
      <c r="K333" s="2">
        <v>111.039</v>
      </c>
      <c r="L333" s="2">
        <v>331</v>
      </c>
      <c r="M333" s="2">
        <v>110.61450000000001</v>
      </c>
      <c r="N333" s="2">
        <v>324</v>
      </c>
      <c r="O333" s="2">
        <v>0.11911099999999999</v>
      </c>
      <c r="P333" s="2">
        <v>332</v>
      </c>
      <c r="Q333" s="2"/>
      <c r="R333" s="2"/>
      <c r="S333" s="2"/>
    </row>
    <row r="334" spans="1:19" ht="12.3" x14ac:dyDescent="0.4">
      <c r="A334" s="2" t="s">
        <v>313</v>
      </c>
      <c r="B334" s="2"/>
      <c r="C334" s="2">
        <v>60.575000000000003</v>
      </c>
      <c r="D334" s="2">
        <v>334</v>
      </c>
      <c r="E334" s="2">
        <v>60.488399999999999</v>
      </c>
      <c r="F334" s="2">
        <v>336</v>
      </c>
      <c r="G334" s="2">
        <v>93.969499999999996</v>
      </c>
      <c r="H334" s="2">
        <v>311</v>
      </c>
      <c r="I334" s="2">
        <v>90.580399999999997</v>
      </c>
      <c r="J334" s="2">
        <v>339</v>
      </c>
      <c r="K334" s="2">
        <v>102.7555</v>
      </c>
      <c r="L334" s="2">
        <v>185</v>
      </c>
      <c r="M334" s="2">
        <v>107.82599999999999</v>
      </c>
      <c r="N334" s="2">
        <v>283</v>
      </c>
      <c r="O334" s="2">
        <v>0.118759</v>
      </c>
      <c r="P334" s="2">
        <v>333</v>
      </c>
      <c r="Q334" s="2"/>
      <c r="R334" s="2"/>
      <c r="S334" s="2"/>
    </row>
    <row r="335" spans="1:19" ht="12.3" x14ac:dyDescent="0.4">
      <c r="A335" s="2" t="s">
        <v>298</v>
      </c>
      <c r="B335" s="2"/>
      <c r="C335" s="2">
        <v>66.408900000000003</v>
      </c>
      <c r="D335" s="2">
        <v>102</v>
      </c>
      <c r="E335" s="2">
        <v>66.942700000000002</v>
      </c>
      <c r="F335" s="2">
        <v>71</v>
      </c>
      <c r="G335" s="2">
        <v>97.784099999999995</v>
      </c>
      <c r="H335" s="2">
        <v>265</v>
      </c>
      <c r="I335" s="2">
        <v>95.479399999999998</v>
      </c>
      <c r="J335" s="2">
        <v>303</v>
      </c>
      <c r="K335" s="2">
        <v>111.8633</v>
      </c>
      <c r="L335" s="2">
        <v>337</v>
      </c>
      <c r="M335" s="2">
        <v>113.7099</v>
      </c>
      <c r="N335" s="2">
        <v>340</v>
      </c>
      <c r="O335" s="2">
        <v>0.11820899999999999</v>
      </c>
      <c r="P335" s="2">
        <v>334</v>
      </c>
      <c r="Q335" s="2"/>
      <c r="R335" s="2"/>
      <c r="S335" s="2"/>
    </row>
    <row r="336" spans="1:19" ht="12.3" x14ac:dyDescent="0.4">
      <c r="A336" s="2" t="s">
        <v>288</v>
      </c>
      <c r="B336" s="2"/>
      <c r="C336" s="2">
        <v>64.881500000000003</v>
      </c>
      <c r="D336" s="2">
        <v>166</v>
      </c>
      <c r="E336" s="2">
        <v>64.640199999999993</v>
      </c>
      <c r="F336" s="2">
        <v>174</v>
      </c>
      <c r="G336" s="2">
        <v>89.067099999999996</v>
      </c>
      <c r="H336" s="2">
        <v>344</v>
      </c>
      <c r="I336" s="2">
        <v>89.868099999999998</v>
      </c>
      <c r="J336" s="2">
        <v>343</v>
      </c>
      <c r="K336" s="2">
        <v>103.85169999999999</v>
      </c>
      <c r="L336" s="2">
        <v>212</v>
      </c>
      <c r="M336" s="2">
        <v>107.33150000000001</v>
      </c>
      <c r="N336" s="2">
        <v>272</v>
      </c>
      <c r="O336" s="2">
        <v>0.11484800000000001</v>
      </c>
      <c r="P336" s="2">
        <v>335</v>
      </c>
      <c r="Q336" s="2"/>
      <c r="R336" s="2"/>
      <c r="S336" s="2"/>
    </row>
    <row r="337" spans="1:19" ht="12.3" x14ac:dyDescent="0.4">
      <c r="A337" s="2" t="s">
        <v>348</v>
      </c>
      <c r="B337" s="2"/>
      <c r="C337" s="2">
        <v>63.218499999999999</v>
      </c>
      <c r="D337" s="2">
        <v>261</v>
      </c>
      <c r="E337" s="2">
        <v>63.091799999999999</v>
      </c>
      <c r="F337" s="2">
        <v>266</v>
      </c>
      <c r="G337" s="2">
        <v>87.253</v>
      </c>
      <c r="H337" s="2">
        <v>345</v>
      </c>
      <c r="I337" s="2">
        <v>88.762299999999996</v>
      </c>
      <c r="J337" s="2">
        <v>345</v>
      </c>
      <c r="K337" s="2">
        <v>106.4271</v>
      </c>
      <c r="L337" s="2">
        <v>270</v>
      </c>
      <c r="M337" s="2">
        <v>106.18259999999999</v>
      </c>
      <c r="N337" s="2">
        <v>248</v>
      </c>
      <c r="O337" s="2">
        <v>0.112968</v>
      </c>
      <c r="P337" s="2">
        <v>336</v>
      </c>
      <c r="Q337" s="2"/>
      <c r="R337" s="2"/>
      <c r="S337" s="2"/>
    </row>
    <row r="338" spans="1:19" ht="12.3" x14ac:dyDescent="0.4">
      <c r="A338" s="2" t="s">
        <v>345</v>
      </c>
      <c r="B338" s="2"/>
      <c r="C338" s="2">
        <v>65.742900000000006</v>
      </c>
      <c r="D338" s="2">
        <v>127</v>
      </c>
      <c r="E338" s="2">
        <v>65.265100000000004</v>
      </c>
      <c r="F338" s="2">
        <v>146</v>
      </c>
      <c r="G338" s="2">
        <v>92.878799999999998</v>
      </c>
      <c r="H338" s="2">
        <v>322</v>
      </c>
      <c r="I338" s="2">
        <v>92.549400000000006</v>
      </c>
      <c r="J338" s="2">
        <v>322</v>
      </c>
      <c r="K338" s="2">
        <v>107.4293</v>
      </c>
      <c r="L338" s="2">
        <v>291</v>
      </c>
      <c r="M338" s="2">
        <v>111.0415</v>
      </c>
      <c r="N338" s="2">
        <v>326</v>
      </c>
      <c r="O338" s="2">
        <v>0.109598</v>
      </c>
      <c r="P338" s="2">
        <v>337</v>
      </c>
      <c r="Q338" s="2"/>
      <c r="R338" s="2"/>
      <c r="S338" s="2"/>
    </row>
    <row r="339" spans="1:19" ht="12.3" x14ac:dyDescent="0.4">
      <c r="A339" s="2" t="s">
        <v>361</v>
      </c>
      <c r="B339" s="2"/>
      <c r="C339" s="2">
        <v>66.45</v>
      </c>
      <c r="D339" s="2">
        <v>99</v>
      </c>
      <c r="E339" s="2">
        <v>65.343900000000005</v>
      </c>
      <c r="F339" s="2">
        <v>143</v>
      </c>
      <c r="G339" s="2">
        <v>92.774799999999999</v>
      </c>
      <c r="H339" s="2">
        <v>323</v>
      </c>
      <c r="I339" s="2">
        <v>92.530199999999994</v>
      </c>
      <c r="J339" s="2">
        <v>323</v>
      </c>
      <c r="K339" s="2">
        <v>111.5168</v>
      </c>
      <c r="L339" s="2">
        <v>335</v>
      </c>
      <c r="M339" s="2">
        <v>111.40089999999999</v>
      </c>
      <c r="N339" s="2">
        <v>331</v>
      </c>
      <c r="O339" s="2">
        <v>0.105798</v>
      </c>
      <c r="P339" s="2">
        <v>338</v>
      </c>
      <c r="Q339" s="2"/>
      <c r="R339" s="2"/>
      <c r="S339" s="2"/>
    </row>
    <row r="340" spans="1:19" ht="12.3" x14ac:dyDescent="0.4">
      <c r="A340" s="2" t="s">
        <v>352</v>
      </c>
      <c r="B340" s="2"/>
      <c r="C340" s="2">
        <v>65.613299999999995</v>
      </c>
      <c r="D340" s="2">
        <v>137</v>
      </c>
      <c r="E340" s="2">
        <v>64.921300000000002</v>
      </c>
      <c r="F340" s="2">
        <v>160</v>
      </c>
      <c r="G340" s="2">
        <v>84.731300000000005</v>
      </c>
      <c r="H340" s="2">
        <v>348</v>
      </c>
      <c r="I340" s="2">
        <v>86.704999999999998</v>
      </c>
      <c r="J340" s="2">
        <v>348</v>
      </c>
      <c r="K340" s="2">
        <v>102.4204</v>
      </c>
      <c r="L340" s="2">
        <v>177</v>
      </c>
      <c r="M340" s="2">
        <v>104.42059999999999</v>
      </c>
      <c r="N340" s="2">
        <v>211</v>
      </c>
      <c r="O340" s="2">
        <v>0.10545499999999999</v>
      </c>
      <c r="P340" s="2">
        <v>339</v>
      </c>
      <c r="Q340" s="2"/>
      <c r="R340" s="2"/>
      <c r="S340" s="2"/>
    </row>
    <row r="341" spans="1:19" ht="12.3" x14ac:dyDescent="0.4">
      <c r="A341" s="2" t="s">
        <v>296</v>
      </c>
      <c r="B341" s="2"/>
      <c r="C341" s="2">
        <v>62.432600000000001</v>
      </c>
      <c r="D341" s="2">
        <v>293</v>
      </c>
      <c r="E341" s="2">
        <v>62.338900000000002</v>
      </c>
      <c r="F341" s="2">
        <v>292</v>
      </c>
      <c r="G341" s="2">
        <v>92.640299999999996</v>
      </c>
      <c r="H341" s="2">
        <v>325</v>
      </c>
      <c r="I341" s="2">
        <v>92.308300000000003</v>
      </c>
      <c r="J341" s="2">
        <v>328</v>
      </c>
      <c r="K341" s="2">
        <v>106.1365</v>
      </c>
      <c r="L341" s="2">
        <v>266</v>
      </c>
      <c r="M341" s="2">
        <v>111.24509999999999</v>
      </c>
      <c r="N341" s="2">
        <v>329</v>
      </c>
      <c r="O341" s="2">
        <v>0.104713</v>
      </c>
      <c r="P341" s="2">
        <v>340</v>
      </c>
      <c r="Q341" s="2"/>
      <c r="R341" s="2"/>
      <c r="S341" s="2"/>
    </row>
    <row r="342" spans="1:19" ht="12.3" x14ac:dyDescent="0.4">
      <c r="A342" s="2" t="s">
        <v>156</v>
      </c>
      <c r="B342" s="2"/>
      <c r="C342" s="2">
        <v>63.9587</v>
      </c>
      <c r="D342" s="2">
        <v>229</v>
      </c>
      <c r="E342" s="2">
        <v>63.503900000000002</v>
      </c>
      <c r="F342" s="2">
        <v>250</v>
      </c>
      <c r="G342" s="2">
        <v>92.249099999999999</v>
      </c>
      <c r="H342" s="2">
        <v>330</v>
      </c>
      <c r="I342" s="2">
        <v>91.619200000000006</v>
      </c>
      <c r="J342" s="2">
        <v>331</v>
      </c>
      <c r="K342" s="2">
        <v>108.979</v>
      </c>
      <c r="L342" s="2">
        <v>310</v>
      </c>
      <c r="M342" s="2">
        <v>110.59010000000001</v>
      </c>
      <c r="N342" s="2">
        <v>323</v>
      </c>
      <c r="O342" s="2">
        <v>0.10301299999999999</v>
      </c>
      <c r="P342" s="2">
        <v>341</v>
      </c>
      <c r="Q342" s="2"/>
      <c r="R342" s="2"/>
      <c r="S342" s="2"/>
    </row>
    <row r="343" spans="1:19" ht="12.3" x14ac:dyDescent="0.4">
      <c r="A343" s="2" t="s">
        <v>268</v>
      </c>
      <c r="B343" s="2"/>
      <c r="C343" s="2">
        <v>63.998699999999999</v>
      </c>
      <c r="D343" s="2">
        <v>225</v>
      </c>
      <c r="E343" s="2">
        <v>63.927500000000002</v>
      </c>
      <c r="F343" s="2">
        <v>222</v>
      </c>
      <c r="G343" s="2">
        <v>87.012100000000004</v>
      </c>
      <c r="H343" s="2">
        <v>346</v>
      </c>
      <c r="I343" s="2">
        <v>87.511700000000005</v>
      </c>
      <c r="J343" s="2">
        <v>347</v>
      </c>
      <c r="K343" s="2">
        <v>106.9114</v>
      </c>
      <c r="L343" s="2">
        <v>281</v>
      </c>
      <c r="M343" s="2">
        <v>105.7753</v>
      </c>
      <c r="N343" s="2">
        <v>238</v>
      </c>
      <c r="O343" s="2">
        <v>0.10158200000000001</v>
      </c>
      <c r="P343" s="2">
        <v>342</v>
      </c>
      <c r="Q343" s="2"/>
      <c r="R343" s="2"/>
      <c r="S343" s="2"/>
    </row>
    <row r="344" spans="1:19" ht="12.3" x14ac:dyDescent="0.4">
      <c r="A344" s="2" t="s">
        <v>202</v>
      </c>
      <c r="B344" s="2"/>
      <c r="C344" s="2">
        <v>64.043800000000005</v>
      </c>
      <c r="D344" s="2">
        <v>220</v>
      </c>
      <c r="E344" s="2">
        <v>64.046400000000006</v>
      </c>
      <c r="F344" s="2">
        <v>207</v>
      </c>
      <c r="G344" s="2">
        <v>93.088499999999996</v>
      </c>
      <c r="H344" s="2">
        <v>321</v>
      </c>
      <c r="I344" s="2">
        <v>91.9315</v>
      </c>
      <c r="J344" s="2">
        <v>330</v>
      </c>
      <c r="K344" s="2">
        <v>108.6922</v>
      </c>
      <c r="L344" s="2">
        <v>308</v>
      </c>
      <c r="M344" s="2">
        <v>111.3929</v>
      </c>
      <c r="N344" s="2">
        <v>330</v>
      </c>
      <c r="O344" s="2">
        <v>9.9014000000000005E-2</v>
      </c>
      <c r="P344" s="2">
        <v>343</v>
      </c>
      <c r="Q344" s="2"/>
      <c r="R344" s="2"/>
      <c r="S344" s="2"/>
    </row>
    <row r="345" spans="1:19" ht="12.3" x14ac:dyDescent="0.4">
      <c r="A345" s="2" t="s">
        <v>252</v>
      </c>
      <c r="B345" s="2"/>
      <c r="C345" s="2">
        <v>64.442599999999999</v>
      </c>
      <c r="D345" s="2">
        <v>195</v>
      </c>
      <c r="E345" s="2">
        <v>64.989400000000003</v>
      </c>
      <c r="F345" s="2">
        <v>157</v>
      </c>
      <c r="G345" s="2">
        <v>86.969300000000004</v>
      </c>
      <c r="H345" s="2">
        <v>347</v>
      </c>
      <c r="I345" s="2">
        <v>88.148200000000003</v>
      </c>
      <c r="J345" s="2">
        <v>346</v>
      </c>
      <c r="K345" s="2">
        <v>103.938</v>
      </c>
      <c r="L345" s="2">
        <v>213</v>
      </c>
      <c r="M345" s="2">
        <v>108.33159999999999</v>
      </c>
      <c r="N345" s="2">
        <v>294</v>
      </c>
      <c r="O345" s="2">
        <v>8.5407999999999998E-2</v>
      </c>
      <c r="P345" s="2">
        <v>344</v>
      </c>
      <c r="Q345" s="2"/>
      <c r="R345" s="2"/>
      <c r="S345" s="2"/>
    </row>
    <row r="346" spans="1:19" ht="12.3" x14ac:dyDescent="0.4">
      <c r="A346" s="2" t="s">
        <v>309</v>
      </c>
      <c r="B346" s="2"/>
      <c r="C346" s="2">
        <v>66.233599999999996</v>
      </c>
      <c r="D346" s="2">
        <v>106</v>
      </c>
      <c r="E346" s="2">
        <v>66.448800000000006</v>
      </c>
      <c r="F346" s="2">
        <v>92</v>
      </c>
      <c r="G346" s="2">
        <v>90.328299999999999</v>
      </c>
      <c r="H346" s="2">
        <v>340</v>
      </c>
      <c r="I346" s="2">
        <v>92.376300000000001</v>
      </c>
      <c r="J346" s="2">
        <v>327</v>
      </c>
      <c r="K346" s="2">
        <v>112.13160000000001</v>
      </c>
      <c r="L346" s="2">
        <v>341</v>
      </c>
      <c r="M346" s="2">
        <v>114.00830000000001</v>
      </c>
      <c r="N346" s="2">
        <v>341</v>
      </c>
      <c r="O346" s="2">
        <v>8.1689999999999999E-2</v>
      </c>
      <c r="P346" s="2">
        <v>345</v>
      </c>
      <c r="Q346" s="2"/>
      <c r="R346" s="2"/>
      <c r="S346" s="2"/>
    </row>
    <row r="347" spans="1:19" ht="12.3" x14ac:dyDescent="0.4">
      <c r="A347" s="2" t="s">
        <v>261</v>
      </c>
      <c r="B347" s="2"/>
      <c r="C347" s="2">
        <v>67.710400000000007</v>
      </c>
      <c r="D347" s="2">
        <v>55</v>
      </c>
      <c r="E347" s="2">
        <v>67.093299999999999</v>
      </c>
      <c r="F347" s="2">
        <v>62</v>
      </c>
      <c r="G347" s="2">
        <v>93.360200000000006</v>
      </c>
      <c r="H347" s="2">
        <v>317</v>
      </c>
      <c r="I347" s="2">
        <v>92.458100000000002</v>
      </c>
      <c r="J347" s="2">
        <v>324</v>
      </c>
      <c r="K347" s="2">
        <v>109.63849999999999</v>
      </c>
      <c r="L347" s="2">
        <v>319</v>
      </c>
      <c r="M347" s="2">
        <v>115.4455</v>
      </c>
      <c r="N347" s="2">
        <v>349</v>
      </c>
      <c r="O347" s="2">
        <v>7.2192000000000006E-2</v>
      </c>
      <c r="P347" s="2">
        <v>346</v>
      </c>
      <c r="Q347" s="2"/>
      <c r="R347" s="2"/>
      <c r="S347" s="2"/>
    </row>
    <row r="348" spans="1:19" ht="12.3" x14ac:dyDescent="0.4">
      <c r="A348" s="2" t="s">
        <v>299</v>
      </c>
      <c r="B348" s="2"/>
      <c r="C348" s="2">
        <v>71.118200000000002</v>
      </c>
      <c r="D348" s="2">
        <v>6</v>
      </c>
      <c r="E348" s="2">
        <v>71.018699999999995</v>
      </c>
      <c r="F348" s="2">
        <v>5</v>
      </c>
      <c r="G348" s="2">
        <v>89.267099999999999</v>
      </c>
      <c r="H348" s="2">
        <v>343</v>
      </c>
      <c r="I348" s="2">
        <v>90.955399999999997</v>
      </c>
      <c r="J348" s="2">
        <v>337</v>
      </c>
      <c r="K348" s="2">
        <v>111.41549999999999</v>
      </c>
      <c r="L348" s="2">
        <v>333</v>
      </c>
      <c r="M348" s="2">
        <v>115.1439</v>
      </c>
      <c r="N348" s="2">
        <v>346</v>
      </c>
      <c r="O348" s="2">
        <v>6.2276999999999999E-2</v>
      </c>
      <c r="P348" s="2">
        <v>347</v>
      </c>
      <c r="Q348" s="2"/>
      <c r="R348" s="2"/>
      <c r="S348" s="2"/>
    </row>
    <row r="349" spans="1:19" ht="12.3" x14ac:dyDescent="0.4">
      <c r="A349" s="2" t="s">
        <v>364</v>
      </c>
      <c r="B349" s="2"/>
      <c r="C349" s="2">
        <v>71.298699999999997</v>
      </c>
      <c r="D349" s="2">
        <v>5</v>
      </c>
      <c r="E349" s="2">
        <v>69.432699999999997</v>
      </c>
      <c r="F349" s="2">
        <v>18</v>
      </c>
      <c r="G349" s="2">
        <v>91.4465</v>
      </c>
      <c r="H349" s="2">
        <v>337</v>
      </c>
      <c r="I349" s="2">
        <v>90.361699999999999</v>
      </c>
      <c r="J349" s="2">
        <v>342</v>
      </c>
      <c r="K349" s="2">
        <v>115.2538</v>
      </c>
      <c r="L349" s="2">
        <v>350</v>
      </c>
      <c r="M349" s="2">
        <v>115.1825</v>
      </c>
      <c r="N349" s="2">
        <v>347</v>
      </c>
      <c r="O349" s="2">
        <v>5.7811000000000001E-2</v>
      </c>
      <c r="P349" s="2">
        <v>348</v>
      </c>
      <c r="Q349" s="2"/>
      <c r="R349" s="2"/>
      <c r="S349" s="2"/>
    </row>
    <row r="350" spans="1:19" ht="12.3" x14ac:dyDescent="0.4">
      <c r="A350" s="2" t="s">
        <v>278</v>
      </c>
      <c r="B350" s="2"/>
      <c r="C350" s="2">
        <v>63.634700000000002</v>
      </c>
      <c r="D350" s="2">
        <v>245</v>
      </c>
      <c r="E350" s="2">
        <v>64.608800000000002</v>
      </c>
      <c r="F350" s="2">
        <v>178</v>
      </c>
      <c r="G350" s="2">
        <v>82.379800000000003</v>
      </c>
      <c r="H350" s="2">
        <v>350</v>
      </c>
      <c r="I350" s="2">
        <v>85.178100000000001</v>
      </c>
      <c r="J350" s="2">
        <v>350</v>
      </c>
      <c r="K350" s="2">
        <v>110.78189999999999</v>
      </c>
      <c r="L350" s="2">
        <v>328</v>
      </c>
      <c r="M350" s="2">
        <v>108.6446</v>
      </c>
      <c r="N350" s="2">
        <v>298</v>
      </c>
      <c r="O350" s="2">
        <v>5.7410999999999997E-2</v>
      </c>
      <c r="P350" s="2">
        <v>349</v>
      </c>
      <c r="Q350" s="2"/>
      <c r="R350" s="2"/>
      <c r="S350" s="2"/>
    </row>
    <row r="351" spans="1:19" ht="12.3" x14ac:dyDescent="0.4">
      <c r="A351" s="2" t="s">
        <v>301</v>
      </c>
      <c r="B351" s="2"/>
      <c r="C351" s="2">
        <v>65.708200000000005</v>
      </c>
      <c r="D351" s="2">
        <v>130</v>
      </c>
      <c r="E351" s="2">
        <v>66.2517</v>
      </c>
      <c r="F351" s="2">
        <v>100</v>
      </c>
      <c r="G351" s="2">
        <v>84.436099999999996</v>
      </c>
      <c r="H351" s="2">
        <v>349</v>
      </c>
      <c r="I351" s="2">
        <v>85.374700000000004</v>
      </c>
      <c r="J351" s="2">
        <v>349</v>
      </c>
      <c r="K351" s="2">
        <v>110.9158</v>
      </c>
      <c r="L351" s="2">
        <v>329</v>
      </c>
      <c r="M351" s="2">
        <v>114.542</v>
      </c>
      <c r="N351" s="2">
        <v>344</v>
      </c>
      <c r="O351" s="2">
        <v>3.2933999999999998E-2</v>
      </c>
      <c r="P351" s="2">
        <v>350</v>
      </c>
      <c r="Q351" s="2"/>
      <c r="R351" s="2"/>
      <c r="S351" s="2"/>
    </row>
    <row r="352" spans="1:19" ht="12.3" x14ac:dyDescent="0.4">
      <c r="A352" s="2" t="s">
        <v>329</v>
      </c>
      <c r="B352" s="2"/>
      <c r="C352" s="2">
        <v>66.054599999999994</v>
      </c>
      <c r="D352" s="2">
        <v>116</v>
      </c>
      <c r="E352" s="2">
        <v>65.539400000000001</v>
      </c>
      <c r="F352" s="2">
        <v>132</v>
      </c>
      <c r="G352" s="2">
        <v>77.478300000000004</v>
      </c>
      <c r="H352" s="2">
        <v>351</v>
      </c>
      <c r="I352" s="2">
        <v>79.896799999999999</v>
      </c>
      <c r="J352" s="2">
        <v>351</v>
      </c>
      <c r="K352" s="2">
        <v>112.0304</v>
      </c>
      <c r="L352" s="2">
        <v>339</v>
      </c>
      <c r="M352" s="2">
        <v>114.3224</v>
      </c>
      <c r="N352" s="2">
        <v>343</v>
      </c>
      <c r="O352" s="2">
        <v>1.5980000000000001E-2</v>
      </c>
      <c r="P352" s="2">
        <v>351</v>
      </c>
      <c r="Q352" s="2"/>
      <c r="R352" s="2"/>
      <c r="S352" s="2"/>
    </row>
  </sheetData>
  <autoFilter ref="A1:R352" xr:uid="{00000000-0009-0000-0000-000013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outlinePr summaryBelow="0" summaryRight="0"/>
  </sheetPr>
  <dimension ref="A1:AU352"/>
  <sheetViews>
    <sheetView workbookViewId="0"/>
  </sheetViews>
  <sheetFormatPr defaultColWidth="14.44140625" defaultRowHeight="15.75" customHeight="1" x14ac:dyDescent="0.4"/>
  <cols>
    <col min="1" max="1" width="14.44140625" customWidth="1"/>
    <col min="2" max="2" width="5.109375" customWidth="1"/>
    <col min="3" max="3" width="7.71875" customWidth="1"/>
    <col min="4" max="4" width="11.109375" customWidth="1"/>
    <col min="5" max="5" width="9.44140625" customWidth="1"/>
    <col min="6" max="6" width="13.83203125" customWidth="1"/>
    <col min="7" max="7" width="8.71875" customWidth="1"/>
    <col min="8" max="8" width="8" customWidth="1"/>
    <col min="9" max="9" width="8.71875" customWidth="1"/>
    <col min="10" max="10" width="10.71875" customWidth="1"/>
    <col min="11" max="11" width="8.71875" customWidth="1"/>
    <col min="12" max="12" width="7.83203125" customWidth="1"/>
    <col min="13" max="13" width="8.71875" customWidth="1"/>
    <col min="14" max="14" width="10.5546875" customWidth="1"/>
    <col min="15" max="15" width="8.71875" customWidth="1"/>
    <col min="16" max="17" width="11.109375" customWidth="1"/>
    <col min="18" max="19" width="15.83203125" customWidth="1"/>
    <col min="20" max="20" width="12.71875" customWidth="1"/>
    <col min="21" max="21" width="3.5546875" customWidth="1"/>
    <col min="22" max="22" width="6.71875" hidden="1" customWidth="1"/>
    <col min="23" max="23" width="11.109375" hidden="1" customWidth="1"/>
    <col min="24" max="24" width="9.44140625" hidden="1" customWidth="1"/>
    <col min="25" max="25" width="13.83203125" hidden="1" customWidth="1"/>
    <col min="26" max="26" width="4.109375" hidden="1" customWidth="1"/>
    <col min="27" max="27" width="8" hidden="1" customWidth="1"/>
    <col min="28" max="28" width="6.44140625" hidden="1" customWidth="1"/>
    <col min="29" max="29" width="10.71875" customWidth="1"/>
    <col min="30" max="30" width="3.5546875" hidden="1" customWidth="1"/>
    <col min="31" max="31" width="7.83203125" hidden="1" customWidth="1"/>
    <col min="32" max="32" width="6.27734375" hidden="1" customWidth="1"/>
    <col min="33" max="33" width="10.5546875" customWidth="1"/>
    <col min="34" max="34" width="6.71875" hidden="1" customWidth="1"/>
    <col min="35" max="35" width="11.109375" customWidth="1"/>
    <col min="36" max="36" width="4.5546875" customWidth="1"/>
    <col min="37" max="37" width="15.27734375" hidden="1" customWidth="1"/>
    <col min="38" max="47" width="15.83203125" customWidth="1"/>
  </cols>
  <sheetData>
    <row r="1" spans="1:47" ht="12.3" x14ac:dyDescent="0.4">
      <c r="A1" s="2" t="s">
        <v>1</v>
      </c>
      <c r="B1" s="2" t="s">
        <v>25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3</v>
      </c>
      <c r="Q1" s="10" t="s">
        <v>391</v>
      </c>
      <c r="R1" s="10" t="s">
        <v>393</v>
      </c>
      <c r="S1" s="10"/>
      <c r="T1" s="1" t="s">
        <v>1</v>
      </c>
      <c r="U1" s="1" t="s">
        <v>25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16</v>
      </c>
      <c r="AI1" s="1" t="s">
        <v>3</v>
      </c>
      <c r="AJ1" s="12" t="s">
        <v>391</v>
      </c>
      <c r="AK1" s="10" t="s">
        <v>393</v>
      </c>
      <c r="AL1" s="10"/>
      <c r="AM1" s="10"/>
      <c r="AN1" s="10"/>
      <c r="AO1" s="10"/>
      <c r="AP1" s="10"/>
      <c r="AQ1" s="10"/>
      <c r="AR1" s="10"/>
      <c r="AS1" s="10"/>
      <c r="AT1" s="10"/>
      <c r="AU1" s="10"/>
    </row>
    <row r="2" spans="1:47" ht="12.3" x14ac:dyDescent="0.4">
      <c r="A2" s="2" t="s">
        <v>273</v>
      </c>
      <c r="B2" s="2">
        <v>16</v>
      </c>
      <c r="C2" s="2">
        <v>64.612300000000005</v>
      </c>
      <c r="D2" s="2">
        <v>184</v>
      </c>
      <c r="E2" s="2">
        <v>64.965900000000005</v>
      </c>
      <c r="F2" s="2">
        <v>158</v>
      </c>
      <c r="G2" s="2">
        <v>113.6553</v>
      </c>
      <c r="H2" s="2">
        <v>15</v>
      </c>
      <c r="I2" s="2">
        <v>110.35250000000001</v>
      </c>
      <c r="J2" s="2">
        <v>40</v>
      </c>
      <c r="K2" s="2">
        <v>111.764</v>
      </c>
      <c r="L2" s="2">
        <v>336</v>
      </c>
      <c r="M2" s="2">
        <v>113.15089999999999</v>
      </c>
      <c r="N2" s="2">
        <v>338</v>
      </c>
      <c r="O2" s="2">
        <v>0.42849599999999999</v>
      </c>
      <c r="P2" s="2">
        <v>195</v>
      </c>
      <c r="Q2" s="10">
        <f t="shared" ref="Q2:Q69" si="0">I2-M2</f>
        <v>-2.7983999999999867</v>
      </c>
      <c r="R2" s="11">
        <f t="shared" ref="R2:R69" si="1">ABS(J2-N2)</f>
        <v>298</v>
      </c>
      <c r="S2" s="11"/>
      <c r="T2" s="10" t="str">
        <f ca="1">IFERROR(__xludf.DUMMYFUNCTION("filter(A1:R69,J1:J69&lt;=20,N1:N69&lt;=20)"),"Gonzaga")</f>
        <v>Gonzaga</v>
      </c>
      <c r="U2" s="11">
        <f ca="1">IFERROR(__xludf.DUMMYFUNCTION("""COMPUTED_VALUE"""),2)</f>
        <v>2</v>
      </c>
      <c r="V2" s="11">
        <f ca="1">IFERROR(__xludf.DUMMYFUNCTION("""COMPUTED_VALUE"""),64.9509)</f>
        <v>64.950900000000004</v>
      </c>
      <c r="W2" s="11">
        <f ca="1">IFERROR(__xludf.DUMMYFUNCTION("""COMPUTED_VALUE"""),162)</f>
        <v>162</v>
      </c>
      <c r="X2" s="11">
        <f ca="1">IFERROR(__xludf.DUMMYFUNCTION("""COMPUTED_VALUE"""),65.0605)</f>
        <v>65.060500000000005</v>
      </c>
      <c r="Y2" s="11">
        <f ca="1">IFERROR(__xludf.DUMMYFUNCTION("""COMPUTED_VALUE"""),153)</f>
        <v>153</v>
      </c>
      <c r="Z2" s="11">
        <f ca="1">IFERROR(__xludf.DUMMYFUNCTION("""COMPUTED_VALUE"""),120.0066)</f>
        <v>120.00660000000001</v>
      </c>
      <c r="AA2" s="11">
        <f ca="1">IFERROR(__xludf.DUMMYFUNCTION("""COMPUTED_VALUE"""),4)</f>
        <v>4</v>
      </c>
      <c r="AB2" s="11">
        <f ca="1">IFERROR(__xludf.DUMMYFUNCTION("""COMPUTED_VALUE"""),119.4414)</f>
        <v>119.4414</v>
      </c>
      <c r="AC2" s="11">
        <f ca="1">IFERROR(__xludf.DUMMYFUNCTION("""COMPUTED_VALUE"""),6)</f>
        <v>6</v>
      </c>
      <c r="AD2" s="11">
        <f ca="1">IFERROR(__xludf.DUMMYFUNCTION("""COMPUTED_VALUE"""),93.6311)</f>
        <v>93.631100000000004</v>
      </c>
      <c r="AE2" s="11">
        <f ca="1">IFERROR(__xludf.DUMMYFUNCTION("""COMPUTED_VALUE"""),19)</f>
        <v>19</v>
      </c>
      <c r="AF2" s="11">
        <f ca="1">IFERROR(__xludf.DUMMYFUNCTION("""COMPUTED_VALUE"""),93.4313)</f>
        <v>93.431299999999993</v>
      </c>
      <c r="AG2" s="11">
        <f ca="1">IFERROR(__xludf.DUMMYFUNCTION("""COMPUTED_VALUE"""),20)</f>
        <v>20</v>
      </c>
      <c r="AH2" s="11">
        <f ca="1">IFERROR(__xludf.DUMMYFUNCTION("""COMPUTED_VALUE"""),0.94398)</f>
        <v>0.94398000000000004</v>
      </c>
      <c r="AI2" s="11">
        <f ca="1">IFERROR(__xludf.DUMMYFUNCTION("""COMPUTED_VALUE"""),6)</f>
        <v>6</v>
      </c>
      <c r="AJ2" s="10">
        <f ca="1">IFERROR(__xludf.DUMMYFUNCTION("""COMPUTED_VALUE"""),26.0101)</f>
        <v>26.010100000000001</v>
      </c>
      <c r="AK2" s="11">
        <f ca="1">IFERROR(__xludf.DUMMYFUNCTION("""COMPUTED_VALUE"""),14)</f>
        <v>14</v>
      </c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ht="12.3" x14ac:dyDescent="0.4">
      <c r="A3" s="2" t="s">
        <v>187</v>
      </c>
      <c r="B3" s="2">
        <v>13</v>
      </c>
      <c r="C3" s="2">
        <v>68.415199999999999</v>
      </c>
      <c r="D3" s="2">
        <v>33</v>
      </c>
      <c r="E3" s="2">
        <v>68.779499999999999</v>
      </c>
      <c r="F3" s="2">
        <v>24</v>
      </c>
      <c r="G3" s="2">
        <v>114.81950000000001</v>
      </c>
      <c r="H3" s="2">
        <v>13</v>
      </c>
      <c r="I3" s="2">
        <v>110.0324</v>
      </c>
      <c r="J3" s="2">
        <v>46</v>
      </c>
      <c r="K3" s="2">
        <v>107.6451</v>
      </c>
      <c r="L3" s="2">
        <v>296</v>
      </c>
      <c r="M3" s="2">
        <v>107.68</v>
      </c>
      <c r="N3" s="2">
        <v>279</v>
      </c>
      <c r="O3" s="2">
        <v>0.56181300000000001</v>
      </c>
      <c r="P3" s="2">
        <v>136</v>
      </c>
      <c r="Q3" s="10">
        <f t="shared" si="0"/>
        <v>2.3523999999999887</v>
      </c>
      <c r="R3" s="11">
        <f t="shared" si="1"/>
        <v>233</v>
      </c>
      <c r="S3" s="11"/>
      <c r="T3" s="11" t="str">
        <f ca="1">IFERROR(__xludf.DUMMYFUNCTION("""COMPUTED_VALUE"""),"Utah")</f>
        <v>Utah</v>
      </c>
      <c r="U3" s="11">
        <f ca="1">IFERROR(__xludf.DUMMYFUNCTION("""COMPUTED_VALUE"""),5)</f>
        <v>5</v>
      </c>
      <c r="V3" s="11">
        <f ca="1">IFERROR(__xludf.DUMMYFUNCTION("""COMPUTED_VALUE"""),62.6865)</f>
        <v>62.686500000000002</v>
      </c>
      <c r="W3" s="11">
        <f ca="1">IFERROR(__xludf.DUMMYFUNCTION("""COMPUTED_VALUE"""),284)</f>
        <v>284</v>
      </c>
      <c r="X3" s="11">
        <f ca="1">IFERROR(__xludf.DUMMYFUNCTION("""COMPUTED_VALUE"""),61.1685)</f>
        <v>61.168500000000002</v>
      </c>
      <c r="Y3" s="11">
        <f ca="1">IFERROR(__xludf.DUMMYFUNCTION("""COMPUTED_VALUE"""),322)</f>
        <v>322</v>
      </c>
      <c r="Z3" s="11">
        <f ca="1">IFERROR(__xludf.DUMMYFUNCTION("""COMPUTED_VALUE"""),113.6498)</f>
        <v>113.6498</v>
      </c>
      <c r="AA3" s="11">
        <f ca="1">IFERROR(__xludf.DUMMYFUNCTION("""COMPUTED_VALUE"""),16)</f>
        <v>16</v>
      </c>
      <c r="AB3" s="11">
        <f ca="1">IFERROR(__xludf.DUMMYFUNCTION("""COMPUTED_VALUE"""),113.0478)</f>
        <v>113.0478</v>
      </c>
      <c r="AC3" s="11">
        <f ca="1">IFERROR(__xludf.DUMMYFUNCTION("""COMPUTED_VALUE"""),18)</f>
        <v>18</v>
      </c>
      <c r="AD3" s="11">
        <f ca="1">IFERROR(__xludf.DUMMYFUNCTION("""COMPUTED_VALUE"""),91.0838)</f>
        <v>91.083799999999997</v>
      </c>
      <c r="AE3" s="11">
        <f ca="1">IFERROR(__xludf.DUMMYFUNCTION("""COMPUTED_VALUE"""),10)</f>
        <v>10</v>
      </c>
      <c r="AF3" s="11">
        <f ca="1">IFERROR(__xludf.DUMMYFUNCTION("""COMPUTED_VALUE"""),90.5691)</f>
        <v>90.569100000000006</v>
      </c>
      <c r="AG3" s="11">
        <f ca="1">IFERROR(__xludf.DUMMYFUNCTION("""COMPUTED_VALUE"""),8)</f>
        <v>8</v>
      </c>
      <c r="AH3" s="11">
        <f ca="1">IFERROR(__xludf.DUMMYFUNCTION("""COMPUTED_VALUE"""),0.927542)</f>
        <v>0.92754199999999998</v>
      </c>
      <c r="AI3" s="11">
        <f ca="1">IFERROR(__xludf.DUMMYFUNCTION("""COMPUTED_VALUE"""),8)</f>
        <v>8</v>
      </c>
      <c r="AJ3" s="10">
        <f ca="1">IFERROR(__xludf.DUMMYFUNCTION("""COMPUTED_VALUE"""),22.4786999999999)</f>
        <v>22.4786999999999</v>
      </c>
      <c r="AK3" s="11">
        <f ca="1">IFERROR(__xludf.DUMMYFUNCTION("""COMPUTED_VALUE"""),10)</f>
        <v>10</v>
      </c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ht="12.3" x14ac:dyDescent="0.4">
      <c r="A4" s="2" t="s">
        <v>40</v>
      </c>
      <c r="B4" s="2">
        <v>10</v>
      </c>
      <c r="C4" s="2">
        <v>66.840699999999998</v>
      </c>
      <c r="D4" s="2">
        <v>80</v>
      </c>
      <c r="E4" s="2">
        <v>66.5749</v>
      </c>
      <c r="F4" s="2">
        <v>84</v>
      </c>
      <c r="G4" s="2">
        <v>115.3436</v>
      </c>
      <c r="H4" s="2">
        <v>12</v>
      </c>
      <c r="I4" s="2">
        <v>116.60550000000001</v>
      </c>
      <c r="J4" s="2">
        <v>10</v>
      </c>
      <c r="K4" s="2">
        <v>106.7491</v>
      </c>
      <c r="L4" s="2">
        <v>279</v>
      </c>
      <c r="M4" s="2">
        <v>104.6528</v>
      </c>
      <c r="N4" s="2">
        <v>216</v>
      </c>
      <c r="O4" s="2">
        <v>0.77620900000000004</v>
      </c>
      <c r="P4" s="2">
        <v>53</v>
      </c>
      <c r="Q4" s="10">
        <f t="shared" si="0"/>
        <v>11.952700000000007</v>
      </c>
      <c r="R4" s="11">
        <f t="shared" si="1"/>
        <v>206</v>
      </c>
      <c r="S4" s="11"/>
      <c r="T4" s="11" t="str">
        <f ca="1">IFERROR(__xludf.DUMMYFUNCTION("""COMPUTED_VALUE"""),"Villanova")</f>
        <v>Villanova</v>
      </c>
      <c r="U4" s="11">
        <f ca="1">IFERROR(__xludf.DUMMYFUNCTION("""COMPUTED_VALUE"""),1)</f>
        <v>1</v>
      </c>
      <c r="V4" s="11">
        <f ca="1">IFERROR(__xludf.DUMMYFUNCTION("""COMPUTED_VALUE"""),65.0568)</f>
        <v>65.056799999999996</v>
      </c>
      <c r="W4" s="11">
        <f ca="1">IFERROR(__xludf.DUMMYFUNCTION("""COMPUTED_VALUE"""),158)</f>
        <v>158</v>
      </c>
      <c r="X4" s="11">
        <f ca="1">IFERROR(__xludf.DUMMYFUNCTION("""COMPUTED_VALUE"""),64.4797)</f>
        <v>64.479699999999994</v>
      </c>
      <c r="Y4" s="11">
        <f ca="1">IFERROR(__xludf.DUMMYFUNCTION("""COMPUTED_VALUE"""),181)</f>
        <v>181</v>
      </c>
      <c r="Z4" s="11">
        <f ca="1">IFERROR(__xludf.DUMMYFUNCTION("""COMPUTED_VALUE"""),116.6189)</f>
        <v>116.6189</v>
      </c>
      <c r="AA4" s="11">
        <f ca="1">IFERROR(__xludf.DUMMYFUNCTION("""COMPUTED_VALUE"""),6)</f>
        <v>6</v>
      </c>
      <c r="AB4" s="11">
        <f ca="1">IFERROR(__xludf.DUMMYFUNCTION("""COMPUTED_VALUE"""),120.8395)</f>
        <v>120.8395</v>
      </c>
      <c r="AC4" s="11">
        <f ca="1">IFERROR(__xludf.DUMMYFUNCTION("""COMPUTED_VALUE"""),4)</f>
        <v>4</v>
      </c>
      <c r="AD4" s="11">
        <f ca="1">IFERROR(__xludf.DUMMYFUNCTION("""COMPUTED_VALUE"""),92.9741)</f>
        <v>92.974100000000007</v>
      </c>
      <c r="AE4" s="11">
        <f ca="1">IFERROR(__xludf.DUMMYFUNCTION("""COMPUTED_VALUE"""),18)</f>
        <v>18</v>
      </c>
      <c r="AF4" s="11">
        <f ca="1">IFERROR(__xludf.DUMMYFUNCTION("""COMPUTED_VALUE"""),92.246)</f>
        <v>92.245999999999995</v>
      </c>
      <c r="AG4" s="11">
        <f ca="1">IFERROR(__xludf.DUMMYFUNCTION("""COMPUTED_VALUE"""),13)</f>
        <v>13</v>
      </c>
      <c r="AH4" s="11">
        <f ca="1">IFERROR(__xludf.DUMMYFUNCTION("""COMPUTED_VALUE"""),0.957101)</f>
        <v>0.95710099999999998</v>
      </c>
      <c r="AI4" s="11">
        <f ca="1">IFERROR(__xludf.DUMMYFUNCTION("""COMPUTED_VALUE"""),5)</f>
        <v>5</v>
      </c>
      <c r="AJ4" s="10">
        <f ca="1">IFERROR(__xludf.DUMMYFUNCTION("""COMPUTED_VALUE"""),28.5935)</f>
        <v>28.593499999999999</v>
      </c>
      <c r="AK4" s="11">
        <f ca="1">IFERROR(__xludf.DUMMYFUNCTION("""COMPUTED_VALUE"""),9)</f>
        <v>9</v>
      </c>
      <c r="AL4" s="11"/>
      <c r="AM4" s="11"/>
      <c r="AN4" s="11"/>
      <c r="AO4" s="11"/>
      <c r="AP4" s="11"/>
      <c r="AQ4" s="11"/>
      <c r="AR4" s="11"/>
      <c r="AS4" s="11"/>
      <c r="AT4" s="11"/>
      <c r="AU4" s="11"/>
    </row>
    <row r="5" spans="1:47" ht="12.3" x14ac:dyDescent="0.4">
      <c r="A5" s="2" t="s">
        <v>244</v>
      </c>
      <c r="B5" s="2">
        <v>15</v>
      </c>
      <c r="C5" s="2">
        <v>67.383899999999997</v>
      </c>
      <c r="D5" s="2">
        <v>65</v>
      </c>
      <c r="E5" s="2">
        <v>67.092399999999998</v>
      </c>
      <c r="F5" s="2">
        <v>63</v>
      </c>
      <c r="G5" s="2">
        <v>109.27070000000001</v>
      </c>
      <c r="H5" s="2">
        <v>41</v>
      </c>
      <c r="I5" s="2">
        <v>107.8516</v>
      </c>
      <c r="J5" s="2">
        <v>64</v>
      </c>
      <c r="K5" s="2">
        <v>104.0763</v>
      </c>
      <c r="L5" s="2">
        <v>215</v>
      </c>
      <c r="M5" s="2">
        <v>106.4962</v>
      </c>
      <c r="N5" s="2">
        <v>259</v>
      </c>
      <c r="O5" s="2">
        <v>0.53629599999999999</v>
      </c>
      <c r="P5" s="2">
        <v>149</v>
      </c>
      <c r="Q5" s="10">
        <f t="shared" si="0"/>
        <v>1.355400000000003</v>
      </c>
      <c r="R5" s="11">
        <f t="shared" si="1"/>
        <v>195</v>
      </c>
      <c r="S5" s="11"/>
      <c r="T5" s="11" t="str">
        <f ca="1">IFERROR(__xludf.DUMMYFUNCTION("""COMPUTED_VALUE"""),"Arizona")</f>
        <v>Arizona</v>
      </c>
      <c r="U5" s="11">
        <f ca="1">IFERROR(__xludf.DUMMYFUNCTION("""COMPUTED_VALUE"""),2)</f>
        <v>2</v>
      </c>
      <c r="V5" s="11">
        <f ca="1">IFERROR(__xludf.DUMMYFUNCTION("""COMPUTED_VALUE"""),66.8428)</f>
        <v>66.842799999999997</v>
      </c>
      <c r="W5" s="11">
        <f ca="1">IFERROR(__xludf.DUMMYFUNCTION("""COMPUTED_VALUE"""),79)</f>
        <v>79</v>
      </c>
      <c r="X5" s="11">
        <f ca="1">IFERROR(__xludf.DUMMYFUNCTION("""COMPUTED_VALUE"""),66.7277)</f>
        <v>66.727699999999999</v>
      </c>
      <c r="Y5" s="11">
        <f ca="1">IFERROR(__xludf.DUMMYFUNCTION("""COMPUTED_VALUE"""),78)</f>
        <v>78</v>
      </c>
      <c r="Z5" s="11">
        <f ca="1">IFERROR(__xludf.DUMMYFUNCTION("""COMPUTED_VALUE"""),113.6254)</f>
        <v>113.6254</v>
      </c>
      <c r="AA5" s="11">
        <f ca="1">IFERROR(__xludf.DUMMYFUNCTION("""COMPUTED_VALUE"""),17)</f>
        <v>17</v>
      </c>
      <c r="AB5" s="11">
        <f ca="1">IFERROR(__xludf.DUMMYFUNCTION("""COMPUTED_VALUE"""),116.0039)</f>
        <v>116.0039</v>
      </c>
      <c r="AC5" s="11">
        <f ca="1">IFERROR(__xludf.DUMMYFUNCTION("""COMPUTED_VALUE"""),11)</f>
        <v>11</v>
      </c>
      <c r="AD5" s="11">
        <f ca="1">IFERROR(__xludf.DUMMYFUNCTION("""COMPUTED_VALUE"""),87.414)</f>
        <v>87.414000000000001</v>
      </c>
      <c r="AE5" s="11">
        <f ca="1">IFERROR(__xludf.DUMMYFUNCTION("""COMPUTED_VALUE"""),4)</f>
        <v>4</v>
      </c>
      <c r="AF5" s="11">
        <f ca="1">IFERROR(__xludf.DUMMYFUNCTION("""COMPUTED_VALUE"""),86.3831)</f>
        <v>86.383099999999999</v>
      </c>
      <c r="AG5" s="11">
        <f ca="1">IFERROR(__xludf.DUMMYFUNCTION("""COMPUTED_VALUE"""),3)</f>
        <v>3</v>
      </c>
      <c r="AH5" s="11">
        <f ca="1">IFERROR(__xludf.DUMMYFUNCTION("""COMPUTED_VALUE"""),0.967408)</f>
        <v>0.96740800000000005</v>
      </c>
      <c r="AI5" s="11">
        <f ca="1">IFERROR(__xludf.DUMMYFUNCTION("""COMPUTED_VALUE"""),2)</f>
        <v>2</v>
      </c>
      <c r="AJ5" s="10">
        <f ca="1">IFERROR(__xludf.DUMMYFUNCTION("""COMPUTED_VALUE"""),29.6208)</f>
        <v>29.620799999999999</v>
      </c>
      <c r="AK5" s="11">
        <f ca="1">IFERROR(__xludf.DUMMYFUNCTION("""COMPUTED_VALUE"""),8)</f>
        <v>8</v>
      </c>
      <c r="AL5" s="11"/>
      <c r="AM5" s="11"/>
      <c r="AN5" s="11"/>
      <c r="AO5" s="11"/>
      <c r="AP5" s="11"/>
      <c r="AQ5" s="11"/>
      <c r="AR5" s="11"/>
      <c r="AS5" s="11"/>
      <c r="AT5" s="11"/>
      <c r="AU5" s="11"/>
    </row>
    <row r="6" spans="1:47" ht="12.3" x14ac:dyDescent="0.4">
      <c r="A6" s="2" t="s">
        <v>134</v>
      </c>
      <c r="B6" s="2">
        <v>10</v>
      </c>
      <c r="C6" s="2">
        <v>67.252700000000004</v>
      </c>
      <c r="D6" s="2">
        <v>69</v>
      </c>
      <c r="E6" s="2">
        <v>67.004800000000003</v>
      </c>
      <c r="F6" s="2">
        <v>68</v>
      </c>
      <c r="G6" s="2">
        <v>117.1584</v>
      </c>
      <c r="H6" s="2">
        <v>5</v>
      </c>
      <c r="I6" s="2">
        <v>118.4924</v>
      </c>
      <c r="J6" s="2">
        <v>8</v>
      </c>
      <c r="K6" s="2">
        <v>102.4216</v>
      </c>
      <c r="L6" s="2">
        <v>179</v>
      </c>
      <c r="M6" s="2">
        <v>103.107</v>
      </c>
      <c r="N6" s="2">
        <v>181</v>
      </c>
      <c r="O6" s="2">
        <v>0.83194000000000001</v>
      </c>
      <c r="P6" s="2">
        <v>32</v>
      </c>
      <c r="Q6" s="10">
        <f t="shared" si="0"/>
        <v>15.385400000000004</v>
      </c>
      <c r="R6" s="11">
        <f t="shared" si="1"/>
        <v>173</v>
      </c>
      <c r="S6" s="11"/>
      <c r="T6" s="11" t="str">
        <f ca="1">IFERROR(__xludf.DUMMYFUNCTION("""COMPUTED_VALUE"""),"Wichita St.")</f>
        <v>Wichita St.</v>
      </c>
      <c r="U6" s="11">
        <f ca="1">IFERROR(__xludf.DUMMYFUNCTION("""COMPUTED_VALUE"""),7)</f>
        <v>7</v>
      </c>
      <c r="V6" s="11">
        <f ca="1">IFERROR(__xludf.DUMMYFUNCTION("""COMPUTED_VALUE"""),60.9106)</f>
        <v>60.910600000000002</v>
      </c>
      <c r="W6" s="11">
        <f ca="1">IFERROR(__xludf.DUMMYFUNCTION("""COMPUTED_VALUE"""),330)</f>
        <v>330</v>
      </c>
      <c r="X6" s="11">
        <f ca="1">IFERROR(__xludf.DUMMYFUNCTION("""COMPUTED_VALUE"""),62.1472)</f>
        <v>62.147199999999998</v>
      </c>
      <c r="Y6" s="11">
        <f ca="1">IFERROR(__xludf.DUMMYFUNCTION("""COMPUTED_VALUE"""),298)</f>
        <v>298</v>
      </c>
      <c r="Z6" s="11">
        <f ca="1">IFERROR(__xludf.DUMMYFUNCTION("""COMPUTED_VALUE"""),111.9834)</f>
        <v>111.9834</v>
      </c>
      <c r="AA6" s="11">
        <f ca="1">IFERROR(__xludf.DUMMYFUNCTION("""COMPUTED_VALUE"""),24)</f>
        <v>24</v>
      </c>
      <c r="AB6" s="11">
        <f ca="1">IFERROR(__xludf.DUMMYFUNCTION("""COMPUTED_VALUE"""),112.9808)</f>
        <v>112.9808</v>
      </c>
      <c r="AC6" s="11">
        <f ca="1">IFERROR(__xludf.DUMMYFUNCTION("""COMPUTED_VALUE"""),20)</f>
        <v>20</v>
      </c>
      <c r="AD6" s="11">
        <f ca="1">IFERROR(__xludf.DUMMYFUNCTION("""COMPUTED_VALUE"""),90.9871)</f>
        <v>90.987099999999998</v>
      </c>
      <c r="AE6" s="11">
        <f ca="1">IFERROR(__xludf.DUMMYFUNCTION("""COMPUTED_VALUE"""),8)</f>
        <v>8</v>
      </c>
      <c r="AF6" s="11">
        <f ca="1">IFERROR(__xludf.DUMMYFUNCTION("""COMPUTED_VALUE"""),92.9254)</f>
        <v>92.925399999999996</v>
      </c>
      <c r="AG6" s="11">
        <f ca="1">IFERROR(__xludf.DUMMYFUNCTION("""COMPUTED_VALUE"""),15)</f>
        <v>15</v>
      </c>
      <c r="AH6" s="11">
        <f ca="1">IFERROR(__xludf.DUMMYFUNCTION("""COMPUTED_VALUE"""),0.904421)</f>
        <v>0.90442100000000003</v>
      </c>
      <c r="AI6" s="11">
        <f ca="1">IFERROR(__xludf.DUMMYFUNCTION("""COMPUTED_VALUE"""),14)</f>
        <v>14</v>
      </c>
      <c r="AJ6" s="10">
        <f ca="1">IFERROR(__xludf.DUMMYFUNCTION("""COMPUTED_VALUE"""),20.0554)</f>
        <v>20.055399999999999</v>
      </c>
      <c r="AK6" s="11">
        <f ca="1">IFERROR(__xludf.DUMMYFUNCTION("""COMPUTED_VALUE"""),5)</f>
        <v>5</v>
      </c>
      <c r="AL6" s="11"/>
      <c r="AM6" s="11"/>
      <c r="AN6" s="11"/>
      <c r="AO6" s="11"/>
      <c r="AP6" s="11"/>
      <c r="AQ6" s="11"/>
      <c r="AR6" s="11"/>
      <c r="AS6" s="11"/>
      <c r="AT6" s="11"/>
      <c r="AU6" s="11"/>
    </row>
    <row r="7" spans="1:47" ht="12.3" x14ac:dyDescent="0.4">
      <c r="A7" s="2" t="s">
        <v>97</v>
      </c>
      <c r="B7" s="2">
        <v>8</v>
      </c>
      <c r="C7" s="2">
        <v>60.249400000000001</v>
      </c>
      <c r="D7" s="2">
        <v>339</v>
      </c>
      <c r="E7" s="2">
        <v>60.672400000000003</v>
      </c>
      <c r="F7" s="2">
        <v>334</v>
      </c>
      <c r="G7" s="2">
        <v>100.6559</v>
      </c>
      <c r="H7" s="2">
        <v>206</v>
      </c>
      <c r="I7" s="2">
        <v>102.4036</v>
      </c>
      <c r="J7" s="2">
        <v>161</v>
      </c>
      <c r="K7" s="2">
        <v>87.338099999999997</v>
      </c>
      <c r="L7" s="2">
        <v>3</v>
      </c>
      <c r="M7" s="2">
        <v>88.254499999999993</v>
      </c>
      <c r="N7" s="2">
        <v>4</v>
      </c>
      <c r="O7" s="2">
        <v>0.84683799999999998</v>
      </c>
      <c r="P7" s="2">
        <v>27</v>
      </c>
      <c r="Q7" s="10">
        <f t="shared" si="0"/>
        <v>14.149100000000004</v>
      </c>
      <c r="R7" s="11">
        <f t="shared" si="1"/>
        <v>157</v>
      </c>
      <c r="S7" s="11"/>
      <c r="T7" s="11" t="str">
        <f ca="1">IFERROR(__xludf.DUMMYFUNCTION("""COMPUTED_VALUE"""),"Kentucky")</f>
        <v>Kentucky</v>
      </c>
      <c r="U7" s="11">
        <f ca="1">IFERROR(__xludf.DUMMYFUNCTION("""COMPUTED_VALUE"""),1)</f>
        <v>1</v>
      </c>
      <c r="V7" s="11">
        <f ca="1">IFERROR(__xludf.DUMMYFUNCTION("""COMPUTED_VALUE"""),63.8659)</f>
        <v>63.865900000000003</v>
      </c>
      <c r="W7" s="11">
        <f ca="1">IFERROR(__xludf.DUMMYFUNCTION("""COMPUTED_VALUE"""),233)</f>
        <v>233</v>
      </c>
      <c r="X7" s="11">
        <f ca="1">IFERROR(__xludf.DUMMYFUNCTION("""COMPUTED_VALUE"""),63.4428)</f>
        <v>63.442799999999998</v>
      </c>
      <c r="Y7" s="11">
        <f ca="1">IFERROR(__xludf.DUMMYFUNCTION("""COMPUTED_VALUE"""),251)</f>
        <v>251</v>
      </c>
      <c r="Z7" s="11">
        <f ca="1">IFERROR(__xludf.DUMMYFUNCTION("""COMPUTED_VALUE"""),115.8958)</f>
        <v>115.89579999999999</v>
      </c>
      <c r="AA7" s="11">
        <f ca="1">IFERROR(__xludf.DUMMYFUNCTION("""COMPUTED_VALUE"""),9)</f>
        <v>9</v>
      </c>
      <c r="AB7" s="11">
        <f ca="1">IFERROR(__xludf.DUMMYFUNCTION("""COMPUTED_VALUE"""),119.725)</f>
        <v>119.72499999999999</v>
      </c>
      <c r="AC7" s="11">
        <f ca="1">IFERROR(__xludf.DUMMYFUNCTION("""COMPUTED_VALUE"""),5)</f>
        <v>5</v>
      </c>
      <c r="AD7" s="11">
        <f ca="1">IFERROR(__xludf.DUMMYFUNCTION("""COMPUTED_VALUE"""),83.6474)</f>
        <v>83.647400000000005</v>
      </c>
      <c r="AE7" s="11">
        <f ca="1">IFERROR(__xludf.DUMMYFUNCTION("""COMPUTED_VALUE"""),1)</f>
        <v>1</v>
      </c>
      <c r="AF7" s="11">
        <f ca="1">IFERROR(__xludf.DUMMYFUNCTION("""COMPUTED_VALUE"""),85.8155)</f>
        <v>85.8155</v>
      </c>
      <c r="AG7" s="11">
        <f ca="1">IFERROR(__xludf.DUMMYFUNCTION("""COMPUTED_VALUE"""),2)</f>
        <v>2</v>
      </c>
      <c r="AH7" s="11">
        <f ca="1">IFERROR(__xludf.DUMMYFUNCTION("""COMPUTED_VALUE"""),0.978741)</f>
        <v>0.97874099999999997</v>
      </c>
      <c r="AI7" s="11">
        <f ca="1">IFERROR(__xludf.DUMMYFUNCTION("""COMPUTED_VALUE"""),1)</f>
        <v>1</v>
      </c>
      <c r="AJ7" s="10">
        <f ca="1">IFERROR(__xludf.DUMMYFUNCTION("""COMPUTED_VALUE"""),33.9094999999999)</f>
        <v>33.909499999999902</v>
      </c>
      <c r="AK7" s="11">
        <f ca="1">IFERROR(__xludf.DUMMYFUNCTION("""COMPUTED_VALUE"""),3)</f>
        <v>3</v>
      </c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 ht="12.3" x14ac:dyDescent="0.4">
      <c r="A8" s="2" t="s">
        <v>255</v>
      </c>
      <c r="B8" s="2">
        <v>13</v>
      </c>
      <c r="C8" s="2">
        <v>61.022599999999997</v>
      </c>
      <c r="D8" s="2">
        <v>326</v>
      </c>
      <c r="E8" s="2">
        <v>61.493699999999997</v>
      </c>
      <c r="F8" s="2">
        <v>317</v>
      </c>
      <c r="G8" s="2">
        <v>101.7488</v>
      </c>
      <c r="H8" s="2">
        <v>181</v>
      </c>
      <c r="I8" s="2">
        <v>102.02209999999999</v>
      </c>
      <c r="J8" s="2">
        <v>170</v>
      </c>
      <c r="K8" s="2">
        <v>93.631200000000007</v>
      </c>
      <c r="L8" s="2">
        <v>20</v>
      </c>
      <c r="M8" s="2">
        <v>94.544600000000003</v>
      </c>
      <c r="N8" s="2">
        <v>34</v>
      </c>
      <c r="O8" s="2">
        <v>0.70585900000000001</v>
      </c>
      <c r="P8" s="2">
        <v>78</v>
      </c>
      <c r="Q8" s="10">
        <f t="shared" si="0"/>
        <v>7.477499999999992</v>
      </c>
      <c r="R8" s="11">
        <f t="shared" si="1"/>
        <v>136</v>
      </c>
      <c r="S8" s="11"/>
      <c r="T8" s="11" t="str">
        <f ca="1">IFERROR(__xludf.DUMMYFUNCTION("""COMPUTED_VALUE"""),"Northern Iowa")</f>
        <v>Northern Iowa</v>
      </c>
      <c r="U8" s="11">
        <f ca="1">IFERROR(__xludf.DUMMYFUNCTION("""COMPUTED_VALUE"""),5)</f>
        <v>5</v>
      </c>
      <c r="V8" s="11">
        <f ca="1">IFERROR(__xludf.DUMMYFUNCTION("""COMPUTED_VALUE"""),57.4039)</f>
        <v>57.4039</v>
      </c>
      <c r="W8" s="11">
        <f ca="1">IFERROR(__xludf.DUMMYFUNCTION("""COMPUTED_VALUE"""),350)</f>
        <v>350</v>
      </c>
      <c r="X8" s="11">
        <f ca="1">IFERROR(__xludf.DUMMYFUNCTION("""COMPUTED_VALUE"""),58.5006)</f>
        <v>58.500599999999999</v>
      </c>
      <c r="Y8" s="11">
        <f ca="1">IFERROR(__xludf.DUMMYFUNCTION("""COMPUTED_VALUE"""),348)</f>
        <v>348</v>
      </c>
      <c r="Z8" s="11">
        <f ca="1">IFERROR(__xludf.DUMMYFUNCTION("""COMPUTED_VALUE"""),112.4972)</f>
        <v>112.49720000000001</v>
      </c>
      <c r="AA8" s="11">
        <f ca="1">IFERROR(__xludf.DUMMYFUNCTION("""COMPUTED_VALUE"""),22)</f>
        <v>22</v>
      </c>
      <c r="AB8" s="11">
        <f ca="1">IFERROR(__xludf.DUMMYFUNCTION("""COMPUTED_VALUE"""),113.7866)</f>
        <v>113.78660000000001</v>
      </c>
      <c r="AC8" s="11">
        <f ca="1">IFERROR(__xludf.DUMMYFUNCTION("""COMPUTED_VALUE"""),15)</f>
        <v>15</v>
      </c>
      <c r="AD8" s="11">
        <f ca="1">IFERROR(__xludf.DUMMYFUNCTION("""COMPUTED_VALUE"""),92.7107)</f>
        <v>92.710700000000003</v>
      </c>
      <c r="AE8" s="11">
        <f ca="1">IFERROR(__xludf.DUMMYFUNCTION("""COMPUTED_VALUE"""),16)</f>
        <v>16</v>
      </c>
      <c r="AF8" s="11">
        <f ca="1">IFERROR(__xludf.DUMMYFUNCTION("""COMPUTED_VALUE"""),93.2423)</f>
        <v>93.2423</v>
      </c>
      <c r="AG8" s="11">
        <f ca="1">IFERROR(__xludf.DUMMYFUNCTION("""COMPUTED_VALUE"""),16)</f>
        <v>16</v>
      </c>
      <c r="AH8" s="11">
        <f ca="1">IFERROR(__xludf.DUMMYFUNCTION("""COMPUTED_VALUE"""),0.908038)</f>
        <v>0.90803800000000001</v>
      </c>
      <c r="AI8" s="11">
        <f ca="1">IFERROR(__xludf.DUMMYFUNCTION("""COMPUTED_VALUE"""),12)</f>
        <v>12</v>
      </c>
      <c r="AJ8" s="10">
        <f ca="1">IFERROR(__xludf.DUMMYFUNCTION("""COMPUTED_VALUE"""),20.5443)</f>
        <v>20.5443</v>
      </c>
      <c r="AK8" s="11">
        <f ca="1">IFERROR(__xludf.DUMMYFUNCTION("""COMPUTED_VALUE"""),1)</f>
        <v>1</v>
      </c>
      <c r="AL8" s="11"/>
      <c r="AM8" s="11"/>
      <c r="AN8" s="11"/>
      <c r="AO8" s="11"/>
      <c r="AP8" s="11"/>
      <c r="AQ8" s="11"/>
      <c r="AR8" s="11"/>
      <c r="AS8" s="11"/>
      <c r="AT8" s="11"/>
      <c r="AU8" s="11"/>
    </row>
    <row r="9" spans="1:47" ht="12.3" x14ac:dyDescent="0.4">
      <c r="A9" s="2" t="s">
        <v>135</v>
      </c>
      <c r="B9" s="2">
        <v>16</v>
      </c>
      <c r="C9" s="2">
        <v>69.142300000000006</v>
      </c>
      <c r="D9" s="2">
        <v>18</v>
      </c>
      <c r="E9" s="2">
        <v>69.543000000000006</v>
      </c>
      <c r="F9" s="2">
        <v>16</v>
      </c>
      <c r="G9" s="2">
        <v>96.609899999999996</v>
      </c>
      <c r="H9" s="2">
        <v>280</v>
      </c>
      <c r="I9" s="2">
        <v>95.571600000000004</v>
      </c>
      <c r="J9" s="2">
        <v>302</v>
      </c>
      <c r="K9" s="2">
        <v>98.523200000000003</v>
      </c>
      <c r="L9" s="2">
        <v>94</v>
      </c>
      <c r="M9" s="2">
        <v>102.34569999999999</v>
      </c>
      <c r="N9" s="2">
        <v>170</v>
      </c>
      <c r="O9" s="2">
        <v>0.312699</v>
      </c>
      <c r="P9" s="2">
        <v>250</v>
      </c>
      <c r="Q9" s="10">
        <f t="shared" si="0"/>
        <v>-6.77409999999999</v>
      </c>
      <c r="R9" s="11">
        <f t="shared" si="1"/>
        <v>132</v>
      </c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 ht="12.3" x14ac:dyDescent="0.4">
      <c r="A10" s="2" t="s">
        <v>96</v>
      </c>
      <c r="B10" s="2">
        <v>11</v>
      </c>
      <c r="C10" s="2">
        <v>69.656400000000005</v>
      </c>
      <c r="D10" s="2">
        <v>14</v>
      </c>
      <c r="E10" s="2">
        <v>70.376199999999997</v>
      </c>
      <c r="F10" s="2">
        <v>6</v>
      </c>
      <c r="G10" s="2">
        <v>116.02849999999999</v>
      </c>
      <c r="H10" s="2">
        <v>7</v>
      </c>
      <c r="I10" s="2">
        <v>116.7226</v>
      </c>
      <c r="J10" s="2">
        <v>9</v>
      </c>
      <c r="K10" s="2">
        <v>102.9773</v>
      </c>
      <c r="L10" s="2">
        <v>187</v>
      </c>
      <c r="M10" s="2">
        <v>101.07859999999999</v>
      </c>
      <c r="N10" s="2">
        <v>139</v>
      </c>
      <c r="O10" s="2">
        <v>0.83954799999999996</v>
      </c>
      <c r="P10" s="2">
        <v>31</v>
      </c>
      <c r="Q10" s="10">
        <f t="shared" si="0"/>
        <v>15.644000000000005</v>
      </c>
      <c r="R10" s="11">
        <f t="shared" si="1"/>
        <v>130</v>
      </c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 ht="12.3" x14ac:dyDescent="0.4">
      <c r="A11" s="2" t="s">
        <v>41</v>
      </c>
      <c r="B11" s="2">
        <v>8</v>
      </c>
      <c r="C11" s="2">
        <v>67.776600000000002</v>
      </c>
      <c r="D11" s="2">
        <v>50</v>
      </c>
      <c r="E11" s="2">
        <v>66.543999999999997</v>
      </c>
      <c r="F11" s="2">
        <v>87</v>
      </c>
      <c r="G11" s="2">
        <v>108.9756</v>
      </c>
      <c r="H11" s="2">
        <v>44</v>
      </c>
      <c r="I11" s="2">
        <v>113.3464</v>
      </c>
      <c r="J11" s="2">
        <v>16</v>
      </c>
      <c r="K11" s="2">
        <v>103.4173</v>
      </c>
      <c r="L11" s="2">
        <v>198</v>
      </c>
      <c r="M11" s="2">
        <v>100.6238</v>
      </c>
      <c r="N11" s="2">
        <v>134</v>
      </c>
      <c r="O11" s="2">
        <v>0.79724899999999999</v>
      </c>
      <c r="P11" s="2">
        <v>46</v>
      </c>
      <c r="Q11" s="10">
        <f t="shared" si="0"/>
        <v>12.7226</v>
      </c>
      <c r="R11" s="11">
        <f t="shared" si="1"/>
        <v>118</v>
      </c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 ht="12.3" x14ac:dyDescent="0.4">
      <c r="A12" s="2" t="s">
        <v>56</v>
      </c>
      <c r="B12" s="2">
        <v>3</v>
      </c>
      <c r="C12" s="2">
        <v>64.113699999999994</v>
      </c>
      <c r="D12" s="2">
        <v>217</v>
      </c>
      <c r="E12" s="2">
        <v>64.128299999999996</v>
      </c>
      <c r="F12" s="2">
        <v>204</v>
      </c>
      <c r="G12" s="2">
        <v>121.2585</v>
      </c>
      <c r="H12" s="2">
        <v>1</v>
      </c>
      <c r="I12" s="2">
        <v>122.2296</v>
      </c>
      <c r="J12" s="2">
        <v>2</v>
      </c>
      <c r="K12" s="2">
        <v>101.40730000000001</v>
      </c>
      <c r="L12" s="2">
        <v>162</v>
      </c>
      <c r="M12" s="2">
        <v>99.664900000000003</v>
      </c>
      <c r="N12" s="2">
        <v>112</v>
      </c>
      <c r="O12" s="2">
        <v>0.91269599999999995</v>
      </c>
      <c r="P12" s="2">
        <v>10</v>
      </c>
      <c r="Q12" s="10">
        <f t="shared" si="0"/>
        <v>22.564700000000002</v>
      </c>
      <c r="R12" s="11">
        <f t="shared" si="1"/>
        <v>110</v>
      </c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12.3" x14ac:dyDescent="0.4">
      <c r="A13" s="2" t="s">
        <v>93</v>
      </c>
      <c r="B13" s="2">
        <v>12</v>
      </c>
      <c r="C13" s="2">
        <v>58.364800000000002</v>
      </c>
      <c r="D13" s="2">
        <v>348</v>
      </c>
      <c r="E13" s="2">
        <v>59.237099999999998</v>
      </c>
      <c r="F13" s="2">
        <v>344</v>
      </c>
      <c r="G13" s="2">
        <v>103.1922</v>
      </c>
      <c r="H13" s="2">
        <v>147</v>
      </c>
      <c r="I13" s="2">
        <v>101.8455</v>
      </c>
      <c r="J13" s="2">
        <v>175</v>
      </c>
      <c r="K13" s="2">
        <v>95.343900000000005</v>
      </c>
      <c r="L13" s="2">
        <v>37</v>
      </c>
      <c r="M13" s="2">
        <v>96.974800000000002</v>
      </c>
      <c r="N13" s="2">
        <v>67</v>
      </c>
      <c r="O13" s="2">
        <v>0.63727699999999998</v>
      </c>
      <c r="P13" s="2">
        <v>102</v>
      </c>
      <c r="Q13" s="10">
        <f t="shared" si="0"/>
        <v>4.8706999999999994</v>
      </c>
      <c r="R13" s="11">
        <f t="shared" si="1"/>
        <v>108</v>
      </c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 ht="12.3" x14ac:dyDescent="0.4">
      <c r="A14" s="2" t="s">
        <v>51</v>
      </c>
      <c r="B14" s="2">
        <v>11</v>
      </c>
      <c r="C14" s="2">
        <v>66.566199999999995</v>
      </c>
      <c r="D14" s="2">
        <v>92</v>
      </c>
      <c r="E14" s="2">
        <v>66.4054</v>
      </c>
      <c r="F14" s="2">
        <v>94</v>
      </c>
      <c r="G14" s="2">
        <v>108.54</v>
      </c>
      <c r="H14" s="2">
        <v>50</v>
      </c>
      <c r="I14" s="2">
        <v>112.9358</v>
      </c>
      <c r="J14" s="2">
        <v>22</v>
      </c>
      <c r="K14" s="2">
        <v>100.5981</v>
      </c>
      <c r="L14" s="2">
        <v>137</v>
      </c>
      <c r="M14" s="2">
        <v>100.13460000000001</v>
      </c>
      <c r="N14" s="2">
        <v>125</v>
      </c>
      <c r="O14" s="2">
        <v>0.79955399999999999</v>
      </c>
      <c r="P14" s="2">
        <v>44</v>
      </c>
      <c r="Q14" s="10">
        <f t="shared" si="0"/>
        <v>12.801199999999994</v>
      </c>
      <c r="R14" s="11">
        <f t="shared" si="1"/>
        <v>103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 ht="12.3" x14ac:dyDescent="0.4">
      <c r="A15" s="2" t="s">
        <v>74</v>
      </c>
      <c r="B15" s="2">
        <v>13</v>
      </c>
      <c r="C15" s="2">
        <v>63.183</v>
      </c>
      <c r="D15" s="2">
        <v>264</v>
      </c>
      <c r="E15" s="2">
        <v>62.755800000000001</v>
      </c>
      <c r="F15" s="2">
        <v>275</v>
      </c>
      <c r="G15" s="2">
        <v>107.5521</v>
      </c>
      <c r="H15" s="2">
        <v>58</v>
      </c>
      <c r="I15" s="2">
        <v>103.7859</v>
      </c>
      <c r="J15" s="2">
        <v>129</v>
      </c>
      <c r="K15" s="2">
        <v>93.935900000000004</v>
      </c>
      <c r="L15" s="2">
        <v>23</v>
      </c>
      <c r="M15" s="2">
        <v>94.3339</v>
      </c>
      <c r="N15" s="2">
        <v>31</v>
      </c>
      <c r="O15" s="2">
        <v>0.74990999999999997</v>
      </c>
      <c r="P15" s="2">
        <v>63</v>
      </c>
      <c r="Q15" s="10">
        <f t="shared" si="0"/>
        <v>9.4519999999999982</v>
      </c>
      <c r="R15" s="11">
        <f t="shared" si="1"/>
        <v>98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 ht="12.3" x14ac:dyDescent="0.4">
      <c r="A16" s="2" t="s">
        <v>86</v>
      </c>
      <c r="B16" s="2">
        <v>4</v>
      </c>
      <c r="C16" s="2">
        <v>66.242000000000004</v>
      </c>
      <c r="D16" s="2">
        <v>105</v>
      </c>
      <c r="E16" s="2">
        <v>65.4983</v>
      </c>
      <c r="F16" s="2">
        <v>136</v>
      </c>
      <c r="G16" s="2">
        <v>103.4782</v>
      </c>
      <c r="H16" s="2">
        <v>139</v>
      </c>
      <c r="I16" s="2">
        <v>105.8796</v>
      </c>
      <c r="J16" s="2">
        <v>95</v>
      </c>
      <c r="K16" s="2">
        <v>89.928200000000004</v>
      </c>
      <c r="L16" s="2">
        <v>6</v>
      </c>
      <c r="M16" s="2">
        <v>89.357799999999997</v>
      </c>
      <c r="N16" s="2">
        <v>6</v>
      </c>
      <c r="O16" s="2">
        <v>0.87555799999999995</v>
      </c>
      <c r="P16" s="2">
        <v>18</v>
      </c>
      <c r="Q16" s="10">
        <f t="shared" si="0"/>
        <v>16.521799999999999</v>
      </c>
      <c r="R16" s="11">
        <f t="shared" si="1"/>
        <v>89</v>
      </c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 ht="12.3" x14ac:dyDescent="0.4">
      <c r="A17" s="2" t="s">
        <v>139</v>
      </c>
      <c r="B17" s="2">
        <v>16</v>
      </c>
      <c r="C17" s="2">
        <v>67.941100000000006</v>
      </c>
      <c r="D17" s="2">
        <v>45</v>
      </c>
      <c r="E17" s="2">
        <v>68.223100000000002</v>
      </c>
      <c r="F17" s="2">
        <v>30</v>
      </c>
      <c r="G17" s="2">
        <v>101.2805</v>
      </c>
      <c r="H17" s="2">
        <v>189</v>
      </c>
      <c r="I17" s="2">
        <v>100.907</v>
      </c>
      <c r="J17" s="2">
        <v>196</v>
      </c>
      <c r="K17" s="2">
        <v>97.792599999999993</v>
      </c>
      <c r="L17" s="2">
        <v>81</v>
      </c>
      <c r="M17" s="2">
        <v>99.471800000000002</v>
      </c>
      <c r="N17" s="2">
        <v>109</v>
      </c>
      <c r="O17" s="2">
        <v>0.54108999999999996</v>
      </c>
      <c r="P17" s="2">
        <v>145</v>
      </c>
      <c r="Q17" s="10">
        <f t="shared" si="0"/>
        <v>1.4351999999999947</v>
      </c>
      <c r="R17" s="11">
        <f t="shared" si="1"/>
        <v>87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 ht="12.3" x14ac:dyDescent="0.4">
      <c r="A18" s="2" t="s">
        <v>282</v>
      </c>
      <c r="B18" s="2">
        <v>12</v>
      </c>
      <c r="C18" s="2">
        <v>67.862300000000005</v>
      </c>
      <c r="D18" s="2">
        <v>47</v>
      </c>
      <c r="E18" s="2">
        <v>66.766599999999997</v>
      </c>
      <c r="F18" s="2">
        <v>75</v>
      </c>
      <c r="G18" s="2">
        <v>115.7403</v>
      </c>
      <c r="H18" s="2">
        <v>10</v>
      </c>
      <c r="I18" s="2">
        <v>112.9876</v>
      </c>
      <c r="J18" s="2">
        <v>19</v>
      </c>
      <c r="K18" s="2">
        <v>96.518699999999995</v>
      </c>
      <c r="L18" s="2">
        <v>57</v>
      </c>
      <c r="M18" s="2">
        <v>99.130899999999997</v>
      </c>
      <c r="N18" s="2">
        <v>103</v>
      </c>
      <c r="O18" s="2">
        <v>0.81826299999999996</v>
      </c>
      <c r="P18" s="2">
        <v>35</v>
      </c>
      <c r="Q18" s="10">
        <f t="shared" si="0"/>
        <v>13.856700000000004</v>
      </c>
      <c r="R18" s="11">
        <f t="shared" si="1"/>
        <v>84</v>
      </c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 ht="12.3" x14ac:dyDescent="0.4">
      <c r="A19" s="2" t="s">
        <v>308</v>
      </c>
      <c r="B19" s="2">
        <v>14</v>
      </c>
      <c r="C19" s="2">
        <v>63.4818</v>
      </c>
      <c r="D19" s="2">
        <v>251</v>
      </c>
      <c r="E19" s="2">
        <v>63.667000000000002</v>
      </c>
      <c r="F19" s="2">
        <v>239</v>
      </c>
      <c r="G19" s="2">
        <v>107.29640000000001</v>
      </c>
      <c r="H19" s="2">
        <v>63</v>
      </c>
      <c r="I19" s="2">
        <v>105.9911</v>
      </c>
      <c r="J19" s="2">
        <v>90</v>
      </c>
      <c r="K19" s="2">
        <v>101.1421</v>
      </c>
      <c r="L19" s="2">
        <v>151</v>
      </c>
      <c r="M19" s="2">
        <v>102.3937</v>
      </c>
      <c r="N19" s="2">
        <v>171</v>
      </c>
      <c r="O19" s="2">
        <v>0.59798799999999996</v>
      </c>
      <c r="P19" s="2">
        <v>120</v>
      </c>
      <c r="Q19" s="10">
        <f t="shared" si="0"/>
        <v>3.5974000000000075</v>
      </c>
      <c r="R19" s="11">
        <f t="shared" si="1"/>
        <v>81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 ht="12.3" x14ac:dyDescent="0.4">
      <c r="A20" s="2" t="s">
        <v>363</v>
      </c>
      <c r="B20" s="2">
        <v>16</v>
      </c>
      <c r="C20" s="2">
        <v>67.5625</v>
      </c>
      <c r="D20" s="2">
        <v>59</v>
      </c>
      <c r="E20" s="2">
        <v>67.115399999999994</v>
      </c>
      <c r="F20" s="2">
        <v>60</v>
      </c>
      <c r="G20" s="2">
        <v>109.6328</v>
      </c>
      <c r="H20" s="2">
        <v>37</v>
      </c>
      <c r="I20" s="2">
        <v>105.69</v>
      </c>
      <c r="J20" s="2">
        <v>98</v>
      </c>
      <c r="K20" s="2">
        <v>101.3077</v>
      </c>
      <c r="L20" s="2">
        <v>157</v>
      </c>
      <c r="M20" s="2">
        <v>102.83750000000001</v>
      </c>
      <c r="N20" s="2">
        <v>178</v>
      </c>
      <c r="O20" s="2">
        <v>0.57801800000000003</v>
      </c>
      <c r="P20" s="2">
        <v>127</v>
      </c>
      <c r="Q20" s="10">
        <f t="shared" si="0"/>
        <v>2.852499999999992</v>
      </c>
      <c r="R20" s="11">
        <f t="shared" si="1"/>
        <v>80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 ht="12.3" x14ac:dyDescent="0.4">
      <c r="A21" s="2" t="s">
        <v>146</v>
      </c>
      <c r="B21" s="2">
        <v>3</v>
      </c>
      <c r="C21" s="2">
        <v>69.847700000000003</v>
      </c>
      <c r="D21" s="2">
        <v>12</v>
      </c>
      <c r="E21" s="2">
        <v>69.557900000000004</v>
      </c>
      <c r="F21" s="2">
        <v>15</v>
      </c>
      <c r="G21" s="2">
        <v>112.19499999999999</v>
      </c>
      <c r="H21" s="2">
        <v>23</v>
      </c>
      <c r="I21" s="2">
        <v>118.86069999999999</v>
      </c>
      <c r="J21" s="2">
        <v>7</v>
      </c>
      <c r="K21" s="2">
        <v>99.106899999999996</v>
      </c>
      <c r="L21" s="2">
        <v>106</v>
      </c>
      <c r="M21" s="2">
        <v>97.734999999999999</v>
      </c>
      <c r="N21" s="2">
        <v>82</v>
      </c>
      <c r="O21" s="2">
        <v>0.90469100000000002</v>
      </c>
      <c r="P21" s="2">
        <v>13</v>
      </c>
      <c r="Q21" s="10">
        <f t="shared" si="0"/>
        <v>21.125699999999995</v>
      </c>
      <c r="R21" s="11">
        <f t="shared" si="1"/>
        <v>75</v>
      </c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 ht="12.3" x14ac:dyDescent="0.4">
      <c r="A22" s="2" t="s">
        <v>360</v>
      </c>
      <c r="B22" s="2">
        <v>15</v>
      </c>
      <c r="C22" s="2">
        <v>61.424900000000001</v>
      </c>
      <c r="D22" s="2">
        <v>317</v>
      </c>
      <c r="E22" s="2">
        <v>61.176299999999998</v>
      </c>
      <c r="F22" s="2">
        <v>321</v>
      </c>
      <c r="G22" s="2">
        <v>103.55240000000001</v>
      </c>
      <c r="H22" s="2">
        <v>137</v>
      </c>
      <c r="I22" s="2">
        <v>100.9777</v>
      </c>
      <c r="J22" s="2">
        <v>194</v>
      </c>
      <c r="K22" s="2">
        <v>98.960700000000003</v>
      </c>
      <c r="L22" s="2">
        <v>105</v>
      </c>
      <c r="M22" s="2">
        <v>100.07470000000001</v>
      </c>
      <c r="N22" s="2">
        <v>124</v>
      </c>
      <c r="O22" s="2">
        <v>0.52580099999999996</v>
      </c>
      <c r="P22" s="2">
        <v>151</v>
      </c>
      <c r="Q22" s="10">
        <f t="shared" si="0"/>
        <v>0.90299999999999159</v>
      </c>
      <c r="R22" s="11">
        <f t="shared" si="1"/>
        <v>70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12.3" x14ac:dyDescent="0.4">
      <c r="A23" s="2" t="s">
        <v>279</v>
      </c>
      <c r="B23" s="2">
        <v>12</v>
      </c>
      <c r="C23" s="2">
        <v>62.146500000000003</v>
      </c>
      <c r="D23" s="2">
        <v>300</v>
      </c>
      <c r="E23" s="2">
        <v>61.510899999999999</v>
      </c>
      <c r="F23" s="2">
        <v>316</v>
      </c>
      <c r="G23" s="2">
        <v>106.367</v>
      </c>
      <c r="H23" s="2">
        <v>79</v>
      </c>
      <c r="I23" s="2">
        <v>103.3306</v>
      </c>
      <c r="J23" s="2">
        <v>143</v>
      </c>
      <c r="K23" s="2">
        <v>96.729200000000006</v>
      </c>
      <c r="L23" s="2">
        <v>64</v>
      </c>
      <c r="M23" s="2">
        <v>97.473799999999997</v>
      </c>
      <c r="N23" s="2">
        <v>78</v>
      </c>
      <c r="O23" s="2">
        <v>0.66173300000000002</v>
      </c>
      <c r="P23" s="2">
        <v>90</v>
      </c>
      <c r="Q23" s="10">
        <f t="shared" si="0"/>
        <v>5.8568000000000069</v>
      </c>
      <c r="R23" s="11">
        <f t="shared" si="1"/>
        <v>65</v>
      </c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 ht="12.3" x14ac:dyDescent="0.4">
      <c r="A24" s="2" t="s">
        <v>80</v>
      </c>
      <c r="B24" s="2">
        <v>5</v>
      </c>
      <c r="C24" s="2">
        <v>70.318100000000001</v>
      </c>
      <c r="D24" s="2">
        <v>10</v>
      </c>
      <c r="E24" s="2">
        <v>69.979600000000005</v>
      </c>
      <c r="F24" s="2">
        <v>9</v>
      </c>
      <c r="G24" s="2">
        <v>109.87739999999999</v>
      </c>
      <c r="H24" s="2">
        <v>36</v>
      </c>
      <c r="I24" s="2">
        <v>112.9615</v>
      </c>
      <c r="J24" s="2">
        <v>21</v>
      </c>
      <c r="K24" s="2">
        <v>99.305800000000005</v>
      </c>
      <c r="L24" s="2">
        <v>114</v>
      </c>
      <c r="M24" s="2">
        <v>97.691800000000001</v>
      </c>
      <c r="N24" s="2">
        <v>81</v>
      </c>
      <c r="O24" s="2">
        <v>0.84159399999999995</v>
      </c>
      <c r="P24" s="2">
        <v>29</v>
      </c>
      <c r="Q24" s="10">
        <f t="shared" si="0"/>
        <v>15.2697</v>
      </c>
      <c r="R24" s="11">
        <f t="shared" si="1"/>
        <v>60</v>
      </c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 ht="12.3" x14ac:dyDescent="0.4">
      <c r="A25" s="2" t="s">
        <v>55</v>
      </c>
      <c r="B25" s="2">
        <v>8</v>
      </c>
      <c r="C25" s="2">
        <v>64.474100000000007</v>
      </c>
      <c r="D25" s="2">
        <v>193</v>
      </c>
      <c r="E25" s="2">
        <v>64.434399999999997</v>
      </c>
      <c r="F25" s="2">
        <v>189</v>
      </c>
      <c r="G25" s="2">
        <v>108.15179999999999</v>
      </c>
      <c r="H25" s="2">
        <v>54</v>
      </c>
      <c r="I25" s="2">
        <v>111.4712</v>
      </c>
      <c r="J25" s="2">
        <v>30</v>
      </c>
      <c r="K25" s="2">
        <v>101.0564</v>
      </c>
      <c r="L25" s="2">
        <v>148</v>
      </c>
      <c r="M25" s="2">
        <v>98.203000000000003</v>
      </c>
      <c r="N25" s="2">
        <v>89</v>
      </c>
      <c r="O25" s="2">
        <v>0.81113400000000002</v>
      </c>
      <c r="P25" s="2">
        <v>38</v>
      </c>
      <c r="Q25" s="10">
        <f t="shared" si="0"/>
        <v>13.268199999999993</v>
      </c>
      <c r="R25" s="11">
        <f t="shared" si="1"/>
        <v>59</v>
      </c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ht="12.3" x14ac:dyDescent="0.4">
      <c r="A26" s="2" t="s">
        <v>34</v>
      </c>
      <c r="B26" s="2">
        <v>8</v>
      </c>
      <c r="C26" s="2">
        <v>59.401299999999999</v>
      </c>
      <c r="D26" s="2">
        <v>343</v>
      </c>
      <c r="E26" s="2">
        <v>59.9908</v>
      </c>
      <c r="F26" s="2">
        <v>341</v>
      </c>
      <c r="G26" s="2">
        <v>104.0583</v>
      </c>
      <c r="H26" s="2">
        <v>123</v>
      </c>
      <c r="I26" s="2">
        <v>106.6968</v>
      </c>
      <c r="J26" s="2">
        <v>76</v>
      </c>
      <c r="K26" s="2">
        <v>92.421599999999998</v>
      </c>
      <c r="L26" s="2">
        <v>13</v>
      </c>
      <c r="M26" s="2">
        <v>93.2851</v>
      </c>
      <c r="N26" s="2">
        <v>18</v>
      </c>
      <c r="O26" s="2">
        <v>0.82416299999999998</v>
      </c>
      <c r="P26" s="2">
        <v>34</v>
      </c>
      <c r="Q26" s="10">
        <f t="shared" si="0"/>
        <v>13.411699999999996</v>
      </c>
      <c r="R26" s="11">
        <f t="shared" si="1"/>
        <v>58</v>
      </c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ht="12.3" x14ac:dyDescent="0.4">
      <c r="A27" s="2" t="s">
        <v>18</v>
      </c>
      <c r="B27" s="2">
        <v>6</v>
      </c>
      <c r="C27" s="2">
        <v>64.577299999999994</v>
      </c>
      <c r="D27" s="2">
        <v>190</v>
      </c>
      <c r="E27" s="2">
        <v>63.750500000000002</v>
      </c>
      <c r="F27" s="2">
        <v>231</v>
      </c>
      <c r="G27" s="2">
        <v>106.5519</v>
      </c>
      <c r="H27" s="2">
        <v>74</v>
      </c>
      <c r="I27" s="2">
        <v>107.51990000000001</v>
      </c>
      <c r="J27" s="2">
        <v>67</v>
      </c>
      <c r="K27" s="2">
        <v>93.881299999999996</v>
      </c>
      <c r="L27" s="2">
        <v>22</v>
      </c>
      <c r="M27" s="2">
        <v>91.659199999999998</v>
      </c>
      <c r="N27" s="2">
        <v>10</v>
      </c>
      <c r="O27" s="2">
        <v>0.862402</v>
      </c>
      <c r="P27" s="2">
        <v>23</v>
      </c>
      <c r="Q27" s="10">
        <f t="shared" si="0"/>
        <v>15.860700000000008</v>
      </c>
      <c r="R27" s="11">
        <f t="shared" si="1"/>
        <v>57</v>
      </c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 ht="12.3" x14ac:dyDescent="0.4">
      <c r="A28" s="2" t="s">
        <v>32</v>
      </c>
      <c r="B28" s="2">
        <v>1</v>
      </c>
      <c r="C28" s="2">
        <v>66.573499999999996</v>
      </c>
      <c r="D28" s="2">
        <v>91</v>
      </c>
      <c r="E28" s="2">
        <v>66.236500000000007</v>
      </c>
      <c r="F28" s="2">
        <v>103</v>
      </c>
      <c r="G28" s="2">
        <v>120.49890000000001</v>
      </c>
      <c r="H28" s="2">
        <v>2</v>
      </c>
      <c r="I28" s="2">
        <v>122.0286</v>
      </c>
      <c r="J28" s="2">
        <v>3</v>
      </c>
      <c r="K28" s="2">
        <v>97.777900000000002</v>
      </c>
      <c r="L28" s="2">
        <v>80</v>
      </c>
      <c r="M28" s="2">
        <v>96.131299999999996</v>
      </c>
      <c r="N28" s="2">
        <v>57</v>
      </c>
      <c r="O28" s="2">
        <v>0.93952999999999998</v>
      </c>
      <c r="P28" s="2">
        <v>7</v>
      </c>
      <c r="Q28" s="10">
        <f t="shared" si="0"/>
        <v>25.897300000000001</v>
      </c>
      <c r="R28" s="11">
        <f t="shared" si="1"/>
        <v>54</v>
      </c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 ht="12.3" x14ac:dyDescent="0.4">
      <c r="A29" s="2" t="s">
        <v>152</v>
      </c>
      <c r="B29" s="2">
        <v>14</v>
      </c>
      <c r="C29" s="2">
        <v>64.316800000000001</v>
      </c>
      <c r="D29" s="2">
        <v>203</v>
      </c>
      <c r="E29" s="2">
        <v>63.297199999999997</v>
      </c>
      <c r="F29" s="2">
        <v>258</v>
      </c>
      <c r="G29" s="2">
        <v>108.6194</v>
      </c>
      <c r="H29" s="2">
        <v>48</v>
      </c>
      <c r="I29" s="2">
        <v>108.4051</v>
      </c>
      <c r="J29" s="2">
        <v>58</v>
      </c>
      <c r="K29" s="2">
        <v>95.783299999999997</v>
      </c>
      <c r="L29" s="2">
        <v>43</v>
      </c>
      <c r="M29" s="2">
        <v>99.227999999999994</v>
      </c>
      <c r="N29" s="2">
        <v>106</v>
      </c>
      <c r="O29" s="2">
        <v>0.73443199999999997</v>
      </c>
      <c r="P29" s="2">
        <v>71</v>
      </c>
      <c r="Q29" s="10">
        <f t="shared" si="0"/>
        <v>9.17710000000001</v>
      </c>
      <c r="R29" s="11">
        <f t="shared" si="1"/>
        <v>48</v>
      </c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 ht="12.3" x14ac:dyDescent="0.4">
      <c r="A30" s="2" t="s">
        <v>213</v>
      </c>
      <c r="B30" s="2">
        <v>12</v>
      </c>
      <c r="C30" s="2">
        <v>68.8703</v>
      </c>
      <c r="D30" s="2">
        <v>24</v>
      </c>
      <c r="E30" s="2">
        <v>69.258899999999997</v>
      </c>
      <c r="F30" s="2">
        <v>20</v>
      </c>
      <c r="G30" s="2">
        <v>108.9585</v>
      </c>
      <c r="H30" s="2">
        <v>45</v>
      </c>
      <c r="I30" s="2">
        <v>109.75109999999999</v>
      </c>
      <c r="J30" s="2">
        <v>47</v>
      </c>
      <c r="K30" s="2">
        <v>99.291399999999996</v>
      </c>
      <c r="L30" s="2">
        <v>113</v>
      </c>
      <c r="M30" s="2">
        <v>98.515000000000001</v>
      </c>
      <c r="N30" s="2">
        <v>94</v>
      </c>
      <c r="O30" s="2">
        <v>0.77592300000000003</v>
      </c>
      <c r="P30" s="2">
        <v>54</v>
      </c>
      <c r="Q30" s="10">
        <f t="shared" si="0"/>
        <v>11.236099999999993</v>
      </c>
      <c r="R30" s="11">
        <f t="shared" si="1"/>
        <v>47</v>
      </c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 ht="12.3" x14ac:dyDescent="0.4">
      <c r="A31" s="2" t="s">
        <v>19</v>
      </c>
      <c r="B31" s="2">
        <v>10</v>
      </c>
      <c r="C31" s="2">
        <v>64.773700000000005</v>
      </c>
      <c r="D31" s="2">
        <v>173</v>
      </c>
      <c r="E31" s="2">
        <v>64.1785</v>
      </c>
      <c r="F31" s="2">
        <v>201</v>
      </c>
      <c r="G31" s="2">
        <v>103.2958</v>
      </c>
      <c r="H31" s="2">
        <v>144</v>
      </c>
      <c r="I31" s="2">
        <v>107.01519999999999</v>
      </c>
      <c r="J31" s="2">
        <v>74</v>
      </c>
      <c r="K31" s="2">
        <v>96.905600000000007</v>
      </c>
      <c r="L31" s="2">
        <v>67</v>
      </c>
      <c r="M31" s="2">
        <v>93.9191</v>
      </c>
      <c r="N31" s="2">
        <v>28</v>
      </c>
      <c r="O31" s="2">
        <v>0.81775100000000001</v>
      </c>
      <c r="P31" s="2">
        <v>36</v>
      </c>
      <c r="Q31" s="10">
        <f t="shared" si="0"/>
        <v>13.096099999999993</v>
      </c>
      <c r="R31" s="11">
        <f t="shared" si="1"/>
        <v>46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 ht="12.3" x14ac:dyDescent="0.4">
      <c r="A32" s="2" t="s">
        <v>38</v>
      </c>
      <c r="B32" s="2">
        <v>3</v>
      </c>
      <c r="C32" s="2">
        <v>68.155199999999994</v>
      </c>
      <c r="D32" s="2">
        <v>39</v>
      </c>
      <c r="E32" s="2">
        <v>67.644900000000007</v>
      </c>
      <c r="F32" s="2">
        <v>44</v>
      </c>
      <c r="G32" s="2">
        <v>104.8258</v>
      </c>
      <c r="H32" s="2">
        <v>108</v>
      </c>
      <c r="I32" s="2">
        <v>109.3152</v>
      </c>
      <c r="J32" s="2">
        <v>50</v>
      </c>
      <c r="K32" s="2">
        <v>91.352400000000003</v>
      </c>
      <c r="L32" s="2">
        <v>12</v>
      </c>
      <c r="M32" s="2">
        <v>88.907799999999995</v>
      </c>
      <c r="N32" s="2">
        <v>5</v>
      </c>
      <c r="O32" s="2">
        <v>0.91500199999999998</v>
      </c>
      <c r="P32" s="2">
        <v>9</v>
      </c>
      <c r="Q32" s="10">
        <f t="shared" si="0"/>
        <v>20.40740000000001</v>
      </c>
      <c r="R32" s="11">
        <f t="shared" si="1"/>
        <v>45</v>
      </c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 ht="12.3" x14ac:dyDescent="0.4">
      <c r="A33" s="2" t="s">
        <v>325</v>
      </c>
      <c r="B33" s="2">
        <v>15</v>
      </c>
      <c r="C33" s="2">
        <v>64.5565</v>
      </c>
      <c r="D33" s="2">
        <v>191</v>
      </c>
      <c r="E33" s="2">
        <v>63.928699999999999</v>
      </c>
      <c r="F33" s="2">
        <v>221</v>
      </c>
      <c r="G33" s="2">
        <v>103.3623</v>
      </c>
      <c r="H33" s="2">
        <v>142</v>
      </c>
      <c r="I33" s="2">
        <v>101.67319999999999</v>
      </c>
      <c r="J33" s="2">
        <v>177</v>
      </c>
      <c r="K33" s="2">
        <v>102.42140000000001</v>
      </c>
      <c r="L33" s="2">
        <v>178</v>
      </c>
      <c r="M33" s="2">
        <v>104.902</v>
      </c>
      <c r="N33" s="2">
        <v>220</v>
      </c>
      <c r="O33" s="2">
        <v>0.41107300000000002</v>
      </c>
      <c r="P33" s="2">
        <v>207</v>
      </c>
      <c r="Q33" s="10">
        <f t="shared" si="0"/>
        <v>-3.2288000000000068</v>
      </c>
      <c r="R33" s="11">
        <f t="shared" si="1"/>
        <v>43</v>
      </c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 ht="12.3" x14ac:dyDescent="0.4">
      <c r="A34" s="2" t="s">
        <v>58</v>
      </c>
      <c r="B34" s="2">
        <v>7</v>
      </c>
      <c r="C34" s="2">
        <v>63.132599999999996</v>
      </c>
      <c r="D34" s="2">
        <v>267</v>
      </c>
      <c r="E34" s="2">
        <v>63.700499999999998</v>
      </c>
      <c r="F34" s="2">
        <v>235</v>
      </c>
      <c r="G34" s="2">
        <v>110.8472</v>
      </c>
      <c r="H34" s="2">
        <v>29</v>
      </c>
      <c r="I34" s="2">
        <v>114.1116</v>
      </c>
      <c r="J34" s="2">
        <v>14</v>
      </c>
      <c r="K34" s="2">
        <v>97.901899999999998</v>
      </c>
      <c r="L34" s="2">
        <v>83</v>
      </c>
      <c r="M34" s="2">
        <v>96.071799999999996</v>
      </c>
      <c r="N34" s="2">
        <v>53</v>
      </c>
      <c r="O34" s="2">
        <v>0.87856699999999999</v>
      </c>
      <c r="P34" s="2">
        <v>17</v>
      </c>
      <c r="Q34" s="10">
        <f t="shared" si="0"/>
        <v>18.0398</v>
      </c>
      <c r="R34" s="11">
        <f t="shared" si="1"/>
        <v>39</v>
      </c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 ht="12.3" x14ac:dyDescent="0.4">
      <c r="A35" s="2" t="s">
        <v>137</v>
      </c>
      <c r="B35" s="2">
        <v>7</v>
      </c>
      <c r="C35" s="2">
        <v>66.6751</v>
      </c>
      <c r="D35" s="2">
        <v>87</v>
      </c>
      <c r="E35" s="2">
        <v>67.088300000000004</v>
      </c>
      <c r="F35" s="2">
        <v>64</v>
      </c>
      <c r="G35" s="2">
        <v>106.5592</v>
      </c>
      <c r="H35" s="2">
        <v>73</v>
      </c>
      <c r="I35" s="2">
        <v>108.11839999999999</v>
      </c>
      <c r="J35" s="2">
        <v>61</v>
      </c>
      <c r="K35" s="2">
        <v>96.571399999999997</v>
      </c>
      <c r="L35" s="2">
        <v>59</v>
      </c>
      <c r="M35" s="2">
        <v>93.600399999999993</v>
      </c>
      <c r="N35" s="2">
        <v>23</v>
      </c>
      <c r="O35" s="2">
        <v>0.83999800000000002</v>
      </c>
      <c r="P35" s="2">
        <v>30</v>
      </c>
      <c r="Q35" s="10">
        <f t="shared" si="0"/>
        <v>14.518000000000001</v>
      </c>
      <c r="R35" s="11">
        <f t="shared" si="1"/>
        <v>38</v>
      </c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 ht="12.3" x14ac:dyDescent="0.4">
      <c r="A36" s="2" t="s">
        <v>85</v>
      </c>
      <c r="B36" s="2">
        <v>9</v>
      </c>
      <c r="C36" s="2">
        <v>69.757999999999996</v>
      </c>
      <c r="D36" s="2">
        <v>13</v>
      </c>
      <c r="E36" s="2">
        <v>69.774799999999999</v>
      </c>
      <c r="F36" s="2">
        <v>13</v>
      </c>
      <c r="G36" s="2">
        <v>103.49469999999999</v>
      </c>
      <c r="H36" s="2">
        <v>138</v>
      </c>
      <c r="I36" s="2">
        <v>106.8287</v>
      </c>
      <c r="J36" s="2">
        <v>75</v>
      </c>
      <c r="K36" s="2">
        <v>95.167500000000004</v>
      </c>
      <c r="L36" s="2">
        <v>36</v>
      </c>
      <c r="M36" s="2">
        <v>94.665899999999993</v>
      </c>
      <c r="N36" s="2">
        <v>37</v>
      </c>
      <c r="O36" s="2">
        <v>0.80059899999999995</v>
      </c>
      <c r="P36" s="2">
        <v>43</v>
      </c>
      <c r="Q36" s="10">
        <f t="shared" si="0"/>
        <v>12.162800000000004</v>
      </c>
      <c r="R36" s="11">
        <f t="shared" si="1"/>
        <v>38</v>
      </c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12.3" x14ac:dyDescent="0.4">
      <c r="A37" s="2" t="s">
        <v>339</v>
      </c>
      <c r="B37" s="2">
        <v>14</v>
      </c>
      <c r="C37" s="2">
        <v>61.230899999999998</v>
      </c>
      <c r="D37" s="2">
        <v>321</v>
      </c>
      <c r="E37" s="2">
        <v>61.329700000000003</v>
      </c>
      <c r="F37" s="2">
        <v>320</v>
      </c>
      <c r="G37" s="2">
        <v>106.7968</v>
      </c>
      <c r="H37" s="2">
        <v>67</v>
      </c>
      <c r="I37" s="2">
        <v>104.2175</v>
      </c>
      <c r="J37" s="2">
        <v>117</v>
      </c>
      <c r="K37" s="2">
        <v>98.084199999999996</v>
      </c>
      <c r="L37" s="2">
        <v>86</v>
      </c>
      <c r="M37" s="2">
        <v>101.7462</v>
      </c>
      <c r="N37" s="2">
        <v>155</v>
      </c>
      <c r="O37" s="2">
        <v>0.56856200000000001</v>
      </c>
      <c r="P37" s="2">
        <v>131</v>
      </c>
      <c r="Q37" s="10">
        <f t="shared" si="0"/>
        <v>2.4712999999999994</v>
      </c>
      <c r="R37" s="11">
        <f t="shared" si="1"/>
        <v>38</v>
      </c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12.3" x14ac:dyDescent="0.4">
      <c r="A38" s="2" t="s">
        <v>64</v>
      </c>
      <c r="B38" s="2">
        <v>11</v>
      </c>
      <c r="C38" s="2">
        <v>64.366</v>
      </c>
      <c r="D38" s="2">
        <v>199</v>
      </c>
      <c r="E38" s="2">
        <v>63.979500000000002</v>
      </c>
      <c r="F38" s="2">
        <v>214</v>
      </c>
      <c r="G38" s="2">
        <v>105.5587</v>
      </c>
      <c r="H38" s="2">
        <v>93</v>
      </c>
      <c r="I38" s="2">
        <v>107.1481</v>
      </c>
      <c r="J38" s="2">
        <v>73</v>
      </c>
      <c r="K38" s="2">
        <v>94.128699999999995</v>
      </c>
      <c r="L38" s="2">
        <v>24</v>
      </c>
      <c r="M38" s="2">
        <v>94.681200000000004</v>
      </c>
      <c r="N38" s="2">
        <v>38</v>
      </c>
      <c r="O38" s="2">
        <v>0.80573099999999998</v>
      </c>
      <c r="P38" s="2">
        <v>40</v>
      </c>
      <c r="Q38" s="10">
        <f t="shared" si="0"/>
        <v>12.466899999999995</v>
      </c>
      <c r="R38" s="11">
        <f t="shared" si="1"/>
        <v>35</v>
      </c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 ht="12.3" x14ac:dyDescent="0.4">
      <c r="A39" s="2" t="s">
        <v>168</v>
      </c>
      <c r="B39" s="2">
        <v>4</v>
      </c>
      <c r="C39" s="2">
        <v>69.453699999999998</v>
      </c>
      <c r="D39" s="2">
        <v>15</v>
      </c>
      <c r="E39" s="2">
        <v>69.958100000000002</v>
      </c>
      <c r="F39" s="2">
        <v>10</v>
      </c>
      <c r="G39" s="2">
        <v>111.20740000000001</v>
      </c>
      <c r="H39" s="2">
        <v>27</v>
      </c>
      <c r="I39" s="2">
        <v>115.2564</v>
      </c>
      <c r="J39" s="2">
        <v>12</v>
      </c>
      <c r="K39" s="2">
        <v>98.121600000000001</v>
      </c>
      <c r="L39" s="2">
        <v>87</v>
      </c>
      <c r="M39" s="2">
        <v>95.036600000000007</v>
      </c>
      <c r="N39" s="2">
        <v>45</v>
      </c>
      <c r="O39" s="2">
        <v>0.90188199999999996</v>
      </c>
      <c r="P39" s="2">
        <v>16</v>
      </c>
      <c r="Q39" s="10">
        <f t="shared" si="0"/>
        <v>20.219799999999992</v>
      </c>
      <c r="R39" s="11">
        <f t="shared" si="1"/>
        <v>33</v>
      </c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 ht="12.3" x14ac:dyDescent="0.4">
      <c r="A40" s="2" t="s">
        <v>118</v>
      </c>
      <c r="B40" s="2">
        <v>15</v>
      </c>
      <c r="C40" s="2">
        <v>62.7971</v>
      </c>
      <c r="D40" s="2">
        <v>281</v>
      </c>
      <c r="E40" s="2">
        <v>63.728200000000001</v>
      </c>
      <c r="F40" s="2">
        <v>233</v>
      </c>
      <c r="G40" s="2">
        <v>107.3347</v>
      </c>
      <c r="H40" s="2">
        <v>61</v>
      </c>
      <c r="I40" s="2">
        <v>104.06180000000001</v>
      </c>
      <c r="J40" s="2">
        <v>120</v>
      </c>
      <c r="K40" s="2">
        <v>94.170599999999993</v>
      </c>
      <c r="L40" s="2">
        <v>25</v>
      </c>
      <c r="M40" s="2">
        <v>97.947000000000003</v>
      </c>
      <c r="N40" s="2">
        <v>87</v>
      </c>
      <c r="O40" s="2">
        <v>0.66739300000000001</v>
      </c>
      <c r="P40" s="2">
        <v>88</v>
      </c>
      <c r="Q40" s="10">
        <f t="shared" si="0"/>
        <v>6.1148000000000025</v>
      </c>
      <c r="R40" s="11">
        <f t="shared" si="1"/>
        <v>33</v>
      </c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 ht="12.3" x14ac:dyDescent="0.4">
      <c r="A41" s="2" t="s">
        <v>65</v>
      </c>
      <c r="B41" s="2">
        <v>11</v>
      </c>
      <c r="C41" s="2">
        <v>67.521600000000007</v>
      </c>
      <c r="D41" s="2">
        <v>60</v>
      </c>
      <c r="E41" s="2">
        <v>66.040800000000004</v>
      </c>
      <c r="F41" s="2">
        <v>111</v>
      </c>
      <c r="G41" s="2">
        <v>105.51690000000001</v>
      </c>
      <c r="H41" s="2">
        <v>95</v>
      </c>
      <c r="I41" s="2">
        <v>110.1957</v>
      </c>
      <c r="J41" s="2">
        <v>45</v>
      </c>
      <c r="K41" s="2">
        <v>100.3759</v>
      </c>
      <c r="L41" s="2">
        <v>132</v>
      </c>
      <c r="M41" s="2">
        <v>97.382400000000004</v>
      </c>
      <c r="N41" s="2">
        <v>76</v>
      </c>
      <c r="O41" s="2">
        <v>0.80557999999999996</v>
      </c>
      <c r="P41" s="2">
        <v>41</v>
      </c>
      <c r="Q41" s="10">
        <f t="shared" si="0"/>
        <v>12.813299999999998</v>
      </c>
      <c r="R41" s="11">
        <f t="shared" si="1"/>
        <v>31</v>
      </c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 ht="12.3" x14ac:dyDescent="0.4">
      <c r="A42" s="2" t="s">
        <v>110</v>
      </c>
      <c r="B42" s="2">
        <v>13</v>
      </c>
      <c r="C42" s="2">
        <v>64.040499999999994</v>
      </c>
      <c r="D42" s="2">
        <v>221</v>
      </c>
      <c r="E42" s="2">
        <v>63.725900000000003</v>
      </c>
      <c r="F42" s="2">
        <v>234</v>
      </c>
      <c r="G42" s="2">
        <v>103.69370000000001</v>
      </c>
      <c r="H42" s="2">
        <v>133</v>
      </c>
      <c r="I42" s="2">
        <v>103.9436</v>
      </c>
      <c r="J42" s="2">
        <v>123</v>
      </c>
      <c r="K42" s="2">
        <v>98.204400000000007</v>
      </c>
      <c r="L42" s="2">
        <v>90</v>
      </c>
      <c r="M42" s="2">
        <v>98.272199999999998</v>
      </c>
      <c r="N42" s="2">
        <v>92</v>
      </c>
      <c r="O42" s="2">
        <v>0.65593599999999996</v>
      </c>
      <c r="P42" s="2">
        <v>94</v>
      </c>
      <c r="Q42" s="10">
        <f t="shared" si="0"/>
        <v>5.6714000000000055</v>
      </c>
      <c r="R42" s="11">
        <f t="shared" si="1"/>
        <v>31</v>
      </c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 ht="12.3" x14ac:dyDescent="0.4">
      <c r="A43" s="2" t="s">
        <v>35</v>
      </c>
      <c r="B43" s="2">
        <v>2</v>
      </c>
      <c r="C43" s="2">
        <v>66.792400000000001</v>
      </c>
      <c r="D43" s="2">
        <v>82</v>
      </c>
      <c r="E43" s="2">
        <v>67.438199999999995</v>
      </c>
      <c r="F43" s="2">
        <v>55</v>
      </c>
      <c r="G43" s="2">
        <v>106.3417</v>
      </c>
      <c r="H43" s="2">
        <v>80</v>
      </c>
      <c r="I43" s="2">
        <v>110.7779</v>
      </c>
      <c r="J43" s="2">
        <v>37</v>
      </c>
      <c r="K43" s="2">
        <v>96.674999999999997</v>
      </c>
      <c r="L43" s="2">
        <v>62</v>
      </c>
      <c r="M43" s="2">
        <v>90.479600000000005</v>
      </c>
      <c r="N43" s="2">
        <v>7</v>
      </c>
      <c r="O43" s="2">
        <v>0.91113900000000003</v>
      </c>
      <c r="P43" s="2">
        <v>11</v>
      </c>
      <c r="Q43" s="10">
        <f t="shared" si="0"/>
        <v>20.298299999999998</v>
      </c>
      <c r="R43" s="11">
        <f t="shared" si="1"/>
        <v>30</v>
      </c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 ht="12.3" x14ac:dyDescent="0.4">
      <c r="A44" s="2" t="s">
        <v>76</v>
      </c>
      <c r="B44" s="2">
        <v>1</v>
      </c>
      <c r="C44" s="2">
        <v>59.265599999999999</v>
      </c>
      <c r="D44" s="2">
        <v>345</v>
      </c>
      <c r="E44" s="2">
        <v>58.743299999999998</v>
      </c>
      <c r="F44" s="2">
        <v>347</v>
      </c>
      <c r="G44" s="2">
        <v>120.4953</v>
      </c>
      <c r="H44" s="2">
        <v>3</v>
      </c>
      <c r="I44" s="2">
        <v>124.69499999999999</v>
      </c>
      <c r="J44" s="2">
        <v>1</v>
      </c>
      <c r="K44" s="2">
        <v>94.464600000000004</v>
      </c>
      <c r="L44" s="2">
        <v>27</v>
      </c>
      <c r="M44" s="2">
        <v>94.260499999999993</v>
      </c>
      <c r="N44" s="2">
        <v>30</v>
      </c>
      <c r="O44" s="2">
        <v>0.96149799999999996</v>
      </c>
      <c r="P44" s="2">
        <v>3</v>
      </c>
      <c r="Q44" s="10">
        <f t="shared" si="0"/>
        <v>30.4345</v>
      </c>
      <c r="R44" s="11">
        <f t="shared" si="1"/>
        <v>29</v>
      </c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 ht="12.3" x14ac:dyDescent="0.4">
      <c r="A45" s="2" t="s">
        <v>334</v>
      </c>
      <c r="B45" s="2">
        <v>16</v>
      </c>
      <c r="C45" s="2">
        <v>64.762100000000004</v>
      </c>
      <c r="D45" s="2">
        <v>174</v>
      </c>
      <c r="E45" s="2">
        <v>64.417000000000002</v>
      </c>
      <c r="F45" s="2">
        <v>190</v>
      </c>
      <c r="G45" s="2">
        <v>109.07940000000001</v>
      </c>
      <c r="H45" s="2">
        <v>43</v>
      </c>
      <c r="I45" s="2">
        <v>103.5363</v>
      </c>
      <c r="J45" s="2">
        <v>136</v>
      </c>
      <c r="K45" s="2">
        <v>99.710400000000007</v>
      </c>
      <c r="L45" s="2">
        <v>119</v>
      </c>
      <c r="M45" s="2">
        <v>102.2055</v>
      </c>
      <c r="N45" s="2">
        <v>164</v>
      </c>
      <c r="O45" s="2">
        <v>0.53712300000000002</v>
      </c>
      <c r="P45" s="2">
        <v>148</v>
      </c>
      <c r="Q45" s="10">
        <f t="shared" si="0"/>
        <v>1.3307999999999964</v>
      </c>
      <c r="R45" s="11">
        <f t="shared" si="1"/>
        <v>28</v>
      </c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 ht="12.3" x14ac:dyDescent="0.4">
      <c r="A46" s="2" t="s">
        <v>50</v>
      </c>
      <c r="B46" s="2">
        <v>6</v>
      </c>
      <c r="C46" s="2">
        <v>66.031800000000004</v>
      </c>
      <c r="D46" s="2">
        <v>118</v>
      </c>
      <c r="E46" s="2">
        <v>65.672200000000004</v>
      </c>
      <c r="F46" s="2">
        <v>128</v>
      </c>
      <c r="G46" s="2">
        <v>109.35080000000001</v>
      </c>
      <c r="H46" s="2">
        <v>40</v>
      </c>
      <c r="I46" s="2">
        <v>111.88639999999999</v>
      </c>
      <c r="J46" s="2">
        <v>28</v>
      </c>
      <c r="K46" s="2">
        <v>100.52809999999999</v>
      </c>
      <c r="L46" s="2">
        <v>135</v>
      </c>
      <c r="M46" s="2">
        <v>96.102900000000005</v>
      </c>
      <c r="N46" s="2">
        <v>55</v>
      </c>
      <c r="O46" s="2">
        <v>0.85179300000000002</v>
      </c>
      <c r="P46" s="2">
        <v>26</v>
      </c>
      <c r="Q46" s="10">
        <f t="shared" si="0"/>
        <v>15.783499999999989</v>
      </c>
      <c r="R46" s="11">
        <f t="shared" si="1"/>
        <v>27</v>
      </c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 ht="12.3" x14ac:dyDescent="0.4">
      <c r="A47" s="2" t="s">
        <v>87</v>
      </c>
      <c r="B47" s="2">
        <v>2</v>
      </c>
      <c r="C47" s="2">
        <v>58.496299999999998</v>
      </c>
      <c r="D47" s="2">
        <v>347</v>
      </c>
      <c r="E47" s="2">
        <v>58.158000000000001</v>
      </c>
      <c r="F47" s="2">
        <v>349</v>
      </c>
      <c r="G47" s="2">
        <v>110.6799</v>
      </c>
      <c r="H47" s="2">
        <v>31</v>
      </c>
      <c r="I47" s="2">
        <v>112.22499999999999</v>
      </c>
      <c r="J47" s="2">
        <v>27</v>
      </c>
      <c r="K47" s="2">
        <v>85.616200000000006</v>
      </c>
      <c r="L47" s="2">
        <v>2</v>
      </c>
      <c r="M47" s="2">
        <v>85.371399999999994</v>
      </c>
      <c r="N47" s="2">
        <v>1</v>
      </c>
      <c r="O47" s="2">
        <v>0.95871899999999999</v>
      </c>
      <c r="P47" s="2">
        <v>4</v>
      </c>
      <c r="Q47" s="10">
        <f t="shared" si="0"/>
        <v>26.8536</v>
      </c>
      <c r="R47" s="11">
        <f t="shared" si="1"/>
        <v>26</v>
      </c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 ht="12.3" x14ac:dyDescent="0.4">
      <c r="A48" s="2" t="s">
        <v>67</v>
      </c>
      <c r="B48" s="2">
        <v>11</v>
      </c>
      <c r="C48" s="2">
        <v>63.084699999999998</v>
      </c>
      <c r="D48" s="2">
        <v>269</v>
      </c>
      <c r="E48" s="2">
        <v>62.279299999999999</v>
      </c>
      <c r="F48" s="2">
        <v>294</v>
      </c>
      <c r="G48" s="2">
        <v>106.4896</v>
      </c>
      <c r="H48" s="2">
        <v>77</v>
      </c>
      <c r="I48" s="2">
        <v>110.2882</v>
      </c>
      <c r="J48" s="2">
        <v>42</v>
      </c>
      <c r="K48" s="2">
        <v>94.586500000000001</v>
      </c>
      <c r="L48" s="2">
        <v>28</v>
      </c>
      <c r="M48" s="2">
        <v>93.307100000000005</v>
      </c>
      <c r="N48" s="2">
        <v>19</v>
      </c>
      <c r="O48" s="2">
        <v>0.87245200000000001</v>
      </c>
      <c r="P48" s="2">
        <v>20</v>
      </c>
      <c r="Q48" s="10">
        <f t="shared" si="0"/>
        <v>16.981099999999998</v>
      </c>
      <c r="R48" s="11">
        <f t="shared" si="1"/>
        <v>23</v>
      </c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 ht="12.3" x14ac:dyDescent="0.4">
      <c r="A49" s="2" t="s">
        <v>307</v>
      </c>
      <c r="B49" s="2">
        <v>16</v>
      </c>
      <c r="C49" s="2">
        <v>66.733500000000006</v>
      </c>
      <c r="D49" s="2">
        <v>85</v>
      </c>
      <c r="E49" s="2">
        <v>65.608199999999997</v>
      </c>
      <c r="F49" s="2">
        <v>131</v>
      </c>
      <c r="G49" s="2">
        <v>103.0624</v>
      </c>
      <c r="H49" s="2">
        <v>151</v>
      </c>
      <c r="I49" s="2">
        <v>101.0371</v>
      </c>
      <c r="J49" s="2">
        <v>191</v>
      </c>
      <c r="K49" s="2">
        <v>100.7603</v>
      </c>
      <c r="L49" s="2">
        <v>142</v>
      </c>
      <c r="M49" s="2">
        <v>102.3443</v>
      </c>
      <c r="N49" s="2">
        <v>169</v>
      </c>
      <c r="O49" s="2">
        <v>0.46310800000000002</v>
      </c>
      <c r="P49" s="2">
        <v>173</v>
      </c>
      <c r="Q49" s="10">
        <f t="shared" si="0"/>
        <v>-1.3072000000000088</v>
      </c>
      <c r="R49" s="11">
        <f t="shared" si="1"/>
        <v>22</v>
      </c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 ht="12.3" x14ac:dyDescent="0.4">
      <c r="A50" s="2" t="s">
        <v>158</v>
      </c>
      <c r="B50" s="2">
        <v>3</v>
      </c>
      <c r="C50" s="2">
        <v>62.660200000000003</v>
      </c>
      <c r="D50" s="2">
        <v>286</v>
      </c>
      <c r="E50" s="2">
        <v>62.177300000000002</v>
      </c>
      <c r="F50" s="2">
        <v>296</v>
      </c>
      <c r="G50" s="2">
        <v>109.56440000000001</v>
      </c>
      <c r="H50" s="2">
        <v>38</v>
      </c>
      <c r="I50" s="2">
        <v>114.8484</v>
      </c>
      <c r="J50" s="2">
        <v>13</v>
      </c>
      <c r="K50" s="2">
        <v>95.708500000000001</v>
      </c>
      <c r="L50" s="2">
        <v>41</v>
      </c>
      <c r="M50" s="2">
        <v>94.519000000000005</v>
      </c>
      <c r="N50" s="2">
        <v>33</v>
      </c>
      <c r="O50" s="2">
        <v>0.90381299999999998</v>
      </c>
      <c r="P50" s="2">
        <v>15</v>
      </c>
      <c r="Q50" s="10">
        <f t="shared" si="0"/>
        <v>20.329399999999993</v>
      </c>
      <c r="R50" s="11">
        <f t="shared" si="1"/>
        <v>20</v>
      </c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 ht="12.3" x14ac:dyDescent="0.4">
      <c r="A51" s="2" t="s">
        <v>36</v>
      </c>
      <c r="B51" s="2">
        <v>4</v>
      </c>
      <c r="C51" s="2">
        <v>64.756799999999998</v>
      </c>
      <c r="D51" s="2">
        <v>176</v>
      </c>
      <c r="E51" s="2">
        <v>64.447199999999995</v>
      </c>
      <c r="F51" s="2">
        <v>184</v>
      </c>
      <c r="G51" s="2">
        <v>106.60509999999999</v>
      </c>
      <c r="H51" s="2">
        <v>70</v>
      </c>
      <c r="I51" s="2">
        <v>108.5398</v>
      </c>
      <c r="J51" s="2">
        <v>56</v>
      </c>
      <c r="K51" s="2">
        <v>97.330200000000005</v>
      </c>
      <c r="L51" s="2">
        <v>74</v>
      </c>
      <c r="M51" s="2">
        <v>94.622900000000001</v>
      </c>
      <c r="N51" s="2">
        <v>36</v>
      </c>
      <c r="O51" s="2">
        <v>0.82892100000000002</v>
      </c>
      <c r="P51" s="2">
        <v>33</v>
      </c>
      <c r="Q51" s="10">
        <f t="shared" si="0"/>
        <v>13.916899999999998</v>
      </c>
      <c r="R51" s="11">
        <f t="shared" si="1"/>
        <v>20</v>
      </c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 ht="12.3" x14ac:dyDescent="0.4">
      <c r="A52" s="2" t="s">
        <v>140</v>
      </c>
      <c r="B52" s="2">
        <v>6</v>
      </c>
      <c r="C52" s="2">
        <v>62.933100000000003</v>
      </c>
      <c r="D52" s="2">
        <v>275</v>
      </c>
      <c r="E52" s="2">
        <v>63.799599999999998</v>
      </c>
      <c r="F52" s="2">
        <v>226</v>
      </c>
      <c r="G52" s="2">
        <v>109.9414</v>
      </c>
      <c r="H52" s="2">
        <v>33</v>
      </c>
      <c r="I52" s="2">
        <v>112.30929999999999</v>
      </c>
      <c r="J52" s="2">
        <v>24</v>
      </c>
      <c r="K52" s="2">
        <v>94.651300000000006</v>
      </c>
      <c r="L52" s="2">
        <v>30</v>
      </c>
      <c r="M52" s="2">
        <v>94.944400000000002</v>
      </c>
      <c r="N52" s="2">
        <v>43</v>
      </c>
      <c r="O52" s="2">
        <v>0.87342600000000004</v>
      </c>
      <c r="P52" s="2">
        <v>19</v>
      </c>
      <c r="Q52" s="10">
        <f t="shared" si="0"/>
        <v>17.364899999999992</v>
      </c>
      <c r="R52" s="11">
        <f t="shared" si="1"/>
        <v>19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 ht="12.3" x14ac:dyDescent="0.4">
      <c r="A53" s="2" t="s">
        <v>62</v>
      </c>
      <c r="B53" s="2">
        <v>4</v>
      </c>
      <c r="C53" s="2">
        <v>64.674599999999998</v>
      </c>
      <c r="D53" s="2">
        <v>180</v>
      </c>
      <c r="E53" s="2">
        <v>64.438999999999993</v>
      </c>
      <c r="F53" s="2">
        <v>187</v>
      </c>
      <c r="G53" s="2">
        <v>107.5475</v>
      </c>
      <c r="H53" s="2">
        <v>59</v>
      </c>
      <c r="I53" s="2">
        <v>110.29600000000001</v>
      </c>
      <c r="J53" s="2">
        <v>41</v>
      </c>
      <c r="K53" s="2">
        <v>98.203100000000006</v>
      </c>
      <c r="L53" s="2">
        <v>89</v>
      </c>
      <c r="M53" s="2">
        <v>93.704999999999998</v>
      </c>
      <c r="N53" s="2">
        <v>25</v>
      </c>
      <c r="O53" s="2">
        <v>0.86699899999999996</v>
      </c>
      <c r="P53" s="2">
        <v>22</v>
      </c>
      <c r="Q53" s="10">
        <f t="shared" si="0"/>
        <v>16.591000000000008</v>
      </c>
      <c r="R53" s="11">
        <f t="shared" si="1"/>
        <v>16</v>
      </c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 ht="12.3" x14ac:dyDescent="0.4">
      <c r="A54" s="2" t="s">
        <v>212</v>
      </c>
      <c r="B54" s="2">
        <v>11</v>
      </c>
      <c r="C54" s="2">
        <v>62.3307</v>
      </c>
      <c r="D54" s="2">
        <v>295</v>
      </c>
      <c r="E54" s="2">
        <v>63.736899999999999</v>
      </c>
      <c r="F54" s="2">
        <v>232</v>
      </c>
      <c r="G54" s="2">
        <v>109.92400000000001</v>
      </c>
      <c r="H54" s="2">
        <v>34</v>
      </c>
      <c r="I54" s="2">
        <v>109.42149999999999</v>
      </c>
      <c r="J54" s="2">
        <v>48</v>
      </c>
      <c r="K54" s="2">
        <v>95.963899999999995</v>
      </c>
      <c r="L54" s="2">
        <v>45</v>
      </c>
      <c r="M54" s="2">
        <v>96.506699999999995</v>
      </c>
      <c r="N54" s="2">
        <v>64</v>
      </c>
      <c r="O54" s="2">
        <v>0.80912499999999998</v>
      </c>
      <c r="P54" s="2">
        <v>39</v>
      </c>
      <c r="Q54" s="10">
        <f t="shared" si="0"/>
        <v>12.9148</v>
      </c>
      <c r="R54" s="11">
        <f t="shared" si="1"/>
        <v>16</v>
      </c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 ht="12.3" x14ac:dyDescent="0.4">
      <c r="A55" s="2" t="s">
        <v>47</v>
      </c>
      <c r="B55" s="2">
        <v>2</v>
      </c>
      <c r="C55" s="2">
        <v>64.950900000000004</v>
      </c>
      <c r="D55" s="2">
        <v>162</v>
      </c>
      <c r="E55" s="2">
        <v>65.060500000000005</v>
      </c>
      <c r="F55" s="2">
        <v>153</v>
      </c>
      <c r="G55" s="2">
        <v>120.00660000000001</v>
      </c>
      <c r="H55" s="2">
        <v>4</v>
      </c>
      <c r="I55" s="2">
        <v>119.4414</v>
      </c>
      <c r="J55" s="2">
        <v>6</v>
      </c>
      <c r="K55" s="2">
        <v>93.631100000000004</v>
      </c>
      <c r="L55" s="2">
        <v>19</v>
      </c>
      <c r="M55" s="2">
        <v>93.431299999999993</v>
      </c>
      <c r="N55" s="2">
        <v>20</v>
      </c>
      <c r="O55" s="2">
        <v>0.94398000000000004</v>
      </c>
      <c r="P55" s="2">
        <v>6</v>
      </c>
      <c r="Q55" s="10">
        <f t="shared" si="0"/>
        <v>26.010100000000008</v>
      </c>
      <c r="R55" s="11">
        <f t="shared" si="1"/>
        <v>14</v>
      </c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12.3" x14ac:dyDescent="0.4">
      <c r="A56" s="2" t="s">
        <v>229</v>
      </c>
      <c r="B56" s="2">
        <v>5</v>
      </c>
      <c r="C56" s="2">
        <v>69.122699999999995</v>
      </c>
      <c r="D56" s="2">
        <v>21</v>
      </c>
      <c r="E56" s="2">
        <v>68.691299999999998</v>
      </c>
      <c r="F56" s="2">
        <v>26</v>
      </c>
      <c r="G56" s="2">
        <v>106.45229999999999</v>
      </c>
      <c r="H56" s="2">
        <v>78</v>
      </c>
      <c r="I56" s="2">
        <v>111.2441</v>
      </c>
      <c r="J56" s="2">
        <v>33</v>
      </c>
      <c r="K56" s="2">
        <v>96.350499999999997</v>
      </c>
      <c r="L56" s="2">
        <v>52</v>
      </c>
      <c r="M56" s="2">
        <v>95.414500000000004</v>
      </c>
      <c r="N56" s="2">
        <v>47</v>
      </c>
      <c r="O56" s="2">
        <v>0.85385999999999995</v>
      </c>
      <c r="P56" s="2">
        <v>25</v>
      </c>
      <c r="Q56" s="10">
        <f t="shared" si="0"/>
        <v>15.829599999999999</v>
      </c>
      <c r="R56" s="11">
        <f t="shared" si="1"/>
        <v>14</v>
      </c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 ht="12.3" x14ac:dyDescent="0.4">
      <c r="A57" s="2" t="s">
        <v>121</v>
      </c>
      <c r="B57" s="2">
        <v>9</v>
      </c>
      <c r="C57" s="2">
        <v>65.047399999999996</v>
      </c>
      <c r="D57" s="2">
        <v>159</v>
      </c>
      <c r="E57" s="2">
        <v>64.540499999999994</v>
      </c>
      <c r="F57" s="2">
        <v>180</v>
      </c>
      <c r="G57" s="2">
        <v>106.5732</v>
      </c>
      <c r="H57" s="2">
        <v>71</v>
      </c>
      <c r="I57" s="2">
        <v>108.4853</v>
      </c>
      <c r="J57" s="2">
        <v>57</v>
      </c>
      <c r="K57" s="2">
        <v>98.530299999999997</v>
      </c>
      <c r="L57" s="2">
        <v>95</v>
      </c>
      <c r="M57" s="2">
        <v>97.056399999999996</v>
      </c>
      <c r="N57" s="2">
        <v>69</v>
      </c>
      <c r="O57" s="2">
        <v>0.78248499999999999</v>
      </c>
      <c r="P57" s="2">
        <v>49</v>
      </c>
      <c r="Q57" s="10">
        <f t="shared" si="0"/>
        <v>11.428899999999999</v>
      </c>
      <c r="R57" s="11">
        <f t="shared" si="1"/>
        <v>12</v>
      </c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 ht="12.3" x14ac:dyDescent="0.4">
      <c r="A58" s="2" t="s">
        <v>21</v>
      </c>
      <c r="B58" s="2">
        <v>10</v>
      </c>
      <c r="C58" s="2">
        <v>66.177800000000005</v>
      </c>
      <c r="D58" s="2">
        <v>108</v>
      </c>
      <c r="E58" s="2">
        <v>66.353399999999993</v>
      </c>
      <c r="F58" s="2">
        <v>96</v>
      </c>
      <c r="G58" s="2">
        <v>113.80029999999999</v>
      </c>
      <c r="H58" s="2">
        <v>14</v>
      </c>
      <c r="I58" s="2">
        <v>111.6073</v>
      </c>
      <c r="J58" s="2">
        <v>29</v>
      </c>
      <c r="K58" s="2">
        <v>94.655000000000001</v>
      </c>
      <c r="L58" s="2">
        <v>31</v>
      </c>
      <c r="M58" s="2">
        <v>94.745500000000007</v>
      </c>
      <c r="N58" s="2">
        <v>40</v>
      </c>
      <c r="O58" s="2">
        <v>0.86802500000000005</v>
      </c>
      <c r="P58" s="2">
        <v>21</v>
      </c>
      <c r="Q58" s="10">
        <f t="shared" si="0"/>
        <v>16.861799999999988</v>
      </c>
      <c r="R58" s="11">
        <f t="shared" si="1"/>
        <v>11</v>
      </c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12.3" x14ac:dyDescent="0.4">
      <c r="A59" s="2" t="s">
        <v>102</v>
      </c>
      <c r="B59" s="2">
        <v>9</v>
      </c>
      <c r="C59" s="2">
        <v>67.391999999999996</v>
      </c>
      <c r="D59" s="2">
        <v>64</v>
      </c>
      <c r="E59" s="2">
        <v>67.1036</v>
      </c>
      <c r="F59" s="2">
        <v>61</v>
      </c>
      <c r="G59" s="2">
        <v>104.3664</v>
      </c>
      <c r="H59" s="2">
        <v>117</v>
      </c>
      <c r="I59" s="2">
        <v>108.0677</v>
      </c>
      <c r="J59" s="2">
        <v>62</v>
      </c>
      <c r="K59" s="2">
        <v>99.385199999999998</v>
      </c>
      <c r="L59" s="2">
        <v>115</v>
      </c>
      <c r="M59" s="2">
        <v>95.694500000000005</v>
      </c>
      <c r="N59" s="2">
        <v>51</v>
      </c>
      <c r="O59" s="2">
        <v>0.801925</v>
      </c>
      <c r="P59" s="2">
        <v>42</v>
      </c>
      <c r="Q59" s="10">
        <f t="shared" si="0"/>
        <v>12.373199999999997</v>
      </c>
      <c r="R59" s="11">
        <f t="shared" si="1"/>
        <v>11</v>
      </c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 ht="12.3" x14ac:dyDescent="0.4">
      <c r="A60" s="2" t="s">
        <v>70</v>
      </c>
      <c r="B60" s="2">
        <v>5</v>
      </c>
      <c r="C60" s="2">
        <v>62.686500000000002</v>
      </c>
      <c r="D60" s="2">
        <v>284</v>
      </c>
      <c r="E60" s="2">
        <v>61.168500000000002</v>
      </c>
      <c r="F60" s="2">
        <v>322</v>
      </c>
      <c r="G60" s="2">
        <v>113.6498</v>
      </c>
      <c r="H60" s="2">
        <v>16</v>
      </c>
      <c r="I60" s="2">
        <v>113.0478</v>
      </c>
      <c r="J60" s="2">
        <v>18</v>
      </c>
      <c r="K60" s="2">
        <v>91.083799999999997</v>
      </c>
      <c r="L60" s="2">
        <v>10</v>
      </c>
      <c r="M60" s="2">
        <v>90.569100000000006</v>
      </c>
      <c r="N60" s="2">
        <v>8</v>
      </c>
      <c r="O60" s="2">
        <v>0.92754199999999998</v>
      </c>
      <c r="P60" s="2">
        <v>8</v>
      </c>
      <c r="Q60" s="10">
        <f t="shared" si="0"/>
        <v>22.478699999999989</v>
      </c>
      <c r="R60" s="11">
        <f t="shared" si="1"/>
        <v>10</v>
      </c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 ht="12.3" x14ac:dyDescent="0.4">
      <c r="A61" s="2" t="s">
        <v>120</v>
      </c>
      <c r="B61" s="2">
        <v>6</v>
      </c>
      <c r="C61" s="2">
        <v>65.701300000000003</v>
      </c>
      <c r="D61" s="2">
        <v>131</v>
      </c>
      <c r="E61" s="2">
        <v>65.740300000000005</v>
      </c>
      <c r="F61" s="2">
        <v>125</v>
      </c>
      <c r="G61" s="2">
        <v>106.0313</v>
      </c>
      <c r="H61" s="2">
        <v>85</v>
      </c>
      <c r="I61" s="2">
        <v>110.7193</v>
      </c>
      <c r="J61" s="2">
        <v>38</v>
      </c>
      <c r="K61" s="2">
        <v>99.275999999999996</v>
      </c>
      <c r="L61" s="2">
        <v>112</v>
      </c>
      <c r="M61" s="2">
        <v>95.485200000000006</v>
      </c>
      <c r="N61" s="2">
        <v>48</v>
      </c>
      <c r="O61" s="2">
        <v>0.84583600000000003</v>
      </c>
      <c r="P61" s="2">
        <v>28</v>
      </c>
      <c r="Q61" s="10">
        <f t="shared" si="0"/>
        <v>15.234099999999998</v>
      </c>
      <c r="R61" s="11">
        <f t="shared" si="1"/>
        <v>10</v>
      </c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 ht="12.3" x14ac:dyDescent="0.4">
      <c r="A62" s="2" t="s">
        <v>78</v>
      </c>
      <c r="B62" s="2">
        <v>1</v>
      </c>
      <c r="C62" s="2">
        <v>65.056799999999996</v>
      </c>
      <c r="D62" s="2">
        <v>158</v>
      </c>
      <c r="E62" s="2">
        <v>64.479699999999994</v>
      </c>
      <c r="F62" s="2">
        <v>181</v>
      </c>
      <c r="G62" s="2">
        <v>116.6189</v>
      </c>
      <c r="H62" s="2">
        <v>6</v>
      </c>
      <c r="I62" s="2">
        <v>120.8395</v>
      </c>
      <c r="J62" s="2">
        <v>4</v>
      </c>
      <c r="K62" s="2">
        <v>92.974100000000007</v>
      </c>
      <c r="L62" s="2">
        <v>18</v>
      </c>
      <c r="M62" s="2">
        <v>92.245999999999995</v>
      </c>
      <c r="N62" s="2">
        <v>13</v>
      </c>
      <c r="O62" s="2">
        <v>0.95710099999999998</v>
      </c>
      <c r="P62" s="2">
        <v>5</v>
      </c>
      <c r="Q62" s="10">
        <f t="shared" si="0"/>
        <v>28.593500000000006</v>
      </c>
      <c r="R62" s="11">
        <f t="shared" si="1"/>
        <v>9</v>
      </c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 ht="12.3" x14ac:dyDescent="0.4">
      <c r="A63" s="2" t="s">
        <v>72</v>
      </c>
      <c r="B63" s="2">
        <v>9</v>
      </c>
      <c r="C63" s="2">
        <v>64.140100000000004</v>
      </c>
      <c r="D63" s="2">
        <v>214</v>
      </c>
      <c r="E63" s="2">
        <v>63.2804</v>
      </c>
      <c r="F63" s="2">
        <v>259</v>
      </c>
      <c r="G63" s="2">
        <v>103.2058</v>
      </c>
      <c r="H63" s="2">
        <v>146</v>
      </c>
      <c r="I63" s="2">
        <v>109.4165</v>
      </c>
      <c r="J63" s="2">
        <v>49</v>
      </c>
      <c r="K63" s="2">
        <v>97.563699999999997</v>
      </c>
      <c r="L63" s="2">
        <v>78</v>
      </c>
      <c r="M63" s="2">
        <v>96.230599999999995</v>
      </c>
      <c r="N63" s="2">
        <v>58</v>
      </c>
      <c r="O63" s="2">
        <v>0.81408400000000003</v>
      </c>
      <c r="P63" s="2">
        <v>37</v>
      </c>
      <c r="Q63" s="10">
        <f t="shared" si="0"/>
        <v>13.185900000000004</v>
      </c>
      <c r="R63" s="11">
        <f t="shared" si="1"/>
        <v>9</v>
      </c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 ht="12.3" x14ac:dyDescent="0.4">
      <c r="A64" s="2" t="s">
        <v>43</v>
      </c>
      <c r="B64" s="2">
        <v>2</v>
      </c>
      <c r="C64" s="2">
        <v>66.842799999999997</v>
      </c>
      <c r="D64" s="2">
        <v>79</v>
      </c>
      <c r="E64" s="2">
        <v>66.727699999999999</v>
      </c>
      <c r="F64" s="2">
        <v>78</v>
      </c>
      <c r="G64" s="2">
        <v>113.6254</v>
      </c>
      <c r="H64" s="2">
        <v>17</v>
      </c>
      <c r="I64" s="2">
        <v>116.0039</v>
      </c>
      <c r="J64" s="2">
        <v>11</v>
      </c>
      <c r="K64" s="2">
        <v>87.414000000000001</v>
      </c>
      <c r="L64" s="2">
        <v>4</v>
      </c>
      <c r="M64" s="2">
        <v>86.383099999999999</v>
      </c>
      <c r="N64" s="2">
        <v>3</v>
      </c>
      <c r="O64" s="2">
        <v>0.96740800000000005</v>
      </c>
      <c r="P64" s="2">
        <v>2</v>
      </c>
      <c r="Q64" s="10">
        <f t="shared" si="0"/>
        <v>29.620800000000003</v>
      </c>
      <c r="R64" s="11">
        <f t="shared" si="1"/>
        <v>8</v>
      </c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 ht="12.3" x14ac:dyDescent="0.4">
      <c r="A65" s="2" t="s">
        <v>84</v>
      </c>
      <c r="B65" s="2">
        <v>7</v>
      </c>
      <c r="C65" s="2">
        <v>64.412400000000005</v>
      </c>
      <c r="D65" s="2">
        <v>196</v>
      </c>
      <c r="E65" s="2">
        <v>64.261200000000002</v>
      </c>
      <c r="F65" s="2">
        <v>198</v>
      </c>
      <c r="G65" s="2">
        <v>107.03579999999999</v>
      </c>
      <c r="H65" s="2">
        <v>66</v>
      </c>
      <c r="I65" s="2">
        <v>111.1324</v>
      </c>
      <c r="J65" s="2">
        <v>35</v>
      </c>
      <c r="K65" s="2">
        <v>96.219399999999993</v>
      </c>
      <c r="L65" s="2">
        <v>49</v>
      </c>
      <c r="M65" s="2">
        <v>94.942499999999995</v>
      </c>
      <c r="N65" s="2">
        <v>42</v>
      </c>
      <c r="O65" s="2">
        <v>0.85944500000000001</v>
      </c>
      <c r="P65" s="2">
        <v>24</v>
      </c>
      <c r="Q65" s="10">
        <f t="shared" si="0"/>
        <v>16.189900000000009</v>
      </c>
      <c r="R65" s="11">
        <f t="shared" si="1"/>
        <v>7</v>
      </c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 ht="12.3" x14ac:dyDescent="0.4">
      <c r="A66" s="2" t="s">
        <v>192</v>
      </c>
      <c r="B66" s="2">
        <v>7</v>
      </c>
      <c r="C66" s="2">
        <v>60.910600000000002</v>
      </c>
      <c r="D66" s="2">
        <v>330</v>
      </c>
      <c r="E66" s="2">
        <v>62.147199999999998</v>
      </c>
      <c r="F66" s="2">
        <v>298</v>
      </c>
      <c r="G66" s="2">
        <v>111.9834</v>
      </c>
      <c r="H66" s="2">
        <v>24</v>
      </c>
      <c r="I66" s="2">
        <v>112.9808</v>
      </c>
      <c r="J66" s="2">
        <v>20</v>
      </c>
      <c r="K66" s="2">
        <v>90.987099999999998</v>
      </c>
      <c r="L66" s="2">
        <v>8</v>
      </c>
      <c r="M66" s="2">
        <v>92.925399999999996</v>
      </c>
      <c r="N66" s="2">
        <v>15</v>
      </c>
      <c r="O66" s="2">
        <v>0.90442100000000003</v>
      </c>
      <c r="P66" s="2">
        <v>14</v>
      </c>
      <c r="Q66" s="10">
        <f t="shared" si="0"/>
        <v>20.055400000000006</v>
      </c>
      <c r="R66" s="11">
        <f t="shared" si="1"/>
        <v>5</v>
      </c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 ht="12.3" x14ac:dyDescent="0.4">
      <c r="A67" s="2" t="s">
        <v>45</v>
      </c>
      <c r="B67" s="2">
        <v>1</v>
      </c>
      <c r="C67" s="2">
        <v>63.865900000000003</v>
      </c>
      <c r="D67" s="2">
        <v>233</v>
      </c>
      <c r="E67" s="2">
        <v>63.442799999999998</v>
      </c>
      <c r="F67" s="2">
        <v>251</v>
      </c>
      <c r="G67" s="2">
        <v>115.89579999999999</v>
      </c>
      <c r="H67" s="2">
        <v>9</v>
      </c>
      <c r="I67" s="2">
        <v>119.72499999999999</v>
      </c>
      <c r="J67" s="2">
        <v>5</v>
      </c>
      <c r="K67" s="2">
        <v>83.647400000000005</v>
      </c>
      <c r="L67" s="2">
        <v>1</v>
      </c>
      <c r="M67" s="2">
        <v>85.8155</v>
      </c>
      <c r="N67" s="2">
        <v>2</v>
      </c>
      <c r="O67" s="2">
        <v>0.97874099999999997</v>
      </c>
      <c r="P67" s="2">
        <v>1</v>
      </c>
      <c r="Q67" s="10">
        <f t="shared" si="0"/>
        <v>33.909499999999994</v>
      </c>
      <c r="R67" s="11">
        <f t="shared" si="1"/>
        <v>3</v>
      </c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12.3" x14ac:dyDescent="0.4">
      <c r="A68" s="2" t="s">
        <v>216</v>
      </c>
      <c r="B68" s="2">
        <v>5</v>
      </c>
      <c r="C68" s="2">
        <v>57.4039</v>
      </c>
      <c r="D68" s="2">
        <v>350</v>
      </c>
      <c r="E68" s="2">
        <v>58.500599999999999</v>
      </c>
      <c r="F68" s="2">
        <v>348</v>
      </c>
      <c r="G68" s="2">
        <v>112.49720000000001</v>
      </c>
      <c r="H68" s="2">
        <v>22</v>
      </c>
      <c r="I68" s="2">
        <v>113.78660000000001</v>
      </c>
      <c r="J68" s="2">
        <v>15</v>
      </c>
      <c r="K68" s="2">
        <v>92.710700000000003</v>
      </c>
      <c r="L68" s="2">
        <v>16</v>
      </c>
      <c r="M68" s="2">
        <v>93.2423</v>
      </c>
      <c r="N68" s="2">
        <v>16</v>
      </c>
      <c r="O68" s="2">
        <v>0.90803800000000001</v>
      </c>
      <c r="P68" s="2">
        <v>12</v>
      </c>
      <c r="Q68" s="10">
        <f t="shared" si="0"/>
        <v>20.544300000000007</v>
      </c>
      <c r="R68" s="11">
        <f t="shared" si="1"/>
        <v>1</v>
      </c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12.3" x14ac:dyDescent="0.4">
      <c r="A69" s="2" t="s">
        <v>128</v>
      </c>
      <c r="B69" s="2">
        <v>14</v>
      </c>
      <c r="C69" s="2">
        <v>65.496200000000002</v>
      </c>
      <c r="D69" s="2">
        <v>142</v>
      </c>
      <c r="E69" s="2">
        <v>64.950299999999999</v>
      </c>
      <c r="F69" s="2">
        <v>159</v>
      </c>
      <c r="G69" s="2">
        <v>101.1444</v>
      </c>
      <c r="H69" s="2">
        <v>192</v>
      </c>
      <c r="I69" s="2">
        <v>103.7809</v>
      </c>
      <c r="J69" s="2">
        <v>130</v>
      </c>
      <c r="K69" s="2">
        <v>99.581400000000002</v>
      </c>
      <c r="L69" s="2">
        <v>116</v>
      </c>
      <c r="M69" s="2">
        <v>100.26009999999999</v>
      </c>
      <c r="N69" s="2">
        <v>130</v>
      </c>
      <c r="O69" s="2">
        <v>0.597943</v>
      </c>
      <c r="P69" s="2">
        <v>121</v>
      </c>
      <c r="Q69" s="10">
        <f t="shared" si="0"/>
        <v>3.5208000000000084</v>
      </c>
      <c r="R69" s="11">
        <f t="shared" si="1"/>
        <v>0</v>
      </c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12.3" hidden="1" x14ac:dyDescent="0.4">
      <c r="A70" s="2" t="s">
        <v>37</v>
      </c>
      <c r="B70" s="2"/>
      <c r="C70" s="2">
        <v>62.8063</v>
      </c>
      <c r="D70" s="2">
        <v>280</v>
      </c>
      <c r="E70" s="2">
        <v>62.878300000000003</v>
      </c>
      <c r="F70" s="2">
        <v>273</v>
      </c>
      <c r="G70" s="2">
        <v>101.3845</v>
      </c>
      <c r="H70" s="2">
        <v>187</v>
      </c>
      <c r="I70" s="2">
        <v>103.38549999999999</v>
      </c>
      <c r="J70" s="2">
        <v>142</v>
      </c>
      <c r="K70" s="2">
        <v>94.7196</v>
      </c>
      <c r="L70" s="2">
        <v>32</v>
      </c>
      <c r="M70" s="2">
        <v>91.701700000000002</v>
      </c>
      <c r="N70" s="2">
        <v>11</v>
      </c>
      <c r="O70" s="2">
        <v>0.79884999999999995</v>
      </c>
      <c r="P70" s="2">
        <v>45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 ht="12.3" hidden="1" x14ac:dyDescent="0.4">
      <c r="A71" s="2" t="s">
        <v>111</v>
      </c>
      <c r="B71" s="2"/>
      <c r="C71" s="2">
        <v>62.686100000000003</v>
      </c>
      <c r="D71" s="2">
        <v>285</v>
      </c>
      <c r="E71" s="2">
        <v>63.442599999999999</v>
      </c>
      <c r="F71" s="2">
        <v>252</v>
      </c>
      <c r="G71" s="2">
        <v>108.7739</v>
      </c>
      <c r="H71" s="2">
        <v>46</v>
      </c>
      <c r="I71" s="2">
        <v>112.3048</v>
      </c>
      <c r="J71" s="2">
        <v>25</v>
      </c>
      <c r="K71" s="2">
        <v>100.07250000000001</v>
      </c>
      <c r="L71" s="2">
        <v>124</v>
      </c>
      <c r="M71" s="2">
        <v>99.723500000000001</v>
      </c>
      <c r="N71" s="2">
        <v>113</v>
      </c>
      <c r="O71" s="2">
        <v>0.796794</v>
      </c>
      <c r="P71" s="2">
        <v>47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 ht="12.3" hidden="1" x14ac:dyDescent="0.4">
      <c r="A72" s="2" t="s">
        <v>52</v>
      </c>
      <c r="B72" s="2"/>
      <c r="C72" s="2">
        <v>65.590900000000005</v>
      </c>
      <c r="D72" s="2">
        <v>139</v>
      </c>
      <c r="E72" s="2">
        <v>65.329700000000003</v>
      </c>
      <c r="F72" s="2">
        <v>144</v>
      </c>
      <c r="G72" s="2">
        <v>108.6934</v>
      </c>
      <c r="H72" s="2">
        <v>47</v>
      </c>
      <c r="I72" s="2">
        <v>111.0924</v>
      </c>
      <c r="J72" s="2">
        <v>36</v>
      </c>
      <c r="K72" s="2">
        <v>101.3027</v>
      </c>
      <c r="L72" s="2">
        <v>156</v>
      </c>
      <c r="M72" s="2">
        <v>99.250799999999998</v>
      </c>
      <c r="N72" s="2">
        <v>107</v>
      </c>
      <c r="O72" s="2">
        <v>0.78519300000000003</v>
      </c>
      <c r="P72" s="2">
        <v>48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spans="1:47" ht="12.3" hidden="1" x14ac:dyDescent="0.4">
      <c r="A73" s="2" t="s">
        <v>248</v>
      </c>
      <c r="B73" s="2"/>
      <c r="C73" s="2">
        <v>64.2</v>
      </c>
      <c r="D73" s="2">
        <v>210</v>
      </c>
      <c r="E73" s="2">
        <v>63.987400000000001</v>
      </c>
      <c r="F73" s="2">
        <v>213</v>
      </c>
      <c r="G73" s="2">
        <v>104.0296</v>
      </c>
      <c r="H73" s="2">
        <v>125</v>
      </c>
      <c r="I73" s="2">
        <v>105.8927</v>
      </c>
      <c r="J73" s="2">
        <v>94</v>
      </c>
      <c r="K73" s="2">
        <v>96.528499999999994</v>
      </c>
      <c r="L73" s="2">
        <v>58</v>
      </c>
      <c r="M73" s="2">
        <v>94.817599999999999</v>
      </c>
      <c r="N73" s="2">
        <v>41</v>
      </c>
      <c r="O73" s="2">
        <v>0.78081500000000004</v>
      </c>
      <c r="P73" s="2">
        <v>50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spans="1:47" ht="12.3" hidden="1" x14ac:dyDescent="0.4">
      <c r="A74" s="2" t="s">
        <v>100</v>
      </c>
      <c r="B74" s="2"/>
      <c r="C74" s="2">
        <v>61.409500000000001</v>
      </c>
      <c r="D74" s="2">
        <v>318</v>
      </c>
      <c r="E74" s="2">
        <v>61.720599999999997</v>
      </c>
      <c r="F74" s="2">
        <v>311</v>
      </c>
      <c r="G74" s="2">
        <v>104.7623</v>
      </c>
      <c r="H74" s="2">
        <v>111</v>
      </c>
      <c r="I74" s="2">
        <v>106.01390000000001</v>
      </c>
      <c r="J74" s="2">
        <v>89</v>
      </c>
      <c r="K74" s="2">
        <v>96.719200000000001</v>
      </c>
      <c r="L74" s="2">
        <v>63</v>
      </c>
      <c r="M74" s="2">
        <v>94.947100000000006</v>
      </c>
      <c r="N74" s="2">
        <v>44</v>
      </c>
      <c r="O74" s="2">
        <v>0.78037999999999996</v>
      </c>
      <c r="P74" s="2">
        <v>51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 ht="12.3" hidden="1" x14ac:dyDescent="0.4">
      <c r="A75" s="2" t="s">
        <v>60</v>
      </c>
      <c r="B75" s="2"/>
      <c r="C75" s="2">
        <v>62.518900000000002</v>
      </c>
      <c r="D75" s="2">
        <v>289</v>
      </c>
      <c r="E75" s="2">
        <v>62.515999999999998</v>
      </c>
      <c r="F75" s="2">
        <v>284</v>
      </c>
      <c r="G75" s="2">
        <v>107.6332</v>
      </c>
      <c r="H75" s="2">
        <v>56</v>
      </c>
      <c r="I75" s="2">
        <v>109.23050000000001</v>
      </c>
      <c r="J75" s="2">
        <v>51</v>
      </c>
      <c r="K75" s="2">
        <v>99.189499999999995</v>
      </c>
      <c r="L75" s="2">
        <v>107</v>
      </c>
      <c r="M75" s="2">
        <v>98.026499999999999</v>
      </c>
      <c r="N75" s="2">
        <v>88</v>
      </c>
      <c r="O75" s="2">
        <v>0.77635600000000005</v>
      </c>
      <c r="P75" s="2">
        <v>52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spans="1:47" ht="12.3" hidden="1" x14ac:dyDescent="0.4">
      <c r="A76" s="2" t="s">
        <v>258</v>
      </c>
      <c r="B76" s="2"/>
      <c r="C76" s="2">
        <v>65.533100000000005</v>
      </c>
      <c r="D76" s="2">
        <v>140</v>
      </c>
      <c r="E76" s="2">
        <v>65.833500000000001</v>
      </c>
      <c r="F76" s="2">
        <v>120</v>
      </c>
      <c r="G76" s="2">
        <v>100.7038</v>
      </c>
      <c r="H76" s="2">
        <v>203</v>
      </c>
      <c r="I76" s="2">
        <v>101.3689</v>
      </c>
      <c r="J76" s="2">
        <v>186</v>
      </c>
      <c r="K76" s="2">
        <v>90.558000000000007</v>
      </c>
      <c r="L76" s="2">
        <v>7</v>
      </c>
      <c r="M76" s="2">
        <v>91.155000000000001</v>
      </c>
      <c r="N76" s="2">
        <v>9</v>
      </c>
      <c r="O76" s="2">
        <v>0.77230299999999996</v>
      </c>
      <c r="P76" s="2">
        <v>55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spans="1:47" ht="12.3" hidden="1" x14ac:dyDescent="0.4">
      <c r="A77" s="2" t="s">
        <v>88</v>
      </c>
      <c r="B77" s="2"/>
      <c r="C77" s="2">
        <v>65.075599999999994</v>
      </c>
      <c r="D77" s="2">
        <v>155</v>
      </c>
      <c r="E77" s="2">
        <v>65.760000000000005</v>
      </c>
      <c r="F77" s="2">
        <v>123</v>
      </c>
      <c r="G77" s="2">
        <v>99.273899999999998</v>
      </c>
      <c r="H77" s="2">
        <v>236</v>
      </c>
      <c r="I77" s="2">
        <v>101.9924</v>
      </c>
      <c r="J77" s="2">
        <v>172</v>
      </c>
      <c r="K77" s="2">
        <v>92.648099999999999</v>
      </c>
      <c r="L77" s="2">
        <v>15</v>
      </c>
      <c r="M77" s="2">
        <v>91.746300000000005</v>
      </c>
      <c r="N77" s="2">
        <v>12</v>
      </c>
      <c r="O77" s="2">
        <v>0.77162799999999998</v>
      </c>
      <c r="P77" s="2">
        <v>56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 ht="12.3" hidden="1" x14ac:dyDescent="0.4">
      <c r="A78" s="2" t="s">
        <v>142</v>
      </c>
      <c r="B78" s="2"/>
      <c r="C78" s="2">
        <v>64.674300000000002</v>
      </c>
      <c r="D78" s="2">
        <v>181</v>
      </c>
      <c r="E78" s="2">
        <v>64.320700000000002</v>
      </c>
      <c r="F78" s="2">
        <v>196</v>
      </c>
      <c r="G78" s="2">
        <v>104.4496</v>
      </c>
      <c r="H78" s="2">
        <v>116</v>
      </c>
      <c r="I78" s="2">
        <v>105.9772</v>
      </c>
      <c r="J78" s="2">
        <v>91</v>
      </c>
      <c r="K78" s="2">
        <v>95.657499999999999</v>
      </c>
      <c r="L78" s="2">
        <v>40</v>
      </c>
      <c r="M78" s="2">
        <v>95.607200000000006</v>
      </c>
      <c r="N78" s="2">
        <v>50</v>
      </c>
      <c r="O78" s="2">
        <v>0.76570499999999997</v>
      </c>
      <c r="P78" s="2">
        <v>57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spans="1:47" ht="12.3" hidden="1" x14ac:dyDescent="0.4">
      <c r="A79" s="2" t="s">
        <v>75</v>
      </c>
      <c r="B79" s="2"/>
      <c r="C79" s="2">
        <v>67.979299999999995</v>
      </c>
      <c r="D79" s="2">
        <v>44</v>
      </c>
      <c r="E79" s="2">
        <v>67.630600000000001</v>
      </c>
      <c r="F79" s="2">
        <v>46</v>
      </c>
      <c r="G79" s="2">
        <v>106.5629</v>
      </c>
      <c r="H79" s="2">
        <v>72</v>
      </c>
      <c r="I79" s="2">
        <v>110.2149</v>
      </c>
      <c r="J79" s="2">
        <v>44</v>
      </c>
      <c r="K79" s="2">
        <v>99.699200000000005</v>
      </c>
      <c r="L79" s="2">
        <v>118</v>
      </c>
      <c r="M79" s="2">
        <v>99.758899999999997</v>
      </c>
      <c r="N79" s="2">
        <v>114</v>
      </c>
      <c r="O79" s="2">
        <v>0.75882899999999998</v>
      </c>
      <c r="P79" s="2">
        <v>58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 ht="12.3" hidden="1" x14ac:dyDescent="0.4">
      <c r="A80" s="2" t="s">
        <v>54</v>
      </c>
      <c r="B80" s="2"/>
      <c r="C80" s="2">
        <v>61.758699999999997</v>
      </c>
      <c r="D80" s="2">
        <v>311</v>
      </c>
      <c r="E80" s="2">
        <v>61.917200000000001</v>
      </c>
      <c r="F80" s="2">
        <v>303</v>
      </c>
      <c r="G80" s="2">
        <v>103.6451</v>
      </c>
      <c r="H80" s="2">
        <v>134</v>
      </c>
      <c r="I80" s="2">
        <v>105.9499</v>
      </c>
      <c r="J80" s="2">
        <v>92</v>
      </c>
      <c r="K80" s="2">
        <v>96.214100000000002</v>
      </c>
      <c r="L80" s="2">
        <v>48</v>
      </c>
      <c r="M80" s="2">
        <v>96.102900000000005</v>
      </c>
      <c r="N80" s="2">
        <v>54</v>
      </c>
      <c r="O80" s="2">
        <v>0.75431999999999999</v>
      </c>
      <c r="P80" s="2">
        <v>59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 ht="12.3" hidden="1" x14ac:dyDescent="0.4">
      <c r="A81" s="2" t="s">
        <v>164</v>
      </c>
      <c r="B81" s="2"/>
      <c r="C81" s="2">
        <v>63.791400000000003</v>
      </c>
      <c r="D81" s="2">
        <v>240</v>
      </c>
      <c r="E81" s="2">
        <v>65.028300000000002</v>
      </c>
      <c r="F81" s="2">
        <v>154</v>
      </c>
      <c r="G81" s="2">
        <v>104.9824</v>
      </c>
      <c r="H81" s="2">
        <v>101</v>
      </c>
      <c r="I81" s="2">
        <v>106.33969999999999</v>
      </c>
      <c r="J81" s="2">
        <v>83</v>
      </c>
      <c r="K81" s="2">
        <v>97.115200000000002</v>
      </c>
      <c r="L81" s="2">
        <v>72</v>
      </c>
      <c r="M81" s="2">
        <v>96.474000000000004</v>
      </c>
      <c r="N81" s="2">
        <v>63</v>
      </c>
      <c r="O81" s="2">
        <v>0.75393200000000005</v>
      </c>
      <c r="P81" s="2">
        <v>60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 ht="12.3" hidden="1" x14ac:dyDescent="0.4">
      <c r="A82" s="2" t="s">
        <v>49</v>
      </c>
      <c r="B82" s="2"/>
      <c r="C82" s="2">
        <v>62.840899999999998</v>
      </c>
      <c r="D82" s="2">
        <v>279</v>
      </c>
      <c r="E82" s="2">
        <v>62.148200000000003</v>
      </c>
      <c r="F82" s="2">
        <v>297</v>
      </c>
      <c r="G82" s="2">
        <v>104.92230000000001</v>
      </c>
      <c r="H82" s="2">
        <v>103</v>
      </c>
      <c r="I82" s="2">
        <v>108.2912</v>
      </c>
      <c r="J82" s="2">
        <v>60</v>
      </c>
      <c r="K82" s="2">
        <v>101.6914</v>
      </c>
      <c r="L82" s="2">
        <v>164</v>
      </c>
      <c r="M82" s="2">
        <v>98.311300000000003</v>
      </c>
      <c r="N82" s="2">
        <v>93</v>
      </c>
      <c r="O82" s="2">
        <v>0.75247900000000001</v>
      </c>
      <c r="P82" s="2">
        <v>61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 ht="12.3" hidden="1" x14ac:dyDescent="0.4">
      <c r="A83" s="2" t="s">
        <v>23</v>
      </c>
      <c r="B83" s="2"/>
      <c r="C83" s="2">
        <v>66.059200000000004</v>
      </c>
      <c r="D83" s="2">
        <v>115</v>
      </c>
      <c r="E83" s="2">
        <v>66.563699999999997</v>
      </c>
      <c r="F83" s="2">
        <v>85</v>
      </c>
      <c r="G83" s="2">
        <v>101.3741</v>
      </c>
      <c r="H83" s="2">
        <v>188</v>
      </c>
      <c r="I83" s="2">
        <v>103.0368</v>
      </c>
      <c r="J83" s="2">
        <v>147</v>
      </c>
      <c r="K83" s="2">
        <v>95.037300000000002</v>
      </c>
      <c r="L83" s="2">
        <v>34</v>
      </c>
      <c r="M83" s="2">
        <v>93.6083</v>
      </c>
      <c r="N83" s="2">
        <v>24</v>
      </c>
      <c r="O83" s="2">
        <v>0.75093699999999997</v>
      </c>
      <c r="P83" s="2">
        <v>62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 ht="12.3" hidden="1" x14ac:dyDescent="0.4">
      <c r="A84" s="2" t="s">
        <v>190</v>
      </c>
      <c r="B84" s="2"/>
      <c r="C84" s="2">
        <v>61.014699999999998</v>
      </c>
      <c r="D84" s="2">
        <v>327</v>
      </c>
      <c r="E84" s="2">
        <v>60.412999999999997</v>
      </c>
      <c r="F84" s="2">
        <v>338</v>
      </c>
      <c r="G84" s="2">
        <v>106.5012</v>
      </c>
      <c r="H84" s="2">
        <v>75</v>
      </c>
      <c r="I84" s="2">
        <v>105.0117</v>
      </c>
      <c r="J84" s="2">
        <v>108</v>
      </c>
      <c r="K84" s="2">
        <v>92.589100000000002</v>
      </c>
      <c r="L84" s="2">
        <v>14</v>
      </c>
      <c r="M84" s="2">
        <v>95.563599999999994</v>
      </c>
      <c r="N84" s="2">
        <v>49</v>
      </c>
      <c r="O84" s="2">
        <v>0.74729000000000001</v>
      </c>
      <c r="P84" s="2">
        <v>64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 ht="12.3" hidden="1" x14ac:dyDescent="0.4">
      <c r="A85" s="2" t="s">
        <v>44</v>
      </c>
      <c r="B85" s="2"/>
      <c r="C85" s="2">
        <v>65.145399999999995</v>
      </c>
      <c r="D85" s="2">
        <v>152</v>
      </c>
      <c r="E85" s="2">
        <v>65.150899999999993</v>
      </c>
      <c r="F85" s="2">
        <v>151</v>
      </c>
      <c r="G85" s="2">
        <v>105.23569999999999</v>
      </c>
      <c r="H85" s="2">
        <v>98</v>
      </c>
      <c r="I85" s="2">
        <v>104.0244</v>
      </c>
      <c r="J85" s="2">
        <v>122</v>
      </c>
      <c r="K85" s="2">
        <v>96.927800000000005</v>
      </c>
      <c r="L85" s="2">
        <v>68</v>
      </c>
      <c r="M85" s="2">
        <v>94.691599999999994</v>
      </c>
      <c r="N85" s="2">
        <v>39</v>
      </c>
      <c r="O85" s="2">
        <v>0.74668299999999999</v>
      </c>
      <c r="P85" s="2">
        <v>65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 ht="12.3" hidden="1" x14ac:dyDescent="0.4">
      <c r="A86" s="2" t="s">
        <v>262</v>
      </c>
      <c r="B86" s="2"/>
      <c r="C86" s="2">
        <v>62.175199999999997</v>
      </c>
      <c r="D86" s="2">
        <v>299</v>
      </c>
      <c r="E86" s="2">
        <v>62.5505</v>
      </c>
      <c r="F86" s="2">
        <v>281</v>
      </c>
      <c r="G86" s="2">
        <v>109.16249999999999</v>
      </c>
      <c r="H86" s="2">
        <v>42</v>
      </c>
      <c r="I86" s="2">
        <v>108.5664</v>
      </c>
      <c r="J86" s="2">
        <v>55</v>
      </c>
      <c r="K86" s="2">
        <v>100.6049</v>
      </c>
      <c r="L86" s="2">
        <v>138</v>
      </c>
      <c r="M86" s="2">
        <v>98.965000000000003</v>
      </c>
      <c r="N86" s="2">
        <v>99</v>
      </c>
      <c r="O86" s="2">
        <v>0.74361699999999997</v>
      </c>
      <c r="P86" s="2">
        <v>66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 ht="12.3" hidden="1" x14ac:dyDescent="0.4">
      <c r="A87" s="2" t="s">
        <v>17</v>
      </c>
      <c r="B87" s="2"/>
      <c r="C87" s="2">
        <v>65.131200000000007</v>
      </c>
      <c r="D87" s="2">
        <v>153</v>
      </c>
      <c r="E87" s="2">
        <v>64.378600000000006</v>
      </c>
      <c r="F87" s="2">
        <v>192</v>
      </c>
      <c r="G87" s="2">
        <v>99.167199999999994</v>
      </c>
      <c r="H87" s="2">
        <v>240</v>
      </c>
      <c r="I87" s="2">
        <v>102.9397</v>
      </c>
      <c r="J87" s="2">
        <v>149</v>
      </c>
      <c r="K87" s="2">
        <v>96.281099999999995</v>
      </c>
      <c r="L87" s="2">
        <v>51</v>
      </c>
      <c r="M87" s="2">
        <v>93.880899999999997</v>
      </c>
      <c r="N87" s="2">
        <v>27</v>
      </c>
      <c r="O87" s="2">
        <v>0.74256500000000003</v>
      </c>
      <c r="P87" s="2">
        <v>67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 ht="12.3" hidden="1" x14ac:dyDescent="0.4">
      <c r="A88" s="2" t="s">
        <v>157</v>
      </c>
      <c r="B88" s="2"/>
      <c r="C88" s="2">
        <v>64.941800000000001</v>
      </c>
      <c r="D88" s="2">
        <v>163</v>
      </c>
      <c r="E88" s="2">
        <v>66.905199999999994</v>
      </c>
      <c r="F88" s="2">
        <v>73</v>
      </c>
      <c r="G88" s="2">
        <v>109.8995</v>
      </c>
      <c r="H88" s="2">
        <v>35</v>
      </c>
      <c r="I88" s="2">
        <v>108.97790000000001</v>
      </c>
      <c r="J88" s="2">
        <v>52</v>
      </c>
      <c r="K88" s="2">
        <v>97.795199999999994</v>
      </c>
      <c r="L88" s="2">
        <v>82</v>
      </c>
      <c r="M88" s="2">
        <v>99.486999999999995</v>
      </c>
      <c r="N88" s="2">
        <v>110</v>
      </c>
      <c r="O88" s="2">
        <v>0.74036400000000002</v>
      </c>
      <c r="P88" s="2">
        <v>68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 ht="12.3" hidden="1" x14ac:dyDescent="0.4">
      <c r="A89" s="2" t="s">
        <v>236</v>
      </c>
      <c r="B89" s="2"/>
      <c r="C89" s="2">
        <v>64.586699999999993</v>
      </c>
      <c r="D89" s="2">
        <v>188</v>
      </c>
      <c r="E89" s="2">
        <v>65.216999999999999</v>
      </c>
      <c r="F89" s="2">
        <v>150</v>
      </c>
      <c r="G89" s="2">
        <v>104.2056</v>
      </c>
      <c r="H89" s="2">
        <v>120</v>
      </c>
      <c r="I89" s="2">
        <v>102.3317</v>
      </c>
      <c r="J89" s="2">
        <v>164</v>
      </c>
      <c r="K89" s="2">
        <v>93.858699999999999</v>
      </c>
      <c r="L89" s="2">
        <v>21</v>
      </c>
      <c r="M89" s="2">
        <v>93.536100000000005</v>
      </c>
      <c r="N89" s="2">
        <v>22</v>
      </c>
      <c r="O89" s="2">
        <v>0.73760000000000003</v>
      </c>
      <c r="P89" s="2">
        <v>69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ht="12.3" hidden="1" x14ac:dyDescent="0.4">
      <c r="A90" s="2" t="s">
        <v>99</v>
      </c>
      <c r="B90" s="2"/>
      <c r="C90" s="2">
        <v>66.0124</v>
      </c>
      <c r="D90" s="2">
        <v>119</v>
      </c>
      <c r="E90" s="2">
        <v>66.026700000000005</v>
      </c>
      <c r="F90" s="2">
        <v>112</v>
      </c>
      <c r="G90" s="2">
        <v>103.4195</v>
      </c>
      <c r="H90" s="2">
        <v>141</v>
      </c>
      <c r="I90" s="2">
        <v>107.3888</v>
      </c>
      <c r="J90" s="2">
        <v>69</v>
      </c>
      <c r="K90" s="2">
        <v>99.225800000000007</v>
      </c>
      <c r="L90" s="2">
        <v>109</v>
      </c>
      <c r="M90" s="2">
        <v>98.223799999999997</v>
      </c>
      <c r="N90" s="2">
        <v>90</v>
      </c>
      <c r="O90" s="2">
        <v>0.73611700000000002</v>
      </c>
      <c r="P90" s="2">
        <v>70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 ht="12.3" hidden="1" x14ac:dyDescent="0.4">
      <c r="A91" s="2" t="s">
        <v>69</v>
      </c>
      <c r="B91" s="2"/>
      <c r="C91" s="2">
        <v>63.829900000000002</v>
      </c>
      <c r="D91" s="2">
        <v>236</v>
      </c>
      <c r="E91" s="2">
        <v>63.977499999999999</v>
      </c>
      <c r="F91" s="2">
        <v>215</v>
      </c>
      <c r="G91" s="2">
        <v>99.688800000000001</v>
      </c>
      <c r="H91" s="2">
        <v>226</v>
      </c>
      <c r="I91" s="2">
        <v>100.5658</v>
      </c>
      <c r="J91" s="2">
        <v>207</v>
      </c>
      <c r="K91" s="2">
        <v>92.921899999999994</v>
      </c>
      <c r="L91" s="2">
        <v>17</v>
      </c>
      <c r="M91" s="2">
        <v>92.281800000000004</v>
      </c>
      <c r="N91" s="2">
        <v>14</v>
      </c>
      <c r="O91" s="2">
        <v>0.72881200000000002</v>
      </c>
      <c r="P91" s="2">
        <v>72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spans="1:47" ht="12.3" hidden="1" x14ac:dyDescent="0.4">
      <c r="A92" s="2" t="s">
        <v>181</v>
      </c>
      <c r="B92" s="2"/>
      <c r="C92" s="2">
        <v>66.733999999999995</v>
      </c>
      <c r="D92" s="2">
        <v>84</v>
      </c>
      <c r="E92" s="2">
        <v>66.650000000000006</v>
      </c>
      <c r="F92" s="2">
        <v>82</v>
      </c>
      <c r="G92" s="2">
        <v>116.02509999999999</v>
      </c>
      <c r="H92" s="2">
        <v>8</v>
      </c>
      <c r="I92" s="2">
        <v>113.0887</v>
      </c>
      <c r="J92" s="2">
        <v>17</v>
      </c>
      <c r="K92" s="2">
        <v>100.83759999999999</v>
      </c>
      <c r="L92" s="2">
        <v>144</v>
      </c>
      <c r="M92" s="2">
        <v>104.0421</v>
      </c>
      <c r="N92" s="2">
        <v>203</v>
      </c>
      <c r="O92" s="2">
        <v>0.72288799999999998</v>
      </c>
      <c r="P92" s="2">
        <v>73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ht="12.3" hidden="1" x14ac:dyDescent="0.4">
      <c r="A93" s="2" t="s">
        <v>160</v>
      </c>
      <c r="B93" s="2"/>
      <c r="C93" s="2">
        <v>61.818399999999997</v>
      </c>
      <c r="D93" s="2">
        <v>308</v>
      </c>
      <c r="E93" s="2">
        <v>62.4146</v>
      </c>
      <c r="F93" s="2">
        <v>289</v>
      </c>
      <c r="G93" s="2">
        <v>104.017</v>
      </c>
      <c r="H93" s="2">
        <v>126</v>
      </c>
      <c r="I93" s="2">
        <v>104.7351</v>
      </c>
      <c r="J93" s="2">
        <v>112</v>
      </c>
      <c r="K93" s="2">
        <v>97.147000000000006</v>
      </c>
      <c r="L93" s="2">
        <v>73</v>
      </c>
      <c r="M93" s="2">
        <v>96.450199999999995</v>
      </c>
      <c r="N93" s="2">
        <v>62</v>
      </c>
      <c r="O93" s="2">
        <v>0.72064899999999998</v>
      </c>
      <c r="P93" s="2">
        <v>74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ht="12.3" hidden="1" x14ac:dyDescent="0.4">
      <c r="A94" s="2" t="s">
        <v>232</v>
      </c>
      <c r="B94" s="2"/>
      <c r="C94" s="2">
        <v>63.314700000000002</v>
      </c>
      <c r="D94" s="2">
        <v>257</v>
      </c>
      <c r="E94" s="2">
        <v>61.851799999999997</v>
      </c>
      <c r="F94" s="2">
        <v>307</v>
      </c>
      <c r="G94" s="2">
        <v>104.9117</v>
      </c>
      <c r="H94" s="2">
        <v>105</v>
      </c>
      <c r="I94" s="2">
        <v>105.4472</v>
      </c>
      <c r="J94" s="2">
        <v>103</v>
      </c>
      <c r="K94" s="2">
        <v>96.414100000000005</v>
      </c>
      <c r="L94" s="2">
        <v>56</v>
      </c>
      <c r="M94" s="2">
        <v>97.174599999999998</v>
      </c>
      <c r="N94" s="2">
        <v>74</v>
      </c>
      <c r="O94" s="2">
        <v>0.71901099999999996</v>
      </c>
      <c r="P94" s="2">
        <v>75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 ht="12.3" hidden="1" x14ac:dyDescent="0.4">
      <c r="A95" s="2" t="s">
        <v>94</v>
      </c>
      <c r="B95" s="2"/>
      <c r="C95" s="2">
        <v>67.734099999999998</v>
      </c>
      <c r="D95" s="2">
        <v>52</v>
      </c>
      <c r="E95" s="2">
        <v>67.543599999999998</v>
      </c>
      <c r="F95" s="2">
        <v>50</v>
      </c>
      <c r="G95" s="2">
        <v>106.70829999999999</v>
      </c>
      <c r="H95" s="2">
        <v>68</v>
      </c>
      <c r="I95" s="2">
        <v>104.68680000000001</v>
      </c>
      <c r="J95" s="2">
        <v>114</v>
      </c>
      <c r="K95" s="2">
        <v>95.075199999999995</v>
      </c>
      <c r="L95" s="2">
        <v>35</v>
      </c>
      <c r="M95" s="2">
        <v>96.876800000000003</v>
      </c>
      <c r="N95" s="2">
        <v>66</v>
      </c>
      <c r="O95" s="2">
        <v>0.70922700000000005</v>
      </c>
      <c r="P95" s="2">
        <v>76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spans="1:47" ht="12.3" hidden="1" x14ac:dyDescent="0.4">
      <c r="A96" s="2" t="s">
        <v>154</v>
      </c>
      <c r="B96" s="2"/>
      <c r="C96" s="2">
        <v>60.5441</v>
      </c>
      <c r="D96" s="2">
        <v>335</v>
      </c>
      <c r="E96" s="2">
        <v>60.083500000000001</v>
      </c>
      <c r="F96" s="2">
        <v>340</v>
      </c>
      <c r="G96" s="2">
        <v>103.17359999999999</v>
      </c>
      <c r="H96" s="2">
        <v>148</v>
      </c>
      <c r="I96" s="2">
        <v>107.9328</v>
      </c>
      <c r="J96" s="2">
        <v>63</v>
      </c>
      <c r="K96" s="2">
        <v>103.595</v>
      </c>
      <c r="L96" s="2">
        <v>200</v>
      </c>
      <c r="M96" s="2">
        <v>99.884799999999998</v>
      </c>
      <c r="N96" s="2">
        <v>117</v>
      </c>
      <c r="O96" s="2">
        <v>0.70912900000000001</v>
      </c>
      <c r="P96" s="2">
        <v>77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 ht="12.3" hidden="1" x14ac:dyDescent="0.4">
      <c r="A97" s="2" t="s">
        <v>225</v>
      </c>
      <c r="B97" s="2"/>
      <c r="C97" s="2">
        <v>66.089299999999994</v>
      </c>
      <c r="D97" s="2">
        <v>112</v>
      </c>
      <c r="E97" s="2">
        <v>64.838099999999997</v>
      </c>
      <c r="F97" s="2">
        <v>162</v>
      </c>
      <c r="G97" s="2">
        <v>105.21729999999999</v>
      </c>
      <c r="H97" s="2">
        <v>99</v>
      </c>
      <c r="I97" s="2">
        <v>100.8698</v>
      </c>
      <c r="J97" s="2">
        <v>197</v>
      </c>
      <c r="K97" s="2">
        <v>91.038600000000002</v>
      </c>
      <c r="L97" s="2">
        <v>9</v>
      </c>
      <c r="M97" s="2">
        <v>93.782700000000006</v>
      </c>
      <c r="N97" s="2">
        <v>26</v>
      </c>
      <c r="O97" s="2">
        <v>0.69799500000000003</v>
      </c>
      <c r="P97" s="2">
        <v>79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spans="1:47" ht="12.3" hidden="1" x14ac:dyDescent="0.4">
      <c r="A98" s="2" t="s">
        <v>46</v>
      </c>
      <c r="B98" s="2"/>
      <c r="C98" s="2">
        <v>61.058100000000003</v>
      </c>
      <c r="D98" s="2">
        <v>325</v>
      </c>
      <c r="E98" s="2">
        <v>60.982300000000002</v>
      </c>
      <c r="F98" s="2">
        <v>327</v>
      </c>
      <c r="G98" s="2">
        <v>108.5946</v>
      </c>
      <c r="H98" s="2">
        <v>49</v>
      </c>
      <c r="I98" s="2">
        <v>112.7343</v>
      </c>
      <c r="J98" s="2">
        <v>23</v>
      </c>
      <c r="K98" s="2">
        <v>106.55200000000001</v>
      </c>
      <c r="L98" s="2">
        <v>275</v>
      </c>
      <c r="M98" s="2">
        <v>104.83759999999999</v>
      </c>
      <c r="N98" s="2">
        <v>218</v>
      </c>
      <c r="O98" s="2">
        <v>0.69743999999999995</v>
      </c>
      <c r="P98" s="2">
        <v>80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spans="1:47" ht="12.3" hidden="1" x14ac:dyDescent="0.4">
      <c r="A99" s="2" t="s">
        <v>148</v>
      </c>
      <c r="B99" s="2"/>
      <c r="C99" s="2">
        <v>63.071599999999997</v>
      </c>
      <c r="D99" s="2">
        <v>270</v>
      </c>
      <c r="E99" s="2">
        <v>62.5411</v>
      </c>
      <c r="F99" s="2">
        <v>283</v>
      </c>
      <c r="G99" s="2">
        <v>99.165199999999999</v>
      </c>
      <c r="H99" s="2">
        <v>242</v>
      </c>
      <c r="I99" s="2">
        <v>103.2577</v>
      </c>
      <c r="J99" s="2">
        <v>144</v>
      </c>
      <c r="K99" s="2">
        <v>101.16970000000001</v>
      </c>
      <c r="L99" s="2">
        <v>152</v>
      </c>
      <c r="M99" s="2">
        <v>96.3249</v>
      </c>
      <c r="N99" s="2">
        <v>59</v>
      </c>
      <c r="O99" s="2">
        <v>0.68981700000000001</v>
      </c>
      <c r="P99" s="2">
        <v>81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spans="1:47" ht="12.3" hidden="1" x14ac:dyDescent="0.4">
      <c r="A100" s="2" t="s">
        <v>90</v>
      </c>
      <c r="B100" s="2"/>
      <c r="C100" s="2">
        <v>63.324399999999997</v>
      </c>
      <c r="D100" s="2">
        <v>255</v>
      </c>
      <c r="E100" s="2">
        <v>62.7592</v>
      </c>
      <c r="F100" s="2">
        <v>274</v>
      </c>
      <c r="G100" s="2">
        <v>104.5754</v>
      </c>
      <c r="H100" s="2">
        <v>115</v>
      </c>
      <c r="I100" s="2">
        <v>108.3368</v>
      </c>
      <c r="J100" s="2">
        <v>59</v>
      </c>
      <c r="K100" s="2">
        <v>104.22320000000001</v>
      </c>
      <c r="L100" s="2">
        <v>217</v>
      </c>
      <c r="M100" s="2">
        <v>101.4216</v>
      </c>
      <c r="N100" s="2">
        <v>147</v>
      </c>
      <c r="O100" s="2">
        <v>0.68103400000000003</v>
      </c>
      <c r="P100" s="2">
        <v>82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spans="1:47" ht="12.3" hidden="1" x14ac:dyDescent="0.4">
      <c r="A101" s="2" t="s">
        <v>230</v>
      </c>
      <c r="B101" s="2"/>
      <c r="C101" s="2">
        <v>65.7316</v>
      </c>
      <c r="D101" s="2">
        <v>128</v>
      </c>
      <c r="E101" s="2">
        <v>65.895499999999998</v>
      </c>
      <c r="F101" s="2">
        <v>117</v>
      </c>
      <c r="G101" s="2">
        <v>99.882999999999996</v>
      </c>
      <c r="H101" s="2">
        <v>224</v>
      </c>
      <c r="I101" s="2">
        <v>102.2462</v>
      </c>
      <c r="J101" s="2">
        <v>167</v>
      </c>
      <c r="K101" s="2">
        <v>98.815600000000003</v>
      </c>
      <c r="L101" s="2">
        <v>102</v>
      </c>
      <c r="M101" s="2">
        <v>95.785899999999998</v>
      </c>
      <c r="N101" s="2">
        <v>52</v>
      </c>
      <c r="O101" s="2">
        <v>0.67930500000000005</v>
      </c>
      <c r="P101" s="2">
        <v>83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ht="12.3" hidden="1" x14ac:dyDescent="0.4">
      <c r="A102" s="2" t="s">
        <v>235</v>
      </c>
      <c r="B102" s="2"/>
      <c r="C102" s="2">
        <v>64.681600000000003</v>
      </c>
      <c r="D102" s="2">
        <v>179</v>
      </c>
      <c r="E102" s="2">
        <v>63.947200000000002</v>
      </c>
      <c r="F102" s="2">
        <v>218</v>
      </c>
      <c r="G102" s="2">
        <v>115.64409999999999</v>
      </c>
      <c r="H102" s="2">
        <v>11</v>
      </c>
      <c r="I102" s="2">
        <v>112.292</v>
      </c>
      <c r="J102" s="2">
        <v>26</v>
      </c>
      <c r="K102" s="2">
        <v>104.133</v>
      </c>
      <c r="L102" s="2">
        <v>216</v>
      </c>
      <c r="M102" s="2">
        <v>105.2315</v>
      </c>
      <c r="N102" s="2">
        <v>227</v>
      </c>
      <c r="O102" s="2">
        <v>0.67848299999999995</v>
      </c>
      <c r="P102" s="2">
        <v>84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 ht="12.3" hidden="1" x14ac:dyDescent="0.4">
      <c r="A103" s="2" t="s">
        <v>71</v>
      </c>
      <c r="B103" s="2"/>
      <c r="C103" s="2">
        <v>65.653199999999998</v>
      </c>
      <c r="D103" s="2">
        <v>134</v>
      </c>
      <c r="E103" s="2">
        <v>66.528899999999993</v>
      </c>
      <c r="F103" s="2">
        <v>88</v>
      </c>
      <c r="G103" s="2">
        <v>101.75920000000001</v>
      </c>
      <c r="H103" s="2">
        <v>180</v>
      </c>
      <c r="I103" s="2">
        <v>103.45</v>
      </c>
      <c r="J103" s="2">
        <v>141</v>
      </c>
      <c r="K103" s="2">
        <v>95.546999999999997</v>
      </c>
      <c r="L103" s="2">
        <v>38</v>
      </c>
      <c r="M103" s="2">
        <v>97.085400000000007</v>
      </c>
      <c r="N103" s="2">
        <v>70</v>
      </c>
      <c r="O103" s="2">
        <v>0.67485300000000004</v>
      </c>
      <c r="P103" s="2">
        <v>85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2.3" hidden="1" x14ac:dyDescent="0.4">
      <c r="A104" s="2" t="s">
        <v>24</v>
      </c>
      <c r="B104" s="2"/>
      <c r="C104" s="2">
        <v>62.7791</v>
      </c>
      <c r="D104" s="2">
        <v>282</v>
      </c>
      <c r="E104" s="2">
        <v>62.314599999999999</v>
      </c>
      <c r="F104" s="2">
        <v>293</v>
      </c>
      <c r="G104" s="2">
        <v>99.069000000000003</v>
      </c>
      <c r="H104" s="2">
        <v>245</v>
      </c>
      <c r="I104" s="2">
        <v>101.4939</v>
      </c>
      <c r="J104" s="2">
        <v>181</v>
      </c>
      <c r="K104" s="2">
        <v>98.673500000000004</v>
      </c>
      <c r="L104" s="2">
        <v>99</v>
      </c>
      <c r="M104" s="2">
        <v>95.382199999999997</v>
      </c>
      <c r="N104" s="2">
        <v>46</v>
      </c>
      <c r="O104" s="2">
        <v>0.67133600000000004</v>
      </c>
      <c r="P104" s="2">
        <v>86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 ht="12.3" hidden="1" x14ac:dyDescent="0.4">
      <c r="A105" s="2" t="s">
        <v>186</v>
      </c>
      <c r="B105" s="2"/>
      <c r="C105" s="2">
        <v>67.232699999999994</v>
      </c>
      <c r="D105" s="2">
        <v>70</v>
      </c>
      <c r="E105" s="2">
        <v>67.290800000000004</v>
      </c>
      <c r="F105" s="2">
        <v>57</v>
      </c>
      <c r="G105" s="2">
        <v>111.14</v>
      </c>
      <c r="H105" s="2">
        <v>28</v>
      </c>
      <c r="I105" s="2">
        <v>111.1798</v>
      </c>
      <c r="J105" s="2">
        <v>34</v>
      </c>
      <c r="K105" s="2">
        <v>104.88930000000001</v>
      </c>
      <c r="L105" s="2">
        <v>234</v>
      </c>
      <c r="M105" s="2">
        <v>104.56610000000001</v>
      </c>
      <c r="N105" s="2">
        <v>213</v>
      </c>
      <c r="O105" s="2">
        <v>0.66936099999999998</v>
      </c>
      <c r="P105" s="2">
        <v>87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47" ht="12.3" hidden="1" x14ac:dyDescent="0.4">
      <c r="A106" s="2" t="s">
        <v>81</v>
      </c>
      <c r="B106" s="2"/>
      <c r="C106" s="2">
        <v>61.183199999999999</v>
      </c>
      <c r="D106" s="2">
        <v>323</v>
      </c>
      <c r="E106" s="2">
        <v>60.581400000000002</v>
      </c>
      <c r="F106" s="2">
        <v>335</v>
      </c>
      <c r="G106" s="2">
        <v>103.0849</v>
      </c>
      <c r="H106" s="2">
        <v>150</v>
      </c>
      <c r="I106" s="2">
        <v>107.4029</v>
      </c>
      <c r="J106" s="2">
        <v>68</v>
      </c>
      <c r="K106" s="2">
        <v>104.5068</v>
      </c>
      <c r="L106" s="2">
        <v>225</v>
      </c>
      <c r="M106" s="2">
        <v>101.12439999999999</v>
      </c>
      <c r="N106" s="2">
        <v>142</v>
      </c>
      <c r="O106" s="2">
        <v>0.66657</v>
      </c>
      <c r="P106" s="2">
        <v>89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 ht="12.3" hidden="1" x14ac:dyDescent="0.4">
      <c r="A107" s="2" t="s">
        <v>92</v>
      </c>
      <c r="B107" s="2"/>
      <c r="C107" s="2">
        <v>63.984299999999998</v>
      </c>
      <c r="D107" s="2">
        <v>227</v>
      </c>
      <c r="E107" s="2">
        <v>63.929699999999997</v>
      </c>
      <c r="F107" s="2">
        <v>220</v>
      </c>
      <c r="G107" s="2">
        <v>97.111999999999995</v>
      </c>
      <c r="H107" s="2">
        <v>272</v>
      </c>
      <c r="I107" s="2">
        <v>100.1186</v>
      </c>
      <c r="J107" s="2">
        <v>224</v>
      </c>
      <c r="K107" s="2">
        <v>99.2363</v>
      </c>
      <c r="L107" s="2">
        <v>110</v>
      </c>
      <c r="M107" s="2">
        <v>94.491200000000006</v>
      </c>
      <c r="N107" s="2">
        <v>32</v>
      </c>
      <c r="O107" s="2">
        <v>0.660443</v>
      </c>
      <c r="P107" s="2">
        <v>91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spans="1:47" ht="12.3" hidden="1" x14ac:dyDescent="0.4">
      <c r="A108" s="2" t="s">
        <v>256</v>
      </c>
      <c r="B108" s="2"/>
      <c r="C108" s="2">
        <v>64.599699999999999</v>
      </c>
      <c r="D108" s="2">
        <v>185</v>
      </c>
      <c r="E108" s="2">
        <v>63.785299999999999</v>
      </c>
      <c r="F108" s="2">
        <v>227</v>
      </c>
      <c r="G108" s="2">
        <v>103.9374</v>
      </c>
      <c r="H108" s="2">
        <v>128</v>
      </c>
      <c r="I108" s="2">
        <v>102.7533</v>
      </c>
      <c r="J108" s="2">
        <v>157</v>
      </c>
      <c r="K108" s="2">
        <v>97.551299999999998</v>
      </c>
      <c r="L108" s="2">
        <v>77</v>
      </c>
      <c r="M108" s="2">
        <v>96.980999999999995</v>
      </c>
      <c r="N108" s="2">
        <v>68</v>
      </c>
      <c r="O108" s="2">
        <v>0.66035500000000003</v>
      </c>
      <c r="P108" s="2">
        <v>92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spans="1:47" ht="12.3" hidden="1" x14ac:dyDescent="0.4">
      <c r="A109" s="2" t="s">
        <v>357</v>
      </c>
      <c r="B109" s="2"/>
      <c r="C109" s="2">
        <v>63.015999999999998</v>
      </c>
      <c r="D109" s="2">
        <v>271</v>
      </c>
      <c r="E109" s="2">
        <v>63.228999999999999</v>
      </c>
      <c r="F109" s="2">
        <v>261</v>
      </c>
      <c r="G109" s="2">
        <v>111.75620000000001</v>
      </c>
      <c r="H109" s="2">
        <v>25</v>
      </c>
      <c r="I109" s="2">
        <v>110.2679</v>
      </c>
      <c r="J109" s="2">
        <v>43</v>
      </c>
      <c r="K109" s="2">
        <v>102.97929999999999</v>
      </c>
      <c r="L109" s="2">
        <v>188</v>
      </c>
      <c r="M109" s="2">
        <v>104.14490000000001</v>
      </c>
      <c r="N109" s="2">
        <v>205</v>
      </c>
      <c r="O109" s="2">
        <v>0.65858399999999995</v>
      </c>
      <c r="P109" s="2">
        <v>93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spans="1:47" ht="12.3" hidden="1" x14ac:dyDescent="0.4">
      <c r="A110" s="2" t="s">
        <v>129</v>
      </c>
      <c r="B110" s="2"/>
      <c r="C110" s="2">
        <v>65.445400000000006</v>
      </c>
      <c r="D110" s="2">
        <v>144</v>
      </c>
      <c r="E110" s="2">
        <v>65.502499999999998</v>
      </c>
      <c r="F110" s="2">
        <v>135</v>
      </c>
      <c r="G110" s="2">
        <v>102.45780000000001</v>
      </c>
      <c r="H110" s="2">
        <v>168</v>
      </c>
      <c r="I110" s="2">
        <v>104.7274</v>
      </c>
      <c r="J110" s="2">
        <v>113</v>
      </c>
      <c r="K110" s="2">
        <v>101.7471</v>
      </c>
      <c r="L110" s="2">
        <v>165</v>
      </c>
      <c r="M110" s="2">
        <v>99.024199999999993</v>
      </c>
      <c r="N110" s="2">
        <v>101</v>
      </c>
      <c r="O110" s="2">
        <v>0.65564800000000001</v>
      </c>
      <c r="P110" s="2">
        <v>95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 ht="12.3" hidden="1" x14ac:dyDescent="0.4">
      <c r="A111" s="2" t="s">
        <v>89</v>
      </c>
      <c r="B111" s="2"/>
      <c r="C111" s="2">
        <v>63.6008</v>
      </c>
      <c r="D111" s="2">
        <v>247</v>
      </c>
      <c r="E111" s="2">
        <v>63.778100000000002</v>
      </c>
      <c r="F111" s="2">
        <v>228</v>
      </c>
      <c r="G111" s="2">
        <v>104.8595</v>
      </c>
      <c r="H111" s="2">
        <v>106</v>
      </c>
      <c r="I111" s="2">
        <v>104.6544</v>
      </c>
      <c r="J111" s="2">
        <v>115</v>
      </c>
      <c r="K111" s="2">
        <v>96.375200000000007</v>
      </c>
      <c r="L111" s="2">
        <v>54</v>
      </c>
      <c r="M111" s="2">
        <v>99.078599999999994</v>
      </c>
      <c r="N111" s="2">
        <v>102</v>
      </c>
      <c r="O111" s="2">
        <v>0.65240600000000004</v>
      </c>
      <c r="P111" s="2">
        <v>96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spans="1:47" ht="12.3" hidden="1" x14ac:dyDescent="0.4">
      <c r="A112" s="2" t="s">
        <v>219</v>
      </c>
      <c r="B112" s="2"/>
      <c r="C112" s="2">
        <v>65.251999999999995</v>
      </c>
      <c r="D112" s="2">
        <v>151</v>
      </c>
      <c r="E112" s="2">
        <v>64.749600000000001</v>
      </c>
      <c r="F112" s="2">
        <v>166</v>
      </c>
      <c r="G112" s="2">
        <v>105.8853</v>
      </c>
      <c r="H112" s="2">
        <v>90</v>
      </c>
      <c r="I112" s="2">
        <v>104.0536</v>
      </c>
      <c r="J112" s="2">
        <v>121</v>
      </c>
      <c r="K112" s="2">
        <v>96.365600000000001</v>
      </c>
      <c r="L112" s="2">
        <v>53</v>
      </c>
      <c r="M112" s="2">
        <v>98.545599999999993</v>
      </c>
      <c r="N112" s="2">
        <v>95</v>
      </c>
      <c r="O112" s="2">
        <v>0.65145799999999998</v>
      </c>
      <c r="P112" s="2">
        <v>97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 ht="12.3" hidden="1" x14ac:dyDescent="0.4">
      <c r="A113" s="2" t="s">
        <v>133</v>
      </c>
      <c r="B113" s="2"/>
      <c r="C113" s="2">
        <v>63.338299999999997</v>
      </c>
      <c r="D113" s="2">
        <v>254</v>
      </c>
      <c r="E113" s="2">
        <v>63.065199999999997</v>
      </c>
      <c r="F113" s="2">
        <v>267</v>
      </c>
      <c r="G113" s="2">
        <v>100.96040000000001</v>
      </c>
      <c r="H113" s="2">
        <v>197</v>
      </c>
      <c r="I113" s="2">
        <v>101.4466</v>
      </c>
      <c r="J113" s="2">
        <v>183</v>
      </c>
      <c r="K113" s="2">
        <v>98.790300000000002</v>
      </c>
      <c r="L113" s="2">
        <v>100</v>
      </c>
      <c r="M113" s="2">
        <v>96.123900000000006</v>
      </c>
      <c r="N113" s="2">
        <v>56</v>
      </c>
      <c r="O113" s="2">
        <v>0.650169</v>
      </c>
      <c r="P113" s="2">
        <v>98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 ht="12.3" hidden="1" x14ac:dyDescent="0.4">
      <c r="A114" s="2" t="s">
        <v>222</v>
      </c>
      <c r="B114" s="2"/>
      <c r="C114" s="2">
        <v>61.686500000000002</v>
      </c>
      <c r="D114" s="2">
        <v>313</v>
      </c>
      <c r="E114" s="2">
        <v>60.901000000000003</v>
      </c>
      <c r="F114" s="2">
        <v>330</v>
      </c>
      <c r="G114" s="2">
        <v>104.7013</v>
      </c>
      <c r="H114" s="2">
        <v>112</v>
      </c>
      <c r="I114" s="2">
        <v>105.2698</v>
      </c>
      <c r="J114" s="2">
        <v>104</v>
      </c>
      <c r="K114" s="2">
        <v>99.659099999999995</v>
      </c>
      <c r="L114" s="2">
        <v>117</v>
      </c>
      <c r="M114" s="2">
        <v>99.789900000000003</v>
      </c>
      <c r="N114" s="2">
        <v>115</v>
      </c>
      <c r="O114" s="2">
        <v>0.64903200000000005</v>
      </c>
      <c r="P114" s="2">
        <v>99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 ht="12.3" hidden="1" x14ac:dyDescent="0.4">
      <c r="A115" s="2" t="s">
        <v>109</v>
      </c>
      <c r="B115" s="2"/>
      <c r="C115" s="2">
        <v>64.580399999999997</v>
      </c>
      <c r="D115" s="2">
        <v>189</v>
      </c>
      <c r="E115" s="2">
        <v>65.459900000000005</v>
      </c>
      <c r="F115" s="2">
        <v>137</v>
      </c>
      <c r="G115" s="2">
        <v>102.48439999999999</v>
      </c>
      <c r="H115" s="2">
        <v>167</v>
      </c>
      <c r="I115" s="2">
        <v>106.4499</v>
      </c>
      <c r="J115" s="2">
        <v>79</v>
      </c>
      <c r="K115" s="2">
        <v>99.265199999999993</v>
      </c>
      <c r="L115" s="2">
        <v>111</v>
      </c>
      <c r="M115" s="2">
        <v>100.9712</v>
      </c>
      <c r="N115" s="2">
        <v>138</v>
      </c>
      <c r="O115" s="2">
        <v>0.64740500000000001</v>
      </c>
      <c r="P115" s="2">
        <v>100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1:47" ht="12.3" hidden="1" x14ac:dyDescent="0.4">
      <c r="A116" s="2" t="s">
        <v>169</v>
      </c>
      <c r="B116" s="2"/>
      <c r="C116" s="2">
        <v>64.371499999999997</v>
      </c>
      <c r="D116" s="2">
        <v>197</v>
      </c>
      <c r="E116" s="2">
        <v>64.616900000000001</v>
      </c>
      <c r="F116" s="2">
        <v>177</v>
      </c>
      <c r="G116" s="2">
        <v>96.755600000000001</v>
      </c>
      <c r="H116" s="2">
        <v>275</v>
      </c>
      <c r="I116" s="2">
        <v>98.294300000000007</v>
      </c>
      <c r="J116" s="2">
        <v>250</v>
      </c>
      <c r="K116" s="2">
        <v>95.564899999999994</v>
      </c>
      <c r="L116" s="2">
        <v>39</v>
      </c>
      <c r="M116" s="2">
        <v>93.450599999999994</v>
      </c>
      <c r="N116" s="2">
        <v>21</v>
      </c>
      <c r="O116" s="2">
        <v>0.64132800000000001</v>
      </c>
      <c r="P116" s="2">
        <v>101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 ht="12.3" hidden="1" x14ac:dyDescent="0.4">
      <c r="A117" s="2" t="s">
        <v>20</v>
      </c>
      <c r="B117" s="2"/>
      <c r="C117" s="2">
        <v>65.778000000000006</v>
      </c>
      <c r="D117" s="2">
        <v>125</v>
      </c>
      <c r="E117" s="2">
        <v>66.360600000000005</v>
      </c>
      <c r="F117" s="2">
        <v>95</v>
      </c>
      <c r="G117" s="2">
        <v>100.288</v>
      </c>
      <c r="H117" s="2">
        <v>209</v>
      </c>
      <c r="I117" s="2">
        <v>102.3403</v>
      </c>
      <c r="J117" s="2">
        <v>163</v>
      </c>
      <c r="K117" s="2">
        <v>101.2564</v>
      </c>
      <c r="L117" s="2">
        <v>155</v>
      </c>
      <c r="M117" s="2">
        <v>97.564099999999996</v>
      </c>
      <c r="N117" s="2">
        <v>79</v>
      </c>
      <c r="O117" s="2">
        <v>0.63405199999999995</v>
      </c>
      <c r="P117" s="2">
        <v>103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1:47" ht="12.3" hidden="1" x14ac:dyDescent="0.4">
      <c r="A118" s="2" t="s">
        <v>119</v>
      </c>
      <c r="B118" s="2"/>
      <c r="C118" s="2">
        <v>66.049899999999994</v>
      </c>
      <c r="D118" s="2">
        <v>117</v>
      </c>
      <c r="E118" s="2">
        <v>66.203599999999994</v>
      </c>
      <c r="F118" s="2">
        <v>104</v>
      </c>
      <c r="G118" s="2">
        <v>102.68680000000001</v>
      </c>
      <c r="H118" s="2">
        <v>163</v>
      </c>
      <c r="I118" s="2">
        <v>106.0894</v>
      </c>
      <c r="J118" s="2">
        <v>87</v>
      </c>
      <c r="K118" s="2">
        <v>102.4281</v>
      </c>
      <c r="L118" s="2">
        <v>180</v>
      </c>
      <c r="M118" s="2">
        <v>101.1507</v>
      </c>
      <c r="N118" s="2">
        <v>143</v>
      </c>
      <c r="O118" s="2">
        <v>0.63372200000000001</v>
      </c>
      <c r="P118" s="2">
        <v>104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 ht="12.3" hidden="1" x14ac:dyDescent="0.4">
      <c r="A119" s="2" t="s">
        <v>362</v>
      </c>
      <c r="B119" s="2"/>
      <c r="C119" s="2">
        <v>66.071299999999994</v>
      </c>
      <c r="D119" s="2">
        <v>113</v>
      </c>
      <c r="E119" s="2">
        <v>66.115399999999994</v>
      </c>
      <c r="F119" s="2">
        <v>108</v>
      </c>
      <c r="G119" s="2">
        <v>108.4213</v>
      </c>
      <c r="H119" s="2">
        <v>52</v>
      </c>
      <c r="I119" s="2">
        <v>104.9011</v>
      </c>
      <c r="J119" s="2">
        <v>111</v>
      </c>
      <c r="K119" s="2">
        <v>97.365399999999994</v>
      </c>
      <c r="L119" s="2">
        <v>75</v>
      </c>
      <c r="M119" s="2">
        <v>100.0656</v>
      </c>
      <c r="N119" s="2">
        <v>123</v>
      </c>
      <c r="O119" s="2">
        <v>0.63244299999999998</v>
      </c>
      <c r="P119" s="2">
        <v>105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spans="1:47" ht="12.3" hidden="1" x14ac:dyDescent="0.4">
      <c r="A120" s="2" t="s">
        <v>79</v>
      </c>
      <c r="B120" s="2"/>
      <c r="C120" s="2">
        <v>63.7029</v>
      </c>
      <c r="D120" s="2">
        <v>243</v>
      </c>
      <c r="E120" s="2">
        <v>63.631599999999999</v>
      </c>
      <c r="F120" s="2">
        <v>243</v>
      </c>
      <c r="G120" s="2">
        <v>99.200999999999993</v>
      </c>
      <c r="H120" s="2">
        <v>238</v>
      </c>
      <c r="I120" s="2">
        <v>99.101100000000002</v>
      </c>
      <c r="J120" s="2">
        <v>235</v>
      </c>
      <c r="K120" s="2">
        <v>96.769400000000005</v>
      </c>
      <c r="L120" s="2">
        <v>66</v>
      </c>
      <c r="M120" s="2">
        <v>94.591499999999996</v>
      </c>
      <c r="N120" s="2">
        <v>35</v>
      </c>
      <c r="O120" s="2">
        <v>0.63078500000000004</v>
      </c>
      <c r="P120" s="2">
        <v>106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</row>
    <row r="121" spans="1:47" ht="12.3" hidden="1" x14ac:dyDescent="0.4">
      <c r="A121" s="2" t="s">
        <v>106</v>
      </c>
      <c r="B121" s="2"/>
      <c r="C121" s="2">
        <v>65.071600000000004</v>
      </c>
      <c r="D121" s="2">
        <v>157</v>
      </c>
      <c r="E121" s="2">
        <v>64.733500000000006</v>
      </c>
      <c r="F121" s="2">
        <v>169</v>
      </c>
      <c r="G121" s="2">
        <v>102.1118</v>
      </c>
      <c r="H121" s="2">
        <v>176</v>
      </c>
      <c r="I121" s="2">
        <v>102.7805</v>
      </c>
      <c r="J121" s="2">
        <v>154</v>
      </c>
      <c r="K121" s="2">
        <v>98.661799999999999</v>
      </c>
      <c r="L121" s="2">
        <v>98</v>
      </c>
      <c r="M121" s="2">
        <v>98.234800000000007</v>
      </c>
      <c r="N121" s="2">
        <v>91</v>
      </c>
      <c r="O121" s="2">
        <v>0.62719499999999995</v>
      </c>
      <c r="P121" s="2">
        <v>107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</row>
    <row r="122" spans="1:47" ht="12.3" hidden="1" x14ac:dyDescent="0.4">
      <c r="A122" s="2" t="s">
        <v>241</v>
      </c>
      <c r="B122" s="2"/>
      <c r="C122" s="2">
        <v>70.379000000000005</v>
      </c>
      <c r="D122" s="2">
        <v>8</v>
      </c>
      <c r="E122" s="2">
        <v>69.531899999999993</v>
      </c>
      <c r="F122" s="2">
        <v>17</v>
      </c>
      <c r="G122" s="2">
        <v>112.8446</v>
      </c>
      <c r="H122" s="2">
        <v>19</v>
      </c>
      <c r="I122" s="2">
        <v>110.3827</v>
      </c>
      <c r="J122" s="2">
        <v>39</v>
      </c>
      <c r="K122" s="2">
        <v>103.2941</v>
      </c>
      <c r="L122" s="2">
        <v>195</v>
      </c>
      <c r="M122" s="2">
        <v>105.50620000000001</v>
      </c>
      <c r="N122" s="2">
        <v>233</v>
      </c>
      <c r="O122" s="2">
        <v>0.62705599999999995</v>
      </c>
      <c r="P122" s="2">
        <v>108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spans="1:47" ht="12.3" hidden="1" x14ac:dyDescent="0.4">
      <c r="A123" s="2" t="s">
        <v>371</v>
      </c>
      <c r="B123" s="2"/>
      <c r="C123" s="2">
        <v>60.780500000000004</v>
      </c>
      <c r="D123" s="2">
        <v>332</v>
      </c>
      <c r="E123" s="2">
        <v>59.947200000000002</v>
      </c>
      <c r="F123" s="2">
        <v>342</v>
      </c>
      <c r="G123" s="2">
        <v>106.1863</v>
      </c>
      <c r="H123" s="2">
        <v>84</v>
      </c>
      <c r="I123" s="2">
        <v>100.8309</v>
      </c>
      <c r="J123" s="2">
        <v>198</v>
      </c>
      <c r="K123" s="2">
        <v>89.814300000000003</v>
      </c>
      <c r="L123" s="2">
        <v>5</v>
      </c>
      <c r="M123" s="2">
        <v>96.398700000000005</v>
      </c>
      <c r="N123" s="2">
        <v>61</v>
      </c>
      <c r="O123" s="2">
        <v>0.62643499999999996</v>
      </c>
      <c r="P123" s="2">
        <v>109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spans="1:47" ht="12.3" hidden="1" x14ac:dyDescent="0.4">
      <c r="A124" s="2" t="s">
        <v>104</v>
      </c>
      <c r="B124" s="2"/>
      <c r="C124" s="2">
        <v>62.243099999999998</v>
      </c>
      <c r="D124" s="2">
        <v>297</v>
      </c>
      <c r="E124" s="2">
        <v>62.564100000000003</v>
      </c>
      <c r="F124" s="2">
        <v>279</v>
      </c>
      <c r="G124" s="2">
        <v>105.53440000000001</v>
      </c>
      <c r="H124" s="2">
        <v>94</v>
      </c>
      <c r="I124" s="2">
        <v>106.4174</v>
      </c>
      <c r="J124" s="2">
        <v>80</v>
      </c>
      <c r="K124" s="2">
        <v>100.70569999999999</v>
      </c>
      <c r="L124" s="2">
        <v>141</v>
      </c>
      <c r="M124" s="2">
        <v>101.7565</v>
      </c>
      <c r="N124" s="2">
        <v>156</v>
      </c>
      <c r="O124" s="2">
        <v>0.62598900000000002</v>
      </c>
      <c r="P124" s="2">
        <v>110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</row>
    <row r="125" spans="1:47" ht="12.3" hidden="1" x14ac:dyDescent="0.4">
      <c r="A125" s="2" t="s">
        <v>39</v>
      </c>
      <c r="B125" s="2"/>
      <c r="C125" s="2">
        <v>64.630099999999999</v>
      </c>
      <c r="D125" s="2">
        <v>183</v>
      </c>
      <c r="E125" s="2">
        <v>64.182599999999994</v>
      </c>
      <c r="F125" s="2">
        <v>200</v>
      </c>
      <c r="G125" s="2">
        <v>99.631200000000007</v>
      </c>
      <c r="H125" s="2">
        <v>228</v>
      </c>
      <c r="I125" s="2">
        <v>101.661</v>
      </c>
      <c r="J125" s="2">
        <v>178</v>
      </c>
      <c r="K125" s="2">
        <v>102.60939999999999</v>
      </c>
      <c r="L125" s="2">
        <v>184</v>
      </c>
      <c r="M125" s="2">
        <v>97.408000000000001</v>
      </c>
      <c r="N125" s="2">
        <v>77</v>
      </c>
      <c r="O125" s="2">
        <v>0.62044900000000003</v>
      </c>
      <c r="P125" s="2">
        <v>111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 ht="12.3" hidden="1" x14ac:dyDescent="0.4">
      <c r="A126" s="2" t="s">
        <v>95</v>
      </c>
      <c r="B126" s="2"/>
      <c r="C126" s="2">
        <v>63.8643</v>
      </c>
      <c r="D126" s="2">
        <v>234</v>
      </c>
      <c r="E126" s="2">
        <v>63.660600000000002</v>
      </c>
      <c r="F126" s="2">
        <v>240</v>
      </c>
      <c r="G126" s="2">
        <v>101.4389</v>
      </c>
      <c r="H126" s="2">
        <v>185</v>
      </c>
      <c r="I126" s="2">
        <v>105.6427</v>
      </c>
      <c r="J126" s="2">
        <v>99</v>
      </c>
      <c r="K126" s="2">
        <v>104.236</v>
      </c>
      <c r="L126" s="2">
        <v>218</v>
      </c>
      <c r="M126" s="2">
        <v>101.35599999999999</v>
      </c>
      <c r="N126" s="2">
        <v>146</v>
      </c>
      <c r="O126" s="2">
        <v>0.616892</v>
      </c>
      <c r="P126" s="2">
        <v>112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</row>
    <row r="127" spans="1:47" ht="12.3" hidden="1" x14ac:dyDescent="0.4">
      <c r="A127" s="2" t="s">
        <v>53</v>
      </c>
      <c r="B127" s="2"/>
      <c r="C127" s="2">
        <v>62.073900000000002</v>
      </c>
      <c r="D127" s="2">
        <v>303</v>
      </c>
      <c r="E127" s="2">
        <v>61.810600000000001</v>
      </c>
      <c r="F127" s="2">
        <v>309</v>
      </c>
      <c r="G127" s="2">
        <v>104.785</v>
      </c>
      <c r="H127" s="2">
        <v>109</v>
      </c>
      <c r="I127" s="2">
        <v>105.1349</v>
      </c>
      <c r="J127" s="2">
        <v>107</v>
      </c>
      <c r="K127" s="2">
        <v>100.3544</v>
      </c>
      <c r="L127" s="2">
        <v>131</v>
      </c>
      <c r="M127" s="2">
        <v>100.9268</v>
      </c>
      <c r="N127" s="2">
        <v>137</v>
      </c>
      <c r="O127" s="2">
        <v>0.61532799999999999</v>
      </c>
      <c r="P127" s="2">
        <v>113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spans="1:47" ht="12.3" hidden="1" x14ac:dyDescent="0.4">
      <c r="A128" s="2" t="s">
        <v>324</v>
      </c>
      <c r="B128" s="2"/>
      <c r="C128" s="2">
        <v>64.878200000000007</v>
      </c>
      <c r="D128" s="2">
        <v>168</v>
      </c>
      <c r="E128" s="2">
        <v>63.600999999999999</v>
      </c>
      <c r="F128" s="2">
        <v>246</v>
      </c>
      <c r="G128" s="2">
        <v>105.4774</v>
      </c>
      <c r="H128" s="2">
        <v>96</v>
      </c>
      <c r="I128" s="2">
        <v>104.105</v>
      </c>
      <c r="J128" s="2">
        <v>119</v>
      </c>
      <c r="K128" s="2">
        <v>98.251800000000003</v>
      </c>
      <c r="L128" s="2">
        <v>91</v>
      </c>
      <c r="M128" s="2">
        <v>99.986400000000003</v>
      </c>
      <c r="N128" s="2">
        <v>122</v>
      </c>
      <c r="O128" s="2">
        <v>0.614012</v>
      </c>
      <c r="P128" s="2">
        <v>114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spans="1:47" ht="12.3" hidden="1" x14ac:dyDescent="0.4">
      <c r="A129" s="2" t="s">
        <v>220</v>
      </c>
      <c r="B129" s="2"/>
      <c r="C129" s="2">
        <v>63.403500000000001</v>
      </c>
      <c r="D129" s="2">
        <v>253</v>
      </c>
      <c r="E129" s="2">
        <v>63.957900000000002</v>
      </c>
      <c r="F129" s="2">
        <v>216</v>
      </c>
      <c r="G129" s="2">
        <v>102.73099999999999</v>
      </c>
      <c r="H129" s="2">
        <v>160</v>
      </c>
      <c r="I129" s="2">
        <v>100.71939999999999</v>
      </c>
      <c r="J129" s="2">
        <v>203</v>
      </c>
      <c r="K129" s="2">
        <v>91.297200000000004</v>
      </c>
      <c r="L129" s="2">
        <v>11</v>
      </c>
      <c r="M129" s="2">
        <v>96.810400000000001</v>
      </c>
      <c r="N129" s="2">
        <v>65</v>
      </c>
      <c r="O129" s="2">
        <v>0.61187800000000003</v>
      </c>
      <c r="P129" s="2">
        <v>115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 ht="12.3" hidden="1" x14ac:dyDescent="0.4">
      <c r="A130" s="2" t="s">
        <v>57</v>
      </c>
      <c r="B130" s="2"/>
      <c r="C130" s="2">
        <v>66.319599999999994</v>
      </c>
      <c r="D130" s="2">
        <v>103</v>
      </c>
      <c r="E130" s="2">
        <v>66.155799999999999</v>
      </c>
      <c r="F130" s="2">
        <v>106</v>
      </c>
      <c r="G130" s="2">
        <v>99.580600000000004</v>
      </c>
      <c r="H130" s="2">
        <v>232</v>
      </c>
      <c r="I130" s="2">
        <v>101.51479999999999</v>
      </c>
      <c r="J130" s="2">
        <v>180</v>
      </c>
      <c r="K130" s="2">
        <v>100.61579999999999</v>
      </c>
      <c r="L130" s="2">
        <v>139</v>
      </c>
      <c r="M130" s="2">
        <v>97.740399999999994</v>
      </c>
      <c r="N130" s="2">
        <v>83</v>
      </c>
      <c r="O130" s="2">
        <v>0.60724100000000003</v>
      </c>
      <c r="P130" s="2">
        <v>116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 ht="12.3" hidden="1" x14ac:dyDescent="0.4">
      <c r="A131" s="2" t="s">
        <v>149</v>
      </c>
      <c r="B131" s="2"/>
      <c r="C131" s="2">
        <v>62.009700000000002</v>
      </c>
      <c r="D131" s="2">
        <v>304</v>
      </c>
      <c r="E131" s="2">
        <v>61.133000000000003</v>
      </c>
      <c r="F131" s="2">
        <v>324</v>
      </c>
      <c r="G131" s="2">
        <v>96.090500000000006</v>
      </c>
      <c r="H131" s="2">
        <v>288</v>
      </c>
      <c r="I131" s="2">
        <v>96.816199999999995</v>
      </c>
      <c r="J131" s="2">
        <v>276</v>
      </c>
      <c r="K131" s="2">
        <v>94.876900000000006</v>
      </c>
      <c r="L131" s="2">
        <v>33</v>
      </c>
      <c r="M131" s="2">
        <v>93.263099999999994</v>
      </c>
      <c r="N131" s="2">
        <v>17</v>
      </c>
      <c r="O131" s="2">
        <v>0.60586899999999999</v>
      </c>
      <c r="P131" s="2">
        <v>117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</row>
    <row r="132" spans="1:47" ht="12.3" hidden="1" x14ac:dyDescent="0.4">
      <c r="A132" s="2" t="s">
        <v>98</v>
      </c>
      <c r="B132" s="2"/>
      <c r="C132" s="2">
        <v>62.898099999999999</v>
      </c>
      <c r="D132" s="2">
        <v>277</v>
      </c>
      <c r="E132" s="2">
        <v>64.026700000000005</v>
      </c>
      <c r="F132" s="2">
        <v>211</v>
      </c>
      <c r="G132" s="2">
        <v>104.1123</v>
      </c>
      <c r="H132" s="2">
        <v>121</v>
      </c>
      <c r="I132" s="2">
        <v>105.7786</v>
      </c>
      <c r="J132" s="2">
        <v>97</v>
      </c>
      <c r="K132" s="2">
        <v>99.8489</v>
      </c>
      <c r="L132" s="2">
        <v>120</v>
      </c>
      <c r="M132" s="2">
        <v>102.0248</v>
      </c>
      <c r="N132" s="2">
        <v>160</v>
      </c>
      <c r="O132" s="2">
        <v>0.60241199999999995</v>
      </c>
      <c r="P132" s="2">
        <v>118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 ht="12.3" hidden="1" x14ac:dyDescent="0.4">
      <c r="A133" s="2" t="s">
        <v>124</v>
      </c>
      <c r="B133" s="2"/>
      <c r="C133" s="2">
        <v>60.501399999999997</v>
      </c>
      <c r="D133" s="2">
        <v>337</v>
      </c>
      <c r="E133" s="2">
        <v>60.410800000000002</v>
      </c>
      <c r="F133" s="2">
        <v>339</v>
      </c>
      <c r="G133" s="2">
        <v>102.6982</v>
      </c>
      <c r="H133" s="2">
        <v>161</v>
      </c>
      <c r="I133" s="2">
        <v>105.8665</v>
      </c>
      <c r="J133" s="2">
        <v>96</v>
      </c>
      <c r="K133" s="2">
        <v>105.23050000000001</v>
      </c>
      <c r="L133" s="2">
        <v>243</v>
      </c>
      <c r="M133" s="2">
        <v>102.2543</v>
      </c>
      <c r="N133" s="2">
        <v>166</v>
      </c>
      <c r="O133" s="2">
        <v>0.59850400000000004</v>
      </c>
      <c r="P133" s="2">
        <v>119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</row>
    <row r="134" spans="1:47" ht="12.3" hidden="1" x14ac:dyDescent="0.4">
      <c r="A134" s="2" t="s">
        <v>66</v>
      </c>
      <c r="B134" s="2"/>
      <c r="C134" s="2">
        <v>69.063800000000001</v>
      </c>
      <c r="D134" s="2">
        <v>22</v>
      </c>
      <c r="E134" s="2">
        <v>69.674400000000006</v>
      </c>
      <c r="F134" s="2">
        <v>14</v>
      </c>
      <c r="G134" s="2">
        <v>103.3463</v>
      </c>
      <c r="H134" s="2">
        <v>143</v>
      </c>
      <c r="I134" s="2">
        <v>102.86320000000001</v>
      </c>
      <c r="J134" s="2">
        <v>152</v>
      </c>
      <c r="K134" s="2">
        <v>98.428299999999993</v>
      </c>
      <c r="L134" s="2">
        <v>93</v>
      </c>
      <c r="M134" s="2">
        <v>99.540400000000005</v>
      </c>
      <c r="N134" s="2">
        <v>111</v>
      </c>
      <c r="O134" s="2">
        <v>0.59329699999999996</v>
      </c>
      <c r="P134" s="2">
        <v>122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</row>
    <row r="135" spans="1:47" ht="12.3" hidden="1" x14ac:dyDescent="0.4">
      <c r="A135" s="2" t="s">
        <v>131</v>
      </c>
      <c r="B135" s="2"/>
      <c r="C135" s="2">
        <v>66.179100000000005</v>
      </c>
      <c r="D135" s="2">
        <v>107</v>
      </c>
      <c r="E135" s="2">
        <v>65.632099999999994</v>
      </c>
      <c r="F135" s="2">
        <v>130</v>
      </c>
      <c r="G135" s="2">
        <v>103.2264</v>
      </c>
      <c r="H135" s="2">
        <v>145</v>
      </c>
      <c r="I135" s="2">
        <v>106.38420000000001</v>
      </c>
      <c r="J135" s="2">
        <v>82</v>
      </c>
      <c r="K135" s="2">
        <v>102.2034</v>
      </c>
      <c r="L135" s="2">
        <v>173</v>
      </c>
      <c r="M135" s="2">
        <v>102.9525</v>
      </c>
      <c r="N135" s="2">
        <v>180</v>
      </c>
      <c r="O135" s="2">
        <v>0.59316800000000003</v>
      </c>
      <c r="P135" s="2">
        <v>123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</row>
    <row r="136" spans="1:47" ht="12.3" hidden="1" x14ac:dyDescent="0.4">
      <c r="A136" s="2" t="s">
        <v>243</v>
      </c>
      <c r="B136" s="2"/>
      <c r="C136" s="2">
        <v>69.139799999999994</v>
      </c>
      <c r="D136" s="2">
        <v>19</v>
      </c>
      <c r="E136" s="2">
        <v>69.212199999999996</v>
      </c>
      <c r="F136" s="2">
        <v>21</v>
      </c>
      <c r="G136" s="2">
        <v>112.7814</v>
      </c>
      <c r="H136" s="2">
        <v>20</v>
      </c>
      <c r="I136" s="2">
        <v>108.8591</v>
      </c>
      <c r="J136" s="2">
        <v>53</v>
      </c>
      <c r="K136" s="2">
        <v>100.3509</v>
      </c>
      <c r="L136" s="2">
        <v>130</v>
      </c>
      <c r="M136" s="2">
        <v>105.4353</v>
      </c>
      <c r="N136" s="2">
        <v>232</v>
      </c>
      <c r="O136" s="2">
        <v>0.59085699999999997</v>
      </c>
      <c r="P136" s="2">
        <v>124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</row>
    <row r="137" spans="1:47" ht="12.3" hidden="1" x14ac:dyDescent="0.4">
      <c r="A137" s="2" t="s">
        <v>290</v>
      </c>
      <c r="B137" s="2"/>
      <c r="C137" s="2">
        <v>64.1875</v>
      </c>
      <c r="D137" s="2">
        <v>211</v>
      </c>
      <c r="E137" s="2">
        <v>64.627300000000005</v>
      </c>
      <c r="F137" s="2">
        <v>176</v>
      </c>
      <c r="G137" s="2">
        <v>107.0598</v>
      </c>
      <c r="H137" s="2">
        <v>65</v>
      </c>
      <c r="I137" s="2">
        <v>107.1825</v>
      </c>
      <c r="J137" s="2">
        <v>71</v>
      </c>
      <c r="K137" s="2">
        <v>105.67400000000001</v>
      </c>
      <c r="L137" s="2">
        <v>255</v>
      </c>
      <c r="M137" s="2">
        <v>103.8222</v>
      </c>
      <c r="N137" s="2">
        <v>198</v>
      </c>
      <c r="O137" s="2">
        <v>0.59056699999999995</v>
      </c>
      <c r="P137" s="2">
        <v>125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1:47" ht="12.3" hidden="1" x14ac:dyDescent="0.4">
      <c r="A138" s="2" t="s">
        <v>61</v>
      </c>
      <c r="B138" s="2"/>
      <c r="C138" s="2">
        <v>68.696700000000007</v>
      </c>
      <c r="D138" s="2">
        <v>28</v>
      </c>
      <c r="E138" s="2">
        <v>68.643100000000004</v>
      </c>
      <c r="F138" s="2">
        <v>27</v>
      </c>
      <c r="G138" s="2">
        <v>99.464399999999998</v>
      </c>
      <c r="H138" s="2">
        <v>234</v>
      </c>
      <c r="I138" s="2">
        <v>103.93640000000001</v>
      </c>
      <c r="J138" s="2">
        <v>124</v>
      </c>
      <c r="K138" s="2">
        <v>103.751</v>
      </c>
      <c r="L138" s="2">
        <v>207</v>
      </c>
      <c r="M138" s="2">
        <v>101.1138</v>
      </c>
      <c r="N138" s="2">
        <v>141</v>
      </c>
      <c r="O138" s="2">
        <v>0.57850299999999999</v>
      </c>
      <c r="P138" s="2">
        <v>126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</row>
    <row r="139" spans="1:47" ht="12.3" hidden="1" x14ac:dyDescent="0.4">
      <c r="A139" s="2" t="s">
        <v>336</v>
      </c>
      <c r="B139" s="2"/>
      <c r="C139" s="2">
        <v>63.321399999999997</v>
      </c>
      <c r="D139" s="2">
        <v>256</v>
      </c>
      <c r="E139" s="2">
        <v>64.292900000000003</v>
      </c>
      <c r="F139" s="2">
        <v>197</v>
      </c>
      <c r="G139" s="2">
        <v>101.6561</v>
      </c>
      <c r="H139" s="2">
        <v>182</v>
      </c>
      <c r="I139" s="2">
        <v>99.876999999999995</v>
      </c>
      <c r="J139" s="2">
        <v>228</v>
      </c>
      <c r="K139" s="2">
        <v>94.642899999999997</v>
      </c>
      <c r="L139" s="2">
        <v>29</v>
      </c>
      <c r="M139" s="2">
        <v>97.270300000000006</v>
      </c>
      <c r="N139" s="2">
        <v>75</v>
      </c>
      <c r="O139" s="2">
        <v>0.57544899999999999</v>
      </c>
      <c r="P139" s="2">
        <v>128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</row>
    <row r="140" spans="1:47" ht="12.3" hidden="1" x14ac:dyDescent="0.4">
      <c r="A140" s="2" t="s">
        <v>117</v>
      </c>
      <c r="B140" s="2"/>
      <c r="C140" s="2">
        <v>70.852199999999996</v>
      </c>
      <c r="D140" s="2">
        <v>7</v>
      </c>
      <c r="E140" s="2">
        <v>69.8309</v>
      </c>
      <c r="F140" s="2">
        <v>12</v>
      </c>
      <c r="G140" s="2">
        <v>104.3497</v>
      </c>
      <c r="H140" s="2">
        <v>118</v>
      </c>
      <c r="I140" s="2">
        <v>103.62569999999999</v>
      </c>
      <c r="J140" s="2">
        <v>135</v>
      </c>
      <c r="K140" s="2">
        <v>97.578400000000002</v>
      </c>
      <c r="L140" s="2">
        <v>79</v>
      </c>
      <c r="M140" s="2">
        <v>101.09220000000001</v>
      </c>
      <c r="N140" s="2">
        <v>140</v>
      </c>
      <c r="O140" s="2">
        <v>0.57068799999999997</v>
      </c>
      <c r="P140" s="2">
        <v>129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spans="1:47" ht="12.3" hidden="1" x14ac:dyDescent="0.4">
      <c r="A141" s="2" t="s">
        <v>257</v>
      </c>
      <c r="B141" s="2"/>
      <c r="C141" s="2">
        <v>64.238299999999995</v>
      </c>
      <c r="D141" s="2">
        <v>207</v>
      </c>
      <c r="E141" s="2">
        <v>64.178299999999993</v>
      </c>
      <c r="F141" s="2">
        <v>202</v>
      </c>
      <c r="G141" s="2">
        <v>111.2893</v>
      </c>
      <c r="H141" s="2">
        <v>26</v>
      </c>
      <c r="I141" s="2">
        <v>111.3608</v>
      </c>
      <c r="J141" s="2">
        <v>32</v>
      </c>
      <c r="K141" s="2">
        <v>105.1348</v>
      </c>
      <c r="L141" s="2">
        <v>240</v>
      </c>
      <c r="M141" s="2">
        <v>108.70059999999999</v>
      </c>
      <c r="N141" s="2">
        <v>299</v>
      </c>
      <c r="O141" s="2">
        <v>0.56906699999999999</v>
      </c>
      <c r="P141" s="2">
        <v>130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 ht="12.3" hidden="1" x14ac:dyDescent="0.4">
      <c r="A142" s="2" t="s">
        <v>136</v>
      </c>
      <c r="B142" s="2"/>
      <c r="C142" s="2">
        <v>63.871299999999998</v>
      </c>
      <c r="D142" s="2">
        <v>232</v>
      </c>
      <c r="E142" s="2">
        <v>63.604799999999997</v>
      </c>
      <c r="F142" s="2">
        <v>245</v>
      </c>
      <c r="G142" s="2">
        <v>94.679299999999998</v>
      </c>
      <c r="H142" s="2">
        <v>302</v>
      </c>
      <c r="I142" s="2">
        <v>96.395200000000003</v>
      </c>
      <c r="J142" s="2">
        <v>283</v>
      </c>
      <c r="K142" s="2">
        <v>98.001800000000003</v>
      </c>
      <c r="L142" s="2">
        <v>85</v>
      </c>
      <c r="M142" s="2">
        <v>94.131699999999995</v>
      </c>
      <c r="N142" s="2">
        <v>29</v>
      </c>
      <c r="O142" s="2">
        <v>0.56789199999999995</v>
      </c>
      <c r="P142" s="2">
        <v>132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 ht="12.3" hidden="1" x14ac:dyDescent="0.4">
      <c r="A143" s="2" t="s">
        <v>292</v>
      </c>
      <c r="B143" s="2"/>
      <c r="C143" s="2">
        <v>64.880499999999998</v>
      </c>
      <c r="D143" s="2">
        <v>167</v>
      </c>
      <c r="E143" s="2">
        <v>65.979399999999998</v>
      </c>
      <c r="F143" s="2">
        <v>114</v>
      </c>
      <c r="G143" s="2">
        <v>102.8339</v>
      </c>
      <c r="H143" s="2">
        <v>156</v>
      </c>
      <c r="I143" s="2">
        <v>102.3623</v>
      </c>
      <c r="J143" s="2">
        <v>162</v>
      </c>
      <c r="K143" s="2">
        <v>99.224400000000003</v>
      </c>
      <c r="L143" s="2">
        <v>108</v>
      </c>
      <c r="M143" s="2">
        <v>99.965699999999998</v>
      </c>
      <c r="N143" s="2">
        <v>121</v>
      </c>
      <c r="O143" s="2">
        <v>0.56769599999999998</v>
      </c>
      <c r="P143" s="2">
        <v>133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</row>
    <row r="144" spans="1:47" ht="12.3" hidden="1" x14ac:dyDescent="0.4">
      <c r="A144" s="2" t="s">
        <v>331</v>
      </c>
      <c r="B144" s="2"/>
      <c r="C144" s="2">
        <v>66.531199999999998</v>
      </c>
      <c r="D144" s="2">
        <v>93</v>
      </c>
      <c r="E144" s="2">
        <v>66.149799999999999</v>
      </c>
      <c r="F144" s="2">
        <v>107</v>
      </c>
      <c r="G144" s="2">
        <v>101.2353</v>
      </c>
      <c r="H144" s="2">
        <v>190</v>
      </c>
      <c r="I144" s="2">
        <v>100.2362</v>
      </c>
      <c r="J144" s="2">
        <v>220</v>
      </c>
      <c r="K144" s="2">
        <v>98.316500000000005</v>
      </c>
      <c r="L144" s="2">
        <v>92</v>
      </c>
      <c r="M144" s="2">
        <v>97.932199999999995</v>
      </c>
      <c r="N144" s="2">
        <v>85</v>
      </c>
      <c r="O144" s="2">
        <v>0.56646200000000002</v>
      </c>
      <c r="P144" s="2">
        <v>134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</row>
    <row r="145" spans="1:47" ht="12.3" hidden="1" x14ac:dyDescent="0.4">
      <c r="A145" s="2" t="s">
        <v>155</v>
      </c>
      <c r="B145" s="2"/>
      <c r="C145" s="2">
        <v>68.347899999999996</v>
      </c>
      <c r="D145" s="2">
        <v>35</v>
      </c>
      <c r="E145" s="2">
        <v>67.553600000000003</v>
      </c>
      <c r="F145" s="2">
        <v>49</v>
      </c>
      <c r="G145" s="2">
        <v>100.7353</v>
      </c>
      <c r="H145" s="2">
        <v>202</v>
      </c>
      <c r="I145" s="2">
        <v>103.80889999999999</v>
      </c>
      <c r="J145" s="2">
        <v>128</v>
      </c>
      <c r="K145" s="2">
        <v>102.2518</v>
      </c>
      <c r="L145" s="2">
        <v>174</v>
      </c>
      <c r="M145" s="2">
        <v>101.55759999999999</v>
      </c>
      <c r="N145" s="2">
        <v>150</v>
      </c>
      <c r="O145" s="2">
        <v>0.56270399999999998</v>
      </c>
      <c r="P145" s="2">
        <v>135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</row>
    <row r="146" spans="1:47" ht="12.3" hidden="1" x14ac:dyDescent="0.4">
      <c r="A146" s="2" t="s">
        <v>188</v>
      </c>
      <c r="B146" s="2"/>
      <c r="C146" s="2">
        <v>65.947900000000004</v>
      </c>
      <c r="D146" s="2">
        <v>121</v>
      </c>
      <c r="E146" s="2">
        <v>65.424899999999994</v>
      </c>
      <c r="F146" s="2">
        <v>139</v>
      </c>
      <c r="G146" s="2">
        <v>98.559399999999997</v>
      </c>
      <c r="H146" s="2">
        <v>252</v>
      </c>
      <c r="I146" s="2">
        <v>100.97410000000001</v>
      </c>
      <c r="J146" s="2">
        <v>195</v>
      </c>
      <c r="K146" s="2">
        <v>102.5891</v>
      </c>
      <c r="L146" s="2">
        <v>183</v>
      </c>
      <c r="M146" s="2">
        <v>99.018699999999995</v>
      </c>
      <c r="N146" s="2">
        <v>100</v>
      </c>
      <c r="O146" s="2">
        <v>0.55598800000000004</v>
      </c>
      <c r="P146" s="2">
        <v>137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</row>
    <row r="147" spans="1:47" ht="12.3" hidden="1" x14ac:dyDescent="0.4">
      <c r="A147" s="2" t="s">
        <v>68</v>
      </c>
      <c r="B147" s="2"/>
      <c r="C147" s="2">
        <v>67.442099999999996</v>
      </c>
      <c r="D147" s="2">
        <v>62</v>
      </c>
      <c r="E147" s="2">
        <v>66.553399999999996</v>
      </c>
      <c r="F147" s="2">
        <v>86</v>
      </c>
      <c r="G147" s="2">
        <v>102.3048</v>
      </c>
      <c r="H147" s="2">
        <v>171</v>
      </c>
      <c r="I147" s="2">
        <v>102.60120000000001</v>
      </c>
      <c r="J147" s="2">
        <v>159</v>
      </c>
      <c r="K147" s="2">
        <v>99.929900000000004</v>
      </c>
      <c r="L147" s="2">
        <v>123</v>
      </c>
      <c r="M147" s="2">
        <v>100.6144</v>
      </c>
      <c r="N147" s="2">
        <v>133</v>
      </c>
      <c r="O147" s="2">
        <v>0.55598099999999995</v>
      </c>
      <c r="P147" s="2">
        <v>138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</row>
    <row r="148" spans="1:47" ht="12.3" hidden="1" x14ac:dyDescent="0.4">
      <c r="A148" s="2" t="s">
        <v>330</v>
      </c>
      <c r="B148" s="2"/>
      <c r="C148" s="2">
        <v>62.913800000000002</v>
      </c>
      <c r="D148" s="2">
        <v>276</v>
      </c>
      <c r="E148" s="2">
        <v>62.485399999999998</v>
      </c>
      <c r="F148" s="2">
        <v>286</v>
      </c>
      <c r="G148" s="2">
        <v>108.5372</v>
      </c>
      <c r="H148" s="2">
        <v>51</v>
      </c>
      <c r="I148" s="2">
        <v>106.1998</v>
      </c>
      <c r="J148" s="2">
        <v>86</v>
      </c>
      <c r="K148" s="2">
        <v>105.0124</v>
      </c>
      <c r="L148" s="2">
        <v>238</v>
      </c>
      <c r="M148" s="2">
        <v>104.16540000000001</v>
      </c>
      <c r="N148" s="2">
        <v>207</v>
      </c>
      <c r="O148" s="2">
        <v>0.55538100000000001</v>
      </c>
      <c r="P148" s="2">
        <v>139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</row>
    <row r="149" spans="1:47" ht="12.3" hidden="1" x14ac:dyDescent="0.4">
      <c r="A149" s="2" t="s">
        <v>162</v>
      </c>
      <c r="B149" s="2"/>
      <c r="C149" s="2">
        <v>64.758899999999997</v>
      </c>
      <c r="D149" s="2">
        <v>175</v>
      </c>
      <c r="E149" s="2">
        <v>64.8078</v>
      </c>
      <c r="F149" s="2">
        <v>163</v>
      </c>
      <c r="G149" s="2">
        <v>107.59180000000001</v>
      </c>
      <c r="H149" s="2">
        <v>57</v>
      </c>
      <c r="I149" s="2">
        <v>106.25</v>
      </c>
      <c r="J149" s="2">
        <v>84</v>
      </c>
      <c r="K149" s="2">
        <v>106.0688</v>
      </c>
      <c r="L149" s="2">
        <v>263</v>
      </c>
      <c r="M149" s="2">
        <v>104.3518</v>
      </c>
      <c r="N149" s="2">
        <v>209</v>
      </c>
      <c r="O149" s="2">
        <v>0.55164299999999999</v>
      </c>
      <c r="P149" s="2">
        <v>140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</row>
    <row r="150" spans="1:47" ht="12.3" hidden="1" x14ac:dyDescent="0.4">
      <c r="A150" s="2" t="s">
        <v>115</v>
      </c>
      <c r="B150" s="2"/>
      <c r="C150" s="2">
        <v>61.960799999999999</v>
      </c>
      <c r="D150" s="2">
        <v>306</v>
      </c>
      <c r="E150" s="2">
        <v>62.491799999999998</v>
      </c>
      <c r="F150" s="2">
        <v>285</v>
      </c>
      <c r="G150" s="2">
        <v>98.853499999999997</v>
      </c>
      <c r="H150" s="2">
        <v>247</v>
      </c>
      <c r="I150" s="2">
        <v>98.918300000000002</v>
      </c>
      <c r="J150" s="2">
        <v>242</v>
      </c>
      <c r="K150" s="2">
        <v>96.384600000000006</v>
      </c>
      <c r="L150" s="2">
        <v>55</v>
      </c>
      <c r="M150" s="2">
        <v>97.174000000000007</v>
      </c>
      <c r="N150" s="2">
        <v>73</v>
      </c>
      <c r="O150" s="2">
        <v>0.55096999999999996</v>
      </c>
      <c r="P150" s="2">
        <v>141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spans="1:47" ht="12.3" hidden="1" x14ac:dyDescent="0.4">
      <c r="A151" s="2" t="s">
        <v>113</v>
      </c>
      <c r="B151" s="2"/>
      <c r="C151" s="2">
        <v>67.692999999999998</v>
      </c>
      <c r="D151" s="2">
        <v>57</v>
      </c>
      <c r="E151" s="2">
        <v>67.999799999999993</v>
      </c>
      <c r="F151" s="2">
        <v>34</v>
      </c>
      <c r="G151" s="2">
        <v>98.200199999999995</v>
      </c>
      <c r="H151" s="2">
        <v>257</v>
      </c>
      <c r="I151" s="2">
        <v>103.4796</v>
      </c>
      <c r="J151" s="2">
        <v>138</v>
      </c>
      <c r="K151" s="2">
        <v>105.4881</v>
      </c>
      <c r="L151" s="2">
        <v>251</v>
      </c>
      <c r="M151" s="2">
        <v>101.745</v>
      </c>
      <c r="N151" s="2">
        <v>154</v>
      </c>
      <c r="O151" s="2">
        <v>0.54844800000000005</v>
      </c>
      <c r="P151" s="2">
        <v>142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</row>
    <row r="152" spans="1:47" ht="12.3" hidden="1" x14ac:dyDescent="0.4">
      <c r="A152" s="2" t="s">
        <v>228</v>
      </c>
      <c r="B152" s="2"/>
      <c r="C152" s="2">
        <v>61.779000000000003</v>
      </c>
      <c r="D152" s="2">
        <v>309</v>
      </c>
      <c r="E152" s="2">
        <v>61.572899999999997</v>
      </c>
      <c r="F152" s="2">
        <v>314</v>
      </c>
      <c r="G152" s="2">
        <v>99.896900000000002</v>
      </c>
      <c r="H152" s="2">
        <v>222</v>
      </c>
      <c r="I152" s="2">
        <v>100.5522</v>
      </c>
      <c r="J152" s="2">
        <v>208</v>
      </c>
      <c r="K152" s="2">
        <v>98.623000000000005</v>
      </c>
      <c r="L152" s="2">
        <v>97</v>
      </c>
      <c r="M152" s="2">
        <v>98.9024</v>
      </c>
      <c r="N152" s="2">
        <v>96</v>
      </c>
      <c r="O152" s="2">
        <v>0.54741899999999999</v>
      </c>
      <c r="P152" s="2">
        <v>143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spans="1:47" ht="12.3" hidden="1" x14ac:dyDescent="0.4">
      <c r="A153" s="2" t="s">
        <v>150</v>
      </c>
      <c r="B153" s="2"/>
      <c r="C153" s="2">
        <v>59.482300000000002</v>
      </c>
      <c r="D153" s="2">
        <v>342</v>
      </c>
      <c r="E153" s="2">
        <v>60.724800000000002</v>
      </c>
      <c r="F153" s="2">
        <v>333</v>
      </c>
      <c r="G153" s="2">
        <v>102.22069999999999</v>
      </c>
      <c r="H153" s="2">
        <v>173</v>
      </c>
      <c r="I153" s="2">
        <v>103.1549</v>
      </c>
      <c r="J153" s="2">
        <v>145</v>
      </c>
      <c r="K153" s="2">
        <v>100.6918</v>
      </c>
      <c r="L153" s="2">
        <v>140</v>
      </c>
      <c r="M153" s="2">
        <v>101.62820000000001</v>
      </c>
      <c r="N153" s="2">
        <v>151</v>
      </c>
      <c r="O153" s="2">
        <v>0.54276400000000002</v>
      </c>
      <c r="P153" s="2">
        <v>144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</row>
    <row r="154" spans="1:47" ht="12.3" hidden="1" x14ac:dyDescent="0.4">
      <c r="A154" s="2" t="s">
        <v>173</v>
      </c>
      <c r="B154" s="2"/>
      <c r="C154" s="2">
        <v>65.632400000000004</v>
      </c>
      <c r="D154" s="2">
        <v>135</v>
      </c>
      <c r="E154" s="2">
        <v>65.941900000000004</v>
      </c>
      <c r="F154" s="2">
        <v>116</v>
      </c>
      <c r="G154" s="2">
        <v>103.8844</v>
      </c>
      <c r="H154" s="2">
        <v>130</v>
      </c>
      <c r="I154" s="2">
        <v>103.1443</v>
      </c>
      <c r="J154" s="2">
        <v>146</v>
      </c>
      <c r="K154" s="2">
        <v>103.7987</v>
      </c>
      <c r="L154" s="2">
        <v>208</v>
      </c>
      <c r="M154" s="2">
        <v>101.6806</v>
      </c>
      <c r="N154" s="2">
        <v>153</v>
      </c>
      <c r="O154" s="2">
        <v>0.54099900000000001</v>
      </c>
      <c r="P154" s="2">
        <v>146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</row>
    <row r="155" spans="1:47" ht="12.3" hidden="1" x14ac:dyDescent="0.4">
      <c r="A155" s="2" t="s">
        <v>153</v>
      </c>
      <c r="B155" s="2"/>
      <c r="C155" s="2">
        <v>64.310500000000005</v>
      </c>
      <c r="D155" s="2">
        <v>204</v>
      </c>
      <c r="E155" s="2">
        <v>63.252600000000001</v>
      </c>
      <c r="F155" s="2">
        <v>260</v>
      </c>
      <c r="G155" s="2">
        <v>100.7567</v>
      </c>
      <c r="H155" s="2">
        <v>201</v>
      </c>
      <c r="I155" s="2">
        <v>97.706299999999999</v>
      </c>
      <c r="J155" s="2">
        <v>260</v>
      </c>
      <c r="K155" s="2">
        <v>94.275400000000005</v>
      </c>
      <c r="L155" s="2">
        <v>26</v>
      </c>
      <c r="M155" s="2">
        <v>96.342600000000004</v>
      </c>
      <c r="N155" s="2">
        <v>60</v>
      </c>
      <c r="O155" s="2">
        <v>0.54032000000000002</v>
      </c>
      <c r="P155" s="2">
        <v>147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 ht="12.3" hidden="1" x14ac:dyDescent="0.4">
      <c r="A156" s="2" t="s">
        <v>176</v>
      </c>
      <c r="B156" s="2"/>
      <c r="C156" s="2">
        <v>64.850899999999996</v>
      </c>
      <c r="D156" s="2">
        <v>170</v>
      </c>
      <c r="E156" s="2">
        <v>65.3613</v>
      </c>
      <c r="F156" s="2">
        <v>142</v>
      </c>
      <c r="G156" s="2">
        <v>104.8515</v>
      </c>
      <c r="H156" s="2">
        <v>107</v>
      </c>
      <c r="I156" s="2">
        <v>105.9199</v>
      </c>
      <c r="J156" s="2">
        <v>93</v>
      </c>
      <c r="K156" s="2">
        <v>102.4628</v>
      </c>
      <c r="L156" s="2">
        <v>182</v>
      </c>
      <c r="M156" s="2">
        <v>104.6057</v>
      </c>
      <c r="N156" s="2">
        <v>215</v>
      </c>
      <c r="O156" s="2">
        <v>0.53583400000000003</v>
      </c>
      <c r="P156" s="2">
        <v>150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 ht="12.3" hidden="1" x14ac:dyDescent="0.4">
      <c r="A157" s="2" t="s">
        <v>277</v>
      </c>
      <c r="B157" s="2"/>
      <c r="C157" s="2">
        <v>65.299800000000005</v>
      </c>
      <c r="D157" s="2">
        <v>149</v>
      </c>
      <c r="E157" s="2">
        <v>64.325400000000002</v>
      </c>
      <c r="F157" s="2">
        <v>195</v>
      </c>
      <c r="G157" s="2">
        <v>103.9547</v>
      </c>
      <c r="H157" s="2">
        <v>127</v>
      </c>
      <c r="I157" s="2">
        <v>101.09820000000001</v>
      </c>
      <c r="J157" s="2">
        <v>190</v>
      </c>
      <c r="K157" s="2">
        <v>96.577200000000005</v>
      </c>
      <c r="L157" s="2">
        <v>60</v>
      </c>
      <c r="M157" s="2">
        <v>100.25700000000001</v>
      </c>
      <c r="N157" s="2">
        <v>128</v>
      </c>
      <c r="O157" s="2">
        <v>0.52400199999999997</v>
      </c>
      <c r="P157" s="2">
        <v>152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 ht="12.3" hidden="1" x14ac:dyDescent="0.4">
      <c r="A158" s="2" t="s">
        <v>63</v>
      </c>
      <c r="B158" s="2"/>
      <c r="C158" s="2">
        <v>67.276799999999994</v>
      </c>
      <c r="D158" s="2">
        <v>68</v>
      </c>
      <c r="E158" s="2">
        <v>67.494299999999996</v>
      </c>
      <c r="F158" s="2">
        <v>53</v>
      </c>
      <c r="G158" s="2">
        <v>106.2287</v>
      </c>
      <c r="H158" s="2">
        <v>83</v>
      </c>
      <c r="I158" s="2">
        <v>107.53740000000001</v>
      </c>
      <c r="J158" s="2">
        <v>66</v>
      </c>
      <c r="K158" s="2">
        <v>104.578</v>
      </c>
      <c r="L158" s="2">
        <v>227</v>
      </c>
      <c r="M158" s="2">
        <v>106.78530000000001</v>
      </c>
      <c r="N158" s="2">
        <v>265</v>
      </c>
      <c r="O158" s="2">
        <v>0.52016700000000005</v>
      </c>
      <c r="P158" s="2">
        <v>153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spans="1:47" ht="12.3" hidden="1" x14ac:dyDescent="0.4">
      <c r="A159" s="2" t="s">
        <v>42</v>
      </c>
      <c r="B159" s="2"/>
      <c r="C159" s="2">
        <v>68.758099999999999</v>
      </c>
      <c r="D159" s="2">
        <v>25</v>
      </c>
      <c r="E159" s="2">
        <v>68.704899999999995</v>
      </c>
      <c r="F159" s="2">
        <v>25</v>
      </c>
      <c r="G159" s="2">
        <v>95.722200000000001</v>
      </c>
      <c r="H159" s="2">
        <v>293</v>
      </c>
      <c r="I159" s="2">
        <v>98.609399999999994</v>
      </c>
      <c r="J159" s="2">
        <v>245</v>
      </c>
      <c r="K159" s="2">
        <v>101.5765</v>
      </c>
      <c r="L159" s="2">
        <v>163</v>
      </c>
      <c r="M159" s="2">
        <v>97.945999999999998</v>
      </c>
      <c r="N159" s="2">
        <v>86</v>
      </c>
      <c r="O159" s="2">
        <v>0.51939500000000005</v>
      </c>
      <c r="P159" s="2">
        <v>154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 ht="12.3" hidden="1" x14ac:dyDescent="0.4">
      <c r="A160" s="2" t="s">
        <v>165</v>
      </c>
      <c r="B160" s="2"/>
      <c r="C160" s="2">
        <v>66.577699999999993</v>
      </c>
      <c r="D160" s="2">
        <v>90</v>
      </c>
      <c r="E160" s="2">
        <v>66.632300000000001</v>
      </c>
      <c r="F160" s="2">
        <v>83</v>
      </c>
      <c r="G160" s="2">
        <v>107.3304</v>
      </c>
      <c r="H160" s="2">
        <v>62</v>
      </c>
      <c r="I160" s="2">
        <v>108.6431</v>
      </c>
      <c r="J160" s="2">
        <v>54</v>
      </c>
      <c r="K160" s="2">
        <v>110.62560000000001</v>
      </c>
      <c r="L160" s="2">
        <v>327</v>
      </c>
      <c r="M160" s="2">
        <v>107.998</v>
      </c>
      <c r="N160" s="2">
        <v>288</v>
      </c>
      <c r="O160" s="2">
        <v>0.51711600000000002</v>
      </c>
      <c r="P160" s="2">
        <v>155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</row>
    <row r="161" spans="1:47" ht="12.3" hidden="1" x14ac:dyDescent="0.4">
      <c r="A161" s="2" t="s">
        <v>59</v>
      </c>
      <c r="B161" s="2"/>
      <c r="C161" s="2">
        <v>62.965000000000003</v>
      </c>
      <c r="D161" s="2">
        <v>273</v>
      </c>
      <c r="E161" s="2">
        <v>61.923000000000002</v>
      </c>
      <c r="F161" s="2">
        <v>302</v>
      </c>
      <c r="G161" s="2">
        <v>95.632999999999996</v>
      </c>
      <c r="H161" s="2">
        <v>295</v>
      </c>
      <c r="I161" s="2">
        <v>100.4308</v>
      </c>
      <c r="J161" s="2">
        <v>216</v>
      </c>
      <c r="K161" s="2">
        <v>101.82810000000001</v>
      </c>
      <c r="L161" s="2">
        <v>167</v>
      </c>
      <c r="M161" s="2">
        <v>99.851799999999997</v>
      </c>
      <c r="N161" s="2">
        <v>116</v>
      </c>
      <c r="O161" s="2">
        <v>0.51661699999999999</v>
      </c>
      <c r="P161" s="2">
        <v>156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 ht="12.3" hidden="1" x14ac:dyDescent="0.4">
      <c r="A162" s="2" t="s">
        <v>189</v>
      </c>
      <c r="B162" s="2"/>
      <c r="C162" s="2">
        <v>59.279000000000003</v>
      </c>
      <c r="D162" s="2">
        <v>344</v>
      </c>
      <c r="E162" s="2">
        <v>58.895899999999997</v>
      </c>
      <c r="F162" s="2">
        <v>346</v>
      </c>
      <c r="G162" s="2">
        <v>100.0248</v>
      </c>
      <c r="H162" s="2">
        <v>216</v>
      </c>
      <c r="I162" s="2">
        <v>100.5223</v>
      </c>
      <c r="J162" s="2">
        <v>212</v>
      </c>
      <c r="K162" s="2">
        <v>101.8018</v>
      </c>
      <c r="L162" s="2">
        <v>166</v>
      </c>
      <c r="M162" s="2">
        <v>100.18210000000001</v>
      </c>
      <c r="N162" s="2">
        <v>126</v>
      </c>
      <c r="O162" s="2">
        <v>0.50974399999999997</v>
      </c>
      <c r="P162" s="2">
        <v>157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1:47" ht="12.3" hidden="1" x14ac:dyDescent="0.4">
      <c r="A163" s="2" t="s">
        <v>166</v>
      </c>
      <c r="B163" s="2"/>
      <c r="C163" s="2">
        <v>65.283799999999999</v>
      </c>
      <c r="D163" s="2">
        <v>150</v>
      </c>
      <c r="E163" s="2">
        <v>65.013999999999996</v>
      </c>
      <c r="F163" s="2">
        <v>155</v>
      </c>
      <c r="G163" s="2">
        <v>106.00369999999999</v>
      </c>
      <c r="H163" s="2">
        <v>86</v>
      </c>
      <c r="I163" s="2">
        <v>103.4679</v>
      </c>
      <c r="J163" s="2">
        <v>140</v>
      </c>
      <c r="K163" s="2">
        <v>102.36579999999999</v>
      </c>
      <c r="L163" s="2">
        <v>176</v>
      </c>
      <c r="M163" s="2">
        <v>103.32089999999999</v>
      </c>
      <c r="N163" s="2">
        <v>185</v>
      </c>
      <c r="O163" s="2">
        <v>0.50408900000000001</v>
      </c>
      <c r="P163" s="2">
        <v>158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spans="1:47" ht="12.3" hidden="1" x14ac:dyDescent="0.4">
      <c r="A164" s="2" t="s">
        <v>182</v>
      </c>
      <c r="B164" s="2"/>
      <c r="C164" s="2">
        <v>64.598699999999994</v>
      </c>
      <c r="D164" s="2">
        <v>186</v>
      </c>
      <c r="E164" s="2">
        <v>64.739400000000003</v>
      </c>
      <c r="F164" s="2">
        <v>168</v>
      </c>
      <c r="G164" s="2">
        <v>99.953500000000005</v>
      </c>
      <c r="H164" s="2">
        <v>219</v>
      </c>
      <c r="I164" s="2">
        <v>99.066599999999994</v>
      </c>
      <c r="J164" s="2">
        <v>238</v>
      </c>
      <c r="K164" s="2">
        <v>97.516199999999998</v>
      </c>
      <c r="L164" s="2">
        <v>76</v>
      </c>
      <c r="M164" s="2">
        <v>98.948599999999999</v>
      </c>
      <c r="N164" s="2">
        <v>98</v>
      </c>
      <c r="O164" s="2">
        <v>0.50342699999999996</v>
      </c>
      <c r="P164" s="2">
        <v>159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</row>
    <row r="165" spans="1:47" ht="12.3" hidden="1" x14ac:dyDescent="0.4">
      <c r="A165" s="2" t="s">
        <v>327</v>
      </c>
      <c r="B165" s="2"/>
      <c r="C165" s="2">
        <v>62.515799999999999</v>
      </c>
      <c r="D165" s="2">
        <v>290</v>
      </c>
      <c r="E165" s="2">
        <v>63.569200000000002</v>
      </c>
      <c r="F165" s="2">
        <v>247</v>
      </c>
      <c r="G165" s="2">
        <v>100.01309999999999</v>
      </c>
      <c r="H165" s="2">
        <v>217</v>
      </c>
      <c r="I165" s="2">
        <v>100.2837</v>
      </c>
      <c r="J165" s="2">
        <v>219</v>
      </c>
      <c r="K165" s="2">
        <v>98.810599999999994</v>
      </c>
      <c r="L165" s="2">
        <v>101</v>
      </c>
      <c r="M165" s="2">
        <v>100.1931</v>
      </c>
      <c r="N165" s="2">
        <v>127</v>
      </c>
      <c r="O165" s="2">
        <v>0.50259699999999996</v>
      </c>
      <c r="P165" s="2">
        <v>160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1:47" ht="12.3" hidden="1" x14ac:dyDescent="0.4">
      <c r="A166" s="2" t="s">
        <v>91</v>
      </c>
      <c r="B166" s="2"/>
      <c r="C166" s="2">
        <v>64.098399999999998</v>
      </c>
      <c r="D166" s="2">
        <v>218</v>
      </c>
      <c r="E166" s="2">
        <v>64.337599999999995</v>
      </c>
      <c r="F166" s="2">
        <v>194</v>
      </c>
      <c r="G166" s="2">
        <v>95.008600000000001</v>
      </c>
      <c r="H166" s="2">
        <v>300</v>
      </c>
      <c r="I166" s="2">
        <v>98.014399999999995</v>
      </c>
      <c r="J166" s="2">
        <v>254</v>
      </c>
      <c r="K166" s="2">
        <v>98.923599999999993</v>
      </c>
      <c r="L166" s="2">
        <v>104</v>
      </c>
      <c r="M166" s="2">
        <v>97.9298</v>
      </c>
      <c r="N166" s="2">
        <v>84</v>
      </c>
      <c r="O166" s="2">
        <v>0.50248400000000004</v>
      </c>
      <c r="P166" s="2">
        <v>161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spans="1:47" ht="12.3" hidden="1" x14ac:dyDescent="0.4">
      <c r="A167" s="2" t="s">
        <v>234</v>
      </c>
      <c r="B167" s="2"/>
      <c r="C167" s="2">
        <v>62.9786</v>
      </c>
      <c r="D167" s="2">
        <v>272</v>
      </c>
      <c r="E167" s="2">
        <v>62.1068</v>
      </c>
      <c r="F167" s="2">
        <v>299</v>
      </c>
      <c r="G167" s="2">
        <v>108.1944</v>
      </c>
      <c r="H167" s="2">
        <v>53</v>
      </c>
      <c r="I167" s="2">
        <v>103.73609999999999</v>
      </c>
      <c r="J167" s="2">
        <v>133</v>
      </c>
      <c r="K167" s="2">
        <v>103.65770000000001</v>
      </c>
      <c r="L167" s="2">
        <v>204</v>
      </c>
      <c r="M167" s="2">
        <v>103.697</v>
      </c>
      <c r="N167" s="2">
        <v>194</v>
      </c>
      <c r="O167" s="2">
        <v>0.50108299999999995</v>
      </c>
      <c r="P167" s="2">
        <v>162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spans="1:47" ht="12.3" hidden="1" x14ac:dyDescent="0.4">
      <c r="A168" s="2" t="s">
        <v>207</v>
      </c>
      <c r="B168" s="2"/>
      <c r="C168" s="2">
        <v>67.281700000000001</v>
      </c>
      <c r="D168" s="2">
        <v>67</v>
      </c>
      <c r="E168" s="2">
        <v>66.986599999999996</v>
      </c>
      <c r="F168" s="2">
        <v>69</v>
      </c>
      <c r="G168" s="2">
        <v>102.756</v>
      </c>
      <c r="H168" s="2">
        <v>159</v>
      </c>
      <c r="I168" s="2">
        <v>104.98269999999999</v>
      </c>
      <c r="J168" s="2">
        <v>110</v>
      </c>
      <c r="K168" s="2">
        <v>109.1224</v>
      </c>
      <c r="L168" s="2">
        <v>314</v>
      </c>
      <c r="M168" s="2">
        <v>105.04</v>
      </c>
      <c r="N168" s="2">
        <v>224</v>
      </c>
      <c r="O168" s="2">
        <v>0.49842999999999998</v>
      </c>
      <c r="P168" s="2">
        <v>163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spans="1:47" ht="12.3" hidden="1" x14ac:dyDescent="0.4">
      <c r="A169" s="2" t="s">
        <v>201</v>
      </c>
      <c r="B169" s="2"/>
      <c r="C169" s="2">
        <v>66.091999999999999</v>
      </c>
      <c r="D169" s="2">
        <v>111</v>
      </c>
      <c r="E169" s="2">
        <v>66.161600000000007</v>
      </c>
      <c r="F169" s="2">
        <v>105</v>
      </c>
      <c r="G169" s="2">
        <v>103.4487</v>
      </c>
      <c r="H169" s="2">
        <v>140</v>
      </c>
      <c r="I169" s="2">
        <v>101.7557</v>
      </c>
      <c r="J169" s="2">
        <v>176</v>
      </c>
      <c r="K169" s="2">
        <v>100.2715</v>
      </c>
      <c r="L169" s="2">
        <v>129</v>
      </c>
      <c r="M169" s="2">
        <v>101.8939</v>
      </c>
      <c r="N169" s="2">
        <v>157</v>
      </c>
      <c r="O169" s="2">
        <v>0.49609900000000001</v>
      </c>
      <c r="P169" s="2">
        <v>164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1:47" ht="12.3" hidden="1" x14ac:dyDescent="0.4">
      <c r="A170" s="2" t="s">
        <v>83</v>
      </c>
      <c r="B170" s="2"/>
      <c r="C170" s="2">
        <v>67.8172</v>
      </c>
      <c r="D170" s="2">
        <v>48</v>
      </c>
      <c r="E170" s="2">
        <v>67.665700000000001</v>
      </c>
      <c r="F170" s="2">
        <v>43</v>
      </c>
      <c r="G170" s="2">
        <v>100.4255</v>
      </c>
      <c r="H170" s="2">
        <v>208</v>
      </c>
      <c r="I170" s="2">
        <v>99.0702</v>
      </c>
      <c r="J170" s="2">
        <v>237</v>
      </c>
      <c r="K170" s="2">
        <v>100.1906</v>
      </c>
      <c r="L170" s="2">
        <v>128</v>
      </c>
      <c r="M170" s="2">
        <v>99.419600000000003</v>
      </c>
      <c r="N170" s="2">
        <v>108</v>
      </c>
      <c r="O170" s="2">
        <v>0.48988100000000001</v>
      </c>
      <c r="P170" s="2">
        <v>165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</row>
    <row r="171" spans="1:47" ht="12.3" hidden="1" x14ac:dyDescent="0.4">
      <c r="A171" s="2" t="s">
        <v>240</v>
      </c>
      <c r="B171" s="2"/>
      <c r="C171" s="2">
        <v>66.622600000000006</v>
      </c>
      <c r="D171" s="2">
        <v>88</v>
      </c>
      <c r="E171" s="2">
        <v>66.043800000000005</v>
      </c>
      <c r="F171" s="2">
        <v>110</v>
      </c>
      <c r="G171" s="2">
        <v>105.88339999999999</v>
      </c>
      <c r="H171" s="2">
        <v>91</v>
      </c>
      <c r="I171" s="2">
        <v>103.036</v>
      </c>
      <c r="J171" s="2">
        <v>148</v>
      </c>
      <c r="K171" s="2">
        <v>100.85599999999999</v>
      </c>
      <c r="L171" s="2">
        <v>145</v>
      </c>
      <c r="M171" s="2">
        <v>103.6468</v>
      </c>
      <c r="N171" s="2">
        <v>193</v>
      </c>
      <c r="O171" s="2">
        <v>0.48301500000000003</v>
      </c>
      <c r="P171" s="2">
        <v>166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</row>
    <row r="172" spans="1:47" ht="12.3" hidden="1" x14ac:dyDescent="0.4">
      <c r="A172" s="2" t="s">
        <v>209</v>
      </c>
      <c r="B172" s="2"/>
      <c r="C172" s="2">
        <v>63.503900000000002</v>
      </c>
      <c r="D172" s="2">
        <v>250</v>
      </c>
      <c r="E172" s="2">
        <v>62.945999999999998</v>
      </c>
      <c r="F172" s="2">
        <v>269</v>
      </c>
      <c r="G172" s="2">
        <v>101.0759</v>
      </c>
      <c r="H172" s="2">
        <v>196</v>
      </c>
      <c r="I172" s="2">
        <v>101.4195</v>
      </c>
      <c r="J172" s="2">
        <v>185</v>
      </c>
      <c r="K172" s="2">
        <v>103.81310000000001</v>
      </c>
      <c r="L172" s="2">
        <v>210</v>
      </c>
      <c r="M172" s="2">
        <v>102.0599</v>
      </c>
      <c r="N172" s="2">
        <v>161</v>
      </c>
      <c r="O172" s="2">
        <v>0.48191000000000001</v>
      </c>
      <c r="P172" s="2">
        <v>167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 ht="12.3" hidden="1" x14ac:dyDescent="0.4">
      <c r="A173" s="2" t="s">
        <v>366</v>
      </c>
      <c r="B173" s="2"/>
      <c r="C173" s="2">
        <v>66.745999999999995</v>
      </c>
      <c r="D173" s="2">
        <v>83</v>
      </c>
      <c r="E173" s="2">
        <v>66.345699999999994</v>
      </c>
      <c r="F173" s="2">
        <v>97</v>
      </c>
      <c r="G173" s="2">
        <v>102.79349999999999</v>
      </c>
      <c r="H173" s="2">
        <v>158</v>
      </c>
      <c r="I173" s="2">
        <v>101.4469</v>
      </c>
      <c r="J173" s="2">
        <v>182</v>
      </c>
      <c r="K173" s="2">
        <v>101.4066</v>
      </c>
      <c r="L173" s="2">
        <v>161</v>
      </c>
      <c r="M173" s="2">
        <v>102.2133</v>
      </c>
      <c r="N173" s="2">
        <v>165</v>
      </c>
      <c r="O173" s="2">
        <v>0.47837600000000002</v>
      </c>
      <c r="P173" s="2">
        <v>168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 ht="12.3" hidden="1" x14ac:dyDescent="0.4">
      <c r="A174" s="2" t="s">
        <v>48</v>
      </c>
      <c r="B174" s="2"/>
      <c r="C174" s="2">
        <v>64.206900000000005</v>
      </c>
      <c r="D174" s="2">
        <v>208</v>
      </c>
      <c r="E174" s="2">
        <v>64.366500000000002</v>
      </c>
      <c r="F174" s="2">
        <v>193</v>
      </c>
      <c r="G174" s="2">
        <v>96.204999999999998</v>
      </c>
      <c r="H174" s="2">
        <v>287</v>
      </c>
      <c r="I174" s="2">
        <v>98.035499999999999</v>
      </c>
      <c r="J174" s="2">
        <v>253</v>
      </c>
      <c r="K174" s="2">
        <v>100.1207</v>
      </c>
      <c r="L174" s="2">
        <v>127</v>
      </c>
      <c r="M174" s="2">
        <v>98.928799999999995</v>
      </c>
      <c r="N174" s="2">
        <v>97</v>
      </c>
      <c r="O174" s="2">
        <v>0.47394399999999998</v>
      </c>
      <c r="P174" s="2">
        <v>169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 ht="12.3" hidden="1" x14ac:dyDescent="0.4">
      <c r="A175" s="2" t="s">
        <v>271</v>
      </c>
      <c r="B175" s="2"/>
      <c r="C175" s="2">
        <v>59.939399999999999</v>
      </c>
      <c r="D175" s="2">
        <v>340</v>
      </c>
      <c r="E175" s="2">
        <v>60.894300000000001</v>
      </c>
      <c r="F175" s="2">
        <v>331</v>
      </c>
      <c r="G175" s="2">
        <v>104.9614</v>
      </c>
      <c r="H175" s="2">
        <v>102</v>
      </c>
      <c r="I175" s="2">
        <v>105.5252</v>
      </c>
      <c r="J175" s="2">
        <v>100</v>
      </c>
      <c r="K175" s="2">
        <v>103.1964</v>
      </c>
      <c r="L175" s="2">
        <v>192</v>
      </c>
      <c r="M175" s="2">
        <v>106.5531</v>
      </c>
      <c r="N175" s="2">
        <v>261</v>
      </c>
      <c r="O175" s="2">
        <v>0.47216000000000002</v>
      </c>
      <c r="P175" s="2">
        <v>170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spans="1:47" ht="12.3" hidden="1" x14ac:dyDescent="0.4">
      <c r="A176" s="2" t="s">
        <v>322</v>
      </c>
      <c r="B176" s="2"/>
      <c r="C176" s="2">
        <v>64.869</v>
      </c>
      <c r="D176" s="2">
        <v>169</v>
      </c>
      <c r="E176" s="2">
        <v>64.461500000000001</v>
      </c>
      <c r="F176" s="2">
        <v>182</v>
      </c>
      <c r="G176" s="2">
        <v>106.0014</v>
      </c>
      <c r="H176" s="2">
        <v>87</v>
      </c>
      <c r="I176" s="2">
        <v>105.5241</v>
      </c>
      <c r="J176" s="2">
        <v>101</v>
      </c>
      <c r="K176" s="2">
        <v>104.9406</v>
      </c>
      <c r="L176" s="2">
        <v>236</v>
      </c>
      <c r="M176" s="2">
        <v>106.7847</v>
      </c>
      <c r="N176" s="2">
        <v>264</v>
      </c>
      <c r="O176" s="2">
        <v>0.46590999999999999</v>
      </c>
      <c r="P176" s="2">
        <v>171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 ht="12.3" hidden="1" x14ac:dyDescent="0.4">
      <c r="A177" s="2" t="s">
        <v>267</v>
      </c>
      <c r="B177" s="2"/>
      <c r="C177" s="2">
        <v>65.795100000000005</v>
      </c>
      <c r="D177" s="2">
        <v>124</v>
      </c>
      <c r="E177" s="2">
        <v>67.570499999999996</v>
      </c>
      <c r="F177" s="2">
        <v>48</v>
      </c>
      <c r="G177" s="2">
        <v>98.700400000000002</v>
      </c>
      <c r="H177" s="2">
        <v>249</v>
      </c>
      <c r="I177" s="2">
        <v>100.0573</v>
      </c>
      <c r="J177" s="2">
        <v>226</v>
      </c>
      <c r="K177" s="2">
        <v>101.0438</v>
      </c>
      <c r="L177" s="2">
        <v>147</v>
      </c>
      <c r="M177" s="2">
        <v>101.3082</v>
      </c>
      <c r="N177" s="2">
        <v>144</v>
      </c>
      <c r="O177" s="2">
        <v>0.464339</v>
      </c>
      <c r="P177" s="2">
        <v>172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spans="1:47" ht="12.3" hidden="1" x14ac:dyDescent="0.4">
      <c r="A178" s="2" t="s">
        <v>193</v>
      </c>
      <c r="B178" s="2"/>
      <c r="C178" s="2">
        <v>62.202800000000003</v>
      </c>
      <c r="D178" s="2">
        <v>298</v>
      </c>
      <c r="E178" s="2">
        <v>61.070999999999998</v>
      </c>
      <c r="F178" s="2">
        <v>325</v>
      </c>
      <c r="G178" s="2">
        <v>96.529600000000002</v>
      </c>
      <c r="H178" s="2">
        <v>282</v>
      </c>
      <c r="I178" s="2">
        <v>95.840100000000007</v>
      </c>
      <c r="J178" s="2">
        <v>295</v>
      </c>
      <c r="K178" s="2">
        <v>95.732600000000005</v>
      </c>
      <c r="L178" s="2">
        <v>42</v>
      </c>
      <c r="M178" s="2">
        <v>97.120599999999996</v>
      </c>
      <c r="N178" s="2">
        <v>71</v>
      </c>
      <c r="O178" s="2">
        <v>0.46191599999999999</v>
      </c>
      <c r="P178" s="2">
        <v>174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spans="1:47" ht="12.3" hidden="1" x14ac:dyDescent="0.4">
      <c r="A179" s="2" t="s">
        <v>310</v>
      </c>
      <c r="B179" s="2"/>
      <c r="C179" s="2">
        <v>63.801499999999997</v>
      </c>
      <c r="D179" s="2">
        <v>238</v>
      </c>
      <c r="E179" s="2">
        <v>64.026799999999994</v>
      </c>
      <c r="F179" s="2">
        <v>210</v>
      </c>
      <c r="G179" s="2">
        <v>100.52500000000001</v>
      </c>
      <c r="H179" s="2">
        <v>207</v>
      </c>
      <c r="I179" s="2">
        <v>98.575100000000006</v>
      </c>
      <c r="J179" s="2">
        <v>246</v>
      </c>
      <c r="K179" s="2">
        <v>96.062600000000003</v>
      </c>
      <c r="L179" s="2">
        <v>46</v>
      </c>
      <c r="M179" s="2">
        <v>99.894499999999994</v>
      </c>
      <c r="N179" s="2">
        <v>119</v>
      </c>
      <c r="O179" s="2">
        <v>0.46185100000000001</v>
      </c>
      <c r="P179" s="2">
        <v>175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</row>
    <row r="180" spans="1:47" ht="12.3" hidden="1" x14ac:dyDescent="0.4">
      <c r="A180" s="2" t="s">
        <v>247</v>
      </c>
      <c r="B180" s="2"/>
      <c r="C180" s="2">
        <v>60.2911</v>
      </c>
      <c r="D180" s="2">
        <v>338</v>
      </c>
      <c r="E180" s="2">
        <v>61.139000000000003</v>
      </c>
      <c r="F180" s="2">
        <v>323</v>
      </c>
      <c r="G180" s="2">
        <v>106.63079999999999</v>
      </c>
      <c r="H180" s="2">
        <v>69</v>
      </c>
      <c r="I180" s="2">
        <v>106.39100000000001</v>
      </c>
      <c r="J180" s="2">
        <v>81</v>
      </c>
      <c r="K180" s="2">
        <v>105.5082</v>
      </c>
      <c r="L180" s="2">
        <v>252</v>
      </c>
      <c r="M180" s="2">
        <v>107.8404</v>
      </c>
      <c r="N180" s="2">
        <v>284</v>
      </c>
      <c r="O180" s="2">
        <v>0.461177</v>
      </c>
      <c r="P180" s="2">
        <v>176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</row>
    <row r="181" spans="1:47" ht="12.3" hidden="1" x14ac:dyDescent="0.4">
      <c r="A181" s="2" t="s">
        <v>280</v>
      </c>
      <c r="B181" s="2"/>
      <c r="C181" s="2">
        <v>62.099600000000002</v>
      </c>
      <c r="D181" s="2">
        <v>302</v>
      </c>
      <c r="E181" s="2">
        <v>61.668999999999997</v>
      </c>
      <c r="F181" s="2">
        <v>312</v>
      </c>
      <c r="G181" s="2">
        <v>107.7264</v>
      </c>
      <c r="H181" s="2">
        <v>55</v>
      </c>
      <c r="I181" s="2">
        <v>106.2377</v>
      </c>
      <c r="J181" s="2">
        <v>85</v>
      </c>
      <c r="K181" s="2">
        <v>105.21120000000001</v>
      </c>
      <c r="L181" s="2">
        <v>242</v>
      </c>
      <c r="M181" s="2">
        <v>107.7252</v>
      </c>
      <c r="N181" s="2">
        <v>281</v>
      </c>
      <c r="O181" s="2">
        <v>0.46010899999999999</v>
      </c>
      <c r="P181" s="2">
        <v>177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spans="1:47" ht="12.3" hidden="1" x14ac:dyDescent="0.4">
      <c r="A182" s="2" t="s">
        <v>367</v>
      </c>
      <c r="B182" s="2"/>
      <c r="C182" s="2">
        <v>64.132499999999993</v>
      </c>
      <c r="D182" s="2">
        <v>215</v>
      </c>
      <c r="E182" s="2">
        <v>63.639600000000002</v>
      </c>
      <c r="F182" s="2">
        <v>242</v>
      </c>
      <c r="G182" s="2">
        <v>107.3442</v>
      </c>
      <c r="H182" s="2">
        <v>60</v>
      </c>
      <c r="I182" s="2">
        <v>102.2701</v>
      </c>
      <c r="J182" s="2">
        <v>166</v>
      </c>
      <c r="K182" s="2">
        <v>97.946899999999999</v>
      </c>
      <c r="L182" s="2">
        <v>84</v>
      </c>
      <c r="M182" s="2">
        <v>103.7213</v>
      </c>
      <c r="N182" s="2">
        <v>195</v>
      </c>
      <c r="O182" s="2">
        <v>0.45957900000000002</v>
      </c>
      <c r="P182" s="2">
        <v>178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spans="1:47" ht="12.3" hidden="1" x14ac:dyDescent="0.4">
      <c r="A183" s="2" t="s">
        <v>369</v>
      </c>
      <c r="B183" s="2"/>
      <c r="C183" s="2">
        <v>65.109300000000005</v>
      </c>
      <c r="D183" s="2">
        <v>154</v>
      </c>
      <c r="E183" s="2">
        <v>64.439300000000003</v>
      </c>
      <c r="F183" s="2">
        <v>186</v>
      </c>
      <c r="G183" s="2">
        <v>103.6277</v>
      </c>
      <c r="H183" s="2">
        <v>135</v>
      </c>
      <c r="I183" s="2">
        <v>99.800899999999999</v>
      </c>
      <c r="J183" s="2">
        <v>229</v>
      </c>
      <c r="K183" s="2">
        <v>98.533699999999996</v>
      </c>
      <c r="L183" s="2">
        <v>96</v>
      </c>
      <c r="M183" s="2">
        <v>101.355</v>
      </c>
      <c r="N183" s="2">
        <v>145</v>
      </c>
      <c r="O183" s="2">
        <v>0.45569300000000001</v>
      </c>
      <c r="P183" s="2">
        <v>179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spans="1:47" ht="12.3" hidden="1" x14ac:dyDescent="0.4">
      <c r="A184" s="2" t="s">
        <v>274</v>
      </c>
      <c r="B184" s="2"/>
      <c r="C184" s="2">
        <v>66.520899999999997</v>
      </c>
      <c r="D184" s="2">
        <v>94</v>
      </c>
      <c r="E184" s="2">
        <v>67.208699999999993</v>
      </c>
      <c r="F184" s="2">
        <v>59</v>
      </c>
      <c r="G184" s="2">
        <v>102.2961</v>
      </c>
      <c r="H184" s="2">
        <v>172</v>
      </c>
      <c r="I184" s="2">
        <v>100.22620000000001</v>
      </c>
      <c r="J184" s="2">
        <v>221</v>
      </c>
      <c r="K184" s="2">
        <v>98.838300000000004</v>
      </c>
      <c r="L184" s="2">
        <v>103</v>
      </c>
      <c r="M184" s="2">
        <v>101.92749999999999</v>
      </c>
      <c r="N184" s="2">
        <v>158</v>
      </c>
      <c r="O184" s="2">
        <v>0.45175700000000002</v>
      </c>
      <c r="P184" s="2">
        <v>180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</row>
    <row r="185" spans="1:47" ht="12.3" hidden="1" x14ac:dyDescent="0.4">
      <c r="A185" s="2" t="s">
        <v>318</v>
      </c>
      <c r="B185" s="2"/>
      <c r="C185" s="2">
        <v>60.871299999999998</v>
      </c>
      <c r="D185" s="2">
        <v>331</v>
      </c>
      <c r="E185" s="2">
        <v>60.454500000000003</v>
      </c>
      <c r="F185" s="2">
        <v>337</v>
      </c>
      <c r="G185" s="2">
        <v>105.92319999999999</v>
      </c>
      <c r="H185" s="2">
        <v>89</v>
      </c>
      <c r="I185" s="2">
        <v>101.9469</v>
      </c>
      <c r="J185" s="2">
        <v>173</v>
      </c>
      <c r="K185" s="2">
        <v>102.3274</v>
      </c>
      <c r="L185" s="2">
        <v>175</v>
      </c>
      <c r="M185" s="2">
        <v>103.765</v>
      </c>
      <c r="N185" s="2">
        <v>197</v>
      </c>
      <c r="O185" s="2">
        <v>0.44935399999999998</v>
      </c>
      <c r="P185" s="2">
        <v>181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</row>
    <row r="186" spans="1:47" ht="12.3" hidden="1" x14ac:dyDescent="0.4">
      <c r="A186" s="2" t="s">
        <v>223</v>
      </c>
      <c r="B186" s="2"/>
      <c r="C186" s="2">
        <v>64.589100000000002</v>
      </c>
      <c r="D186" s="2">
        <v>187</v>
      </c>
      <c r="E186" s="2">
        <v>64.690899999999999</v>
      </c>
      <c r="F186" s="2">
        <v>172</v>
      </c>
      <c r="G186" s="2">
        <v>106.3395</v>
      </c>
      <c r="H186" s="2">
        <v>81</v>
      </c>
      <c r="I186" s="2">
        <v>104.20740000000001</v>
      </c>
      <c r="J186" s="2">
        <v>118</v>
      </c>
      <c r="K186" s="2">
        <v>104.435</v>
      </c>
      <c r="L186" s="2">
        <v>222</v>
      </c>
      <c r="M186" s="2">
        <v>106.21210000000001</v>
      </c>
      <c r="N186" s="2">
        <v>249</v>
      </c>
      <c r="O186" s="2">
        <v>0.445434</v>
      </c>
      <c r="P186" s="2">
        <v>182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 ht="12.3" hidden="1" x14ac:dyDescent="0.4">
      <c r="A187" s="2" t="s">
        <v>251</v>
      </c>
      <c r="B187" s="2"/>
      <c r="C187" s="2">
        <v>64.161199999999994</v>
      </c>
      <c r="D187" s="2">
        <v>213</v>
      </c>
      <c r="E187" s="2">
        <v>64.166300000000007</v>
      </c>
      <c r="F187" s="2">
        <v>203</v>
      </c>
      <c r="G187" s="2">
        <v>99.625200000000007</v>
      </c>
      <c r="H187" s="2">
        <v>229</v>
      </c>
      <c r="I187" s="2">
        <v>98.357799999999997</v>
      </c>
      <c r="J187" s="2">
        <v>248</v>
      </c>
      <c r="K187" s="2">
        <v>98.188199999999995</v>
      </c>
      <c r="L187" s="2">
        <v>88</v>
      </c>
      <c r="M187" s="2">
        <v>100.264</v>
      </c>
      <c r="N187" s="2">
        <v>131</v>
      </c>
      <c r="O187" s="2">
        <v>0.44503900000000002</v>
      </c>
      <c r="P187" s="2">
        <v>183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</row>
    <row r="188" spans="1:47" ht="12.3" hidden="1" x14ac:dyDescent="0.4">
      <c r="A188" s="2" t="s">
        <v>283</v>
      </c>
      <c r="B188" s="2"/>
      <c r="C188" s="2">
        <v>63.800400000000003</v>
      </c>
      <c r="D188" s="2">
        <v>239</v>
      </c>
      <c r="E188" s="2">
        <v>63.121699999999997</v>
      </c>
      <c r="F188" s="2">
        <v>265</v>
      </c>
      <c r="G188" s="2">
        <v>100.0273</v>
      </c>
      <c r="H188" s="2">
        <v>215</v>
      </c>
      <c r="I188" s="2">
        <v>99.487799999999993</v>
      </c>
      <c r="J188" s="2">
        <v>231</v>
      </c>
      <c r="K188" s="2">
        <v>96.933700000000002</v>
      </c>
      <c r="L188" s="2">
        <v>69</v>
      </c>
      <c r="M188" s="2">
        <v>101.4371</v>
      </c>
      <c r="N188" s="2">
        <v>148</v>
      </c>
      <c r="O188" s="2">
        <v>0.44444600000000001</v>
      </c>
      <c r="P188" s="2">
        <v>184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</row>
    <row r="189" spans="1:47" ht="12.3" hidden="1" x14ac:dyDescent="0.4">
      <c r="A189" s="2" t="s">
        <v>226</v>
      </c>
      <c r="B189" s="2"/>
      <c r="C189" s="2">
        <v>57.061700000000002</v>
      </c>
      <c r="D189" s="2">
        <v>351</v>
      </c>
      <c r="E189" s="2">
        <v>57.583199999999998</v>
      </c>
      <c r="F189" s="2">
        <v>350</v>
      </c>
      <c r="G189" s="2">
        <v>101.23260000000001</v>
      </c>
      <c r="H189" s="2">
        <v>191</v>
      </c>
      <c r="I189" s="2">
        <v>101.2268</v>
      </c>
      <c r="J189" s="2">
        <v>189</v>
      </c>
      <c r="K189" s="2">
        <v>101.2037</v>
      </c>
      <c r="L189" s="2">
        <v>153</v>
      </c>
      <c r="M189" s="2">
        <v>103.3064</v>
      </c>
      <c r="N189" s="2">
        <v>184</v>
      </c>
      <c r="O189" s="2">
        <v>0.44180199999999997</v>
      </c>
      <c r="P189" s="2">
        <v>185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</row>
    <row r="190" spans="1:47" ht="12.3" hidden="1" x14ac:dyDescent="0.4">
      <c r="A190" s="2" t="s">
        <v>132</v>
      </c>
      <c r="B190" s="2"/>
      <c r="C190" s="2">
        <v>67.912400000000005</v>
      </c>
      <c r="D190" s="2">
        <v>46</v>
      </c>
      <c r="E190" s="2">
        <v>68.029300000000006</v>
      </c>
      <c r="F190" s="2">
        <v>33</v>
      </c>
      <c r="G190" s="2">
        <v>101.0795</v>
      </c>
      <c r="H190" s="2">
        <v>195</v>
      </c>
      <c r="I190" s="2">
        <v>101.42310000000001</v>
      </c>
      <c r="J190" s="2">
        <v>184</v>
      </c>
      <c r="K190" s="2">
        <v>104.3873</v>
      </c>
      <c r="L190" s="2">
        <v>221</v>
      </c>
      <c r="M190" s="2">
        <v>103.5082</v>
      </c>
      <c r="N190" s="2">
        <v>190</v>
      </c>
      <c r="O190" s="2">
        <v>0.44175700000000001</v>
      </c>
      <c r="P190" s="2">
        <v>186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</row>
    <row r="191" spans="1:47" ht="12.3" hidden="1" x14ac:dyDescent="0.4">
      <c r="A191" s="2" t="s">
        <v>305</v>
      </c>
      <c r="B191" s="2"/>
      <c r="C191" s="2">
        <v>66.070999999999998</v>
      </c>
      <c r="D191" s="2">
        <v>114</v>
      </c>
      <c r="E191" s="2">
        <v>65.737700000000004</v>
      </c>
      <c r="F191" s="2">
        <v>126</v>
      </c>
      <c r="G191" s="2">
        <v>107.2186</v>
      </c>
      <c r="H191" s="2">
        <v>64</v>
      </c>
      <c r="I191" s="2">
        <v>105.50149999999999</v>
      </c>
      <c r="J191" s="2">
        <v>102</v>
      </c>
      <c r="K191" s="2">
        <v>105.5707</v>
      </c>
      <c r="L191" s="2">
        <v>254</v>
      </c>
      <c r="M191" s="2">
        <v>107.6758</v>
      </c>
      <c r="N191" s="2">
        <v>278</v>
      </c>
      <c r="O191" s="2">
        <v>0.44161800000000001</v>
      </c>
      <c r="P191" s="2">
        <v>187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</row>
    <row r="192" spans="1:47" ht="12.3" hidden="1" x14ac:dyDescent="0.4">
      <c r="A192" s="2" t="s">
        <v>159</v>
      </c>
      <c r="B192" s="2"/>
      <c r="C192" s="2">
        <v>64.119600000000005</v>
      </c>
      <c r="D192" s="2">
        <v>216</v>
      </c>
      <c r="E192" s="2">
        <v>63.800600000000003</v>
      </c>
      <c r="F192" s="2">
        <v>225</v>
      </c>
      <c r="G192" s="2">
        <v>101.0958</v>
      </c>
      <c r="H192" s="2">
        <v>194</v>
      </c>
      <c r="I192" s="2">
        <v>103.91200000000001</v>
      </c>
      <c r="J192" s="2">
        <v>126</v>
      </c>
      <c r="K192" s="2">
        <v>107.96899999999999</v>
      </c>
      <c r="L192" s="2">
        <v>299</v>
      </c>
      <c r="M192" s="2">
        <v>106.0578</v>
      </c>
      <c r="N192" s="2">
        <v>244</v>
      </c>
      <c r="O192" s="2">
        <v>0.44150400000000001</v>
      </c>
      <c r="P192" s="2">
        <v>188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</row>
    <row r="193" spans="1:47" ht="12.3" hidden="1" x14ac:dyDescent="0.4">
      <c r="A193" s="2" t="s">
        <v>217</v>
      </c>
      <c r="B193" s="2"/>
      <c r="C193" s="2">
        <v>61.328200000000002</v>
      </c>
      <c r="D193" s="2">
        <v>320</v>
      </c>
      <c r="E193" s="2">
        <v>61.8902</v>
      </c>
      <c r="F193" s="2">
        <v>305</v>
      </c>
      <c r="G193" s="2">
        <v>101.95529999999999</v>
      </c>
      <c r="H193" s="2">
        <v>178</v>
      </c>
      <c r="I193" s="2">
        <v>103.50539999999999</v>
      </c>
      <c r="J193" s="2">
        <v>137</v>
      </c>
      <c r="K193" s="2">
        <v>109.0847</v>
      </c>
      <c r="L193" s="2">
        <v>312</v>
      </c>
      <c r="M193" s="2">
        <v>105.6461</v>
      </c>
      <c r="N193" s="2">
        <v>236</v>
      </c>
      <c r="O193" s="2">
        <v>0.441415</v>
      </c>
      <c r="P193" s="2">
        <v>189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</row>
    <row r="194" spans="1:47" ht="12.3" hidden="1" x14ac:dyDescent="0.4">
      <c r="A194" s="2" t="s">
        <v>254</v>
      </c>
      <c r="B194" s="2"/>
      <c r="C194" s="2">
        <v>65.010499999999993</v>
      </c>
      <c r="D194" s="2">
        <v>161</v>
      </c>
      <c r="E194" s="2">
        <v>64.573400000000007</v>
      </c>
      <c r="F194" s="2">
        <v>179</v>
      </c>
      <c r="G194" s="2">
        <v>104.0416</v>
      </c>
      <c r="H194" s="2">
        <v>124</v>
      </c>
      <c r="I194" s="2">
        <v>100.3389</v>
      </c>
      <c r="J194" s="2">
        <v>218</v>
      </c>
      <c r="K194" s="2">
        <v>103.0275</v>
      </c>
      <c r="L194" s="2">
        <v>190</v>
      </c>
      <c r="M194" s="2">
        <v>102.5962</v>
      </c>
      <c r="N194" s="2">
        <v>173</v>
      </c>
      <c r="O194" s="2">
        <v>0.43638399999999999</v>
      </c>
      <c r="P194" s="2">
        <v>190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</row>
    <row r="195" spans="1:47" ht="12.3" hidden="1" x14ac:dyDescent="0.4">
      <c r="A195" s="2" t="s">
        <v>239</v>
      </c>
      <c r="B195" s="2"/>
      <c r="C195" s="2">
        <v>67.618499999999997</v>
      </c>
      <c r="D195" s="2">
        <v>58</v>
      </c>
      <c r="E195" s="2">
        <v>67.463300000000004</v>
      </c>
      <c r="F195" s="2">
        <v>54</v>
      </c>
      <c r="G195" s="2">
        <v>102.68510000000001</v>
      </c>
      <c r="H195" s="2">
        <v>164</v>
      </c>
      <c r="I195" s="2">
        <v>107.1711</v>
      </c>
      <c r="J195" s="2">
        <v>72</v>
      </c>
      <c r="K195" s="2">
        <v>111.9995</v>
      </c>
      <c r="L195" s="2">
        <v>338</v>
      </c>
      <c r="M195" s="2">
        <v>109.5917</v>
      </c>
      <c r="N195" s="2">
        <v>315</v>
      </c>
      <c r="O195" s="2">
        <v>0.43613800000000003</v>
      </c>
      <c r="P195" s="2">
        <v>191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</row>
    <row r="196" spans="1:47" ht="12.3" hidden="1" x14ac:dyDescent="0.4">
      <c r="A196" s="2" t="s">
        <v>335</v>
      </c>
      <c r="B196" s="2"/>
      <c r="C196" s="2">
        <v>61.334099999999999</v>
      </c>
      <c r="D196" s="2">
        <v>319</v>
      </c>
      <c r="E196" s="2">
        <v>60.738</v>
      </c>
      <c r="F196" s="2">
        <v>332</v>
      </c>
      <c r="G196" s="2">
        <v>98.8369</v>
      </c>
      <c r="H196" s="2">
        <v>248</v>
      </c>
      <c r="I196" s="2">
        <v>97.596299999999999</v>
      </c>
      <c r="J196" s="2">
        <v>263</v>
      </c>
      <c r="K196" s="2">
        <v>97.035200000000003</v>
      </c>
      <c r="L196" s="2">
        <v>71</v>
      </c>
      <c r="M196" s="2">
        <v>99.885000000000005</v>
      </c>
      <c r="N196" s="2">
        <v>118</v>
      </c>
      <c r="O196" s="2">
        <v>0.43374800000000002</v>
      </c>
      <c r="P196" s="2">
        <v>192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1:47" ht="12.3" hidden="1" x14ac:dyDescent="0.4">
      <c r="A197" s="2" t="s">
        <v>112</v>
      </c>
      <c r="B197" s="2"/>
      <c r="C197" s="2">
        <v>63.905099999999997</v>
      </c>
      <c r="D197" s="2">
        <v>230</v>
      </c>
      <c r="E197" s="2">
        <v>65.515600000000006</v>
      </c>
      <c r="F197" s="2">
        <v>133</v>
      </c>
      <c r="G197" s="2">
        <v>98.152000000000001</v>
      </c>
      <c r="H197" s="2">
        <v>258</v>
      </c>
      <c r="I197" s="2">
        <v>100.6512</v>
      </c>
      <c r="J197" s="2">
        <v>206</v>
      </c>
      <c r="K197" s="2">
        <v>103.60299999999999</v>
      </c>
      <c r="L197" s="2">
        <v>202</v>
      </c>
      <c r="M197" s="2">
        <v>103.1157</v>
      </c>
      <c r="N197" s="2">
        <v>182</v>
      </c>
      <c r="O197" s="2">
        <v>0.43090000000000001</v>
      </c>
      <c r="P197" s="2">
        <v>193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</row>
    <row r="198" spans="1:47" ht="12.3" hidden="1" x14ac:dyDescent="0.4">
      <c r="A198" s="2" t="s">
        <v>321</v>
      </c>
      <c r="B198" s="2"/>
      <c r="C198" s="2">
        <v>65.072299999999998</v>
      </c>
      <c r="D198" s="2">
        <v>156</v>
      </c>
      <c r="E198" s="2">
        <v>65.408000000000001</v>
      </c>
      <c r="F198" s="2">
        <v>140</v>
      </c>
      <c r="G198" s="2">
        <v>103.0446</v>
      </c>
      <c r="H198" s="2">
        <v>152</v>
      </c>
      <c r="I198" s="2">
        <v>103.4684</v>
      </c>
      <c r="J198" s="2">
        <v>139</v>
      </c>
      <c r="K198" s="2">
        <v>102.44499999999999</v>
      </c>
      <c r="L198" s="2">
        <v>181</v>
      </c>
      <c r="M198" s="2">
        <v>106.0365</v>
      </c>
      <c r="N198" s="2">
        <v>243</v>
      </c>
      <c r="O198" s="2">
        <v>0.429977</v>
      </c>
      <c r="P198" s="2">
        <v>194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</row>
    <row r="199" spans="1:47" ht="12.3" hidden="1" x14ac:dyDescent="0.4">
      <c r="A199" s="2" t="s">
        <v>167</v>
      </c>
      <c r="B199" s="2"/>
      <c r="C199" s="2">
        <v>65.67</v>
      </c>
      <c r="D199" s="2">
        <v>133</v>
      </c>
      <c r="E199" s="2">
        <v>65.264700000000005</v>
      </c>
      <c r="F199" s="2">
        <v>147</v>
      </c>
      <c r="G199" s="2">
        <v>99.746499999999997</v>
      </c>
      <c r="H199" s="2">
        <v>225</v>
      </c>
      <c r="I199" s="2">
        <v>100.80029999999999</v>
      </c>
      <c r="J199" s="2">
        <v>201</v>
      </c>
      <c r="K199" s="2">
        <v>105.4753</v>
      </c>
      <c r="L199" s="2">
        <v>250</v>
      </c>
      <c r="M199" s="2">
        <v>103.48350000000001</v>
      </c>
      <c r="N199" s="2">
        <v>188</v>
      </c>
      <c r="O199" s="2">
        <v>0.42504199999999998</v>
      </c>
      <c r="P199" s="2">
        <v>196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</row>
    <row r="200" spans="1:47" ht="12.3" hidden="1" x14ac:dyDescent="0.4">
      <c r="A200" s="2" t="s">
        <v>320</v>
      </c>
      <c r="B200" s="2"/>
      <c r="C200" s="2">
        <v>65.39</v>
      </c>
      <c r="D200" s="2">
        <v>146</v>
      </c>
      <c r="E200" s="2">
        <v>65.008399999999995</v>
      </c>
      <c r="F200" s="2">
        <v>156</v>
      </c>
      <c r="G200" s="2">
        <v>103.7974</v>
      </c>
      <c r="H200" s="2">
        <v>131</v>
      </c>
      <c r="I200" s="2">
        <v>102.5454</v>
      </c>
      <c r="J200" s="2">
        <v>160</v>
      </c>
      <c r="K200" s="2">
        <v>101.33459999999999</v>
      </c>
      <c r="L200" s="2">
        <v>158</v>
      </c>
      <c r="M200" s="2">
        <v>105.3236</v>
      </c>
      <c r="N200" s="2">
        <v>230</v>
      </c>
      <c r="O200" s="2">
        <v>0.42374499999999998</v>
      </c>
      <c r="P200" s="2">
        <v>197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</row>
    <row r="201" spans="1:47" ht="12.3" hidden="1" x14ac:dyDescent="0.4">
      <c r="A201" s="2" t="s">
        <v>302</v>
      </c>
      <c r="B201" s="2"/>
      <c r="C201" s="2">
        <v>63.3065</v>
      </c>
      <c r="D201" s="2">
        <v>258</v>
      </c>
      <c r="E201" s="2">
        <v>62.268300000000004</v>
      </c>
      <c r="F201" s="2">
        <v>295</v>
      </c>
      <c r="G201" s="2">
        <v>110.6938</v>
      </c>
      <c r="H201" s="2">
        <v>30</v>
      </c>
      <c r="I201" s="2">
        <v>106.49079999999999</v>
      </c>
      <c r="J201" s="2">
        <v>78</v>
      </c>
      <c r="K201" s="2">
        <v>108.80110000000001</v>
      </c>
      <c r="L201" s="2">
        <v>309</v>
      </c>
      <c r="M201" s="2">
        <v>109.38890000000001</v>
      </c>
      <c r="N201" s="2">
        <v>310</v>
      </c>
      <c r="O201" s="2">
        <v>0.42341099999999998</v>
      </c>
      <c r="P201" s="2">
        <v>198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</row>
    <row r="202" spans="1:47" ht="12.3" hidden="1" x14ac:dyDescent="0.4">
      <c r="A202" s="2" t="s">
        <v>270</v>
      </c>
      <c r="B202" s="2"/>
      <c r="C202" s="2">
        <v>70.124399999999994</v>
      </c>
      <c r="D202" s="2">
        <v>11</v>
      </c>
      <c r="E202" s="2">
        <v>70.229399999999998</v>
      </c>
      <c r="F202" s="2">
        <v>8</v>
      </c>
      <c r="G202" s="2">
        <v>100.6643</v>
      </c>
      <c r="H202" s="2">
        <v>205</v>
      </c>
      <c r="I202" s="2">
        <v>101.36750000000001</v>
      </c>
      <c r="J202" s="2">
        <v>187</v>
      </c>
      <c r="K202" s="2">
        <v>101.8657</v>
      </c>
      <c r="L202" s="2">
        <v>168</v>
      </c>
      <c r="M202" s="2">
        <v>104.1459</v>
      </c>
      <c r="N202" s="2">
        <v>206</v>
      </c>
      <c r="O202" s="2">
        <v>0.42288199999999998</v>
      </c>
      <c r="P202" s="2">
        <v>199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 ht="12.3" hidden="1" x14ac:dyDescent="0.4">
      <c r="A203" s="2" t="s">
        <v>122</v>
      </c>
      <c r="B203" s="2"/>
      <c r="C203" s="2">
        <v>65.497799999999998</v>
      </c>
      <c r="D203" s="2">
        <v>141</v>
      </c>
      <c r="E203" s="2">
        <v>65.235900000000001</v>
      </c>
      <c r="F203" s="2">
        <v>148</v>
      </c>
      <c r="G203" s="2">
        <v>99.899799999999999</v>
      </c>
      <c r="H203" s="2">
        <v>221</v>
      </c>
      <c r="I203" s="2">
        <v>100.9859</v>
      </c>
      <c r="J203" s="2">
        <v>193</v>
      </c>
      <c r="K203" s="2">
        <v>107.1789</v>
      </c>
      <c r="L203" s="2">
        <v>286</v>
      </c>
      <c r="M203" s="2">
        <v>103.8291</v>
      </c>
      <c r="N203" s="2">
        <v>199</v>
      </c>
      <c r="O203" s="2">
        <v>0.420846</v>
      </c>
      <c r="P203" s="2">
        <v>200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</row>
    <row r="204" spans="1:47" ht="12.3" hidden="1" x14ac:dyDescent="0.4">
      <c r="A204" s="2" t="s">
        <v>250</v>
      </c>
      <c r="B204" s="2"/>
      <c r="C204" s="2">
        <v>67.183999999999997</v>
      </c>
      <c r="D204" s="2">
        <v>73</v>
      </c>
      <c r="E204" s="2">
        <v>67.517799999999994</v>
      </c>
      <c r="F204" s="2">
        <v>52</v>
      </c>
      <c r="G204" s="2">
        <v>104.66379999999999</v>
      </c>
      <c r="H204" s="2">
        <v>114</v>
      </c>
      <c r="I204" s="2">
        <v>107.31</v>
      </c>
      <c r="J204" s="2">
        <v>70</v>
      </c>
      <c r="K204" s="2">
        <v>111.4102</v>
      </c>
      <c r="L204" s="2">
        <v>332</v>
      </c>
      <c r="M204" s="2">
        <v>110.45440000000001</v>
      </c>
      <c r="N204" s="2">
        <v>322</v>
      </c>
      <c r="O204" s="2">
        <v>0.41772100000000001</v>
      </c>
      <c r="P204" s="2">
        <v>201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spans="1:47" ht="12.3" hidden="1" x14ac:dyDescent="0.4">
      <c r="A205" s="2" t="s">
        <v>289</v>
      </c>
      <c r="B205" s="2"/>
      <c r="C205" s="2">
        <v>63.8309</v>
      </c>
      <c r="D205" s="2">
        <v>235</v>
      </c>
      <c r="E205" s="2">
        <v>64.697900000000004</v>
      </c>
      <c r="F205" s="2">
        <v>171</v>
      </c>
      <c r="G205" s="2">
        <v>105.2872</v>
      </c>
      <c r="H205" s="2">
        <v>97</v>
      </c>
      <c r="I205" s="2">
        <v>103.9209</v>
      </c>
      <c r="J205" s="2">
        <v>125</v>
      </c>
      <c r="K205" s="2">
        <v>106.3524</v>
      </c>
      <c r="L205" s="2">
        <v>269</v>
      </c>
      <c r="M205" s="2">
        <v>106.96899999999999</v>
      </c>
      <c r="N205" s="2">
        <v>269</v>
      </c>
      <c r="O205" s="2">
        <v>0.41764200000000001</v>
      </c>
      <c r="P205" s="2">
        <v>202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</row>
    <row r="206" spans="1:47" ht="12.3" hidden="1" x14ac:dyDescent="0.4">
      <c r="A206" s="2" t="s">
        <v>204</v>
      </c>
      <c r="B206" s="2"/>
      <c r="C206" s="2">
        <v>60.9649</v>
      </c>
      <c r="D206" s="2">
        <v>329</v>
      </c>
      <c r="E206" s="2">
        <v>61.915599999999998</v>
      </c>
      <c r="F206" s="2">
        <v>304</v>
      </c>
      <c r="G206" s="2">
        <v>105.70910000000001</v>
      </c>
      <c r="H206" s="2">
        <v>92</v>
      </c>
      <c r="I206" s="2">
        <v>106.0735</v>
      </c>
      <c r="J206" s="2">
        <v>88</v>
      </c>
      <c r="K206" s="2">
        <v>107.1352</v>
      </c>
      <c r="L206" s="2">
        <v>285</v>
      </c>
      <c r="M206" s="2">
        <v>109.19110000000001</v>
      </c>
      <c r="N206" s="2">
        <v>308</v>
      </c>
      <c r="O206" s="2">
        <v>0.41748099999999999</v>
      </c>
      <c r="P206" s="2">
        <v>203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</row>
    <row r="207" spans="1:47" ht="12.3" hidden="1" x14ac:dyDescent="0.4">
      <c r="A207" s="2" t="s">
        <v>326</v>
      </c>
      <c r="B207" s="2"/>
      <c r="C207" s="2">
        <v>65.808700000000002</v>
      </c>
      <c r="D207" s="2">
        <v>123</v>
      </c>
      <c r="E207" s="2">
        <v>66.706500000000005</v>
      </c>
      <c r="F207" s="2">
        <v>79</v>
      </c>
      <c r="G207" s="2">
        <v>100.2602</v>
      </c>
      <c r="H207" s="2">
        <v>211</v>
      </c>
      <c r="I207" s="2">
        <v>97.700999999999993</v>
      </c>
      <c r="J207" s="2">
        <v>261</v>
      </c>
      <c r="K207" s="2">
        <v>99.878</v>
      </c>
      <c r="L207" s="2">
        <v>121</v>
      </c>
      <c r="M207" s="2">
        <v>100.5748</v>
      </c>
      <c r="N207" s="2">
        <v>132</v>
      </c>
      <c r="O207" s="2">
        <v>0.41741600000000001</v>
      </c>
      <c r="P207" s="2">
        <v>204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</row>
    <row r="208" spans="1:47" ht="12.3" hidden="1" x14ac:dyDescent="0.4">
      <c r="A208" s="2" t="s">
        <v>231</v>
      </c>
      <c r="B208" s="2"/>
      <c r="C208" s="2">
        <v>62.579799999999999</v>
      </c>
      <c r="D208" s="2">
        <v>288</v>
      </c>
      <c r="E208" s="2">
        <v>62.55</v>
      </c>
      <c r="F208" s="2">
        <v>282</v>
      </c>
      <c r="G208" s="2">
        <v>100.0741</v>
      </c>
      <c r="H208" s="2">
        <v>213</v>
      </c>
      <c r="I208" s="2">
        <v>100.5318</v>
      </c>
      <c r="J208" s="2">
        <v>211</v>
      </c>
      <c r="K208" s="2">
        <v>103.6015</v>
      </c>
      <c r="L208" s="2">
        <v>201</v>
      </c>
      <c r="M208" s="2">
        <v>103.5136</v>
      </c>
      <c r="N208" s="2">
        <v>191</v>
      </c>
      <c r="O208" s="2">
        <v>0.41674800000000001</v>
      </c>
      <c r="P208" s="2">
        <v>205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</row>
    <row r="209" spans="1:47" ht="12.3" hidden="1" x14ac:dyDescent="0.4">
      <c r="A209" s="2" t="s">
        <v>185</v>
      </c>
      <c r="B209" s="2"/>
      <c r="C209" s="2">
        <v>66.101699999999994</v>
      </c>
      <c r="D209" s="2">
        <v>110</v>
      </c>
      <c r="E209" s="2">
        <v>66.003500000000003</v>
      </c>
      <c r="F209" s="2">
        <v>113</v>
      </c>
      <c r="G209" s="2">
        <v>104.91759999999999</v>
      </c>
      <c r="H209" s="2">
        <v>104</v>
      </c>
      <c r="I209" s="2">
        <v>104.4879</v>
      </c>
      <c r="J209" s="2">
        <v>116</v>
      </c>
      <c r="K209" s="2">
        <v>106.0124</v>
      </c>
      <c r="L209" s="2">
        <v>261</v>
      </c>
      <c r="M209" s="2">
        <v>107.74250000000001</v>
      </c>
      <c r="N209" s="2">
        <v>282</v>
      </c>
      <c r="O209" s="2">
        <v>0.412717</v>
      </c>
      <c r="P209" s="2">
        <v>206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 ht="12.3" hidden="1" x14ac:dyDescent="0.4">
      <c r="A210" s="2" t="s">
        <v>200</v>
      </c>
      <c r="B210" s="2"/>
      <c r="C210" s="2">
        <v>64.328000000000003</v>
      </c>
      <c r="D210" s="2">
        <v>201</v>
      </c>
      <c r="E210" s="2">
        <v>64.441299999999998</v>
      </c>
      <c r="F210" s="2">
        <v>185</v>
      </c>
      <c r="G210" s="2">
        <v>103.9149</v>
      </c>
      <c r="H210" s="2">
        <v>129</v>
      </c>
      <c r="I210" s="2">
        <v>102.8428</v>
      </c>
      <c r="J210" s="2">
        <v>153</v>
      </c>
      <c r="K210" s="2">
        <v>105.3258</v>
      </c>
      <c r="L210" s="2">
        <v>247</v>
      </c>
      <c r="M210" s="2">
        <v>106.134</v>
      </c>
      <c r="N210" s="2">
        <v>246</v>
      </c>
      <c r="O210" s="2">
        <v>0.41041100000000003</v>
      </c>
      <c r="P210" s="2">
        <v>208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</row>
    <row r="211" spans="1:47" ht="12.3" hidden="1" x14ac:dyDescent="0.4">
      <c r="A211" s="2" t="s">
        <v>333</v>
      </c>
      <c r="B211" s="2"/>
      <c r="C211" s="2">
        <v>64.201099999999997</v>
      </c>
      <c r="D211" s="2">
        <v>209</v>
      </c>
      <c r="E211" s="2">
        <v>64.698400000000007</v>
      </c>
      <c r="F211" s="2">
        <v>170</v>
      </c>
      <c r="G211" s="2">
        <v>93.838300000000004</v>
      </c>
      <c r="H211" s="2">
        <v>313</v>
      </c>
      <c r="I211" s="2">
        <v>94.561000000000007</v>
      </c>
      <c r="J211" s="2">
        <v>311</v>
      </c>
      <c r="K211" s="2">
        <v>96.267200000000003</v>
      </c>
      <c r="L211" s="2">
        <v>50</v>
      </c>
      <c r="M211" s="2">
        <v>97.628900000000002</v>
      </c>
      <c r="N211" s="2">
        <v>80</v>
      </c>
      <c r="O211" s="2">
        <v>0.40922399999999998</v>
      </c>
      <c r="P211" s="2">
        <v>209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</row>
    <row r="212" spans="1:47" ht="12.3" hidden="1" x14ac:dyDescent="0.4">
      <c r="A212" s="2" t="s">
        <v>73</v>
      </c>
      <c r="B212" s="2"/>
      <c r="C212" s="2">
        <v>63.2254</v>
      </c>
      <c r="D212" s="2">
        <v>260</v>
      </c>
      <c r="E212" s="2">
        <v>62.559399999999997</v>
      </c>
      <c r="F212" s="2">
        <v>280</v>
      </c>
      <c r="G212" s="2">
        <v>93.997799999999998</v>
      </c>
      <c r="H212" s="2">
        <v>309</v>
      </c>
      <c r="I212" s="2">
        <v>98.911900000000003</v>
      </c>
      <c r="J212" s="2">
        <v>243</v>
      </c>
      <c r="K212" s="2">
        <v>106.9547</v>
      </c>
      <c r="L212" s="2">
        <v>282</v>
      </c>
      <c r="M212" s="2">
        <v>102.15479999999999</v>
      </c>
      <c r="N212" s="2">
        <v>163</v>
      </c>
      <c r="O212" s="2">
        <v>0.408304</v>
      </c>
      <c r="P212" s="2">
        <v>210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</row>
    <row r="213" spans="1:47" ht="12.3" hidden="1" x14ac:dyDescent="0.4">
      <c r="A213" s="2" t="s">
        <v>249</v>
      </c>
      <c r="B213" s="2"/>
      <c r="C213" s="2">
        <v>66.246899999999997</v>
      </c>
      <c r="D213" s="2">
        <v>104</v>
      </c>
      <c r="E213" s="2">
        <v>65.754300000000001</v>
      </c>
      <c r="F213" s="2">
        <v>124</v>
      </c>
      <c r="G213" s="2">
        <v>96.489599999999996</v>
      </c>
      <c r="H213" s="2">
        <v>284</v>
      </c>
      <c r="I213" s="2">
        <v>100.38930000000001</v>
      </c>
      <c r="J213" s="2">
        <v>217</v>
      </c>
      <c r="K213" s="2">
        <v>103.6317</v>
      </c>
      <c r="L213" s="2">
        <v>203</v>
      </c>
      <c r="M213" s="2">
        <v>103.72329999999999</v>
      </c>
      <c r="N213" s="2">
        <v>196</v>
      </c>
      <c r="O213" s="2">
        <v>0.40716000000000002</v>
      </c>
      <c r="P213" s="2">
        <v>211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</row>
    <row r="214" spans="1:47" ht="12.3" hidden="1" x14ac:dyDescent="0.4">
      <c r="A214" s="2" t="s">
        <v>211</v>
      </c>
      <c r="B214" s="2"/>
      <c r="C214" s="2">
        <v>67.697500000000005</v>
      </c>
      <c r="D214" s="2">
        <v>56</v>
      </c>
      <c r="E214" s="2">
        <v>67.821100000000001</v>
      </c>
      <c r="F214" s="2">
        <v>38</v>
      </c>
      <c r="G214" s="2">
        <v>106.2987</v>
      </c>
      <c r="H214" s="2">
        <v>82</v>
      </c>
      <c r="I214" s="2">
        <v>105.26609999999999</v>
      </c>
      <c r="J214" s="2">
        <v>105</v>
      </c>
      <c r="K214" s="2">
        <v>109.04219999999999</v>
      </c>
      <c r="L214" s="2">
        <v>311</v>
      </c>
      <c r="M214" s="2">
        <v>108.7811</v>
      </c>
      <c r="N214" s="2">
        <v>302</v>
      </c>
      <c r="O214" s="2">
        <v>0.40667500000000001</v>
      </c>
      <c r="P214" s="2">
        <v>212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 ht="12.3" hidden="1" x14ac:dyDescent="0.4">
      <c r="A215" s="2" t="s">
        <v>259</v>
      </c>
      <c r="B215" s="2"/>
      <c r="C215" s="2">
        <v>74.448599999999999</v>
      </c>
      <c r="D215" s="2">
        <v>2</v>
      </c>
      <c r="E215" s="2">
        <v>72.884900000000002</v>
      </c>
      <c r="F215" s="2">
        <v>4</v>
      </c>
      <c r="G215" s="2">
        <v>112.7389</v>
      </c>
      <c r="H215" s="2">
        <v>21</v>
      </c>
      <c r="I215" s="2">
        <v>111.43899999999999</v>
      </c>
      <c r="J215" s="2">
        <v>31</v>
      </c>
      <c r="K215" s="2">
        <v>112.6271</v>
      </c>
      <c r="L215" s="2">
        <v>344</v>
      </c>
      <c r="M215" s="2">
        <v>115.2453</v>
      </c>
      <c r="N215" s="2">
        <v>348</v>
      </c>
      <c r="O215" s="2">
        <v>0.40462500000000001</v>
      </c>
      <c r="P215" s="2">
        <v>213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 ht="12.3" hidden="1" x14ac:dyDescent="0.4">
      <c r="A216" s="2" t="s">
        <v>382</v>
      </c>
      <c r="B216" s="2"/>
      <c r="C216" s="2">
        <v>68.753100000000003</v>
      </c>
      <c r="D216" s="2">
        <v>26</v>
      </c>
      <c r="E216" s="2">
        <v>67.4285</v>
      </c>
      <c r="F216" s="2">
        <v>56</v>
      </c>
      <c r="G216" s="2">
        <v>109.38379999999999</v>
      </c>
      <c r="H216" s="2">
        <v>39</v>
      </c>
      <c r="I216" s="2">
        <v>106.5021</v>
      </c>
      <c r="J216" s="2">
        <v>77</v>
      </c>
      <c r="K216" s="2">
        <v>107.5613</v>
      </c>
      <c r="L216" s="2">
        <v>293</v>
      </c>
      <c r="M216" s="2">
        <v>110.15479999999999</v>
      </c>
      <c r="N216" s="2">
        <v>319</v>
      </c>
      <c r="O216" s="2">
        <v>0.40424700000000002</v>
      </c>
      <c r="P216" s="2">
        <v>214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</row>
    <row r="217" spans="1:47" ht="12.3" hidden="1" x14ac:dyDescent="0.4">
      <c r="A217" s="2" t="s">
        <v>130</v>
      </c>
      <c r="B217" s="2"/>
      <c r="C217" s="2">
        <v>63.872599999999998</v>
      </c>
      <c r="D217" s="2">
        <v>231</v>
      </c>
      <c r="E217" s="2">
        <v>64.031700000000001</v>
      </c>
      <c r="F217" s="2">
        <v>209</v>
      </c>
      <c r="G217" s="2">
        <v>99.459699999999998</v>
      </c>
      <c r="H217" s="2">
        <v>235</v>
      </c>
      <c r="I217" s="2">
        <v>99.400599999999997</v>
      </c>
      <c r="J217" s="2">
        <v>232</v>
      </c>
      <c r="K217" s="2">
        <v>101.3391</v>
      </c>
      <c r="L217" s="2">
        <v>159</v>
      </c>
      <c r="M217" s="2">
        <v>102.8322</v>
      </c>
      <c r="N217" s="2">
        <v>177</v>
      </c>
      <c r="O217" s="2">
        <v>0.40364100000000003</v>
      </c>
      <c r="P217" s="2">
        <v>215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</row>
    <row r="218" spans="1:47" ht="12.3" hidden="1" x14ac:dyDescent="0.4">
      <c r="A218" s="2" t="s">
        <v>138</v>
      </c>
      <c r="B218" s="2"/>
      <c r="C218" s="2">
        <v>65.302499999999995</v>
      </c>
      <c r="D218" s="2">
        <v>148</v>
      </c>
      <c r="E218" s="2">
        <v>65.384200000000007</v>
      </c>
      <c r="F218" s="2">
        <v>141</v>
      </c>
      <c r="G218" s="2">
        <v>102.2076</v>
      </c>
      <c r="H218" s="2">
        <v>174</v>
      </c>
      <c r="I218" s="2">
        <v>102.6737</v>
      </c>
      <c r="J218" s="2">
        <v>158</v>
      </c>
      <c r="K218" s="2">
        <v>105.2439</v>
      </c>
      <c r="L218" s="2">
        <v>245</v>
      </c>
      <c r="M218" s="2">
        <v>106.3505</v>
      </c>
      <c r="N218" s="2">
        <v>252</v>
      </c>
      <c r="O218" s="2">
        <v>0.400202</v>
      </c>
      <c r="P218" s="2">
        <v>216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spans="1:47" ht="12.3" hidden="1" x14ac:dyDescent="0.4">
      <c r="A219" s="2" t="s">
        <v>276</v>
      </c>
      <c r="B219" s="2"/>
      <c r="C219" s="2">
        <v>63.714599999999997</v>
      </c>
      <c r="D219" s="2">
        <v>242</v>
      </c>
      <c r="E219" s="2">
        <v>62.726799999999997</v>
      </c>
      <c r="F219" s="2">
        <v>276</v>
      </c>
      <c r="G219" s="2">
        <v>102.05889999999999</v>
      </c>
      <c r="H219" s="2">
        <v>177</v>
      </c>
      <c r="I219" s="2">
        <v>99.091499999999996</v>
      </c>
      <c r="J219" s="2">
        <v>236</v>
      </c>
      <c r="K219" s="2">
        <v>101.0736</v>
      </c>
      <c r="L219" s="2">
        <v>149</v>
      </c>
      <c r="M219" s="2">
        <v>102.6953</v>
      </c>
      <c r="N219" s="2">
        <v>174</v>
      </c>
      <c r="O219" s="2">
        <v>0.39871800000000002</v>
      </c>
      <c r="P219" s="2">
        <v>217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 ht="12.3" hidden="1" x14ac:dyDescent="0.4">
      <c r="A220" s="2" t="s">
        <v>147</v>
      </c>
      <c r="B220" s="2"/>
      <c r="C220" s="2">
        <v>64.788899999999998</v>
      </c>
      <c r="D220" s="2">
        <v>172</v>
      </c>
      <c r="E220" s="2">
        <v>64.456100000000006</v>
      </c>
      <c r="F220" s="2">
        <v>183</v>
      </c>
      <c r="G220" s="2">
        <v>96.779200000000003</v>
      </c>
      <c r="H220" s="2">
        <v>274</v>
      </c>
      <c r="I220" s="2">
        <v>100.82980000000001</v>
      </c>
      <c r="J220" s="2">
        <v>199</v>
      </c>
      <c r="K220" s="2">
        <v>105.7765</v>
      </c>
      <c r="L220" s="2">
        <v>257</v>
      </c>
      <c r="M220" s="2">
        <v>104.587</v>
      </c>
      <c r="N220" s="2">
        <v>214</v>
      </c>
      <c r="O220" s="2">
        <v>0.396341</v>
      </c>
      <c r="P220" s="2">
        <v>218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spans="1:47" ht="12.3" hidden="1" x14ac:dyDescent="0.4">
      <c r="A221" s="2" t="s">
        <v>123</v>
      </c>
      <c r="B221" s="2"/>
      <c r="C221" s="2">
        <v>64.9148</v>
      </c>
      <c r="D221" s="2">
        <v>164</v>
      </c>
      <c r="E221" s="2">
        <v>65.737099999999998</v>
      </c>
      <c r="F221" s="2">
        <v>127</v>
      </c>
      <c r="G221" s="2">
        <v>91.273600000000002</v>
      </c>
      <c r="H221" s="2">
        <v>338</v>
      </c>
      <c r="I221" s="2">
        <v>96.290800000000004</v>
      </c>
      <c r="J221" s="2">
        <v>286</v>
      </c>
      <c r="K221" s="2">
        <v>103.25060000000001</v>
      </c>
      <c r="L221" s="2">
        <v>193</v>
      </c>
      <c r="M221" s="2">
        <v>99.937899999999999</v>
      </c>
      <c r="N221" s="2">
        <v>120</v>
      </c>
      <c r="O221" s="2">
        <v>0.39471699999999998</v>
      </c>
      <c r="P221" s="2">
        <v>219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 ht="12.3" hidden="1" x14ac:dyDescent="0.4">
      <c r="A222" s="2" t="s">
        <v>206</v>
      </c>
      <c r="B222" s="2"/>
      <c r="C222" s="2">
        <v>62.000799999999998</v>
      </c>
      <c r="D222" s="2">
        <v>305</v>
      </c>
      <c r="E222" s="2">
        <v>61.812100000000001</v>
      </c>
      <c r="F222" s="2">
        <v>308</v>
      </c>
      <c r="G222" s="2">
        <v>99.883899999999997</v>
      </c>
      <c r="H222" s="2">
        <v>223</v>
      </c>
      <c r="I222" s="2">
        <v>102.0099</v>
      </c>
      <c r="J222" s="2">
        <v>171</v>
      </c>
      <c r="K222" s="2">
        <v>106.1267</v>
      </c>
      <c r="L222" s="2">
        <v>265</v>
      </c>
      <c r="M222" s="2">
        <v>106.42270000000001</v>
      </c>
      <c r="N222" s="2">
        <v>256</v>
      </c>
      <c r="O222" s="2">
        <v>0.38059700000000002</v>
      </c>
      <c r="P222" s="2">
        <v>220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</row>
    <row r="223" spans="1:47" ht="12.3" hidden="1" x14ac:dyDescent="0.4">
      <c r="A223" s="2" t="s">
        <v>332</v>
      </c>
      <c r="B223" s="2"/>
      <c r="C223" s="2">
        <v>63.196800000000003</v>
      </c>
      <c r="D223" s="2">
        <v>263</v>
      </c>
      <c r="E223" s="2">
        <v>63.215200000000003</v>
      </c>
      <c r="F223" s="2">
        <v>263</v>
      </c>
      <c r="G223" s="2">
        <v>98.623599999999996</v>
      </c>
      <c r="H223" s="2">
        <v>251</v>
      </c>
      <c r="I223" s="2">
        <v>97.601799999999997</v>
      </c>
      <c r="J223" s="2">
        <v>262</v>
      </c>
      <c r="K223" s="2">
        <v>100.11</v>
      </c>
      <c r="L223" s="2">
        <v>126</v>
      </c>
      <c r="M223" s="2">
        <v>101.98350000000001</v>
      </c>
      <c r="N223" s="2">
        <v>159</v>
      </c>
      <c r="O223" s="2">
        <v>0.376361</v>
      </c>
      <c r="P223" s="2">
        <v>221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</row>
    <row r="224" spans="1:47" ht="12.3" hidden="1" x14ac:dyDescent="0.4">
      <c r="A224" s="2" t="s">
        <v>286</v>
      </c>
      <c r="B224" s="2"/>
      <c r="C224" s="2">
        <v>58.241100000000003</v>
      </c>
      <c r="D224" s="2">
        <v>349</v>
      </c>
      <c r="E224" s="2">
        <v>57.572899999999997</v>
      </c>
      <c r="F224" s="2">
        <v>351</v>
      </c>
      <c r="G224" s="2">
        <v>105.1713</v>
      </c>
      <c r="H224" s="2">
        <v>100</v>
      </c>
      <c r="I224" s="2">
        <v>103.7491</v>
      </c>
      <c r="J224" s="2">
        <v>131</v>
      </c>
      <c r="K224" s="2">
        <v>107.19880000000001</v>
      </c>
      <c r="L224" s="2">
        <v>287</v>
      </c>
      <c r="M224" s="2">
        <v>108.413</v>
      </c>
      <c r="N224" s="2">
        <v>296</v>
      </c>
      <c r="O224" s="2">
        <v>0.37620399999999998</v>
      </c>
      <c r="P224" s="2">
        <v>222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spans="1:47" ht="12.3" hidden="1" x14ac:dyDescent="0.4">
      <c r="A225" s="2" t="s">
        <v>284</v>
      </c>
      <c r="B225" s="2"/>
      <c r="C225" s="2">
        <v>65.028700000000001</v>
      </c>
      <c r="D225" s="2">
        <v>160</v>
      </c>
      <c r="E225" s="2">
        <v>65.666499999999999</v>
      </c>
      <c r="F225" s="2">
        <v>129</v>
      </c>
      <c r="G225" s="2">
        <v>96.646799999999999</v>
      </c>
      <c r="H225" s="2">
        <v>279</v>
      </c>
      <c r="I225" s="2">
        <v>95.867500000000007</v>
      </c>
      <c r="J225" s="2">
        <v>294</v>
      </c>
      <c r="K225" s="2">
        <v>102.1066</v>
      </c>
      <c r="L225" s="2">
        <v>171</v>
      </c>
      <c r="M225" s="2">
        <v>100.2585</v>
      </c>
      <c r="N225" s="2">
        <v>129</v>
      </c>
      <c r="O225" s="2">
        <v>0.37401600000000002</v>
      </c>
      <c r="P225" s="2">
        <v>223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</row>
    <row r="226" spans="1:47" ht="12.3" hidden="1" x14ac:dyDescent="0.4">
      <c r="A226" s="2" t="s">
        <v>349</v>
      </c>
      <c r="B226" s="2"/>
      <c r="C226" s="2">
        <v>63.095399999999998</v>
      </c>
      <c r="D226" s="2">
        <v>268</v>
      </c>
      <c r="E226" s="2">
        <v>62.888599999999997</v>
      </c>
      <c r="F226" s="2">
        <v>271</v>
      </c>
      <c r="G226" s="2">
        <v>97.954899999999995</v>
      </c>
      <c r="H226" s="2">
        <v>261</v>
      </c>
      <c r="I226" s="2">
        <v>96.487300000000005</v>
      </c>
      <c r="J226" s="2">
        <v>280</v>
      </c>
      <c r="K226" s="2">
        <v>100.54259999999999</v>
      </c>
      <c r="L226" s="2">
        <v>136</v>
      </c>
      <c r="M226" s="2">
        <v>100.9121</v>
      </c>
      <c r="N226" s="2">
        <v>136</v>
      </c>
      <c r="O226" s="2">
        <v>0.37387199999999998</v>
      </c>
      <c r="P226" s="2">
        <v>224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</row>
    <row r="227" spans="1:47" ht="12.3" hidden="1" x14ac:dyDescent="0.4">
      <c r="A227" s="2" t="s">
        <v>377</v>
      </c>
      <c r="B227" s="2"/>
      <c r="C227" s="2">
        <v>65.680199999999999</v>
      </c>
      <c r="D227" s="2">
        <v>132</v>
      </c>
      <c r="E227" s="2">
        <v>65.806399999999996</v>
      </c>
      <c r="F227" s="2">
        <v>122</v>
      </c>
      <c r="G227" s="2">
        <v>102.6876</v>
      </c>
      <c r="H227" s="2">
        <v>162</v>
      </c>
      <c r="I227" s="2">
        <v>101.2907</v>
      </c>
      <c r="J227" s="2">
        <v>188</v>
      </c>
      <c r="K227" s="2">
        <v>104.8353</v>
      </c>
      <c r="L227" s="2">
        <v>232</v>
      </c>
      <c r="M227" s="2">
        <v>105.9628</v>
      </c>
      <c r="N227" s="2">
        <v>242</v>
      </c>
      <c r="O227" s="2">
        <v>0.37318499999999999</v>
      </c>
      <c r="P227" s="2">
        <v>225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</row>
    <row r="228" spans="1:47" ht="12.3" hidden="1" x14ac:dyDescent="0.4">
      <c r="A228" s="2" t="s">
        <v>151</v>
      </c>
      <c r="B228" s="2"/>
      <c r="C228" s="2">
        <v>67.183199999999999</v>
      </c>
      <c r="D228" s="2">
        <v>74</v>
      </c>
      <c r="E228" s="2">
        <v>66.963399999999993</v>
      </c>
      <c r="F228" s="2">
        <v>70</v>
      </c>
      <c r="G228" s="2">
        <v>100.066</v>
      </c>
      <c r="H228" s="2">
        <v>214</v>
      </c>
      <c r="I228" s="2">
        <v>101.93640000000001</v>
      </c>
      <c r="J228" s="2">
        <v>174</v>
      </c>
      <c r="K228" s="2">
        <v>107.2591</v>
      </c>
      <c r="L228" s="2">
        <v>289</v>
      </c>
      <c r="M228" s="2">
        <v>106.7929</v>
      </c>
      <c r="N228" s="2">
        <v>266</v>
      </c>
      <c r="O228" s="2">
        <v>0.36929800000000002</v>
      </c>
      <c r="P228" s="2">
        <v>226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</row>
    <row r="229" spans="1:47" ht="12.3" hidden="1" x14ac:dyDescent="0.4">
      <c r="A229" s="2" t="s">
        <v>108</v>
      </c>
      <c r="B229" s="2"/>
      <c r="C229" s="2">
        <v>68.072500000000005</v>
      </c>
      <c r="D229" s="2">
        <v>42</v>
      </c>
      <c r="E229" s="2">
        <v>67.9773</v>
      </c>
      <c r="F229" s="2">
        <v>35</v>
      </c>
      <c r="G229" s="2">
        <v>104.3031</v>
      </c>
      <c r="H229" s="2">
        <v>119</v>
      </c>
      <c r="I229" s="2">
        <v>100.1219</v>
      </c>
      <c r="J229" s="2">
        <v>223</v>
      </c>
      <c r="K229" s="2">
        <v>105.3693</v>
      </c>
      <c r="L229" s="2">
        <v>248</v>
      </c>
      <c r="M229" s="2">
        <v>104.9644</v>
      </c>
      <c r="N229" s="2">
        <v>223</v>
      </c>
      <c r="O229" s="2">
        <v>0.367448</v>
      </c>
      <c r="P229" s="2">
        <v>227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</row>
    <row r="230" spans="1:47" ht="12.3" hidden="1" x14ac:dyDescent="0.4">
      <c r="A230" s="2" t="s">
        <v>264</v>
      </c>
      <c r="B230" s="2"/>
      <c r="C230" s="2">
        <v>62.425400000000003</v>
      </c>
      <c r="D230" s="2">
        <v>294</v>
      </c>
      <c r="E230" s="2">
        <v>62.664299999999997</v>
      </c>
      <c r="F230" s="2">
        <v>277</v>
      </c>
      <c r="G230" s="2">
        <v>98.037599999999998</v>
      </c>
      <c r="H230" s="2">
        <v>260</v>
      </c>
      <c r="I230" s="2">
        <v>97.971000000000004</v>
      </c>
      <c r="J230" s="2">
        <v>255</v>
      </c>
      <c r="K230" s="2">
        <v>103.3227</v>
      </c>
      <c r="L230" s="2">
        <v>197</v>
      </c>
      <c r="M230" s="2">
        <v>102.7543</v>
      </c>
      <c r="N230" s="2">
        <v>176</v>
      </c>
      <c r="O230" s="2">
        <v>0.366282</v>
      </c>
      <c r="P230" s="2">
        <v>228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</row>
    <row r="231" spans="1:47" ht="12.3" hidden="1" x14ac:dyDescent="0.4">
      <c r="A231" s="2" t="s">
        <v>125</v>
      </c>
      <c r="B231" s="2"/>
      <c r="C231" s="2">
        <v>65.373199999999997</v>
      </c>
      <c r="D231" s="2">
        <v>147</v>
      </c>
      <c r="E231" s="2">
        <v>64.631900000000002</v>
      </c>
      <c r="F231" s="2">
        <v>175</v>
      </c>
      <c r="G231" s="2">
        <v>102.6653</v>
      </c>
      <c r="H231" s="2">
        <v>166</v>
      </c>
      <c r="I231" s="2">
        <v>102.7692</v>
      </c>
      <c r="J231" s="2">
        <v>155</v>
      </c>
      <c r="K231" s="2">
        <v>104.8297</v>
      </c>
      <c r="L231" s="2">
        <v>231</v>
      </c>
      <c r="M231" s="2">
        <v>107.9586</v>
      </c>
      <c r="N231" s="2">
        <v>287</v>
      </c>
      <c r="O231" s="2">
        <v>0.362041</v>
      </c>
      <c r="P231" s="2">
        <v>229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</row>
    <row r="232" spans="1:47" ht="12.3" hidden="1" x14ac:dyDescent="0.4">
      <c r="A232" s="2" t="s">
        <v>161</v>
      </c>
      <c r="B232" s="2"/>
      <c r="C232" s="2">
        <v>63.5807</v>
      </c>
      <c r="D232" s="2">
        <v>248</v>
      </c>
      <c r="E232" s="2">
        <v>63.3626</v>
      </c>
      <c r="F232" s="2">
        <v>254</v>
      </c>
      <c r="G232" s="2">
        <v>96.683899999999994</v>
      </c>
      <c r="H232" s="2">
        <v>277</v>
      </c>
      <c r="I232" s="2">
        <v>97.711699999999993</v>
      </c>
      <c r="J232" s="2">
        <v>259</v>
      </c>
      <c r="K232" s="2">
        <v>99.885999999999996</v>
      </c>
      <c r="L232" s="2">
        <v>122</v>
      </c>
      <c r="M232" s="2">
        <v>102.7329</v>
      </c>
      <c r="N232" s="2">
        <v>175</v>
      </c>
      <c r="O232" s="2">
        <v>0.35978900000000003</v>
      </c>
      <c r="P232" s="2">
        <v>230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</row>
    <row r="233" spans="1:47" ht="12.3" hidden="1" x14ac:dyDescent="0.4">
      <c r="A233" s="2" t="s">
        <v>316</v>
      </c>
      <c r="B233" s="2"/>
      <c r="C233" s="2">
        <v>68.939400000000006</v>
      </c>
      <c r="D233" s="2">
        <v>23</v>
      </c>
      <c r="E233" s="2">
        <v>68.954599999999999</v>
      </c>
      <c r="F233" s="2">
        <v>23</v>
      </c>
      <c r="G233" s="2">
        <v>102.9757</v>
      </c>
      <c r="H233" s="2">
        <v>154</v>
      </c>
      <c r="I233" s="2">
        <v>102.08150000000001</v>
      </c>
      <c r="J233" s="2">
        <v>169</v>
      </c>
      <c r="K233" s="2">
        <v>104.77679999999999</v>
      </c>
      <c r="L233" s="2">
        <v>230</v>
      </c>
      <c r="M233" s="2">
        <v>107.60299999999999</v>
      </c>
      <c r="N233" s="2">
        <v>276</v>
      </c>
      <c r="O233" s="2">
        <v>0.35302099999999997</v>
      </c>
      <c r="P233" s="2">
        <v>231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</row>
    <row r="234" spans="1:47" ht="12.3" hidden="1" x14ac:dyDescent="0.4">
      <c r="A234" s="2" t="s">
        <v>380</v>
      </c>
      <c r="B234" s="2"/>
      <c r="C234" s="2">
        <v>64.741299999999995</v>
      </c>
      <c r="D234" s="2">
        <v>177</v>
      </c>
      <c r="E234" s="2">
        <v>63.930500000000002</v>
      </c>
      <c r="F234" s="2">
        <v>219</v>
      </c>
      <c r="G234" s="2">
        <v>104.7701</v>
      </c>
      <c r="H234" s="2">
        <v>110</v>
      </c>
      <c r="I234" s="2">
        <v>102.932</v>
      </c>
      <c r="J234" s="2">
        <v>151</v>
      </c>
      <c r="K234" s="2">
        <v>107.9808</v>
      </c>
      <c r="L234" s="2">
        <v>300</v>
      </c>
      <c r="M234" s="2">
        <v>108.7264</v>
      </c>
      <c r="N234" s="2">
        <v>300</v>
      </c>
      <c r="O234" s="2">
        <v>0.34755200000000003</v>
      </c>
      <c r="P234" s="2">
        <v>232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</row>
    <row r="235" spans="1:47" ht="12.3" hidden="1" x14ac:dyDescent="0.4">
      <c r="A235" s="2" t="s">
        <v>304</v>
      </c>
      <c r="B235" s="2"/>
      <c r="C235" s="2">
        <v>68.210499999999996</v>
      </c>
      <c r="D235" s="2">
        <v>37</v>
      </c>
      <c r="E235" s="2">
        <v>67.572500000000005</v>
      </c>
      <c r="F235" s="2">
        <v>47</v>
      </c>
      <c r="G235" s="2">
        <v>110.2294</v>
      </c>
      <c r="H235" s="2">
        <v>32</v>
      </c>
      <c r="I235" s="2">
        <v>105.00620000000001</v>
      </c>
      <c r="J235" s="2">
        <v>109</v>
      </c>
      <c r="K235" s="2">
        <v>111.4926</v>
      </c>
      <c r="L235" s="2">
        <v>334</v>
      </c>
      <c r="M235" s="2">
        <v>110.92740000000001</v>
      </c>
      <c r="N235" s="2">
        <v>325</v>
      </c>
      <c r="O235" s="2">
        <v>0.34731699999999999</v>
      </c>
      <c r="P235" s="2">
        <v>233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</row>
    <row r="236" spans="1:47" ht="12.3" hidden="1" x14ac:dyDescent="0.4">
      <c r="A236" s="2" t="s">
        <v>82</v>
      </c>
      <c r="B236" s="2"/>
      <c r="C236" s="2">
        <v>61.508600000000001</v>
      </c>
      <c r="D236" s="2">
        <v>316</v>
      </c>
      <c r="E236" s="2">
        <v>62.896700000000003</v>
      </c>
      <c r="F236" s="2">
        <v>270</v>
      </c>
      <c r="G236" s="2">
        <v>95.915499999999994</v>
      </c>
      <c r="H236" s="2">
        <v>291</v>
      </c>
      <c r="I236" s="2">
        <v>96.059200000000004</v>
      </c>
      <c r="J236" s="2">
        <v>291</v>
      </c>
      <c r="K236" s="2">
        <v>100.81189999999999</v>
      </c>
      <c r="L236" s="2">
        <v>143</v>
      </c>
      <c r="M236" s="2">
        <v>101.5154</v>
      </c>
      <c r="N236" s="2">
        <v>149</v>
      </c>
      <c r="O236" s="2">
        <v>0.346304</v>
      </c>
      <c r="P236" s="2">
        <v>234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 ht="12.3" hidden="1" x14ac:dyDescent="0.4">
      <c r="A237" s="2" t="s">
        <v>246</v>
      </c>
      <c r="B237" s="2"/>
      <c r="C237" s="2">
        <v>66.464200000000005</v>
      </c>
      <c r="D237" s="2">
        <v>98</v>
      </c>
      <c r="E237" s="2">
        <v>66.089699999999993</v>
      </c>
      <c r="F237" s="2">
        <v>109</v>
      </c>
      <c r="G237" s="2">
        <v>102.67</v>
      </c>
      <c r="H237" s="2">
        <v>165</v>
      </c>
      <c r="I237" s="2">
        <v>99.016300000000001</v>
      </c>
      <c r="J237" s="2">
        <v>239</v>
      </c>
      <c r="K237" s="2">
        <v>105.9755</v>
      </c>
      <c r="L237" s="2">
        <v>260</v>
      </c>
      <c r="M237" s="2">
        <v>104.759</v>
      </c>
      <c r="N237" s="2">
        <v>217</v>
      </c>
      <c r="O237" s="2">
        <v>0.343362</v>
      </c>
      <c r="P237" s="2">
        <v>235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</row>
    <row r="238" spans="1:47" ht="12.3" hidden="1" x14ac:dyDescent="0.4">
      <c r="A238" s="2" t="s">
        <v>303</v>
      </c>
      <c r="B238" s="2"/>
      <c r="C238" s="2">
        <v>66.474900000000005</v>
      </c>
      <c r="D238" s="2">
        <v>96</v>
      </c>
      <c r="E238" s="2">
        <v>66.453000000000003</v>
      </c>
      <c r="F238" s="2">
        <v>91</v>
      </c>
      <c r="G238" s="2">
        <v>101.8235</v>
      </c>
      <c r="H238" s="2">
        <v>179</v>
      </c>
      <c r="I238" s="2">
        <v>101.02630000000001</v>
      </c>
      <c r="J238" s="2">
        <v>192</v>
      </c>
      <c r="K238" s="2">
        <v>104.2723</v>
      </c>
      <c r="L238" s="2">
        <v>219</v>
      </c>
      <c r="M238" s="2">
        <v>106.9331</v>
      </c>
      <c r="N238" s="2">
        <v>268</v>
      </c>
      <c r="O238" s="2">
        <v>0.34221000000000001</v>
      </c>
      <c r="P238" s="2">
        <v>236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spans="1:47" ht="12.3" hidden="1" x14ac:dyDescent="0.4">
      <c r="A239" s="2" t="s">
        <v>126</v>
      </c>
      <c r="B239" s="2"/>
      <c r="C239" s="2">
        <v>61.775700000000001</v>
      </c>
      <c r="D239" s="2">
        <v>310</v>
      </c>
      <c r="E239" s="2">
        <v>61.863999999999997</v>
      </c>
      <c r="F239" s="2">
        <v>306</v>
      </c>
      <c r="G239" s="2">
        <v>100.2826</v>
      </c>
      <c r="H239" s="2">
        <v>210</v>
      </c>
      <c r="I239" s="2">
        <v>100.4773</v>
      </c>
      <c r="J239" s="2">
        <v>214</v>
      </c>
      <c r="K239" s="2">
        <v>110.9314</v>
      </c>
      <c r="L239" s="2">
        <v>330</v>
      </c>
      <c r="M239" s="2">
        <v>106.4131</v>
      </c>
      <c r="N239" s="2">
        <v>255</v>
      </c>
      <c r="O239" s="2">
        <v>0.340725</v>
      </c>
      <c r="P239" s="2">
        <v>237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</row>
    <row r="240" spans="1:47" ht="12.3" hidden="1" x14ac:dyDescent="0.4">
      <c r="A240" s="2" t="s">
        <v>375</v>
      </c>
      <c r="B240" s="2"/>
      <c r="C240" s="2">
        <v>63.753700000000002</v>
      </c>
      <c r="D240" s="2">
        <v>241</v>
      </c>
      <c r="E240" s="2">
        <v>63.304699999999997</v>
      </c>
      <c r="F240" s="2">
        <v>256</v>
      </c>
      <c r="G240" s="2">
        <v>103.09569999999999</v>
      </c>
      <c r="H240" s="2">
        <v>149</v>
      </c>
      <c r="I240" s="2">
        <v>102.7565</v>
      </c>
      <c r="J240" s="2">
        <v>156</v>
      </c>
      <c r="K240" s="2">
        <v>105.2341</v>
      </c>
      <c r="L240" s="2">
        <v>244</v>
      </c>
      <c r="M240" s="2">
        <v>108.9341</v>
      </c>
      <c r="N240" s="2">
        <v>305</v>
      </c>
      <c r="O240" s="2">
        <v>0.33818700000000002</v>
      </c>
      <c r="P240" s="2">
        <v>238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 ht="12.3" hidden="1" x14ac:dyDescent="0.4">
      <c r="A241" s="2" t="s">
        <v>354</v>
      </c>
      <c r="B241" s="2"/>
      <c r="C241" s="2">
        <v>62.887799999999999</v>
      </c>
      <c r="D241" s="2">
        <v>278</v>
      </c>
      <c r="E241" s="2">
        <v>61.579099999999997</v>
      </c>
      <c r="F241" s="2">
        <v>313</v>
      </c>
      <c r="G241" s="2">
        <v>92.350200000000001</v>
      </c>
      <c r="H241" s="2">
        <v>328</v>
      </c>
      <c r="I241" s="2">
        <v>91.585300000000004</v>
      </c>
      <c r="J241" s="2">
        <v>332</v>
      </c>
      <c r="K241" s="2">
        <v>95.847700000000003</v>
      </c>
      <c r="L241" s="2">
        <v>44</v>
      </c>
      <c r="M241" s="2">
        <v>97.158199999999994</v>
      </c>
      <c r="N241" s="2">
        <v>72</v>
      </c>
      <c r="O241" s="2">
        <v>0.33641700000000002</v>
      </c>
      <c r="P241" s="2">
        <v>239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</row>
    <row r="242" spans="1:47" ht="12.3" hidden="1" x14ac:dyDescent="0.4">
      <c r="A242" s="2" t="s">
        <v>281</v>
      </c>
      <c r="B242" s="2"/>
      <c r="C242" s="2">
        <v>68.733900000000006</v>
      </c>
      <c r="D242" s="2">
        <v>27</v>
      </c>
      <c r="E242" s="2">
        <v>68.295000000000002</v>
      </c>
      <c r="F242" s="2">
        <v>29</v>
      </c>
      <c r="G242" s="2">
        <v>102.8931</v>
      </c>
      <c r="H242" s="2">
        <v>155</v>
      </c>
      <c r="I242" s="2">
        <v>100.6614</v>
      </c>
      <c r="J242" s="2">
        <v>205</v>
      </c>
      <c r="K242" s="2">
        <v>105.03270000000001</v>
      </c>
      <c r="L242" s="2">
        <v>239</v>
      </c>
      <c r="M242" s="2">
        <v>106.79649999999999</v>
      </c>
      <c r="N242" s="2">
        <v>267</v>
      </c>
      <c r="O242" s="2">
        <v>0.33617900000000001</v>
      </c>
      <c r="P242" s="2">
        <v>240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</row>
    <row r="243" spans="1:47" ht="12.3" hidden="1" x14ac:dyDescent="0.4">
      <c r="A243" s="2" t="s">
        <v>184</v>
      </c>
      <c r="B243" s="2"/>
      <c r="C243" s="2">
        <v>66.495400000000004</v>
      </c>
      <c r="D243" s="2">
        <v>95</v>
      </c>
      <c r="E243" s="2">
        <v>65.850499999999997</v>
      </c>
      <c r="F243" s="2">
        <v>119</v>
      </c>
      <c r="G243" s="2">
        <v>96.394599999999997</v>
      </c>
      <c r="H243" s="2">
        <v>285</v>
      </c>
      <c r="I243" s="2">
        <v>97.518600000000006</v>
      </c>
      <c r="J243" s="2">
        <v>265</v>
      </c>
      <c r="K243" s="2">
        <v>102.9288</v>
      </c>
      <c r="L243" s="2">
        <v>186</v>
      </c>
      <c r="M243" s="2">
        <v>103.50709999999999</v>
      </c>
      <c r="N243" s="2">
        <v>189</v>
      </c>
      <c r="O243" s="2">
        <v>0.335065</v>
      </c>
      <c r="P243" s="2">
        <v>241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</row>
    <row r="244" spans="1:47" ht="12.3" hidden="1" x14ac:dyDescent="0.4">
      <c r="A244" s="2" t="s">
        <v>203</v>
      </c>
      <c r="B244" s="2"/>
      <c r="C244" s="2">
        <v>63.603000000000002</v>
      </c>
      <c r="D244" s="2">
        <v>246</v>
      </c>
      <c r="E244" s="2">
        <v>64.801199999999994</v>
      </c>
      <c r="F244" s="2">
        <v>164</v>
      </c>
      <c r="G244" s="2">
        <v>105.973</v>
      </c>
      <c r="H244" s="2">
        <v>88</v>
      </c>
      <c r="I244" s="2">
        <v>103.7227</v>
      </c>
      <c r="J244" s="2">
        <v>134</v>
      </c>
      <c r="K244" s="2">
        <v>110.0368</v>
      </c>
      <c r="L244" s="2">
        <v>325</v>
      </c>
      <c r="M244" s="2">
        <v>110.1712</v>
      </c>
      <c r="N244" s="2">
        <v>320</v>
      </c>
      <c r="O244" s="2">
        <v>0.33323000000000003</v>
      </c>
      <c r="P244" s="2">
        <v>242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spans="1:47" ht="12.3" hidden="1" x14ac:dyDescent="0.4">
      <c r="A245" s="2" t="s">
        <v>178</v>
      </c>
      <c r="B245" s="2"/>
      <c r="C245" s="2">
        <v>63.181699999999999</v>
      </c>
      <c r="D245" s="2">
        <v>265</v>
      </c>
      <c r="E245" s="2">
        <v>63.948599999999999</v>
      </c>
      <c r="F245" s="2">
        <v>217</v>
      </c>
      <c r="G245" s="2">
        <v>100.91800000000001</v>
      </c>
      <c r="H245" s="2">
        <v>198</v>
      </c>
      <c r="I245" s="2">
        <v>100.0629</v>
      </c>
      <c r="J245" s="2">
        <v>225</v>
      </c>
      <c r="K245" s="2">
        <v>104.7174</v>
      </c>
      <c r="L245" s="2">
        <v>228</v>
      </c>
      <c r="M245" s="2">
        <v>106.295</v>
      </c>
      <c r="N245" s="2">
        <v>250</v>
      </c>
      <c r="O245" s="2">
        <v>0.33295999999999998</v>
      </c>
      <c r="P245" s="2">
        <v>243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 ht="12.3" hidden="1" x14ac:dyDescent="0.4">
      <c r="A246" s="2" t="s">
        <v>373</v>
      </c>
      <c r="B246" s="2"/>
      <c r="C246" s="2">
        <v>66.418800000000005</v>
      </c>
      <c r="D246" s="2">
        <v>101</v>
      </c>
      <c r="E246" s="2">
        <v>66.757999999999996</v>
      </c>
      <c r="F246" s="2">
        <v>76</v>
      </c>
      <c r="G246" s="2">
        <v>97.888000000000005</v>
      </c>
      <c r="H246" s="2">
        <v>263</v>
      </c>
      <c r="I246" s="2">
        <v>96.121499999999997</v>
      </c>
      <c r="J246" s="2">
        <v>288</v>
      </c>
      <c r="K246" s="2">
        <v>102.11369999999999</v>
      </c>
      <c r="L246" s="2">
        <v>172</v>
      </c>
      <c r="M246" s="2">
        <v>102.2908</v>
      </c>
      <c r="N246" s="2">
        <v>167</v>
      </c>
      <c r="O246" s="2">
        <v>0.32841100000000001</v>
      </c>
      <c r="P246" s="2">
        <v>244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</row>
    <row r="247" spans="1:47" ht="12.3" hidden="1" x14ac:dyDescent="0.4">
      <c r="A247" s="2" t="s">
        <v>266</v>
      </c>
      <c r="B247" s="2"/>
      <c r="C247" s="2">
        <v>67.488799999999998</v>
      </c>
      <c r="D247" s="2">
        <v>61</v>
      </c>
      <c r="E247" s="2">
        <v>66.514700000000005</v>
      </c>
      <c r="F247" s="2">
        <v>89</v>
      </c>
      <c r="G247" s="2">
        <v>100.8723</v>
      </c>
      <c r="H247" s="2">
        <v>200</v>
      </c>
      <c r="I247" s="2">
        <v>98.540300000000002</v>
      </c>
      <c r="J247" s="2">
        <v>247</v>
      </c>
      <c r="K247" s="2">
        <v>107.3014</v>
      </c>
      <c r="L247" s="2">
        <v>290</v>
      </c>
      <c r="M247" s="2">
        <v>104.9509</v>
      </c>
      <c r="N247" s="2">
        <v>221</v>
      </c>
      <c r="O247" s="2">
        <v>0.32633499999999999</v>
      </c>
      <c r="P247" s="2">
        <v>245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</row>
    <row r="248" spans="1:47" ht="12.3" hidden="1" x14ac:dyDescent="0.4">
      <c r="A248" s="2" t="s">
        <v>265</v>
      </c>
      <c r="B248" s="2"/>
      <c r="C248" s="2">
        <v>68.517499999999998</v>
      </c>
      <c r="D248" s="2">
        <v>32</v>
      </c>
      <c r="E248" s="2">
        <v>67.087000000000003</v>
      </c>
      <c r="F248" s="2">
        <v>65</v>
      </c>
      <c r="G248" s="2">
        <v>100.6977</v>
      </c>
      <c r="H248" s="2">
        <v>204</v>
      </c>
      <c r="I248" s="2">
        <v>102.2098</v>
      </c>
      <c r="J248" s="2">
        <v>168</v>
      </c>
      <c r="K248" s="2">
        <v>104.8809</v>
      </c>
      <c r="L248" s="2">
        <v>233</v>
      </c>
      <c r="M248" s="2">
        <v>108.8947</v>
      </c>
      <c r="N248" s="2">
        <v>304</v>
      </c>
      <c r="O248" s="2">
        <v>0.32550899999999999</v>
      </c>
      <c r="P248" s="2">
        <v>246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</row>
    <row r="249" spans="1:47" ht="12.3" hidden="1" x14ac:dyDescent="0.4">
      <c r="A249" s="2" t="s">
        <v>174</v>
      </c>
      <c r="B249" s="2"/>
      <c r="C249" s="2">
        <v>65.755600000000001</v>
      </c>
      <c r="D249" s="2">
        <v>126</v>
      </c>
      <c r="E249" s="2">
        <v>65.870900000000006</v>
      </c>
      <c r="F249" s="2">
        <v>118</v>
      </c>
      <c r="G249" s="2">
        <v>99.166499999999999</v>
      </c>
      <c r="H249" s="2">
        <v>241</v>
      </c>
      <c r="I249" s="2">
        <v>99.965999999999994</v>
      </c>
      <c r="J249" s="2">
        <v>227</v>
      </c>
      <c r="K249" s="2">
        <v>108.16679999999999</v>
      </c>
      <c r="L249" s="2">
        <v>303</v>
      </c>
      <c r="M249" s="2">
        <v>106.547</v>
      </c>
      <c r="N249" s="2">
        <v>260</v>
      </c>
      <c r="O249" s="2">
        <v>0.32449299999999998</v>
      </c>
      <c r="P249" s="2">
        <v>247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</row>
    <row r="250" spans="1:47" ht="12.3" hidden="1" x14ac:dyDescent="0.4">
      <c r="A250" s="2" t="s">
        <v>210</v>
      </c>
      <c r="B250" s="2"/>
      <c r="C250" s="2">
        <v>61.673200000000001</v>
      </c>
      <c r="D250" s="2">
        <v>314</v>
      </c>
      <c r="E250" s="2">
        <v>60.905500000000004</v>
      </c>
      <c r="F250" s="2">
        <v>329</v>
      </c>
      <c r="G250" s="2">
        <v>96.939700000000002</v>
      </c>
      <c r="H250" s="2">
        <v>273</v>
      </c>
      <c r="I250" s="2">
        <v>98.355699999999999</v>
      </c>
      <c r="J250" s="2">
        <v>249</v>
      </c>
      <c r="K250" s="2">
        <v>103.80410000000001</v>
      </c>
      <c r="L250" s="2">
        <v>209</v>
      </c>
      <c r="M250" s="2">
        <v>104.8729</v>
      </c>
      <c r="N250" s="2">
        <v>219</v>
      </c>
      <c r="O250" s="2">
        <v>0.32348199999999999</v>
      </c>
      <c r="P250" s="2">
        <v>248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</row>
    <row r="251" spans="1:47" ht="12.3" hidden="1" x14ac:dyDescent="0.4">
      <c r="A251" s="2" t="s">
        <v>171</v>
      </c>
      <c r="B251" s="2"/>
      <c r="C251" s="2">
        <v>64.330799999999996</v>
      </c>
      <c r="D251" s="2">
        <v>200</v>
      </c>
      <c r="E251" s="2">
        <v>63.641599999999997</v>
      </c>
      <c r="F251" s="2">
        <v>241</v>
      </c>
      <c r="G251" s="2">
        <v>97.370900000000006</v>
      </c>
      <c r="H251" s="2">
        <v>269</v>
      </c>
      <c r="I251" s="2">
        <v>96.203299999999999</v>
      </c>
      <c r="J251" s="2">
        <v>287</v>
      </c>
      <c r="K251" s="2">
        <v>105.4226</v>
      </c>
      <c r="L251" s="2">
        <v>249</v>
      </c>
      <c r="M251" s="2">
        <v>102.88930000000001</v>
      </c>
      <c r="N251" s="2">
        <v>179</v>
      </c>
      <c r="O251" s="2">
        <v>0.31590000000000001</v>
      </c>
      <c r="P251" s="2">
        <v>249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 ht="12.3" hidden="1" x14ac:dyDescent="0.4">
      <c r="A252" s="2" t="s">
        <v>242</v>
      </c>
      <c r="B252" s="2"/>
      <c r="C252" s="2">
        <v>64.088300000000004</v>
      </c>
      <c r="D252" s="2">
        <v>219</v>
      </c>
      <c r="E252" s="2">
        <v>63.222900000000003</v>
      </c>
      <c r="F252" s="2">
        <v>262</v>
      </c>
      <c r="G252" s="2">
        <v>93.459599999999995</v>
      </c>
      <c r="H252" s="2">
        <v>316</v>
      </c>
      <c r="I252" s="2">
        <v>92.4298</v>
      </c>
      <c r="J252" s="2">
        <v>325</v>
      </c>
      <c r="K252" s="2">
        <v>96.753900000000002</v>
      </c>
      <c r="L252" s="2">
        <v>65</v>
      </c>
      <c r="M252" s="2">
        <v>99.134100000000004</v>
      </c>
      <c r="N252" s="2">
        <v>104</v>
      </c>
      <c r="O252" s="2">
        <v>0.30889899999999998</v>
      </c>
      <c r="P252" s="2">
        <v>251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</row>
    <row r="253" spans="1:47" ht="12.3" hidden="1" x14ac:dyDescent="0.4">
      <c r="A253" s="2" t="s">
        <v>114</v>
      </c>
      <c r="B253" s="2"/>
      <c r="C253" s="2">
        <v>67.218400000000003</v>
      </c>
      <c r="D253" s="2">
        <v>71</v>
      </c>
      <c r="E253" s="2">
        <v>66.660799999999995</v>
      </c>
      <c r="F253" s="2">
        <v>81</v>
      </c>
      <c r="G253" s="2">
        <v>102.8246</v>
      </c>
      <c r="H253" s="2">
        <v>157</v>
      </c>
      <c r="I253" s="2">
        <v>102.29810000000001</v>
      </c>
      <c r="J253" s="2">
        <v>165</v>
      </c>
      <c r="K253" s="2">
        <v>106.9594</v>
      </c>
      <c r="L253" s="2">
        <v>283</v>
      </c>
      <c r="M253" s="2">
        <v>109.7479</v>
      </c>
      <c r="N253" s="2">
        <v>317</v>
      </c>
      <c r="O253" s="2">
        <v>0.30823200000000001</v>
      </c>
      <c r="P253" s="2">
        <v>252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</row>
    <row r="254" spans="1:47" ht="12.3" hidden="1" x14ac:dyDescent="0.4">
      <c r="A254" s="2" t="s">
        <v>379</v>
      </c>
      <c r="B254" s="2"/>
      <c r="C254" s="2">
        <v>73.401300000000006</v>
      </c>
      <c r="D254" s="2">
        <v>4</v>
      </c>
      <c r="E254" s="2">
        <v>73.897300000000001</v>
      </c>
      <c r="F254" s="2">
        <v>3</v>
      </c>
      <c r="G254" s="2">
        <v>102.9868</v>
      </c>
      <c r="H254" s="2">
        <v>153</v>
      </c>
      <c r="I254" s="2">
        <v>100.68210000000001</v>
      </c>
      <c r="J254" s="2">
        <v>204</v>
      </c>
      <c r="K254" s="2">
        <v>105.9268</v>
      </c>
      <c r="L254" s="2">
        <v>259</v>
      </c>
      <c r="M254" s="2">
        <v>108.0519</v>
      </c>
      <c r="N254" s="2">
        <v>290</v>
      </c>
      <c r="O254" s="2">
        <v>0.30737700000000001</v>
      </c>
      <c r="P254" s="2">
        <v>253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</row>
    <row r="255" spans="1:47" ht="12.3" hidden="1" x14ac:dyDescent="0.4">
      <c r="A255" s="2" t="s">
        <v>306</v>
      </c>
      <c r="B255" s="2"/>
      <c r="C255" s="2">
        <v>68.188900000000004</v>
      </c>
      <c r="D255" s="2">
        <v>38</v>
      </c>
      <c r="E255" s="2">
        <v>68.212299999999999</v>
      </c>
      <c r="F255" s="2">
        <v>31</v>
      </c>
      <c r="G255" s="2">
        <v>98.270399999999995</v>
      </c>
      <c r="H255" s="2">
        <v>255</v>
      </c>
      <c r="I255" s="2">
        <v>96.865799999999993</v>
      </c>
      <c r="J255" s="2">
        <v>275</v>
      </c>
      <c r="K255" s="2">
        <v>103.45050000000001</v>
      </c>
      <c r="L255" s="2">
        <v>199</v>
      </c>
      <c r="M255" s="2">
        <v>104.1208</v>
      </c>
      <c r="N255" s="2">
        <v>204</v>
      </c>
      <c r="O255" s="2">
        <v>0.30352000000000001</v>
      </c>
      <c r="P255" s="2">
        <v>254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spans="1:47" ht="12.3" hidden="1" x14ac:dyDescent="0.4">
      <c r="A256" s="2" t="s">
        <v>269</v>
      </c>
      <c r="B256" s="2"/>
      <c r="C256" s="2">
        <v>66.956900000000005</v>
      </c>
      <c r="D256" s="2">
        <v>76</v>
      </c>
      <c r="E256" s="2">
        <v>66.245900000000006</v>
      </c>
      <c r="F256" s="2">
        <v>101</v>
      </c>
      <c r="G256" s="2">
        <v>104.6827</v>
      </c>
      <c r="H256" s="2">
        <v>113</v>
      </c>
      <c r="I256" s="2">
        <v>100.8249</v>
      </c>
      <c r="J256" s="2">
        <v>200</v>
      </c>
      <c r="K256" s="2">
        <v>109.3064</v>
      </c>
      <c r="L256" s="2">
        <v>315</v>
      </c>
      <c r="M256" s="2">
        <v>108.37779999999999</v>
      </c>
      <c r="N256" s="2">
        <v>295</v>
      </c>
      <c r="O256" s="2">
        <v>0.30348999999999998</v>
      </c>
      <c r="P256" s="2">
        <v>255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</row>
    <row r="257" spans="1:47" ht="12.3" hidden="1" x14ac:dyDescent="0.4">
      <c r="A257" s="2" t="s">
        <v>233</v>
      </c>
      <c r="B257" s="2"/>
      <c r="C257" s="2">
        <v>67.105599999999995</v>
      </c>
      <c r="D257" s="2">
        <v>75</v>
      </c>
      <c r="E257" s="2">
        <v>67.974999999999994</v>
      </c>
      <c r="F257" s="2">
        <v>36</v>
      </c>
      <c r="G257" s="2">
        <v>96.493600000000001</v>
      </c>
      <c r="H257" s="2">
        <v>283</v>
      </c>
      <c r="I257" s="2">
        <v>97.595699999999994</v>
      </c>
      <c r="J257" s="2">
        <v>264</v>
      </c>
      <c r="K257" s="2">
        <v>104.377</v>
      </c>
      <c r="L257" s="2">
        <v>220</v>
      </c>
      <c r="M257" s="2">
        <v>104.961</v>
      </c>
      <c r="N257" s="2">
        <v>222</v>
      </c>
      <c r="O257" s="2">
        <v>0.30223299999999997</v>
      </c>
      <c r="P257" s="2">
        <v>256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</row>
    <row r="258" spans="1:47" ht="12.3" hidden="1" x14ac:dyDescent="0.4">
      <c r="A258" s="2" t="s">
        <v>370</v>
      </c>
      <c r="B258" s="2"/>
      <c r="C258" s="2">
        <v>60.524299999999997</v>
      </c>
      <c r="D258" s="2">
        <v>336</v>
      </c>
      <c r="E258" s="2">
        <v>61.014899999999997</v>
      </c>
      <c r="F258" s="2">
        <v>326</v>
      </c>
      <c r="G258" s="2">
        <v>99.523799999999994</v>
      </c>
      <c r="H258" s="2">
        <v>233</v>
      </c>
      <c r="I258" s="2">
        <v>98.23</v>
      </c>
      <c r="J258" s="2">
        <v>252</v>
      </c>
      <c r="K258" s="2">
        <v>100.0975</v>
      </c>
      <c r="L258" s="2">
        <v>125</v>
      </c>
      <c r="M258" s="2">
        <v>105.6807</v>
      </c>
      <c r="N258" s="2">
        <v>237</v>
      </c>
      <c r="O258" s="2">
        <v>0.30137199999999997</v>
      </c>
      <c r="P258" s="2">
        <v>257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</row>
    <row r="259" spans="1:47" ht="12.3" hidden="1" x14ac:dyDescent="0.4">
      <c r="A259" s="2" t="s">
        <v>297</v>
      </c>
      <c r="B259" s="2"/>
      <c r="C259" s="2">
        <v>69.219700000000003</v>
      </c>
      <c r="D259" s="2">
        <v>17</v>
      </c>
      <c r="E259" s="2">
        <v>67.537700000000001</v>
      </c>
      <c r="F259" s="2">
        <v>51</v>
      </c>
      <c r="G259" s="2">
        <v>101.64060000000001</v>
      </c>
      <c r="H259" s="2">
        <v>183</v>
      </c>
      <c r="I259" s="2">
        <v>95.815299999999993</v>
      </c>
      <c r="J259" s="2">
        <v>296</v>
      </c>
      <c r="K259" s="2">
        <v>96.0745</v>
      </c>
      <c r="L259" s="2">
        <v>47</v>
      </c>
      <c r="M259" s="2">
        <v>103.2803</v>
      </c>
      <c r="N259" s="2">
        <v>183</v>
      </c>
      <c r="O259" s="2">
        <v>0.29675800000000002</v>
      </c>
      <c r="P259" s="2">
        <v>258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</row>
    <row r="260" spans="1:47" ht="12.3" hidden="1" x14ac:dyDescent="0.4">
      <c r="A260" s="2" t="s">
        <v>358</v>
      </c>
      <c r="B260" s="2"/>
      <c r="C260" s="2">
        <v>64.174599999999998</v>
      </c>
      <c r="D260" s="2">
        <v>212</v>
      </c>
      <c r="E260" s="2">
        <v>63.565600000000003</v>
      </c>
      <c r="F260" s="2">
        <v>248</v>
      </c>
      <c r="G260" s="2">
        <v>113.01220000000001</v>
      </c>
      <c r="H260" s="2">
        <v>18</v>
      </c>
      <c r="I260" s="2">
        <v>107.6771</v>
      </c>
      <c r="J260" s="2">
        <v>65</v>
      </c>
      <c r="K260" s="2">
        <v>114.1934</v>
      </c>
      <c r="L260" s="2">
        <v>349</v>
      </c>
      <c r="M260" s="2">
        <v>116.1155</v>
      </c>
      <c r="N260" s="2">
        <v>350</v>
      </c>
      <c r="O260" s="2">
        <v>0.295742</v>
      </c>
      <c r="P260" s="2">
        <v>259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 ht="12.3" hidden="1" x14ac:dyDescent="0.4">
      <c r="A261" s="2" t="s">
        <v>205</v>
      </c>
      <c r="B261" s="2"/>
      <c r="C261" s="2">
        <v>58.794199999999996</v>
      </c>
      <c r="D261" s="2">
        <v>346</v>
      </c>
      <c r="E261" s="2">
        <v>59.144799999999996</v>
      </c>
      <c r="F261" s="2">
        <v>345</v>
      </c>
      <c r="G261" s="2">
        <v>98.940299999999993</v>
      </c>
      <c r="H261" s="2">
        <v>246</v>
      </c>
      <c r="I261" s="2">
        <v>103.8233</v>
      </c>
      <c r="J261" s="2">
        <v>127</v>
      </c>
      <c r="K261" s="2">
        <v>113.2597</v>
      </c>
      <c r="L261" s="2">
        <v>346</v>
      </c>
      <c r="M261" s="2">
        <v>112.07470000000001</v>
      </c>
      <c r="N261" s="2">
        <v>333</v>
      </c>
      <c r="O261" s="2">
        <v>0.29328900000000002</v>
      </c>
      <c r="P261" s="2">
        <v>260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</row>
    <row r="262" spans="1:47" ht="12.3" hidden="1" x14ac:dyDescent="0.4">
      <c r="A262" s="2" t="s">
        <v>101</v>
      </c>
      <c r="B262" s="2"/>
      <c r="C262" s="2">
        <v>63.640700000000002</v>
      </c>
      <c r="D262" s="2">
        <v>244</v>
      </c>
      <c r="E262" s="2">
        <v>63.753100000000003</v>
      </c>
      <c r="F262" s="2">
        <v>230</v>
      </c>
      <c r="G262" s="2">
        <v>98.497500000000002</v>
      </c>
      <c r="H262" s="2">
        <v>253</v>
      </c>
      <c r="I262" s="2">
        <v>98.238100000000003</v>
      </c>
      <c r="J262" s="2">
        <v>251</v>
      </c>
      <c r="K262" s="2">
        <v>106.6764</v>
      </c>
      <c r="L262" s="2">
        <v>278</v>
      </c>
      <c r="M262" s="2">
        <v>106.0946</v>
      </c>
      <c r="N262" s="2">
        <v>245</v>
      </c>
      <c r="O262" s="2">
        <v>0.292188</v>
      </c>
      <c r="P262" s="2">
        <v>261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</row>
    <row r="263" spans="1:47" ht="12.3" hidden="1" x14ac:dyDescent="0.4">
      <c r="A263" s="2" t="s">
        <v>314</v>
      </c>
      <c r="B263" s="2"/>
      <c r="C263" s="2">
        <v>69.138000000000005</v>
      </c>
      <c r="D263" s="2">
        <v>20</v>
      </c>
      <c r="E263" s="2">
        <v>69.927899999999994</v>
      </c>
      <c r="F263" s="2">
        <v>11</v>
      </c>
      <c r="G263" s="2">
        <v>102.3202</v>
      </c>
      <c r="H263" s="2">
        <v>170</v>
      </c>
      <c r="I263" s="2">
        <v>97.357600000000005</v>
      </c>
      <c r="J263" s="2">
        <v>267</v>
      </c>
      <c r="K263" s="2">
        <v>104.4452</v>
      </c>
      <c r="L263" s="2">
        <v>223</v>
      </c>
      <c r="M263" s="2">
        <v>105.21129999999999</v>
      </c>
      <c r="N263" s="2">
        <v>226</v>
      </c>
      <c r="O263" s="2">
        <v>0.290663</v>
      </c>
      <c r="P263" s="2">
        <v>262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</row>
    <row r="264" spans="1:47" ht="12.3" hidden="1" x14ac:dyDescent="0.4">
      <c r="A264" s="2" t="s">
        <v>376</v>
      </c>
      <c r="B264" s="2"/>
      <c r="C264" s="2">
        <v>61.653399999999998</v>
      </c>
      <c r="D264" s="2">
        <v>315</v>
      </c>
      <c r="E264" s="2">
        <v>62.092399999999998</v>
      </c>
      <c r="F264" s="2">
        <v>300</v>
      </c>
      <c r="G264" s="2">
        <v>99.637699999999995</v>
      </c>
      <c r="H264" s="2">
        <v>227</v>
      </c>
      <c r="I264" s="2">
        <v>96.459199999999996</v>
      </c>
      <c r="J264" s="2">
        <v>281</v>
      </c>
      <c r="K264" s="2">
        <v>101.34699999999999</v>
      </c>
      <c r="L264" s="2">
        <v>160</v>
      </c>
      <c r="M264" s="2">
        <v>104.3807</v>
      </c>
      <c r="N264" s="2">
        <v>210</v>
      </c>
      <c r="O264" s="2">
        <v>0.28748400000000002</v>
      </c>
      <c r="P264" s="2">
        <v>263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</row>
    <row r="265" spans="1:47" ht="12.3" hidden="1" x14ac:dyDescent="0.4">
      <c r="A265" s="2" t="s">
        <v>197</v>
      </c>
      <c r="B265" s="2"/>
      <c r="C265" s="2">
        <v>70.366200000000006</v>
      </c>
      <c r="D265" s="2">
        <v>9</v>
      </c>
      <c r="E265" s="2">
        <v>70.2333</v>
      </c>
      <c r="F265" s="2">
        <v>7</v>
      </c>
      <c r="G265" s="2">
        <v>92.729500000000002</v>
      </c>
      <c r="H265" s="2">
        <v>324</v>
      </c>
      <c r="I265" s="2">
        <v>94.53</v>
      </c>
      <c r="J265" s="2">
        <v>313</v>
      </c>
      <c r="K265" s="2">
        <v>101.2342</v>
      </c>
      <c r="L265" s="2">
        <v>154</v>
      </c>
      <c r="M265" s="2">
        <v>102.30759999999999</v>
      </c>
      <c r="N265" s="2">
        <v>168</v>
      </c>
      <c r="O265" s="2">
        <v>0.28715000000000002</v>
      </c>
      <c r="P265" s="2">
        <v>264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 ht="12.3" hidden="1" x14ac:dyDescent="0.4">
      <c r="A266" s="2" t="s">
        <v>293</v>
      </c>
      <c r="B266" s="2"/>
      <c r="C266" s="2">
        <v>61.227400000000003</v>
      </c>
      <c r="D266" s="2">
        <v>322</v>
      </c>
      <c r="E266" s="2">
        <v>60.930799999999998</v>
      </c>
      <c r="F266" s="2">
        <v>328</v>
      </c>
      <c r="G266" s="2">
        <v>99.957599999999999</v>
      </c>
      <c r="H266" s="2">
        <v>218</v>
      </c>
      <c r="I266" s="2">
        <v>98.961200000000005</v>
      </c>
      <c r="J266" s="2">
        <v>241</v>
      </c>
      <c r="K266" s="2">
        <v>105.5526</v>
      </c>
      <c r="L266" s="2">
        <v>253</v>
      </c>
      <c r="M266" s="2">
        <v>107.1322</v>
      </c>
      <c r="N266" s="2">
        <v>271</v>
      </c>
      <c r="O266" s="2">
        <v>0.28651599999999999</v>
      </c>
      <c r="P266" s="2">
        <v>265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spans="1:47" ht="12.3" hidden="1" x14ac:dyDescent="0.4">
      <c r="A267" s="2" t="s">
        <v>22</v>
      </c>
      <c r="B267" s="2"/>
      <c r="C267" s="2">
        <v>60.738900000000001</v>
      </c>
      <c r="D267" s="2">
        <v>333</v>
      </c>
      <c r="E267" s="2">
        <v>61.953000000000003</v>
      </c>
      <c r="F267" s="2">
        <v>301</v>
      </c>
      <c r="G267" s="2">
        <v>95.199200000000005</v>
      </c>
      <c r="H267" s="2">
        <v>299</v>
      </c>
      <c r="I267" s="2">
        <v>96.073099999999997</v>
      </c>
      <c r="J267" s="2">
        <v>290</v>
      </c>
      <c r="K267" s="2">
        <v>105.81870000000001</v>
      </c>
      <c r="L267" s="2">
        <v>258</v>
      </c>
      <c r="M267" s="2">
        <v>104.03619999999999</v>
      </c>
      <c r="N267" s="2">
        <v>202</v>
      </c>
      <c r="O267" s="2">
        <v>0.28582800000000003</v>
      </c>
      <c r="P267" s="2">
        <v>266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</row>
    <row r="268" spans="1:47" ht="12.3" hidden="1" x14ac:dyDescent="0.4">
      <c r="A268" s="2" t="s">
        <v>300</v>
      </c>
      <c r="B268" s="2"/>
      <c r="C268" s="2">
        <v>61.158900000000003</v>
      </c>
      <c r="D268" s="2">
        <v>324</v>
      </c>
      <c r="E268" s="2">
        <v>61.4816</v>
      </c>
      <c r="F268" s="2">
        <v>318</v>
      </c>
      <c r="G268" s="2">
        <v>99.585700000000003</v>
      </c>
      <c r="H268" s="2">
        <v>231</v>
      </c>
      <c r="I268" s="2">
        <v>97.225999999999999</v>
      </c>
      <c r="J268" s="2">
        <v>269</v>
      </c>
      <c r="K268" s="2">
        <v>106.3228</v>
      </c>
      <c r="L268" s="2">
        <v>267</v>
      </c>
      <c r="M268" s="2">
        <v>105.2903</v>
      </c>
      <c r="N268" s="2">
        <v>229</v>
      </c>
      <c r="O268" s="2">
        <v>0.28570000000000001</v>
      </c>
      <c r="P268" s="2">
        <v>267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 ht="12.3" hidden="1" x14ac:dyDescent="0.4">
      <c r="A269" s="2" t="s">
        <v>260</v>
      </c>
      <c r="B269" s="2"/>
      <c r="C269" s="2">
        <v>65.433400000000006</v>
      </c>
      <c r="D269" s="2">
        <v>145</v>
      </c>
      <c r="E269" s="2">
        <v>65.322800000000001</v>
      </c>
      <c r="F269" s="2">
        <v>145</v>
      </c>
      <c r="G269" s="2">
        <v>94.008399999999995</v>
      </c>
      <c r="H269" s="2">
        <v>308</v>
      </c>
      <c r="I269" s="2">
        <v>94.536000000000001</v>
      </c>
      <c r="J269" s="2">
        <v>312</v>
      </c>
      <c r="K269" s="2">
        <v>100.47490000000001</v>
      </c>
      <c r="L269" s="2">
        <v>134</v>
      </c>
      <c r="M269" s="2">
        <v>102.4408</v>
      </c>
      <c r="N269" s="2">
        <v>172</v>
      </c>
      <c r="O269" s="2">
        <v>0.28424500000000003</v>
      </c>
      <c r="P269" s="2">
        <v>268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</row>
    <row r="270" spans="1:47" ht="12.3" hidden="1" x14ac:dyDescent="0.4">
      <c r="A270" s="2" t="s">
        <v>170</v>
      </c>
      <c r="B270" s="2"/>
      <c r="C270" s="2">
        <v>64.246200000000002</v>
      </c>
      <c r="D270" s="2">
        <v>206</v>
      </c>
      <c r="E270" s="2">
        <v>63.351399999999998</v>
      </c>
      <c r="F270" s="2">
        <v>255</v>
      </c>
      <c r="G270" s="2">
        <v>100.9087</v>
      </c>
      <c r="H270" s="2">
        <v>199</v>
      </c>
      <c r="I270" s="2">
        <v>97.7346</v>
      </c>
      <c r="J270" s="2">
        <v>258</v>
      </c>
      <c r="K270" s="2">
        <v>106.66030000000001</v>
      </c>
      <c r="L270" s="2">
        <v>277</v>
      </c>
      <c r="M270" s="2">
        <v>105.92740000000001</v>
      </c>
      <c r="N270" s="2">
        <v>241</v>
      </c>
      <c r="O270" s="2">
        <v>0.28379100000000002</v>
      </c>
      <c r="P270" s="2">
        <v>269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</row>
    <row r="271" spans="1:47" ht="12.3" hidden="1" x14ac:dyDescent="0.4">
      <c r="A271" s="2" t="s">
        <v>253</v>
      </c>
      <c r="B271" s="2"/>
      <c r="C271" s="2">
        <v>66.474100000000007</v>
      </c>
      <c r="D271" s="2">
        <v>97</v>
      </c>
      <c r="E271" s="2">
        <v>65.826999999999998</v>
      </c>
      <c r="F271" s="2">
        <v>121</v>
      </c>
      <c r="G271" s="2">
        <v>95.525099999999995</v>
      </c>
      <c r="H271" s="2">
        <v>296</v>
      </c>
      <c r="I271" s="2">
        <v>97.370400000000004</v>
      </c>
      <c r="J271" s="2">
        <v>266</v>
      </c>
      <c r="K271" s="2">
        <v>105.15179999999999</v>
      </c>
      <c r="L271" s="2">
        <v>241</v>
      </c>
      <c r="M271" s="2">
        <v>105.58280000000001</v>
      </c>
      <c r="N271" s="2">
        <v>235</v>
      </c>
      <c r="O271" s="2">
        <v>0.28268300000000002</v>
      </c>
      <c r="P271" s="2">
        <v>270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</row>
    <row r="272" spans="1:47" ht="12.3" hidden="1" x14ac:dyDescent="0.4">
      <c r="A272" s="2" t="s">
        <v>381</v>
      </c>
      <c r="B272" s="2"/>
      <c r="C272" s="2">
        <v>63.989199999999997</v>
      </c>
      <c r="D272" s="2">
        <v>226</v>
      </c>
      <c r="E272" s="2">
        <v>64.775599999999997</v>
      </c>
      <c r="F272" s="2">
        <v>165</v>
      </c>
      <c r="G272" s="2">
        <v>106.5008</v>
      </c>
      <c r="H272" s="2">
        <v>76</v>
      </c>
      <c r="I272" s="2">
        <v>105.259</v>
      </c>
      <c r="J272" s="2">
        <v>106</v>
      </c>
      <c r="K272" s="2">
        <v>107.4695</v>
      </c>
      <c r="L272" s="2">
        <v>292</v>
      </c>
      <c r="M272" s="2">
        <v>114.1506</v>
      </c>
      <c r="N272" s="2">
        <v>342</v>
      </c>
      <c r="O272" s="2">
        <v>0.28240100000000001</v>
      </c>
      <c r="P272" s="2">
        <v>271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spans="1:47" ht="12.3" hidden="1" x14ac:dyDescent="0.4">
      <c r="A273" s="2" t="s">
        <v>338</v>
      </c>
      <c r="B273" s="2"/>
      <c r="C273" s="2">
        <v>65.971699999999998</v>
      </c>
      <c r="D273" s="2">
        <v>120</v>
      </c>
      <c r="E273" s="2">
        <v>65.217200000000005</v>
      </c>
      <c r="F273" s="2">
        <v>149</v>
      </c>
      <c r="G273" s="2">
        <v>94.244900000000001</v>
      </c>
      <c r="H273" s="2">
        <v>306</v>
      </c>
      <c r="I273" s="2">
        <v>92.930800000000005</v>
      </c>
      <c r="J273" s="2">
        <v>320</v>
      </c>
      <c r="K273" s="2">
        <v>96.593199999999996</v>
      </c>
      <c r="L273" s="2">
        <v>61</v>
      </c>
      <c r="M273" s="2">
        <v>100.782</v>
      </c>
      <c r="N273" s="2">
        <v>135</v>
      </c>
      <c r="O273" s="2">
        <v>0.28237699999999999</v>
      </c>
      <c r="P273" s="2">
        <v>272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1:47" ht="12.3" hidden="1" x14ac:dyDescent="0.4">
      <c r="A274" s="2" t="s">
        <v>145</v>
      </c>
      <c r="B274" s="2"/>
      <c r="C274" s="2">
        <v>63.461199999999998</v>
      </c>
      <c r="D274" s="2">
        <v>252</v>
      </c>
      <c r="E274" s="2">
        <v>64.434600000000003</v>
      </c>
      <c r="F274" s="2">
        <v>188</v>
      </c>
      <c r="G274" s="2">
        <v>93.647599999999997</v>
      </c>
      <c r="H274" s="2">
        <v>315</v>
      </c>
      <c r="I274" s="2">
        <v>95.714299999999994</v>
      </c>
      <c r="J274" s="2">
        <v>298</v>
      </c>
      <c r="K274" s="2">
        <v>104.9014</v>
      </c>
      <c r="L274" s="2">
        <v>235</v>
      </c>
      <c r="M274" s="2">
        <v>103.8916</v>
      </c>
      <c r="N274" s="2">
        <v>200</v>
      </c>
      <c r="O274" s="2">
        <v>0.28034199999999998</v>
      </c>
      <c r="P274" s="2">
        <v>273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</row>
    <row r="275" spans="1:47" ht="12.3" hidden="1" x14ac:dyDescent="0.4">
      <c r="A275" s="2" t="s">
        <v>198</v>
      </c>
      <c r="B275" s="2"/>
      <c r="C275" s="2">
        <v>65.618099999999998</v>
      </c>
      <c r="D275" s="2">
        <v>136</v>
      </c>
      <c r="E275" s="2">
        <v>65.441699999999997</v>
      </c>
      <c r="F275" s="2">
        <v>138</v>
      </c>
      <c r="G275" s="2">
        <v>97.119799999999998</v>
      </c>
      <c r="H275" s="2">
        <v>271</v>
      </c>
      <c r="I275" s="2">
        <v>98.877600000000001</v>
      </c>
      <c r="J275" s="2">
        <v>244</v>
      </c>
      <c r="K275" s="2">
        <v>107.5761</v>
      </c>
      <c r="L275" s="2">
        <v>294</v>
      </c>
      <c r="M275" s="2">
        <v>107.3681</v>
      </c>
      <c r="N275" s="2">
        <v>273</v>
      </c>
      <c r="O275" s="2">
        <v>0.27941199999999999</v>
      </c>
      <c r="P275" s="2">
        <v>274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spans="1:47" ht="12.3" hidden="1" x14ac:dyDescent="0.4">
      <c r="A276" s="2" t="s">
        <v>144</v>
      </c>
      <c r="B276" s="2"/>
      <c r="C276" s="2">
        <v>64.736099999999993</v>
      </c>
      <c r="D276" s="2">
        <v>178</v>
      </c>
      <c r="E276" s="2">
        <v>64.747600000000006</v>
      </c>
      <c r="F276" s="2">
        <v>167</v>
      </c>
      <c r="G276" s="2">
        <v>97.852000000000004</v>
      </c>
      <c r="H276" s="2">
        <v>264</v>
      </c>
      <c r="I276" s="2">
        <v>100.45059999999999</v>
      </c>
      <c r="J276" s="2">
        <v>215</v>
      </c>
      <c r="K276" s="2">
        <v>109.52809999999999</v>
      </c>
      <c r="L276" s="2">
        <v>318</v>
      </c>
      <c r="M276" s="2">
        <v>109.1075</v>
      </c>
      <c r="N276" s="2">
        <v>307</v>
      </c>
      <c r="O276" s="2">
        <v>0.27875</v>
      </c>
      <c r="P276" s="2">
        <v>275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</row>
    <row r="277" spans="1:47" ht="12.3" hidden="1" x14ac:dyDescent="0.4">
      <c r="A277" s="2" t="s">
        <v>127</v>
      </c>
      <c r="B277" s="2"/>
      <c r="C277" s="2">
        <v>66.706699999999998</v>
      </c>
      <c r="D277" s="2">
        <v>86</v>
      </c>
      <c r="E277" s="2">
        <v>65.9435</v>
      </c>
      <c r="F277" s="2">
        <v>115</v>
      </c>
      <c r="G277" s="2">
        <v>101.1036</v>
      </c>
      <c r="H277" s="2">
        <v>193</v>
      </c>
      <c r="I277" s="2">
        <v>97.871700000000004</v>
      </c>
      <c r="J277" s="2">
        <v>257</v>
      </c>
      <c r="K277" s="2">
        <v>106.771</v>
      </c>
      <c r="L277" s="2">
        <v>280</v>
      </c>
      <c r="M277" s="2">
        <v>106.47190000000001</v>
      </c>
      <c r="N277" s="2">
        <v>257</v>
      </c>
      <c r="O277" s="2">
        <v>0.27516600000000002</v>
      </c>
      <c r="P277" s="2">
        <v>276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</row>
    <row r="278" spans="1:47" ht="12.3" hidden="1" x14ac:dyDescent="0.4">
      <c r="A278" s="2" t="s">
        <v>196</v>
      </c>
      <c r="B278" s="2"/>
      <c r="C278" s="2">
        <v>66.928700000000006</v>
      </c>
      <c r="D278" s="2">
        <v>77</v>
      </c>
      <c r="E278" s="2">
        <v>66.293800000000005</v>
      </c>
      <c r="F278" s="2">
        <v>98</v>
      </c>
      <c r="G278" s="2">
        <v>104.0831</v>
      </c>
      <c r="H278" s="2">
        <v>122</v>
      </c>
      <c r="I278" s="2">
        <v>102.9391</v>
      </c>
      <c r="J278" s="2">
        <v>150</v>
      </c>
      <c r="K278" s="2">
        <v>109.9513</v>
      </c>
      <c r="L278" s="2">
        <v>323</v>
      </c>
      <c r="M278" s="2">
        <v>112.0898</v>
      </c>
      <c r="N278" s="2">
        <v>334</v>
      </c>
      <c r="O278" s="2">
        <v>0.27301700000000001</v>
      </c>
      <c r="P278" s="2">
        <v>277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spans="1:47" ht="12.3" hidden="1" x14ac:dyDescent="0.4">
      <c r="A279" s="2" t="s">
        <v>245</v>
      </c>
      <c r="B279" s="2"/>
      <c r="C279" s="2">
        <v>60.985500000000002</v>
      </c>
      <c r="D279" s="2">
        <v>328</v>
      </c>
      <c r="E279" s="2">
        <v>62.363900000000001</v>
      </c>
      <c r="F279" s="2">
        <v>291</v>
      </c>
      <c r="G279" s="2">
        <v>90.8005</v>
      </c>
      <c r="H279" s="2">
        <v>339</v>
      </c>
      <c r="I279" s="2">
        <v>91.034199999999998</v>
      </c>
      <c r="J279" s="2">
        <v>336</v>
      </c>
      <c r="K279" s="2">
        <v>100.4344</v>
      </c>
      <c r="L279" s="2">
        <v>133</v>
      </c>
      <c r="M279" s="2">
        <v>99.140199999999993</v>
      </c>
      <c r="N279" s="2">
        <v>105</v>
      </c>
      <c r="O279" s="2">
        <v>0.272704</v>
      </c>
      <c r="P279" s="2">
        <v>278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1:47" ht="12.3" hidden="1" x14ac:dyDescent="0.4">
      <c r="A280" s="2" t="s">
        <v>291</v>
      </c>
      <c r="B280" s="2"/>
      <c r="C280" s="2">
        <v>62.732599999999998</v>
      </c>
      <c r="D280" s="2">
        <v>283</v>
      </c>
      <c r="E280" s="2">
        <v>62.8874</v>
      </c>
      <c r="F280" s="2">
        <v>272</v>
      </c>
      <c r="G280" s="2">
        <v>97.672399999999996</v>
      </c>
      <c r="H280" s="2">
        <v>267</v>
      </c>
      <c r="I280" s="2">
        <v>100.74679999999999</v>
      </c>
      <c r="J280" s="2">
        <v>202</v>
      </c>
      <c r="K280" s="2">
        <v>112.7184</v>
      </c>
      <c r="L280" s="2">
        <v>345</v>
      </c>
      <c r="M280" s="2">
        <v>109.9572</v>
      </c>
      <c r="N280" s="2">
        <v>318</v>
      </c>
      <c r="O280" s="2">
        <v>0.26775900000000002</v>
      </c>
      <c r="P280" s="2">
        <v>279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 ht="12.3" hidden="1" x14ac:dyDescent="0.4">
      <c r="A281" s="2" t="s">
        <v>177</v>
      </c>
      <c r="B281" s="2"/>
      <c r="C281" s="2">
        <v>64.020200000000003</v>
      </c>
      <c r="D281" s="2">
        <v>223</v>
      </c>
      <c r="E281" s="2">
        <v>64.6541</v>
      </c>
      <c r="F281" s="2">
        <v>173</v>
      </c>
      <c r="G281" s="2">
        <v>99.945300000000003</v>
      </c>
      <c r="H281" s="2">
        <v>220</v>
      </c>
      <c r="I281" s="2">
        <v>100.5021</v>
      </c>
      <c r="J281" s="2">
        <v>213</v>
      </c>
      <c r="K281" s="2">
        <v>109.45910000000001</v>
      </c>
      <c r="L281" s="2">
        <v>317</v>
      </c>
      <c r="M281" s="2">
        <v>109.7428</v>
      </c>
      <c r="N281" s="2">
        <v>316</v>
      </c>
      <c r="O281" s="2">
        <v>0.26667600000000002</v>
      </c>
      <c r="P281" s="2">
        <v>280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</row>
    <row r="282" spans="1:47" ht="12.3" hidden="1" x14ac:dyDescent="0.4">
      <c r="A282" s="2" t="s">
        <v>317</v>
      </c>
      <c r="B282" s="2"/>
      <c r="C282" s="2">
        <v>67.752700000000004</v>
      </c>
      <c r="D282" s="2">
        <v>51</v>
      </c>
      <c r="E282" s="2">
        <v>67.696299999999994</v>
      </c>
      <c r="F282" s="2">
        <v>42</v>
      </c>
      <c r="G282" s="2">
        <v>103.6228</v>
      </c>
      <c r="H282" s="2">
        <v>136</v>
      </c>
      <c r="I282" s="2">
        <v>103.73779999999999</v>
      </c>
      <c r="J282" s="2">
        <v>132</v>
      </c>
      <c r="K282" s="2">
        <v>112.3669</v>
      </c>
      <c r="L282" s="2">
        <v>342</v>
      </c>
      <c r="M282" s="2">
        <v>113.3163</v>
      </c>
      <c r="N282" s="2">
        <v>339</v>
      </c>
      <c r="O282" s="2">
        <v>0.265878</v>
      </c>
      <c r="P282" s="2">
        <v>281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</row>
    <row r="283" spans="1:47" ht="12.3" hidden="1" x14ac:dyDescent="0.4">
      <c r="A283" s="2" t="s">
        <v>107</v>
      </c>
      <c r="B283" s="2"/>
      <c r="C283" s="2">
        <v>65.600899999999996</v>
      </c>
      <c r="D283" s="2">
        <v>138</v>
      </c>
      <c r="E283" s="2">
        <v>63.188600000000001</v>
      </c>
      <c r="F283" s="2">
        <v>264</v>
      </c>
      <c r="G283" s="2">
        <v>102.151</v>
      </c>
      <c r="H283" s="2">
        <v>175</v>
      </c>
      <c r="I283" s="2">
        <v>100.13979999999999</v>
      </c>
      <c r="J283" s="2">
        <v>222</v>
      </c>
      <c r="K283" s="2">
        <v>109.1062</v>
      </c>
      <c r="L283" s="2">
        <v>313</v>
      </c>
      <c r="M283" s="2">
        <v>109.4769</v>
      </c>
      <c r="N283" s="2">
        <v>312</v>
      </c>
      <c r="O283" s="2">
        <v>0.26401799999999997</v>
      </c>
      <c r="P283" s="2">
        <v>282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</row>
    <row r="284" spans="1:47" ht="12.3" hidden="1" x14ac:dyDescent="0.4">
      <c r="A284" s="2" t="s">
        <v>105</v>
      </c>
      <c r="B284" s="2"/>
      <c r="C284" s="2">
        <v>61.7181</v>
      </c>
      <c r="D284" s="2">
        <v>312</v>
      </c>
      <c r="E284" s="2">
        <v>61.351599999999998</v>
      </c>
      <c r="F284" s="2">
        <v>319</v>
      </c>
      <c r="G284" s="2">
        <v>94.658900000000003</v>
      </c>
      <c r="H284" s="2">
        <v>303</v>
      </c>
      <c r="I284" s="2">
        <v>94.646500000000003</v>
      </c>
      <c r="J284" s="2">
        <v>308</v>
      </c>
      <c r="K284" s="2">
        <v>103.71120000000001</v>
      </c>
      <c r="L284" s="2">
        <v>206</v>
      </c>
      <c r="M284" s="2">
        <v>103.5275</v>
      </c>
      <c r="N284" s="2">
        <v>192</v>
      </c>
      <c r="O284" s="2">
        <v>0.26280999999999999</v>
      </c>
      <c r="P284" s="2">
        <v>283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 ht="12.3" hidden="1" x14ac:dyDescent="0.4">
      <c r="A285" s="2" t="s">
        <v>343</v>
      </c>
      <c r="B285" s="2"/>
      <c r="C285" s="2">
        <v>68.137</v>
      </c>
      <c r="D285" s="2">
        <v>40</v>
      </c>
      <c r="E285" s="2">
        <v>67.825299999999999</v>
      </c>
      <c r="F285" s="2">
        <v>37</v>
      </c>
      <c r="G285" s="2">
        <v>96.564800000000005</v>
      </c>
      <c r="H285" s="2">
        <v>281</v>
      </c>
      <c r="I285" s="2">
        <v>95.206299999999999</v>
      </c>
      <c r="J285" s="2">
        <v>305</v>
      </c>
      <c r="K285" s="2">
        <v>102.0838</v>
      </c>
      <c r="L285" s="2">
        <v>170</v>
      </c>
      <c r="M285" s="2">
        <v>104.32559999999999</v>
      </c>
      <c r="N285" s="2">
        <v>208</v>
      </c>
      <c r="O285" s="2">
        <v>0.258857</v>
      </c>
      <c r="P285" s="2">
        <v>284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</row>
    <row r="286" spans="1:47" ht="12.3" hidden="1" x14ac:dyDescent="0.4">
      <c r="A286" s="2" t="s">
        <v>356</v>
      </c>
      <c r="B286" s="2"/>
      <c r="C286" s="2">
        <v>65.947500000000005</v>
      </c>
      <c r="D286" s="2">
        <v>122</v>
      </c>
      <c r="E286" s="2">
        <v>65.123900000000006</v>
      </c>
      <c r="F286" s="2">
        <v>152</v>
      </c>
      <c r="G286" s="2">
        <v>99.152699999999996</v>
      </c>
      <c r="H286" s="2">
        <v>243</v>
      </c>
      <c r="I286" s="2">
        <v>97.916899999999998</v>
      </c>
      <c r="J286" s="2">
        <v>256</v>
      </c>
      <c r="K286" s="2">
        <v>104.4697</v>
      </c>
      <c r="L286" s="2">
        <v>224</v>
      </c>
      <c r="M286" s="2">
        <v>107.39660000000001</v>
      </c>
      <c r="N286" s="2">
        <v>275</v>
      </c>
      <c r="O286" s="2">
        <v>0.25679400000000002</v>
      </c>
      <c r="P286" s="2">
        <v>285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</row>
    <row r="287" spans="1:47" ht="12.3" hidden="1" x14ac:dyDescent="0.4">
      <c r="A287" s="2" t="s">
        <v>208</v>
      </c>
      <c r="B287" s="2"/>
      <c r="C287" s="2">
        <v>66.914199999999994</v>
      </c>
      <c r="D287" s="2">
        <v>78</v>
      </c>
      <c r="E287" s="2">
        <v>66.770899999999997</v>
      </c>
      <c r="F287" s="2">
        <v>74</v>
      </c>
      <c r="G287" s="2">
        <v>102.3492</v>
      </c>
      <c r="H287" s="2">
        <v>169</v>
      </c>
      <c r="I287" s="2">
        <v>100.539</v>
      </c>
      <c r="J287" s="2">
        <v>209</v>
      </c>
      <c r="K287" s="2">
        <v>108.014</v>
      </c>
      <c r="L287" s="2">
        <v>301</v>
      </c>
      <c r="M287" s="2">
        <v>110.29519999999999</v>
      </c>
      <c r="N287" s="2">
        <v>321</v>
      </c>
      <c r="O287" s="2">
        <v>0.25634200000000001</v>
      </c>
      <c r="P287" s="2">
        <v>286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</row>
    <row r="288" spans="1:47" ht="12.3" hidden="1" x14ac:dyDescent="0.4">
      <c r="A288" s="2" t="s">
        <v>103</v>
      </c>
      <c r="B288" s="2"/>
      <c r="C288" s="2">
        <v>63.959299999999999</v>
      </c>
      <c r="D288" s="2">
        <v>228</v>
      </c>
      <c r="E288" s="2">
        <v>64.049300000000002</v>
      </c>
      <c r="F288" s="2">
        <v>206</v>
      </c>
      <c r="G288" s="2">
        <v>94.516999999999996</v>
      </c>
      <c r="H288" s="2">
        <v>305</v>
      </c>
      <c r="I288" s="2">
        <v>96.926500000000004</v>
      </c>
      <c r="J288" s="2">
        <v>273</v>
      </c>
      <c r="K288" s="2">
        <v>106.44070000000001</v>
      </c>
      <c r="L288" s="2">
        <v>271</v>
      </c>
      <c r="M288" s="2">
        <v>106.49590000000001</v>
      </c>
      <c r="N288" s="2">
        <v>258</v>
      </c>
      <c r="O288" s="2">
        <v>0.25298399999999999</v>
      </c>
      <c r="P288" s="2">
        <v>287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</row>
    <row r="289" spans="1:47" ht="12.3" hidden="1" x14ac:dyDescent="0.4">
      <c r="A289" s="2" t="s">
        <v>191</v>
      </c>
      <c r="B289" s="2"/>
      <c r="C289" s="2">
        <v>64.014499999999998</v>
      </c>
      <c r="D289" s="2">
        <v>224</v>
      </c>
      <c r="E289" s="2">
        <v>63.6892</v>
      </c>
      <c r="F289" s="2">
        <v>237</v>
      </c>
      <c r="G289" s="2">
        <v>98.364800000000002</v>
      </c>
      <c r="H289" s="2">
        <v>254</v>
      </c>
      <c r="I289" s="2">
        <v>96.391999999999996</v>
      </c>
      <c r="J289" s="2">
        <v>284</v>
      </c>
      <c r="K289" s="2">
        <v>103.32089999999999</v>
      </c>
      <c r="L289" s="2">
        <v>196</v>
      </c>
      <c r="M289" s="2">
        <v>106.1579</v>
      </c>
      <c r="N289" s="2">
        <v>247</v>
      </c>
      <c r="O289" s="2">
        <v>0.24790899999999999</v>
      </c>
      <c r="P289" s="2">
        <v>288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</row>
    <row r="290" spans="1:47" ht="12.3" hidden="1" x14ac:dyDescent="0.4">
      <c r="A290" s="2" t="s">
        <v>77</v>
      </c>
      <c r="B290" s="2"/>
      <c r="C290" s="2">
        <v>63.177300000000002</v>
      </c>
      <c r="D290" s="2">
        <v>266</v>
      </c>
      <c r="E290" s="2">
        <v>63.428400000000003</v>
      </c>
      <c r="F290" s="2">
        <v>253</v>
      </c>
      <c r="G290" s="2">
        <v>94.579099999999997</v>
      </c>
      <c r="H290" s="2">
        <v>304</v>
      </c>
      <c r="I290" s="2">
        <v>96.085999999999999</v>
      </c>
      <c r="J290" s="2">
        <v>289</v>
      </c>
      <c r="K290" s="2">
        <v>106.0915</v>
      </c>
      <c r="L290" s="2">
        <v>264</v>
      </c>
      <c r="M290" s="2">
        <v>105.9088</v>
      </c>
      <c r="N290" s="2">
        <v>240</v>
      </c>
      <c r="O290" s="2">
        <v>0.24613199999999999</v>
      </c>
      <c r="P290" s="2">
        <v>289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</row>
    <row r="291" spans="1:47" ht="12.3" hidden="1" x14ac:dyDescent="0.4">
      <c r="A291" s="2" t="s">
        <v>337</v>
      </c>
      <c r="B291" s="2"/>
      <c r="C291" s="2">
        <v>68.645300000000006</v>
      </c>
      <c r="D291" s="2">
        <v>30</v>
      </c>
      <c r="E291" s="2">
        <v>68.331699999999998</v>
      </c>
      <c r="F291" s="2">
        <v>28</v>
      </c>
      <c r="G291" s="2">
        <v>101.414</v>
      </c>
      <c r="H291" s="2">
        <v>186</v>
      </c>
      <c r="I291" s="2">
        <v>99.272999999999996</v>
      </c>
      <c r="J291" s="2">
        <v>233</v>
      </c>
      <c r="K291" s="2">
        <v>109.8152</v>
      </c>
      <c r="L291" s="2">
        <v>321</v>
      </c>
      <c r="M291" s="2">
        <v>109.4678</v>
      </c>
      <c r="N291" s="2">
        <v>311</v>
      </c>
      <c r="O291" s="2">
        <v>0.24523200000000001</v>
      </c>
      <c r="P291" s="2">
        <v>290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</row>
    <row r="292" spans="1:47" ht="12.3" hidden="1" x14ac:dyDescent="0.4">
      <c r="A292" s="2" t="s">
        <v>199</v>
      </c>
      <c r="B292" s="2"/>
      <c r="C292" s="2">
        <v>64.023499999999999</v>
      </c>
      <c r="D292" s="2">
        <v>222</v>
      </c>
      <c r="E292" s="2">
        <v>63.8992</v>
      </c>
      <c r="F292" s="2">
        <v>223</v>
      </c>
      <c r="G292" s="2">
        <v>92.306200000000004</v>
      </c>
      <c r="H292" s="2">
        <v>329</v>
      </c>
      <c r="I292" s="2">
        <v>92.099599999999995</v>
      </c>
      <c r="J292" s="2">
        <v>329</v>
      </c>
      <c r="K292" s="2">
        <v>101.893</v>
      </c>
      <c r="L292" s="2">
        <v>169</v>
      </c>
      <c r="M292" s="2">
        <v>101.6696</v>
      </c>
      <c r="N292" s="2">
        <v>152</v>
      </c>
      <c r="O292" s="2">
        <v>0.242898</v>
      </c>
      <c r="P292" s="2">
        <v>291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</row>
    <row r="293" spans="1:47" ht="12.3" hidden="1" x14ac:dyDescent="0.4">
      <c r="A293" s="2" t="s">
        <v>194</v>
      </c>
      <c r="B293" s="2"/>
      <c r="C293" s="2">
        <v>65.4512</v>
      </c>
      <c r="D293" s="2">
        <v>143</v>
      </c>
      <c r="E293" s="2">
        <v>64.869699999999995</v>
      </c>
      <c r="F293" s="2">
        <v>161</v>
      </c>
      <c r="G293" s="2">
        <v>97.343599999999995</v>
      </c>
      <c r="H293" s="2">
        <v>270</v>
      </c>
      <c r="I293" s="2">
        <v>99.137299999999996</v>
      </c>
      <c r="J293" s="2">
        <v>234</v>
      </c>
      <c r="K293" s="2">
        <v>108.434</v>
      </c>
      <c r="L293" s="2">
        <v>305</v>
      </c>
      <c r="M293" s="2">
        <v>109.5624</v>
      </c>
      <c r="N293" s="2">
        <v>313</v>
      </c>
      <c r="O293" s="2">
        <v>0.240512</v>
      </c>
      <c r="P293" s="2">
        <v>292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 ht="12.3" hidden="1" x14ac:dyDescent="0.4">
      <c r="A294" s="2" t="s">
        <v>295</v>
      </c>
      <c r="B294" s="2"/>
      <c r="C294" s="2">
        <v>63.214399999999998</v>
      </c>
      <c r="D294" s="2">
        <v>262</v>
      </c>
      <c r="E294" s="2">
        <v>63.768500000000003</v>
      </c>
      <c r="F294" s="2">
        <v>229</v>
      </c>
      <c r="G294" s="2">
        <v>95.878500000000003</v>
      </c>
      <c r="H294" s="2">
        <v>292</v>
      </c>
      <c r="I294" s="2">
        <v>95.778599999999997</v>
      </c>
      <c r="J294" s="2">
        <v>297</v>
      </c>
      <c r="K294" s="2">
        <v>100.86239999999999</v>
      </c>
      <c r="L294" s="2">
        <v>146</v>
      </c>
      <c r="M294" s="2">
        <v>105.85080000000001</v>
      </c>
      <c r="N294" s="2">
        <v>239</v>
      </c>
      <c r="O294" s="2">
        <v>0.240508</v>
      </c>
      <c r="P294" s="2">
        <v>293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spans="1:47" ht="12.3" hidden="1" x14ac:dyDescent="0.4">
      <c r="A295" s="2" t="s">
        <v>116</v>
      </c>
      <c r="B295" s="2"/>
      <c r="C295" s="2">
        <v>63.579799999999999</v>
      </c>
      <c r="D295" s="2">
        <v>249</v>
      </c>
      <c r="E295" s="2">
        <v>63.529499999999999</v>
      </c>
      <c r="F295" s="2">
        <v>249</v>
      </c>
      <c r="G295" s="2">
        <v>92.134699999999995</v>
      </c>
      <c r="H295" s="2">
        <v>331</v>
      </c>
      <c r="I295" s="2">
        <v>93.260999999999996</v>
      </c>
      <c r="J295" s="2">
        <v>316</v>
      </c>
      <c r="K295" s="2">
        <v>104.5176</v>
      </c>
      <c r="L295" s="2">
        <v>226</v>
      </c>
      <c r="M295" s="2">
        <v>103.39919999999999</v>
      </c>
      <c r="N295" s="2">
        <v>187</v>
      </c>
      <c r="O295" s="2">
        <v>0.23383999999999999</v>
      </c>
      <c r="P295" s="2">
        <v>294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</row>
    <row r="296" spans="1:47" ht="12.3" hidden="1" x14ac:dyDescent="0.4">
      <c r="A296" s="2" t="s">
        <v>172</v>
      </c>
      <c r="B296" s="2"/>
      <c r="C296" s="2">
        <v>66.811300000000003</v>
      </c>
      <c r="D296" s="2">
        <v>81</v>
      </c>
      <c r="E296" s="2">
        <v>66.492699999999999</v>
      </c>
      <c r="F296" s="2">
        <v>90</v>
      </c>
      <c r="G296" s="2">
        <v>94.123900000000006</v>
      </c>
      <c r="H296" s="2">
        <v>307</v>
      </c>
      <c r="I296" s="2">
        <v>94.704899999999995</v>
      </c>
      <c r="J296" s="2">
        <v>307</v>
      </c>
      <c r="K296" s="2">
        <v>103.2885</v>
      </c>
      <c r="L296" s="2">
        <v>194</v>
      </c>
      <c r="M296" s="2">
        <v>105.09529999999999</v>
      </c>
      <c r="N296" s="2">
        <v>225</v>
      </c>
      <c r="O296" s="2">
        <v>0.23197999999999999</v>
      </c>
      <c r="P296" s="2">
        <v>295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spans="1:47" ht="12.3" hidden="1" x14ac:dyDescent="0.4">
      <c r="A297" s="2" t="s">
        <v>218</v>
      </c>
      <c r="B297" s="2"/>
      <c r="C297" s="2">
        <v>64.4923</v>
      </c>
      <c r="D297" s="2">
        <v>192</v>
      </c>
      <c r="E297" s="2">
        <v>64.203000000000003</v>
      </c>
      <c r="F297" s="2">
        <v>199</v>
      </c>
      <c r="G297" s="2">
        <v>96.67</v>
      </c>
      <c r="H297" s="2">
        <v>278</v>
      </c>
      <c r="I297" s="2">
        <v>97.328999999999994</v>
      </c>
      <c r="J297" s="2">
        <v>268</v>
      </c>
      <c r="K297" s="2">
        <v>105.2787</v>
      </c>
      <c r="L297" s="2">
        <v>246</v>
      </c>
      <c r="M297" s="2">
        <v>108.0543</v>
      </c>
      <c r="N297" s="2">
        <v>291</v>
      </c>
      <c r="O297" s="2">
        <v>0.23108699999999999</v>
      </c>
      <c r="P297" s="2">
        <v>296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1:47" ht="12.3" hidden="1" x14ac:dyDescent="0.4">
      <c r="A298" s="2" t="s">
        <v>263</v>
      </c>
      <c r="B298" s="2"/>
      <c r="C298" s="2">
        <v>76.533799999999999</v>
      </c>
      <c r="D298" s="2">
        <v>1</v>
      </c>
      <c r="E298" s="2">
        <v>77.138400000000004</v>
      </c>
      <c r="F298" s="2">
        <v>1</v>
      </c>
      <c r="G298" s="2">
        <v>99.599699999999999</v>
      </c>
      <c r="H298" s="2">
        <v>230</v>
      </c>
      <c r="I298" s="2">
        <v>96.023099999999999</v>
      </c>
      <c r="J298" s="2">
        <v>293</v>
      </c>
      <c r="K298" s="2">
        <v>106.57599999999999</v>
      </c>
      <c r="L298" s="2">
        <v>276</v>
      </c>
      <c r="M298" s="2">
        <v>106.63339999999999</v>
      </c>
      <c r="N298" s="2">
        <v>262</v>
      </c>
      <c r="O298" s="2">
        <v>0.23053599999999999</v>
      </c>
      <c r="P298" s="2">
        <v>297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 ht="12.3" hidden="1" x14ac:dyDescent="0.4">
      <c r="A299" s="2" t="s">
        <v>319</v>
      </c>
      <c r="B299" s="2"/>
      <c r="C299" s="2">
        <v>62.6006</v>
      </c>
      <c r="D299" s="2">
        <v>287</v>
      </c>
      <c r="E299" s="2">
        <v>61.572200000000002</v>
      </c>
      <c r="F299" s="2">
        <v>315</v>
      </c>
      <c r="G299" s="2">
        <v>98.660399999999996</v>
      </c>
      <c r="H299" s="2">
        <v>250</v>
      </c>
      <c r="I299" s="2">
        <v>96.517899999999997</v>
      </c>
      <c r="J299" s="2">
        <v>279</v>
      </c>
      <c r="K299" s="2">
        <v>107.61109999999999</v>
      </c>
      <c r="L299" s="2">
        <v>295</v>
      </c>
      <c r="M299" s="2">
        <v>107.3798</v>
      </c>
      <c r="N299" s="2">
        <v>274</v>
      </c>
      <c r="O299" s="2">
        <v>0.22681100000000001</v>
      </c>
      <c r="P299" s="2">
        <v>298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spans="1:47" ht="12.3" hidden="1" x14ac:dyDescent="0.4">
      <c r="A300" s="2" t="s">
        <v>221</v>
      </c>
      <c r="B300" s="2"/>
      <c r="C300" s="2">
        <v>62.143300000000004</v>
      </c>
      <c r="D300" s="2">
        <v>301</v>
      </c>
      <c r="E300" s="2">
        <v>61.722499999999997</v>
      </c>
      <c r="F300" s="2">
        <v>310</v>
      </c>
      <c r="G300" s="2">
        <v>93.902500000000003</v>
      </c>
      <c r="H300" s="2">
        <v>312</v>
      </c>
      <c r="I300" s="2">
        <v>93.452299999999994</v>
      </c>
      <c r="J300" s="2">
        <v>315</v>
      </c>
      <c r="K300" s="2">
        <v>103.8458</v>
      </c>
      <c r="L300" s="2">
        <v>211</v>
      </c>
      <c r="M300" s="2">
        <v>103.98099999999999</v>
      </c>
      <c r="N300" s="2">
        <v>201</v>
      </c>
      <c r="O300" s="2">
        <v>0.22658500000000001</v>
      </c>
      <c r="P300" s="2">
        <v>299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1:47" ht="12.3" hidden="1" x14ac:dyDescent="0.4">
      <c r="A301" s="2" t="s">
        <v>311</v>
      </c>
      <c r="B301" s="2"/>
      <c r="C301" s="2">
        <v>65.7286</v>
      </c>
      <c r="D301" s="2">
        <v>129</v>
      </c>
      <c r="E301" s="2">
        <v>66.278700000000001</v>
      </c>
      <c r="F301" s="2">
        <v>99</v>
      </c>
      <c r="G301" s="2">
        <v>95.409499999999994</v>
      </c>
      <c r="H301" s="2">
        <v>298</v>
      </c>
      <c r="I301" s="2">
        <v>96.959699999999998</v>
      </c>
      <c r="J301" s="2">
        <v>272</v>
      </c>
      <c r="K301" s="2">
        <v>106.5094</v>
      </c>
      <c r="L301" s="2">
        <v>273</v>
      </c>
      <c r="M301" s="2">
        <v>108.0124</v>
      </c>
      <c r="N301" s="2">
        <v>289</v>
      </c>
      <c r="O301" s="2">
        <v>0.224185</v>
      </c>
      <c r="P301" s="2">
        <v>300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</row>
    <row r="302" spans="1:47" ht="12.3" hidden="1" x14ac:dyDescent="0.4">
      <c r="A302" s="2" t="s">
        <v>215</v>
      </c>
      <c r="B302" s="2"/>
      <c r="C302" s="2">
        <v>67.727999999999994</v>
      </c>
      <c r="D302" s="2">
        <v>53</v>
      </c>
      <c r="E302" s="2">
        <v>67.643600000000006</v>
      </c>
      <c r="F302" s="2">
        <v>45</v>
      </c>
      <c r="G302" s="2">
        <v>98.235100000000003</v>
      </c>
      <c r="H302" s="2">
        <v>256</v>
      </c>
      <c r="I302" s="2">
        <v>96.6982</v>
      </c>
      <c r="J302" s="2">
        <v>277</v>
      </c>
      <c r="K302" s="2">
        <v>107.9661</v>
      </c>
      <c r="L302" s="2">
        <v>298</v>
      </c>
      <c r="M302" s="2">
        <v>107.8539</v>
      </c>
      <c r="N302" s="2">
        <v>285</v>
      </c>
      <c r="O302" s="2">
        <v>0.22173300000000001</v>
      </c>
      <c r="P302" s="2">
        <v>301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</row>
    <row r="303" spans="1:47" ht="12.3" hidden="1" x14ac:dyDescent="0.4">
      <c r="A303" s="2" t="s">
        <v>287</v>
      </c>
      <c r="B303" s="2"/>
      <c r="C303" s="2">
        <v>68.652100000000004</v>
      </c>
      <c r="D303" s="2">
        <v>29</v>
      </c>
      <c r="E303" s="2">
        <v>69.173699999999997</v>
      </c>
      <c r="F303" s="2">
        <v>22</v>
      </c>
      <c r="G303" s="2">
        <v>98.089399999999998</v>
      </c>
      <c r="H303" s="2">
        <v>259</v>
      </c>
      <c r="I303" s="2">
        <v>99.672300000000007</v>
      </c>
      <c r="J303" s="2">
        <v>230</v>
      </c>
      <c r="K303" s="2">
        <v>107.8574</v>
      </c>
      <c r="L303" s="2">
        <v>297</v>
      </c>
      <c r="M303" s="2">
        <v>111.1849</v>
      </c>
      <c r="N303" s="2">
        <v>328</v>
      </c>
      <c r="O303" s="2">
        <v>0.22148699999999999</v>
      </c>
      <c r="P303" s="2">
        <v>302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spans="1:47" ht="12.3" hidden="1" x14ac:dyDescent="0.4">
      <c r="A304" s="2" t="s">
        <v>342</v>
      </c>
      <c r="B304" s="2"/>
      <c r="C304" s="2">
        <v>69.418000000000006</v>
      </c>
      <c r="D304" s="2">
        <v>16</v>
      </c>
      <c r="E304" s="2">
        <v>69.332800000000006</v>
      </c>
      <c r="F304" s="2">
        <v>19</v>
      </c>
      <c r="G304" s="2">
        <v>96.3703</v>
      </c>
      <c r="H304" s="2">
        <v>286</v>
      </c>
      <c r="I304" s="2">
        <v>96.302700000000002</v>
      </c>
      <c r="J304" s="2">
        <v>285</v>
      </c>
      <c r="K304" s="2">
        <v>101.0844</v>
      </c>
      <c r="L304" s="2">
        <v>150</v>
      </c>
      <c r="M304" s="2">
        <v>107.6399</v>
      </c>
      <c r="N304" s="2">
        <v>277</v>
      </c>
      <c r="O304" s="2">
        <v>0.21757000000000001</v>
      </c>
      <c r="P304" s="2">
        <v>303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spans="1:47" ht="12.3" hidden="1" x14ac:dyDescent="0.4">
      <c r="A305" s="2" t="s">
        <v>183</v>
      </c>
      <c r="B305" s="2"/>
      <c r="C305" s="2">
        <v>68.553700000000006</v>
      </c>
      <c r="D305" s="2">
        <v>31</v>
      </c>
      <c r="E305" s="2">
        <v>67.706999999999994</v>
      </c>
      <c r="F305" s="2">
        <v>40</v>
      </c>
      <c r="G305" s="2">
        <v>99.200699999999998</v>
      </c>
      <c r="H305" s="2">
        <v>239</v>
      </c>
      <c r="I305" s="2">
        <v>96.533799999999999</v>
      </c>
      <c r="J305" s="2">
        <v>278</v>
      </c>
      <c r="K305" s="2">
        <v>107.2191</v>
      </c>
      <c r="L305" s="2">
        <v>288</v>
      </c>
      <c r="M305" s="2">
        <v>107.90349999999999</v>
      </c>
      <c r="N305" s="2">
        <v>286</v>
      </c>
      <c r="O305" s="2">
        <v>0.217473</v>
      </c>
      <c r="P305" s="2">
        <v>304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 ht="12.3" hidden="1" x14ac:dyDescent="0.4">
      <c r="A306" s="2" t="s">
        <v>195</v>
      </c>
      <c r="B306" s="2"/>
      <c r="C306" s="2">
        <v>62.933799999999998</v>
      </c>
      <c r="D306" s="2">
        <v>274</v>
      </c>
      <c r="E306" s="2">
        <v>62.441400000000002</v>
      </c>
      <c r="F306" s="2">
        <v>288</v>
      </c>
      <c r="G306" s="2">
        <v>99.2376</v>
      </c>
      <c r="H306" s="2">
        <v>237</v>
      </c>
      <c r="I306" s="2">
        <v>97.044899999999998</v>
      </c>
      <c r="J306" s="2">
        <v>270</v>
      </c>
      <c r="K306" s="2">
        <v>110.59010000000001</v>
      </c>
      <c r="L306" s="2">
        <v>326</v>
      </c>
      <c r="M306" s="2">
        <v>108.8603</v>
      </c>
      <c r="N306" s="2">
        <v>303</v>
      </c>
      <c r="O306" s="2">
        <v>0.21060899999999999</v>
      </c>
      <c r="P306" s="2">
        <v>305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1:47" ht="12.3" hidden="1" x14ac:dyDescent="0.4">
      <c r="A307" s="2" t="s">
        <v>328</v>
      </c>
      <c r="B307" s="2"/>
      <c r="C307" s="2">
        <v>68.225800000000007</v>
      </c>
      <c r="D307" s="2">
        <v>36</v>
      </c>
      <c r="E307" s="2">
        <v>66.729600000000005</v>
      </c>
      <c r="F307" s="2">
        <v>77</v>
      </c>
      <c r="G307" s="2">
        <v>97.948700000000002</v>
      </c>
      <c r="H307" s="2">
        <v>262</v>
      </c>
      <c r="I307" s="2">
        <v>94.5976</v>
      </c>
      <c r="J307" s="2">
        <v>310</v>
      </c>
      <c r="K307" s="2">
        <v>104.7239</v>
      </c>
      <c r="L307" s="2">
        <v>229</v>
      </c>
      <c r="M307" s="2">
        <v>106.34</v>
      </c>
      <c r="N307" s="2">
        <v>251</v>
      </c>
      <c r="O307" s="2">
        <v>0.20659</v>
      </c>
      <c r="P307" s="2">
        <v>306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 ht="12.3" hidden="1" x14ac:dyDescent="0.4">
      <c r="A308" s="2" t="s">
        <v>374</v>
      </c>
      <c r="B308" s="2"/>
      <c r="C308" s="2">
        <v>67.717200000000005</v>
      </c>
      <c r="D308" s="2">
        <v>54</v>
      </c>
      <c r="E308" s="2">
        <v>67.055499999999995</v>
      </c>
      <c r="F308" s="2">
        <v>67</v>
      </c>
      <c r="G308" s="2">
        <v>101.4469</v>
      </c>
      <c r="H308" s="2">
        <v>184</v>
      </c>
      <c r="I308" s="2">
        <v>100.5381</v>
      </c>
      <c r="J308" s="2">
        <v>210</v>
      </c>
      <c r="K308" s="2">
        <v>112.09820000000001</v>
      </c>
      <c r="L308" s="2">
        <v>340</v>
      </c>
      <c r="M308" s="2">
        <v>113.1373</v>
      </c>
      <c r="N308" s="2">
        <v>337</v>
      </c>
      <c r="O308" s="2">
        <v>0.20460600000000001</v>
      </c>
      <c r="P308" s="2">
        <v>307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</row>
    <row r="309" spans="1:47" ht="12.3" hidden="1" x14ac:dyDescent="0.4">
      <c r="A309" s="2" t="s">
        <v>143</v>
      </c>
      <c r="B309" s="2"/>
      <c r="C309" s="2">
        <v>66.427300000000002</v>
      </c>
      <c r="D309" s="2">
        <v>100</v>
      </c>
      <c r="E309" s="2">
        <v>65.509399999999999</v>
      </c>
      <c r="F309" s="2">
        <v>134</v>
      </c>
      <c r="G309" s="2">
        <v>92.354699999999994</v>
      </c>
      <c r="H309" s="2">
        <v>327</v>
      </c>
      <c r="I309" s="2">
        <v>93.653899999999993</v>
      </c>
      <c r="J309" s="2">
        <v>314</v>
      </c>
      <c r="K309" s="2">
        <v>103.7085</v>
      </c>
      <c r="L309" s="2">
        <v>205</v>
      </c>
      <c r="M309" s="2">
        <v>105.4264</v>
      </c>
      <c r="N309" s="2">
        <v>231</v>
      </c>
      <c r="O309" s="2">
        <v>0.20396700000000001</v>
      </c>
      <c r="P309" s="2">
        <v>308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</row>
    <row r="310" spans="1:47" ht="12.3" hidden="1" x14ac:dyDescent="0.4">
      <c r="A310" s="2" t="s">
        <v>237</v>
      </c>
      <c r="B310" s="2"/>
      <c r="C310" s="2">
        <v>67.788700000000006</v>
      </c>
      <c r="D310" s="2">
        <v>49</v>
      </c>
      <c r="E310" s="2">
        <v>67.813100000000006</v>
      </c>
      <c r="F310" s="2">
        <v>39</v>
      </c>
      <c r="G310" s="2">
        <v>100.2597</v>
      </c>
      <c r="H310" s="2">
        <v>212</v>
      </c>
      <c r="I310" s="2">
        <v>96.995199999999997</v>
      </c>
      <c r="J310" s="2">
        <v>271</v>
      </c>
      <c r="K310" s="2">
        <v>109.73520000000001</v>
      </c>
      <c r="L310" s="2">
        <v>320</v>
      </c>
      <c r="M310" s="2">
        <v>109.3425</v>
      </c>
      <c r="N310" s="2">
        <v>309</v>
      </c>
      <c r="O310" s="2">
        <v>0.20133599999999999</v>
      </c>
      <c r="P310" s="2">
        <v>309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spans="1:47" ht="12.3" hidden="1" x14ac:dyDescent="0.4">
      <c r="A311" s="2" t="s">
        <v>275</v>
      </c>
      <c r="B311" s="2"/>
      <c r="C311" s="2">
        <v>64.322699999999998</v>
      </c>
      <c r="D311" s="2">
        <v>202</v>
      </c>
      <c r="E311" s="2">
        <v>63.88</v>
      </c>
      <c r="F311" s="2">
        <v>224</v>
      </c>
      <c r="G311" s="2">
        <v>93.740899999999996</v>
      </c>
      <c r="H311" s="2">
        <v>314</v>
      </c>
      <c r="I311" s="2">
        <v>93.233800000000002</v>
      </c>
      <c r="J311" s="2">
        <v>317</v>
      </c>
      <c r="K311" s="2">
        <v>106.038</v>
      </c>
      <c r="L311" s="2">
        <v>262</v>
      </c>
      <c r="M311" s="2">
        <v>105.2467</v>
      </c>
      <c r="N311" s="2">
        <v>228</v>
      </c>
      <c r="O311" s="2">
        <v>0.19880700000000001</v>
      </c>
      <c r="P311" s="2">
        <v>310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</row>
    <row r="312" spans="1:47" ht="12.3" hidden="1" x14ac:dyDescent="0.4">
      <c r="A312" s="2" t="s">
        <v>383</v>
      </c>
      <c r="B312" s="2"/>
      <c r="C312" s="2">
        <v>64.259799999999998</v>
      </c>
      <c r="D312" s="2">
        <v>205</v>
      </c>
      <c r="E312" s="2">
        <v>64.412400000000005</v>
      </c>
      <c r="F312" s="2">
        <v>191</v>
      </c>
      <c r="G312" s="2">
        <v>92.104100000000003</v>
      </c>
      <c r="H312" s="2">
        <v>333</v>
      </c>
      <c r="I312" s="2">
        <v>92.421999999999997</v>
      </c>
      <c r="J312" s="2">
        <v>326</v>
      </c>
      <c r="K312" s="2">
        <v>103.0843</v>
      </c>
      <c r="L312" s="2">
        <v>191</v>
      </c>
      <c r="M312" s="2">
        <v>104.45820000000001</v>
      </c>
      <c r="N312" s="2">
        <v>212</v>
      </c>
      <c r="O312" s="2">
        <v>0.196574</v>
      </c>
      <c r="P312" s="2">
        <v>311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 ht="12.3" hidden="1" x14ac:dyDescent="0.4">
      <c r="A313" s="2" t="s">
        <v>340</v>
      </c>
      <c r="B313" s="2"/>
      <c r="C313" s="2">
        <v>62.326799999999999</v>
      </c>
      <c r="D313" s="2">
        <v>296</v>
      </c>
      <c r="E313" s="2">
        <v>63.013800000000003</v>
      </c>
      <c r="F313" s="2">
        <v>268</v>
      </c>
      <c r="G313" s="2">
        <v>91.952100000000002</v>
      </c>
      <c r="H313" s="2">
        <v>334</v>
      </c>
      <c r="I313" s="2">
        <v>91.418199999999999</v>
      </c>
      <c r="J313" s="2">
        <v>334</v>
      </c>
      <c r="K313" s="2">
        <v>103.9393</v>
      </c>
      <c r="L313" s="2">
        <v>214</v>
      </c>
      <c r="M313" s="2">
        <v>103.3369</v>
      </c>
      <c r="N313" s="2">
        <v>186</v>
      </c>
      <c r="O313" s="2">
        <v>0.19634099999999999</v>
      </c>
      <c r="P313" s="2">
        <v>312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 ht="12.3" hidden="1" x14ac:dyDescent="0.4">
      <c r="A314" s="2" t="s">
        <v>175</v>
      </c>
      <c r="B314" s="2"/>
      <c r="C314" s="2">
        <v>62.5077</v>
      </c>
      <c r="D314" s="2">
        <v>292</v>
      </c>
      <c r="E314" s="2">
        <v>62.480400000000003</v>
      </c>
      <c r="F314" s="2">
        <v>287</v>
      </c>
      <c r="G314" s="2">
        <v>93.1995</v>
      </c>
      <c r="H314" s="2">
        <v>319</v>
      </c>
      <c r="I314" s="2">
        <v>95.677800000000005</v>
      </c>
      <c r="J314" s="2">
        <v>300</v>
      </c>
      <c r="K314" s="2">
        <v>109.3857</v>
      </c>
      <c r="L314" s="2">
        <v>316</v>
      </c>
      <c r="M314" s="2">
        <v>108.2491</v>
      </c>
      <c r="N314" s="2">
        <v>292</v>
      </c>
      <c r="O314" s="2">
        <v>0.194715</v>
      </c>
      <c r="P314" s="2">
        <v>313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</row>
    <row r="315" spans="1:47" ht="12.3" hidden="1" x14ac:dyDescent="0.4">
      <c r="A315" s="2" t="s">
        <v>359</v>
      </c>
      <c r="B315" s="2"/>
      <c r="C315" s="2">
        <v>67.200800000000001</v>
      </c>
      <c r="D315" s="2">
        <v>72</v>
      </c>
      <c r="E315" s="2">
        <v>66.933899999999994</v>
      </c>
      <c r="F315" s="2">
        <v>72</v>
      </c>
      <c r="G315" s="2">
        <v>97.690600000000003</v>
      </c>
      <c r="H315" s="2">
        <v>266</v>
      </c>
      <c r="I315" s="2">
        <v>95.709100000000007</v>
      </c>
      <c r="J315" s="2">
        <v>299</v>
      </c>
      <c r="K315" s="2">
        <v>108.55500000000001</v>
      </c>
      <c r="L315" s="2">
        <v>306</v>
      </c>
      <c r="M315" s="2">
        <v>108.3218</v>
      </c>
      <c r="N315" s="2">
        <v>293</v>
      </c>
      <c r="O315" s="2">
        <v>0.19409499999999999</v>
      </c>
      <c r="P315" s="2">
        <v>314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</row>
    <row r="316" spans="1:47" ht="12.3" hidden="1" x14ac:dyDescent="0.4">
      <c r="A316" s="2" t="s">
        <v>294</v>
      </c>
      <c r="B316" s="2"/>
      <c r="C316" s="2">
        <v>63.806399999999996</v>
      </c>
      <c r="D316" s="2">
        <v>237</v>
      </c>
      <c r="E316" s="2">
        <v>64.004999999999995</v>
      </c>
      <c r="F316" s="2">
        <v>212</v>
      </c>
      <c r="G316" s="2">
        <v>99.119100000000003</v>
      </c>
      <c r="H316" s="2">
        <v>244</v>
      </c>
      <c r="I316" s="2">
        <v>96.448700000000002</v>
      </c>
      <c r="J316" s="2">
        <v>282</v>
      </c>
      <c r="K316" s="2">
        <v>108.60429999999999</v>
      </c>
      <c r="L316" s="2">
        <v>307</v>
      </c>
      <c r="M316" s="2">
        <v>109.56529999999999</v>
      </c>
      <c r="N316" s="2">
        <v>314</v>
      </c>
      <c r="O316" s="2">
        <v>0.187496</v>
      </c>
      <c r="P316" s="2">
        <v>315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</row>
    <row r="317" spans="1:47" ht="12.3" hidden="1" x14ac:dyDescent="0.4">
      <c r="A317" s="2" t="s">
        <v>312</v>
      </c>
      <c r="B317" s="2"/>
      <c r="C317" s="2">
        <v>64.892899999999997</v>
      </c>
      <c r="D317" s="2">
        <v>165</v>
      </c>
      <c r="E317" s="2">
        <v>63.670400000000001</v>
      </c>
      <c r="F317" s="2">
        <v>238</v>
      </c>
      <c r="G317" s="2">
        <v>93.093199999999996</v>
      </c>
      <c r="H317" s="2">
        <v>320</v>
      </c>
      <c r="I317" s="2">
        <v>89.682100000000005</v>
      </c>
      <c r="J317" s="2">
        <v>344</v>
      </c>
      <c r="K317" s="2">
        <v>97.008200000000002</v>
      </c>
      <c r="L317" s="2">
        <v>70</v>
      </c>
      <c r="M317" s="2">
        <v>102.0677</v>
      </c>
      <c r="N317" s="2">
        <v>162</v>
      </c>
      <c r="O317" s="2">
        <v>0.18426799999999999</v>
      </c>
      <c r="P317" s="2">
        <v>316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 ht="12.3" hidden="1" x14ac:dyDescent="0.4">
      <c r="A318" s="2" t="s">
        <v>378</v>
      </c>
      <c r="B318" s="2"/>
      <c r="C318" s="2">
        <v>68.017600000000002</v>
      </c>
      <c r="D318" s="2">
        <v>43</v>
      </c>
      <c r="E318" s="2">
        <v>68.052700000000002</v>
      </c>
      <c r="F318" s="2">
        <v>32</v>
      </c>
      <c r="G318" s="2">
        <v>97.474699999999999</v>
      </c>
      <c r="H318" s="2">
        <v>268</v>
      </c>
      <c r="I318" s="2">
        <v>95.395700000000005</v>
      </c>
      <c r="J318" s="2">
        <v>304</v>
      </c>
      <c r="K318" s="2">
        <v>109.9978</v>
      </c>
      <c r="L318" s="2">
        <v>324</v>
      </c>
      <c r="M318" s="2">
        <v>109.0568</v>
      </c>
      <c r="N318" s="2">
        <v>306</v>
      </c>
      <c r="O318" s="2">
        <v>0.17666499999999999</v>
      </c>
      <c r="P318" s="2">
        <v>317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spans="1:47" ht="12.3" hidden="1" x14ac:dyDescent="0.4">
      <c r="A319" s="2" t="s">
        <v>227</v>
      </c>
      <c r="B319" s="2"/>
      <c r="C319" s="2">
        <v>68.127200000000002</v>
      </c>
      <c r="D319" s="2">
        <v>41</v>
      </c>
      <c r="E319" s="2">
        <v>67.212599999999995</v>
      </c>
      <c r="F319" s="2">
        <v>58</v>
      </c>
      <c r="G319" s="2">
        <v>93.984999999999999</v>
      </c>
      <c r="H319" s="2">
        <v>310</v>
      </c>
      <c r="I319" s="2">
        <v>92.735500000000002</v>
      </c>
      <c r="J319" s="2">
        <v>321</v>
      </c>
      <c r="K319" s="2">
        <v>108.1296</v>
      </c>
      <c r="L319" s="2">
        <v>302</v>
      </c>
      <c r="M319" s="2">
        <v>106.3943</v>
      </c>
      <c r="N319" s="2">
        <v>254</v>
      </c>
      <c r="O319" s="2">
        <v>0.17077999999999999</v>
      </c>
      <c r="P319" s="2">
        <v>318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</row>
    <row r="320" spans="1:47" ht="12.3" hidden="1" x14ac:dyDescent="0.4">
      <c r="A320" s="2" t="s">
        <v>163</v>
      </c>
      <c r="B320" s="2"/>
      <c r="C320" s="2">
        <v>66.170299999999997</v>
      </c>
      <c r="D320" s="2">
        <v>109</v>
      </c>
      <c r="E320" s="2">
        <v>66.243399999999994</v>
      </c>
      <c r="F320" s="2">
        <v>102</v>
      </c>
      <c r="G320" s="2">
        <v>95.721500000000006</v>
      </c>
      <c r="H320" s="2">
        <v>294</v>
      </c>
      <c r="I320" s="2">
        <v>94.604500000000002</v>
      </c>
      <c r="J320" s="2">
        <v>309</v>
      </c>
      <c r="K320" s="2">
        <v>109.8999</v>
      </c>
      <c r="L320" s="2">
        <v>322</v>
      </c>
      <c r="M320" s="2">
        <v>108.7619</v>
      </c>
      <c r="N320" s="2">
        <v>301</v>
      </c>
      <c r="O320" s="2">
        <v>0.167459</v>
      </c>
      <c r="P320" s="2">
        <v>319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</row>
    <row r="321" spans="1:47" ht="12.3" hidden="1" x14ac:dyDescent="0.4">
      <c r="A321" s="2" t="s">
        <v>344</v>
      </c>
      <c r="B321" s="2"/>
      <c r="C321" s="2">
        <v>67.394400000000005</v>
      </c>
      <c r="D321" s="2">
        <v>63</v>
      </c>
      <c r="E321" s="2">
        <v>67.701999999999998</v>
      </c>
      <c r="F321" s="2">
        <v>41</v>
      </c>
      <c r="G321" s="2">
        <v>96.736699999999999</v>
      </c>
      <c r="H321" s="2">
        <v>276</v>
      </c>
      <c r="I321" s="2">
        <v>96.048699999999997</v>
      </c>
      <c r="J321" s="2">
        <v>292</v>
      </c>
      <c r="K321" s="2">
        <v>108.4136</v>
      </c>
      <c r="L321" s="2">
        <v>304</v>
      </c>
      <c r="M321" s="2">
        <v>111.08459999999999</v>
      </c>
      <c r="N321" s="2">
        <v>327</v>
      </c>
      <c r="O321" s="2">
        <v>0.15808900000000001</v>
      </c>
      <c r="P321" s="2">
        <v>320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</row>
    <row r="322" spans="1:47" ht="12.3" hidden="1" x14ac:dyDescent="0.4">
      <c r="A322" s="2" t="s">
        <v>347</v>
      </c>
      <c r="B322" s="2"/>
      <c r="C322" s="2">
        <v>68.373999999999995</v>
      </c>
      <c r="D322" s="2">
        <v>34</v>
      </c>
      <c r="E322" s="2">
        <v>66.696899999999999</v>
      </c>
      <c r="F322" s="2">
        <v>80</v>
      </c>
      <c r="G322" s="2">
        <v>91.452600000000004</v>
      </c>
      <c r="H322" s="2">
        <v>336</v>
      </c>
      <c r="I322" s="2">
        <v>90.878399999999999</v>
      </c>
      <c r="J322" s="2">
        <v>338</v>
      </c>
      <c r="K322" s="2">
        <v>106.97110000000001</v>
      </c>
      <c r="L322" s="2">
        <v>284</v>
      </c>
      <c r="M322" s="2">
        <v>105.5252</v>
      </c>
      <c r="N322" s="2">
        <v>234</v>
      </c>
      <c r="O322" s="2">
        <v>0.15207599999999999</v>
      </c>
      <c r="P322" s="2">
        <v>321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 ht="12.3" hidden="1" x14ac:dyDescent="0.4">
      <c r="A323" s="2" t="s">
        <v>214</v>
      </c>
      <c r="B323" s="2"/>
      <c r="C323" s="2">
        <v>64.460400000000007</v>
      </c>
      <c r="D323" s="2">
        <v>194</v>
      </c>
      <c r="E323" s="2">
        <v>64.043099999999995</v>
      </c>
      <c r="F323" s="2">
        <v>208</v>
      </c>
      <c r="G323" s="2">
        <v>95.991399999999999</v>
      </c>
      <c r="H323" s="2">
        <v>290</v>
      </c>
      <c r="I323" s="2">
        <v>96.911000000000001</v>
      </c>
      <c r="J323" s="2">
        <v>274</v>
      </c>
      <c r="K323" s="2">
        <v>112.57550000000001</v>
      </c>
      <c r="L323" s="2">
        <v>343</v>
      </c>
      <c r="M323" s="2">
        <v>112.5373</v>
      </c>
      <c r="N323" s="2">
        <v>336</v>
      </c>
      <c r="O323" s="2">
        <v>0.151981</v>
      </c>
      <c r="P323" s="2">
        <v>322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</row>
    <row r="324" spans="1:47" ht="12.3" hidden="1" x14ac:dyDescent="0.4">
      <c r="A324" s="2" t="s">
        <v>341</v>
      </c>
      <c r="B324" s="2"/>
      <c r="C324" s="2">
        <v>73.488699999999994</v>
      </c>
      <c r="D324" s="2">
        <v>3</v>
      </c>
      <c r="E324" s="2">
        <v>74.168800000000005</v>
      </c>
      <c r="F324" s="2">
        <v>2</v>
      </c>
      <c r="G324" s="2">
        <v>96.076300000000003</v>
      </c>
      <c r="H324" s="2">
        <v>289</v>
      </c>
      <c r="I324" s="2">
        <v>99.002300000000005</v>
      </c>
      <c r="J324" s="2">
        <v>240</v>
      </c>
      <c r="K324" s="2">
        <v>113.626</v>
      </c>
      <c r="L324" s="2">
        <v>347</v>
      </c>
      <c r="M324" s="2">
        <v>115.00490000000001</v>
      </c>
      <c r="N324" s="2">
        <v>345</v>
      </c>
      <c r="O324" s="2">
        <v>0.151478</v>
      </c>
      <c r="P324" s="2">
        <v>323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</row>
    <row r="325" spans="1:47" ht="12.3" hidden="1" x14ac:dyDescent="0.4">
      <c r="A325" s="2" t="s">
        <v>351</v>
      </c>
      <c r="B325" s="2"/>
      <c r="C325" s="2">
        <v>64.655799999999999</v>
      </c>
      <c r="D325" s="2">
        <v>182</v>
      </c>
      <c r="E325" s="2">
        <v>64.114800000000002</v>
      </c>
      <c r="F325" s="2">
        <v>205</v>
      </c>
      <c r="G325" s="2">
        <v>92.108999999999995</v>
      </c>
      <c r="H325" s="2">
        <v>332</v>
      </c>
      <c r="I325" s="2">
        <v>91.542100000000005</v>
      </c>
      <c r="J325" s="2">
        <v>333</v>
      </c>
      <c r="K325" s="2">
        <v>103.0091</v>
      </c>
      <c r="L325" s="2">
        <v>189</v>
      </c>
      <c r="M325" s="2">
        <v>106.7758</v>
      </c>
      <c r="N325" s="2">
        <v>263</v>
      </c>
      <c r="O325" s="2">
        <v>0.14551500000000001</v>
      </c>
      <c r="P325" s="2">
        <v>324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1:47" ht="12.3" hidden="1" x14ac:dyDescent="0.4">
      <c r="A326" s="2" t="s">
        <v>368</v>
      </c>
      <c r="B326" s="2"/>
      <c r="C326" s="2">
        <v>62.510300000000001</v>
      </c>
      <c r="D326" s="2">
        <v>291</v>
      </c>
      <c r="E326" s="2">
        <v>62.624000000000002</v>
      </c>
      <c r="F326" s="2">
        <v>278</v>
      </c>
      <c r="G326" s="2">
        <v>95.443600000000004</v>
      </c>
      <c r="H326" s="2">
        <v>297</v>
      </c>
      <c r="I326" s="2">
        <v>95.591200000000001</v>
      </c>
      <c r="J326" s="2">
        <v>301</v>
      </c>
      <c r="K326" s="2">
        <v>114.1002</v>
      </c>
      <c r="L326" s="2">
        <v>348</v>
      </c>
      <c r="M326" s="2">
        <v>111.51</v>
      </c>
      <c r="N326" s="2">
        <v>332</v>
      </c>
      <c r="O326" s="2">
        <v>0.14537</v>
      </c>
      <c r="P326" s="2">
        <v>325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</row>
    <row r="327" spans="1:47" ht="12.3" hidden="1" x14ac:dyDescent="0.4">
      <c r="A327" s="2" t="s">
        <v>315</v>
      </c>
      <c r="B327" s="2"/>
      <c r="C327" s="2">
        <v>63.244900000000001</v>
      </c>
      <c r="D327" s="2">
        <v>259</v>
      </c>
      <c r="E327" s="2">
        <v>63.2986</v>
      </c>
      <c r="F327" s="2">
        <v>257</v>
      </c>
      <c r="G327" s="2">
        <v>90.057199999999995</v>
      </c>
      <c r="H327" s="2">
        <v>341</v>
      </c>
      <c r="I327" s="2">
        <v>92.997299999999996</v>
      </c>
      <c r="J327" s="2">
        <v>318</v>
      </c>
      <c r="K327" s="2">
        <v>105.699</v>
      </c>
      <c r="L327" s="2">
        <v>256</v>
      </c>
      <c r="M327" s="2">
        <v>108.5744</v>
      </c>
      <c r="N327" s="2">
        <v>297</v>
      </c>
      <c r="O327" s="2">
        <v>0.14418600000000001</v>
      </c>
      <c r="P327" s="2">
        <v>326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</row>
    <row r="328" spans="1:47" ht="12.3" hidden="1" x14ac:dyDescent="0.4">
      <c r="A328" s="2" t="s">
        <v>285</v>
      </c>
      <c r="B328" s="2"/>
      <c r="C328" s="2">
        <v>67.282399999999996</v>
      </c>
      <c r="D328" s="2">
        <v>66</v>
      </c>
      <c r="E328" s="2">
        <v>67.068600000000004</v>
      </c>
      <c r="F328" s="2">
        <v>66</v>
      </c>
      <c r="G328" s="2">
        <v>89.989599999999996</v>
      </c>
      <c r="H328" s="2">
        <v>342</v>
      </c>
      <c r="I328" s="2">
        <v>90.579800000000006</v>
      </c>
      <c r="J328" s="2">
        <v>340</v>
      </c>
      <c r="K328" s="2">
        <v>106.54340000000001</v>
      </c>
      <c r="L328" s="2">
        <v>274</v>
      </c>
      <c r="M328" s="2">
        <v>106.374</v>
      </c>
      <c r="N328" s="2">
        <v>253</v>
      </c>
      <c r="O328" s="2">
        <v>0.13606199999999999</v>
      </c>
      <c r="P328" s="2">
        <v>327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 ht="12.3" hidden="1" x14ac:dyDescent="0.4">
      <c r="A329" s="2" t="s">
        <v>372</v>
      </c>
      <c r="B329" s="2"/>
      <c r="C329" s="2">
        <v>61.827199999999998</v>
      </c>
      <c r="D329" s="2">
        <v>307</v>
      </c>
      <c r="E329" s="2">
        <v>62.384799999999998</v>
      </c>
      <c r="F329" s="2">
        <v>290</v>
      </c>
      <c r="G329" s="2">
        <v>92.403800000000004</v>
      </c>
      <c r="H329" s="2">
        <v>326</v>
      </c>
      <c r="I329" s="2">
        <v>91.162999999999997</v>
      </c>
      <c r="J329" s="2">
        <v>335</v>
      </c>
      <c r="K329" s="2">
        <v>104.95959999999999</v>
      </c>
      <c r="L329" s="2">
        <v>237</v>
      </c>
      <c r="M329" s="2">
        <v>107.09350000000001</v>
      </c>
      <c r="N329" s="2">
        <v>270</v>
      </c>
      <c r="O329" s="2">
        <v>0.135625</v>
      </c>
      <c r="P329" s="2">
        <v>328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</row>
    <row r="330" spans="1:47" ht="12.3" hidden="1" x14ac:dyDescent="0.4">
      <c r="A330" s="2" t="s">
        <v>179</v>
      </c>
      <c r="B330" s="2"/>
      <c r="C330" s="2">
        <v>59.6126</v>
      </c>
      <c r="D330" s="2">
        <v>341</v>
      </c>
      <c r="E330" s="2">
        <v>59.345700000000001</v>
      </c>
      <c r="F330" s="2">
        <v>343</v>
      </c>
      <c r="G330" s="2">
        <v>103.7441</v>
      </c>
      <c r="H330" s="2">
        <v>132</v>
      </c>
      <c r="I330" s="2">
        <v>101.6238</v>
      </c>
      <c r="J330" s="2">
        <v>179</v>
      </c>
      <c r="K330" s="2">
        <v>117.8852</v>
      </c>
      <c r="L330" s="2">
        <v>351</v>
      </c>
      <c r="M330" s="2">
        <v>120.408</v>
      </c>
      <c r="N330" s="2">
        <v>351</v>
      </c>
      <c r="O330" s="2">
        <v>0.1245</v>
      </c>
      <c r="P330" s="2">
        <v>329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</row>
    <row r="331" spans="1:47" ht="12.3" hidden="1" x14ac:dyDescent="0.4">
      <c r="A331" s="2" t="s">
        <v>272</v>
      </c>
      <c r="B331" s="2"/>
      <c r="C331" s="2">
        <v>64.371300000000005</v>
      </c>
      <c r="D331" s="2">
        <v>198</v>
      </c>
      <c r="E331" s="2">
        <v>63.691000000000003</v>
      </c>
      <c r="F331" s="2">
        <v>236</v>
      </c>
      <c r="G331" s="2">
        <v>94.785499999999999</v>
      </c>
      <c r="H331" s="2">
        <v>301</v>
      </c>
      <c r="I331" s="2">
        <v>94.733900000000006</v>
      </c>
      <c r="J331" s="2">
        <v>306</v>
      </c>
      <c r="K331" s="2">
        <v>106.4526</v>
      </c>
      <c r="L331" s="2">
        <v>272</v>
      </c>
      <c r="M331" s="2">
        <v>112.3258</v>
      </c>
      <c r="N331" s="2">
        <v>335</v>
      </c>
      <c r="O331" s="2">
        <v>0.123595</v>
      </c>
      <c r="P331" s="2">
        <v>330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</row>
    <row r="332" spans="1:47" ht="12.3" hidden="1" x14ac:dyDescent="0.4">
      <c r="A332" s="2" t="s">
        <v>346</v>
      </c>
      <c r="B332" s="2"/>
      <c r="C332" s="2">
        <v>66.605099999999993</v>
      </c>
      <c r="D332" s="2">
        <v>89</v>
      </c>
      <c r="E332" s="2">
        <v>66.421000000000006</v>
      </c>
      <c r="F332" s="2">
        <v>93</v>
      </c>
      <c r="G332" s="2">
        <v>91.9238</v>
      </c>
      <c r="H332" s="2">
        <v>335</v>
      </c>
      <c r="I332" s="2">
        <v>90.555999999999997</v>
      </c>
      <c r="J332" s="2">
        <v>341</v>
      </c>
      <c r="K332" s="2">
        <v>106.3501</v>
      </c>
      <c r="L332" s="2">
        <v>268</v>
      </c>
      <c r="M332" s="2">
        <v>107.6855</v>
      </c>
      <c r="N332" s="2">
        <v>280</v>
      </c>
      <c r="O332" s="2">
        <v>0.12001000000000001</v>
      </c>
      <c r="P332" s="2">
        <v>331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</row>
    <row r="333" spans="1:47" ht="12.3" hidden="1" x14ac:dyDescent="0.4">
      <c r="A333" s="2" t="s">
        <v>384</v>
      </c>
      <c r="B333" s="2"/>
      <c r="C333" s="2">
        <v>64.841499999999996</v>
      </c>
      <c r="D333" s="2">
        <v>171</v>
      </c>
      <c r="E333" s="2">
        <v>63.627299999999998</v>
      </c>
      <c r="F333" s="2">
        <v>244</v>
      </c>
      <c r="G333" s="2">
        <v>93.329499999999996</v>
      </c>
      <c r="H333" s="2">
        <v>318</v>
      </c>
      <c r="I333" s="2">
        <v>92.950100000000006</v>
      </c>
      <c r="J333" s="2">
        <v>319</v>
      </c>
      <c r="K333" s="2">
        <v>111.039</v>
      </c>
      <c r="L333" s="2">
        <v>331</v>
      </c>
      <c r="M333" s="2">
        <v>110.61450000000001</v>
      </c>
      <c r="N333" s="2">
        <v>324</v>
      </c>
      <c r="O333" s="2">
        <v>0.11911099999999999</v>
      </c>
      <c r="P333" s="2">
        <v>332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</row>
    <row r="334" spans="1:47" ht="12.3" hidden="1" x14ac:dyDescent="0.4">
      <c r="A334" s="2" t="s">
        <v>313</v>
      </c>
      <c r="B334" s="2"/>
      <c r="C334" s="2">
        <v>60.575000000000003</v>
      </c>
      <c r="D334" s="2">
        <v>334</v>
      </c>
      <c r="E334" s="2">
        <v>60.488399999999999</v>
      </c>
      <c r="F334" s="2">
        <v>336</v>
      </c>
      <c r="G334" s="2">
        <v>93.969499999999996</v>
      </c>
      <c r="H334" s="2">
        <v>311</v>
      </c>
      <c r="I334" s="2">
        <v>90.580399999999997</v>
      </c>
      <c r="J334" s="2">
        <v>339</v>
      </c>
      <c r="K334" s="2">
        <v>102.7555</v>
      </c>
      <c r="L334" s="2">
        <v>185</v>
      </c>
      <c r="M334" s="2">
        <v>107.82599999999999</v>
      </c>
      <c r="N334" s="2">
        <v>283</v>
      </c>
      <c r="O334" s="2">
        <v>0.118759</v>
      </c>
      <c r="P334" s="2">
        <v>333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</row>
    <row r="335" spans="1:47" ht="12.3" hidden="1" x14ac:dyDescent="0.4">
      <c r="A335" s="2" t="s">
        <v>298</v>
      </c>
      <c r="B335" s="2"/>
      <c r="C335" s="2">
        <v>66.408900000000003</v>
      </c>
      <c r="D335" s="2">
        <v>102</v>
      </c>
      <c r="E335" s="2">
        <v>66.942700000000002</v>
      </c>
      <c r="F335" s="2">
        <v>71</v>
      </c>
      <c r="G335" s="2">
        <v>97.784099999999995</v>
      </c>
      <c r="H335" s="2">
        <v>265</v>
      </c>
      <c r="I335" s="2">
        <v>95.479399999999998</v>
      </c>
      <c r="J335" s="2">
        <v>303</v>
      </c>
      <c r="K335" s="2">
        <v>111.8633</v>
      </c>
      <c r="L335" s="2">
        <v>337</v>
      </c>
      <c r="M335" s="2">
        <v>113.7099</v>
      </c>
      <c r="N335" s="2">
        <v>340</v>
      </c>
      <c r="O335" s="2">
        <v>0.11820899999999999</v>
      </c>
      <c r="P335" s="2">
        <v>334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</row>
    <row r="336" spans="1:47" ht="12.3" hidden="1" x14ac:dyDescent="0.4">
      <c r="A336" s="2" t="s">
        <v>288</v>
      </c>
      <c r="B336" s="2"/>
      <c r="C336" s="2">
        <v>64.881500000000003</v>
      </c>
      <c r="D336" s="2">
        <v>166</v>
      </c>
      <c r="E336" s="2">
        <v>64.640199999999993</v>
      </c>
      <c r="F336" s="2">
        <v>174</v>
      </c>
      <c r="G336" s="2">
        <v>89.067099999999996</v>
      </c>
      <c r="H336" s="2">
        <v>344</v>
      </c>
      <c r="I336" s="2">
        <v>89.868099999999998</v>
      </c>
      <c r="J336" s="2">
        <v>343</v>
      </c>
      <c r="K336" s="2">
        <v>103.85169999999999</v>
      </c>
      <c r="L336" s="2">
        <v>212</v>
      </c>
      <c r="M336" s="2">
        <v>107.33150000000001</v>
      </c>
      <c r="N336" s="2">
        <v>272</v>
      </c>
      <c r="O336" s="2">
        <v>0.11484800000000001</v>
      </c>
      <c r="P336" s="2">
        <v>335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spans="1:47" ht="12.3" hidden="1" x14ac:dyDescent="0.4">
      <c r="A337" s="2" t="s">
        <v>348</v>
      </c>
      <c r="B337" s="2"/>
      <c r="C337" s="2">
        <v>63.218499999999999</v>
      </c>
      <c r="D337" s="2">
        <v>261</v>
      </c>
      <c r="E337" s="2">
        <v>63.091799999999999</v>
      </c>
      <c r="F337" s="2">
        <v>266</v>
      </c>
      <c r="G337" s="2">
        <v>87.253</v>
      </c>
      <c r="H337" s="2">
        <v>345</v>
      </c>
      <c r="I337" s="2">
        <v>88.762299999999996</v>
      </c>
      <c r="J337" s="2">
        <v>345</v>
      </c>
      <c r="K337" s="2">
        <v>106.4271</v>
      </c>
      <c r="L337" s="2">
        <v>270</v>
      </c>
      <c r="M337" s="2">
        <v>106.18259999999999</v>
      </c>
      <c r="N337" s="2">
        <v>248</v>
      </c>
      <c r="O337" s="2">
        <v>0.112968</v>
      </c>
      <c r="P337" s="2">
        <v>336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</row>
    <row r="338" spans="1:47" ht="12.3" hidden="1" x14ac:dyDescent="0.4">
      <c r="A338" s="2" t="s">
        <v>345</v>
      </c>
      <c r="B338" s="2"/>
      <c r="C338" s="2">
        <v>65.742900000000006</v>
      </c>
      <c r="D338" s="2">
        <v>127</v>
      </c>
      <c r="E338" s="2">
        <v>65.265100000000004</v>
      </c>
      <c r="F338" s="2">
        <v>146</v>
      </c>
      <c r="G338" s="2">
        <v>92.878799999999998</v>
      </c>
      <c r="H338" s="2">
        <v>322</v>
      </c>
      <c r="I338" s="2">
        <v>92.549400000000006</v>
      </c>
      <c r="J338" s="2">
        <v>322</v>
      </c>
      <c r="K338" s="2">
        <v>107.4293</v>
      </c>
      <c r="L338" s="2">
        <v>291</v>
      </c>
      <c r="M338" s="2">
        <v>111.0415</v>
      </c>
      <c r="N338" s="2">
        <v>326</v>
      </c>
      <c r="O338" s="2">
        <v>0.109598</v>
      </c>
      <c r="P338" s="2">
        <v>337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</row>
    <row r="339" spans="1:47" ht="12.3" hidden="1" x14ac:dyDescent="0.4">
      <c r="A339" s="2" t="s">
        <v>361</v>
      </c>
      <c r="B339" s="2"/>
      <c r="C339" s="2">
        <v>66.45</v>
      </c>
      <c r="D339" s="2">
        <v>99</v>
      </c>
      <c r="E339" s="2">
        <v>65.343900000000005</v>
      </c>
      <c r="F339" s="2">
        <v>143</v>
      </c>
      <c r="G339" s="2">
        <v>92.774799999999999</v>
      </c>
      <c r="H339" s="2">
        <v>323</v>
      </c>
      <c r="I339" s="2">
        <v>92.530199999999994</v>
      </c>
      <c r="J339" s="2">
        <v>323</v>
      </c>
      <c r="K339" s="2">
        <v>111.5168</v>
      </c>
      <c r="L339" s="2">
        <v>335</v>
      </c>
      <c r="M339" s="2">
        <v>111.40089999999999</v>
      </c>
      <c r="N339" s="2">
        <v>331</v>
      </c>
      <c r="O339" s="2">
        <v>0.105798</v>
      </c>
      <c r="P339" s="2">
        <v>338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</row>
    <row r="340" spans="1:47" ht="12.3" hidden="1" x14ac:dyDescent="0.4">
      <c r="A340" s="2" t="s">
        <v>352</v>
      </c>
      <c r="B340" s="2"/>
      <c r="C340" s="2">
        <v>65.613299999999995</v>
      </c>
      <c r="D340" s="2">
        <v>137</v>
      </c>
      <c r="E340" s="2">
        <v>64.921300000000002</v>
      </c>
      <c r="F340" s="2">
        <v>160</v>
      </c>
      <c r="G340" s="2">
        <v>84.731300000000005</v>
      </c>
      <c r="H340" s="2">
        <v>348</v>
      </c>
      <c r="I340" s="2">
        <v>86.704999999999998</v>
      </c>
      <c r="J340" s="2">
        <v>348</v>
      </c>
      <c r="K340" s="2">
        <v>102.4204</v>
      </c>
      <c r="L340" s="2">
        <v>177</v>
      </c>
      <c r="M340" s="2">
        <v>104.42059999999999</v>
      </c>
      <c r="N340" s="2">
        <v>211</v>
      </c>
      <c r="O340" s="2">
        <v>0.10545499999999999</v>
      </c>
      <c r="P340" s="2">
        <v>339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</row>
    <row r="341" spans="1:47" ht="12.3" hidden="1" x14ac:dyDescent="0.4">
      <c r="A341" s="2" t="s">
        <v>296</v>
      </c>
      <c r="B341" s="2"/>
      <c r="C341" s="2">
        <v>62.432600000000001</v>
      </c>
      <c r="D341" s="2">
        <v>293</v>
      </c>
      <c r="E341" s="2">
        <v>62.338900000000002</v>
      </c>
      <c r="F341" s="2">
        <v>292</v>
      </c>
      <c r="G341" s="2">
        <v>92.640299999999996</v>
      </c>
      <c r="H341" s="2">
        <v>325</v>
      </c>
      <c r="I341" s="2">
        <v>92.308300000000003</v>
      </c>
      <c r="J341" s="2">
        <v>328</v>
      </c>
      <c r="K341" s="2">
        <v>106.1365</v>
      </c>
      <c r="L341" s="2">
        <v>266</v>
      </c>
      <c r="M341" s="2">
        <v>111.24509999999999</v>
      </c>
      <c r="N341" s="2">
        <v>329</v>
      </c>
      <c r="O341" s="2">
        <v>0.104713</v>
      </c>
      <c r="P341" s="2">
        <v>340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</row>
    <row r="342" spans="1:47" ht="12.3" hidden="1" x14ac:dyDescent="0.4">
      <c r="A342" s="2" t="s">
        <v>156</v>
      </c>
      <c r="B342" s="2"/>
      <c r="C342" s="2">
        <v>63.9587</v>
      </c>
      <c r="D342" s="2">
        <v>229</v>
      </c>
      <c r="E342" s="2">
        <v>63.503900000000002</v>
      </c>
      <c r="F342" s="2">
        <v>250</v>
      </c>
      <c r="G342" s="2">
        <v>92.249099999999999</v>
      </c>
      <c r="H342" s="2">
        <v>330</v>
      </c>
      <c r="I342" s="2">
        <v>91.619200000000006</v>
      </c>
      <c r="J342" s="2">
        <v>331</v>
      </c>
      <c r="K342" s="2">
        <v>108.979</v>
      </c>
      <c r="L342" s="2">
        <v>310</v>
      </c>
      <c r="M342" s="2">
        <v>110.59010000000001</v>
      </c>
      <c r="N342" s="2">
        <v>323</v>
      </c>
      <c r="O342" s="2">
        <v>0.10301299999999999</v>
      </c>
      <c r="P342" s="2">
        <v>341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</row>
    <row r="343" spans="1:47" ht="12.3" hidden="1" x14ac:dyDescent="0.4">
      <c r="A343" s="2" t="s">
        <v>268</v>
      </c>
      <c r="B343" s="2"/>
      <c r="C343" s="2">
        <v>63.998699999999999</v>
      </c>
      <c r="D343" s="2">
        <v>225</v>
      </c>
      <c r="E343" s="2">
        <v>63.927500000000002</v>
      </c>
      <c r="F343" s="2">
        <v>222</v>
      </c>
      <c r="G343" s="2">
        <v>87.012100000000004</v>
      </c>
      <c r="H343" s="2">
        <v>346</v>
      </c>
      <c r="I343" s="2">
        <v>87.511700000000005</v>
      </c>
      <c r="J343" s="2">
        <v>347</v>
      </c>
      <c r="K343" s="2">
        <v>106.9114</v>
      </c>
      <c r="L343" s="2">
        <v>281</v>
      </c>
      <c r="M343" s="2">
        <v>105.7753</v>
      </c>
      <c r="N343" s="2">
        <v>238</v>
      </c>
      <c r="O343" s="2">
        <v>0.10158200000000001</v>
      </c>
      <c r="P343" s="2">
        <v>342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 ht="12.3" hidden="1" x14ac:dyDescent="0.4">
      <c r="A344" s="2" t="s">
        <v>202</v>
      </c>
      <c r="B344" s="2"/>
      <c r="C344" s="2">
        <v>64.043800000000005</v>
      </c>
      <c r="D344" s="2">
        <v>220</v>
      </c>
      <c r="E344" s="2">
        <v>64.046400000000006</v>
      </c>
      <c r="F344" s="2">
        <v>207</v>
      </c>
      <c r="G344" s="2">
        <v>93.088499999999996</v>
      </c>
      <c r="H344" s="2">
        <v>321</v>
      </c>
      <c r="I344" s="2">
        <v>91.9315</v>
      </c>
      <c r="J344" s="2">
        <v>330</v>
      </c>
      <c r="K344" s="2">
        <v>108.6922</v>
      </c>
      <c r="L344" s="2">
        <v>308</v>
      </c>
      <c r="M344" s="2">
        <v>111.3929</v>
      </c>
      <c r="N344" s="2">
        <v>330</v>
      </c>
      <c r="O344" s="2">
        <v>9.9014000000000005E-2</v>
      </c>
      <c r="P344" s="2">
        <v>343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 ht="12.3" hidden="1" x14ac:dyDescent="0.4">
      <c r="A345" s="2" t="s">
        <v>252</v>
      </c>
      <c r="B345" s="2"/>
      <c r="C345" s="2">
        <v>64.442599999999999</v>
      </c>
      <c r="D345" s="2">
        <v>195</v>
      </c>
      <c r="E345" s="2">
        <v>64.989400000000003</v>
      </c>
      <c r="F345" s="2">
        <v>157</v>
      </c>
      <c r="G345" s="2">
        <v>86.969300000000004</v>
      </c>
      <c r="H345" s="2">
        <v>347</v>
      </c>
      <c r="I345" s="2">
        <v>88.148200000000003</v>
      </c>
      <c r="J345" s="2">
        <v>346</v>
      </c>
      <c r="K345" s="2">
        <v>103.938</v>
      </c>
      <c r="L345" s="2">
        <v>213</v>
      </c>
      <c r="M345" s="2">
        <v>108.33159999999999</v>
      </c>
      <c r="N345" s="2">
        <v>294</v>
      </c>
      <c r="O345" s="2">
        <v>8.5407999999999998E-2</v>
      </c>
      <c r="P345" s="2">
        <v>344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</row>
    <row r="346" spans="1:47" ht="12.3" hidden="1" x14ac:dyDescent="0.4">
      <c r="A346" s="2" t="s">
        <v>309</v>
      </c>
      <c r="B346" s="2"/>
      <c r="C346" s="2">
        <v>66.233599999999996</v>
      </c>
      <c r="D346" s="2">
        <v>106</v>
      </c>
      <c r="E346" s="2">
        <v>66.448800000000006</v>
      </c>
      <c r="F346" s="2">
        <v>92</v>
      </c>
      <c r="G346" s="2">
        <v>90.328299999999999</v>
      </c>
      <c r="H346" s="2">
        <v>340</v>
      </c>
      <c r="I346" s="2">
        <v>92.376300000000001</v>
      </c>
      <c r="J346" s="2">
        <v>327</v>
      </c>
      <c r="K346" s="2">
        <v>112.13160000000001</v>
      </c>
      <c r="L346" s="2">
        <v>341</v>
      </c>
      <c r="M346" s="2">
        <v>114.00830000000001</v>
      </c>
      <c r="N346" s="2">
        <v>341</v>
      </c>
      <c r="O346" s="2">
        <v>8.1689999999999999E-2</v>
      </c>
      <c r="P346" s="2">
        <v>345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spans="1:47" ht="12.3" hidden="1" x14ac:dyDescent="0.4">
      <c r="A347" s="2" t="s">
        <v>261</v>
      </c>
      <c r="B347" s="2"/>
      <c r="C347" s="2">
        <v>67.710400000000007</v>
      </c>
      <c r="D347" s="2">
        <v>55</v>
      </c>
      <c r="E347" s="2">
        <v>67.093299999999999</v>
      </c>
      <c r="F347" s="2">
        <v>62</v>
      </c>
      <c r="G347" s="2">
        <v>93.360200000000006</v>
      </c>
      <c r="H347" s="2">
        <v>317</v>
      </c>
      <c r="I347" s="2">
        <v>92.458100000000002</v>
      </c>
      <c r="J347" s="2">
        <v>324</v>
      </c>
      <c r="K347" s="2">
        <v>109.63849999999999</v>
      </c>
      <c r="L347" s="2">
        <v>319</v>
      </c>
      <c r="M347" s="2">
        <v>115.4455</v>
      </c>
      <c r="N347" s="2">
        <v>349</v>
      </c>
      <c r="O347" s="2">
        <v>7.2192000000000006E-2</v>
      </c>
      <c r="P347" s="2">
        <v>346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 ht="12.3" hidden="1" x14ac:dyDescent="0.4">
      <c r="A348" s="2" t="s">
        <v>299</v>
      </c>
      <c r="B348" s="2"/>
      <c r="C348" s="2">
        <v>71.118200000000002</v>
      </c>
      <c r="D348" s="2">
        <v>6</v>
      </c>
      <c r="E348" s="2">
        <v>71.018699999999995</v>
      </c>
      <c r="F348" s="2">
        <v>5</v>
      </c>
      <c r="G348" s="2">
        <v>89.267099999999999</v>
      </c>
      <c r="H348" s="2">
        <v>343</v>
      </c>
      <c r="I348" s="2">
        <v>90.955399999999997</v>
      </c>
      <c r="J348" s="2">
        <v>337</v>
      </c>
      <c r="K348" s="2">
        <v>111.41549999999999</v>
      </c>
      <c r="L348" s="2">
        <v>333</v>
      </c>
      <c r="M348" s="2">
        <v>115.1439</v>
      </c>
      <c r="N348" s="2">
        <v>346</v>
      </c>
      <c r="O348" s="2">
        <v>6.2276999999999999E-2</v>
      </c>
      <c r="P348" s="2">
        <v>347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spans="1:47" ht="12.3" hidden="1" x14ac:dyDescent="0.4">
      <c r="A349" s="2" t="s">
        <v>364</v>
      </c>
      <c r="B349" s="2"/>
      <c r="C349" s="2">
        <v>71.298699999999997</v>
      </c>
      <c r="D349" s="2">
        <v>5</v>
      </c>
      <c r="E349" s="2">
        <v>69.432699999999997</v>
      </c>
      <c r="F349" s="2">
        <v>18</v>
      </c>
      <c r="G349" s="2">
        <v>91.4465</v>
      </c>
      <c r="H349" s="2">
        <v>337</v>
      </c>
      <c r="I349" s="2">
        <v>90.361699999999999</v>
      </c>
      <c r="J349" s="2">
        <v>342</v>
      </c>
      <c r="K349" s="2">
        <v>115.2538</v>
      </c>
      <c r="L349" s="2">
        <v>350</v>
      </c>
      <c r="M349" s="2">
        <v>115.1825</v>
      </c>
      <c r="N349" s="2">
        <v>347</v>
      </c>
      <c r="O349" s="2">
        <v>5.7811000000000001E-2</v>
      </c>
      <c r="P349" s="2">
        <v>348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</row>
    <row r="350" spans="1:47" ht="12.3" hidden="1" x14ac:dyDescent="0.4">
      <c r="A350" s="2" t="s">
        <v>278</v>
      </c>
      <c r="B350" s="2"/>
      <c r="C350" s="2">
        <v>63.634700000000002</v>
      </c>
      <c r="D350" s="2">
        <v>245</v>
      </c>
      <c r="E350" s="2">
        <v>64.608800000000002</v>
      </c>
      <c r="F350" s="2">
        <v>178</v>
      </c>
      <c r="G350" s="2">
        <v>82.379800000000003</v>
      </c>
      <c r="H350" s="2">
        <v>350</v>
      </c>
      <c r="I350" s="2">
        <v>85.178100000000001</v>
      </c>
      <c r="J350" s="2">
        <v>350</v>
      </c>
      <c r="K350" s="2">
        <v>110.78189999999999</v>
      </c>
      <c r="L350" s="2">
        <v>328</v>
      </c>
      <c r="M350" s="2">
        <v>108.6446</v>
      </c>
      <c r="N350" s="2">
        <v>298</v>
      </c>
      <c r="O350" s="2">
        <v>5.7410999999999997E-2</v>
      </c>
      <c r="P350" s="2">
        <v>349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</row>
    <row r="351" spans="1:47" ht="12.3" hidden="1" x14ac:dyDescent="0.4">
      <c r="A351" s="2" t="s">
        <v>301</v>
      </c>
      <c r="B351" s="2"/>
      <c r="C351" s="2">
        <v>65.708200000000005</v>
      </c>
      <c r="D351" s="2">
        <v>130</v>
      </c>
      <c r="E351" s="2">
        <v>66.2517</v>
      </c>
      <c r="F351" s="2">
        <v>100</v>
      </c>
      <c r="G351" s="2">
        <v>84.436099999999996</v>
      </c>
      <c r="H351" s="2">
        <v>349</v>
      </c>
      <c r="I351" s="2">
        <v>85.374700000000004</v>
      </c>
      <c r="J351" s="2">
        <v>349</v>
      </c>
      <c r="K351" s="2">
        <v>110.9158</v>
      </c>
      <c r="L351" s="2">
        <v>329</v>
      </c>
      <c r="M351" s="2">
        <v>114.542</v>
      </c>
      <c r="N351" s="2">
        <v>344</v>
      </c>
      <c r="O351" s="2">
        <v>3.2933999999999998E-2</v>
      </c>
      <c r="P351" s="2">
        <v>350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1:47" ht="12.3" hidden="1" x14ac:dyDescent="0.4">
      <c r="A352" s="2" t="s">
        <v>329</v>
      </c>
      <c r="B352" s="2"/>
      <c r="C352" s="2">
        <v>66.054599999999994</v>
      </c>
      <c r="D352" s="2">
        <v>116</v>
      </c>
      <c r="E352" s="2">
        <v>65.539400000000001</v>
      </c>
      <c r="F352" s="2">
        <v>132</v>
      </c>
      <c r="G352" s="2">
        <v>77.478300000000004</v>
      </c>
      <c r="H352" s="2">
        <v>351</v>
      </c>
      <c r="I352" s="2">
        <v>79.896799999999999</v>
      </c>
      <c r="J352" s="2">
        <v>351</v>
      </c>
      <c r="K352" s="2">
        <v>112.0304</v>
      </c>
      <c r="L352" s="2">
        <v>339</v>
      </c>
      <c r="M352" s="2">
        <v>114.3224</v>
      </c>
      <c r="N352" s="2">
        <v>343</v>
      </c>
      <c r="O352" s="2">
        <v>1.5980000000000001E-2</v>
      </c>
      <c r="P352" s="2">
        <v>351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</row>
  </sheetData>
  <autoFilter ref="A1:R352" xr:uid="{00000000-0009-0000-0000-000014000000}">
    <filterColumn colId="1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W858"/>
  <sheetViews>
    <sheetView workbookViewId="0"/>
  </sheetViews>
  <sheetFormatPr defaultColWidth="14.44140625" defaultRowHeight="15.75" customHeight="1" x14ac:dyDescent="0.4"/>
  <cols>
    <col min="2" max="2" width="4.27734375" customWidth="1"/>
    <col min="3" max="3" width="4.44140625" customWidth="1"/>
    <col min="4" max="4" width="4.27734375" customWidth="1"/>
    <col min="5" max="5" width="3.27734375" customWidth="1"/>
    <col min="6" max="6" width="3.109375" customWidth="1"/>
    <col min="7" max="7" width="3.44140625" customWidth="1"/>
    <col min="8" max="8" width="7.27734375" customWidth="1"/>
    <col min="9" max="9" width="7.71875" customWidth="1"/>
    <col min="10" max="10" width="11.5546875" customWidth="1"/>
    <col min="11" max="11" width="10.109375" customWidth="1"/>
    <col min="12" max="12" width="14.5546875" customWidth="1"/>
    <col min="13" max="13" width="8.71875" customWidth="1"/>
    <col min="14" max="14" width="8.27734375" customWidth="1"/>
    <col min="15" max="15" width="8.71875" customWidth="1"/>
    <col min="16" max="16" width="11.27734375" customWidth="1"/>
    <col min="17" max="17" width="8.71875" customWidth="1"/>
    <col min="18" max="18" width="8.109375" customWidth="1"/>
    <col min="19" max="19" width="8.71875" customWidth="1"/>
    <col min="20" max="20" width="11.109375" customWidth="1"/>
    <col min="21" max="21" width="8.71875" customWidth="1"/>
    <col min="22" max="22" width="11.71875" customWidth="1"/>
  </cols>
  <sheetData>
    <row r="1" spans="1:23" ht="15.75" customHeight="1" x14ac:dyDescent="0.4">
      <c r="A1" s="2" t="s">
        <v>1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3</v>
      </c>
      <c r="W1" s="2" t="s">
        <v>2</v>
      </c>
    </row>
    <row r="2" spans="1:23" ht="15.75" customHeight="1" x14ac:dyDescent="0.4">
      <c r="A2" s="2" t="s">
        <v>32</v>
      </c>
      <c r="B2" s="2">
        <v>1</v>
      </c>
      <c r="C2" s="2" t="s">
        <v>33</v>
      </c>
      <c r="D2" s="2" t="s">
        <v>33</v>
      </c>
      <c r="E2" s="2"/>
      <c r="F2" s="2"/>
      <c r="G2" s="2"/>
      <c r="H2" s="2"/>
      <c r="I2" s="2">
        <v>77.073400000000007</v>
      </c>
      <c r="J2" s="2">
        <v>8</v>
      </c>
      <c r="K2" s="2">
        <v>75.168499999999995</v>
      </c>
      <c r="L2" s="2">
        <v>15</v>
      </c>
      <c r="M2" s="2">
        <v>116.37260000000001</v>
      </c>
      <c r="N2" s="2">
        <v>1</v>
      </c>
      <c r="O2" s="2">
        <v>118.59990000000001</v>
      </c>
      <c r="P2" s="2">
        <v>1</v>
      </c>
      <c r="Q2" s="2">
        <v>90.254400000000004</v>
      </c>
      <c r="R2" s="2">
        <v>4</v>
      </c>
      <c r="S2" s="2">
        <v>87.750399999999999</v>
      </c>
      <c r="T2" s="2">
        <v>2</v>
      </c>
      <c r="U2" s="2">
        <v>0.96965999999999997</v>
      </c>
      <c r="V2" s="2">
        <v>1</v>
      </c>
      <c r="W2" s="2">
        <v>2002</v>
      </c>
    </row>
    <row r="3" spans="1:23" ht="15.75" customHeight="1" x14ac:dyDescent="0.4">
      <c r="A3" s="2" t="s">
        <v>34</v>
      </c>
      <c r="B3" s="2">
        <v>1</v>
      </c>
      <c r="C3" s="2" t="s">
        <v>33</v>
      </c>
      <c r="D3" s="2"/>
      <c r="E3" s="2"/>
      <c r="F3" s="2"/>
      <c r="G3" s="2"/>
      <c r="H3" s="2"/>
      <c r="I3" s="2">
        <v>68.436800000000005</v>
      </c>
      <c r="J3" s="2">
        <v>212</v>
      </c>
      <c r="K3" s="2">
        <v>68.715199999999996</v>
      </c>
      <c r="L3" s="2">
        <v>204</v>
      </c>
      <c r="M3" s="2">
        <v>112.2741</v>
      </c>
      <c r="N3" s="2">
        <v>10</v>
      </c>
      <c r="O3" s="2">
        <v>115.7842</v>
      </c>
      <c r="P3" s="2">
        <v>5</v>
      </c>
      <c r="Q3" s="2">
        <v>86.392399999999995</v>
      </c>
      <c r="R3" s="2">
        <v>1</v>
      </c>
      <c r="S3" s="2">
        <v>88.035700000000006</v>
      </c>
      <c r="T3" s="2">
        <v>3</v>
      </c>
      <c r="U3" s="2">
        <v>0.95894199999999996</v>
      </c>
      <c r="V3" s="2">
        <v>2</v>
      </c>
      <c r="W3" s="2">
        <v>2002</v>
      </c>
    </row>
    <row r="4" spans="1:23" ht="15.75" customHeight="1" x14ac:dyDescent="0.4">
      <c r="A4" s="2" t="s">
        <v>35</v>
      </c>
      <c r="B4" s="2">
        <v>1</v>
      </c>
      <c r="C4" s="2" t="s">
        <v>33</v>
      </c>
      <c r="D4" s="2" t="s">
        <v>33</v>
      </c>
      <c r="E4" s="2" t="s">
        <v>33</v>
      </c>
      <c r="F4" s="2" t="s">
        <v>33</v>
      </c>
      <c r="G4" s="2"/>
      <c r="H4" s="2"/>
      <c r="I4" s="2">
        <v>79.037099999999995</v>
      </c>
      <c r="J4" s="2">
        <v>5</v>
      </c>
      <c r="K4" s="2">
        <v>79.121700000000004</v>
      </c>
      <c r="L4" s="2">
        <v>3</v>
      </c>
      <c r="M4" s="2">
        <v>114.5438</v>
      </c>
      <c r="N4" s="2">
        <v>4</v>
      </c>
      <c r="O4" s="2">
        <v>115.0406</v>
      </c>
      <c r="P4" s="2">
        <v>9</v>
      </c>
      <c r="Q4" s="2">
        <v>94.426100000000005</v>
      </c>
      <c r="R4" s="2">
        <v>39</v>
      </c>
      <c r="S4" s="2">
        <v>90.539900000000003</v>
      </c>
      <c r="T4" s="2">
        <v>10</v>
      </c>
      <c r="U4" s="2">
        <v>0.94014900000000001</v>
      </c>
      <c r="V4" s="2">
        <v>3</v>
      </c>
      <c r="W4" s="2">
        <v>2002</v>
      </c>
    </row>
    <row r="5" spans="1:23" ht="15.75" customHeight="1" x14ac:dyDescent="0.4">
      <c r="A5" s="2" t="s">
        <v>36</v>
      </c>
      <c r="B5" s="2">
        <v>1</v>
      </c>
      <c r="C5" s="2" t="s">
        <v>33</v>
      </c>
      <c r="D5" s="2" t="s">
        <v>33</v>
      </c>
      <c r="E5" s="2" t="s">
        <v>33</v>
      </c>
      <c r="F5" s="2" t="s">
        <v>33</v>
      </c>
      <c r="G5" s="2" t="s">
        <v>33</v>
      </c>
      <c r="H5" s="2" t="s">
        <v>33</v>
      </c>
      <c r="I5" s="2">
        <v>75.275800000000004</v>
      </c>
      <c r="J5" s="2">
        <v>20</v>
      </c>
      <c r="K5" s="2">
        <v>75.418000000000006</v>
      </c>
      <c r="L5" s="2">
        <v>12</v>
      </c>
      <c r="M5" s="2">
        <v>113.1674</v>
      </c>
      <c r="N5" s="2">
        <v>5</v>
      </c>
      <c r="O5" s="2">
        <v>116.2551</v>
      </c>
      <c r="P5" s="2">
        <v>4</v>
      </c>
      <c r="Q5" s="2">
        <v>94.370599999999996</v>
      </c>
      <c r="R5" s="2">
        <v>36</v>
      </c>
      <c r="S5" s="2">
        <v>91.542400000000001</v>
      </c>
      <c r="T5" s="2">
        <v>14</v>
      </c>
      <c r="U5" s="2">
        <v>0.93981800000000004</v>
      </c>
      <c r="V5" s="2">
        <v>4</v>
      </c>
      <c r="W5" s="2">
        <v>2002</v>
      </c>
    </row>
    <row r="6" spans="1:23" ht="15.75" customHeight="1" x14ac:dyDescent="0.4">
      <c r="A6" s="2" t="s">
        <v>37</v>
      </c>
      <c r="B6" s="2">
        <v>5</v>
      </c>
      <c r="C6" s="2"/>
      <c r="D6" s="2"/>
      <c r="E6" s="2"/>
      <c r="F6" s="2"/>
      <c r="G6" s="2"/>
      <c r="H6" s="2"/>
      <c r="I6" s="2">
        <v>71.897099999999995</v>
      </c>
      <c r="J6" s="2">
        <v>84</v>
      </c>
      <c r="K6" s="2">
        <v>71.4041</v>
      </c>
      <c r="L6" s="2">
        <v>95</v>
      </c>
      <c r="M6" s="2">
        <v>110.4177</v>
      </c>
      <c r="N6" s="2">
        <v>22</v>
      </c>
      <c r="O6" s="2">
        <v>112.90689999999999</v>
      </c>
      <c r="P6" s="2">
        <v>17</v>
      </c>
      <c r="Q6" s="2">
        <v>91.125</v>
      </c>
      <c r="R6" s="2">
        <v>7</v>
      </c>
      <c r="S6" s="2">
        <v>90.428799999999995</v>
      </c>
      <c r="T6" s="2">
        <v>8</v>
      </c>
      <c r="U6" s="2">
        <v>0.92777600000000005</v>
      </c>
      <c r="V6" s="2">
        <v>5</v>
      </c>
      <c r="W6" s="2">
        <v>2002</v>
      </c>
    </row>
    <row r="7" spans="1:23" ht="15.75" customHeight="1" x14ac:dyDescent="0.4">
      <c r="A7" s="2" t="s">
        <v>38</v>
      </c>
      <c r="B7" s="2">
        <v>2</v>
      </c>
      <c r="C7" s="2" t="s">
        <v>33</v>
      </c>
      <c r="D7" s="2" t="s">
        <v>33</v>
      </c>
      <c r="E7" s="2" t="s">
        <v>33</v>
      </c>
      <c r="F7" s="2" t="s">
        <v>33</v>
      </c>
      <c r="G7" s="2"/>
      <c r="H7" s="2"/>
      <c r="I7" s="2">
        <v>69.360399999999998</v>
      </c>
      <c r="J7" s="2">
        <v>180</v>
      </c>
      <c r="K7" s="2">
        <v>68.484399999999994</v>
      </c>
      <c r="L7" s="2">
        <v>212</v>
      </c>
      <c r="M7" s="2">
        <v>111.04349999999999</v>
      </c>
      <c r="N7" s="2">
        <v>16</v>
      </c>
      <c r="O7" s="2">
        <v>110.4555</v>
      </c>
      <c r="P7" s="2">
        <v>31</v>
      </c>
      <c r="Q7" s="2">
        <v>91.441299999999998</v>
      </c>
      <c r="R7" s="2">
        <v>8</v>
      </c>
      <c r="S7" s="2">
        <v>88.594099999999997</v>
      </c>
      <c r="T7" s="2">
        <v>4</v>
      </c>
      <c r="U7" s="2">
        <v>0.926647</v>
      </c>
      <c r="V7" s="2">
        <v>6</v>
      </c>
      <c r="W7" s="2">
        <v>2002</v>
      </c>
    </row>
    <row r="8" spans="1:23" ht="15.75" customHeight="1" x14ac:dyDescent="0.4">
      <c r="A8" s="2" t="s">
        <v>39</v>
      </c>
      <c r="B8" s="2">
        <v>5</v>
      </c>
      <c r="C8" s="2"/>
      <c r="D8" s="2"/>
      <c r="E8" s="2"/>
      <c r="F8" s="2"/>
      <c r="G8" s="2"/>
      <c r="H8" s="2"/>
      <c r="I8" s="2">
        <v>67.380899999999997</v>
      </c>
      <c r="J8" s="2">
        <v>244</v>
      </c>
      <c r="K8" s="2">
        <v>66.346400000000003</v>
      </c>
      <c r="L8" s="2">
        <v>275</v>
      </c>
      <c r="M8" s="2">
        <v>108.5643</v>
      </c>
      <c r="N8" s="2">
        <v>36</v>
      </c>
      <c r="O8" s="2">
        <v>110.5513</v>
      </c>
      <c r="P8" s="2">
        <v>29</v>
      </c>
      <c r="Q8" s="2">
        <v>90.015100000000004</v>
      </c>
      <c r="R8" s="2">
        <v>2</v>
      </c>
      <c r="S8" s="2">
        <v>90.524699999999996</v>
      </c>
      <c r="T8" s="2">
        <v>9</v>
      </c>
      <c r="U8" s="2">
        <v>0.90874100000000002</v>
      </c>
      <c r="V8" s="2">
        <v>7</v>
      </c>
      <c r="W8" s="2">
        <v>2002</v>
      </c>
    </row>
    <row r="9" spans="1:23" ht="15.75" customHeight="1" x14ac:dyDescent="0.4">
      <c r="A9" s="2" t="s">
        <v>40</v>
      </c>
      <c r="B9" s="2">
        <v>5</v>
      </c>
      <c r="C9" s="2" t="s">
        <v>33</v>
      </c>
      <c r="D9" s="2" t="s">
        <v>33</v>
      </c>
      <c r="E9" s="2" t="s">
        <v>33</v>
      </c>
      <c r="F9" s="2" t="s">
        <v>33</v>
      </c>
      <c r="G9" s="2" t="s">
        <v>33</v>
      </c>
      <c r="H9" s="2"/>
      <c r="I9" s="2">
        <v>65.744200000000006</v>
      </c>
      <c r="J9" s="2">
        <v>285</v>
      </c>
      <c r="K9" s="2">
        <v>66.573899999999995</v>
      </c>
      <c r="L9" s="2">
        <v>269</v>
      </c>
      <c r="M9" s="2">
        <v>105.3974</v>
      </c>
      <c r="N9" s="2">
        <v>80</v>
      </c>
      <c r="O9" s="2">
        <v>109.61360000000001</v>
      </c>
      <c r="P9" s="2">
        <v>38</v>
      </c>
      <c r="Q9" s="2">
        <v>94.498699999999999</v>
      </c>
      <c r="R9" s="2">
        <v>42</v>
      </c>
      <c r="S9" s="2">
        <v>89.922399999999996</v>
      </c>
      <c r="T9" s="2">
        <v>6</v>
      </c>
      <c r="U9" s="2">
        <v>0.90696900000000003</v>
      </c>
      <c r="V9" s="2">
        <v>8</v>
      </c>
      <c r="W9" s="2">
        <v>2002</v>
      </c>
    </row>
    <row r="10" spans="1:23" ht="15.75" customHeight="1" x14ac:dyDescent="0.4">
      <c r="A10" s="2" t="s">
        <v>41</v>
      </c>
      <c r="B10" s="2">
        <v>2</v>
      </c>
      <c r="C10" s="2" t="s">
        <v>33</v>
      </c>
      <c r="D10" s="2" t="s">
        <v>33</v>
      </c>
      <c r="E10" s="2" t="s">
        <v>33</v>
      </c>
      <c r="F10" s="2"/>
      <c r="G10" s="2"/>
      <c r="H10" s="2"/>
      <c r="I10" s="2">
        <v>73.305300000000003</v>
      </c>
      <c r="J10" s="2">
        <v>52</v>
      </c>
      <c r="K10" s="2">
        <v>72.386799999999994</v>
      </c>
      <c r="L10" s="2">
        <v>65</v>
      </c>
      <c r="M10" s="2">
        <v>116.3415</v>
      </c>
      <c r="N10" s="2">
        <v>2</v>
      </c>
      <c r="O10" s="2">
        <v>116.6486</v>
      </c>
      <c r="P10" s="2">
        <v>3</v>
      </c>
      <c r="Q10" s="2">
        <v>96.866500000000002</v>
      </c>
      <c r="R10" s="2">
        <v>75</v>
      </c>
      <c r="S10" s="2">
        <v>95.864699999999999</v>
      </c>
      <c r="T10" s="2">
        <v>56</v>
      </c>
      <c r="U10" s="2">
        <v>0.90522000000000002</v>
      </c>
      <c r="V10" s="2">
        <v>9</v>
      </c>
      <c r="W10" s="2">
        <v>2002</v>
      </c>
    </row>
    <row r="11" spans="1:23" ht="15.75" customHeight="1" x14ac:dyDescent="0.4">
      <c r="A11" s="2" t="s">
        <v>42</v>
      </c>
      <c r="B11" s="2">
        <v>4</v>
      </c>
      <c r="C11" s="2"/>
      <c r="D11" s="2"/>
      <c r="E11" s="2"/>
      <c r="F11" s="2"/>
      <c r="G11" s="2"/>
      <c r="H11" s="2"/>
      <c r="I11" s="2">
        <v>71.632800000000003</v>
      </c>
      <c r="J11" s="2">
        <v>94</v>
      </c>
      <c r="K11" s="2">
        <v>71.328000000000003</v>
      </c>
      <c r="L11" s="2">
        <v>99</v>
      </c>
      <c r="M11" s="2">
        <v>107.3489</v>
      </c>
      <c r="N11" s="2">
        <v>51</v>
      </c>
      <c r="O11" s="2">
        <v>110.6461</v>
      </c>
      <c r="P11" s="2">
        <v>28</v>
      </c>
      <c r="Q11" s="2">
        <v>95.462400000000002</v>
      </c>
      <c r="R11" s="2">
        <v>57</v>
      </c>
      <c r="S11" s="2">
        <v>91.103399999999993</v>
      </c>
      <c r="T11" s="2">
        <v>12</v>
      </c>
      <c r="U11" s="2">
        <v>0.90334300000000001</v>
      </c>
      <c r="V11" s="2">
        <v>10</v>
      </c>
      <c r="W11" s="2">
        <v>2002</v>
      </c>
    </row>
    <row r="12" spans="1:23" ht="15.75" customHeight="1" x14ac:dyDescent="0.4">
      <c r="A12" s="2" t="s">
        <v>43</v>
      </c>
      <c r="B12" s="2">
        <v>3</v>
      </c>
      <c r="C12" s="2" t="s">
        <v>33</v>
      </c>
      <c r="D12" s="2" t="s">
        <v>33</v>
      </c>
      <c r="E12" s="2"/>
      <c r="F12" s="2"/>
      <c r="G12" s="2"/>
      <c r="H12" s="2"/>
      <c r="I12" s="2">
        <v>74.146199999999993</v>
      </c>
      <c r="J12" s="2">
        <v>32</v>
      </c>
      <c r="K12" s="2">
        <v>72.820700000000002</v>
      </c>
      <c r="L12" s="2">
        <v>57</v>
      </c>
      <c r="M12" s="2">
        <v>111.0077</v>
      </c>
      <c r="N12" s="2">
        <v>17</v>
      </c>
      <c r="O12" s="2">
        <v>117.3877</v>
      </c>
      <c r="P12" s="2">
        <v>2</v>
      </c>
      <c r="Q12" s="2">
        <v>104.0411</v>
      </c>
      <c r="R12" s="2">
        <v>235</v>
      </c>
      <c r="S12" s="2">
        <v>96.926199999999994</v>
      </c>
      <c r="T12" s="2">
        <v>77</v>
      </c>
      <c r="U12" s="2">
        <v>0.90048399999999995</v>
      </c>
      <c r="V12" s="2">
        <v>11</v>
      </c>
      <c r="W12" s="2">
        <v>2002</v>
      </c>
    </row>
    <row r="13" spans="1:23" ht="15.75" customHeight="1" x14ac:dyDescent="0.4">
      <c r="A13" s="2" t="s">
        <v>44</v>
      </c>
      <c r="B13" s="2">
        <v>4</v>
      </c>
      <c r="C13" s="2" t="s">
        <v>33</v>
      </c>
      <c r="D13" s="2" t="s">
        <v>33</v>
      </c>
      <c r="E13" s="2"/>
      <c r="F13" s="2"/>
      <c r="G13" s="2"/>
      <c r="H13" s="2"/>
      <c r="I13" s="2">
        <v>70.396500000000003</v>
      </c>
      <c r="J13" s="2">
        <v>139</v>
      </c>
      <c r="K13" s="2">
        <v>70.700999999999993</v>
      </c>
      <c r="L13" s="2">
        <v>122</v>
      </c>
      <c r="M13" s="2">
        <v>109.6636</v>
      </c>
      <c r="N13" s="2">
        <v>24</v>
      </c>
      <c r="O13" s="2">
        <v>111.9148</v>
      </c>
      <c r="P13" s="2">
        <v>21</v>
      </c>
      <c r="Q13" s="2">
        <v>96.4559</v>
      </c>
      <c r="R13" s="2">
        <v>69</v>
      </c>
      <c r="S13" s="2">
        <v>92.797700000000006</v>
      </c>
      <c r="T13" s="2">
        <v>25</v>
      </c>
      <c r="U13" s="2">
        <v>0.89605400000000002</v>
      </c>
      <c r="V13" s="2">
        <v>12</v>
      </c>
      <c r="W13" s="2">
        <v>2002</v>
      </c>
    </row>
    <row r="14" spans="1:23" ht="15.75" customHeight="1" x14ac:dyDescent="0.4">
      <c r="A14" s="2" t="s">
        <v>45</v>
      </c>
      <c r="B14" s="2">
        <v>4</v>
      </c>
      <c r="C14" s="2" t="s">
        <v>33</v>
      </c>
      <c r="D14" s="2" t="s">
        <v>33</v>
      </c>
      <c r="E14" s="2"/>
      <c r="F14" s="2"/>
      <c r="G14" s="2"/>
      <c r="H14" s="2"/>
      <c r="I14" s="2">
        <v>70.265900000000002</v>
      </c>
      <c r="J14" s="2">
        <v>145</v>
      </c>
      <c r="K14" s="2">
        <v>69.344499999999996</v>
      </c>
      <c r="L14" s="2">
        <v>176</v>
      </c>
      <c r="M14" s="2">
        <v>105.2773</v>
      </c>
      <c r="N14" s="2">
        <v>85</v>
      </c>
      <c r="O14" s="2">
        <v>109.82559999999999</v>
      </c>
      <c r="P14" s="2">
        <v>35</v>
      </c>
      <c r="Q14" s="2">
        <v>94.988100000000003</v>
      </c>
      <c r="R14" s="2">
        <v>49</v>
      </c>
      <c r="S14" s="2">
        <v>91.1143</v>
      </c>
      <c r="T14" s="2">
        <v>13</v>
      </c>
      <c r="U14" s="2">
        <v>0.895478</v>
      </c>
      <c r="V14" s="2">
        <v>13</v>
      </c>
      <c r="W14" s="2">
        <v>2002</v>
      </c>
    </row>
    <row r="15" spans="1:23" ht="15.75" customHeight="1" x14ac:dyDescent="0.4">
      <c r="A15" s="2" t="s">
        <v>46</v>
      </c>
      <c r="B15" s="2">
        <v>3</v>
      </c>
      <c r="C15" s="2" t="s">
        <v>33</v>
      </c>
      <c r="D15" s="2" t="s">
        <v>33</v>
      </c>
      <c r="E15" s="2"/>
      <c r="F15" s="2"/>
      <c r="G15" s="2"/>
      <c r="H15" s="2"/>
      <c r="I15" s="2">
        <v>66.500699999999995</v>
      </c>
      <c r="J15" s="2">
        <v>268</v>
      </c>
      <c r="K15" s="2">
        <v>65.677499999999995</v>
      </c>
      <c r="L15" s="2">
        <v>288</v>
      </c>
      <c r="M15" s="2">
        <v>107.3403</v>
      </c>
      <c r="N15" s="2">
        <v>52</v>
      </c>
      <c r="O15" s="2">
        <v>110.25700000000001</v>
      </c>
      <c r="P15" s="2">
        <v>32</v>
      </c>
      <c r="Q15" s="2">
        <v>90.144199999999998</v>
      </c>
      <c r="R15" s="2">
        <v>3</v>
      </c>
      <c r="S15" s="2">
        <v>91.654700000000005</v>
      </c>
      <c r="T15" s="2">
        <v>17</v>
      </c>
      <c r="U15" s="2">
        <v>0.89331300000000002</v>
      </c>
      <c r="V15" s="2">
        <v>14</v>
      </c>
      <c r="W15" s="2">
        <v>2002</v>
      </c>
    </row>
    <row r="16" spans="1:23" ht="15.75" customHeight="1" x14ac:dyDescent="0.4">
      <c r="A16" s="2" t="s">
        <v>47</v>
      </c>
      <c r="B16" s="2">
        <v>6</v>
      </c>
      <c r="C16" s="2"/>
      <c r="D16" s="2"/>
      <c r="E16" s="2"/>
      <c r="F16" s="2"/>
      <c r="G16" s="2"/>
      <c r="H16" s="2"/>
      <c r="I16" s="2">
        <v>70.977999999999994</v>
      </c>
      <c r="J16" s="2">
        <v>114</v>
      </c>
      <c r="K16" s="2">
        <v>70.175799999999995</v>
      </c>
      <c r="L16" s="2">
        <v>149</v>
      </c>
      <c r="M16" s="2">
        <v>112.7484</v>
      </c>
      <c r="N16" s="2">
        <v>7</v>
      </c>
      <c r="O16" s="2">
        <v>115.1777</v>
      </c>
      <c r="P16" s="2">
        <v>8</v>
      </c>
      <c r="Q16" s="2">
        <v>93.661600000000007</v>
      </c>
      <c r="R16" s="2">
        <v>28</v>
      </c>
      <c r="S16" s="2">
        <v>96.341499999999996</v>
      </c>
      <c r="T16" s="2">
        <v>63</v>
      </c>
      <c r="U16" s="2">
        <v>0.88631400000000005</v>
      </c>
      <c r="V16" s="2">
        <v>15</v>
      </c>
      <c r="W16" s="2">
        <v>2002</v>
      </c>
    </row>
    <row r="17" spans="1:23" ht="15.75" customHeight="1" x14ac:dyDescent="0.4">
      <c r="A17" s="2" t="s">
        <v>21</v>
      </c>
      <c r="B17" s="2">
        <v>4</v>
      </c>
      <c r="C17" s="2" t="s">
        <v>33</v>
      </c>
      <c r="D17" s="2"/>
      <c r="E17" s="2"/>
      <c r="F17" s="2"/>
      <c r="G17" s="2"/>
      <c r="H17" s="2"/>
      <c r="I17" s="2">
        <v>66.378200000000007</v>
      </c>
      <c r="J17" s="2">
        <v>274</v>
      </c>
      <c r="K17" s="2">
        <v>68.186199999999999</v>
      </c>
      <c r="L17" s="2">
        <v>218</v>
      </c>
      <c r="M17" s="2">
        <v>111.3386</v>
      </c>
      <c r="N17" s="2">
        <v>15</v>
      </c>
      <c r="O17" s="2">
        <v>115.5508</v>
      </c>
      <c r="P17" s="2">
        <v>7</v>
      </c>
      <c r="Q17" s="2">
        <v>96.574799999999996</v>
      </c>
      <c r="R17" s="2">
        <v>71</v>
      </c>
      <c r="S17" s="2">
        <v>96.731800000000007</v>
      </c>
      <c r="T17" s="2">
        <v>71</v>
      </c>
      <c r="U17" s="2">
        <v>0.88537399999999999</v>
      </c>
      <c r="V17" s="2">
        <v>16</v>
      </c>
      <c r="W17" s="2">
        <v>2002</v>
      </c>
    </row>
    <row r="18" spans="1:23" ht="15.75" customHeight="1" x14ac:dyDescent="0.4">
      <c r="A18" s="2" t="s">
        <v>48</v>
      </c>
      <c r="B18" s="2">
        <v>3</v>
      </c>
      <c r="C18" s="2" t="s">
        <v>33</v>
      </c>
      <c r="D18" s="2"/>
      <c r="E18" s="2"/>
      <c r="F18" s="2"/>
      <c r="G18" s="2"/>
      <c r="H18" s="2"/>
      <c r="I18" s="2">
        <v>70.012299999999996</v>
      </c>
      <c r="J18" s="2">
        <v>159</v>
      </c>
      <c r="K18" s="2">
        <v>69.238699999999994</v>
      </c>
      <c r="L18" s="2">
        <v>182</v>
      </c>
      <c r="M18" s="2">
        <v>104.5274</v>
      </c>
      <c r="N18" s="2">
        <v>99</v>
      </c>
      <c r="O18" s="2">
        <v>109.3856</v>
      </c>
      <c r="P18" s="2">
        <v>39</v>
      </c>
      <c r="Q18" s="2">
        <v>94.726699999999994</v>
      </c>
      <c r="R18" s="2">
        <v>46</v>
      </c>
      <c r="S18" s="2">
        <v>91.629400000000004</v>
      </c>
      <c r="T18" s="2">
        <v>16</v>
      </c>
      <c r="U18" s="2">
        <v>0.88462399999999997</v>
      </c>
      <c r="V18" s="2">
        <v>17</v>
      </c>
      <c r="W18" s="2">
        <v>2002</v>
      </c>
    </row>
    <row r="19" spans="1:23" ht="15.75" customHeight="1" x14ac:dyDescent="0.4">
      <c r="A19" s="2" t="s">
        <v>49</v>
      </c>
      <c r="B19" s="2">
        <v>2</v>
      </c>
      <c r="C19" s="2" t="s">
        <v>33</v>
      </c>
      <c r="D19" s="2"/>
      <c r="E19" s="2"/>
      <c r="F19" s="2"/>
      <c r="G19" s="2"/>
      <c r="H19" s="2"/>
      <c r="I19" s="2">
        <v>69.863600000000005</v>
      </c>
      <c r="J19" s="2">
        <v>167</v>
      </c>
      <c r="K19" s="2">
        <v>69.900099999999995</v>
      </c>
      <c r="L19" s="2">
        <v>159</v>
      </c>
      <c r="M19" s="2">
        <v>108.4361</v>
      </c>
      <c r="N19" s="2">
        <v>40</v>
      </c>
      <c r="O19" s="2">
        <v>111.4954</v>
      </c>
      <c r="P19" s="2">
        <v>24</v>
      </c>
      <c r="Q19" s="2">
        <v>95.231300000000005</v>
      </c>
      <c r="R19" s="2">
        <v>55</v>
      </c>
      <c r="S19" s="2">
        <v>93.876999999999995</v>
      </c>
      <c r="T19" s="2">
        <v>31</v>
      </c>
      <c r="U19" s="2">
        <v>0.87846400000000002</v>
      </c>
      <c r="V19" s="2">
        <v>18</v>
      </c>
      <c r="W19" s="2">
        <v>2002</v>
      </c>
    </row>
    <row r="20" spans="1:23" ht="15.75" customHeight="1" x14ac:dyDescent="0.4">
      <c r="A20" s="2" t="s">
        <v>50</v>
      </c>
      <c r="B20" s="2">
        <v>7</v>
      </c>
      <c r="C20" s="2" t="s">
        <v>33</v>
      </c>
      <c r="D20" s="2"/>
      <c r="E20" s="2"/>
      <c r="F20" s="2"/>
      <c r="G20" s="2"/>
      <c r="H20" s="2"/>
      <c r="I20" s="2">
        <v>66.829800000000006</v>
      </c>
      <c r="J20" s="2">
        <v>259</v>
      </c>
      <c r="K20" s="2">
        <v>68.028199999999998</v>
      </c>
      <c r="L20" s="2">
        <v>223</v>
      </c>
      <c r="M20" s="2">
        <v>108.3514</v>
      </c>
      <c r="N20" s="2">
        <v>42</v>
      </c>
      <c r="O20" s="2">
        <v>109.11790000000001</v>
      </c>
      <c r="P20" s="2">
        <v>41</v>
      </c>
      <c r="Q20" s="2">
        <v>93.248199999999997</v>
      </c>
      <c r="R20" s="2">
        <v>22</v>
      </c>
      <c r="S20" s="2">
        <v>92.009</v>
      </c>
      <c r="T20" s="2">
        <v>20</v>
      </c>
      <c r="U20" s="2">
        <v>0.87666599999999995</v>
      </c>
      <c r="V20" s="2">
        <v>19</v>
      </c>
      <c r="W20" s="2">
        <v>2002</v>
      </c>
    </row>
    <row r="21" spans="1:23" ht="15.75" customHeight="1" x14ac:dyDescent="0.4">
      <c r="A21" s="2" t="s">
        <v>51</v>
      </c>
      <c r="B21" s="2">
        <v>9</v>
      </c>
      <c r="C21" s="2"/>
      <c r="D21" s="2"/>
      <c r="E21" s="2"/>
      <c r="F21" s="2"/>
      <c r="G21" s="2"/>
      <c r="H21" s="2"/>
      <c r="I21" s="2">
        <v>66.966999999999999</v>
      </c>
      <c r="J21" s="2">
        <v>253</v>
      </c>
      <c r="K21" s="2">
        <v>66.487799999999993</v>
      </c>
      <c r="L21" s="2">
        <v>271</v>
      </c>
      <c r="M21" s="2">
        <v>107.7291</v>
      </c>
      <c r="N21" s="2">
        <v>45</v>
      </c>
      <c r="O21" s="2">
        <v>112.3212</v>
      </c>
      <c r="P21" s="2">
        <v>20</v>
      </c>
      <c r="Q21" s="2">
        <v>95.626499999999993</v>
      </c>
      <c r="R21" s="2">
        <v>59</v>
      </c>
      <c r="S21" s="2">
        <v>94.857699999999994</v>
      </c>
      <c r="T21" s="2">
        <v>42</v>
      </c>
      <c r="U21" s="2">
        <v>0.87471600000000005</v>
      </c>
      <c r="V21" s="2">
        <v>20</v>
      </c>
      <c r="W21" s="2">
        <v>2002</v>
      </c>
    </row>
    <row r="22" spans="1:23" ht="15.75" customHeight="1" x14ac:dyDescent="0.4">
      <c r="A22" s="2" t="s">
        <v>52</v>
      </c>
      <c r="B22" s="2">
        <v>8</v>
      </c>
      <c r="C22" s="2" t="s">
        <v>33</v>
      </c>
      <c r="D22" s="2"/>
      <c r="E22" s="2"/>
      <c r="F22" s="2"/>
      <c r="G22" s="2"/>
      <c r="H22" s="2"/>
      <c r="I22" s="2">
        <v>71.435500000000005</v>
      </c>
      <c r="J22" s="2">
        <v>101</v>
      </c>
      <c r="K22" s="2">
        <v>71.239800000000002</v>
      </c>
      <c r="L22" s="2">
        <v>105</v>
      </c>
      <c r="M22" s="2">
        <v>112.5213</v>
      </c>
      <c r="N22" s="2">
        <v>9</v>
      </c>
      <c r="O22" s="2">
        <v>113.95780000000001</v>
      </c>
      <c r="P22" s="2">
        <v>11</v>
      </c>
      <c r="Q22" s="2">
        <v>99.801000000000002</v>
      </c>
      <c r="R22" s="2">
        <v>142</v>
      </c>
      <c r="S22" s="2">
        <v>96.312200000000004</v>
      </c>
      <c r="T22" s="2">
        <v>62</v>
      </c>
      <c r="U22" s="2">
        <v>0.87376799999999999</v>
      </c>
      <c r="V22" s="2">
        <v>21</v>
      </c>
      <c r="W22" s="2">
        <v>2002</v>
      </c>
    </row>
    <row r="23" spans="1:23" ht="15.75" customHeight="1" x14ac:dyDescent="0.4">
      <c r="A23" s="2" t="s">
        <v>19</v>
      </c>
      <c r="B23" s="2">
        <v>3</v>
      </c>
      <c r="C23" s="2" t="s">
        <v>33</v>
      </c>
      <c r="D23" s="2"/>
      <c r="E23" s="2"/>
      <c r="F23" s="2"/>
      <c r="G23" s="2"/>
      <c r="H23" s="2"/>
      <c r="I23" s="2">
        <v>70.678600000000003</v>
      </c>
      <c r="J23" s="2">
        <v>129</v>
      </c>
      <c r="K23" s="2">
        <v>70.960400000000007</v>
      </c>
      <c r="L23" s="2">
        <v>114</v>
      </c>
      <c r="M23" s="2">
        <v>108.4477</v>
      </c>
      <c r="N23" s="2">
        <v>38</v>
      </c>
      <c r="O23" s="2">
        <v>114.569</v>
      </c>
      <c r="P23" s="2">
        <v>10</v>
      </c>
      <c r="Q23" s="2">
        <v>100.5115</v>
      </c>
      <c r="R23" s="2">
        <v>160</v>
      </c>
      <c r="S23" s="2">
        <v>96.926299999999998</v>
      </c>
      <c r="T23" s="2">
        <v>78</v>
      </c>
      <c r="U23" s="2">
        <v>0.87248400000000004</v>
      </c>
      <c r="V23" s="2">
        <v>23</v>
      </c>
      <c r="W23" s="2">
        <v>2002</v>
      </c>
    </row>
    <row r="24" spans="1:23" ht="15.75" customHeight="1" x14ac:dyDescent="0.4">
      <c r="A24" s="2" t="s">
        <v>53</v>
      </c>
      <c r="B24" s="2">
        <v>10</v>
      </c>
      <c r="C24" s="2" t="s">
        <v>33</v>
      </c>
      <c r="D24" s="2" t="s">
        <v>33</v>
      </c>
      <c r="E24" s="2" t="s">
        <v>33</v>
      </c>
      <c r="F24" s="2"/>
      <c r="G24" s="2"/>
      <c r="H24" s="2"/>
      <c r="I24" s="2">
        <v>65.414500000000004</v>
      </c>
      <c r="J24" s="2">
        <v>288</v>
      </c>
      <c r="K24" s="2">
        <v>66.165800000000004</v>
      </c>
      <c r="L24" s="2">
        <v>279</v>
      </c>
      <c r="M24" s="2">
        <v>115.7547</v>
      </c>
      <c r="N24" s="2">
        <v>3</v>
      </c>
      <c r="O24" s="2">
        <v>113.6686</v>
      </c>
      <c r="P24" s="2">
        <v>14</v>
      </c>
      <c r="Q24" s="2">
        <v>96.708399999999997</v>
      </c>
      <c r="R24" s="2">
        <v>73</v>
      </c>
      <c r="S24" s="2">
        <v>96.200999999999993</v>
      </c>
      <c r="T24" s="2">
        <v>60</v>
      </c>
      <c r="U24" s="2">
        <v>0.87199800000000005</v>
      </c>
      <c r="V24" s="2">
        <v>24</v>
      </c>
      <c r="W24" s="2">
        <v>2002</v>
      </c>
    </row>
    <row r="25" spans="1:23" ht="15.75" customHeight="1" x14ac:dyDescent="0.4">
      <c r="A25" s="2" t="s">
        <v>54</v>
      </c>
      <c r="B25" s="2">
        <v>2</v>
      </c>
      <c r="C25" s="2"/>
      <c r="D25" s="2"/>
      <c r="E25" s="2"/>
      <c r="F25" s="2"/>
      <c r="G25" s="2"/>
      <c r="H25" s="2"/>
      <c r="I25" s="2">
        <v>71.860500000000002</v>
      </c>
      <c r="J25" s="2">
        <v>87</v>
      </c>
      <c r="K25" s="2">
        <v>70.345600000000005</v>
      </c>
      <c r="L25" s="2">
        <v>138</v>
      </c>
      <c r="M25" s="2">
        <v>106.1949</v>
      </c>
      <c r="N25" s="2">
        <v>64</v>
      </c>
      <c r="O25" s="2">
        <v>108.1906</v>
      </c>
      <c r="P25" s="2">
        <v>53</v>
      </c>
      <c r="Q25" s="2">
        <v>93.642899999999997</v>
      </c>
      <c r="R25" s="2">
        <v>27</v>
      </c>
      <c r="S25" s="2">
        <v>91.594800000000006</v>
      </c>
      <c r="T25" s="2">
        <v>15</v>
      </c>
      <c r="U25" s="2">
        <v>0.87157700000000005</v>
      </c>
      <c r="V25" s="2">
        <v>25</v>
      </c>
      <c r="W25" s="2">
        <v>2002</v>
      </c>
    </row>
    <row r="26" spans="1:23" ht="15.75" customHeight="1" x14ac:dyDescent="0.4">
      <c r="A26" s="2" t="s">
        <v>55</v>
      </c>
      <c r="B26" s="2">
        <v>7</v>
      </c>
      <c r="C26" s="2" t="s">
        <v>33</v>
      </c>
      <c r="D26" s="2"/>
      <c r="E26" s="2"/>
      <c r="F26" s="2"/>
      <c r="G26" s="2"/>
      <c r="H26" s="2"/>
      <c r="I26" s="2">
        <v>69.905900000000003</v>
      </c>
      <c r="J26" s="2">
        <v>166</v>
      </c>
      <c r="K26" s="2">
        <v>68.809399999999997</v>
      </c>
      <c r="L26" s="2">
        <v>201</v>
      </c>
      <c r="M26" s="2">
        <v>108.3939</v>
      </c>
      <c r="N26" s="2">
        <v>41</v>
      </c>
      <c r="O26" s="2">
        <v>109.9085</v>
      </c>
      <c r="P26" s="2">
        <v>34</v>
      </c>
      <c r="Q26" s="2">
        <v>96.700299999999999</v>
      </c>
      <c r="R26" s="2">
        <v>72</v>
      </c>
      <c r="S26" s="2">
        <v>93.574600000000004</v>
      </c>
      <c r="T26" s="2">
        <v>29</v>
      </c>
      <c r="U26" s="2">
        <v>0.86415399999999998</v>
      </c>
      <c r="V26" s="2">
        <v>26</v>
      </c>
      <c r="W26" s="2">
        <v>2002</v>
      </c>
    </row>
    <row r="27" spans="1:23" ht="15.75" customHeight="1" x14ac:dyDescent="0.4">
      <c r="A27" s="2" t="s">
        <v>56</v>
      </c>
      <c r="B27" s="2">
        <v>8</v>
      </c>
      <c r="C27" s="2" t="s">
        <v>33</v>
      </c>
      <c r="D27" s="2"/>
      <c r="E27" s="2"/>
      <c r="F27" s="2"/>
      <c r="G27" s="2"/>
      <c r="H27" s="2"/>
      <c r="I27" s="2">
        <v>70.369299999999996</v>
      </c>
      <c r="J27" s="2">
        <v>140</v>
      </c>
      <c r="K27" s="2">
        <v>70.129900000000006</v>
      </c>
      <c r="L27" s="2">
        <v>150</v>
      </c>
      <c r="M27" s="2">
        <v>109</v>
      </c>
      <c r="N27" s="2">
        <v>31</v>
      </c>
      <c r="O27" s="2">
        <v>113.8693</v>
      </c>
      <c r="P27" s="2">
        <v>12</v>
      </c>
      <c r="Q27" s="2">
        <v>95.823499999999996</v>
      </c>
      <c r="R27" s="2">
        <v>60</v>
      </c>
      <c r="S27" s="2">
        <v>97.334199999999996</v>
      </c>
      <c r="T27" s="2">
        <v>83</v>
      </c>
      <c r="U27" s="2">
        <v>0.85867899999999997</v>
      </c>
      <c r="V27" s="2">
        <v>27</v>
      </c>
      <c r="W27" s="2">
        <v>2002</v>
      </c>
    </row>
    <row r="28" spans="1:23" ht="15.75" customHeight="1" x14ac:dyDescent="0.4">
      <c r="A28" s="2" t="s">
        <v>57</v>
      </c>
      <c r="B28" s="2">
        <v>6</v>
      </c>
      <c r="C28" s="2" t="s">
        <v>33</v>
      </c>
      <c r="D28" s="2"/>
      <c r="E28" s="2"/>
      <c r="F28" s="2"/>
      <c r="G28" s="2"/>
      <c r="H28" s="2"/>
      <c r="I28" s="2">
        <v>68.944500000000005</v>
      </c>
      <c r="J28" s="2">
        <v>191</v>
      </c>
      <c r="K28" s="2">
        <v>68.008399999999995</v>
      </c>
      <c r="L28" s="2">
        <v>224</v>
      </c>
      <c r="M28" s="2">
        <v>104.0471</v>
      </c>
      <c r="N28" s="2">
        <v>107</v>
      </c>
      <c r="O28" s="2">
        <v>108.42140000000001</v>
      </c>
      <c r="P28" s="2">
        <v>49</v>
      </c>
      <c r="Q28" s="2">
        <v>94.989699999999999</v>
      </c>
      <c r="R28" s="2">
        <v>50</v>
      </c>
      <c r="S28" s="2">
        <v>93.091300000000004</v>
      </c>
      <c r="T28" s="2">
        <v>26</v>
      </c>
      <c r="U28" s="2">
        <v>0.85234500000000002</v>
      </c>
      <c r="V28" s="2">
        <v>28</v>
      </c>
      <c r="W28" s="2">
        <v>2002</v>
      </c>
    </row>
    <row r="29" spans="1:23" ht="12.3" x14ac:dyDescent="0.4">
      <c r="A29" s="2" t="s">
        <v>58</v>
      </c>
      <c r="B29" s="2">
        <v>10</v>
      </c>
      <c r="C29" s="2"/>
      <c r="D29" s="2"/>
      <c r="E29" s="2"/>
      <c r="F29" s="2"/>
      <c r="G29" s="2"/>
      <c r="H29" s="2"/>
      <c r="I29" s="2">
        <v>64.841300000000004</v>
      </c>
      <c r="J29" s="2">
        <v>297</v>
      </c>
      <c r="K29" s="2">
        <v>64.561800000000005</v>
      </c>
      <c r="L29" s="2">
        <v>302</v>
      </c>
      <c r="M29" s="2">
        <v>107.5694</v>
      </c>
      <c r="N29" s="2">
        <v>47</v>
      </c>
      <c r="O29" s="2">
        <v>111.2209</v>
      </c>
      <c r="P29" s="2">
        <v>25</v>
      </c>
      <c r="Q29" s="2">
        <v>98.523300000000006</v>
      </c>
      <c r="R29" s="2">
        <v>102</v>
      </c>
      <c r="S29" s="2">
        <v>95.861500000000007</v>
      </c>
      <c r="T29" s="2">
        <v>55</v>
      </c>
      <c r="U29" s="2">
        <v>0.84671399999999997</v>
      </c>
      <c r="V29" s="2">
        <v>30</v>
      </c>
      <c r="W29" s="2">
        <v>2002</v>
      </c>
    </row>
    <row r="30" spans="1:23" ht="12.3" x14ac:dyDescent="0.4">
      <c r="A30" s="2" t="s">
        <v>59</v>
      </c>
      <c r="B30" s="2">
        <v>6</v>
      </c>
      <c r="C30" s="2"/>
      <c r="D30" s="2"/>
      <c r="E30" s="2"/>
      <c r="F30" s="2"/>
      <c r="G30" s="2"/>
      <c r="H30" s="2"/>
      <c r="I30" s="2">
        <v>72.547700000000006</v>
      </c>
      <c r="J30" s="2">
        <v>68</v>
      </c>
      <c r="K30" s="2">
        <v>71.367900000000006</v>
      </c>
      <c r="L30" s="2">
        <v>97</v>
      </c>
      <c r="M30" s="2">
        <v>109.0757</v>
      </c>
      <c r="N30" s="2">
        <v>30</v>
      </c>
      <c r="O30" s="2">
        <v>112.4064</v>
      </c>
      <c r="P30" s="2">
        <v>18</v>
      </c>
      <c r="Q30" s="2">
        <v>97.725200000000001</v>
      </c>
      <c r="R30" s="2">
        <v>89</v>
      </c>
      <c r="S30" s="2">
        <v>96.971100000000007</v>
      </c>
      <c r="T30" s="2">
        <v>79</v>
      </c>
      <c r="U30" s="2">
        <v>0.845356</v>
      </c>
      <c r="V30" s="2">
        <v>31</v>
      </c>
      <c r="W30" s="2">
        <v>2002</v>
      </c>
    </row>
    <row r="31" spans="1:23" ht="12.3" x14ac:dyDescent="0.4">
      <c r="A31" s="2" t="s">
        <v>60</v>
      </c>
      <c r="B31" s="2">
        <v>5</v>
      </c>
      <c r="C31" s="2"/>
      <c r="D31" s="2"/>
      <c r="E31" s="2"/>
      <c r="F31" s="2"/>
      <c r="G31" s="2"/>
      <c r="H31" s="2"/>
      <c r="I31" s="2">
        <v>70.537499999999994</v>
      </c>
      <c r="J31" s="2">
        <v>134</v>
      </c>
      <c r="K31" s="2">
        <v>70.287599999999998</v>
      </c>
      <c r="L31" s="2">
        <v>143</v>
      </c>
      <c r="M31" s="2">
        <v>104.5566</v>
      </c>
      <c r="N31" s="2">
        <v>97</v>
      </c>
      <c r="O31" s="2">
        <v>108.28619999999999</v>
      </c>
      <c r="P31" s="2">
        <v>51</v>
      </c>
      <c r="Q31" s="2">
        <v>93.076999999999998</v>
      </c>
      <c r="R31" s="2">
        <v>20</v>
      </c>
      <c r="S31" s="2">
        <v>93.516900000000007</v>
      </c>
      <c r="T31" s="2">
        <v>28</v>
      </c>
      <c r="U31" s="2">
        <v>0.84373900000000002</v>
      </c>
      <c r="V31" s="2">
        <v>32</v>
      </c>
      <c r="W31" s="2">
        <v>2002</v>
      </c>
    </row>
    <row r="32" spans="1:23" ht="12.3" x14ac:dyDescent="0.4">
      <c r="A32" s="2" t="s">
        <v>61</v>
      </c>
      <c r="B32" s="2">
        <v>7</v>
      </c>
      <c r="C32" s="2" t="s">
        <v>33</v>
      </c>
      <c r="D32" s="2"/>
      <c r="E32" s="2"/>
      <c r="F32" s="2"/>
      <c r="G32" s="2"/>
      <c r="H32" s="2"/>
      <c r="I32" s="2">
        <v>73.207499999999996</v>
      </c>
      <c r="J32" s="2">
        <v>53</v>
      </c>
      <c r="K32" s="2">
        <v>71.524100000000004</v>
      </c>
      <c r="L32" s="2">
        <v>90</v>
      </c>
      <c r="M32" s="2">
        <v>110.63120000000001</v>
      </c>
      <c r="N32" s="2">
        <v>20</v>
      </c>
      <c r="O32" s="2">
        <v>115.7479</v>
      </c>
      <c r="P32" s="2">
        <v>6</v>
      </c>
      <c r="Q32" s="2">
        <v>103.9414</v>
      </c>
      <c r="R32" s="2">
        <v>234</v>
      </c>
      <c r="S32" s="2">
        <v>100.3366</v>
      </c>
      <c r="T32" s="2">
        <v>151</v>
      </c>
      <c r="U32" s="2">
        <v>0.83796599999999999</v>
      </c>
      <c r="V32" s="2">
        <v>33</v>
      </c>
      <c r="W32" s="2">
        <v>2002</v>
      </c>
    </row>
    <row r="33" spans="1:23" ht="12.3" x14ac:dyDescent="0.4">
      <c r="A33" s="2" t="s">
        <v>63</v>
      </c>
      <c r="B33" s="2">
        <v>9</v>
      </c>
      <c r="C33" s="2"/>
      <c r="D33" s="2"/>
      <c r="E33" s="2"/>
      <c r="F33" s="2"/>
      <c r="G33" s="2"/>
      <c r="H33" s="2"/>
      <c r="I33" s="2">
        <v>68.468199999999996</v>
      </c>
      <c r="J33" s="2">
        <v>211</v>
      </c>
      <c r="K33" s="2">
        <v>68.493600000000001</v>
      </c>
      <c r="L33" s="2">
        <v>211</v>
      </c>
      <c r="M33" s="2">
        <v>107.2881</v>
      </c>
      <c r="N33" s="2">
        <v>53</v>
      </c>
      <c r="O33" s="2">
        <v>111.8788</v>
      </c>
      <c r="P33" s="2">
        <v>22</v>
      </c>
      <c r="Q33" s="2">
        <v>99.058000000000007</v>
      </c>
      <c r="R33" s="2">
        <v>117</v>
      </c>
      <c r="S33" s="2">
        <v>97.390100000000004</v>
      </c>
      <c r="T33" s="2">
        <v>84</v>
      </c>
      <c r="U33" s="2">
        <v>0.83131200000000005</v>
      </c>
      <c r="V33" s="2">
        <v>35</v>
      </c>
      <c r="W33" s="2">
        <v>2002</v>
      </c>
    </row>
    <row r="34" spans="1:23" ht="12.3" x14ac:dyDescent="0.4">
      <c r="A34" s="2" t="s">
        <v>65</v>
      </c>
      <c r="B34" s="2">
        <v>8</v>
      </c>
      <c r="C34" s="2" t="s">
        <v>33</v>
      </c>
      <c r="D34" s="2" t="s">
        <v>33</v>
      </c>
      <c r="E34" s="2"/>
      <c r="F34" s="2"/>
      <c r="G34" s="2"/>
      <c r="H34" s="2"/>
      <c r="I34" s="2">
        <v>69.504999999999995</v>
      </c>
      <c r="J34" s="2">
        <v>177</v>
      </c>
      <c r="K34" s="2">
        <v>68.532700000000006</v>
      </c>
      <c r="L34" s="2">
        <v>209</v>
      </c>
      <c r="M34" s="2">
        <v>106.244</v>
      </c>
      <c r="N34" s="2">
        <v>63</v>
      </c>
      <c r="O34" s="2">
        <v>110.6811</v>
      </c>
      <c r="P34" s="2">
        <v>27</v>
      </c>
      <c r="Q34" s="2">
        <v>102.9371</v>
      </c>
      <c r="R34" s="2">
        <v>211</v>
      </c>
      <c r="S34" s="2">
        <v>96.745099999999994</v>
      </c>
      <c r="T34" s="2">
        <v>72</v>
      </c>
      <c r="U34" s="2">
        <v>0.82456600000000002</v>
      </c>
      <c r="V34" s="2">
        <v>37</v>
      </c>
      <c r="W34" s="2">
        <v>2002</v>
      </c>
    </row>
    <row r="35" spans="1:23" ht="12.3" x14ac:dyDescent="0.4">
      <c r="A35" s="2" t="s">
        <v>66</v>
      </c>
      <c r="B35" s="2">
        <v>10</v>
      </c>
      <c r="C35" s="2"/>
      <c r="D35" s="2"/>
      <c r="E35" s="2"/>
      <c r="F35" s="2"/>
      <c r="G35" s="2"/>
      <c r="H35" s="2"/>
      <c r="I35" s="2">
        <v>67.032300000000006</v>
      </c>
      <c r="J35" s="2">
        <v>251</v>
      </c>
      <c r="K35" s="2">
        <v>66.894300000000001</v>
      </c>
      <c r="L35" s="2">
        <v>256</v>
      </c>
      <c r="M35" s="2">
        <v>108.4417</v>
      </c>
      <c r="N35" s="2">
        <v>39</v>
      </c>
      <c r="O35" s="2">
        <v>110.4563</v>
      </c>
      <c r="P35" s="2">
        <v>30</v>
      </c>
      <c r="Q35" s="2">
        <v>94.634500000000003</v>
      </c>
      <c r="R35" s="2">
        <v>44</v>
      </c>
      <c r="S35" s="2">
        <v>96.625900000000001</v>
      </c>
      <c r="T35" s="2">
        <v>65</v>
      </c>
      <c r="U35" s="2">
        <v>0.82323000000000002</v>
      </c>
      <c r="V35" s="2">
        <v>38</v>
      </c>
      <c r="W35" s="2">
        <v>2002</v>
      </c>
    </row>
    <row r="36" spans="1:23" ht="12.3" x14ac:dyDescent="0.4">
      <c r="A36" s="2" t="s">
        <v>67</v>
      </c>
      <c r="B36" s="2">
        <v>6</v>
      </c>
      <c r="C36" s="2" t="s">
        <v>33</v>
      </c>
      <c r="D36" s="2" t="s">
        <v>33</v>
      </c>
      <c r="E36" s="2"/>
      <c r="F36" s="2"/>
      <c r="G36" s="2"/>
      <c r="H36" s="2"/>
      <c r="I36" s="2">
        <v>70.785499999999999</v>
      </c>
      <c r="J36" s="2">
        <v>125</v>
      </c>
      <c r="K36" s="2">
        <v>70.620699999999999</v>
      </c>
      <c r="L36" s="2">
        <v>126</v>
      </c>
      <c r="M36" s="2">
        <v>109.8999</v>
      </c>
      <c r="N36" s="2">
        <v>23</v>
      </c>
      <c r="O36" s="2">
        <v>113.6185</v>
      </c>
      <c r="P36" s="2">
        <v>15</v>
      </c>
      <c r="Q36" s="2">
        <v>102.73439999999999</v>
      </c>
      <c r="R36" s="2">
        <v>204</v>
      </c>
      <c r="S36" s="2">
        <v>99.437299999999993</v>
      </c>
      <c r="T36" s="2">
        <v>129</v>
      </c>
      <c r="U36" s="2">
        <v>0.82246900000000001</v>
      </c>
      <c r="V36" s="2">
        <v>39</v>
      </c>
      <c r="W36" s="2">
        <v>2002</v>
      </c>
    </row>
    <row r="37" spans="1:23" ht="12.3" x14ac:dyDescent="0.4">
      <c r="A37" s="2" t="s">
        <v>68</v>
      </c>
      <c r="B37" s="2">
        <v>9</v>
      </c>
      <c r="C37" s="2"/>
      <c r="D37" s="2"/>
      <c r="E37" s="2"/>
      <c r="F37" s="2"/>
      <c r="G37" s="2"/>
      <c r="H37" s="2"/>
      <c r="I37" s="2">
        <v>69.028099999999995</v>
      </c>
      <c r="J37" s="2">
        <v>188</v>
      </c>
      <c r="K37" s="2">
        <v>69.006699999999995</v>
      </c>
      <c r="L37" s="2">
        <v>190</v>
      </c>
      <c r="M37" s="2">
        <v>109.1221</v>
      </c>
      <c r="N37" s="2">
        <v>29</v>
      </c>
      <c r="O37" s="2">
        <v>107.45610000000001</v>
      </c>
      <c r="P37" s="2">
        <v>64</v>
      </c>
      <c r="Q37" s="2">
        <v>92.5488</v>
      </c>
      <c r="R37" s="2">
        <v>16</v>
      </c>
      <c r="S37" s="2">
        <v>94.334999999999994</v>
      </c>
      <c r="T37" s="2">
        <v>35</v>
      </c>
      <c r="U37" s="2">
        <v>0.81722300000000003</v>
      </c>
      <c r="V37" s="2">
        <v>40</v>
      </c>
      <c r="W37" s="2">
        <v>2002</v>
      </c>
    </row>
    <row r="38" spans="1:23" ht="12.3" x14ac:dyDescent="0.4">
      <c r="A38" s="2" t="s">
        <v>69</v>
      </c>
      <c r="B38" s="2">
        <v>12</v>
      </c>
      <c r="C38" s="2" t="s">
        <v>33</v>
      </c>
      <c r="D38" s="2"/>
      <c r="E38" s="2"/>
      <c r="F38" s="2"/>
      <c r="G38" s="2"/>
      <c r="H38" s="2"/>
      <c r="I38" s="2">
        <v>71.355500000000006</v>
      </c>
      <c r="J38" s="2">
        <v>104</v>
      </c>
      <c r="K38" s="2">
        <v>71.284999999999997</v>
      </c>
      <c r="L38" s="2">
        <v>102</v>
      </c>
      <c r="M38" s="2">
        <v>112.0819</v>
      </c>
      <c r="N38" s="2">
        <v>12</v>
      </c>
      <c r="O38" s="2">
        <v>111.68</v>
      </c>
      <c r="P38" s="2">
        <v>23</v>
      </c>
      <c r="Q38" s="2">
        <v>96.535399999999996</v>
      </c>
      <c r="R38" s="2">
        <v>70</v>
      </c>
      <c r="S38" s="2">
        <v>98.070700000000002</v>
      </c>
      <c r="T38" s="2">
        <v>94</v>
      </c>
      <c r="U38" s="2">
        <v>0.81674000000000002</v>
      </c>
      <c r="V38" s="2">
        <v>41</v>
      </c>
      <c r="W38" s="2">
        <v>2002</v>
      </c>
    </row>
    <row r="39" spans="1:23" ht="12.3" x14ac:dyDescent="0.4">
      <c r="A39" s="2" t="s">
        <v>70</v>
      </c>
      <c r="B39" s="2">
        <v>12</v>
      </c>
      <c r="C39" s="2"/>
      <c r="D39" s="2"/>
      <c r="E39" s="2"/>
      <c r="F39" s="2"/>
      <c r="G39" s="2"/>
      <c r="H39" s="2"/>
      <c r="I39" s="2">
        <v>62.618099999999998</v>
      </c>
      <c r="J39" s="2">
        <v>316</v>
      </c>
      <c r="K39" s="2">
        <v>63.354700000000001</v>
      </c>
      <c r="L39" s="2">
        <v>317</v>
      </c>
      <c r="M39" s="2">
        <v>107.7123</v>
      </c>
      <c r="N39" s="2">
        <v>46</v>
      </c>
      <c r="O39" s="2">
        <v>108.62309999999999</v>
      </c>
      <c r="P39" s="2">
        <v>44</v>
      </c>
      <c r="Q39" s="2">
        <v>97.431799999999996</v>
      </c>
      <c r="R39" s="2">
        <v>81</v>
      </c>
      <c r="S39" s="2">
        <v>95.645899999999997</v>
      </c>
      <c r="T39" s="2">
        <v>49</v>
      </c>
      <c r="U39" s="2">
        <v>0.81201500000000004</v>
      </c>
      <c r="V39" s="2">
        <v>42</v>
      </c>
      <c r="W39" s="2">
        <v>2002</v>
      </c>
    </row>
    <row r="40" spans="1:23" ht="12.3" x14ac:dyDescent="0.4">
      <c r="A40" s="2" t="s">
        <v>72</v>
      </c>
      <c r="B40" s="2">
        <v>7</v>
      </c>
      <c r="C40" s="2"/>
      <c r="D40" s="2"/>
      <c r="E40" s="2"/>
      <c r="F40" s="2"/>
      <c r="G40" s="2"/>
      <c r="H40" s="2"/>
      <c r="I40" s="2">
        <v>68.880099999999999</v>
      </c>
      <c r="J40" s="2">
        <v>194</v>
      </c>
      <c r="K40" s="2">
        <v>67.384900000000002</v>
      </c>
      <c r="L40" s="2">
        <v>241</v>
      </c>
      <c r="M40" s="2">
        <v>103.93470000000001</v>
      </c>
      <c r="N40" s="2">
        <v>111</v>
      </c>
      <c r="O40" s="2">
        <v>104.227</v>
      </c>
      <c r="P40" s="2">
        <v>102</v>
      </c>
      <c r="Q40" s="2">
        <v>92.809700000000007</v>
      </c>
      <c r="R40" s="2">
        <v>18</v>
      </c>
      <c r="S40" s="2">
        <v>91.898799999999994</v>
      </c>
      <c r="T40" s="2">
        <v>19</v>
      </c>
      <c r="U40" s="2">
        <v>0.80963700000000005</v>
      </c>
      <c r="V40" s="2">
        <v>44</v>
      </c>
      <c r="W40" s="2">
        <v>2002</v>
      </c>
    </row>
    <row r="41" spans="1:23" ht="12.3" x14ac:dyDescent="0.4">
      <c r="A41" s="2" t="s">
        <v>73</v>
      </c>
      <c r="B41" s="2">
        <v>12</v>
      </c>
      <c r="C41" s="2" t="s">
        <v>33</v>
      </c>
      <c r="D41" s="2" t="s">
        <v>33</v>
      </c>
      <c r="E41" s="2" t="s">
        <v>33</v>
      </c>
      <c r="F41" s="2"/>
      <c r="G41" s="2"/>
      <c r="H41" s="2"/>
      <c r="I41" s="2">
        <v>70.757800000000003</v>
      </c>
      <c r="J41" s="2">
        <v>127</v>
      </c>
      <c r="K41" s="2">
        <v>70.588899999999995</v>
      </c>
      <c r="L41" s="2">
        <v>127</v>
      </c>
      <c r="M41" s="2">
        <v>112.71599999999999</v>
      </c>
      <c r="N41" s="2">
        <v>8</v>
      </c>
      <c r="O41" s="2">
        <v>112.3241</v>
      </c>
      <c r="P41" s="2">
        <v>19</v>
      </c>
      <c r="Q41" s="2">
        <v>101.992</v>
      </c>
      <c r="R41" s="2">
        <v>185</v>
      </c>
      <c r="S41" s="2">
        <v>99.091899999999995</v>
      </c>
      <c r="T41" s="2">
        <v>115</v>
      </c>
      <c r="U41" s="2">
        <v>0.808674</v>
      </c>
      <c r="V41" s="2">
        <v>45</v>
      </c>
      <c r="W41" s="2">
        <v>2002</v>
      </c>
    </row>
    <row r="42" spans="1:23" ht="12.3" x14ac:dyDescent="0.4">
      <c r="A42" s="2" t="s">
        <v>74</v>
      </c>
      <c r="B42" s="2">
        <v>13</v>
      </c>
      <c r="C42" s="2"/>
      <c r="D42" s="2"/>
      <c r="E42" s="2"/>
      <c r="F42" s="2"/>
      <c r="G42" s="2"/>
      <c r="H42" s="2"/>
      <c r="I42" s="2">
        <v>69.909199999999998</v>
      </c>
      <c r="J42" s="2">
        <v>165</v>
      </c>
      <c r="K42" s="2">
        <v>70.216800000000006</v>
      </c>
      <c r="L42" s="2">
        <v>147</v>
      </c>
      <c r="M42" s="2">
        <v>110.5689</v>
      </c>
      <c r="N42" s="2">
        <v>21</v>
      </c>
      <c r="O42" s="2">
        <v>109.2741</v>
      </c>
      <c r="P42" s="2">
        <v>40</v>
      </c>
      <c r="Q42" s="2">
        <v>94.066800000000001</v>
      </c>
      <c r="R42" s="2">
        <v>30</v>
      </c>
      <c r="S42" s="2">
        <v>96.788399999999996</v>
      </c>
      <c r="T42" s="2">
        <v>76</v>
      </c>
      <c r="U42" s="2">
        <v>0.80144099999999996</v>
      </c>
      <c r="V42" s="2">
        <v>46</v>
      </c>
      <c r="W42" s="2">
        <v>2002</v>
      </c>
    </row>
    <row r="43" spans="1:23" ht="12.3" x14ac:dyDescent="0.4">
      <c r="A43" s="2" t="s">
        <v>76</v>
      </c>
      <c r="B43" s="2">
        <v>8</v>
      </c>
      <c r="C43" s="2" t="s">
        <v>33</v>
      </c>
      <c r="D43" s="2"/>
      <c r="E43" s="2"/>
      <c r="F43" s="2"/>
      <c r="G43" s="2"/>
      <c r="H43" s="2"/>
      <c r="I43" s="2">
        <v>63.801600000000001</v>
      </c>
      <c r="J43" s="2">
        <v>310</v>
      </c>
      <c r="K43" s="2">
        <v>64.6828</v>
      </c>
      <c r="L43" s="2">
        <v>300</v>
      </c>
      <c r="M43" s="2">
        <v>103.0291</v>
      </c>
      <c r="N43" s="2">
        <v>124</v>
      </c>
      <c r="O43" s="2">
        <v>107.4935</v>
      </c>
      <c r="P43" s="2">
        <v>63</v>
      </c>
      <c r="Q43" s="2">
        <v>100.3758</v>
      </c>
      <c r="R43" s="2">
        <v>153</v>
      </c>
      <c r="S43" s="2">
        <v>95.442499999999995</v>
      </c>
      <c r="T43" s="2">
        <v>48</v>
      </c>
      <c r="U43" s="2">
        <v>0.79696299999999998</v>
      </c>
      <c r="V43" s="2">
        <v>48</v>
      </c>
      <c r="W43" s="2">
        <v>2002</v>
      </c>
    </row>
    <row r="44" spans="1:23" ht="12.3" x14ac:dyDescent="0.4">
      <c r="A44" s="2" t="s">
        <v>77</v>
      </c>
      <c r="B44" s="2">
        <v>11</v>
      </c>
      <c r="C44" s="2"/>
      <c r="D44" s="2"/>
      <c r="E44" s="2"/>
      <c r="F44" s="2"/>
      <c r="G44" s="2"/>
      <c r="H44" s="2"/>
      <c r="I44" s="2">
        <v>65.672799999999995</v>
      </c>
      <c r="J44" s="2">
        <v>286</v>
      </c>
      <c r="K44" s="2">
        <v>66.893000000000001</v>
      </c>
      <c r="L44" s="2">
        <v>257</v>
      </c>
      <c r="M44" s="2">
        <v>109.5414</v>
      </c>
      <c r="N44" s="2">
        <v>27</v>
      </c>
      <c r="O44" s="2">
        <v>106.9622</v>
      </c>
      <c r="P44" s="2">
        <v>71</v>
      </c>
      <c r="Q44" s="2">
        <v>94.223399999999998</v>
      </c>
      <c r="R44" s="2">
        <v>32</v>
      </c>
      <c r="S44" s="2">
        <v>95.191500000000005</v>
      </c>
      <c r="T44" s="2">
        <v>44</v>
      </c>
      <c r="U44" s="2">
        <v>0.79260900000000001</v>
      </c>
      <c r="V44" s="2">
        <v>49</v>
      </c>
      <c r="W44" s="2">
        <v>2002</v>
      </c>
    </row>
    <row r="45" spans="1:23" ht="12.3" x14ac:dyDescent="0.4">
      <c r="A45" s="2" t="s">
        <v>79</v>
      </c>
      <c r="B45" s="2">
        <v>10</v>
      </c>
      <c r="C45" s="2"/>
      <c r="D45" s="2"/>
      <c r="E45" s="2"/>
      <c r="F45" s="2"/>
      <c r="G45" s="2"/>
      <c r="H45" s="2"/>
      <c r="I45" s="2">
        <v>74.144499999999994</v>
      </c>
      <c r="J45" s="2">
        <v>33</v>
      </c>
      <c r="K45" s="2">
        <v>74.116299999999995</v>
      </c>
      <c r="L45" s="2">
        <v>30</v>
      </c>
      <c r="M45" s="2">
        <v>107.0549</v>
      </c>
      <c r="N45" s="2">
        <v>59</v>
      </c>
      <c r="O45" s="2">
        <v>108.5752</v>
      </c>
      <c r="P45" s="2">
        <v>47</v>
      </c>
      <c r="Q45" s="2">
        <v>99.043300000000002</v>
      </c>
      <c r="R45" s="2">
        <v>116</v>
      </c>
      <c r="S45" s="2">
        <v>96.780699999999996</v>
      </c>
      <c r="T45" s="2">
        <v>75</v>
      </c>
      <c r="U45" s="2">
        <v>0.78958700000000004</v>
      </c>
      <c r="V45" s="2">
        <v>51</v>
      </c>
      <c r="W45" s="2">
        <v>2002</v>
      </c>
    </row>
    <row r="46" spans="1:23" ht="12.3" x14ac:dyDescent="0.4">
      <c r="A46" s="2" t="s">
        <v>82</v>
      </c>
      <c r="B46" s="2">
        <v>11</v>
      </c>
      <c r="C46" s="2" t="s">
        <v>33</v>
      </c>
      <c r="D46" s="2" t="s">
        <v>33</v>
      </c>
      <c r="E46" s="2"/>
      <c r="F46" s="2"/>
      <c r="G46" s="2"/>
      <c r="H46" s="2"/>
      <c r="I46" s="2">
        <v>70.926900000000003</v>
      </c>
      <c r="J46" s="2">
        <v>118</v>
      </c>
      <c r="K46" s="2">
        <v>73.073499999999996</v>
      </c>
      <c r="L46" s="2">
        <v>50</v>
      </c>
      <c r="M46" s="2">
        <v>107.0924</v>
      </c>
      <c r="N46" s="2">
        <v>58</v>
      </c>
      <c r="O46" s="2">
        <v>105.45699999999999</v>
      </c>
      <c r="P46" s="2">
        <v>86</v>
      </c>
      <c r="Q46" s="2">
        <v>94.309899999999999</v>
      </c>
      <c r="R46" s="2">
        <v>34</v>
      </c>
      <c r="S46" s="2">
        <v>94.661600000000007</v>
      </c>
      <c r="T46" s="2">
        <v>38</v>
      </c>
      <c r="U46" s="2">
        <v>0.77590000000000003</v>
      </c>
      <c r="V46" s="2">
        <v>54</v>
      </c>
      <c r="W46" s="2">
        <v>2002</v>
      </c>
    </row>
    <row r="47" spans="1:23" ht="12.3" x14ac:dyDescent="0.4">
      <c r="A47" s="2" t="s">
        <v>83</v>
      </c>
      <c r="B47" s="2">
        <v>13</v>
      </c>
      <c r="C47" s="2" t="s">
        <v>33</v>
      </c>
      <c r="D47" s="2"/>
      <c r="E47" s="2"/>
      <c r="F47" s="2"/>
      <c r="G47" s="2"/>
      <c r="H47" s="2"/>
      <c r="I47" s="2">
        <v>64.204899999999995</v>
      </c>
      <c r="J47" s="2">
        <v>308</v>
      </c>
      <c r="K47" s="2">
        <v>64.534000000000006</v>
      </c>
      <c r="L47" s="2">
        <v>303</v>
      </c>
      <c r="M47" s="2">
        <v>104.15989999999999</v>
      </c>
      <c r="N47" s="2">
        <v>106</v>
      </c>
      <c r="O47" s="2">
        <v>104.5005</v>
      </c>
      <c r="P47" s="2">
        <v>97</v>
      </c>
      <c r="Q47" s="2">
        <v>93.391599999999997</v>
      </c>
      <c r="R47" s="2">
        <v>23</v>
      </c>
      <c r="S47" s="2">
        <v>93.828999999999994</v>
      </c>
      <c r="T47" s="2">
        <v>30</v>
      </c>
      <c r="U47" s="2">
        <v>0.77534700000000001</v>
      </c>
      <c r="V47" s="2">
        <v>55</v>
      </c>
      <c r="W47" s="2">
        <v>2002</v>
      </c>
    </row>
    <row r="48" spans="1:23" ht="12.3" x14ac:dyDescent="0.4">
      <c r="A48" s="2" t="s">
        <v>90</v>
      </c>
      <c r="B48" s="2">
        <v>12</v>
      </c>
      <c r="C48" s="2" t="s">
        <v>33</v>
      </c>
      <c r="D48" s="2"/>
      <c r="E48" s="2"/>
      <c r="F48" s="2"/>
      <c r="G48" s="2"/>
      <c r="H48" s="2"/>
      <c r="I48" s="2">
        <v>68.176500000000004</v>
      </c>
      <c r="J48" s="2">
        <v>226</v>
      </c>
      <c r="K48" s="2">
        <v>68.609300000000005</v>
      </c>
      <c r="L48" s="2">
        <v>206</v>
      </c>
      <c r="M48" s="2">
        <v>109.6425</v>
      </c>
      <c r="N48" s="2">
        <v>25</v>
      </c>
      <c r="O48" s="2">
        <v>109.7891</v>
      </c>
      <c r="P48" s="2">
        <v>36</v>
      </c>
      <c r="Q48" s="2">
        <v>98.299300000000002</v>
      </c>
      <c r="R48" s="2">
        <v>96</v>
      </c>
      <c r="S48" s="2">
        <v>99.233500000000006</v>
      </c>
      <c r="T48" s="2">
        <v>121</v>
      </c>
      <c r="U48" s="2">
        <v>0.76178400000000002</v>
      </c>
      <c r="V48" s="2">
        <v>62</v>
      </c>
      <c r="W48" s="2">
        <v>2002</v>
      </c>
    </row>
    <row r="49" spans="1:23" ht="12.3" x14ac:dyDescent="0.4">
      <c r="A49" s="2" t="s">
        <v>93</v>
      </c>
      <c r="B49" s="2">
        <v>11</v>
      </c>
      <c r="C49" s="2" t="s">
        <v>33</v>
      </c>
      <c r="D49" s="2"/>
      <c r="E49" s="2"/>
      <c r="F49" s="2"/>
      <c r="G49" s="2"/>
      <c r="H49" s="2"/>
      <c r="I49" s="2">
        <v>69.617199999999997</v>
      </c>
      <c r="J49" s="2">
        <v>175</v>
      </c>
      <c r="K49" s="2">
        <v>70.412400000000005</v>
      </c>
      <c r="L49" s="2">
        <v>134</v>
      </c>
      <c r="M49" s="2">
        <v>105.36539999999999</v>
      </c>
      <c r="N49" s="2">
        <v>81</v>
      </c>
      <c r="O49" s="2">
        <v>106.03700000000001</v>
      </c>
      <c r="P49" s="2">
        <v>80</v>
      </c>
      <c r="Q49" s="2">
        <v>97.056799999999996</v>
      </c>
      <c r="R49" s="2">
        <v>78</v>
      </c>
      <c r="S49" s="2">
        <v>96.6601</v>
      </c>
      <c r="T49" s="2">
        <v>67</v>
      </c>
      <c r="U49" s="2">
        <v>0.74359799999999998</v>
      </c>
      <c r="V49" s="2">
        <v>66</v>
      </c>
      <c r="W49" s="2">
        <v>2002</v>
      </c>
    </row>
    <row r="50" spans="1:23" ht="12.3" x14ac:dyDescent="0.4">
      <c r="A50" s="2" t="s">
        <v>95</v>
      </c>
      <c r="B50" s="2">
        <v>11</v>
      </c>
      <c r="C50" s="2"/>
      <c r="D50" s="2"/>
      <c r="E50" s="2"/>
      <c r="F50" s="2"/>
      <c r="G50" s="2"/>
      <c r="H50" s="2"/>
      <c r="I50" s="2">
        <v>70.698499999999996</v>
      </c>
      <c r="J50" s="2">
        <v>128</v>
      </c>
      <c r="K50" s="2">
        <v>70.707999999999998</v>
      </c>
      <c r="L50" s="2">
        <v>121</v>
      </c>
      <c r="M50" s="2">
        <v>103.70659999999999</v>
      </c>
      <c r="N50" s="2">
        <v>116</v>
      </c>
      <c r="O50" s="2">
        <v>107.0112</v>
      </c>
      <c r="P50" s="2">
        <v>70</v>
      </c>
      <c r="Q50" s="2">
        <v>99.252700000000004</v>
      </c>
      <c r="R50" s="2">
        <v>128</v>
      </c>
      <c r="S50" s="2">
        <v>97.686700000000002</v>
      </c>
      <c r="T50" s="2">
        <v>89</v>
      </c>
      <c r="U50" s="2">
        <v>0.74047300000000005</v>
      </c>
      <c r="V50" s="2">
        <v>68</v>
      </c>
      <c r="W50" s="2">
        <v>2002</v>
      </c>
    </row>
    <row r="51" spans="1:23" ht="12.3" x14ac:dyDescent="0.4">
      <c r="A51" s="2" t="s">
        <v>97</v>
      </c>
      <c r="B51" s="2">
        <v>13</v>
      </c>
      <c r="C51" s="2"/>
      <c r="D51" s="2"/>
      <c r="E51" s="2"/>
      <c r="F51" s="2"/>
      <c r="G51" s="2"/>
      <c r="H51" s="2"/>
      <c r="I51" s="2">
        <v>70.886099999999999</v>
      </c>
      <c r="J51" s="2">
        <v>121</v>
      </c>
      <c r="K51" s="2">
        <v>71.200299999999999</v>
      </c>
      <c r="L51" s="2">
        <v>107</v>
      </c>
      <c r="M51" s="2">
        <v>103.1405</v>
      </c>
      <c r="N51" s="2">
        <v>123</v>
      </c>
      <c r="O51" s="2">
        <v>104.1575</v>
      </c>
      <c r="P51" s="2">
        <v>104</v>
      </c>
      <c r="Q51" s="2">
        <v>98.706800000000001</v>
      </c>
      <c r="R51" s="2">
        <v>108</v>
      </c>
      <c r="S51" s="2">
        <v>95.206199999999995</v>
      </c>
      <c r="T51" s="2">
        <v>45</v>
      </c>
      <c r="U51" s="2">
        <v>0.73756999999999995</v>
      </c>
      <c r="V51" s="2">
        <v>70</v>
      </c>
      <c r="W51" s="2">
        <v>2002</v>
      </c>
    </row>
    <row r="52" spans="1:23" ht="12.3" x14ac:dyDescent="0.4">
      <c r="A52" s="2" t="s">
        <v>102</v>
      </c>
      <c r="B52" s="2">
        <v>9</v>
      </c>
      <c r="C52" s="2"/>
      <c r="D52" s="2"/>
      <c r="E52" s="2"/>
      <c r="F52" s="2"/>
      <c r="G52" s="2"/>
      <c r="H52" s="2"/>
      <c r="I52" s="2">
        <v>71.818799999999996</v>
      </c>
      <c r="J52" s="2">
        <v>90</v>
      </c>
      <c r="K52" s="2">
        <v>70.724999999999994</v>
      </c>
      <c r="L52" s="2">
        <v>120</v>
      </c>
      <c r="M52" s="2">
        <v>97.013900000000007</v>
      </c>
      <c r="N52" s="2">
        <v>236</v>
      </c>
      <c r="O52" s="2">
        <v>99.351799999999997</v>
      </c>
      <c r="P52" s="2">
        <v>193</v>
      </c>
      <c r="Q52" s="2">
        <v>94.376499999999993</v>
      </c>
      <c r="R52" s="2">
        <v>37</v>
      </c>
      <c r="S52" s="2">
        <v>91.720299999999995</v>
      </c>
      <c r="T52" s="2">
        <v>18</v>
      </c>
      <c r="U52" s="2">
        <v>0.71486300000000003</v>
      </c>
      <c r="V52" s="2">
        <v>75</v>
      </c>
      <c r="W52" s="2">
        <v>2002</v>
      </c>
    </row>
    <row r="53" spans="1:23" ht="12.3" x14ac:dyDescent="0.4">
      <c r="A53" s="2" t="s">
        <v>104</v>
      </c>
      <c r="B53" s="2">
        <v>14</v>
      </c>
      <c r="C53" s="2"/>
      <c r="D53" s="2"/>
      <c r="E53" s="2"/>
      <c r="F53" s="2"/>
      <c r="G53" s="2"/>
      <c r="H53" s="2"/>
      <c r="I53" s="2">
        <v>63.234499999999997</v>
      </c>
      <c r="J53" s="2">
        <v>312</v>
      </c>
      <c r="K53" s="2">
        <v>64.794799999999995</v>
      </c>
      <c r="L53" s="2">
        <v>296</v>
      </c>
      <c r="M53" s="2">
        <v>105.2163</v>
      </c>
      <c r="N53" s="2">
        <v>86</v>
      </c>
      <c r="O53" s="2">
        <v>105.4534</v>
      </c>
      <c r="P53" s="2">
        <v>87</v>
      </c>
      <c r="Q53" s="2">
        <v>96.096500000000006</v>
      </c>
      <c r="R53" s="2">
        <v>65</v>
      </c>
      <c r="S53" s="2">
        <v>97.670400000000001</v>
      </c>
      <c r="T53" s="2">
        <v>88</v>
      </c>
      <c r="U53" s="2">
        <v>0.70717600000000003</v>
      </c>
      <c r="V53" s="2">
        <v>77</v>
      </c>
      <c r="W53" s="2">
        <v>2002</v>
      </c>
    </row>
    <row r="54" spans="1:23" ht="12.3" x14ac:dyDescent="0.4">
      <c r="A54" s="2" t="s">
        <v>107</v>
      </c>
      <c r="B54" s="2">
        <v>14</v>
      </c>
      <c r="C54" s="2"/>
      <c r="D54" s="2"/>
      <c r="E54" s="2"/>
      <c r="F54" s="2"/>
      <c r="G54" s="2"/>
      <c r="H54" s="2"/>
      <c r="I54" s="2">
        <v>68.608400000000003</v>
      </c>
      <c r="J54" s="2">
        <v>206</v>
      </c>
      <c r="K54" s="2">
        <v>66.805000000000007</v>
      </c>
      <c r="L54" s="2">
        <v>260</v>
      </c>
      <c r="M54" s="2">
        <v>102.226</v>
      </c>
      <c r="N54" s="2">
        <v>142</v>
      </c>
      <c r="O54" s="2">
        <v>102.3383</v>
      </c>
      <c r="P54" s="2">
        <v>134</v>
      </c>
      <c r="Q54" s="2">
        <v>92.412000000000006</v>
      </c>
      <c r="R54" s="2">
        <v>14</v>
      </c>
      <c r="S54" s="2">
        <v>95.354900000000001</v>
      </c>
      <c r="T54" s="2">
        <v>46</v>
      </c>
      <c r="U54" s="2">
        <v>0.69270500000000002</v>
      </c>
      <c r="V54" s="2">
        <v>80</v>
      </c>
      <c r="W54" s="2">
        <v>2002</v>
      </c>
    </row>
    <row r="55" spans="1:23" ht="12.3" x14ac:dyDescent="0.4">
      <c r="A55" s="2" t="s">
        <v>134</v>
      </c>
      <c r="B55" s="2">
        <v>13</v>
      </c>
      <c r="C55" s="2"/>
      <c r="D55" s="2"/>
      <c r="E55" s="2"/>
      <c r="F55" s="2"/>
      <c r="G55" s="2"/>
      <c r="H55" s="2"/>
      <c r="I55" s="2">
        <v>68.883600000000001</v>
      </c>
      <c r="J55" s="2">
        <v>192</v>
      </c>
      <c r="K55" s="2">
        <v>66.721100000000007</v>
      </c>
      <c r="L55" s="2">
        <v>265</v>
      </c>
      <c r="M55" s="2">
        <v>98.002600000000001</v>
      </c>
      <c r="N55" s="2">
        <v>215</v>
      </c>
      <c r="O55" s="2">
        <v>99.806700000000006</v>
      </c>
      <c r="P55" s="2">
        <v>186</v>
      </c>
      <c r="Q55" s="2">
        <v>97.679000000000002</v>
      </c>
      <c r="R55" s="2">
        <v>88</v>
      </c>
      <c r="S55" s="2">
        <v>95.789699999999996</v>
      </c>
      <c r="T55" s="2">
        <v>53</v>
      </c>
      <c r="U55" s="2">
        <v>0.61595500000000003</v>
      </c>
      <c r="V55" s="2">
        <v>107</v>
      </c>
      <c r="W55" s="2">
        <v>2002</v>
      </c>
    </row>
    <row r="56" spans="1:23" ht="12.3" x14ac:dyDescent="0.4">
      <c r="A56" s="2" t="s">
        <v>135</v>
      </c>
      <c r="B56" s="2">
        <v>15</v>
      </c>
      <c r="C56" s="2"/>
      <c r="D56" s="2"/>
      <c r="E56" s="2"/>
      <c r="F56" s="2"/>
      <c r="G56" s="2"/>
      <c r="H56" s="2"/>
      <c r="I56" s="2">
        <v>70.183499999999995</v>
      </c>
      <c r="J56" s="2">
        <v>148</v>
      </c>
      <c r="K56" s="2">
        <v>70.284199999999998</v>
      </c>
      <c r="L56" s="2">
        <v>144</v>
      </c>
      <c r="M56" s="2">
        <v>112.2398</v>
      </c>
      <c r="N56" s="2">
        <v>11</v>
      </c>
      <c r="O56" s="2">
        <v>107.6656</v>
      </c>
      <c r="P56" s="2">
        <v>62</v>
      </c>
      <c r="Q56" s="2">
        <v>98.991600000000005</v>
      </c>
      <c r="R56" s="2">
        <v>114</v>
      </c>
      <c r="S56" s="2">
        <v>103.74169999999999</v>
      </c>
      <c r="T56" s="2">
        <v>220</v>
      </c>
      <c r="U56" s="2">
        <v>0.60514400000000002</v>
      </c>
      <c r="V56" s="2">
        <v>108</v>
      </c>
      <c r="W56" s="2">
        <v>2002</v>
      </c>
    </row>
    <row r="57" spans="1:23" ht="12.3" x14ac:dyDescent="0.4">
      <c r="A57" s="2" t="s">
        <v>144</v>
      </c>
      <c r="B57" s="2">
        <v>15</v>
      </c>
      <c r="C57" s="2"/>
      <c r="D57" s="2"/>
      <c r="E57" s="2"/>
      <c r="F57" s="2"/>
      <c r="G57" s="2"/>
      <c r="H57" s="2"/>
      <c r="I57" s="2">
        <v>68.559799999999996</v>
      </c>
      <c r="J57" s="2">
        <v>208</v>
      </c>
      <c r="K57" s="2">
        <v>68.922799999999995</v>
      </c>
      <c r="L57" s="2">
        <v>197</v>
      </c>
      <c r="M57" s="2">
        <v>105.7122</v>
      </c>
      <c r="N57" s="2">
        <v>74</v>
      </c>
      <c r="O57" s="2">
        <v>106.9515</v>
      </c>
      <c r="P57" s="2">
        <v>72</v>
      </c>
      <c r="Q57" s="2">
        <v>104.3741</v>
      </c>
      <c r="R57" s="2">
        <v>243</v>
      </c>
      <c r="S57" s="2">
        <v>103.9632</v>
      </c>
      <c r="T57" s="2">
        <v>227</v>
      </c>
      <c r="U57" s="2">
        <v>0.58076000000000005</v>
      </c>
      <c r="V57" s="2">
        <v>117</v>
      </c>
      <c r="W57" s="2">
        <v>2002</v>
      </c>
    </row>
    <row r="58" spans="1:23" ht="12.3" x14ac:dyDescent="0.4">
      <c r="A58" s="2" t="s">
        <v>156</v>
      </c>
      <c r="B58" s="2">
        <v>14</v>
      </c>
      <c r="C58" s="2"/>
      <c r="D58" s="2"/>
      <c r="E58" s="2"/>
      <c r="F58" s="2"/>
      <c r="G58" s="2"/>
      <c r="H58" s="2"/>
      <c r="I58" s="2">
        <v>67.375500000000002</v>
      </c>
      <c r="J58" s="2">
        <v>245</v>
      </c>
      <c r="K58" s="2">
        <v>65.6751</v>
      </c>
      <c r="L58" s="2">
        <v>289</v>
      </c>
      <c r="M58" s="2">
        <v>105.11499999999999</v>
      </c>
      <c r="N58" s="2">
        <v>88</v>
      </c>
      <c r="O58" s="2">
        <v>98.433899999999994</v>
      </c>
      <c r="P58" s="2">
        <v>211</v>
      </c>
      <c r="Q58" s="2">
        <v>92.176500000000004</v>
      </c>
      <c r="R58" s="2">
        <v>11</v>
      </c>
      <c r="S58" s="2">
        <v>96.393100000000004</v>
      </c>
      <c r="T58" s="2">
        <v>64</v>
      </c>
      <c r="U58" s="2">
        <v>0.55994200000000005</v>
      </c>
      <c r="V58" s="2">
        <v>129</v>
      </c>
      <c r="W58" s="2">
        <v>2002</v>
      </c>
    </row>
    <row r="59" spans="1:23" ht="12.3" x14ac:dyDescent="0.4">
      <c r="A59" s="2" t="s">
        <v>178</v>
      </c>
      <c r="B59" s="2">
        <v>16</v>
      </c>
      <c r="C59" s="2"/>
      <c r="D59" s="2"/>
      <c r="E59" s="2"/>
      <c r="F59" s="2"/>
      <c r="G59" s="2"/>
      <c r="H59" s="2"/>
      <c r="I59" s="2">
        <v>64.213800000000006</v>
      </c>
      <c r="J59" s="2">
        <v>307</v>
      </c>
      <c r="K59" s="2">
        <v>63.758800000000001</v>
      </c>
      <c r="L59" s="2">
        <v>313</v>
      </c>
      <c r="M59" s="2">
        <v>98.075400000000002</v>
      </c>
      <c r="N59" s="2">
        <v>214</v>
      </c>
      <c r="O59" s="2">
        <v>96.6995</v>
      </c>
      <c r="P59" s="2">
        <v>237</v>
      </c>
      <c r="Q59" s="2">
        <v>92.289699999999996</v>
      </c>
      <c r="R59" s="2">
        <v>12</v>
      </c>
      <c r="S59" s="2">
        <v>96.649900000000002</v>
      </c>
      <c r="T59" s="2">
        <v>66</v>
      </c>
      <c r="U59" s="2">
        <v>0.50147399999999998</v>
      </c>
      <c r="V59" s="2">
        <v>153</v>
      </c>
      <c r="W59" s="2">
        <v>2002</v>
      </c>
    </row>
    <row r="60" spans="1:23" ht="12.3" x14ac:dyDescent="0.4">
      <c r="A60" s="2" t="s">
        <v>181</v>
      </c>
      <c r="B60" s="2">
        <v>14</v>
      </c>
      <c r="C60" s="2"/>
      <c r="D60" s="2"/>
      <c r="E60" s="2"/>
      <c r="F60" s="2"/>
      <c r="G60" s="2"/>
      <c r="H60" s="2"/>
      <c r="I60" s="2">
        <v>72.066000000000003</v>
      </c>
      <c r="J60" s="2">
        <v>82</v>
      </c>
      <c r="K60" s="2">
        <v>70.7761</v>
      </c>
      <c r="L60" s="2">
        <v>119</v>
      </c>
      <c r="M60" s="2">
        <v>106.5064</v>
      </c>
      <c r="N60" s="2">
        <v>60</v>
      </c>
      <c r="O60" s="2">
        <v>104.1288</v>
      </c>
      <c r="P60" s="2">
        <v>107</v>
      </c>
      <c r="Q60" s="2">
        <v>103.1195</v>
      </c>
      <c r="R60" s="2">
        <v>216</v>
      </c>
      <c r="S60" s="2">
        <v>104.2136</v>
      </c>
      <c r="T60" s="2">
        <v>234</v>
      </c>
      <c r="U60" s="2">
        <v>0.49765900000000002</v>
      </c>
      <c r="V60" s="2">
        <v>156</v>
      </c>
      <c r="W60" s="2">
        <v>2002</v>
      </c>
    </row>
    <row r="61" spans="1:23" ht="12.3" x14ac:dyDescent="0.4">
      <c r="A61" s="2" t="s">
        <v>196</v>
      </c>
      <c r="B61" s="2">
        <v>16</v>
      </c>
      <c r="C61" s="2"/>
      <c r="D61" s="2"/>
      <c r="E61" s="2"/>
      <c r="F61" s="2"/>
      <c r="G61" s="2"/>
      <c r="H61" s="2"/>
      <c r="I61" s="2">
        <v>68.842500000000001</v>
      </c>
      <c r="J61" s="2">
        <v>196</v>
      </c>
      <c r="K61" s="2">
        <v>67.735900000000001</v>
      </c>
      <c r="L61" s="2">
        <v>231</v>
      </c>
      <c r="M61" s="2">
        <v>98.692999999999998</v>
      </c>
      <c r="N61" s="2">
        <v>201</v>
      </c>
      <c r="O61" s="2">
        <v>98.610200000000006</v>
      </c>
      <c r="P61" s="2">
        <v>207</v>
      </c>
      <c r="Q61" s="2">
        <v>96.368799999999993</v>
      </c>
      <c r="R61" s="2">
        <v>67</v>
      </c>
      <c r="S61" s="2">
        <v>99.688500000000005</v>
      </c>
      <c r="T61" s="2">
        <v>133</v>
      </c>
      <c r="U61" s="2">
        <v>0.468773</v>
      </c>
      <c r="V61" s="2">
        <v>171</v>
      </c>
      <c r="W61" s="2">
        <v>2002</v>
      </c>
    </row>
    <row r="62" spans="1:23" ht="12.3" x14ac:dyDescent="0.4">
      <c r="A62" s="2" t="s">
        <v>203</v>
      </c>
      <c r="B62" s="2">
        <v>16</v>
      </c>
      <c r="C62" s="2"/>
      <c r="D62" s="2"/>
      <c r="E62" s="2"/>
      <c r="F62" s="2"/>
      <c r="G62" s="2"/>
      <c r="H62" s="2"/>
      <c r="I62" s="2">
        <v>65.002499999999998</v>
      </c>
      <c r="J62" s="2">
        <v>292</v>
      </c>
      <c r="K62" s="2">
        <v>65.861199999999997</v>
      </c>
      <c r="L62" s="2">
        <v>286</v>
      </c>
      <c r="M62" s="2">
        <v>102.6611</v>
      </c>
      <c r="N62" s="2">
        <v>127</v>
      </c>
      <c r="O62" s="2">
        <v>99.563400000000001</v>
      </c>
      <c r="P62" s="2">
        <v>189</v>
      </c>
      <c r="Q62" s="2">
        <v>95.619799999999998</v>
      </c>
      <c r="R62" s="2">
        <v>58</v>
      </c>
      <c r="S62" s="2">
        <v>101.1011</v>
      </c>
      <c r="T62" s="2">
        <v>166</v>
      </c>
      <c r="U62" s="2">
        <v>0.45605099999999998</v>
      </c>
      <c r="V62" s="2">
        <v>178</v>
      </c>
      <c r="W62" s="2">
        <v>2002</v>
      </c>
    </row>
    <row r="63" spans="1:23" ht="12.3" x14ac:dyDescent="0.4">
      <c r="A63" s="2" t="s">
        <v>218</v>
      </c>
      <c r="B63" s="2">
        <v>15</v>
      </c>
      <c r="C63" s="2"/>
      <c r="D63" s="2"/>
      <c r="E63" s="2"/>
      <c r="F63" s="2"/>
      <c r="G63" s="2"/>
      <c r="H63" s="2"/>
      <c r="I63" s="2">
        <v>71.235699999999994</v>
      </c>
      <c r="J63" s="2">
        <v>107</v>
      </c>
      <c r="K63" s="2">
        <v>71.244600000000005</v>
      </c>
      <c r="L63" s="2">
        <v>104</v>
      </c>
      <c r="M63" s="2">
        <v>100.2897</v>
      </c>
      <c r="N63" s="2">
        <v>171</v>
      </c>
      <c r="O63" s="2">
        <v>96.866900000000001</v>
      </c>
      <c r="P63" s="2">
        <v>230</v>
      </c>
      <c r="Q63" s="2">
        <v>98.418300000000002</v>
      </c>
      <c r="R63" s="2">
        <v>100</v>
      </c>
      <c r="S63" s="2">
        <v>99.926299999999998</v>
      </c>
      <c r="T63" s="2">
        <v>137</v>
      </c>
      <c r="U63" s="2">
        <v>0.41154200000000002</v>
      </c>
      <c r="V63" s="2">
        <v>193</v>
      </c>
      <c r="W63" s="2">
        <v>2002</v>
      </c>
    </row>
    <row r="64" spans="1:23" ht="12.3" x14ac:dyDescent="0.4">
      <c r="A64" s="2" t="s">
        <v>234</v>
      </c>
      <c r="B64" s="2">
        <v>15</v>
      </c>
      <c r="C64" s="2"/>
      <c r="D64" s="2"/>
      <c r="E64" s="2"/>
      <c r="F64" s="2"/>
      <c r="G64" s="2"/>
      <c r="H64" s="2"/>
      <c r="I64" s="2">
        <v>70.030799999999999</v>
      </c>
      <c r="J64" s="2">
        <v>158</v>
      </c>
      <c r="K64" s="2">
        <v>70.075100000000006</v>
      </c>
      <c r="L64" s="2">
        <v>151</v>
      </c>
      <c r="M64" s="2">
        <v>101.9545</v>
      </c>
      <c r="N64" s="2">
        <v>145</v>
      </c>
      <c r="O64" s="2">
        <v>100.48480000000001</v>
      </c>
      <c r="P64" s="2">
        <v>167</v>
      </c>
      <c r="Q64" s="2">
        <v>105.02760000000001</v>
      </c>
      <c r="R64" s="2">
        <v>252</v>
      </c>
      <c r="S64" s="2">
        <v>104.8021</v>
      </c>
      <c r="T64" s="2">
        <v>245</v>
      </c>
      <c r="U64" s="2">
        <v>0.38135999999999998</v>
      </c>
      <c r="V64" s="2">
        <v>209</v>
      </c>
      <c r="W64" s="2">
        <v>2002</v>
      </c>
    </row>
    <row r="65" spans="1:23" ht="12.3" x14ac:dyDescent="0.4">
      <c r="A65" s="2" t="s">
        <v>240</v>
      </c>
      <c r="B65" s="2">
        <v>16</v>
      </c>
      <c r="C65" s="2"/>
      <c r="D65" s="2"/>
      <c r="E65" s="2"/>
      <c r="F65" s="2"/>
      <c r="G65" s="2"/>
      <c r="H65" s="2"/>
      <c r="I65" s="2">
        <v>68.212800000000001</v>
      </c>
      <c r="J65" s="2">
        <v>222</v>
      </c>
      <c r="K65" s="2">
        <v>67.463899999999995</v>
      </c>
      <c r="L65" s="2">
        <v>239</v>
      </c>
      <c r="M65" s="2">
        <v>100.2384</v>
      </c>
      <c r="N65" s="2">
        <v>175</v>
      </c>
      <c r="O65" s="2">
        <v>95.363200000000006</v>
      </c>
      <c r="P65" s="2">
        <v>257</v>
      </c>
      <c r="Q65" s="2">
        <v>94.658699999999996</v>
      </c>
      <c r="R65" s="2">
        <v>45</v>
      </c>
      <c r="S65" s="2">
        <v>99.975399999999993</v>
      </c>
      <c r="T65" s="2">
        <v>138</v>
      </c>
      <c r="U65" s="2">
        <v>0.36745299999999997</v>
      </c>
      <c r="V65" s="2">
        <v>215</v>
      </c>
      <c r="W65" s="2">
        <v>2002</v>
      </c>
    </row>
    <row r="66" spans="1:23" ht="12.3" x14ac:dyDescent="0.4">
      <c r="A66" s="2" t="s">
        <v>261</v>
      </c>
      <c r="B66" s="2">
        <v>16</v>
      </c>
      <c r="C66" s="2"/>
      <c r="D66" s="2"/>
      <c r="E66" s="2"/>
      <c r="F66" s="2"/>
      <c r="G66" s="2"/>
      <c r="H66" s="2"/>
      <c r="I66" s="2">
        <v>76.066400000000002</v>
      </c>
      <c r="J66" s="2">
        <v>16</v>
      </c>
      <c r="K66" s="2">
        <v>73.850399999999993</v>
      </c>
      <c r="L66" s="2">
        <v>35</v>
      </c>
      <c r="M66" s="2">
        <v>103.4213</v>
      </c>
      <c r="N66" s="2">
        <v>118</v>
      </c>
      <c r="O66" s="2">
        <v>99.866500000000002</v>
      </c>
      <c r="P66" s="2">
        <v>184</v>
      </c>
      <c r="Q66" s="2">
        <v>99.637</v>
      </c>
      <c r="R66" s="2">
        <v>138</v>
      </c>
      <c r="S66" s="2">
        <v>106.45</v>
      </c>
      <c r="T66" s="2">
        <v>263</v>
      </c>
      <c r="U66" s="2">
        <v>0.32427899999999998</v>
      </c>
      <c r="V66" s="2">
        <v>236</v>
      </c>
      <c r="W66" s="2">
        <v>2002</v>
      </c>
    </row>
    <row r="67" spans="1:23" ht="12.3" x14ac:dyDescent="0.4">
      <c r="A67" s="2" t="s">
        <v>45</v>
      </c>
      <c r="B67" s="2">
        <v>1</v>
      </c>
      <c r="C67" s="3" t="s">
        <v>33</v>
      </c>
      <c r="D67" s="3" t="s">
        <v>33</v>
      </c>
      <c r="E67" s="3" t="s">
        <v>33</v>
      </c>
      <c r="F67" s="4"/>
      <c r="G67" s="4"/>
      <c r="H67" s="4"/>
      <c r="I67" s="2">
        <v>69.514499999999998</v>
      </c>
      <c r="J67" s="2">
        <v>128</v>
      </c>
      <c r="K67" s="2">
        <v>69.579700000000003</v>
      </c>
      <c r="L67" s="2">
        <v>115</v>
      </c>
      <c r="M67" s="2">
        <v>111.2842</v>
      </c>
      <c r="N67" s="2">
        <v>15</v>
      </c>
      <c r="O67" s="2">
        <v>114.3086</v>
      </c>
      <c r="P67" s="2">
        <v>11</v>
      </c>
      <c r="Q67" s="2">
        <v>92.321899999999999</v>
      </c>
      <c r="R67" s="2">
        <v>13</v>
      </c>
      <c r="S67" s="2">
        <v>86.814499999999995</v>
      </c>
      <c r="T67" s="2">
        <v>1</v>
      </c>
      <c r="U67" s="2">
        <v>0.95945499999999995</v>
      </c>
      <c r="V67" s="2">
        <v>1</v>
      </c>
      <c r="W67" s="2">
        <v>2003</v>
      </c>
    </row>
    <row r="68" spans="1:23" ht="12.3" x14ac:dyDescent="0.4">
      <c r="A68" s="2" t="s">
        <v>46</v>
      </c>
      <c r="B68" s="2">
        <v>2</v>
      </c>
      <c r="C68" s="3" t="s">
        <v>33</v>
      </c>
      <c r="D68" s="3" t="s">
        <v>33</v>
      </c>
      <c r="E68" s="4"/>
      <c r="F68" s="4"/>
      <c r="G68" s="4"/>
      <c r="H68" s="4"/>
      <c r="I68" s="2">
        <v>68.3767</v>
      </c>
      <c r="J68" s="2">
        <v>175</v>
      </c>
      <c r="K68" s="2">
        <v>66.644499999999994</v>
      </c>
      <c r="L68" s="2">
        <v>251</v>
      </c>
      <c r="M68" s="2">
        <v>109.09099999999999</v>
      </c>
      <c r="N68" s="2">
        <v>31</v>
      </c>
      <c r="O68" s="2">
        <v>111.9746</v>
      </c>
      <c r="P68" s="2">
        <v>17</v>
      </c>
      <c r="Q68" s="2">
        <v>86.375100000000003</v>
      </c>
      <c r="R68" s="2">
        <v>1</v>
      </c>
      <c r="S68" s="2">
        <v>87.020499999999998</v>
      </c>
      <c r="T68" s="2">
        <v>2</v>
      </c>
      <c r="U68" s="2">
        <v>0.94782100000000002</v>
      </c>
      <c r="V68" s="2">
        <v>2</v>
      </c>
      <c r="W68" s="2">
        <v>2003</v>
      </c>
    </row>
    <row r="69" spans="1:23" ht="12.3" x14ac:dyDescent="0.4">
      <c r="A69" s="2" t="s">
        <v>43</v>
      </c>
      <c r="B69" s="2">
        <v>1</v>
      </c>
      <c r="C69" s="3" t="s">
        <v>33</v>
      </c>
      <c r="D69" s="3" t="s">
        <v>33</v>
      </c>
      <c r="E69" s="3" t="s">
        <v>33</v>
      </c>
      <c r="F69" s="4"/>
      <c r="G69" s="4"/>
      <c r="H69" s="4"/>
      <c r="I69" s="2">
        <v>76.209100000000007</v>
      </c>
      <c r="J69" s="2">
        <v>4</v>
      </c>
      <c r="K69" s="2">
        <v>74.597700000000003</v>
      </c>
      <c r="L69" s="2">
        <v>8</v>
      </c>
      <c r="M69" s="2">
        <v>110.9747</v>
      </c>
      <c r="N69" s="2">
        <v>18</v>
      </c>
      <c r="O69" s="2">
        <v>114.4555</v>
      </c>
      <c r="P69" s="2">
        <v>10</v>
      </c>
      <c r="Q69" s="2">
        <v>91.655000000000001</v>
      </c>
      <c r="R69" s="2">
        <v>10</v>
      </c>
      <c r="S69" s="2">
        <v>90.200599999999994</v>
      </c>
      <c r="T69" s="2">
        <v>8</v>
      </c>
      <c r="U69" s="2">
        <v>0.93927400000000005</v>
      </c>
      <c r="V69" s="2">
        <v>3</v>
      </c>
      <c r="W69" s="2">
        <v>2003</v>
      </c>
    </row>
    <row r="70" spans="1:23" ht="12.3" x14ac:dyDescent="0.4">
      <c r="A70" s="2" t="s">
        <v>35</v>
      </c>
      <c r="B70" s="2">
        <v>2</v>
      </c>
      <c r="C70" s="3" t="s">
        <v>33</v>
      </c>
      <c r="D70" s="3" t="s">
        <v>33</v>
      </c>
      <c r="E70" s="3" t="s">
        <v>33</v>
      </c>
      <c r="F70" s="3" t="s">
        <v>33</v>
      </c>
      <c r="G70" s="3" t="s">
        <v>33</v>
      </c>
      <c r="H70" s="4"/>
      <c r="I70" s="2">
        <v>74.107500000000002</v>
      </c>
      <c r="J70" s="2">
        <v>18</v>
      </c>
      <c r="K70" s="2">
        <v>73.725700000000003</v>
      </c>
      <c r="L70" s="2">
        <v>18</v>
      </c>
      <c r="M70" s="2">
        <v>109.8827</v>
      </c>
      <c r="N70" s="2">
        <v>25</v>
      </c>
      <c r="O70" s="2">
        <v>111.73390000000001</v>
      </c>
      <c r="P70" s="2">
        <v>19</v>
      </c>
      <c r="Q70" s="2">
        <v>89.549599999999998</v>
      </c>
      <c r="R70" s="2">
        <v>5</v>
      </c>
      <c r="S70" s="2">
        <v>88.240700000000004</v>
      </c>
      <c r="T70" s="2">
        <v>4</v>
      </c>
      <c r="U70" s="2">
        <v>0.93788300000000002</v>
      </c>
      <c r="V70" s="2">
        <v>4</v>
      </c>
      <c r="W70" s="2">
        <v>2003</v>
      </c>
    </row>
    <row r="71" spans="1:23" ht="12.3" x14ac:dyDescent="0.4">
      <c r="A71" s="2" t="s">
        <v>44</v>
      </c>
      <c r="B71" s="2">
        <v>4</v>
      </c>
      <c r="C71" s="3" t="s">
        <v>33</v>
      </c>
      <c r="D71" s="4"/>
      <c r="E71" s="4"/>
      <c r="F71" s="4"/>
      <c r="G71" s="4"/>
      <c r="H71" s="4"/>
      <c r="I71" s="2">
        <v>68.054199999999994</v>
      </c>
      <c r="J71" s="2">
        <v>189</v>
      </c>
      <c r="K71" s="2">
        <v>69.394599999999997</v>
      </c>
      <c r="L71" s="2">
        <v>121</v>
      </c>
      <c r="M71" s="2">
        <v>110.9676</v>
      </c>
      <c r="N71" s="2">
        <v>19</v>
      </c>
      <c r="O71" s="2">
        <v>112.72629999999999</v>
      </c>
      <c r="P71" s="2">
        <v>14</v>
      </c>
      <c r="Q71" s="2">
        <v>90.301599999999993</v>
      </c>
      <c r="R71" s="2">
        <v>8</v>
      </c>
      <c r="S71" s="2">
        <v>90.325100000000006</v>
      </c>
      <c r="T71" s="2">
        <v>9</v>
      </c>
      <c r="U71" s="2">
        <v>0.92742500000000005</v>
      </c>
      <c r="V71" s="2">
        <v>5</v>
      </c>
      <c r="W71" s="2">
        <v>2003</v>
      </c>
    </row>
    <row r="72" spans="1:23" ht="12.3" x14ac:dyDescent="0.4">
      <c r="A72" s="2" t="s">
        <v>37</v>
      </c>
      <c r="B72" s="2">
        <v>2</v>
      </c>
      <c r="C72" s="4"/>
      <c r="D72" s="4"/>
      <c r="E72" s="4"/>
      <c r="F72" s="4"/>
      <c r="G72" s="4"/>
      <c r="H72" s="4"/>
      <c r="I72" s="2">
        <v>67.366399999999999</v>
      </c>
      <c r="J72" s="2">
        <v>222</v>
      </c>
      <c r="K72" s="2">
        <v>66.9893</v>
      </c>
      <c r="L72" s="2">
        <v>234</v>
      </c>
      <c r="M72" s="2">
        <v>111.3767</v>
      </c>
      <c r="N72" s="2">
        <v>14</v>
      </c>
      <c r="O72" s="2">
        <v>115.8386</v>
      </c>
      <c r="P72" s="2">
        <v>7</v>
      </c>
      <c r="Q72" s="2">
        <v>95.266000000000005</v>
      </c>
      <c r="R72" s="2">
        <v>36</v>
      </c>
      <c r="S72" s="2">
        <v>94.011600000000001</v>
      </c>
      <c r="T72" s="2">
        <v>32</v>
      </c>
      <c r="U72" s="2">
        <v>0.91690199999999999</v>
      </c>
      <c r="V72" s="2">
        <v>6</v>
      </c>
      <c r="W72" s="2">
        <v>2003</v>
      </c>
    </row>
    <row r="73" spans="1:23" ht="12.3" x14ac:dyDescent="0.4">
      <c r="A73" s="2" t="s">
        <v>38</v>
      </c>
      <c r="B73" s="2">
        <v>1</v>
      </c>
      <c r="C73" s="3" t="s">
        <v>33</v>
      </c>
      <c r="D73" s="3" t="s">
        <v>33</v>
      </c>
      <c r="E73" s="3" t="s">
        <v>33</v>
      </c>
      <c r="F73" s="4"/>
      <c r="G73" s="4"/>
      <c r="H73" s="4"/>
      <c r="I73" s="2">
        <v>64.471900000000005</v>
      </c>
      <c r="J73" s="2">
        <v>298</v>
      </c>
      <c r="K73" s="2">
        <v>64.235299999999995</v>
      </c>
      <c r="L73" s="2">
        <v>299</v>
      </c>
      <c r="M73" s="2">
        <v>108.6353</v>
      </c>
      <c r="N73" s="2">
        <v>35</v>
      </c>
      <c r="O73" s="2">
        <v>110.15900000000001</v>
      </c>
      <c r="P73" s="2">
        <v>31</v>
      </c>
      <c r="Q73" s="2">
        <v>92.305599999999998</v>
      </c>
      <c r="R73" s="2">
        <v>12</v>
      </c>
      <c r="S73" s="2">
        <v>89.448300000000003</v>
      </c>
      <c r="T73" s="2">
        <v>7</v>
      </c>
      <c r="U73" s="2">
        <v>0.91644800000000004</v>
      </c>
      <c r="V73" s="2">
        <v>7</v>
      </c>
      <c r="W73" s="2">
        <v>2003</v>
      </c>
    </row>
    <row r="74" spans="1:23" ht="12.3" x14ac:dyDescent="0.4">
      <c r="A74" s="2" t="s">
        <v>67</v>
      </c>
      <c r="B74" s="2">
        <v>1</v>
      </c>
      <c r="C74" s="3" t="s">
        <v>33</v>
      </c>
      <c r="D74" s="3" t="s">
        <v>33</v>
      </c>
      <c r="E74" s="3" t="s">
        <v>33</v>
      </c>
      <c r="F74" s="3" t="s">
        <v>33</v>
      </c>
      <c r="G74" s="4"/>
      <c r="H74" s="4"/>
      <c r="I74" s="2">
        <v>70.590800000000002</v>
      </c>
      <c r="J74" s="2">
        <v>92</v>
      </c>
      <c r="K74" s="2">
        <v>70.774199999999993</v>
      </c>
      <c r="L74" s="2">
        <v>74</v>
      </c>
      <c r="M74" s="2">
        <v>111.2154</v>
      </c>
      <c r="N74" s="2">
        <v>16</v>
      </c>
      <c r="O74" s="2">
        <v>118.7559</v>
      </c>
      <c r="P74" s="2">
        <v>2</v>
      </c>
      <c r="Q74" s="2">
        <v>96.911900000000003</v>
      </c>
      <c r="R74" s="2">
        <v>66</v>
      </c>
      <c r="S74" s="2">
        <v>96.450500000000005</v>
      </c>
      <c r="T74" s="2">
        <v>67</v>
      </c>
      <c r="U74" s="2">
        <v>0.91625100000000004</v>
      </c>
      <c r="V74" s="2">
        <v>8</v>
      </c>
      <c r="W74" s="2">
        <v>2003</v>
      </c>
    </row>
    <row r="75" spans="1:23" ht="12.3" x14ac:dyDescent="0.4">
      <c r="A75" s="2" t="s">
        <v>48</v>
      </c>
      <c r="B75" s="2">
        <v>5</v>
      </c>
      <c r="C75" s="4"/>
      <c r="D75" s="4"/>
      <c r="E75" s="4"/>
      <c r="F75" s="4"/>
      <c r="G75" s="4"/>
      <c r="H75" s="4"/>
      <c r="I75" s="2">
        <v>66.638099999999994</v>
      </c>
      <c r="J75" s="2">
        <v>248</v>
      </c>
      <c r="K75" s="2">
        <v>65.965400000000002</v>
      </c>
      <c r="L75" s="2">
        <v>269</v>
      </c>
      <c r="M75" s="2">
        <v>104.3843</v>
      </c>
      <c r="N75" s="2">
        <v>87</v>
      </c>
      <c r="O75" s="2">
        <v>106.83450000000001</v>
      </c>
      <c r="P75" s="2">
        <v>66</v>
      </c>
      <c r="Q75" s="2">
        <v>90.031499999999994</v>
      </c>
      <c r="R75" s="2">
        <v>7</v>
      </c>
      <c r="S75" s="2">
        <v>87.178200000000004</v>
      </c>
      <c r="T75" s="2">
        <v>3</v>
      </c>
      <c r="U75" s="2">
        <v>0.91199699999999995</v>
      </c>
      <c r="V75" s="2">
        <v>9</v>
      </c>
      <c r="W75" s="2">
        <v>2003</v>
      </c>
    </row>
    <row r="76" spans="1:23" ht="12.3" x14ac:dyDescent="0.4">
      <c r="A76" s="2" t="s">
        <v>32</v>
      </c>
      <c r="B76" s="2">
        <v>3</v>
      </c>
      <c r="C76" s="3" t="s">
        <v>33</v>
      </c>
      <c r="D76" s="3" t="s">
        <v>33</v>
      </c>
      <c r="E76" s="4"/>
      <c r="F76" s="4"/>
      <c r="G76" s="4"/>
      <c r="H76" s="4"/>
      <c r="I76" s="2">
        <v>73.156300000000002</v>
      </c>
      <c r="J76" s="2">
        <v>29</v>
      </c>
      <c r="K76" s="2">
        <v>72.423000000000002</v>
      </c>
      <c r="L76" s="2">
        <v>35</v>
      </c>
      <c r="M76" s="2">
        <v>111.4246</v>
      </c>
      <c r="N76" s="2">
        <v>13</v>
      </c>
      <c r="O76" s="2">
        <v>115.3631</v>
      </c>
      <c r="P76" s="2">
        <v>8</v>
      </c>
      <c r="Q76" s="2">
        <v>95.8249</v>
      </c>
      <c r="R76" s="2">
        <v>44</v>
      </c>
      <c r="S76" s="2">
        <v>94.297600000000003</v>
      </c>
      <c r="T76" s="2">
        <v>40</v>
      </c>
      <c r="U76" s="2">
        <v>0.910416</v>
      </c>
      <c r="V76" s="2">
        <v>10</v>
      </c>
      <c r="W76" s="2">
        <v>2003</v>
      </c>
    </row>
    <row r="77" spans="1:23" ht="12.3" x14ac:dyDescent="0.4">
      <c r="A77" s="2" t="s">
        <v>91</v>
      </c>
      <c r="B77" s="2">
        <v>7</v>
      </c>
      <c r="C77" s="4"/>
      <c r="D77" s="4"/>
      <c r="E77" s="4"/>
      <c r="F77" s="4"/>
      <c r="G77" s="4"/>
      <c r="H77" s="4"/>
      <c r="I77" s="2">
        <v>65.747600000000006</v>
      </c>
      <c r="J77" s="2">
        <v>269</v>
      </c>
      <c r="K77" s="2">
        <v>65.975800000000007</v>
      </c>
      <c r="L77" s="2">
        <v>268</v>
      </c>
      <c r="M77" s="2">
        <v>106.5061</v>
      </c>
      <c r="N77" s="2">
        <v>59</v>
      </c>
      <c r="O77" s="2">
        <v>107.5022</v>
      </c>
      <c r="P77" s="2">
        <v>61</v>
      </c>
      <c r="Q77" s="2">
        <v>89.137900000000002</v>
      </c>
      <c r="R77" s="2">
        <v>3</v>
      </c>
      <c r="S77" s="2">
        <v>88.384699999999995</v>
      </c>
      <c r="T77" s="2">
        <v>5</v>
      </c>
      <c r="U77" s="2">
        <v>0.90481</v>
      </c>
      <c r="V77" s="2">
        <v>11</v>
      </c>
      <c r="W77" s="2">
        <v>2003</v>
      </c>
    </row>
    <row r="78" spans="1:23" ht="12.3" x14ac:dyDescent="0.4">
      <c r="A78" s="2" t="s">
        <v>86</v>
      </c>
      <c r="B78" s="2">
        <v>4</v>
      </c>
      <c r="C78" s="3" t="s">
        <v>33</v>
      </c>
      <c r="D78" s="4"/>
      <c r="E78" s="4"/>
      <c r="F78" s="4"/>
      <c r="G78" s="4"/>
      <c r="H78" s="4"/>
      <c r="I78" s="2">
        <v>72.501900000000006</v>
      </c>
      <c r="J78" s="2">
        <v>38</v>
      </c>
      <c r="K78" s="2">
        <v>73.881299999999996</v>
      </c>
      <c r="L78" s="2">
        <v>14</v>
      </c>
      <c r="M78" s="2">
        <v>112.1353</v>
      </c>
      <c r="N78" s="2">
        <v>8</v>
      </c>
      <c r="O78" s="2">
        <v>114.02370000000001</v>
      </c>
      <c r="P78" s="2">
        <v>12</v>
      </c>
      <c r="Q78" s="2">
        <v>93.547899999999998</v>
      </c>
      <c r="R78" s="2">
        <v>25</v>
      </c>
      <c r="S78" s="2">
        <v>93.829599999999999</v>
      </c>
      <c r="T78" s="2">
        <v>27</v>
      </c>
      <c r="U78" s="2">
        <v>0.90392700000000004</v>
      </c>
      <c r="V78" s="2">
        <v>12</v>
      </c>
      <c r="W78" s="2">
        <v>2003</v>
      </c>
    </row>
    <row r="79" spans="1:23" ht="12.3" x14ac:dyDescent="0.4">
      <c r="A79" s="2" t="s">
        <v>76</v>
      </c>
      <c r="B79" s="2">
        <v>5</v>
      </c>
      <c r="C79" s="3" t="s">
        <v>33</v>
      </c>
      <c r="D79" s="3" t="s">
        <v>33</v>
      </c>
      <c r="E79" s="4"/>
      <c r="F79" s="4"/>
      <c r="G79" s="4"/>
      <c r="H79" s="4"/>
      <c r="I79" s="2">
        <v>63.297400000000003</v>
      </c>
      <c r="J79" s="2">
        <v>309</v>
      </c>
      <c r="K79" s="2">
        <v>63.109099999999998</v>
      </c>
      <c r="L79" s="2">
        <v>311</v>
      </c>
      <c r="M79" s="2">
        <v>111.7649</v>
      </c>
      <c r="N79" s="2">
        <v>11</v>
      </c>
      <c r="O79" s="2">
        <v>111.34869999999999</v>
      </c>
      <c r="P79" s="2">
        <v>21</v>
      </c>
      <c r="Q79" s="2">
        <v>92.648799999999994</v>
      </c>
      <c r="R79" s="2">
        <v>15</v>
      </c>
      <c r="S79" s="2">
        <v>92.183499999999995</v>
      </c>
      <c r="T79" s="2">
        <v>17</v>
      </c>
      <c r="U79" s="2">
        <v>0.89772399999999997</v>
      </c>
      <c r="V79" s="2">
        <v>13</v>
      </c>
      <c r="W79" s="2">
        <v>2003</v>
      </c>
    </row>
    <row r="80" spans="1:23" ht="12.3" x14ac:dyDescent="0.4">
      <c r="A80" s="2" t="s">
        <v>39</v>
      </c>
      <c r="B80" s="2">
        <v>3</v>
      </c>
      <c r="C80" s="3" t="s">
        <v>33</v>
      </c>
      <c r="D80" s="3" t="s">
        <v>33</v>
      </c>
      <c r="E80" s="3" t="s">
        <v>33</v>
      </c>
      <c r="F80" s="3" t="s">
        <v>33</v>
      </c>
      <c r="G80" s="4"/>
      <c r="H80" s="4"/>
      <c r="I80" s="2">
        <v>67.631699999999995</v>
      </c>
      <c r="J80" s="2">
        <v>209</v>
      </c>
      <c r="K80" s="2">
        <v>67.360500000000002</v>
      </c>
      <c r="L80" s="2">
        <v>216</v>
      </c>
      <c r="M80" s="2">
        <v>115.1444</v>
      </c>
      <c r="N80" s="2">
        <v>1</v>
      </c>
      <c r="O80" s="2">
        <v>116.5789</v>
      </c>
      <c r="P80" s="2">
        <v>4</v>
      </c>
      <c r="Q80" s="2">
        <v>99.120699999999999</v>
      </c>
      <c r="R80" s="2">
        <v>123</v>
      </c>
      <c r="S80" s="2">
        <v>97.090199999999996</v>
      </c>
      <c r="T80" s="2">
        <v>79</v>
      </c>
      <c r="U80" s="2">
        <v>0.89126000000000005</v>
      </c>
      <c r="V80" s="2">
        <v>15</v>
      </c>
      <c r="W80" s="2">
        <v>2003</v>
      </c>
    </row>
    <row r="81" spans="1:23" ht="12.3" x14ac:dyDescent="0.4">
      <c r="A81" s="2" t="s">
        <v>50</v>
      </c>
      <c r="B81" s="2">
        <v>3</v>
      </c>
      <c r="C81" s="3" t="s">
        <v>33</v>
      </c>
      <c r="D81" s="4"/>
      <c r="E81" s="4"/>
      <c r="F81" s="4"/>
      <c r="G81" s="4"/>
      <c r="H81" s="4"/>
      <c r="I81" s="2">
        <v>69.360200000000006</v>
      </c>
      <c r="J81" s="2">
        <v>138</v>
      </c>
      <c r="K81" s="2">
        <v>69.961500000000001</v>
      </c>
      <c r="L81" s="2">
        <v>101</v>
      </c>
      <c r="M81" s="2">
        <v>111.5928</v>
      </c>
      <c r="N81" s="2">
        <v>12</v>
      </c>
      <c r="O81" s="2">
        <v>112.706</v>
      </c>
      <c r="P81" s="2">
        <v>15</v>
      </c>
      <c r="Q81" s="2">
        <v>94.373699999999999</v>
      </c>
      <c r="R81" s="2">
        <v>31</v>
      </c>
      <c r="S81" s="2">
        <v>93.960800000000006</v>
      </c>
      <c r="T81" s="2">
        <v>30</v>
      </c>
      <c r="U81" s="2">
        <v>0.89011399999999996</v>
      </c>
      <c r="V81" s="2">
        <v>16</v>
      </c>
      <c r="W81" s="2">
        <v>2003</v>
      </c>
    </row>
    <row r="82" spans="1:23" ht="12.3" x14ac:dyDescent="0.4">
      <c r="A82" s="2" t="s">
        <v>61</v>
      </c>
      <c r="B82" s="2">
        <v>2</v>
      </c>
      <c r="C82" s="4"/>
      <c r="D82" s="4"/>
      <c r="E82" s="4"/>
      <c r="F82" s="4"/>
      <c r="G82" s="4"/>
      <c r="H82" s="4"/>
      <c r="I82" s="2">
        <v>69.4923</v>
      </c>
      <c r="J82" s="2">
        <v>130</v>
      </c>
      <c r="K82" s="2">
        <v>69.061300000000003</v>
      </c>
      <c r="L82" s="2">
        <v>136</v>
      </c>
      <c r="M82" s="2">
        <v>112.00790000000001</v>
      </c>
      <c r="N82" s="2">
        <v>9</v>
      </c>
      <c r="O82" s="2">
        <v>114.48139999999999</v>
      </c>
      <c r="P82" s="2">
        <v>9</v>
      </c>
      <c r="Q82" s="2">
        <v>96.836799999999997</v>
      </c>
      <c r="R82" s="2">
        <v>63</v>
      </c>
      <c r="S82" s="2">
        <v>95.463899999999995</v>
      </c>
      <c r="T82" s="2">
        <v>55</v>
      </c>
      <c r="U82" s="2">
        <v>0.88984300000000005</v>
      </c>
      <c r="V82" s="2">
        <v>17</v>
      </c>
      <c r="W82" s="2">
        <v>2003</v>
      </c>
    </row>
    <row r="83" spans="1:23" ht="12.3" x14ac:dyDescent="0.4">
      <c r="A83" s="2" t="s">
        <v>36</v>
      </c>
      <c r="B83" s="2">
        <v>6</v>
      </c>
      <c r="C83" s="3" t="s">
        <v>33</v>
      </c>
      <c r="D83" s="3" t="s">
        <v>33</v>
      </c>
      <c r="E83" s="4"/>
      <c r="F83" s="4"/>
      <c r="G83" s="4"/>
      <c r="H83" s="4"/>
      <c r="I83" s="2">
        <v>73.813100000000006</v>
      </c>
      <c r="J83" s="2">
        <v>21</v>
      </c>
      <c r="K83" s="2">
        <v>73.730500000000006</v>
      </c>
      <c r="L83" s="2">
        <v>17</v>
      </c>
      <c r="M83" s="2">
        <v>108.3978</v>
      </c>
      <c r="N83" s="2">
        <v>38</v>
      </c>
      <c r="O83" s="2">
        <v>108.5287</v>
      </c>
      <c r="P83" s="2">
        <v>50</v>
      </c>
      <c r="Q83" s="2">
        <v>89.881600000000006</v>
      </c>
      <c r="R83" s="2">
        <v>6</v>
      </c>
      <c r="S83" s="2">
        <v>90.893699999999995</v>
      </c>
      <c r="T83" s="2">
        <v>11</v>
      </c>
      <c r="U83" s="2">
        <v>0.88485400000000003</v>
      </c>
      <c r="V83" s="2">
        <v>18</v>
      </c>
      <c r="W83" s="2">
        <v>2003</v>
      </c>
    </row>
    <row r="84" spans="1:23" ht="12.3" x14ac:dyDescent="0.4">
      <c r="A84" s="2" t="s">
        <v>85</v>
      </c>
      <c r="B84" s="2">
        <v>8</v>
      </c>
      <c r="C84" s="4"/>
      <c r="D84" s="4"/>
      <c r="E84" s="4"/>
      <c r="F84" s="4"/>
      <c r="G84" s="4"/>
      <c r="H84" s="4"/>
      <c r="I84" s="2">
        <v>68.055999999999997</v>
      </c>
      <c r="J84" s="2">
        <v>187</v>
      </c>
      <c r="K84" s="2">
        <v>69.197299999999998</v>
      </c>
      <c r="L84" s="2">
        <v>130</v>
      </c>
      <c r="M84" s="2">
        <v>107.75069999999999</v>
      </c>
      <c r="N84" s="2">
        <v>45</v>
      </c>
      <c r="O84" s="2">
        <v>110.0228</v>
      </c>
      <c r="P84" s="2">
        <v>34</v>
      </c>
      <c r="Q84" s="2">
        <v>92.688100000000006</v>
      </c>
      <c r="R84" s="2">
        <v>16</v>
      </c>
      <c r="S84" s="2">
        <v>92.182400000000001</v>
      </c>
      <c r="T84" s="2">
        <v>16</v>
      </c>
      <c r="U84" s="2">
        <v>0.884378</v>
      </c>
      <c r="V84" s="2">
        <v>19</v>
      </c>
      <c r="W84" s="2">
        <v>2003</v>
      </c>
    </row>
    <row r="85" spans="1:23" ht="12.3" x14ac:dyDescent="0.4">
      <c r="A85" s="2" t="s">
        <v>23</v>
      </c>
      <c r="B85" s="2">
        <v>3</v>
      </c>
      <c r="C85" s="3" t="s">
        <v>33</v>
      </c>
      <c r="D85" s="3" t="s">
        <v>33</v>
      </c>
      <c r="E85" s="3" t="s">
        <v>33</v>
      </c>
      <c r="F85" s="3" t="s">
        <v>33</v>
      </c>
      <c r="G85" s="3" t="s">
        <v>33</v>
      </c>
      <c r="H85" s="3" t="s">
        <v>33</v>
      </c>
      <c r="I85" s="2">
        <v>72.123500000000007</v>
      </c>
      <c r="J85" s="2">
        <v>46</v>
      </c>
      <c r="K85" s="2">
        <v>71.695099999999996</v>
      </c>
      <c r="L85" s="2">
        <v>51</v>
      </c>
      <c r="M85" s="2">
        <v>110.28060000000001</v>
      </c>
      <c r="N85" s="2">
        <v>21</v>
      </c>
      <c r="O85" s="2">
        <v>112.28660000000001</v>
      </c>
      <c r="P85" s="2">
        <v>16</v>
      </c>
      <c r="Q85" s="2">
        <v>96.548900000000003</v>
      </c>
      <c r="R85" s="2">
        <v>56</v>
      </c>
      <c r="S85" s="2">
        <v>94.249899999999997</v>
      </c>
      <c r="T85" s="2">
        <v>38</v>
      </c>
      <c r="U85" s="2">
        <v>0.88222900000000004</v>
      </c>
      <c r="V85" s="2">
        <v>20</v>
      </c>
      <c r="W85" s="2">
        <v>2003</v>
      </c>
    </row>
    <row r="86" spans="1:23" ht="12.3" x14ac:dyDescent="0.4">
      <c r="A86" s="2" t="s">
        <v>71</v>
      </c>
      <c r="B86" s="2">
        <v>7</v>
      </c>
      <c r="C86" s="4"/>
      <c r="D86" s="4"/>
      <c r="E86" s="4"/>
      <c r="F86" s="4"/>
      <c r="G86" s="4"/>
      <c r="H86" s="4"/>
      <c r="I86" s="2">
        <v>70.4773</v>
      </c>
      <c r="J86" s="2">
        <v>93</v>
      </c>
      <c r="K86" s="2">
        <v>69.850200000000001</v>
      </c>
      <c r="L86" s="2">
        <v>107</v>
      </c>
      <c r="M86" s="2">
        <v>105.2705</v>
      </c>
      <c r="N86" s="2">
        <v>76</v>
      </c>
      <c r="O86" s="2">
        <v>110.2239</v>
      </c>
      <c r="P86" s="2">
        <v>28</v>
      </c>
      <c r="Q86" s="2">
        <v>92.9011</v>
      </c>
      <c r="R86" s="2">
        <v>18</v>
      </c>
      <c r="S86" s="2">
        <v>93.083500000000001</v>
      </c>
      <c r="T86" s="2">
        <v>20</v>
      </c>
      <c r="U86" s="2">
        <v>0.87475800000000004</v>
      </c>
      <c r="V86" s="2">
        <v>21</v>
      </c>
      <c r="W86" s="2">
        <v>2003</v>
      </c>
    </row>
    <row r="87" spans="1:23" ht="12.3" x14ac:dyDescent="0.4">
      <c r="A87" s="2" t="s">
        <v>54</v>
      </c>
      <c r="B87" s="2">
        <v>5</v>
      </c>
      <c r="C87" s="3" t="s">
        <v>33</v>
      </c>
      <c r="D87" s="3" t="s">
        <v>33</v>
      </c>
      <c r="E87" s="4"/>
      <c r="F87" s="4"/>
      <c r="G87" s="4"/>
      <c r="H87" s="4"/>
      <c r="I87" s="2">
        <v>73.265600000000006</v>
      </c>
      <c r="J87" s="2">
        <v>28</v>
      </c>
      <c r="K87" s="2">
        <v>72.533100000000005</v>
      </c>
      <c r="L87" s="2">
        <v>32</v>
      </c>
      <c r="M87" s="2">
        <v>108.4406</v>
      </c>
      <c r="N87" s="2">
        <v>37</v>
      </c>
      <c r="O87" s="2">
        <v>110.58799999999999</v>
      </c>
      <c r="P87" s="2">
        <v>23</v>
      </c>
      <c r="Q87" s="2">
        <v>97.175799999999995</v>
      </c>
      <c r="R87" s="2">
        <v>71</v>
      </c>
      <c r="S87" s="2">
        <v>93.6982</v>
      </c>
      <c r="T87" s="2">
        <v>25</v>
      </c>
      <c r="U87" s="2">
        <v>0.87056100000000003</v>
      </c>
      <c r="V87" s="2">
        <v>22</v>
      </c>
      <c r="W87" s="2">
        <v>2003</v>
      </c>
    </row>
    <row r="88" spans="1:23" ht="12.3" x14ac:dyDescent="0.4">
      <c r="A88" s="2" t="s">
        <v>56</v>
      </c>
      <c r="B88" s="2">
        <v>5</v>
      </c>
      <c r="C88" s="3" t="s">
        <v>33</v>
      </c>
      <c r="D88" s="3" t="s">
        <v>33</v>
      </c>
      <c r="E88" s="4"/>
      <c r="F88" s="4"/>
      <c r="G88" s="4"/>
      <c r="H88" s="4"/>
      <c r="I88" s="2">
        <v>71.663899999999998</v>
      </c>
      <c r="J88" s="2">
        <v>57</v>
      </c>
      <c r="K88" s="2">
        <v>70.980099999999993</v>
      </c>
      <c r="L88" s="2">
        <v>67</v>
      </c>
      <c r="M88" s="2">
        <v>110.27509999999999</v>
      </c>
      <c r="N88" s="2">
        <v>22</v>
      </c>
      <c r="O88" s="2">
        <v>116.4151</v>
      </c>
      <c r="P88" s="2">
        <v>6</v>
      </c>
      <c r="Q88" s="2">
        <v>98.0471</v>
      </c>
      <c r="R88" s="2">
        <v>90</v>
      </c>
      <c r="S88" s="2">
        <v>99.286600000000007</v>
      </c>
      <c r="T88" s="2">
        <v>123</v>
      </c>
      <c r="U88" s="2">
        <v>0.861792</v>
      </c>
      <c r="V88" s="2">
        <v>23</v>
      </c>
      <c r="W88" s="2">
        <v>2003</v>
      </c>
    </row>
    <row r="89" spans="1:23" ht="12.3" x14ac:dyDescent="0.4">
      <c r="A89" s="2" t="s">
        <v>58</v>
      </c>
      <c r="B89" s="2">
        <v>7</v>
      </c>
      <c r="C89" s="3" t="s">
        <v>33</v>
      </c>
      <c r="D89" s="3" t="s">
        <v>33</v>
      </c>
      <c r="E89" s="3" t="s">
        <v>33</v>
      </c>
      <c r="F89" s="4"/>
      <c r="G89" s="4"/>
      <c r="H89" s="4"/>
      <c r="I89" s="2">
        <v>65.142200000000003</v>
      </c>
      <c r="J89" s="2">
        <v>287</v>
      </c>
      <c r="K89" s="2">
        <v>64.924599999999998</v>
      </c>
      <c r="L89" s="2">
        <v>286</v>
      </c>
      <c r="M89" s="2">
        <v>102.8617</v>
      </c>
      <c r="N89" s="2">
        <v>126</v>
      </c>
      <c r="O89" s="2">
        <v>106.43559999999999</v>
      </c>
      <c r="P89" s="2">
        <v>72</v>
      </c>
      <c r="Q89" s="2">
        <v>93.251800000000003</v>
      </c>
      <c r="R89" s="2">
        <v>23</v>
      </c>
      <c r="S89" s="2">
        <v>90.8202</v>
      </c>
      <c r="T89" s="2">
        <v>10</v>
      </c>
      <c r="U89" s="2">
        <v>0.86111400000000005</v>
      </c>
      <c r="V89" s="2">
        <v>24</v>
      </c>
      <c r="W89" s="2">
        <v>2003</v>
      </c>
    </row>
    <row r="90" spans="1:23" ht="12.3" x14ac:dyDescent="0.4">
      <c r="A90" s="2" t="s">
        <v>73</v>
      </c>
      <c r="B90" s="2">
        <v>6</v>
      </c>
      <c r="C90" s="3" t="s">
        <v>33</v>
      </c>
      <c r="D90" s="4"/>
      <c r="E90" s="4"/>
      <c r="F90" s="4"/>
      <c r="G90" s="4"/>
      <c r="H90" s="4"/>
      <c r="I90" s="2">
        <v>68.316100000000006</v>
      </c>
      <c r="J90" s="2">
        <v>178</v>
      </c>
      <c r="K90" s="2">
        <v>67.026600000000002</v>
      </c>
      <c r="L90" s="2">
        <v>231</v>
      </c>
      <c r="M90" s="2">
        <v>104.9753</v>
      </c>
      <c r="N90" s="2">
        <v>79</v>
      </c>
      <c r="O90" s="2">
        <v>110.0055</v>
      </c>
      <c r="P90" s="2">
        <v>35</v>
      </c>
      <c r="Q90" s="2">
        <v>97.423299999999998</v>
      </c>
      <c r="R90" s="2">
        <v>75</v>
      </c>
      <c r="S90" s="2">
        <v>94.193600000000004</v>
      </c>
      <c r="T90" s="2">
        <v>37</v>
      </c>
      <c r="U90" s="2">
        <v>0.85625700000000005</v>
      </c>
      <c r="V90" s="2">
        <v>25</v>
      </c>
      <c r="W90" s="2">
        <v>2003</v>
      </c>
    </row>
    <row r="91" spans="1:23" ht="12.3" x14ac:dyDescent="0.4">
      <c r="A91" s="2" t="s">
        <v>96</v>
      </c>
      <c r="B91" s="2">
        <v>12</v>
      </c>
      <c r="C91" s="4"/>
      <c r="D91" s="4"/>
      <c r="E91" s="4"/>
      <c r="F91" s="4"/>
      <c r="G91" s="4"/>
      <c r="H91" s="4"/>
      <c r="I91" s="2">
        <v>65.910300000000007</v>
      </c>
      <c r="J91" s="2">
        <v>266</v>
      </c>
      <c r="K91" s="2">
        <v>66.790999999999997</v>
      </c>
      <c r="L91" s="2">
        <v>244</v>
      </c>
      <c r="M91" s="2">
        <v>109.592</v>
      </c>
      <c r="N91" s="2">
        <v>26</v>
      </c>
      <c r="O91" s="2">
        <v>108.6906</v>
      </c>
      <c r="P91" s="2">
        <v>49</v>
      </c>
      <c r="Q91" s="2">
        <v>95.889200000000002</v>
      </c>
      <c r="R91" s="2">
        <v>48</v>
      </c>
      <c r="S91" s="2">
        <v>93.390299999999996</v>
      </c>
      <c r="T91" s="2">
        <v>21</v>
      </c>
      <c r="U91" s="2">
        <v>0.85129100000000002</v>
      </c>
      <c r="V91" s="2">
        <v>26</v>
      </c>
      <c r="W91" s="2">
        <v>2003</v>
      </c>
    </row>
    <row r="92" spans="1:23" ht="12.3" x14ac:dyDescent="0.4">
      <c r="A92" s="2" t="s">
        <v>72</v>
      </c>
      <c r="B92" s="2">
        <v>6</v>
      </c>
      <c r="C92" s="3" t="s">
        <v>33</v>
      </c>
      <c r="D92" s="4"/>
      <c r="E92" s="4"/>
      <c r="F92" s="4"/>
      <c r="G92" s="4"/>
      <c r="H92" s="4"/>
      <c r="I92" s="2">
        <v>68.029399999999995</v>
      </c>
      <c r="J92" s="2">
        <v>191</v>
      </c>
      <c r="K92" s="2">
        <v>68.106099999999998</v>
      </c>
      <c r="L92" s="2">
        <v>181</v>
      </c>
      <c r="M92" s="2">
        <v>100.47329999999999</v>
      </c>
      <c r="N92" s="2">
        <v>185</v>
      </c>
      <c r="O92" s="2">
        <v>103.41549999999999</v>
      </c>
      <c r="P92" s="2">
        <v>121</v>
      </c>
      <c r="Q92" s="2">
        <v>91.225099999999998</v>
      </c>
      <c r="R92" s="2">
        <v>9</v>
      </c>
      <c r="S92" s="2">
        <v>89.011600000000001</v>
      </c>
      <c r="T92" s="2">
        <v>6</v>
      </c>
      <c r="U92" s="2">
        <v>0.84875299999999998</v>
      </c>
      <c r="V92" s="2">
        <v>27</v>
      </c>
      <c r="W92" s="2">
        <v>2003</v>
      </c>
    </row>
    <row r="93" spans="1:23" ht="12.3" x14ac:dyDescent="0.4">
      <c r="A93" s="2" t="s">
        <v>90</v>
      </c>
      <c r="B93" s="2">
        <v>6</v>
      </c>
      <c r="C93" s="4"/>
      <c r="D93" s="4"/>
      <c r="E93" s="4"/>
      <c r="F93" s="4"/>
      <c r="G93" s="4"/>
      <c r="H93" s="4"/>
      <c r="I93" s="2">
        <v>69.154799999999994</v>
      </c>
      <c r="J93" s="2">
        <v>144</v>
      </c>
      <c r="K93" s="2">
        <v>70.139899999999997</v>
      </c>
      <c r="L93" s="2">
        <v>93</v>
      </c>
      <c r="M93" s="2">
        <v>113.98260000000001</v>
      </c>
      <c r="N93" s="2">
        <v>2</v>
      </c>
      <c r="O93" s="2">
        <v>110.1662</v>
      </c>
      <c r="P93" s="2">
        <v>30</v>
      </c>
      <c r="Q93" s="2">
        <v>92.916300000000007</v>
      </c>
      <c r="R93" s="2">
        <v>19</v>
      </c>
      <c r="S93" s="2">
        <v>95.1464</v>
      </c>
      <c r="T93" s="2">
        <v>49</v>
      </c>
      <c r="U93" s="2">
        <v>0.84364399999999995</v>
      </c>
      <c r="V93" s="2">
        <v>28</v>
      </c>
      <c r="W93" s="2">
        <v>2003</v>
      </c>
    </row>
    <row r="94" spans="1:23" ht="12.3" x14ac:dyDescent="0.4">
      <c r="A94" s="2" t="s">
        <v>99</v>
      </c>
      <c r="B94" s="2">
        <v>10</v>
      </c>
      <c r="C94" s="3" t="s">
        <v>33</v>
      </c>
      <c r="D94" s="4"/>
      <c r="E94" s="4"/>
      <c r="F94" s="4"/>
      <c r="G94" s="4"/>
      <c r="H94" s="4"/>
      <c r="I94" s="2">
        <v>69.594800000000006</v>
      </c>
      <c r="J94" s="2">
        <v>124</v>
      </c>
      <c r="K94" s="2">
        <v>68.538300000000007</v>
      </c>
      <c r="L94" s="2">
        <v>159</v>
      </c>
      <c r="M94" s="2">
        <v>108.2894</v>
      </c>
      <c r="N94" s="2">
        <v>39</v>
      </c>
      <c r="O94" s="2">
        <v>111.0911</v>
      </c>
      <c r="P94" s="2">
        <v>22</v>
      </c>
      <c r="Q94" s="2">
        <v>98.412599999999998</v>
      </c>
      <c r="R94" s="2">
        <v>105</v>
      </c>
      <c r="S94" s="2">
        <v>96.319000000000003</v>
      </c>
      <c r="T94" s="2">
        <v>63</v>
      </c>
      <c r="U94" s="2">
        <v>0.83765400000000001</v>
      </c>
      <c r="V94" s="2">
        <v>29</v>
      </c>
      <c r="W94" s="2">
        <v>2003</v>
      </c>
    </row>
    <row r="95" spans="1:23" ht="12.3" x14ac:dyDescent="0.4">
      <c r="A95" s="2" t="s">
        <v>64</v>
      </c>
      <c r="B95" s="2">
        <v>4</v>
      </c>
      <c r="C95" s="4"/>
      <c r="D95" s="4"/>
      <c r="E95" s="4"/>
      <c r="F95" s="4"/>
      <c r="G95" s="4"/>
      <c r="H95" s="4"/>
      <c r="I95" s="2">
        <v>64.586200000000005</v>
      </c>
      <c r="J95" s="2">
        <v>295</v>
      </c>
      <c r="K95" s="2">
        <v>65.641400000000004</v>
      </c>
      <c r="L95" s="2">
        <v>278</v>
      </c>
      <c r="M95" s="2">
        <v>112.31</v>
      </c>
      <c r="N95" s="2">
        <v>6</v>
      </c>
      <c r="O95" s="2">
        <v>116.4746</v>
      </c>
      <c r="P95" s="2">
        <v>5</v>
      </c>
      <c r="Q95" s="2">
        <v>102.0266</v>
      </c>
      <c r="R95" s="2">
        <v>196</v>
      </c>
      <c r="S95" s="2">
        <v>101.0134</v>
      </c>
      <c r="T95" s="2">
        <v>162</v>
      </c>
      <c r="U95" s="2">
        <v>0.83723899999999996</v>
      </c>
      <c r="V95" s="2">
        <v>30</v>
      </c>
      <c r="W95" s="2">
        <v>2003</v>
      </c>
    </row>
    <row r="96" spans="1:23" ht="12.3" x14ac:dyDescent="0.4">
      <c r="A96" s="2" t="s">
        <v>83</v>
      </c>
      <c r="B96" s="2">
        <v>11</v>
      </c>
      <c r="C96" s="4"/>
      <c r="D96" s="4"/>
      <c r="E96" s="4"/>
      <c r="F96" s="4"/>
      <c r="G96" s="4"/>
      <c r="H96" s="4"/>
      <c r="I96" s="2">
        <v>65.915099999999995</v>
      </c>
      <c r="J96" s="2">
        <v>265</v>
      </c>
      <c r="K96" s="2">
        <v>65.709900000000005</v>
      </c>
      <c r="L96" s="2">
        <v>276</v>
      </c>
      <c r="M96" s="2">
        <v>107.5334</v>
      </c>
      <c r="N96" s="2">
        <v>51</v>
      </c>
      <c r="O96" s="2">
        <v>107.86</v>
      </c>
      <c r="P96" s="2">
        <v>58</v>
      </c>
      <c r="Q96" s="2">
        <v>89.531899999999993</v>
      </c>
      <c r="R96" s="2">
        <v>4</v>
      </c>
      <c r="S96" s="2">
        <v>93.688100000000006</v>
      </c>
      <c r="T96" s="2">
        <v>24</v>
      </c>
      <c r="U96" s="2">
        <v>0.83478300000000005</v>
      </c>
      <c r="V96" s="2">
        <v>31</v>
      </c>
      <c r="W96" s="2">
        <v>2003</v>
      </c>
    </row>
    <row r="97" spans="1:23" ht="12.3" x14ac:dyDescent="0.4">
      <c r="A97" s="2" t="s">
        <v>129</v>
      </c>
      <c r="B97" s="2">
        <v>10</v>
      </c>
      <c r="C97" s="4"/>
      <c r="D97" s="4"/>
      <c r="E97" s="4"/>
      <c r="F97" s="4"/>
      <c r="G97" s="4"/>
      <c r="H97" s="4"/>
      <c r="I97" s="2">
        <v>71.590500000000006</v>
      </c>
      <c r="J97" s="2">
        <v>59</v>
      </c>
      <c r="K97" s="2">
        <v>71.321399999999997</v>
      </c>
      <c r="L97" s="2">
        <v>56</v>
      </c>
      <c r="M97" s="2">
        <v>104.8883</v>
      </c>
      <c r="N97" s="2">
        <v>83</v>
      </c>
      <c r="O97" s="2">
        <v>108.06959999999999</v>
      </c>
      <c r="P97" s="2">
        <v>55</v>
      </c>
      <c r="Q97" s="2">
        <v>97.5822</v>
      </c>
      <c r="R97" s="2">
        <v>83</v>
      </c>
      <c r="S97" s="2">
        <v>94.0989</v>
      </c>
      <c r="T97" s="2">
        <v>35</v>
      </c>
      <c r="U97" s="2">
        <v>0.83088700000000004</v>
      </c>
      <c r="V97" s="2">
        <v>32</v>
      </c>
      <c r="W97" s="2">
        <v>2003</v>
      </c>
    </row>
    <row r="98" spans="1:23" ht="12.3" x14ac:dyDescent="0.4">
      <c r="A98" s="2" t="s">
        <v>52</v>
      </c>
      <c r="B98" s="2">
        <v>4</v>
      </c>
      <c r="C98" s="3" t="s">
        <v>33</v>
      </c>
      <c r="D98" s="4"/>
      <c r="E98" s="4"/>
      <c r="F98" s="4"/>
      <c r="G98" s="4"/>
      <c r="H98" s="4"/>
      <c r="I98" s="2">
        <v>68.466499999999996</v>
      </c>
      <c r="J98" s="2">
        <v>167</v>
      </c>
      <c r="K98" s="2">
        <v>67.139099999999999</v>
      </c>
      <c r="L98" s="2">
        <v>227</v>
      </c>
      <c r="M98" s="2">
        <v>105.0137</v>
      </c>
      <c r="N98" s="2">
        <v>78</v>
      </c>
      <c r="O98" s="2">
        <v>108.5081</v>
      </c>
      <c r="P98" s="2">
        <v>52</v>
      </c>
      <c r="Q98" s="2">
        <v>97.570899999999995</v>
      </c>
      <c r="R98" s="2">
        <v>81</v>
      </c>
      <c r="S98" s="2">
        <v>94.815200000000004</v>
      </c>
      <c r="T98" s="2">
        <v>43</v>
      </c>
      <c r="U98" s="2">
        <v>0.82509999999999994</v>
      </c>
      <c r="V98" s="2">
        <v>33</v>
      </c>
      <c r="W98" s="2">
        <v>2003</v>
      </c>
    </row>
    <row r="99" spans="1:23" ht="12.3" x14ac:dyDescent="0.4">
      <c r="A99" s="2" t="s">
        <v>77</v>
      </c>
      <c r="B99" s="2">
        <v>11</v>
      </c>
      <c r="C99" s="4"/>
      <c r="D99" s="4"/>
      <c r="E99" s="4"/>
      <c r="F99" s="4"/>
      <c r="G99" s="4"/>
      <c r="H99" s="4"/>
      <c r="I99" s="2">
        <v>64.088800000000006</v>
      </c>
      <c r="J99" s="2">
        <v>301</v>
      </c>
      <c r="K99" s="2">
        <v>64.751400000000004</v>
      </c>
      <c r="L99" s="2">
        <v>292</v>
      </c>
      <c r="M99" s="2">
        <v>109.20489999999999</v>
      </c>
      <c r="N99" s="2">
        <v>29</v>
      </c>
      <c r="O99" s="2">
        <v>110.0622</v>
      </c>
      <c r="P99" s="2">
        <v>33</v>
      </c>
      <c r="Q99" s="2">
        <v>92.437200000000004</v>
      </c>
      <c r="R99" s="2">
        <v>14</v>
      </c>
      <c r="S99" s="2">
        <v>96.365399999999994</v>
      </c>
      <c r="T99" s="2">
        <v>65</v>
      </c>
      <c r="U99" s="2">
        <v>0.82176099999999996</v>
      </c>
      <c r="V99" s="2">
        <v>34</v>
      </c>
      <c r="W99" s="2">
        <v>2003</v>
      </c>
    </row>
    <row r="100" spans="1:23" ht="12.3" x14ac:dyDescent="0.4">
      <c r="A100" s="2" t="s">
        <v>34</v>
      </c>
      <c r="B100" s="2">
        <v>8</v>
      </c>
      <c r="C100" s="4"/>
      <c r="D100" s="4"/>
      <c r="E100" s="4"/>
      <c r="F100" s="4"/>
      <c r="G100" s="4"/>
      <c r="H100" s="4"/>
      <c r="I100" s="2">
        <v>67.287899999999993</v>
      </c>
      <c r="J100" s="2">
        <v>229</v>
      </c>
      <c r="K100" s="2">
        <v>68.004900000000006</v>
      </c>
      <c r="L100" s="2">
        <v>184</v>
      </c>
      <c r="M100" s="2">
        <v>100.94670000000001</v>
      </c>
      <c r="N100" s="2">
        <v>171</v>
      </c>
      <c r="O100" s="2">
        <v>103.4997</v>
      </c>
      <c r="P100" s="2">
        <v>119</v>
      </c>
      <c r="Q100" s="2">
        <v>92.833399999999997</v>
      </c>
      <c r="R100" s="2">
        <v>17</v>
      </c>
      <c r="S100" s="2">
        <v>90.991900000000001</v>
      </c>
      <c r="T100" s="2">
        <v>12</v>
      </c>
      <c r="U100" s="2">
        <v>0.814751</v>
      </c>
      <c r="V100" s="2">
        <v>36</v>
      </c>
      <c r="W100" s="2">
        <v>2003</v>
      </c>
    </row>
    <row r="101" spans="1:23" ht="12.3" x14ac:dyDescent="0.4">
      <c r="A101" s="2" t="s">
        <v>47</v>
      </c>
      <c r="B101" s="2">
        <v>9</v>
      </c>
      <c r="C101" s="3" t="s">
        <v>33</v>
      </c>
      <c r="D101" s="4"/>
      <c r="E101" s="4"/>
      <c r="F101" s="4"/>
      <c r="G101" s="4"/>
      <c r="H101" s="4"/>
      <c r="I101" s="2">
        <v>69.401300000000006</v>
      </c>
      <c r="J101" s="2">
        <v>136</v>
      </c>
      <c r="K101" s="2">
        <v>68.961600000000004</v>
      </c>
      <c r="L101" s="2">
        <v>140</v>
      </c>
      <c r="M101" s="2">
        <v>109.46510000000001</v>
      </c>
      <c r="N101" s="2">
        <v>27</v>
      </c>
      <c r="O101" s="2">
        <v>110.2921</v>
      </c>
      <c r="P101" s="2">
        <v>27</v>
      </c>
      <c r="Q101" s="2">
        <v>97.0167</v>
      </c>
      <c r="R101" s="2">
        <v>67</v>
      </c>
      <c r="S101" s="2">
        <v>96.977999999999994</v>
      </c>
      <c r="T101" s="2">
        <v>78</v>
      </c>
      <c r="U101" s="2">
        <v>0.81449099999999997</v>
      </c>
      <c r="V101" s="2">
        <v>37</v>
      </c>
      <c r="W101" s="2">
        <v>2003</v>
      </c>
    </row>
    <row r="102" spans="1:23" ht="12.3" x14ac:dyDescent="0.4">
      <c r="A102" s="2" t="s">
        <v>49</v>
      </c>
      <c r="B102" s="2">
        <v>10</v>
      </c>
      <c r="C102" s="4"/>
      <c r="D102" s="4"/>
      <c r="E102" s="4"/>
      <c r="F102" s="4"/>
      <c r="G102" s="4"/>
      <c r="H102" s="4"/>
      <c r="I102" s="2">
        <v>66.320300000000003</v>
      </c>
      <c r="J102" s="2">
        <v>259</v>
      </c>
      <c r="K102" s="2">
        <v>66.941000000000003</v>
      </c>
      <c r="L102" s="2">
        <v>238</v>
      </c>
      <c r="M102" s="2">
        <v>103.8026</v>
      </c>
      <c r="N102" s="2">
        <v>98</v>
      </c>
      <c r="O102" s="2">
        <v>108.8779</v>
      </c>
      <c r="P102" s="2">
        <v>47</v>
      </c>
      <c r="Q102" s="2">
        <v>98.014099999999999</v>
      </c>
      <c r="R102" s="2">
        <v>88</v>
      </c>
      <c r="S102" s="2">
        <v>95.754499999999993</v>
      </c>
      <c r="T102" s="2">
        <v>60</v>
      </c>
      <c r="U102" s="2">
        <v>0.81412799999999996</v>
      </c>
      <c r="V102" s="2">
        <v>38</v>
      </c>
      <c r="W102" s="2">
        <v>2003</v>
      </c>
    </row>
    <row r="103" spans="1:23" ht="12.3" x14ac:dyDescent="0.4">
      <c r="A103" s="2" t="s">
        <v>70</v>
      </c>
      <c r="B103" s="2">
        <v>9</v>
      </c>
      <c r="C103" s="3" t="s">
        <v>33</v>
      </c>
      <c r="D103" s="4"/>
      <c r="E103" s="4"/>
      <c r="F103" s="4"/>
      <c r="G103" s="4"/>
      <c r="H103" s="4"/>
      <c r="I103" s="2">
        <v>61.730600000000003</v>
      </c>
      <c r="J103" s="2">
        <v>313</v>
      </c>
      <c r="K103" s="2">
        <v>62.944499999999998</v>
      </c>
      <c r="L103" s="2">
        <v>312</v>
      </c>
      <c r="M103" s="2">
        <v>106.8775</v>
      </c>
      <c r="N103" s="2">
        <v>55</v>
      </c>
      <c r="O103" s="2">
        <v>106.27030000000001</v>
      </c>
      <c r="P103" s="2">
        <v>77</v>
      </c>
      <c r="Q103" s="2">
        <v>96.182100000000005</v>
      </c>
      <c r="R103" s="2">
        <v>51</v>
      </c>
      <c r="S103" s="2">
        <v>93.678899999999999</v>
      </c>
      <c r="T103" s="2">
        <v>23</v>
      </c>
      <c r="U103" s="2">
        <v>0.81004399999999999</v>
      </c>
      <c r="V103" s="2">
        <v>39</v>
      </c>
      <c r="W103" s="2">
        <v>2003</v>
      </c>
    </row>
    <row r="104" spans="1:23" ht="12.3" x14ac:dyDescent="0.4">
      <c r="A104" s="2" t="s">
        <v>57</v>
      </c>
      <c r="B104" s="2">
        <v>8</v>
      </c>
      <c r="C104" s="3" t="s">
        <v>33</v>
      </c>
      <c r="D104" s="4"/>
      <c r="E104" s="4"/>
      <c r="F104" s="4"/>
      <c r="G104" s="4"/>
      <c r="H104" s="4"/>
      <c r="I104" s="2">
        <v>69.7273</v>
      </c>
      <c r="J104" s="2">
        <v>117</v>
      </c>
      <c r="K104" s="2">
        <v>67.474400000000003</v>
      </c>
      <c r="L104" s="2">
        <v>209</v>
      </c>
      <c r="M104" s="2">
        <v>105.2679</v>
      </c>
      <c r="N104" s="2">
        <v>77</v>
      </c>
      <c r="O104" s="2">
        <v>108.3908</v>
      </c>
      <c r="P104" s="2">
        <v>54</v>
      </c>
      <c r="Q104" s="2">
        <v>98.657700000000006</v>
      </c>
      <c r="R104" s="2">
        <v>110</v>
      </c>
      <c r="S104" s="2">
        <v>95.563599999999994</v>
      </c>
      <c r="T104" s="2">
        <v>58</v>
      </c>
      <c r="U104" s="2">
        <v>0.80975799999999998</v>
      </c>
      <c r="V104" s="2">
        <v>40</v>
      </c>
      <c r="W104" s="2">
        <v>2003</v>
      </c>
    </row>
    <row r="105" spans="1:23" ht="12.3" x14ac:dyDescent="0.4">
      <c r="A105" s="2" t="s">
        <v>121</v>
      </c>
      <c r="B105" s="2">
        <v>9</v>
      </c>
      <c r="C105" s="3" t="s">
        <v>33</v>
      </c>
      <c r="D105" s="4"/>
      <c r="E105" s="4"/>
      <c r="F105" s="4"/>
      <c r="G105" s="4"/>
      <c r="H105" s="4"/>
      <c r="I105" s="2">
        <v>69.542500000000004</v>
      </c>
      <c r="J105" s="2">
        <v>126</v>
      </c>
      <c r="K105" s="2">
        <v>70.768799999999999</v>
      </c>
      <c r="L105" s="2">
        <v>75</v>
      </c>
      <c r="M105" s="2">
        <v>102.3733</v>
      </c>
      <c r="N105" s="2">
        <v>143</v>
      </c>
      <c r="O105" s="2">
        <v>103.563</v>
      </c>
      <c r="P105" s="2">
        <v>116</v>
      </c>
      <c r="Q105" s="2">
        <v>93.654600000000002</v>
      </c>
      <c r="R105" s="2">
        <v>26</v>
      </c>
      <c r="S105" s="2">
        <v>91.315899999999999</v>
      </c>
      <c r="T105" s="2">
        <v>13</v>
      </c>
      <c r="U105" s="2">
        <v>0.80958799999999997</v>
      </c>
      <c r="V105" s="2">
        <v>41</v>
      </c>
      <c r="W105" s="2">
        <v>2003</v>
      </c>
    </row>
    <row r="106" spans="1:23" ht="12.3" x14ac:dyDescent="0.4">
      <c r="A106" s="2" t="s">
        <v>18</v>
      </c>
      <c r="B106" s="2">
        <v>12</v>
      </c>
      <c r="C106" s="3" t="s">
        <v>33</v>
      </c>
      <c r="D106" s="3" t="s">
        <v>33</v>
      </c>
      <c r="E106" s="4"/>
      <c r="F106" s="4"/>
      <c r="G106" s="4"/>
      <c r="H106" s="4"/>
      <c r="I106" s="2">
        <v>59.628799999999998</v>
      </c>
      <c r="J106" s="2">
        <v>325</v>
      </c>
      <c r="K106" s="2">
        <v>59.948099999999997</v>
      </c>
      <c r="L106" s="2">
        <v>325</v>
      </c>
      <c r="M106" s="2">
        <v>113.6498</v>
      </c>
      <c r="N106" s="2">
        <v>3</v>
      </c>
      <c r="O106" s="2">
        <v>113.1309</v>
      </c>
      <c r="P106" s="2">
        <v>13</v>
      </c>
      <c r="Q106" s="2">
        <v>100.0723</v>
      </c>
      <c r="R106" s="2">
        <v>147</v>
      </c>
      <c r="S106" s="2">
        <v>99.946899999999999</v>
      </c>
      <c r="T106" s="2">
        <v>135</v>
      </c>
      <c r="U106" s="2">
        <v>0.80610899999999996</v>
      </c>
      <c r="V106" s="2">
        <v>42</v>
      </c>
      <c r="W106" s="2">
        <v>2003</v>
      </c>
    </row>
    <row r="107" spans="1:23" ht="12.3" x14ac:dyDescent="0.4">
      <c r="A107" s="2" t="s">
        <v>41</v>
      </c>
      <c r="B107" s="2">
        <v>8</v>
      </c>
      <c r="C107" s="4"/>
      <c r="D107" s="4"/>
      <c r="E107" s="4"/>
      <c r="F107" s="4"/>
      <c r="G107" s="4"/>
      <c r="H107" s="4"/>
      <c r="I107" s="2">
        <v>75.108000000000004</v>
      </c>
      <c r="J107" s="2">
        <v>10</v>
      </c>
      <c r="K107" s="2">
        <v>72.465999999999994</v>
      </c>
      <c r="L107" s="2">
        <v>34</v>
      </c>
      <c r="M107" s="2">
        <v>108.9914</v>
      </c>
      <c r="N107" s="2">
        <v>33</v>
      </c>
      <c r="O107" s="2">
        <v>110.4645</v>
      </c>
      <c r="P107" s="2">
        <v>25</v>
      </c>
      <c r="Q107" s="2">
        <v>98.547200000000004</v>
      </c>
      <c r="R107" s="2">
        <v>107</v>
      </c>
      <c r="S107" s="2">
        <v>97.740700000000004</v>
      </c>
      <c r="T107" s="2">
        <v>88</v>
      </c>
      <c r="U107" s="2">
        <v>0.80334499999999998</v>
      </c>
      <c r="V107" s="2">
        <v>44</v>
      </c>
      <c r="W107" s="2">
        <v>2003</v>
      </c>
    </row>
    <row r="108" spans="1:23" ht="12.3" x14ac:dyDescent="0.4">
      <c r="A108" s="2" t="s">
        <v>40</v>
      </c>
      <c r="B108" s="2">
        <v>7</v>
      </c>
      <c r="C108" s="3" t="s">
        <v>33</v>
      </c>
      <c r="D108" s="4"/>
      <c r="E108" s="4"/>
      <c r="F108" s="4"/>
      <c r="G108" s="4"/>
      <c r="H108" s="4"/>
      <c r="I108" s="2">
        <v>65.566999999999993</v>
      </c>
      <c r="J108" s="2">
        <v>276</v>
      </c>
      <c r="K108" s="2">
        <v>64.948499999999996</v>
      </c>
      <c r="L108" s="2">
        <v>285</v>
      </c>
      <c r="M108" s="2">
        <v>106.4645</v>
      </c>
      <c r="N108" s="2">
        <v>60</v>
      </c>
      <c r="O108" s="2">
        <v>111.5878</v>
      </c>
      <c r="P108" s="2">
        <v>20</v>
      </c>
      <c r="Q108" s="2">
        <v>101.4773</v>
      </c>
      <c r="R108" s="2">
        <v>183</v>
      </c>
      <c r="S108" s="2">
        <v>98.9495</v>
      </c>
      <c r="T108" s="2">
        <v>118</v>
      </c>
      <c r="U108" s="2">
        <v>0.79936399999999996</v>
      </c>
      <c r="V108" s="2">
        <v>45</v>
      </c>
      <c r="W108" s="2">
        <v>2003</v>
      </c>
    </row>
    <row r="109" spans="1:23" ht="12.3" x14ac:dyDescent="0.4">
      <c r="A109" s="2" t="s">
        <v>122</v>
      </c>
      <c r="B109" s="2">
        <v>12</v>
      </c>
      <c r="C109" s="4"/>
      <c r="D109" s="4"/>
      <c r="E109" s="4"/>
      <c r="F109" s="4"/>
      <c r="G109" s="4"/>
      <c r="H109" s="4"/>
      <c r="I109" s="2">
        <v>71.342100000000002</v>
      </c>
      <c r="J109" s="2">
        <v>62</v>
      </c>
      <c r="K109" s="2">
        <v>73.054500000000004</v>
      </c>
      <c r="L109" s="2">
        <v>22</v>
      </c>
      <c r="M109" s="2">
        <v>108.09229999999999</v>
      </c>
      <c r="N109" s="2">
        <v>43</v>
      </c>
      <c r="O109" s="2">
        <v>107.3201</v>
      </c>
      <c r="P109" s="2">
        <v>63</v>
      </c>
      <c r="Q109" s="2">
        <v>97.882599999999996</v>
      </c>
      <c r="R109" s="2">
        <v>86</v>
      </c>
      <c r="S109" s="2">
        <v>95.573700000000002</v>
      </c>
      <c r="T109" s="2">
        <v>59</v>
      </c>
      <c r="U109" s="2">
        <v>0.79134599999999999</v>
      </c>
      <c r="V109" s="2">
        <v>48</v>
      </c>
      <c r="W109" s="2">
        <v>2003</v>
      </c>
    </row>
    <row r="110" spans="1:23" ht="12.3" x14ac:dyDescent="0.4">
      <c r="A110" s="2" t="s">
        <v>55</v>
      </c>
      <c r="B110" s="2">
        <v>9</v>
      </c>
      <c r="C110" s="4"/>
      <c r="D110" s="4"/>
      <c r="E110" s="4"/>
      <c r="F110" s="4"/>
      <c r="G110" s="4"/>
      <c r="H110" s="4"/>
      <c r="I110" s="2">
        <v>66.994</v>
      </c>
      <c r="J110" s="2">
        <v>237</v>
      </c>
      <c r="K110" s="2">
        <v>66.267600000000002</v>
      </c>
      <c r="L110" s="2">
        <v>265</v>
      </c>
      <c r="M110" s="2">
        <v>107.5849</v>
      </c>
      <c r="N110" s="2">
        <v>50</v>
      </c>
      <c r="O110" s="2">
        <v>110.1397</v>
      </c>
      <c r="P110" s="2">
        <v>32</v>
      </c>
      <c r="Q110" s="2">
        <v>101.09990000000001</v>
      </c>
      <c r="R110" s="2">
        <v>171</v>
      </c>
      <c r="S110" s="2">
        <v>98.209400000000002</v>
      </c>
      <c r="T110" s="2">
        <v>100</v>
      </c>
      <c r="U110" s="2">
        <v>0.78892399999999996</v>
      </c>
      <c r="V110" s="2">
        <v>49</v>
      </c>
      <c r="W110" s="2">
        <v>2003</v>
      </c>
    </row>
    <row r="111" spans="1:23" ht="12.3" x14ac:dyDescent="0.4">
      <c r="A111" s="2" t="s">
        <v>68</v>
      </c>
      <c r="B111" s="2">
        <v>13</v>
      </c>
      <c r="C111" s="4"/>
      <c r="D111" s="4"/>
      <c r="E111" s="4"/>
      <c r="F111" s="4"/>
      <c r="G111" s="4"/>
      <c r="H111" s="4"/>
      <c r="I111" s="2">
        <v>68.515500000000003</v>
      </c>
      <c r="J111" s="2">
        <v>165</v>
      </c>
      <c r="K111" s="2">
        <v>69.1952</v>
      </c>
      <c r="L111" s="2">
        <v>132</v>
      </c>
      <c r="M111" s="2">
        <v>106.211</v>
      </c>
      <c r="N111" s="2">
        <v>63</v>
      </c>
      <c r="O111" s="2">
        <v>106.6789</v>
      </c>
      <c r="P111" s="2">
        <v>67</v>
      </c>
      <c r="Q111" s="2">
        <v>95.870400000000004</v>
      </c>
      <c r="R111" s="2">
        <v>47</v>
      </c>
      <c r="S111" s="2">
        <v>95.462999999999994</v>
      </c>
      <c r="T111" s="2">
        <v>54</v>
      </c>
      <c r="U111" s="2">
        <v>0.78201900000000002</v>
      </c>
      <c r="V111" s="2">
        <v>51</v>
      </c>
      <c r="W111" s="2">
        <v>2003</v>
      </c>
    </row>
    <row r="112" spans="1:23" ht="12.3" x14ac:dyDescent="0.4">
      <c r="A112" s="2" t="s">
        <v>113</v>
      </c>
      <c r="B112" s="2">
        <v>10</v>
      </c>
      <c r="C112" s="3" t="s">
        <v>33</v>
      </c>
      <c r="D112" s="4"/>
      <c r="E112" s="4"/>
      <c r="F112" s="4"/>
      <c r="G112" s="4"/>
      <c r="H112" s="4"/>
      <c r="I112" s="2">
        <v>68.055000000000007</v>
      </c>
      <c r="J112" s="2">
        <v>188</v>
      </c>
      <c r="K112" s="2">
        <v>68.1404</v>
      </c>
      <c r="L112" s="2">
        <v>180</v>
      </c>
      <c r="M112" s="2">
        <v>102.5367</v>
      </c>
      <c r="N112" s="2">
        <v>136</v>
      </c>
      <c r="O112" s="2">
        <v>104.4508</v>
      </c>
      <c r="P112" s="2">
        <v>102</v>
      </c>
      <c r="Q112" s="2">
        <v>96.688500000000005</v>
      </c>
      <c r="R112" s="2">
        <v>59</v>
      </c>
      <c r="S112" s="2">
        <v>93.779799999999994</v>
      </c>
      <c r="T112" s="2">
        <v>26</v>
      </c>
      <c r="U112" s="2">
        <v>0.77544599999999997</v>
      </c>
      <c r="V112" s="2">
        <v>52</v>
      </c>
      <c r="W112" s="2">
        <v>2003</v>
      </c>
    </row>
    <row r="113" spans="1:23" ht="12.3" x14ac:dyDescent="0.4">
      <c r="A113" s="2" t="s">
        <v>82</v>
      </c>
      <c r="B113" s="2">
        <v>11</v>
      </c>
      <c r="C113" s="4"/>
      <c r="D113" s="4"/>
      <c r="E113" s="4"/>
      <c r="F113" s="4"/>
      <c r="G113" s="4"/>
      <c r="H113" s="4"/>
      <c r="I113" s="2">
        <v>67.913899999999998</v>
      </c>
      <c r="J113" s="2">
        <v>195</v>
      </c>
      <c r="K113" s="2">
        <v>68.507099999999994</v>
      </c>
      <c r="L113" s="2">
        <v>161</v>
      </c>
      <c r="M113" s="2">
        <v>109.01</v>
      </c>
      <c r="N113" s="2">
        <v>32</v>
      </c>
      <c r="O113" s="2">
        <v>109.44240000000001</v>
      </c>
      <c r="P113" s="2">
        <v>39</v>
      </c>
      <c r="Q113" s="2">
        <v>99.468000000000004</v>
      </c>
      <c r="R113" s="2">
        <v>134</v>
      </c>
      <c r="S113" s="2">
        <v>98.739400000000003</v>
      </c>
      <c r="T113" s="2">
        <v>112</v>
      </c>
      <c r="U113" s="2">
        <v>0.76557900000000001</v>
      </c>
      <c r="V113" s="2">
        <v>54</v>
      </c>
      <c r="W113" s="2">
        <v>2003</v>
      </c>
    </row>
    <row r="114" spans="1:23" ht="12.3" x14ac:dyDescent="0.4">
      <c r="A114" s="2" t="s">
        <v>178</v>
      </c>
      <c r="B114" s="2">
        <v>14</v>
      </c>
      <c r="C114" s="4"/>
      <c r="D114" s="4"/>
      <c r="E114" s="4"/>
      <c r="F114" s="4"/>
      <c r="G114" s="4"/>
      <c r="H114" s="4"/>
      <c r="I114" s="2">
        <v>65.596100000000007</v>
      </c>
      <c r="J114" s="2">
        <v>275</v>
      </c>
      <c r="K114" s="2">
        <v>66.593900000000005</v>
      </c>
      <c r="L114" s="2">
        <v>253</v>
      </c>
      <c r="M114" s="2">
        <v>105.81529999999999</v>
      </c>
      <c r="N114" s="2">
        <v>74</v>
      </c>
      <c r="O114" s="2">
        <v>104.47750000000001</v>
      </c>
      <c r="P114" s="2">
        <v>100</v>
      </c>
      <c r="Q114" s="2">
        <v>88.366500000000002</v>
      </c>
      <c r="R114" s="2">
        <v>2</v>
      </c>
      <c r="S114" s="2">
        <v>94.290999999999997</v>
      </c>
      <c r="T114" s="2">
        <v>39</v>
      </c>
      <c r="U114" s="2">
        <v>0.76490100000000005</v>
      </c>
      <c r="V114" s="2">
        <v>55</v>
      </c>
      <c r="W114" s="2">
        <v>2003</v>
      </c>
    </row>
    <row r="115" spans="1:23" ht="12.3" x14ac:dyDescent="0.4">
      <c r="A115" s="2" t="s">
        <v>139</v>
      </c>
      <c r="B115" s="2">
        <v>14</v>
      </c>
      <c r="C115" s="4"/>
      <c r="D115" s="4"/>
      <c r="E115" s="4"/>
      <c r="F115" s="4"/>
      <c r="G115" s="4"/>
      <c r="H115" s="4"/>
      <c r="I115" s="2">
        <v>70.603399999999993</v>
      </c>
      <c r="J115" s="2">
        <v>91</v>
      </c>
      <c r="K115" s="2">
        <v>69.676299999999998</v>
      </c>
      <c r="L115" s="2">
        <v>112</v>
      </c>
      <c r="M115" s="2">
        <v>106.18770000000001</v>
      </c>
      <c r="N115" s="2">
        <v>64</v>
      </c>
      <c r="O115" s="2">
        <v>104.31270000000001</v>
      </c>
      <c r="P115" s="2">
        <v>103</v>
      </c>
      <c r="Q115" s="2">
        <v>93.9559</v>
      </c>
      <c r="R115" s="2">
        <v>28</v>
      </c>
      <c r="S115" s="2">
        <v>94.180499999999995</v>
      </c>
      <c r="T115" s="2">
        <v>36</v>
      </c>
      <c r="U115" s="2">
        <v>0.76405999999999996</v>
      </c>
      <c r="V115" s="2">
        <v>57</v>
      </c>
      <c r="W115" s="2">
        <v>2003</v>
      </c>
    </row>
    <row r="116" spans="1:23" ht="12.3" x14ac:dyDescent="0.4">
      <c r="A116" s="2" t="s">
        <v>235</v>
      </c>
      <c r="B116" s="2">
        <v>11</v>
      </c>
      <c r="C116" s="3" t="s">
        <v>33</v>
      </c>
      <c r="D116" s="4"/>
      <c r="E116" s="4"/>
      <c r="F116" s="4"/>
      <c r="G116" s="4"/>
      <c r="H116" s="4"/>
      <c r="I116" s="2">
        <v>72.531499999999994</v>
      </c>
      <c r="J116" s="2">
        <v>37</v>
      </c>
      <c r="K116" s="2">
        <v>72.930400000000006</v>
      </c>
      <c r="L116" s="2">
        <v>25</v>
      </c>
      <c r="M116" s="2">
        <v>109.179</v>
      </c>
      <c r="N116" s="2">
        <v>30</v>
      </c>
      <c r="O116" s="2">
        <v>109.02849999999999</v>
      </c>
      <c r="P116" s="2">
        <v>44</v>
      </c>
      <c r="Q116" s="2">
        <v>100.8597</v>
      </c>
      <c r="R116" s="2">
        <v>167</v>
      </c>
      <c r="S116" s="2">
        <v>98.700900000000004</v>
      </c>
      <c r="T116" s="2">
        <v>109</v>
      </c>
      <c r="U116" s="2">
        <v>0.75849</v>
      </c>
      <c r="V116" s="2">
        <v>61</v>
      </c>
      <c r="W116" s="2">
        <v>2003</v>
      </c>
    </row>
    <row r="117" spans="1:23" ht="12.3" x14ac:dyDescent="0.4">
      <c r="A117" s="2" t="s">
        <v>69</v>
      </c>
      <c r="B117" s="2">
        <v>13</v>
      </c>
      <c r="C117" s="3" t="s">
        <v>33</v>
      </c>
      <c r="D117" s="4"/>
      <c r="E117" s="4"/>
      <c r="F117" s="4"/>
      <c r="G117" s="4"/>
      <c r="H117" s="4"/>
      <c r="I117" s="2">
        <v>69.045400000000001</v>
      </c>
      <c r="J117" s="2">
        <v>146</v>
      </c>
      <c r="K117" s="2">
        <v>68.783199999999994</v>
      </c>
      <c r="L117" s="2">
        <v>149</v>
      </c>
      <c r="M117" s="2">
        <v>105.9083</v>
      </c>
      <c r="N117" s="2">
        <v>73</v>
      </c>
      <c r="O117" s="2">
        <v>105.1844</v>
      </c>
      <c r="P117" s="2">
        <v>89</v>
      </c>
      <c r="Q117" s="2">
        <v>93.8703</v>
      </c>
      <c r="R117" s="2">
        <v>27</v>
      </c>
      <c r="S117" s="2">
        <v>95.343000000000004</v>
      </c>
      <c r="T117" s="2">
        <v>52</v>
      </c>
      <c r="U117" s="2">
        <v>0.75578100000000004</v>
      </c>
      <c r="V117" s="2">
        <v>62</v>
      </c>
      <c r="W117" s="2">
        <v>2003</v>
      </c>
    </row>
    <row r="118" spans="1:23" ht="12.3" x14ac:dyDescent="0.4">
      <c r="A118" s="2" t="s">
        <v>133</v>
      </c>
      <c r="B118" s="2">
        <v>13</v>
      </c>
      <c r="C118" s="4"/>
      <c r="D118" s="4"/>
      <c r="E118" s="4"/>
      <c r="F118" s="4"/>
      <c r="G118" s="4"/>
      <c r="H118" s="4"/>
      <c r="I118" s="2">
        <v>72.302700000000002</v>
      </c>
      <c r="J118" s="2">
        <v>42</v>
      </c>
      <c r="K118" s="2">
        <v>72.1541</v>
      </c>
      <c r="L118" s="2">
        <v>42</v>
      </c>
      <c r="M118" s="2">
        <v>102.5277</v>
      </c>
      <c r="N118" s="2">
        <v>137</v>
      </c>
      <c r="O118" s="2">
        <v>103.9853</v>
      </c>
      <c r="P118" s="2">
        <v>111</v>
      </c>
      <c r="Q118" s="2">
        <v>98.216399999999993</v>
      </c>
      <c r="R118" s="2">
        <v>95</v>
      </c>
      <c r="S118" s="2">
        <v>95.801699999999997</v>
      </c>
      <c r="T118" s="2">
        <v>61</v>
      </c>
      <c r="U118" s="2">
        <v>0.71963600000000005</v>
      </c>
      <c r="V118" s="2">
        <v>74</v>
      </c>
      <c r="W118" s="2">
        <v>2003</v>
      </c>
    </row>
    <row r="119" spans="1:23" ht="12.3" x14ac:dyDescent="0.4">
      <c r="A119" s="2" t="s">
        <v>170</v>
      </c>
      <c r="B119" s="2">
        <v>12</v>
      </c>
      <c r="C119" s="4"/>
      <c r="D119" s="4"/>
      <c r="E119" s="4"/>
      <c r="F119" s="4"/>
      <c r="G119" s="4"/>
      <c r="H119" s="4"/>
      <c r="I119" s="2">
        <v>67.527199999999993</v>
      </c>
      <c r="J119" s="2">
        <v>215</v>
      </c>
      <c r="K119" s="2">
        <v>67.371200000000002</v>
      </c>
      <c r="L119" s="2">
        <v>214</v>
      </c>
      <c r="M119" s="2">
        <v>110.25620000000001</v>
      </c>
      <c r="N119" s="2">
        <v>23</v>
      </c>
      <c r="O119" s="2">
        <v>109.3373</v>
      </c>
      <c r="P119" s="2">
        <v>41</v>
      </c>
      <c r="Q119" s="2">
        <v>99.803899999999999</v>
      </c>
      <c r="R119" s="2">
        <v>140</v>
      </c>
      <c r="S119" s="2">
        <v>100.9898</v>
      </c>
      <c r="T119" s="2">
        <v>161</v>
      </c>
      <c r="U119" s="2">
        <v>0.71367700000000001</v>
      </c>
      <c r="V119" s="2">
        <v>75</v>
      </c>
      <c r="W119" s="2">
        <v>2003</v>
      </c>
    </row>
    <row r="120" spans="1:23" ht="12.3" x14ac:dyDescent="0.4">
      <c r="A120" s="2" t="s">
        <v>180</v>
      </c>
      <c r="B120" s="2">
        <v>14</v>
      </c>
      <c r="C120" s="4"/>
      <c r="D120" s="4"/>
      <c r="E120" s="4"/>
      <c r="F120" s="4"/>
      <c r="G120" s="4"/>
      <c r="H120" s="4"/>
      <c r="I120" s="2">
        <v>73.087900000000005</v>
      </c>
      <c r="J120" s="2">
        <v>30</v>
      </c>
      <c r="K120" s="2">
        <v>72.262100000000004</v>
      </c>
      <c r="L120" s="2">
        <v>39</v>
      </c>
      <c r="M120" s="2">
        <v>108.5205</v>
      </c>
      <c r="N120" s="2">
        <v>36</v>
      </c>
      <c r="O120" s="2">
        <v>106.42619999999999</v>
      </c>
      <c r="P120" s="2">
        <v>73</v>
      </c>
      <c r="Q120" s="2">
        <v>96.7911</v>
      </c>
      <c r="R120" s="2">
        <v>61</v>
      </c>
      <c r="S120" s="2">
        <v>99.775199999999998</v>
      </c>
      <c r="T120" s="2">
        <v>131</v>
      </c>
      <c r="U120" s="2">
        <v>0.677458</v>
      </c>
      <c r="V120" s="2">
        <v>88</v>
      </c>
      <c r="W120" s="2">
        <v>2003</v>
      </c>
    </row>
    <row r="121" spans="1:23" ht="12.3" x14ac:dyDescent="0.4">
      <c r="A121" s="2" t="s">
        <v>157</v>
      </c>
      <c r="B121" s="2">
        <v>14</v>
      </c>
      <c r="C121" s="4"/>
      <c r="D121" s="4"/>
      <c r="E121" s="4"/>
      <c r="F121" s="4"/>
      <c r="G121" s="4"/>
      <c r="H121" s="4"/>
      <c r="I121" s="2">
        <v>68.406499999999994</v>
      </c>
      <c r="J121" s="2">
        <v>172</v>
      </c>
      <c r="K121" s="2">
        <v>68.403700000000001</v>
      </c>
      <c r="L121" s="2">
        <v>168</v>
      </c>
      <c r="M121" s="2">
        <v>107.6463</v>
      </c>
      <c r="N121" s="2">
        <v>49</v>
      </c>
      <c r="O121" s="2">
        <v>110.18</v>
      </c>
      <c r="P121" s="2">
        <v>29</v>
      </c>
      <c r="Q121" s="2">
        <v>106.2933</v>
      </c>
      <c r="R121" s="2">
        <v>270</v>
      </c>
      <c r="S121" s="2">
        <v>104.26900000000001</v>
      </c>
      <c r="T121" s="2">
        <v>224</v>
      </c>
      <c r="U121" s="2">
        <v>0.653424</v>
      </c>
      <c r="V121" s="2">
        <v>93</v>
      </c>
      <c r="W121" s="2">
        <v>2003</v>
      </c>
    </row>
    <row r="122" spans="1:23" ht="12.3" x14ac:dyDescent="0.4">
      <c r="A122" s="2" t="s">
        <v>98</v>
      </c>
      <c r="B122" s="2">
        <v>15</v>
      </c>
      <c r="C122" s="4"/>
      <c r="D122" s="4"/>
      <c r="E122" s="4"/>
      <c r="F122" s="4"/>
      <c r="G122" s="4"/>
      <c r="H122" s="4"/>
      <c r="I122" s="2">
        <v>60.845599999999997</v>
      </c>
      <c r="J122" s="2">
        <v>318</v>
      </c>
      <c r="K122" s="2">
        <v>62.792400000000001</v>
      </c>
      <c r="L122" s="2">
        <v>314</v>
      </c>
      <c r="M122" s="2">
        <v>107.502</v>
      </c>
      <c r="N122" s="2">
        <v>52</v>
      </c>
      <c r="O122" s="2">
        <v>105.03060000000001</v>
      </c>
      <c r="P122" s="2">
        <v>93</v>
      </c>
      <c r="Q122" s="2">
        <v>97.937200000000004</v>
      </c>
      <c r="R122" s="2">
        <v>87</v>
      </c>
      <c r="S122" s="2">
        <v>99.805099999999996</v>
      </c>
      <c r="T122" s="2">
        <v>133</v>
      </c>
      <c r="U122" s="2">
        <v>0.64264600000000005</v>
      </c>
      <c r="V122" s="2">
        <v>101</v>
      </c>
      <c r="W122" s="2">
        <v>2003</v>
      </c>
    </row>
    <row r="123" spans="1:23" ht="12.3" x14ac:dyDescent="0.4">
      <c r="A123" s="2" t="s">
        <v>227</v>
      </c>
      <c r="B123" s="2">
        <v>13</v>
      </c>
      <c r="C123" s="4"/>
      <c r="D123" s="4"/>
      <c r="E123" s="4"/>
      <c r="F123" s="4"/>
      <c r="G123" s="4"/>
      <c r="H123" s="4"/>
      <c r="I123" s="2">
        <v>66.8506</v>
      </c>
      <c r="J123" s="2">
        <v>240</v>
      </c>
      <c r="K123" s="2">
        <v>65.137100000000004</v>
      </c>
      <c r="L123" s="2">
        <v>284</v>
      </c>
      <c r="M123" s="2">
        <v>102.5179</v>
      </c>
      <c r="N123" s="2">
        <v>138</v>
      </c>
      <c r="O123" s="2">
        <v>100.3818</v>
      </c>
      <c r="P123" s="2">
        <v>183</v>
      </c>
      <c r="Q123" s="2">
        <v>99.249300000000005</v>
      </c>
      <c r="R123" s="2">
        <v>127</v>
      </c>
      <c r="S123" s="2">
        <v>97.145399999999995</v>
      </c>
      <c r="T123" s="2">
        <v>80</v>
      </c>
      <c r="U123" s="2">
        <v>0.59311999999999998</v>
      </c>
      <c r="V123" s="2">
        <v>121</v>
      </c>
      <c r="W123" s="2">
        <v>2003</v>
      </c>
    </row>
    <row r="124" spans="1:23" ht="12.3" x14ac:dyDescent="0.4">
      <c r="A124" s="2" t="s">
        <v>225</v>
      </c>
      <c r="B124" s="2">
        <v>15</v>
      </c>
      <c r="C124" s="4"/>
      <c r="D124" s="4"/>
      <c r="E124" s="4"/>
      <c r="F124" s="4"/>
      <c r="G124" s="4"/>
      <c r="H124" s="4"/>
      <c r="I124" s="2">
        <v>68.815799999999996</v>
      </c>
      <c r="J124" s="2">
        <v>151</v>
      </c>
      <c r="K124" s="2">
        <v>68.328199999999995</v>
      </c>
      <c r="L124" s="2">
        <v>171</v>
      </c>
      <c r="M124" s="2">
        <v>103.2051</v>
      </c>
      <c r="N124" s="2">
        <v>118</v>
      </c>
      <c r="O124" s="2">
        <v>101.04640000000001</v>
      </c>
      <c r="P124" s="2">
        <v>171</v>
      </c>
      <c r="Q124" s="2">
        <v>93.522900000000007</v>
      </c>
      <c r="R124" s="2">
        <v>24</v>
      </c>
      <c r="S124" s="2">
        <v>98.897999999999996</v>
      </c>
      <c r="T124" s="2">
        <v>117</v>
      </c>
      <c r="U124" s="2">
        <v>0.56147199999999997</v>
      </c>
      <c r="V124" s="2">
        <v>138</v>
      </c>
      <c r="W124" s="2">
        <v>2003</v>
      </c>
    </row>
    <row r="125" spans="1:23" ht="12.3" x14ac:dyDescent="0.4">
      <c r="A125" s="2" t="s">
        <v>220</v>
      </c>
      <c r="B125" s="2">
        <v>16</v>
      </c>
      <c r="C125" s="4"/>
      <c r="D125" s="4"/>
      <c r="E125" s="4"/>
      <c r="F125" s="4"/>
      <c r="G125" s="4"/>
      <c r="H125" s="4"/>
      <c r="I125" s="2">
        <v>65.365899999999996</v>
      </c>
      <c r="J125" s="2">
        <v>281</v>
      </c>
      <c r="K125" s="2">
        <v>65.646699999999996</v>
      </c>
      <c r="L125" s="2">
        <v>277</v>
      </c>
      <c r="M125" s="2">
        <v>103.2591</v>
      </c>
      <c r="N125" s="2">
        <v>116</v>
      </c>
      <c r="O125" s="2">
        <v>100.07850000000001</v>
      </c>
      <c r="P125" s="2">
        <v>190</v>
      </c>
      <c r="Q125" s="2">
        <v>95.86</v>
      </c>
      <c r="R125" s="2">
        <v>46</v>
      </c>
      <c r="S125" s="2">
        <v>98.190399999999997</v>
      </c>
      <c r="T125" s="2">
        <v>98</v>
      </c>
      <c r="U125" s="2">
        <v>0.55454099999999995</v>
      </c>
      <c r="V125" s="2">
        <v>141</v>
      </c>
      <c r="W125" s="2">
        <v>2003</v>
      </c>
    </row>
    <row r="126" spans="1:23" ht="12.3" x14ac:dyDescent="0.4">
      <c r="A126" s="2" t="s">
        <v>199</v>
      </c>
      <c r="B126" s="2">
        <v>16</v>
      </c>
      <c r="C126" s="4"/>
      <c r="D126" s="4"/>
      <c r="E126" s="4"/>
      <c r="F126" s="4"/>
      <c r="G126" s="4"/>
      <c r="H126" s="4"/>
      <c r="I126" s="2">
        <v>68.504300000000001</v>
      </c>
      <c r="J126" s="2">
        <v>166</v>
      </c>
      <c r="K126" s="2">
        <v>68.378100000000003</v>
      </c>
      <c r="L126" s="2">
        <v>170</v>
      </c>
      <c r="M126" s="2">
        <v>103.3479</v>
      </c>
      <c r="N126" s="2">
        <v>114</v>
      </c>
      <c r="O126" s="2">
        <v>101.49509999999999</v>
      </c>
      <c r="P126" s="2">
        <v>159</v>
      </c>
      <c r="Q126" s="2">
        <v>101.74890000000001</v>
      </c>
      <c r="R126" s="2">
        <v>190</v>
      </c>
      <c r="S126" s="2">
        <v>100.2497</v>
      </c>
      <c r="T126" s="2">
        <v>144</v>
      </c>
      <c r="U126" s="2">
        <v>0.53543600000000002</v>
      </c>
      <c r="V126" s="2">
        <v>151</v>
      </c>
      <c r="W126" s="2">
        <v>2003</v>
      </c>
    </row>
    <row r="127" spans="1:23" ht="12.3" x14ac:dyDescent="0.4">
      <c r="A127" s="2" t="s">
        <v>108</v>
      </c>
      <c r="B127" s="2">
        <v>15</v>
      </c>
      <c r="C127" s="4"/>
      <c r="D127" s="4"/>
      <c r="E127" s="4"/>
      <c r="F127" s="4"/>
      <c r="G127" s="4"/>
      <c r="H127" s="4"/>
      <c r="I127" s="2">
        <v>77.671999999999997</v>
      </c>
      <c r="J127" s="2">
        <v>2</v>
      </c>
      <c r="K127" s="2">
        <v>76.266099999999994</v>
      </c>
      <c r="L127" s="2">
        <v>3</v>
      </c>
      <c r="M127" s="2">
        <v>102.1313</v>
      </c>
      <c r="N127" s="2">
        <v>148</v>
      </c>
      <c r="O127" s="2">
        <v>100.2287</v>
      </c>
      <c r="P127" s="2">
        <v>185</v>
      </c>
      <c r="Q127" s="2">
        <v>99.243099999999998</v>
      </c>
      <c r="R127" s="2">
        <v>126</v>
      </c>
      <c r="S127" s="2">
        <v>99.614199999999997</v>
      </c>
      <c r="T127" s="2">
        <v>129</v>
      </c>
      <c r="U127" s="2">
        <v>0.51767399999999997</v>
      </c>
      <c r="V127" s="2">
        <v>154</v>
      </c>
      <c r="W127" s="2">
        <v>2003</v>
      </c>
    </row>
    <row r="128" spans="1:23" ht="12.3" x14ac:dyDescent="0.4">
      <c r="A128" s="2" t="s">
        <v>215</v>
      </c>
      <c r="B128" s="2">
        <v>15</v>
      </c>
      <c r="C128" s="4"/>
      <c r="D128" s="4"/>
      <c r="E128" s="4"/>
      <c r="F128" s="4"/>
      <c r="G128" s="4"/>
      <c r="H128" s="4"/>
      <c r="I128" s="2">
        <v>70.001199999999997</v>
      </c>
      <c r="J128" s="2">
        <v>109</v>
      </c>
      <c r="K128" s="2">
        <v>68.168000000000006</v>
      </c>
      <c r="L128" s="2">
        <v>176</v>
      </c>
      <c r="M128" s="2">
        <v>108.261</v>
      </c>
      <c r="N128" s="2">
        <v>41</v>
      </c>
      <c r="O128" s="2">
        <v>103.87779999999999</v>
      </c>
      <c r="P128" s="2">
        <v>112</v>
      </c>
      <c r="Q128" s="2">
        <v>101.7873</v>
      </c>
      <c r="R128" s="2">
        <v>191</v>
      </c>
      <c r="S128" s="2">
        <v>104.9877</v>
      </c>
      <c r="T128" s="2">
        <v>238</v>
      </c>
      <c r="U128" s="2">
        <v>0.46948299999999998</v>
      </c>
      <c r="V128" s="2">
        <v>174</v>
      </c>
      <c r="W128" s="2">
        <v>2003</v>
      </c>
    </row>
    <row r="129" spans="1:23" ht="12.3" x14ac:dyDescent="0.4">
      <c r="A129" s="2" t="s">
        <v>288</v>
      </c>
      <c r="B129" s="2">
        <v>16</v>
      </c>
      <c r="C129" s="4"/>
      <c r="D129" s="4"/>
      <c r="E129" s="4"/>
      <c r="F129" s="4"/>
      <c r="G129" s="4"/>
      <c r="H129" s="4"/>
      <c r="I129" s="2">
        <v>72.6708</v>
      </c>
      <c r="J129" s="2">
        <v>35</v>
      </c>
      <c r="K129" s="2">
        <v>73.357100000000003</v>
      </c>
      <c r="L129" s="2">
        <v>21</v>
      </c>
      <c r="M129" s="2">
        <v>100.14830000000001</v>
      </c>
      <c r="N129" s="2">
        <v>187</v>
      </c>
      <c r="O129" s="2">
        <v>96.287999999999997</v>
      </c>
      <c r="P129" s="2">
        <v>254</v>
      </c>
      <c r="Q129" s="2">
        <v>97.6678</v>
      </c>
      <c r="R129" s="2">
        <v>84</v>
      </c>
      <c r="S129" s="2">
        <v>103.9392</v>
      </c>
      <c r="T129" s="2">
        <v>221</v>
      </c>
      <c r="U129" s="2">
        <v>0.29331800000000002</v>
      </c>
      <c r="V129" s="2">
        <v>243</v>
      </c>
      <c r="W129" s="2">
        <v>2003</v>
      </c>
    </row>
    <row r="130" spans="1:23" ht="12.3" x14ac:dyDescent="0.4">
      <c r="A130" s="2" t="s">
        <v>325</v>
      </c>
      <c r="B130" s="2">
        <v>16</v>
      </c>
      <c r="C130" s="4"/>
      <c r="D130" s="4"/>
      <c r="E130" s="4"/>
      <c r="F130" s="4"/>
      <c r="G130" s="4"/>
      <c r="H130" s="4"/>
      <c r="I130" s="2">
        <v>70.805700000000002</v>
      </c>
      <c r="J130" s="2">
        <v>81</v>
      </c>
      <c r="K130" s="2">
        <v>69.304500000000004</v>
      </c>
      <c r="L130" s="2">
        <v>127</v>
      </c>
      <c r="M130" s="2">
        <v>102.1859</v>
      </c>
      <c r="N130" s="2">
        <v>146</v>
      </c>
      <c r="O130" s="2">
        <v>97.646699999999996</v>
      </c>
      <c r="P130" s="2">
        <v>231</v>
      </c>
      <c r="Q130" s="2">
        <v>99.9739</v>
      </c>
      <c r="R130" s="2">
        <v>144</v>
      </c>
      <c r="S130" s="2">
        <v>107.60509999999999</v>
      </c>
      <c r="T130" s="2">
        <v>280</v>
      </c>
      <c r="U130" s="2">
        <v>0.24660699999999999</v>
      </c>
      <c r="V130" s="2">
        <v>262</v>
      </c>
      <c r="W130" s="2">
        <v>2003</v>
      </c>
    </row>
    <row r="131" spans="1:23" ht="12.3" x14ac:dyDescent="0.4">
      <c r="A131" s="2" t="s">
        <v>281</v>
      </c>
      <c r="B131" s="2">
        <v>16</v>
      </c>
      <c r="C131" s="4"/>
      <c r="D131" s="4"/>
      <c r="E131" s="4"/>
      <c r="F131" s="4"/>
      <c r="G131" s="4"/>
      <c r="H131" s="4"/>
      <c r="I131" s="2">
        <v>69.472800000000007</v>
      </c>
      <c r="J131" s="2">
        <v>132</v>
      </c>
      <c r="K131" s="2">
        <v>68.939099999999996</v>
      </c>
      <c r="L131" s="2">
        <v>141</v>
      </c>
      <c r="M131" s="2">
        <v>100.7461</v>
      </c>
      <c r="N131" s="2">
        <v>175</v>
      </c>
      <c r="O131" s="2">
        <v>101.4705</v>
      </c>
      <c r="P131" s="2">
        <v>160</v>
      </c>
      <c r="Q131" s="2">
        <v>110.5521</v>
      </c>
      <c r="R131" s="2">
        <v>319</v>
      </c>
      <c r="S131" s="2">
        <v>114.05800000000001</v>
      </c>
      <c r="T131" s="2">
        <v>319</v>
      </c>
      <c r="U131" s="2">
        <v>0.20672199999999999</v>
      </c>
      <c r="V131" s="2">
        <v>283</v>
      </c>
      <c r="W131" s="2">
        <v>2003</v>
      </c>
    </row>
    <row r="132" spans="1:23" ht="12.3" x14ac:dyDescent="0.4">
      <c r="A132" s="2" t="s">
        <v>32</v>
      </c>
      <c r="B132" s="2">
        <v>1</v>
      </c>
      <c r="C132" s="3" t="s">
        <v>33</v>
      </c>
      <c r="D132" s="3" t="s">
        <v>33</v>
      </c>
      <c r="E132" s="3" t="s">
        <v>33</v>
      </c>
      <c r="F132" s="3" t="s">
        <v>33</v>
      </c>
      <c r="G132" s="2"/>
      <c r="H132" s="2"/>
      <c r="I132" s="2">
        <v>70.012200000000007</v>
      </c>
      <c r="J132" s="2">
        <v>88</v>
      </c>
      <c r="K132" s="2">
        <v>69.271000000000001</v>
      </c>
      <c r="L132" s="2">
        <v>107</v>
      </c>
      <c r="M132" s="2">
        <v>113.1113</v>
      </c>
      <c r="N132" s="2">
        <v>9</v>
      </c>
      <c r="O132" s="2">
        <v>117.6452</v>
      </c>
      <c r="P132" s="2">
        <v>4</v>
      </c>
      <c r="Q132" s="2">
        <v>91.740899999999996</v>
      </c>
      <c r="R132" s="2">
        <v>11</v>
      </c>
      <c r="S132" s="2">
        <v>89.644499999999994</v>
      </c>
      <c r="T132" s="2">
        <v>5</v>
      </c>
      <c r="U132" s="2">
        <v>0.95794999999999997</v>
      </c>
      <c r="V132" s="2">
        <v>1</v>
      </c>
      <c r="W132" s="2">
        <v>2004</v>
      </c>
    </row>
    <row r="133" spans="1:23" ht="12.3" x14ac:dyDescent="0.4">
      <c r="A133" s="2" t="s">
        <v>46</v>
      </c>
      <c r="B133" s="2">
        <v>3</v>
      </c>
      <c r="C133" s="3" t="s">
        <v>33</v>
      </c>
      <c r="D133" s="3" t="s">
        <v>33</v>
      </c>
      <c r="E133" s="2"/>
      <c r="F133" s="2"/>
      <c r="G133" s="2"/>
      <c r="H133" s="2"/>
      <c r="I133" s="2">
        <v>60.519500000000001</v>
      </c>
      <c r="J133" s="2">
        <v>318</v>
      </c>
      <c r="K133" s="2">
        <v>61.084200000000003</v>
      </c>
      <c r="L133" s="2">
        <v>315</v>
      </c>
      <c r="M133" s="2">
        <v>111.789</v>
      </c>
      <c r="N133" s="2">
        <v>12</v>
      </c>
      <c r="O133" s="2">
        <v>113.94199999999999</v>
      </c>
      <c r="P133" s="2">
        <v>13</v>
      </c>
      <c r="Q133" s="2">
        <v>90.810299999999998</v>
      </c>
      <c r="R133" s="2">
        <v>6</v>
      </c>
      <c r="S133" s="2">
        <v>88.186899999999994</v>
      </c>
      <c r="T133" s="2">
        <v>2</v>
      </c>
      <c r="U133" s="2">
        <v>0.95010499999999998</v>
      </c>
      <c r="V133" s="2">
        <v>2</v>
      </c>
      <c r="W133" s="2">
        <v>2004</v>
      </c>
    </row>
    <row r="134" spans="1:23" ht="12.3" x14ac:dyDescent="0.4">
      <c r="A134" s="2" t="s">
        <v>91</v>
      </c>
      <c r="B134" s="2">
        <v>1</v>
      </c>
      <c r="C134" s="3" t="s">
        <v>33</v>
      </c>
      <c r="D134" s="3" t="s">
        <v>33</v>
      </c>
      <c r="E134" s="3" t="s">
        <v>33</v>
      </c>
      <c r="F134" s="2"/>
      <c r="G134" s="2"/>
      <c r="H134" s="2"/>
      <c r="I134" s="2">
        <v>67.862499999999997</v>
      </c>
      <c r="J134" s="2">
        <v>168</v>
      </c>
      <c r="K134" s="2">
        <v>68.685500000000005</v>
      </c>
      <c r="L134" s="2">
        <v>126</v>
      </c>
      <c r="M134" s="2">
        <v>114.627</v>
      </c>
      <c r="N134" s="2">
        <v>5</v>
      </c>
      <c r="O134" s="2">
        <v>114.95950000000001</v>
      </c>
      <c r="P134" s="2">
        <v>11</v>
      </c>
      <c r="Q134" s="2">
        <v>90.536799999999999</v>
      </c>
      <c r="R134" s="2">
        <v>5</v>
      </c>
      <c r="S134" s="2">
        <v>89.9756</v>
      </c>
      <c r="T134" s="2">
        <v>7</v>
      </c>
      <c r="U134" s="2">
        <v>0.94364000000000003</v>
      </c>
      <c r="V134" s="2">
        <v>3</v>
      </c>
      <c r="W134" s="2">
        <v>2004</v>
      </c>
    </row>
    <row r="135" spans="1:23" ht="12.3" x14ac:dyDescent="0.4">
      <c r="A135" s="2" t="s">
        <v>47</v>
      </c>
      <c r="B135" s="2">
        <v>2</v>
      </c>
      <c r="C135" s="3" t="s">
        <v>33</v>
      </c>
      <c r="D135" s="2"/>
      <c r="E135" s="2"/>
      <c r="F135" s="2"/>
      <c r="G135" s="2"/>
      <c r="H135" s="2"/>
      <c r="I135" s="2">
        <v>68.746200000000002</v>
      </c>
      <c r="J135" s="2">
        <v>131</v>
      </c>
      <c r="K135" s="2">
        <v>68.2624</v>
      </c>
      <c r="L135" s="2">
        <v>145</v>
      </c>
      <c r="M135" s="2">
        <v>119.00660000000001</v>
      </c>
      <c r="N135" s="2">
        <v>1</v>
      </c>
      <c r="O135" s="2">
        <v>118.7808</v>
      </c>
      <c r="P135" s="2">
        <v>2</v>
      </c>
      <c r="Q135" s="2">
        <v>94.983999999999995</v>
      </c>
      <c r="R135" s="2">
        <v>41</v>
      </c>
      <c r="S135" s="2">
        <v>93.751000000000005</v>
      </c>
      <c r="T135" s="2">
        <v>28</v>
      </c>
      <c r="U135" s="2">
        <v>0.93827400000000005</v>
      </c>
      <c r="V135" s="2">
        <v>4</v>
      </c>
      <c r="W135" s="2">
        <v>2004</v>
      </c>
    </row>
    <row r="136" spans="1:23" ht="12.3" x14ac:dyDescent="0.4">
      <c r="A136" s="2" t="s">
        <v>54</v>
      </c>
      <c r="B136" s="2">
        <v>2</v>
      </c>
      <c r="C136" s="3" t="s">
        <v>33</v>
      </c>
      <c r="D136" s="3" t="s">
        <v>33</v>
      </c>
      <c r="E136" s="3" t="s">
        <v>33</v>
      </c>
      <c r="F136" s="3" t="s">
        <v>33</v>
      </c>
      <c r="G136" s="3" t="s">
        <v>33</v>
      </c>
      <c r="H136" s="3" t="s">
        <v>33</v>
      </c>
      <c r="I136" s="2">
        <v>70.069900000000004</v>
      </c>
      <c r="J136" s="2">
        <v>85</v>
      </c>
      <c r="K136" s="2">
        <v>70.080500000000001</v>
      </c>
      <c r="L136" s="2">
        <v>73</v>
      </c>
      <c r="M136" s="2">
        <v>112.3242</v>
      </c>
      <c r="N136" s="2">
        <v>11</v>
      </c>
      <c r="O136" s="2">
        <v>113.6357</v>
      </c>
      <c r="P136" s="2">
        <v>14</v>
      </c>
      <c r="Q136" s="2">
        <v>91.503900000000002</v>
      </c>
      <c r="R136" s="2">
        <v>10</v>
      </c>
      <c r="S136" s="2">
        <v>90.179100000000005</v>
      </c>
      <c r="T136" s="2">
        <v>8</v>
      </c>
      <c r="U136" s="2">
        <v>0.93455100000000002</v>
      </c>
      <c r="V136" s="2">
        <v>5</v>
      </c>
      <c r="W136" s="2">
        <v>2004</v>
      </c>
    </row>
    <row r="137" spans="1:23" ht="12.3" x14ac:dyDescent="0.4">
      <c r="A137" s="2" t="s">
        <v>45</v>
      </c>
      <c r="B137" s="2">
        <v>1</v>
      </c>
      <c r="C137" s="3" t="s">
        <v>33</v>
      </c>
      <c r="D137" s="2"/>
      <c r="E137" s="2"/>
      <c r="F137" s="2"/>
      <c r="G137" s="2"/>
      <c r="H137" s="2"/>
      <c r="I137" s="2">
        <v>68.053799999999995</v>
      </c>
      <c r="J137" s="2">
        <v>159</v>
      </c>
      <c r="K137" s="2">
        <v>68.370800000000003</v>
      </c>
      <c r="L137" s="2">
        <v>135</v>
      </c>
      <c r="M137" s="2">
        <v>106.71639999999999</v>
      </c>
      <c r="N137" s="2">
        <v>65</v>
      </c>
      <c r="O137" s="2">
        <v>111.4277</v>
      </c>
      <c r="P137" s="2">
        <v>23</v>
      </c>
      <c r="Q137" s="2">
        <v>92.282300000000006</v>
      </c>
      <c r="R137" s="2">
        <v>16</v>
      </c>
      <c r="S137" s="2">
        <v>88.546599999999998</v>
      </c>
      <c r="T137" s="2">
        <v>3</v>
      </c>
      <c r="U137" s="2">
        <v>0.93359400000000003</v>
      </c>
      <c r="V137" s="2">
        <v>6</v>
      </c>
      <c r="W137" s="2">
        <v>2004</v>
      </c>
    </row>
    <row r="138" spans="1:23" ht="12.3" x14ac:dyDescent="0.4">
      <c r="A138" s="2" t="s">
        <v>55</v>
      </c>
      <c r="B138" s="2">
        <v>3</v>
      </c>
      <c r="C138" s="3" t="s">
        <v>33</v>
      </c>
      <c r="D138" s="2"/>
      <c r="E138" s="2"/>
      <c r="F138" s="2"/>
      <c r="G138" s="2"/>
      <c r="H138" s="2"/>
      <c r="I138" s="2">
        <v>66.661600000000007</v>
      </c>
      <c r="J138" s="2">
        <v>204</v>
      </c>
      <c r="K138" s="2">
        <v>64.578900000000004</v>
      </c>
      <c r="L138" s="2">
        <v>277</v>
      </c>
      <c r="M138" s="2">
        <v>109.58029999999999</v>
      </c>
      <c r="N138" s="2">
        <v>26</v>
      </c>
      <c r="O138" s="2">
        <v>117.9212</v>
      </c>
      <c r="P138" s="2">
        <v>3</v>
      </c>
      <c r="Q138" s="2">
        <v>97.632000000000005</v>
      </c>
      <c r="R138" s="2">
        <v>89</v>
      </c>
      <c r="S138" s="2">
        <v>94.677999999999997</v>
      </c>
      <c r="T138" s="2">
        <v>39</v>
      </c>
      <c r="U138" s="2">
        <v>0.92585200000000001</v>
      </c>
      <c r="V138" s="2">
        <v>7</v>
      </c>
      <c r="W138" s="2">
        <v>2004</v>
      </c>
    </row>
    <row r="139" spans="1:23" ht="12.3" x14ac:dyDescent="0.4">
      <c r="A139" s="2" t="s">
        <v>72</v>
      </c>
      <c r="B139" s="2">
        <v>2</v>
      </c>
      <c r="C139" s="3" t="s">
        <v>33</v>
      </c>
      <c r="D139" s="3" t="s">
        <v>33</v>
      </c>
      <c r="E139" s="3" t="s">
        <v>33</v>
      </c>
      <c r="F139" s="3" t="s">
        <v>33</v>
      </c>
      <c r="G139" s="2"/>
      <c r="H139" s="2"/>
      <c r="I139" s="2">
        <v>67.677700000000002</v>
      </c>
      <c r="J139" s="2">
        <v>175</v>
      </c>
      <c r="K139" s="2">
        <v>67.096100000000007</v>
      </c>
      <c r="L139" s="2">
        <v>190</v>
      </c>
      <c r="M139" s="2">
        <v>114.5271</v>
      </c>
      <c r="N139" s="2">
        <v>6</v>
      </c>
      <c r="O139" s="2">
        <v>115.703</v>
      </c>
      <c r="P139" s="2">
        <v>7</v>
      </c>
      <c r="Q139" s="2">
        <v>93.298900000000003</v>
      </c>
      <c r="R139" s="2">
        <v>23</v>
      </c>
      <c r="S139" s="2">
        <v>93.169600000000003</v>
      </c>
      <c r="T139" s="2">
        <v>24</v>
      </c>
      <c r="U139" s="2">
        <v>0.92350600000000005</v>
      </c>
      <c r="V139" s="2">
        <v>8</v>
      </c>
      <c r="W139" s="2">
        <v>2004</v>
      </c>
    </row>
    <row r="140" spans="1:23" ht="12.3" x14ac:dyDescent="0.4">
      <c r="A140" s="2" t="s">
        <v>92</v>
      </c>
      <c r="B140" s="2">
        <v>3</v>
      </c>
      <c r="C140" s="3" t="s">
        <v>33</v>
      </c>
      <c r="D140" s="3" t="s">
        <v>33</v>
      </c>
      <c r="E140" s="3" t="s">
        <v>33</v>
      </c>
      <c r="F140" s="3" t="s">
        <v>33</v>
      </c>
      <c r="G140" s="3" t="s">
        <v>33</v>
      </c>
      <c r="H140" s="2"/>
      <c r="I140" s="2">
        <v>72.636200000000002</v>
      </c>
      <c r="J140" s="2">
        <v>22</v>
      </c>
      <c r="K140" s="2">
        <v>71.158100000000005</v>
      </c>
      <c r="L140" s="2">
        <v>41</v>
      </c>
      <c r="M140" s="2">
        <v>106.92359999999999</v>
      </c>
      <c r="N140" s="2">
        <v>61</v>
      </c>
      <c r="O140" s="2">
        <v>112.3931</v>
      </c>
      <c r="P140" s="2">
        <v>20</v>
      </c>
      <c r="Q140" s="2">
        <v>92.101200000000006</v>
      </c>
      <c r="R140" s="2">
        <v>13</v>
      </c>
      <c r="S140" s="2">
        <v>90.567099999999996</v>
      </c>
      <c r="T140" s="2">
        <v>11</v>
      </c>
      <c r="U140" s="2">
        <v>0.92294100000000001</v>
      </c>
      <c r="V140" s="2">
        <v>9</v>
      </c>
      <c r="W140" s="2">
        <v>2004</v>
      </c>
    </row>
    <row r="141" spans="1:23" ht="12.3" x14ac:dyDescent="0.4">
      <c r="A141" s="2" t="s">
        <v>76</v>
      </c>
      <c r="B141" s="2">
        <v>6</v>
      </c>
      <c r="C141" s="3" t="s">
        <v>33</v>
      </c>
      <c r="D141" s="2"/>
      <c r="E141" s="2"/>
      <c r="F141" s="2"/>
      <c r="G141" s="2"/>
      <c r="H141" s="2"/>
      <c r="I141" s="2">
        <v>61.050600000000003</v>
      </c>
      <c r="J141" s="2">
        <v>314</v>
      </c>
      <c r="K141" s="2">
        <v>61.981699999999996</v>
      </c>
      <c r="L141" s="2">
        <v>310</v>
      </c>
      <c r="M141" s="2">
        <v>111.5488</v>
      </c>
      <c r="N141" s="2">
        <v>13</v>
      </c>
      <c r="O141" s="2">
        <v>112.1237</v>
      </c>
      <c r="P141" s="2">
        <v>21</v>
      </c>
      <c r="Q141" s="2">
        <v>92.278499999999994</v>
      </c>
      <c r="R141" s="2">
        <v>15</v>
      </c>
      <c r="S141" s="2">
        <v>90.565299999999993</v>
      </c>
      <c r="T141" s="2">
        <v>10</v>
      </c>
      <c r="U141" s="2">
        <v>0.92097099999999998</v>
      </c>
      <c r="V141" s="2">
        <v>10</v>
      </c>
      <c r="W141" s="2">
        <v>2004</v>
      </c>
    </row>
    <row r="142" spans="1:23" ht="12.3" x14ac:dyDescent="0.4">
      <c r="A142" s="2" t="s">
        <v>48</v>
      </c>
      <c r="B142" s="2">
        <v>2</v>
      </c>
      <c r="C142" s="3" t="s">
        <v>33</v>
      </c>
      <c r="D142" s="2"/>
      <c r="E142" s="2"/>
      <c r="F142" s="2"/>
      <c r="G142" s="2"/>
      <c r="H142" s="2"/>
      <c r="I142" s="2">
        <v>69.688400000000001</v>
      </c>
      <c r="J142" s="2">
        <v>101</v>
      </c>
      <c r="K142" s="2">
        <v>70.101399999999998</v>
      </c>
      <c r="L142" s="2">
        <v>72</v>
      </c>
      <c r="M142" s="2">
        <v>108.762</v>
      </c>
      <c r="N142" s="2">
        <v>33</v>
      </c>
      <c r="O142" s="2">
        <v>113.0877</v>
      </c>
      <c r="P142" s="2">
        <v>17</v>
      </c>
      <c r="Q142" s="2">
        <v>93.504199999999997</v>
      </c>
      <c r="R142" s="2">
        <v>26</v>
      </c>
      <c r="S142" s="2">
        <v>91.515299999999996</v>
      </c>
      <c r="T142" s="2">
        <v>14</v>
      </c>
      <c r="U142" s="2">
        <v>0.91938799999999998</v>
      </c>
      <c r="V142" s="2">
        <v>11</v>
      </c>
      <c r="W142" s="2">
        <v>2004</v>
      </c>
    </row>
    <row r="143" spans="1:23" ht="12.3" x14ac:dyDescent="0.4">
      <c r="A143" s="2" t="s">
        <v>34</v>
      </c>
      <c r="B143" s="2">
        <v>4</v>
      </c>
      <c r="C143" s="3" t="s">
        <v>33</v>
      </c>
      <c r="D143" s="2"/>
      <c r="E143" s="2"/>
      <c r="F143" s="2"/>
      <c r="G143" s="2"/>
      <c r="H143" s="2"/>
      <c r="I143" s="2">
        <v>68.887600000000006</v>
      </c>
      <c r="J143" s="2">
        <v>128</v>
      </c>
      <c r="K143" s="2">
        <v>68.5565</v>
      </c>
      <c r="L143" s="2">
        <v>130</v>
      </c>
      <c r="M143" s="2">
        <v>111.42919999999999</v>
      </c>
      <c r="N143" s="2">
        <v>14</v>
      </c>
      <c r="O143" s="2">
        <v>114.1686</v>
      </c>
      <c r="P143" s="2">
        <v>12</v>
      </c>
      <c r="Q143" s="2">
        <v>91.203900000000004</v>
      </c>
      <c r="R143" s="2">
        <v>8</v>
      </c>
      <c r="S143" s="2">
        <v>92.809200000000004</v>
      </c>
      <c r="T143" s="2">
        <v>19</v>
      </c>
      <c r="U143" s="2">
        <v>0.91544400000000004</v>
      </c>
      <c r="V143" s="2">
        <v>12</v>
      </c>
      <c r="W143" s="2">
        <v>2004</v>
      </c>
    </row>
    <row r="144" spans="1:23" ht="12.3" x14ac:dyDescent="0.4">
      <c r="A144" s="2" t="s">
        <v>168</v>
      </c>
      <c r="B144" s="2">
        <v>6</v>
      </c>
      <c r="C144" s="3" t="s">
        <v>33</v>
      </c>
      <c r="D144" s="2"/>
      <c r="E144" s="2"/>
      <c r="F144" s="2"/>
      <c r="G144" s="2"/>
      <c r="H144" s="2"/>
      <c r="I144" s="2">
        <v>74.396900000000002</v>
      </c>
      <c r="J144" s="2">
        <v>9</v>
      </c>
      <c r="K144" s="2">
        <v>72.66</v>
      </c>
      <c r="L144" s="2">
        <v>17</v>
      </c>
      <c r="M144" s="2">
        <v>108.9502</v>
      </c>
      <c r="N144" s="2">
        <v>29</v>
      </c>
      <c r="O144" s="2">
        <v>115.0068</v>
      </c>
      <c r="P144" s="2">
        <v>10</v>
      </c>
      <c r="Q144" s="2">
        <v>99.064800000000005</v>
      </c>
      <c r="R144" s="2">
        <v>114</v>
      </c>
      <c r="S144" s="2">
        <v>93.916300000000007</v>
      </c>
      <c r="T144" s="2">
        <v>30</v>
      </c>
      <c r="U144" s="2">
        <v>0.91131200000000001</v>
      </c>
      <c r="V144" s="2">
        <v>13</v>
      </c>
      <c r="W144" s="2">
        <v>2004</v>
      </c>
    </row>
    <row r="145" spans="1:23" ht="12.3" x14ac:dyDescent="0.4">
      <c r="A145" s="2" t="s">
        <v>52</v>
      </c>
      <c r="B145" s="2">
        <v>1</v>
      </c>
      <c r="C145" s="3" t="s">
        <v>33</v>
      </c>
      <c r="D145" s="2"/>
      <c r="E145" s="2"/>
      <c r="F145" s="2"/>
      <c r="G145" s="2"/>
      <c r="H145" s="2"/>
      <c r="I145" s="2">
        <v>67.026200000000003</v>
      </c>
      <c r="J145" s="2">
        <v>193</v>
      </c>
      <c r="K145" s="2">
        <v>65.987300000000005</v>
      </c>
      <c r="L145" s="2">
        <v>226</v>
      </c>
      <c r="M145" s="2">
        <v>110.4171</v>
      </c>
      <c r="N145" s="2">
        <v>21</v>
      </c>
      <c r="O145" s="2">
        <v>109.6559</v>
      </c>
      <c r="P145" s="2">
        <v>39</v>
      </c>
      <c r="Q145" s="2">
        <v>90.505300000000005</v>
      </c>
      <c r="R145" s="2">
        <v>4</v>
      </c>
      <c r="S145" s="2">
        <v>89.7042</v>
      </c>
      <c r="T145" s="2">
        <v>6</v>
      </c>
      <c r="U145" s="2">
        <v>0.90966400000000003</v>
      </c>
      <c r="V145" s="2">
        <v>14</v>
      </c>
      <c r="W145" s="2">
        <v>2004</v>
      </c>
    </row>
    <row r="146" spans="1:23" ht="12.3" x14ac:dyDescent="0.4">
      <c r="A146" s="2" t="s">
        <v>61</v>
      </c>
      <c r="B146" s="2">
        <v>4</v>
      </c>
      <c r="C146" s="3" t="s">
        <v>33</v>
      </c>
      <c r="D146" s="3" t="s">
        <v>33</v>
      </c>
      <c r="E146" s="2"/>
      <c r="F146" s="2"/>
      <c r="G146" s="2"/>
      <c r="H146" s="2"/>
      <c r="I146" s="2">
        <v>73.154799999999994</v>
      </c>
      <c r="J146" s="2">
        <v>19</v>
      </c>
      <c r="K146" s="2">
        <v>71.874600000000001</v>
      </c>
      <c r="L146" s="2">
        <v>28</v>
      </c>
      <c r="M146" s="2">
        <v>112.4837</v>
      </c>
      <c r="N146" s="2">
        <v>10</v>
      </c>
      <c r="O146" s="2">
        <v>120.0258</v>
      </c>
      <c r="P146" s="2">
        <v>1</v>
      </c>
      <c r="Q146" s="2">
        <v>101.83329999999999</v>
      </c>
      <c r="R146" s="2">
        <v>174</v>
      </c>
      <c r="S146" s="2">
        <v>99.070999999999998</v>
      </c>
      <c r="T146" s="2">
        <v>114</v>
      </c>
      <c r="U146" s="2">
        <v>0.90083199999999997</v>
      </c>
      <c r="V146" s="2">
        <v>15</v>
      </c>
      <c r="W146" s="2">
        <v>2004</v>
      </c>
    </row>
    <row r="147" spans="1:23" ht="12.3" x14ac:dyDescent="0.4">
      <c r="A147" s="2" t="s">
        <v>86</v>
      </c>
      <c r="B147" s="2">
        <v>10</v>
      </c>
      <c r="C147" s="2"/>
      <c r="D147" s="2"/>
      <c r="E147" s="2"/>
      <c r="F147" s="2"/>
      <c r="G147" s="2"/>
      <c r="H147" s="2"/>
      <c r="I147" s="2">
        <v>69.697800000000001</v>
      </c>
      <c r="J147" s="2">
        <v>100</v>
      </c>
      <c r="K147" s="2">
        <v>69.431399999999996</v>
      </c>
      <c r="L147" s="2">
        <v>102</v>
      </c>
      <c r="M147" s="2">
        <v>103.6755</v>
      </c>
      <c r="N147" s="2">
        <v>102</v>
      </c>
      <c r="O147" s="2">
        <v>103.0938</v>
      </c>
      <c r="P147" s="2">
        <v>121</v>
      </c>
      <c r="Q147" s="2">
        <v>86.672399999999996</v>
      </c>
      <c r="R147" s="2">
        <v>1</v>
      </c>
      <c r="S147" s="2">
        <v>85.956900000000005</v>
      </c>
      <c r="T147" s="2">
        <v>1</v>
      </c>
      <c r="U147" s="2">
        <v>0.88998699999999997</v>
      </c>
      <c r="V147" s="2">
        <v>16</v>
      </c>
      <c r="W147" s="2">
        <v>2004</v>
      </c>
    </row>
    <row r="148" spans="1:23" ht="12.3" x14ac:dyDescent="0.4">
      <c r="A148" s="2" t="s">
        <v>36</v>
      </c>
      <c r="B148" s="2">
        <v>4</v>
      </c>
      <c r="C148" s="3" t="s">
        <v>33</v>
      </c>
      <c r="D148" s="2"/>
      <c r="E148" s="2"/>
      <c r="F148" s="2"/>
      <c r="G148" s="2"/>
      <c r="H148" s="2"/>
      <c r="I148" s="2">
        <v>73.576400000000007</v>
      </c>
      <c r="J148" s="2">
        <v>15</v>
      </c>
      <c r="K148" s="2">
        <v>72.843800000000002</v>
      </c>
      <c r="L148" s="2">
        <v>15</v>
      </c>
      <c r="M148" s="2">
        <v>103.7295</v>
      </c>
      <c r="N148" s="2">
        <v>100</v>
      </c>
      <c r="O148" s="2">
        <v>108.6867</v>
      </c>
      <c r="P148" s="2">
        <v>55</v>
      </c>
      <c r="Q148" s="2">
        <v>96.009100000000004</v>
      </c>
      <c r="R148" s="2">
        <v>56</v>
      </c>
      <c r="S148" s="2">
        <v>90.809299999999993</v>
      </c>
      <c r="T148" s="2">
        <v>12</v>
      </c>
      <c r="U148" s="2">
        <v>0.88761800000000002</v>
      </c>
      <c r="V148" s="2">
        <v>17</v>
      </c>
      <c r="W148" s="2">
        <v>2004</v>
      </c>
    </row>
    <row r="149" spans="1:23" ht="12.3" x14ac:dyDescent="0.4">
      <c r="A149" s="2" t="s">
        <v>50</v>
      </c>
      <c r="B149" s="2">
        <v>7</v>
      </c>
      <c r="C149" s="3" t="s">
        <v>33</v>
      </c>
      <c r="D149" s="3" t="s">
        <v>33</v>
      </c>
      <c r="E149" s="3" t="s">
        <v>33</v>
      </c>
      <c r="F149" s="2"/>
      <c r="G149" s="2"/>
      <c r="H149" s="2"/>
      <c r="I149" s="2">
        <v>65.535700000000006</v>
      </c>
      <c r="J149" s="2">
        <v>245</v>
      </c>
      <c r="K149" s="2">
        <v>65.586699999999993</v>
      </c>
      <c r="L149" s="2">
        <v>240</v>
      </c>
      <c r="M149" s="2">
        <v>107.06100000000001</v>
      </c>
      <c r="N149" s="2">
        <v>55</v>
      </c>
      <c r="O149" s="2">
        <v>109.9152</v>
      </c>
      <c r="P149" s="2">
        <v>36</v>
      </c>
      <c r="Q149" s="2">
        <v>94.5428</v>
      </c>
      <c r="R149" s="2">
        <v>36</v>
      </c>
      <c r="S149" s="2">
        <v>92.282499999999999</v>
      </c>
      <c r="T149" s="2">
        <v>16</v>
      </c>
      <c r="U149" s="2">
        <v>0.88192999999999999</v>
      </c>
      <c r="V149" s="2">
        <v>18</v>
      </c>
      <c r="W149" s="2">
        <v>2004</v>
      </c>
    </row>
    <row r="150" spans="1:23" ht="12.3" x14ac:dyDescent="0.4">
      <c r="A150" s="2" t="s">
        <v>37</v>
      </c>
      <c r="B150" s="2">
        <v>5</v>
      </c>
      <c r="C150" s="2"/>
      <c r="D150" s="2"/>
      <c r="E150" s="2"/>
      <c r="F150" s="2"/>
      <c r="G150" s="2"/>
      <c r="H150" s="2"/>
      <c r="I150" s="2">
        <v>68.761600000000001</v>
      </c>
      <c r="J150" s="2">
        <v>130</v>
      </c>
      <c r="K150" s="2">
        <v>67.610299999999995</v>
      </c>
      <c r="L150" s="2">
        <v>170</v>
      </c>
      <c r="M150" s="2">
        <v>111.2139</v>
      </c>
      <c r="N150" s="2">
        <v>18</v>
      </c>
      <c r="O150" s="2">
        <v>116.75839999999999</v>
      </c>
      <c r="P150" s="2">
        <v>5</v>
      </c>
      <c r="Q150" s="2">
        <v>100.1583</v>
      </c>
      <c r="R150" s="2">
        <v>133</v>
      </c>
      <c r="S150" s="2">
        <v>98.225899999999996</v>
      </c>
      <c r="T150" s="2">
        <v>94</v>
      </c>
      <c r="U150" s="2">
        <v>0.87949200000000005</v>
      </c>
      <c r="V150" s="2">
        <v>19</v>
      </c>
      <c r="W150" s="2">
        <v>2004</v>
      </c>
    </row>
    <row r="151" spans="1:23" ht="12.3" x14ac:dyDescent="0.4">
      <c r="A151" s="2" t="s">
        <v>67</v>
      </c>
      <c r="B151" s="2">
        <v>3</v>
      </c>
      <c r="C151" s="3" t="s">
        <v>33</v>
      </c>
      <c r="D151" s="3" t="s">
        <v>33</v>
      </c>
      <c r="E151" s="2"/>
      <c r="F151" s="2"/>
      <c r="G151" s="2"/>
      <c r="H151" s="2"/>
      <c r="I151" s="2">
        <v>68.337599999999995</v>
      </c>
      <c r="J151" s="2">
        <v>148</v>
      </c>
      <c r="K151" s="2">
        <v>66.947500000000005</v>
      </c>
      <c r="L151" s="2">
        <v>195</v>
      </c>
      <c r="M151" s="2">
        <v>111.1639</v>
      </c>
      <c r="N151" s="2">
        <v>19</v>
      </c>
      <c r="O151" s="2">
        <v>110.43680000000001</v>
      </c>
      <c r="P151" s="2">
        <v>31</v>
      </c>
      <c r="Q151" s="2">
        <v>96.610699999999994</v>
      </c>
      <c r="R151" s="2">
        <v>69</v>
      </c>
      <c r="S151" s="2">
        <v>93.177000000000007</v>
      </c>
      <c r="T151" s="2">
        <v>25</v>
      </c>
      <c r="U151" s="2">
        <v>0.875919</v>
      </c>
      <c r="V151" s="2">
        <v>20</v>
      </c>
      <c r="W151" s="2">
        <v>2004</v>
      </c>
    </row>
    <row r="152" spans="1:23" ht="12.3" x14ac:dyDescent="0.4">
      <c r="A152" s="2" t="s">
        <v>145</v>
      </c>
      <c r="B152" s="2">
        <v>10</v>
      </c>
      <c r="C152" s="3" t="s">
        <v>33</v>
      </c>
      <c r="D152" s="3" t="s">
        <v>33</v>
      </c>
      <c r="E152" s="2"/>
      <c r="F152" s="2"/>
      <c r="G152" s="2"/>
      <c r="H152" s="2"/>
      <c r="I152" s="2">
        <v>69.415700000000001</v>
      </c>
      <c r="J152" s="2">
        <v>107</v>
      </c>
      <c r="K152" s="2">
        <v>70.038600000000002</v>
      </c>
      <c r="L152" s="2">
        <v>76</v>
      </c>
      <c r="M152" s="2">
        <v>108.3764</v>
      </c>
      <c r="N152" s="2">
        <v>37</v>
      </c>
      <c r="O152" s="2">
        <v>109.3536</v>
      </c>
      <c r="P152" s="2">
        <v>44</v>
      </c>
      <c r="Q152" s="2">
        <v>94.788200000000003</v>
      </c>
      <c r="R152" s="2">
        <v>39</v>
      </c>
      <c r="S152" s="2">
        <v>92.416200000000003</v>
      </c>
      <c r="T152" s="2">
        <v>17</v>
      </c>
      <c r="U152" s="2">
        <v>0.87383100000000002</v>
      </c>
      <c r="V152" s="2">
        <v>21</v>
      </c>
      <c r="W152" s="2">
        <v>2004</v>
      </c>
    </row>
    <row r="153" spans="1:23" ht="12.3" x14ac:dyDescent="0.4">
      <c r="A153" s="2" t="s">
        <v>44</v>
      </c>
      <c r="B153" s="2">
        <v>5</v>
      </c>
      <c r="C153" s="3" t="s">
        <v>33</v>
      </c>
      <c r="D153" s="3" t="s">
        <v>33</v>
      </c>
      <c r="E153" s="2"/>
      <c r="F153" s="2"/>
      <c r="G153" s="2"/>
      <c r="H153" s="2"/>
      <c r="I153" s="2">
        <v>64.787499999999994</v>
      </c>
      <c r="J153" s="2">
        <v>263</v>
      </c>
      <c r="K153" s="2">
        <v>65.331800000000001</v>
      </c>
      <c r="L153" s="2">
        <v>251</v>
      </c>
      <c r="M153" s="2">
        <v>111.2415</v>
      </c>
      <c r="N153" s="2">
        <v>17</v>
      </c>
      <c r="O153" s="2">
        <v>115.0189</v>
      </c>
      <c r="P153" s="2">
        <v>9</v>
      </c>
      <c r="Q153" s="2">
        <v>96.853999999999999</v>
      </c>
      <c r="R153" s="2">
        <v>73</v>
      </c>
      <c r="S153" s="2">
        <v>97.228999999999999</v>
      </c>
      <c r="T153" s="2">
        <v>74</v>
      </c>
      <c r="U153" s="2">
        <v>0.873506</v>
      </c>
      <c r="V153" s="2">
        <v>22</v>
      </c>
      <c r="W153" s="2">
        <v>2004</v>
      </c>
    </row>
    <row r="154" spans="1:23" ht="12.3" x14ac:dyDescent="0.4">
      <c r="A154" s="2" t="s">
        <v>120</v>
      </c>
      <c r="B154" s="2">
        <v>5</v>
      </c>
      <c r="C154" s="2"/>
      <c r="D154" s="2"/>
      <c r="E154" s="2"/>
      <c r="F154" s="2"/>
      <c r="G154" s="2"/>
      <c r="H154" s="2"/>
      <c r="I154" s="2">
        <v>66.350399999999993</v>
      </c>
      <c r="J154" s="2">
        <v>218</v>
      </c>
      <c r="K154" s="2">
        <v>67.150300000000001</v>
      </c>
      <c r="L154" s="2">
        <v>187</v>
      </c>
      <c r="M154" s="2">
        <v>107.02200000000001</v>
      </c>
      <c r="N154" s="2">
        <v>57</v>
      </c>
      <c r="O154" s="2">
        <v>109.79089999999999</v>
      </c>
      <c r="P154" s="2">
        <v>38</v>
      </c>
      <c r="Q154" s="2">
        <v>96.584100000000007</v>
      </c>
      <c r="R154" s="2">
        <v>68</v>
      </c>
      <c r="S154" s="2">
        <v>92.889499999999998</v>
      </c>
      <c r="T154" s="2">
        <v>20</v>
      </c>
      <c r="U154" s="2">
        <v>0.87240700000000004</v>
      </c>
      <c r="V154" s="2">
        <v>23</v>
      </c>
      <c r="W154" s="2">
        <v>2004</v>
      </c>
    </row>
    <row r="155" spans="1:23" ht="12.3" x14ac:dyDescent="0.4">
      <c r="A155" s="2" t="s">
        <v>111</v>
      </c>
      <c r="B155" s="2">
        <v>6</v>
      </c>
      <c r="C155" s="3" t="s">
        <v>33</v>
      </c>
      <c r="D155" s="3" t="s">
        <v>33</v>
      </c>
      <c r="E155" s="2"/>
      <c r="F155" s="2"/>
      <c r="G155" s="2"/>
      <c r="H155" s="2"/>
      <c r="I155" s="2">
        <v>67.769499999999994</v>
      </c>
      <c r="J155" s="2">
        <v>173</v>
      </c>
      <c r="K155" s="2">
        <v>67.134600000000006</v>
      </c>
      <c r="L155" s="2">
        <v>188</v>
      </c>
      <c r="M155" s="2">
        <v>108.5575</v>
      </c>
      <c r="N155" s="2">
        <v>36</v>
      </c>
      <c r="O155" s="2">
        <v>110.3443</v>
      </c>
      <c r="P155" s="2">
        <v>32</v>
      </c>
      <c r="Q155" s="2">
        <v>95.596100000000007</v>
      </c>
      <c r="R155" s="2">
        <v>51</v>
      </c>
      <c r="S155" s="2">
        <v>93.605400000000003</v>
      </c>
      <c r="T155" s="2">
        <v>27</v>
      </c>
      <c r="U155" s="2">
        <v>0.86897800000000003</v>
      </c>
      <c r="V155" s="2">
        <v>24</v>
      </c>
      <c r="W155" s="2">
        <v>2004</v>
      </c>
    </row>
    <row r="156" spans="1:23" ht="12.3" x14ac:dyDescent="0.4">
      <c r="A156" s="2" t="s">
        <v>35</v>
      </c>
      <c r="B156" s="2">
        <v>4</v>
      </c>
      <c r="C156" s="3" t="s">
        <v>33</v>
      </c>
      <c r="D156" s="3" t="s">
        <v>33</v>
      </c>
      <c r="E156" s="3" t="s">
        <v>33</v>
      </c>
      <c r="F156" s="2"/>
      <c r="G156" s="2"/>
      <c r="H156" s="2"/>
      <c r="I156" s="2">
        <v>70.170699999999997</v>
      </c>
      <c r="J156" s="2">
        <v>78</v>
      </c>
      <c r="K156" s="2">
        <v>70.501400000000004</v>
      </c>
      <c r="L156" s="2">
        <v>60</v>
      </c>
      <c r="M156" s="2">
        <v>106.17319999999999</v>
      </c>
      <c r="N156" s="2">
        <v>73</v>
      </c>
      <c r="O156" s="2">
        <v>109.4746</v>
      </c>
      <c r="P156" s="2">
        <v>41</v>
      </c>
      <c r="Q156" s="2">
        <v>96.925399999999996</v>
      </c>
      <c r="R156" s="2">
        <v>76</v>
      </c>
      <c r="S156" s="2">
        <v>93.426900000000003</v>
      </c>
      <c r="T156" s="2">
        <v>26</v>
      </c>
      <c r="U156" s="2">
        <v>0.86091399999999996</v>
      </c>
      <c r="V156" s="2">
        <v>26</v>
      </c>
      <c r="W156" s="2">
        <v>2004</v>
      </c>
    </row>
    <row r="157" spans="1:23" ht="12.3" x14ac:dyDescent="0.4">
      <c r="A157" s="2" t="s">
        <v>119</v>
      </c>
      <c r="B157" s="2">
        <v>8</v>
      </c>
      <c r="C157" s="3" t="s">
        <v>33</v>
      </c>
      <c r="D157" s="2"/>
      <c r="E157" s="2"/>
      <c r="F157" s="2"/>
      <c r="G157" s="2"/>
      <c r="H157" s="2"/>
      <c r="I157" s="2">
        <v>67.205299999999994</v>
      </c>
      <c r="J157" s="2">
        <v>191</v>
      </c>
      <c r="K157" s="2">
        <v>67.793400000000005</v>
      </c>
      <c r="L157" s="2">
        <v>161</v>
      </c>
      <c r="M157" s="2">
        <v>106.64709999999999</v>
      </c>
      <c r="N157" s="2">
        <v>68</v>
      </c>
      <c r="O157" s="2">
        <v>108.8018</v>
      </c>
      <c r="P157" s="2">
        <v>53</v>
      </c>
      <c r="Q157" s="2">
        <v>95.121099999999998</v>
      </c>
      <c r="R157" s="2">
        <v>44</v>
      </c>
      <c r="S157" s="2">
        <v>93.016999999999996</v>
      </c>
      <c r="T157" s="2">
        <v>22</v>
      </c>
      <c r="U157" s="2">
        <v>0.85846299999999998</v>
      </c>
      <c r="V157" s="2">
        <v>27</v>
      </c>
      <c r="W157" s="2">
        <v>2004</v>
      </c>
    </row>
    <row r="158" spans="1:23" ht="12.3" x14ac:dyDescent="0.4">
      <c r="A158" s="2" t="s">
        <v>23</v>
      </c>
      <c r="B158" s="2">
        <v>5</v>
      </c>
      <c r="C158" s="3" t="s">
        <v>33</v>
      </c>
      <c r="D158" s="3" t="s">
        <v>33</v>
      </c>
      <c r="E158" s="2"/>
      <c r="F158" s="2"/>
      <c r="G158" s="2"/>
      <c r="H158" s="2"/>
      <c r="I158" s="2">
        <v>67.434799999999996</v>
      </c>
      <c r="J158" s="2">
        <v>185</v>
      </c>
      <c r="K158" s="2">
        <v>67.317099999999996</v>
      </c>
      <c r="L158" s="2">
        <v>178</v>
      </c>
      <c r="M158" s="2">
        <v>107.3484</v>
      </c>
      <c r="N158" s="2">
        <v>51</v>
      </c>
      <c r="O158" s="2">
        <v>109.5354</v>
      </c>
      <c r="P158" s="2">
        <v>40</v>
      </c>
      <c r="Q158" s="2">
        <v>98.612799999999993</v>
      </c>
      <c r="R158" s="2">
        <v>102</v>
      </c>
      <c r="S158" s="2">
        <v>94.242099999999994</v>
      </c>
      <c r="T158" s="2">
        <v>34</v>
      </c>
      <c r="U158" s="2">
        <v>0.84933400000000003</v>
      </c>
      <c r="V158" s="2">
        <v>28</v>
      </c>
      <c r="W158" s="2">
        <v>2004</v>
      </c>
    </row>
    <row r="159" spans="1:23" ht="12.3" x14ac:dyDescent="0.4">
      <c r="A159" s="2" t="s">
        <v>162</v>
      </c>
      <c r="B159" s="2">
        <v>11</v>
      </c>
      <c r="C159" s="2"/>
      <c r="D159" s="2"/>
      <c r="E159" s="2"/>
      <c r="F159" s="2"/>
      <c r="G159" s="2"/>
      <c r="H159" s="2"/>
      <c r="I159" s="2">
        <v>68.707499999999996</v>
      </c>
      <c r="J159" s="2">
        <v>133</v>
      </c>
      <c r="K159" s="2">
        <v>67.933199999999999</v>
      </c>
      <c r="L159" s="2">
        <v>157</v>
      </c>
      <c r="M159" s="2">
        <v>114.22709999999999</v>
      </c>
      <c r="N159" s="2">
        <v>7</v>
      </c>
      <c r="O159" s="2">
        <v>112.7411</v>
      </c>
      <c r="P159" s="2">
        <v>18</v>
      </c>
      <c r="Q159" s="2">
        <v>95.243700000000004</v>
      </c>
      <c r="R159" s="2">
        <v>46</v>
      </c>
      <c r="S159" s="2">
        <v>97.1143</v>
      </c>
      <c r="T159" s="2">
        <v>72</v>
      </c>
      <c r="U159" s="2">
        <v>0.84759499999999999</v>
      </c>
      <c r="V159" s="2">
        <v>29</v>
      </c>
      <c r="W159" s="2">
        <v>2004</v>
      </c>
    </row>
    <row r="160" spans="1:23" ht="12.3" x14ac:dyDescent="0.4">
      <c r="A160" s="2" t="s">
        <v>100</v>
      </c>
      <c r="B160" s="2">
        <v>11</v>
      </c>
      <c r="C160" s="2"/>
      <c r="D160" s="2"/>
      <c r="E160" s="2"/>
      <c r="F160" s="2"/>
      <c r="G160" s="2"/>
      <c r="H160" s="2"/>
      <c r="I160" s="2">
        <v>64.411000000000001</v>
      </c>
      <c r="J160" s="2">
        <v>277</v>
      </c>
      <c r="K160" s="2">
        <v>64.231800000000007</v>
      </c>
      <c r="L160" s="2">
        <v>284</v>
      </c>
      <c r="M160" s="2">
        <v>100.23609999999999</v>
      </c>
      <c r="N160" s="2">
        <v>178</v>
      </c>
      <c r="O160" s="2">
        <v>102.89579999999999</v>
      </c>
      <c r="P160" s="2">
        <v>126</v>
      </c>
      <c r="Q160" s="2">
        <v>91.435699999999997</v>
      </c>
      <c r="R160" s="2">
        <v>9</v>
      </c>
      <c r="S160" s="2">
        <v>88.745400000000004</v>
      </c>
      <c r="T160" s="2">
        <v>4</v>
      </c>
      <c r="U160" s="2">
        <v>0.84571399999999997</v>
      </c>
      <c r="V160" s="2">
        <v>30</v>
      </c>
      <c r="W160" s="2">
        <v>2004</v>
      </c>
    </row>
    <row r="161" spans="1:23" ht="12.3" x14ac:dyDescent="0.4">
      <c r="A161" s="2" t="s">
        <v>71</v>
      </c>
      <c r="B161" s="2">
        <v>7</v>
      </c>
      <c r="C161" s="3" t="s">
        <v>33</v>
      </c>
      <c r="D161" s="2"/>
      <c r="E161" s="2"/>
      <c r="F161" s="2"/>
      <c r="G161" s="2"/>
      <c r="H161" s="2"/>
      <c r="I161" s="2">
        <v>68.924599999999998</v>
      </c>
      <c r="J161" s="2">
        <v>125</v>
      </c>
      <c r="K161" s="2">
        <v>69.406499999999994</v>
      </c>
      <c r="L161" s="2">
        <v>103</v>
      </c>
      <c r="M161" s="2">
        <v>107.05419999999999</v>
      </c>
      <c r="N161" s="2">
        <v>56</v>
      </c>
      <c r="O161" s="2">
        <v>110.50530000000001</v>
      </c>
      <c r="P161" s="2">
        <v>30</v>
      </c>
      <c r="Q161" s="2">
        <v>96.126900000000006</v>
      </c>
      <c r="R161" s="2">
        <v>59</v>
      </c>
      <c r="S161" s="2">
        <v>95.398600000000002</v>
      </c>
      <c r="T161" s="2">
        <v>47</v>
      </c>
      <c r="U161" s="2">
        <v>0.84428999999999998</v>
      </c>
      <c r="V161" s="2">
        <v>31</v>
      </c>
      <c r="W161" s="2">
        <v>2004</v>
      </c>
    </row>
    <row r="162" spans="1:23" ht="12.3" x14ac:dyDescent="0.4">
      <c r="A162" s="2" t="s">
        <v>17</v>
      </c>
      <c r="B162" s="2">
        <v>10</v>
      </c>
      <c r="C162" s="2"/>
      <c r="D162" s="2"/>
      <c r="E162" s="2"/>
      <c r="F162" s="2"/>
      <c r="G162" s="2"/>
      <c r="H162" s="2"/>
      <c r="I162" s="2">
        <v>67.206500000000005</v>
      </c>
      <c r="J162" s="2">
        <v>190</v>
      </c>
      <c r="K162" s="2">
        <v>67.311400000000006</v>
      </c>
      <c r="L162" s="2">
        <v>179</v>
      </c>
      <c r="M162" s="2">
        <v>104.57470000000001</v>
      </c>
      <c r="N162" s="2">
        <v>93</v>
      </c>
      <c r="O162" s="2">
        <v>110.1865</v>
      </c>
      <c r="P162" s="2">
        <v>33</v>
      </c>
      <c r="Q162" s="2">
        <v>92.874899999999997</v>
      </c>
      <c r="R162" s="2">
        <v>18</v>
      </c>
      <c r="S162" s="2">
        <v>95.151700000000005</v>
      </c>
      <c r="T162" s="2">
        <v>44</v>
      </c>
      <c r="U162" s="2">
        <v>0.84383900000000001</v>
      </c>
      <c r="V162" s="2">
        <v>32</v>
      </c>
      <c r="W162" s="2">
        <v>2004</v>
      </c>
    </row>
    <row r="163" spans="1:23" ht="12.3" x14ac:dyDescent="0.4">
      <c r="A163" s="2" t="s">
        <v>49</v>
      </c>
      <c r="B163" s="2">
        <v>8</v>
      </c>
      <c r="C163" s="3" t="s">
        <v>33</v>
      </c>
      <c r="D163" s="3" t="s">
        <v>33</v>
      </c>
      <c r="E163" s="3" t="s">
        <v>33</v>
      </c>
      <c r="F163" s="2"/>
      <c r="G163" s="2"/>
      <c r="H163" s="2"/>
      <c r="I163" s="2">
        <v>65.975999999999999</v>
      </c>
      <c r="J163" s="2">
        <v>232</v>
      </c>
      <c r="K163" s="2">
        <v>66.296899999999994</v>
      </c>
      <c r="L163" s="2">
        <v>212</v>
      </c>
      <c r="M163" s="2">
        <v>107.3241</v>
      </c>
      <c r="N163" s="2">
        <v>52</v>
      </c>
      <c r="O163" s="2">
        <v>111.5406</v>
      </c>
      <c r="P163" s="2">
        <v>22</v>
      </c>
      <c r="Q163" s="2">
        <v>100.69110000000001</v>
      </c>
      <c r="R163" s="2">
        <v>144</v>
      </c>
      <c r="S163" s="2">
        <v>96.407300000000006</v>
      </c>
      <c r="T163" s="2">
        <v>64</v>
      </c>
      <c r="U163" s="2">
        <v>0.84247700000000003</v>
      </c>
      <c r="V163" s="2">
        <v>33</v>
      </c>
      <c r="W163" s="2">
        <v>2004</v>
      </c>
    </row>
    <row r="164" spans="1:23" ht="12.3" x14ac:dyDescent="0.4">
      <c r="A164" s="2" t="s">
        <v>95</v>
      </c>
      <c r="B164" s="2">
        <v>6</v>
      </c>
      <c r="C164" s="3" t="s">
        <v>33</v>
      </c>
      <c r="D164" s="2"/>
      <c r="E164" s="2"/>
      <c r="F164" s="2"/>
      <c r="G164" s="2"/>
      <c r="H164" s="2"/>
      <c r="I164" s="2">
        <v>64.422300000000007</v>
      </c>
      <c r="J164" s="2">
        <v>276</v>
      </c>
      <c r="K164" s="2">
        <v>64.396900000000002</v>
      </c>
      <c r="L164" s="2">
        <v>281</v>
      </c>
      <c r="M164" s="2">
        <v>105.0027</v>
      </c>
      <c r="N164" s="2">
        <v>86</v>
      </c>
      <c r="O164" s="2">
        <v>108.3558</v>
      </c>
      <c r="P164" s="2">
        <v>60</v>
      </c>
      <c r="Q164" s="2">
        <v>97.374700000000004</v>
      </c>
      <c r="R164" s="2">
        <v>85</v>
      </c>
      <c r="S164" s="2">
        <v>94.172300000000007</v>
      </c>
      <c r="T164" s="2">
        <v>33</v>
      </c>
      <c r="U164" s="2">
        <v>0.83387999999999995</v>
      </c>
      <c r="V164" s="2">
        <v>34</v>
      </c>
      <c r="W164" s="2">
        <v>2004</v>
      </c>
    </row>
    <row r="165" spans="1:23" ht="12.3" x14ac:dyDescent="0.4">
      <c r="A165" s="2" t="s">
        <v>58</v>
      </c>
      <c r="B165" s="2">
        <v>7</v>
      </c>
      <c r="C165" s="2"/>
      <c r="D165" s="2"/>
      <c r="E165" s="2"/>
      <c r="F165" s="2"/>
      <c r="G165" s="2"/>
      <c r="H165" s="2"/>
      <c r="I165" s="2">
        <v>63.896799999999999</v>
      </c>
      <c r="J165" s="2">
        <v>292</v>
      </c>
      <c r="K165" s="2">
        <v>65.407399999999996</v>
      </c>
      <c r="L165" s="2">
        <v>248</v>
      </c>
      <c r="M165" s="2">
        <v>110.2392</v>
      </c>
      <c r="N165" s="2">
        <v>22</v>
      </c>
      <c r="O165" s="2">
        <v>115.9962</v>
      </c>
      <c r="P165" s="2">
        <v>6</v>
      </c>
      <c r="Q165" s="2">
        <v>103.7989</v>
      </c>
      <c r="R165" s="2">
        <v>225</v>
      </c>
      <c r="S165" s="2">
        <v>100.8951</v>
      </c>
      <c r="T165" s="2">
        <v>156</v>
      </c>
      <c r="U165" s="2">
        <v>0.83257300000000001</v>
      </c>
      <c r="V165" s="2">
        <v>35</v>
      </c>
      <c r="W165" s="2">
        <v>2004</v>
      </c>
    </row>
    <row r="166" spans="1:23" ht="12.3" x14ac:dyDescent="0.4">
      <c r="A166" s="2" t="s">
        <v>96</v>
      </c>
      <c r="B166" s="2">
        <v>12</v>
      </c>
      <c r="C166" s="2"/>
      <c r="D166" s="2"/>
      <c r="E166" s="2"/>
      <c r="F166" s="2"/>
      <c r="G166" s="2"/>
      <c r="H166" s="2"/>
      <c r="I166" s="2">
        <v>66.187600000000003</v>
      </c>
      <c r="J166" s="2">
        <v>225</v>
      </c>
      <c r="K166" s="2">
        <v>68.296599999999998</v>
      </c>
      <c r="L166" s="2">
        <v>142</v>
      </c>
      <c r="M166" s="2">
        <v>108.12220000000001</v>
      </c>
      <c r="N166" s="2">
        <v>42</v>
      </c>
      <c r="O166" s="2">
        <v>109.1647</v>
      </c>
      <c r="P166" s="2">
        <v>48</v>
      </c>
      <c r="Q166" s="2">
        <v>98.9054</v>
      </c>
      <c r="R166" s="2">
        <v>109</v>
      </c>
      <c r="S166" s="2">
        <v>94.997699999999995</v>
      </c>
      <c r="T166" s="2">
        <v>41</v>
      </c>
      <c r="U166" s="2">
        <v>0.83181700000000003</v>
      </c>
      <c r="V166" s="2">
        <v>36</v>
      </c>
      <c r="W166" s="2">
        <v>2004</v>
      </c>
    </row>
    <row r="167" spans="1:23" ht="12.3" x14ac:dyDescent="0.4">
      <c r="A167" s="2" t="s">
        <v>59</v>
      </c>
      <c r="B167" s="2">
        <v>8</v>
      </c>
      <c r="C167" s="3" t="s">
        <v>33</v>
      </c>
      <c r="D167" s="2"/>
      <c r="E167" s="2"/>
      <c r="F167" s="2"/>
      <c r="G167" s="2"/>
      <c r="H167" s="2"/>
      <c r="I167" s="2">
        <v>69.149000000000001</v>
      </c>
      <c r="J167" s="2">
        <v>117</v>
      </c>
      <c r="K167" s="2">
        <v>69.041700000000006</v>
      </c>
      <c r="L167" s="2">
        <v>118</v>
      </c>
      <c r="M167" s="2">
        <v>105.8933</v>
      </c>
      <c r="N167" s="2">
        <v>77</v>
      </c>
      <c r="O167" s="2">
        <v>107.68129999999999</v>
      </c>
      <c r="P167" s="2">
        <v>63</v>
      </c>
      <c r="Q167" s="2">
        <v>96.262699999999995</v>
      </c>
      <c r="R167" s="2">
        <v>60</v>
      </c>
      <c r="S167" s="2">
        <v>93.998699999999999</v>
      </c>
      <c r="T167" s="2">
        <v>31</v>
      </c>
      <c r="U167" s="2">
        <v>0.82675399999999999</v>
      </c>
      <c r="V167" s="2">
        <v>37</v>
      </c>
      <c r="W167" s="2">
        <v>2004</v>
      </c>
    </row>
    <row r="168" spans="1:23" ht="12.3" x14ac:dyDescent="0.4">
      <c r="A168" s="2" t="s">
        <v>204</v>
      </c>
      <c r="B168" s="2">
        <v>11</v>
      </c>
      <c r="C168" s="2"/>
      <c r="D168" s="2"/>
      <c r="E168" s="2"/>
      <c r="F168" s="2"/>
      <c r="G168" s="2"/>
      <c r="H168" s="2"/>
      <c r="I168" s="2">
        <v>53.996000000000002</v>
      </c>
      <c r="J168" s="2">
        <v>326</v>
      </c>
      <c r="K168" s="2">
        <v>53.543500000000002</v>
      </c>
      <c r="L168" s="2">
        <v>326</v>
      </c>
      <c r="M168" s="2">
        <v>111.15130000000001</v>
      </c>
      <c r="N168" s="2">
        <v>20</v>
      </c>
      <c r="O168" s="2">
        <v>109.2684</v>
      </c>
      <c r="P168" s="2">
        <v>46</v>
      </c>
      <c r="Q168" s="2">
        <v>93.431899999999999</v>
      </c>
      <c r="R168" s="2">
        <v>25</v>
      </c>
      <c r="S168" s="2">
        <v>95.621499999999997</v>
      </c>
      <c r="T168" s="2">
        <v>53</v>
      </c>
      <c r="U168" s="2">
        <v>0.82262199999999996</v>
      </c>
      <c r="V168" s="2">
        <v>38</v>
      </c>
      <c r="W168" s="2">
        <v>2004</v>
      </c>
    </row>
    <row r="169" spans="1:23" ht="12.3" x14ac:dyDescent="0.4">
      <c r="A169" s="2" t="s">
        <v>63</v>
      </c>
      <c r="B169" s="2">
        <v>9</v>
      </c>
      <c r="C169" s="2"/>
      <c r="D169" s="2"/>
      <c r="E169" s="2"/>
      <c r="F169" s="2"/>
      <c r="G169" s="2"/>
      <c r="H169" s="2"/>
      <c r="I169" s="2">
        <v>71.510400000000004</v>
      </c>
      <c r="J169" s="2">
        <v>37</v>
      </c>
      <c r="K169" s="2">
        <v>71.205500000000001</v>
      </c>
      <c r="L169" s="2">
        <v>39</v>
      </c>
      <c r="M169" s="2">
        <v>108.2775</v>
      </c>
      <c r="N169" s="2">
        <v>38</v>
      </c>
      <c r="O169" s="2">
        <v>111.4033</v>
      </c>
      <c r="P169" s="2">
        <v>25</v>
      </c>
      <c r="Q169" s="2">
        <v>97.519599999999997</v>
      </c>
      <c r="R169" s="2">
        <v>87</v>
      </c>
      <c r="S169" s="2">
        <v>97.554299999999998</v>
      </c>
      <c r="T169" s="2">
        <v>82</v>
      </c>
      <c r="U169" s="2">
        <v>0.82150900000000004</v>
      </c>
      <c r="V169" s="2">
        <v>39</v>
      </c>
      <c r="W169" s="2">
        <v>2004</v>
      </c>
    </row>
    <row r="170" spans="1:23" ht="12.3" x14ac:dyDescent="0.4">
      <c r="A170" s="2" t="s">
        <v>128</v>
      </c>
      <c r="B170" s="2">
        <v>9</v>
      </c>
      <c r="C170" s="3" t="s">
        <v>33</v>
      </c>
      <c r="D170" s="3" t="s">
        <v>33</v>
      </c>
      <c r="E170" s="2"/>
      <c r="F170" s="2"/>
      <c r="G170" s="2"/>
      <c r="H170" s="2"/>
      <c r="I170" s="2">
        <v>72.318100000000001</v>
      </c>
      <c r="J170" s="2">
        <v>26</v>
      </c>
      <c r="K170" s="2">
        <v>71.996499999999997</v>
      </c>
      <c r="L170" s="2">
        <v>24</v>
      </c>
      <c r="M170" s="2">
        <v>102.9431</v>
      </c>
      <c r="N170" s="2">
        <v>114</v>
      </c>
      <c r="O170" s="2">
        <v>103.85939999999999</v>
      </c>
      <c r="P170" s="2">
        <v>103</v>
      </c>
      <c r="Q170" s="2">
        <v>92.502700000000004</v>
      </c>
      <c r="R170" s="2">
        <v>17</v>
      </c>
      <c r="S170" s="2">
        <v>91.0124</v>
      </c>
      <c r="T170" s="2">
        <v>13</v>
      </c>
      <c r="U170" s="2">
        <v>0.82031500000000002</v>
      </c>
      <c r="V170" s="2">
        <v>40</v>
      </c>
      <c r="W170" s="2">
        <v>2004</v>
      </c>
    </row>
    <row r="171" spans="1:23" ht="12.3" x14ac:dyDescent="0.4">
      <c r="A171" s="2" t="s">
        <v>70</v>
      </c>
      <c r="B171" s="2">
        <v>11</v>
      </c>
      <c r="C171" s="2"/>
      <c r="D171" s="2"/>
      <c r="E171" s="2"/>
      <c r="F171" s="2"/>
      <c r="G171" s="2"/>
      <c r="H171" s="2"/>
      <c r="I171" s="2">
        <v>60.356000000000002</v>
      </c>
      <c r="J171" s="2">
        <v>320</v>
      </c>
      <c r="K171" s="2">
        <v>60.9255</v>
      </c>
      <c r="L171" s="2">
        <v>316</v>
      </c>
      <c r="M171" s="2">
        <v>107.6079</v>
      </c>
      <c r="N171" s="2">
        <v>49</v>
      </c>
      <c r="O171" s="2">
        <v>108.45050000000001</v>
      </c>
      <c r="P171" s="2">
        <v>57</v>
      </c>
      <c r="Q171" s="2">
        <v>95.925200000000004</v>
      </c>
      <c r="R171" s="2">
        <v>54</v>
      </c>
      <c r="S171" s="2">
        <v>95.622</v>
      </c>
      <c r="T171" s="2">
        <v>54</v>
      </c>
      <c r="U171" s="2">
        <v>0.80964999999999998</v>
      </c>
      <c r="V171" s="2">
        <v>42</v>
      </c>
      <c r="W171" s="2">
        <v>2004</v>
      </c>
    </row>
    <row r="172" spans="1:23" ht="12.3" x14ac:dyDescent="0.4">
      <c r="A172" s="2" t="s">
        <v>43</v>
      </c>
      <c r="B172" s="2">
        <v>9</v>
      </c>
      <c r="C172" s="2"/>
      <c r="D172" s="2"/>
      <c r="E172" s="2"/>
      <c r="F172" s="2"/>
      <c r="G172" s="2"/>
      <c r="H172" s="2"/>
      <c r="I172" s="2">
        <v>76.178399999999996</v>
      </c>
      <c r="J172" s="2">
        <v>3</v>
      </c>
      <c r="K172" s="2">
        <v>75.163300000000007</v>
      </c>
      <c r="L172" s="2">
        <v>3</v>
      </c>
      <c r="M172" s="2">
        <v>114.9447</v>
      </c>
      <c r="N172" s="2">
        <v>4</v>
      </c>
      <c r="O172" s="2">
        <v>115.55</v>
      </c>
      <c r="P172" s="2">
        <v>8</v>
      </c>
      <c r="Q172" s="2">
        <v>103.25109999999999</v>
      </c>
      <c r="R172" s="2">
        <v>208</v>
      </c>
      <c r="S172" s="2">
        <v>101.99890000000001</v>
      </c>
      <c r="T172" s="2">
        <v>175</v>
      </c>
      <c r="U172" s="2">
        <v>0.80760500000000002</v>
      </c>
      <c r="V172" s="2">
        <v>44</v>
      </c>
      <c r="W172" s="2">
        <v>2004</v>
      </c>
    </row>
    <row r="173" spans="1:23" ht="12.3" x14ac:dyDescent="0.4">
      <c r="A173" s="2" t="s">
        <v>219</v>
      </c>
      <c r="B173" s="2">
        <v>13</v>
      </c>
      <c r="C173" s="2"/>
      <c r="D173" s="2"/>
      <c r="E173" s="2"/>
      <c r="F173" s="2"/>
      <c r="G173" s="2"/>
      <c r="H173" s="2"/>
      <c r="I173" s="2">
        <v>69.210300000000004</v>
      </c>
      <c r="J173" s="2">
        <v>112</v>
      </c>
      <c r="K173" s="2">
        <v>69.877700000000004</v>
      </c>
      <c r="L173" s="2">
        <v>82</v>
      </c>
      <c r="M173" s="2">
        <v>109.0586</v>
      </c>
      <c r="N173" s="2">
        <v>28</v>
      </c>
      <c r="O173" s="2">
        <v>108.3652</v>
      </c>
      <c r="P173" s="2">
        <v>59</v>
      </c>
      <c r="Q173" s="2">
        <v>96.9255</v>
      </c>
      <c r="R173" s="2">
        <v>77</v>
      </c>
      <c r="S173" s="2">
        <v>95.667599999999993</v>
      </c>
      <c r="T173" s="2">
        <v>55</v>
      </c>
      <c r="U173" s="2">
        <v>0.80740100000000004</v>
      </c>
      <c r="V173" s="2">
        <v>45</v>
      </c>
      <c r="W173" s="2">
        <v>2004</v>
      </c>
    </row>
    <row r="174" spans="1:23" ht="12.3" x14ac:dyDescent="0.4">
      <c r="A174" s="2" t="s">
        <v>82</v>
      </c>
      <c r="B174" s="2">
        <v>9</v>
      </c>
      <c r="C174" s="2"/>
      <c r="D174" s="2"/>
      <c r="E174" s="2"/>
      <c r="F174" s="2"/>
      <c r="G174" s="2"/>
      <c r="H174" s="2"/>
      <c r="I174" s="2">
        <v>66.801299999999998</v>
      </c>
      <c r="J174" s="2">
        <v>199</v>
      </c>
      <c r="K174" s="2">
        <v>67.39</v>
      </c>
      <c r="L174" s="2">
        <v>174</v>
      </c>
      <c r="M174" s="2">
        <v>106.7103</v>
      </c>
      <c r="N174" s="2">
        <v>66</v>
      </c>
      <c r="O174" s="2">
        <v>106.7555</v>
      </c>
      <c r="P174" s="2">
        <v>71</v>
      </c>
      <c r="Q174" s="2">
        <v>94.087599999999995</v>
      </c>
      <c r="R174" s="2">
        <v>30</v>
      </c>
      <c r="S174" s="2">
        <v>94.427800000000005</v>
      </c>
      <c r="T174" s="2">
        <v>37</v>
      </c>
      <c r="U174" s="2">
        <v>0.80394200000000005</v>
      </c>
      <c r="V174" s="2">
        <v>47</v>
      </c>
      <c r="W174" s="2">
        <v>2004</v>
      </c>
    </row>
    <row r="175" spans="1:23" ht="12.3" x14ac:dyDescent="0.4">
      <c r="A175" s="2" t="s">
        <v>207</v>
      </c>
      <c r="B175" s="2">
        <v>7</v>
      </c>
      <c r="C175" s="3" t="s">
        <v>33</v>
      </c>
      <c r="D175" s="2"/>
      <c r="E175" s="2"/>
      <c r="F175" s="2"/>
      <c r="G175" s="2"/>
      <c r="H175" s="2"/>
      <c r="I175" s="2">
        <v>64.719099999999997</v>
      </c>
      <c r="J175" s="2">
        <v>267</v>
      </c>
      <c r="K175" s="2">
        <v>64.094899999999996</v>
      </c>
      <c r="L175" s="2">
        <v>288</v>
      </c>
      <c r="M175" s="2">
        <v>109.1876</v>
      </c>
      <c r="N175" s="2">
        <v>27</v>
      </c>
      <c r="O175" s="2">
        <v>113.5851</v>
      </c>
      <c r="P175" s="2">
        <v>15</v>
      </c>
      <c r="Q175" s="2">
        <v>103.89449999999999</v>
      </c>
      <c r="R175" s="2">
        <v>231</v>
      </c>
      <c r="S175" s="2">
        <v>101.74039999999999</v>
      </c>
      <c r="T175" s="2">
        <v>168</v>
      </c>
      <c r="U175" s="2">
        <v>0.780138</v>
      </c>
      <c r="V175" s="2">
        <v>50</v>
      </c>
      <c r="W175" s="2">
        <v>2004</v>
      </c>
    </row>
    <row r="176" spans="1:23" ht="12.3" x14ac:dyDescent="0.4">
      <c r="A176" s="2" t="s">
        <v>139</v>
      </c>
      <c r="B176" s="2">
        <v>12</v>
      </c>
      <c r="C176" s="3" t="s">
        <v>33</v>
      </c>
      <c r="D176" s="2"/>
      <c r="E176" s="2"/>
      <c r="F176" s="2"/>
      <c r="G176" s="2"/>
      <c r="H176" s="2"/>
      <c r="I176" s="2">
        <v>68.131900000000002</v>
      </c>
      <c r="J176" s="2">
        <v>152</v>
      </c>
      <c r="K176" s="2">
        <v>67.272199999999998</v>
      </c>
      <c r="L176" s="2">
        <v>182</v>
      </c>
      <c r="M176" s="2">
        <v>108.73990000000001</v>
      </c>
      <c r="N176" s="2">
        <v>35</v>
      </c>
      <c r="O176" s="2">
        <v>105.7794</v>
      </c>
      <c r="P176" s="2">
        <v>80</v>
      </c>
      <c r="Q176" s="2">
        <v>93.287800000000004</v>
      </c>
      <c r="R176" s="2">
        <v>22</v>
      </c>
      <c r="S176" s="2">
        <v>95.098500000000001</v>
      </c>
      <c r="T176" s="2">
        <v>43</v>
      </c>
      <c r="U176" s="2">
        <v>0.772783</v>
      </c>
      <c r="V176" s="2">
        <v>51</v>
      </c>
      <c r="W176" s="2">
        <v>2004</v>
      </c>
    </row>
    <row r="177" spans="1:23" ht="12.3" x14ac:dyDescent="0.4">
      <c r="A177" s="2" t="s">
        <v>144</v>
      </c>
      <c r="B177" s="2">
        <v>13</v>
      </c>
      <c r="C177" s="2"/>
      <c r="D177" s="2"/>
      <c r="E177" s="2"/>
      <c r="F177" s="2"/>
      <c r="G177" s="2"/>
      <c r="H177" s="2"/>
      <c r="I177" s="2">
        <v>65.368399999999994</v>
      </c>
      <c r="J177" s="2">
        <v>250</v>
      </c>
      <c r="K177" s="2">
        <v>66.464100000000002</v>
      </c>
      <c r="L177" s="2">
        <v>205</v>
      </c>
      <c r="M177" s="2">
        <v>106.93770000000001</v>
      </c>
      <c r="N177" s="2">
        <v>59</v>
      </c>
      <c r="O177" s="2">
        <v>105.1627</v>
      </c>
      <c r="P177" s="2">
        <v>88</v>
      </c>
      <c r="Q177" s="2">
        <v>95.346599999999995</v>
      </c>
      <c r="R177" s="2">
        <v>48</v>
      </c>
      <c r="S177" s="2">
        <v>94.928600000000003</v>
      </c>
      <c r="T177" s="2">
        <v>40</v>
      </c>
      <c r="U177" s="2">
        <v>0.76448199999999999</v>
      </c>
      <c r="V177" s="2">
        <v>54</v>
      </c>
      <c r="W177" s="2">
        <v>2004</v>
      </c>
    </row>
    <row r="178" spans="1:23" ht="12.3" x14ac:dyDescent="0.4">
      <c r="A178" s="2" t="s">
        <v>117</v>
      </c>
      <c r="B178" s="2">
        <v>14</v>
      </c>
      <c r="C178" s="2"/>
      <c r="D178" s="2"/>
      <c r="E178" s="2"/>
      <c r="F178" s="2"/>
      <c r="G178" s="2"/>
      <c r="H178" s="2"/>
      <c r="I178" s="2">
        <v>70.548100000000005</v>
      </c>
      <c r="J178" s="2">
        <v>68</v>
      </c>
      <c r="K178" s="2">
        <v>70.735200000000006</v>
      </c>
      <c r="L178" s="2">
        <v>55</v>
      </c>
      <c r="M178" s="2">
        <v>108.1981</v>
      </c>
      <c r="N178" s="2">
        <v>39</v>
      </c>
      <c r="O178" s="2">
        <v>107.6224</v>
      </c>
      <c r="P178" s="2">
        <v>64</v>
      </c>
      <c r="Q178" s="2">
        <v>99.0578</v>
      </c>
      <c r="R178" s="2">
        <v>112</v>
      </c>
      <c r="S178" s="2">
        <v>97.595200000000006</v>
      </c>
      <c r="T178" s="2">
        <v>83</v>
      </c>
      <c r="U178" s="2">
        <v>0.75485999999999998</v>
      </c>
      <c r="V178" s="2">
        <v>57</v>
      </c>
      <c r="W178" s="2">
        <v>2004</v>
      </c>
    </row>
    <row r="179" spans="1:23" ht="12.3" x14ac:dyDescent="0.4">
      <c r="A179" s="2" t="s">
        <v>181</v>
      </c>
      <c r="B179" s="2">
        <v>12</v>
      </c>
      <c r="C179" s="2"/>
      <c r="D179" s="2"/>
      <c r="E179" s="2"/>
      <c r="F179" s="2"/>
      <c r="G179" s="2"/>
      <c r="H179" s="2"/>
      <c r="I179" s="2">
        <v>70.644099999999995</v>
      </c>
      <c r="J179" s="2">
        <v>65</v>
      </c>
      <c r="K179" s="2">
        <v>70.387200000000007</v>
      </c>
      <c r="L179" s="2">
        <v>64</v>
      </c>
      <c r="M179" s="2">
        <v>113.2004</v>
      </c>
      <c r="N179" s="2">
        <v>8</v>
      </c>
      <c r="O179" s="2">
        <v>108.429</v>
      </c>
      <c r="P179" s="2">
        <v>58</v>
      </c>
      <c r="Q179" s="2">
        <v>97.546000000000006</v>
      </c>
      <c r="R179" s="2">
        <v>88</v>
      </c>
      <c r="S179" s="2">
        <v>98.438100000000006</v>
      </c>
      <c r="T179" s="2">
        <v>100</v>
      </c>
      <c r="U179" s="2">
        <v>0.75244100000000003</v>
      </c>
      <c r="V179" s="2">
        <v>58</v>
      </c>
      <c r="W179" s="2">
        <v>2004</v>
      </c>
    </row>
    <row r="180" spans="1:23" ht="12.3" x14ac:dyDescent="0.4">
      <c r="A180" s="2" t="s">
        <v>131</v>
      </c>
      <c r="B180" s="2">
        <v>8</v>
      </c>
      <c r="C180" s="2"/>
      <c r="D180" s="2"/>
      <c r="E180" s="2"/>
      <c r="F180" s="2"/>
      <c r="G180" s="2"/>
      <c r="H180" s="2"/>
      <c r="I180" s="2">
        <v>75.138099999999994</v>
      </c>
      <c r="J180" s="2">
        <v>7</v>
      </c>
      <c r="K180" s="2">
        <v>74.950400000000002</v>
      </c>
      <c r="L180" s="2">
        <v>7</v>
      </c>
      <c r="M180" s="2">
        <v>107.48439999999999</v>
      </c>
      <c r="N180" s="2">
        <v>50</v>
      </c>
      <c r="O180" s="2">
        <v>109.9194</v>
      </c>
      <c r="P180" s="2">
        <v>35</v>
      </c>
      <c r="Q180" s="2">
        <v>103.651</v>
      </c>
      <c r="R180" s="2">
        <v>220</v>
      </c>
      <c r="S180" s="2">
        <v>99.917000000000002</v>
      </c>
      <c r="T180" s="2">
        <v>134</v>
      </c>
      <c r="U180" s="2">
        <v>0.74973400000000001</v>
      </c>
      <c r="V180" s="2">
        <v>59</v>
      </c>
      <c r="W180" s="2">
        <v>2004</v>
      </c>
    </row>
    <row r="181" spans="1:23" ht="12.3" x14ac:dyDescent="0.4">
      <c r="A181" s="2" t="s">
        <v>64</v>
      </c>
      <c r="B181" s="2">
        <v>10</v>
      </c>
      <c r="C181" s="2"/>
      <c r="D181" s="2"/>
      <c r="E181" s="2"/>
      <c r="F181" s="2"/>
      <c r="G181" s="2"/>
      <c r="H181" s="2"/>
      <c r="I181" s="2">
        <v>63.852800000000002</v>
      </c>
      <c r="J181" s="2">
        <v>294</v>
      </c>
      <c r="K181" s="2">
        <v>63.806899999999999</v>
      </c>
      <c r="L181" s="2">
        <v>293</v>
      </c>
      <c r="M181" s="2">
        <v>106.0314</v>
      </c>
      <c r="N181" s="2">
        <v>76</v>
      </c>
      <c r="O181" s="2">
        <v>106.8096</v>
      </c>
      <c r="P181" s="2">
        <v>70</v>
      </c>
      <c r="Q181" s="2">
        <v>100.0119</v>
      </c>
      <c r="R181" s="2">
        <v>131</v>
      </c>
      <c r="S181" s="2">
        <v>97.093500000000006</v>
      </c>
      <c r="T181" s="2">
        <v>71</v>
      </c>
      <c r="U181" s="2">
        <v>0.74965899999999996</v>
      </c>
      <c r="V181" s="2">
        <v>60</v>
      </c>
      <c r="W181" s="2">
        <v>2004</v>
      </c>
    </row>
    <row r="182" spans="1:23" ht="12.3" x14ac:dyDescent="0.4">
      <c r="A182" s="2" t="s">
        <v>108</v>
      </c>
      <c r="B182" s="2">
        <v>13</v>
      </c>
      <c r="C182" s="2"/>
      <c r="D182" s="2"/>
      <c r="E182" s="2"/>
      <c r="F182" s="2"/>
      <c r="G182" s="2"/>
      <c r="H182" s="2"/>
      <c r="I182" s="2">
        <v>75.729799999999997</v>
      </c>
      <c r="J182" s="2">
        <v>5</v>
      </c>
      <c r="K182" s="2">
        <v>74.971599999999995</v>
      </c>
      <c r="L182" s="2">
        <v>6</v>
      </c>
      <c r="M182" s="2">
        <v>102.65479999999999</v>
      </c>
      <c r="N182" s="2">
        <v>117</v>
      </c>
      <c r="O182" s="2">
        <v>102.91540000000001</v>
      </c>
      <c r="P182" s="2">
        <v>125</v>
      </c>
      <c r="Q182" s="2">
        <v>92.195800000000006</v>
      </c>
      <c r="R182" s="2">
        <v>14</v>
      </c>
      <c r="S182" s="2">
        <v>94.046599999999998</v>
      </c>
      <c r="T182" s="2">
        <v>32</v>
      </c>
      <c r="U182" s="2">
        <v>0.73814400000000002</v>
      </c>
      <c r="V182" s="2">
        <v>66</v>
      </c>
      <c r="W182" s="2">
        <v>2004</v>
      </c>
    </row>
    <row r="183" spans="1:23" ht="12.3" x14ac:dyDescent="0.4">
      <c r="A183" s="2" t="s">
        <v>137</v>
      </c>
      <c r="B183" s="2">
        <v>13</v>
      </c>
      <c r="C183" s="2"/>
      <c r="D183" s="2"/>
      <c r="E183" s="2"/>
      <c r="F183" s="2"/>
      <c r="G183" s="2"/>
      <c r="H183" s="2"/>
      <c r="I183" s="2">
        <v>67.848600000000005</v>
      </c>
      <c r="J183" s="2">
        <v>169</v>
      </c>
      <c r="K183" s="2">
        <v>66.411799999999999</v>
      </c>
      <c r="L183" s="2">
        <v>207</v>
      </c>
      <c r="M183" s="2">
        <v>103.337</v>
      </c>
      <c r="N183" s="2">
        <v>107</v>
      </c>
      <c r="O183" s="2">
        <v>102.5355</v>
      </c>
      <c r="P183" s="2">
        <v>133</v>
      </c>
      <c r="Q183" s="2">
        <v>93.336200000000005</v>
      </c>
      <c r="R183" s="2">
        <v>24</v>
      </c>
      <c r="S183" s="2">
        <v>94.379499999999993</v>
      </c>
      <c r="T183" s="2">
        <v>36</v>
      </c>
      <c r="U183" s="2">
        <v>0.72175500000000004</v>
      </c>
      <c r="V183" s="2">
        <v>74</v>
      </c>
      <c r="W183" s="2">
        <v>2004</v>
      </c>
    </row>
    <row r="184" spans="1:23" ht="12.3" x14ac:dyDescent="0.4">
      <c r="A184" s="2" t="s">
        <v>126</v>
      </c>
      <c r="B184" s="2">
        <v>12</v>
      </c>
      <c r="C184" s="3" t="s">
        <v>33</v>
      </c>
      <c r="D184" s="2"/>
      <c r="E184" s="2"/>
      <c r="F184" s="2"/>
      <c r="G184" s="2"/>
      <c r="H184" s="2"/>
      <c r="I184" s="2">
        <v>64.537999999999997</v>
      </c>
      <c r="J184" s="2">
        <v>269</v>
      </c>
      <c r="K184" s="2">
        <v>65.751499999999993</v>
      </c>
      <c r="L184" s="2">
        <v>235</v>
      </c>
      <c r="M184" s="2">
        <v>106.2727</v>
      </c>
      <c r="N184" s="2">
        <v>72</v>
      </c>
      <c r="O184" s="2">
        <v>106.3002</v>
      </c>
      <c r="P184" s="2">
        <v>77</v>
      </c>
      <c r="Q184" s="2">
        <v>98.217600000000004</v>
      </c>
      <c r="R184" s="2">
        <v>98</v>
      </c>
      <c r="S184" s="2">
        <v>98.311800000000005</v>
      </c>
      <c r="T184" s="2">
        <v>96</v>
      </c>
      <c r="U184" s="2">
        <v>0.71062400000000003</v>
      </c>
      <c r="V184" s="2">
        <v>80</v>
      </c>
      <c r="W184" s="2">
        <v>2004</v>
      </c>
    </row>
    <row r="185" spans="1:23" ht="12.3" x14ac:dyDescent="0.4">
      <c r="A185" s="2" t="s">
        <v>216</v>
      </c>
      <c r="B185" s="2">
        <v>14</v>
      </c>
      <c r="C185" s="2"/>
      <c r="D185" s="2"/>
      <c r="E185" s="2"/>
      <c r="F185" s="2"/>
      <c r="G185" s="2"/>
      <c r="H185" s="2"/>
      <c r="I185" s="2">
        <v>65.566900000000004</v>
      </c>
      <c r="J185" s="2">
        <v>243</v>
      </c>
      <c r="K185" s="2">
        <v>66.534499999999994</v>
      </c>
      <c r="L185" s="2">
        <v>204</v>
      </c>
      <c r="M185" s="2">
        <v>104.0239</v>
      </c>
      <c r="N185" s="2">
        <v>97</v>
      </c>
      <c r="O185" s="2">
        <v>105.02800000000001</v>
      </c>
      <c r="P185" s="2">
        <v>90</v>
      </c>
      <c r="Q185" s="2">
        <v>98.105699999999999</v>
      </c>
      <c r="R185" s="2">
        <v>96</v>
      </c>
      <c r="S185" s="2">
        <v>97.493700000000004</v>
      </c>
      <c r="T185" s="2">
        <v>80</v>
      </c>
      <c r="U185" s="2">
        <v>0.70183399999999996</v>
      </c>
      <c r="V185" s="2">
        <v>82</v>
      </c>
      <c r="W185" s="2">
        <v>2004</v>
      </c>
    </row>
    <row r="186" spans="1:23" ht="12.3" x14ac:dyDescent="0.4">
      <c r="A186" s="2" t="s">
        <v>177</v>
      </c>
      <c r="B186" s="2">
        <v>14</v>
      </c>
      <c r="C186" s="2"/>
      <c r="D186" s="2"/>
      <c r="E186" s="2"/>
      <c r="F186" s="2"/>
      <c r="G186" s="2"/>
      <c r="H186" s="2"/>
      <c r="I186" s="2">
        <v>66.016900000000007</v>
      </c>
      <c r="J186" s="2">
        <v>231</v>
      </c>
      <c r="K186" s="2">
        <v>64.545299999999997</v>
      </c>
      <c r="L186" s="2">
        <v>279</v>
      </c>
      <c r="M186" s="2">
        <v>106.3861</v>
      </c>
      <c r="N186" s="2">
        <v>70</v>
      </c>
      <c r="O186" s="2">
        <v>102.6353</v>
      </c>
      <c r="P186" s="2">
        <v>130</v>
      </c>
      <c r="Q186" s="2">
        <v>94.286600000000007</v>
      </c>
      <c r="R186" s="2">
        <v>35</v>
      </c>
      <c r="S186" s="2">
        <v>96.471400000000003</v>
      </c>
      <c r="T186" s="2">
        <v>65</v>
      </c>
      <c r="U186" s="2">
        <v>0.67090099999999997</v>
      </c>
      <c r="V186" s="2">
        <v>90</v>
      </c>
      <c r="W186" s="2">
        <v>2004</v>
      </c>
    </row>
    <row r="187" spans="1:23" ht="12.3" x14ac:dyDescent="0.4">
      <c r="A187" s="2" t="s">
        <v>176</v>
      </c>
      <c r="B187" s="2">
        <v>14</v>
      </c>
      <c r="C187" s="2"/>
      <c r="D187" s="2"/>
      <c r="E187" s="2"/>
      <c r="F187" s="2"/>
      <c r="G187" s="2"/>
      <c r="H187" s="2"/>
      <c r="I187" s="2">
        <v>58.133899999999997</v>
      </c>
      <c r="J187" s="2">
        <v>324</v>
      </c>
      <c r="K187" s="2">
        <v>58.349699999999999</v>
      </c>
      <c r="L187" s="2">
        <v>324</v>
      </c>
      <c r="M187" s="2">
        <v>105.82299999999999</v>
      </c>
      <c r="N187" s="2">
        <v>79</v>
      </c>
      <c r="O187" s="2">
        <v>104.8519</v>
      </c>
      <c r="P187" s="2">
        <v>96</v>
      </c>
      <c r="Q187" s="2">
        <v>96.420599999999993</v>
      </c>
      <c r="R187" s="2">
        <v>64</v>
      </c>
      <c r="S187" s="2">
        <v>99.353700000000003</v>
      </c>
      <c r="T187" s="2">
        <v>121</v>
      </c>
      <c r="U187" s="2">
        <v>0.65008699999999997</v>
      </c>
      <c r="V187" s="2">
        <v>97</v>
      </c>
      <c r="W187" s="2">
        <v>2004</v>
      </c>
    </row>
    <row r="188" spans="1:23" ht="12.3" x14ac:dyDescent="0.4">
      <c r="A188" s="2" t="s">
        <v>187</v>
      </c>
      <c r="B188" s="2">
        <v>15</v>
      </c>
      <c r="C188" s="2"/>
      <c r="D188" s="2"/>
      <c r="E188" s="2"/>
      <c r="F188" s="2"/>
      <c r="G188" s="2"/>
      <c r="H188" s="2"/>
      <c r="I188" s="2">
        <v>66.737700000000004</v>
      </c>
      <c r="J188" s="2">
        <v>201</v>
      </c>
      <c r="K188" s="2">
        <v>66.009399999999999</v>
      </c>
      <c r="L188" s="2">
        <v>225</v>
      </c>
      <c r="M188" s="2">
        <v>103.7423</v>
      </c>
      <c r="N188" s="2">
        <v>99</v>
      </c>
      <c r="O188" s="2">
        <v>103.4299</v>
      </c>
      <c r="P188" s="2">
        <v>110</v>
      </c>
      <c r="Q188" s="2">
        <v>100.7355</v>
      </c>
      <c r="R188" s="2">
        <v>146</v>
      </c>
      <c r="S188" s="2">
        <v>100.8342</v>
      </c>
      <c r="T188" s="2">
        <v>154</v>
      </c>
      <c r="U188" s="2">
        <v>0.57255699999999998</v>
      </c>
      <c r="V188" s="2">
        <v>127</v>
      </c>
      <c r="W188" s="2">
        <v>2004</v>
      </c>
    </row>
    <row r="189" spans="1:23" ht="12.3" x14ac:dyDescent="0.4">
      <c r="A189" s="2" t="s">
        <v>74</v>
      </c>
      <c r="B189" s="2">
        <v>15</v>
      </c>
      <c r="C189" s="2"/>
      <c r="D189" s="2"/>
      <c r="E189" s="2"/>
      <c r="F189" s="2"/>
      <c r="G189" s="2"/>
      <c r="H189" s="2"/>
      <c r="I189" s="2">
        <v>70.860299999999995</v>
      </c>
      <c r="J189" s="2">
        <v>55</v>
      </c>
      <c r="K189" s="2">
        <v>70.952600000000004</v>
      </c>
      <c r="L189" s="2">
        <v>47</v>
      </c>
      <c r="M189" s="2">
        <v>101.3026</v>
      </c>
      <c r="N189" s="2">
        <v>157</v>
      </c>
      <c r="O189" s="2">
        <v>99.808899999999994</v>
      </c>
      <c r="P189" s="2">
        <v>182</v>
      </c>
      <c r="Q189" s="2">
        <v>100.0056</v>
      </c>
      <c r="R189" s="2">
        <v>130</v>
      </c>
      <c r="S189" s="2">
        <v>98.598699999999994</v>
      </c>
      <c r="T189" s="2">
        <v>102</v>
      </c>
      <c r="U189" s="2">
        <v>0.53501699999999996</v>
      </c>
      <c r="V189" s="2">
        <v>138</v>
      </c>
      <c r="W189" s="2">
        <v>2004</v>
      </c>
    </row>
    <row r="190" spans="1:23" ht="12.3" x14ac:dyDescent="0.4">
      <c r="A190" s="2" t="s">
        <v>220</v>
      </c>
      <c r="B190" s="2">
        <v>15</v>
      </c>
      <c r="C190" s="2"/>
      <c r="D190" s="2"/>
      <c r="E190" s="2"/>
      <c r="F190" s="2"/>
      <c r="G190" s="2"/>
      <c r="H190" s="2"/>
      <c r="I190" s="2">
        <v>65.257099999999994</v>
      </c>
      <c r="J190" s="2">
        <v>254</v>
      </c>
      <c r="K190" s="2">
        <v>66.093000000000004</v>
      </c>
      <c r="L190" s="2">
        <v>222</v>
      </c>
      <c r="M190" s="2">
        <v>101.6133</v>
      </c>
      <c r="N190" s="2">
        <v>148</v>
      </c>
      <c r="O190" s="2">
        <v>99.417500000000004</v>
      </c>
      <c r="P190" s="2">
        <v>194</v>
      </c>
      <c r="Q190" s="2">
        <v>95.119200000000006</v>
      </c>
      <c r="R190" s="2">
        <v>43</v>
      </c>
      <c r="S190" s="2">
        <v>99.984800000000007</v>
      </c>
      <c r="T190" s="2">
        <v>137</v>
      </c>
      <c r="U190" s="2">
        <v>0.48364800000000002</v>
      </c>
      <c r="V190" s="2">
        <v>159</v>
      </c>
      <c r="W190" s="2">
        <v>2004</v>
      </c>
    </row>
    <row r="191" spans="1:23" ht="12.3" x14ac:dyDescent="0.4">
      <c r="A191" s="2" t="s">
        <v>346</v>
      </c>
      <c r="B191" s="2">
        <v>16</v>
      </c>
      <c r="C191" s="2"/>
      <c r="D191" s="2"/>
      <c r="E191" s="2"/>
      <c r="F191" s="2"/>
      <c r="G191" s="2"/>
      <c r="H191" s="2"/>
      <c r="I191" s="2">
        <v>69.130799999999994</v>
      </c>
      <c r="J191" s="2">
        <v>119</v>
      </c>
      <c r="K191" s="2">
        <v>68.889899999999997</v>
      </c>
      <c r="L191" s="2">
        <v>120</v>
      </c>
      <c r="M191" s="2">
        <v>99.052599999999998</v>
      </c>
      <c r="N191" s="2">
        <v>211</v>
      </c>
      <c r="O191" s="2">
        <v>96.826499999999996</v>
      </c>
      <c r="P191" s="2">
        <v>249</v>
      </c>
      <c r="Q191" s="2">
        <v>96.328199999999995</v>
      </c>
      <c r="R191" s="2">
        <v>61</v>
      </c>
      <c r="S191" s="2">
        <v>98.996799999999993</v>
      </c>
      <c r="T191" s="2">
        <v>111</v>
      </c>
      <c r="U191" s="2">
        <v>0.43661100000000003</v>
      </c>
      <c r="V191" s="2">
        <v>179</v>
      </c>
      <c r="W191" s="2">
        <v>2004</v>
      </c>
    </row>
    <row r="192" spans="1:23" ht="12.3" x14ac:dyDescent="0.4">
      <c r="A192" s="2" t="s">
        <v>251</v>
      </c>
      <c r="B192" s="2">
        <v>15</v>
      </c>
      <c r="C192" s="2"/>
      <c r="D192" s="2"/>
      <c r="E192" s="2"/>
      <c r="F192" s="2"/>
      <c r="G192" s="2"/>
      <c r="H192" s="2"/>
      <c r="I192" s="2">
        <v>68.214600000000004</v>
      </c>
      <c r="J192" s="2">
        <v>150</v>
      </c>
      <c r="K192" s="2">
        <v>67.619399999999999</v>
      </c>
      <c r="L192" s="2">
        <v>168</v>
      </c>
      <c r="M192" s="2">
        <v>100.3472</v>
      </c>
      <c r="N192" s="2">
        <v>176</v>
      </c>
      <c r="O192" s="2">
        <v>96.668800000000005</v>
      </c>
      <c r="P192" s="2">
        <v>251</v>
      </c>
      <c r="Q192" s="2">
        <v>97.635499999999993</v>
      </c>
      <c r="R192" s="2">
        <v>90</v>
      </c>
      <c r="S192" s="2">
        <v>99.226699999999994</v>
      </c>
      <c r="T192" s="2">
        <v>118</v>
      </c>
      <c r="U192" s="2">
        <v>0.42547499999999999</v>
      </c>
      <c r="V192" s="2">
        <v>184</v>
      </c>
      <c r="W192" s="2">
        <v>2004</v>
      </c>
    </row>
    <row r="193" spans="1:23" ht="12.3" x14ac:dyDescent="0.4">
      <c r="A193" s="2" t="s">
        <v>326</v>
      </c>
      <c r="B193" s="2">
        <v>16</v>
      </c>
      <c r="C193" s="2"/>
      <c r="D193" s="2"/>
      <c r="E193" s="2"/>
      <c r="F193" s="2"/>
      <c r="G193" s="2"/>
      <c r="H193" s="2"/>
      <c r="I193" s="2">
        <v>65.204899999999995</v>
      </c>
      <c r="J193" s="2">
        <v>256</v>
      </c>
      <c r="K193" s="2">
        <v>65.241699999999994</v>
      </c>
      <c r="L193" s="2">
        <v>257</v>
      </c>
      <c r="M193" s="2">
        <v>99.508300000000006</v>
      </c>
      <c r="N193" s="2">
        <v>196</v>
      </c>
      <c r="O193" s="2">
        <v>96.998599999999996</v>
      </c>
      <c r="P193" s="2">
        <v>244</v>
      </c>
      <c r="Q193" s="2">
        <v>95.409300000000002</v>
      </c>
      <c r="R193" s="2">
        <v>49</v>
      </c>
      <c r="S193" s="2">
        <v>101.5829</v>
      </c>
      <c r="T193" s="2">
        <v>166</v>
      </c>
      <c r="U193" s="2">
        <v>0.37026999999999999</v>
      </c>
      <c r="V193" s="2">
        <v>206</v>
      </c>
      <c r="W193" s="2">
        <v>2004</v>
      </c>
    </row>
    <row r="194" spans="1:23" ht="12.3" x14ac:dyDescent="0.4">
      <c r="A194" s="2" t="s">
        <v>185</v>
      </c>
      <c r="B194" s="2">
        <v>16</v>
      </c>
      <c r="C194" s="2"/>
      <c r="D194" s="2"/>
      <c r="E194" s="2"/>
      <c r="F194" s="2"/>
      <c r="G194" s="2"/>
      <c r="H194" s="2"/>
      <c r="I194" s="2">
        <v>70.739000000000004</v>
      </c>
      <c r="J194" s="2">
        <v>58</v>
      </c>
      <c r="K194" s="2">
        <v>70.656400000000005</v>
      </c>
      <c r="L194" s="2">
        <v>56</v>
      </c>
      <c r="M194" s="2">
        <v>99.641800000000003</v>
      </c>
      <c r="N194" s="2">
        <v>190</v>
      </c>
      <c r="O194" s="2">
        <v>98.237899999999996</v>
      </c>
      <c r="P194" s="2">
        <v>220</v>
      </c>
      <c r="Q194" s="2">
        <v>100.7546</v>
      </c>
      <c r="R194" s="2">
        <v>147</v>
      </c>
      <c r="S194" s="2">
        <v>104.12690000000001</v>
      </c>
      <c r="T194" s="2">
        <v>214</v>
      </c>
      <c r="U194" s="2">
        <v>0.33860699999999999</v>
      </c>
      <c r="V194" s="2">
        <v>225</v>
      </c>
      <c r="W194" s="2">
        <v>2004</v>
      </c>
    </row>
    <row r="195" spans="1:23" ht="12.3" x14ac:dyDescent="0.4">
      <c r="A195" s="2" t="s">
        <v>297</v>
      </c>
      <c r="B195" s="2">
        <v>16</v>
      </c>
      <c r="C195" s="2"/>
      <c r="D195" s="2"/>
      <c r="E195" s="2"/>
      <c r="F195" s="2"/>
      <c r="G195" s="2"/>
      <c r="H195" s="2"/>
      <c r="I195" s="2">
        <v>64.479600000000005</v>
      </c>
      <c r="J195" s="2">
        <v>272</v>
      </c>
      <c r="K195" s="2">
        <v>62.897599999999997</v>
      </c>
      <c r="L195" s="2">
        <v>308</v>
      </c>
      <c r="M195" s="2">
        <v>95.069500000000005</v>
      </c>
      <c r="N195" s="2">
        <v>276</v>
      </c>
      <c r="O195" s="2">
        <v>92.570899999999995</v>
      </c>
      <c r="P195" s="2">
        <v>295</v>
      </c>
      <c r="Q195" s="2">
        <v>94.007400000000004</v>
      </c>
      <c r="R195" s="2">
        <v>29</v>
      </c>
      <c r="S195" s="2">
        <v>102.01609999999999</v>
      </c>
      <c r="T195" s="2">
        <v>176</v>
      </c>
      <c r="U195" s="2">
        <v>0.24651400000000001</v>
      </c>
      <c r="V195" s="2">
        <v>267</v>
      </c>
      <c r="W195" s="2">
        <v>2004</v>
      </c>
    </row>
    <row r="196" spans="1:23" ht="12.3" x14ac:dyDescent="0.4">
      <c r="A196" s="2" t="s">
        <v>301</v>
      </c>
      <c r="B196" s="2">
        <v>16</v>
      </c>
      <c r="C196" s="2"/>
      <c r="D196" s="2"/>
      <c r="E196" s="2"/>
      <c r="F196" s="2"/>
      <c r="G196" s="2"/>
      <c r="H196" s="2"/>
      <c r="I196" s="2">
        <v>72.628600000000006</v>
      </c>
      <c r="J196" s="2">
        <v>23</v>
      </c>
      <c r="K196" s="2">
        <v>72.454300000000003</v>
      </c>
      <c r="L196" s="2">
        <v>20</v>
      </c>
      <c r="M196" s="2">
        <v>99.282200000000003</v>
      </c>
      <c r="N196" s="2">
        <v>205</v>
      </c>
      <c r="O196" s="2">
        <v>96.540800000000004</v>
      </c>
      <c r="P196" s="2">
        <v>253</v>
      </c>
      <c r="Q196" s="2">
        <v>101.1798</v>
      </c>
      <c r="R196" s="2">
        <v>157</v>
      </c>
      <c r="S196" s="2">
        <v>106.5397</v>
      </c>
      <c r="T196" s="2">
        <v>268</v>
      </c>
      <c r="U196" s="2">
        <v>0.24354500000000001</v>
      </c>
      <c r="V196" s="2">
        <v>269</v>
      </c>
      <c r="W196" s="2">
        <v>2004</v>
      </c>
    </row>
    <row r="197" spans="1:23" ht="12.3" x14ac:dyDescent="0.4">
      <c r="A197" s="2" t="s">
        <v>44</v>
      </c>
      <c r="B197" s="2">
        <v>1</v>
      </c>
      <c r="C197" s="3" t="s">
        <v>33</v>
      </c>
      <c r="D197" s="3" t="s">
        <v>33</v>
      </c>
      <c r="E197" s="3" t="s">
        <v>33</v>
      </c>
      <c r="F197" s="3" t="s">
        <v>33</v>
      </c>
      <c r="G197" s="3" t="s">
        <v>33</v>
      </c>
      <c r="H197" s="2"/>
      <c r="I197" s="2">
        <v>65.3035</v>
      </c>
      <c r="J197" s="2">
        <v>243</v>
      </c>
      <c r="K197" s="2">
        <v>66.158000000000001</v>
      </c>
      <c r="L197" s="2">
        <v>212</v>
      </c>
      <c r="M197" s="2">
        <v>118.43940000000001</v>
      </c>
      <c r="N197" s="2">
        <v>1</v>
      </c>
      <c r="O197" s="2">
        <v>120.2137</v>
      </c>
      <c r="P197" s="2">
        <v>2</v>
      </c>
      <c r="Q197" s="2">
        <v>92.210700000000003</v>
      </c>
      <c r="R197" s="2">
        <v>15</v>
      </c>
      <c r="S197" s="2">
        <v>88.470299999999995</v>
      </c>
      <c r="T197" s="2">
        <v>3</v>
      </c>
      <c r="U197" s="2">
        <v>0.97141699999999997</v>
      </c>
      <c r="V197" s="2">
        <v>1</v>
      </c>
      <c r="W197" s="2">
        <v>2005</v>
      </c>
    </row>
    <row r="198" spans="1:23" ht="12.3" x14ac:dyDescent="0.4">
      <c r="A198" s="2" t="s">
        <v>168</v>
      </c>
      <c r="B198" s="2">
        <v>1</v>
      </c>
      <c r="C198" s="3" t="s">
        <v>33</v>
      </c>
      <c r="D198" s="3" t="s">
        <v>33</v>
      </c>
      <c r="E198" s="3" t="s">
        <v>33</v>
      </c>
      <c r="F198" s="3" t="s">
        <v>33</v>
      </c>
      <c r="G198" s="3" t="s">
        <v>33</v>
      </c>
      <c r="H198" s="3" t="s">
        <v>33</v>
      </c>
      <c r="I198" s="2">
        <v>76.724999999999994</v>
      </c>
      <c r="J198" s="2">
        <v>3</v>
      </c>
      <c r="K198" s="2">
        <v>74.679100000000005</v>
      </c>
      <c r="L198" s="2">
        <v>5</v>
      </c>
      <c r="M198" s="2">
        <v>115.7773</v>
      </c>
      <c r="N198" s="2">
        <v>7</v>
      </c>
      <c r="O198" s="2">
        <v>119.3614</v>
      </c>
      <c r="P198" s="2">
        <v>3</v>
      </c>
      <c r="Q198" s="2">
        <v>92.015600000000006</v>
      </c>
      <c r="R198" s="2">
        <v>11</v>
      </c>
      <c r="S198" s="2">
        <v>91.036000000000001</v>
      </c>
      <c r="T198" s="2">
        <v>9</v>
      </c>
      <c r="U198" s="2">
        <v>0.95752199999999998</v>
      </c>
      <c r="V198" s="2">
        <v>2</v>
      </c>
      <c r="W198" s="2">
        <v>2005</v>
      </c>
    </row>
    <row r="199" spans="1:23" ht="12.3" x14ac:dyDescent="0.4">
      <c r="A199" s="2" t="s">
        <v>32</v>
      </c>
      <c r="B199" s="2">
        <v>1</v>
      </c>
      <c r="C199" s="3" t="s">
        <v>33</v>
      </c>
      <c r="D199" s="3" t="s">
        <v>33</v>
      </c>
      <c r="E199" s="2"/>
      <c r="F199" s="2"/>
      <c r="G199" s="2"/>
      <c r="H199" s="2"/>
      <c r="I199" s="2">
        <v>70.641599999999997</v>
      </c>
      <c r="J199" s="2">
        <v>55</v>
      </c>
      <c r="K199" s="2">
        <v>69.417000000000002</v>
      </c>
      <c r="L199" s="2">
        <v>81</v>
      </c>
      <c r="M199" s="2">
        <v>112.5574</v>
      </c>
      <c r="N199" s="2">
        <v>15</v>
      </c>
      <c r="O199" s="2">
        <v>115.3147</v>
      </c>
      <c r="P199" s="2">
        <v>9</v>
      </c>
      <c r="Q199" s="2">
        <v>92.901799999999994</v>
      </c>
      <c r="R199" s="2">
        <v>19</v>
      </c>
      <c r="S199" s="2">
        <v>90.007800000000003</v>
      </c>
      <c r="T199" s="2">
        <v>6</v>
      </c>
      <c r="U199" s="2">
        <v>0.94528500000000004</v>
      </c>
      <c r="V199" s="2">
        <v>3</v>
      </c>
      <c r="W199" s="2">
        <v>2005</v>
      </c>
    </row>
    <row r="200" spans="1:23" ht="12.3" x14ac:dyDescent="0.4">
      <c r="A200" s="2" t="s">
        <v>58</v>
      </c>
      <c r="B200" s="2">
        <v>5</v>
      </c>
      <c r="C200" s="3" t="s">
        <v>33</v>
      </c>
      <c r="D200" s="3" t="s">
        <v>33</v>
      </c>
      <c r="E200" s="3" t="s">
        <v>33</v>
      </c>
      <c r="F200" s="3" t="s">
        <v>33</v>
      </c>
      <c r="G200" s="3"/>
      <c r="H200" s="2"/>
      <c r="I200" s="2">
        <v>66.4375</v>
      </c>
      <c r="J200" s="2">
        <v>196</v>
      </c>
      <c r="K200" s="2">
        <v>67.073400000000007</v>
      </c>
      <c r="L200" s="2">
        <v>171</v>
      </c>
      <c r="M200" s="2">
        <v>116.98099999999999</v>
      </c>
      <c r="N200" s="2">
        <v>4</v>
      </c>
      <c r="O200" s="2">
        <v>118.3729</v>
      </c>
      <c r="P200" s="2">
        <v>6</v>
      </c>
      <c r="Q200" s="2">
        <v>95.164299999999997</v>
      </c>
      <c r="R200" s="2">
        <v>39</v>
      </c>
      <c r="S200" s="2">
        <v>94.442599999999999</v>
      </c>
      <c r="T200" s="2">
        <v>33</v>
      </c>
      <c r="U200" s="2">
        <v>0.93068399999999996</v>
      </c>
      <c r="V200" s="2">
        <v>4</v>
      </c>
      <c r="W200" s="2">
        <v>2005</v>
      </c>
    </row>
    <row r="201" spans="1:23" ht="12.3" x14ac:dyDescent="0.4">
      <c r="A201" s="2" t="s">
        <v>61</v>
      </c>
      <c r="B201" s="2">
        <v>2</v>
      </c>
      <c r="C201" s="3" t="s">
        <v>33</v>
      </c>
      <c r="D201" s="2"/>
      <c r="E201" s="2"/>
      <c r="F201" s="2"/>
      <c r="G201" s="2"/>
      <c r="H201" s="2"/>
      <c r="I201" s="2">
        <v>71.577799999999996</v>
      </c>
      <c r="J201" s="2">
        <v>32</v>
      </c>
      <c r="K201" s="2">
        <v>69.889099999999999</v>
      </c>
      <c r="L201" s="2">
        <v>62</v>
      </c>
      <c r="M201" s="2">
        <v>117.2191</v>
      </c>
      <c r="N201" s="2">
        <v>2</v>
      </c>
      <c r="O201" s="2">
        <v>124.7564</v>
      </c>
      <c r="P201" s="2">
        <v>1</v>
      </c>
      <c r="Q201" s="2">
        <v>102.1108</v>
      </c>
      <c r="R201" s="2">
        <v>190</v>
      </c>
      <c r="S201" s="2">
        <v>100.2004</v>
      </c>
      <c r="T201" s="2">
        <v>135</v>
      </c>
      <c r="U201" s="2">
        <v>0.92557999999999996</v>
      </c>
      <c r="V201" s="2">
        <v>5</v>
      </c>
      <c r="W201" s="2">
        <v>2005</v>
      </c>
    </row>
    <row r="202" spans="1:23" ht="12.3" x14ac:dyDescent="0.4">
      <c r="A202" s="2" t="s">
        <v>37</v>
      </c>
      <c r="B202" s="2">
        <v>4</v>
      </c>
      <c r="C202" s="3" t="s">
        <v>33</v>
      </c>
      <c r="D202" s="2"/>
      <c r="E202" s="2"/>
      <c r="F202" s="2"/>
      <c r="G202" s="2"/>
      <c r="H202" s="2"/>
      <c r="I202" s="2">
        <v>66.849599999999995</v>
      </c>
      <c r="J202" s="2">
        <v>177</v>
      </c>
      <c r="K202" s="2">
        <v>65.993799999999993</v>
      </c>
      <c r="L202" s="2">
        <v>220</v>
      </c>
      <c r="M202" s="2">
        <v>114.0505</v>
      </c>
      <c r="N202" s="2">
        <v>11</v>
      </c>
      <c r="O202" s="2">
        <v>114.798</v>
      </c>
      <c r="P202" s="2">
        <v>11</v>
      </c>
      <c r="Q202" s="2">
        <v>93.532700000000006</v>
      </c>
      <c r="R202" s="2">
        <v>23</v>
      </c>
      <c r="S202" s="2">
        <v>92.944999999999993</v>
      </c>
      <c r="T202" s="2">
        <v>17</v>
      </c>
      <c r="U202" s="2">
        <v>0.91896900000000004</v>
      </c>
      <c r="V202" s="2">
        <v>6</v>
      </c>
      <c r="W202" s="2">
        <v>2005</v>
      </c>
    </row>
    <row r="203" spans="1:23" ht="12.3" x14ac:dyDescent="0.4">
      <c r="A203" s="2" t="s">
        <v>78</v>
      </c>
      <c r="B203" s="2">
        <v>5</v>
      </c>
      <c r="C203" s="3" t="s">
        <v>33</v>
      </c>
      <c r="D203" s="3" t="s">
        <v>33</v>
      </c>
      <c r="E203" s="2"/>
      <c r="F203" s="2"/>
      <c r="G203" s="2"/>
      <c r="H203" s="2"/>
      <c r="I203" s="2">
        <v>65.817099999999996</v>
      </c>
      <c r="J203" s="2">
        <v>219</v>
      </c>
      <c r="K203" s="2">
        <v>67.885300000000001</v>
      </c>
      <c r="L203" s="2">
        <v>132</v>
      </c>
      <c r="M203" s="2">
        <v>111.8155</v>
      </c>
      <c r="N203" s="2">
        <v>21</v>
      </c>
      <c r="O203" s="2">
        <v>114.4969</v>
      </c>
      <c r="P203" s="2">
        <v>12</v>
      </c>
      <c r="Q203" s="2">
        <v>94.508600000000001</v>
      </c>
      <c r="R203" s="2">
        <v>34</v>
      </c>
      <c r="S203" s="2">
        <v>92.816199999999995</v>
      </c>
      <c r="T203" s="2">
        <v>16</v>
      </c>
      <c r="U203" s="2">
        <v>0.91790000000000005</v>
      </c>
      <c r="V203" s="2">
        <v>7</v>
      </c>
      <c r="W203" s="2">
        <v>2005</v>
      </c>
    </row>
    <row r="204" spans="1:23" ht="12.3" x14ac:dyDescent="0.4">
      <c r="A204" s="2" t="s">
        <v>72</v>
      </c>
      <c r="B204" s="2">
        <v>2</v>
      </c>
      <c r="C204" s="3" t="s">
        <v>33</v>
      </c>
      <c r="D204" s="3" t="s">
        <v>33</v>
      </c>
      <c r="E204" s="2"/>
      <c r="F204" s="2"/>
      <c r="G204" s="2"/>
      <c r="H204" s="2"/>
      <c r="I204" s="2">
        <v>67.646600000000007</v>
      </c>
      <c r="J204" s="2">
        <v>148</v>
      </c>
      <c r="K204" s="2">
        <v>67.327299999999994</v>
      </c>
      <c r="L204" s="2">
        <v>160</v>
      </c>
      <c r="M204" s="2">
        <v>115.681</v>
      </c>
      <c r="N204" s="2">
        <v>8</v>
      </c>
      <c r="O204" s="2">
        <v>118.6729</v>
      </c>
      <c r="P204" s="2">
        <v>4</v>
      </c>
      <c r="Q204" s="2">
        <v>97.874799999999993</v>
      </c>
      <c r="R204" s="2">
        <v>78</v>
      </c>
      <c r="S204" s="2">
        <v>96.258899999999997</v>
      </c>
      <c r="T204" s="2">
        <v>59</v>
      </c>
      <c r="U204" s="2">
        <v>0.91738200000000003</v>
      </c>
      <c r="V204" s="2">
        <v>8</v>
      </c>
      <c r="W204" s="2">
        <v>2005</v>
      </c>
    </row>
    <row r="205" spans="1:23" ht="12.3" x14ac:dyDescent="0.4">
      <c r="A205" s="2" t="s">
        <v>54</v>
      </c>
      <c r="B205" s="2">
        <v>2</v>
      </c>
      <c r="C205" s="3" t="s">
        <v>33</v>
      </c>
      <c r="D205" s="2"/>
      <c r="E205" s="2"/>
      <c r="F205" s="2"/>
      <c r="G205" s="2"/>
      <c r="H205" s="2"/>
      <c r="I205" s="2">
        <v>71.455600000000004</v>
      </c>
      <c r="J205" s="2">
        <v>35</v>
      </c>
      <c r="K205" s="2">
        <v>71.958100000000002</v>
      </c>
      <c r="L205" s="2">
        <v>26</v>
      </c>
      <c r="M205" s="2">
        <v>109.01649999999999</v>
      </c>
      <c r="N205" s="2">
        <v>43</v>
      </c>
      <c r="O205" s="2">
        <v>110.7366</v>
      </c>
      <c r="P205" s="2">
        <v>34</v>
      </c>
      <c r="Q205" s="2">
        <v>93.365200000000002</v>
      </c>
      <c r="R205" s="2">
        <v>22</v>
      </c>
      <c r="S205" s="2">
        <v>90.107500000000002</v>
      </c>
      <c r="T205" s="2">
        <v>8</v>
      </c>
      <c r="U205" s="2">
        <v>0.91456800000000005</v>
      </c>
      <c r="V205" s="2">
        <v>9</v>
      </c>
      <c r="W205" s="2">
        <v>2005</v>
      </c>
    </row>
    <row r="206" spans="1:23" ht="12.3" x14ac:dyDescent="0.4">
      <c r="A206" s="2" t="s">
        <v>45</v>
      </c>
      <c r="B206" s="2">
        <v>2</v>
      </c>
      <c r="C206" s="3" t="s">
        <v>33</v>
      </c>
      <c r="D206" s="3" t="s">
        <v>33</v>
      </c>
      <c r="E206" s="3" t="s">
        <v>33</v>
      </c>
      <c r="F206" s="2"/>
      <c r="G206" s="2"/>
      <c r="H206" s="2"/>
      <c r="I206" s="2">
        <v>67.741</v>
      </c>
      <c r="J206" s="2">
        <v>146</v>
      </c>
      <c r="K206" s="2">
        <v>68.174999999999997</v>
      </c>
      <c r="L206" s="2">
        <v>120</v>
      </c>
      <c r="M206" s="2">
        <v>108.32680000000001</v>
      </c>
      <c r="N206" s="2">
        <v>50</v>
      </c>
      <c r="O206" s="2">
        <v>110.0217</v>
      </c>
      <c r="P206" s="2">
        <v>39</v>
      </c>
      <c r="Q206" s="2">
        <v>91.086200000000005</v>
      </c>
      <c r="R206" s="2">
        <v>8</v>
      </c>
      <c r="S206" s="2">
        <v>89.608900000000006</v>
      </c>
      <c r="T206" s="2">
        <v>5</v>
      </c>
      <c r="U206" s="2">
        <v>0.91373099999999996</v>
      </c>
      <c r="V206" s="2">
        <v>10</v>
      </c>
      <c r="W206" s="2">
        <v>2005</v>
      </c>
    </row>
    <row r="207" spans="1:23" ht="12.3" x14ac:dyDescent="0.4">
      <c r="A207" s="2" t="s">
        <v>35</v>
      </c>
      <c r="B207" s="2">
        <v>3</v>
      </c>
      <c r="C207" s="2"/>
      <c r="D207" s="2"/>
      <c r="E207" s="2"/>
      <c r="F207" s="2"/>
      <c r="G207" s="2"/>
      <c r="H207" s="2"/>
      <c r="I207" s="2">
        <v>67.552300000000002</v>
      </c>
      <c r="J207" s="2">
        <v>151</v>
      </c>
      <c r="K207" s="2">
        <v>67.250900000000001</v>
      </c>
      <c r="L207" s="2">
        <v>163</v>
      </c>
      <c r="M207" s="2">
        <v>110.0578</v>
      </c>
      <c r="N207" s="2">
        <v>32</v>
      </c>
      <c r="O207" s="2">
        <v>114.3502</v>
      </c>
      <c r="P207" s="2">
        <v>14</v>
      </c>
      <c r="Q207" s="2">
        <v>95.756299999999996</v>
      </c>
      <c r="R207" s="2">
        <v>44</v>
      </c>
      <c r="S207" s="2">
        <v>93.648899999999998</v>
      </c>
      <c r="T207" s="2">
        <v>27</v>
      </c>
      <c r="U207" s="2">
        <v>0.90860300000000005</v>
      </c>
      <c r="V207" s="2">
        <v>11</v>
      </c>
      <c r="W207" s="2">
        <v>2005</v>
      </c>
    </row>
    <row r="208" spans="1:23" ht="12.3" x14ac:dyDescent="0.4">
      <c r="A208" s="2" t="s">
        <v>38</v>
      </c>
      <c r="B208" s="2">
        <v>3</v>
      </c>
      <c r="C208" s="3" t="s">
        <v>33</v>
      </c>
      <c r="D208" s="2"/>
      <c r="E208" s="2"/>
      <c r="F208" s="2"/>
      <c r="G208" s="2"/>
      <c r="H208" s="2"/>
      <c r="I208" s="2">
        <v>67.179500000000004</v>
      </c>
      <c r="J208" s="2">
        <v>167</v>
      </c>
      <c r="K208" s="2">
        <v>66.044499999999999</v>
      </c>
      <c r="L208" s="2">
        <v>218</v>
      </c>
      <c r="M208" s="2">
        <v>111.94840000000001</v>
      </c>
      <c r="N208" s="2">
        <v>20</v>
      </c>
      <c r="O208" s="2">
        <v>113.6718</v>
      </c>
      <c r="P208" s="2">
        <v>19</v>
      </c>
      <c r="Q208" s="2">
        <v>93.7</v>
      </c>
      <c r="R208" s="2">
        <v>25</v>
      </c>
      <c r="S208" s="2">
        <v>93.301100000000005</v>
      </c>
      <c r="T208" s="2">
        <v>21</v>
      </c>
      <c r="U208" s="2">
        <v>0.90645200000000004</v>
      </c>
      <c r="V208" s="2">
        <v>12</v>
      </c>
      <c r="W208" s="2">
        <v>2005</v>
      </c>
    </row>
    <row r="209" spans="1:23" ht="12.3" x14ac:dyDescent="0.4">
      <c r="A209" s="2" t="s">
        <v>86</v>
      </c>
      <c r="B209" s="2">
        <v>4</v>
      </c>
      <c r="C209" s="3" t="s">
        <v>33</v>
      </c>
      <c r="D209" s="3" t="s">
        <v>33</v>
      </c>
      <c r="E209" s="3" t="s">
        <v>33</v>
      </c>
      <c r="F209" s="3" t="s">
        <v>33</v>
      </c>
      <c r="G209" s="2"/>
      <c r="H209" s="2"/>
      <c r="I209" s="2">
        <v>70.565299999999993</v>
      </c>
      <c r="J209" s="2">
        <v>58</v>
      </c>
      <c r="K209" s="2">
        <v>69.810900000000004</v>
      </c>
      <c r="L209" s="2">
        <v>66</v>
      </c>
      <c r="M209" s="2">
        <v>113.8263</v>
      </c>
      <c r="N209" s="2">
        <v>13</v>
      </c>
      <c r="O209" s="2">
        <v>113.396</v>
      </c>
      <c r="P209" s="2">
        <v>20</v>
      </c>
      <c r="Q209" s="2">
        <v>89.668800000000005</v>
      </c>
      <c r="R209" s="2">
        <v>3</v>
      </c>
      <c r="S209" s="2">
        <v>93.3078</v>
      </c>
      <c r="T209" s="2">
        <v>22</v>
      </c>
      <c r="U209" s="2">
        <v>0.90398400000000001</v>
      </c>
      <c r="V209" s="2">
        <v>13</v>
      </c>
      <c r="W209" s="2">
        <v>2005</v>
      </c>
    </row>
    <row r="210" spans="1:23" ht="12.3" x14ac:dyDescent="0.4">
      <c r="A210" s="2" t="s">
        <v>23</v>
      </c>
      <c r="B210" s="2">
        <v>4</v>
      </c>
      <c r="C210" s="2"/>
      <c r="D210" s="2"/>
      <c r="E210" s="2"/>
      <c r="F210" s="2"/>
      <c r="G210" s="2"/>
      <c r="H210" s="2"/>
      <c r="I210" s="2">
        <v>66.895600000000002</v>
      </c>
      <c r="J210" s="2">
        <v>174</v>
      </c>
      <c r="K210" s="2">
        <v>67.366399999999999</v>
      </c>
      <c r="L210" s="2">
        <v>155</v>
      </c>
      <c r="M210" s="2">
        <v>112.5575</v>
      </c>
      <c r="N210" s="2">
        <v>14</v>
      </c>
      <c r="O210" s="2">
        <v>115.0698</v>
      </c>
      <c r="P210" s="2">
        <v>10</v>
      </c>
      <c r="Q210" s="2">
        <v>96.821399999999997</v>
      </c>
      <c r="R210" s="2">
        <v>57</v>
      </c>
      <c r="S210" s="2">
        <v>94.744</v>
      </c>
      <c r="T210" s="2">
        <v>36</v>
      </c>
      <c r="U210" s="2">
        <v>0.903362</v>
      </c>
      <c r="V210" s="2">
        <v>14</v>
      </c>
      <c r="W210" s="2">
        <v>2005</v>
      </c>
    </row>
    <row r="211" spans="1:23" ht="12.3" x14ac:dyDescent="0.4">
      <c r="A211" s="2" t="s">
        <v>131</v>
      </c>
      <c r="B211" s="2">
        <v>1</v>
      </c>
      <c r="C211" s="3" t="s">
        <v>33</v>
      </c>
      <c r="D211" s="3" t="s">
        <v>33</v>
      </c>
      <c r="E211" s="2"/>
      <c r="F211" s="2"/>
      <c r="G211" s="2"/>
      <c r="H211" s="2"/>
      <c r="I211" s="2">
        <v>73.931899999999999</v>
      </c>
      <c r="J211" s="2">
        <v>12</v>
      </c>
      <c r="K211" s="2">
        <v>73.020799999999994</v>
      </c>
      <c r="L211" s="2">
        <v>14</v>
      </c>
      <c r="M211" s="2">
        <v>115.4002</v>
      </c>
      <c r="N211" s="2">
        <v>9</v>
      </c>
      <c r="O211" s="2">
        <v>118.43</v>
      </c>
      <c r="P211" s="2">
        <v>5</v>
      </c>
      <c r="Q211" s="2">
        <v>98.916399999999996</v>
      </c>
      <c r="R211" s="2">
        <v>106</v>
      </c>
      <c r="S211" s="2">
        <v>97.949299999999994</v>
      </c>
      <c r="T211" s="2">
        <v>83</v>
      </c>
      <c r="U211" s="2">
        <v>0.89876100000000003</v>
      </c>
      <c r="V211" s="2">
        <v>15</v>
      </c>
      <c r="W211" s="2">
        <v>2005</v>
      </c>
    </row>
    <row r="212" spans="1:23" ht="12.3" x14ac:dyDescent="0.4">
      <c r="A212" s="2" t="s">
        <v>70</v>
      </c>
      <c r="B212" s="2">
        <v>6</v>
      </c>
      <c r="C212" s="3" t="s">
        <v>33</v>
      </c>
      <c r="D212" s="2"/>
      <c r="E212" s="2"/>
      <c r="F212" s="2"/>
      <c r="G212" s="2"/>
      <c r="H212" s="2"/>
      <c r="I212" s="2">
        <v>60.104599999999998</v>
      </c>
      <c r="J212" s="2">
        <v>325</v>
      </c>
      <c r="K212" s="2">
        <v>59.976300000000002</v>
      </c>
      <c r="L212" s="2">
        <v>325</v>
      </c>
      <c r="M212" s="2">
        <v>112.01</v>
      </c>
      <c r="N212" s="2">
        <v>18</v>
      </c>
      <c r="O212" s="2">
        <v>112.54989999999999</v>
      </c>
      <c r="P212" s="2">
        <v>23</v>
      </c>
      <c r="Q212" s="2">
        <v>94.733800000000002</v>
      </c>
      <c r="R212" s="2">
        <v>37</v>
      </c>
      <c r="S212" s="2">
        <v>93.3459</v>
      </c>
      <c r="T212" s="2">
        <v>24</v>
      </c>
      <c r="U212" s="2">
        <v>0.89580700000000002</v>
      </c>
      <c r="V212" s="2">
        <v>16</v>
      </c>
      <c r="W212" s="2">
        <v>2005</v>
      </c>
    </row>
    <row r="213" spans="1:23" ht="12.3" x14ac:dyDescent="0.4">
      <c r="A213" s="2" t="s">
        <v>49</v>
      </c>
      <c r="B213" s="2">
        <v>5</v>
      </c>
      <c r="C213" s="2"/>
      <c r="D213" s="2"/>
      <c r="E213" s="2"/>
      <c r="F213" s="2"/>
      <c r="G213" s="2"/>
      <c r="H213" s="2"/>
      <c r="I213" s="2">
        <v>65.007400000000004</v>
      </c>
      <c r="J213" s="2">
        <v>256</v>
      </c>
      <c r="K213" s="2">
        <v>64.434200000000004</v>
      </c>
      <c r="L213" s="2">
        <v>274</v>
      </c>
      <c r="M213" s="2">
        <v>114.414</v>
      </c>
      <c r="N213" s="2">
        <v>10</v>
      </c>
      <c r="O213" s="2">
        <v>115.93470000000001</v>
      </c>
      <c r="P213" s="2">
        <v>8</v>
      </c>
      <c r="Q213" s="2">
        <v>98.794600000000003</v>
      </c>
      <c r="R213" s="2">
        <v>103</v>
      </c>
      <c r="S213" s="2">
        <v>96.360299999999995</v>
      </c>
      <c r="T213" s="2">
        <v>61</v>
      </c>
      <c r="U213" s="2">
        <v>0.89347399999999999</v>
      </c>
      <c r="V213" s="2">
        <v>17</v>
      </c>
      <c r="W213" s="2">
        <v>2005</v>
      </c>
    </row>
    <row r="214" spans="1:23" ht="12.3" x14ac:dyDescent="0.4">
      <c r="A214" s="2" t="s">
        <v>43</v>
      </c>
      <c r="B214" s="2">
        <v>3</v>
      </c>
      <c r="C214" s="3" t="s">
        <v>33</v>
      </c>
      <c r="D214" s="3" t="s">
        <v>33</v>
      </c>
      <c r="E214" s="3" t="s">
        <v>33</v>
      </c>
      <c r="F214" s="2"/>
      <c r="G214" s="2"/>
      <c r="H214" s="2"/>
      <c r="I214" s="2">
        <v>70.724199999999996</v>
      </c>
      <c r="J214" s="2">
        <v>53</v>
      </c>
      <c r="K214" s="2">
        <v>69.760400000000004</v>
      </c>
      <c r="L214" s="2">
        <v>69</v>
      </c>
      <c r="M214" s="2">
        <v>111.7366</v>
      </c>
      <c r="N214" s="2">
        <v>22</v>
      </c>
      <c r="O214" s="2">
        <v>114.0151</v>
      </c>
      <c r="P214" s="2">
        <v>16</v>
      </c>
      <c r="Q214" s="2">
        <v>97.710700000000003</v>
      </c>
      <c r="R214" s="2">
        <v>75</v>
      </c>
      <c r="S214" s="2">
        <v>95.345799999999997</v>
      </c>
      <c r="T214" s="2">
        <v>45</v>
      </c>
      <c r="U214" s="2">
        <v>0.88659600000000005</v>
      </c>
      <c r="V214" s="2">
        <v>18</v>
      </c>
      <c r="W214" s="2">
        <v>2005</v>
      </c>
    </row>
    <row r="215" spans="1:23" ht="12.3" x14ac:dyDescent="0.4">
      <c r="A215" s="2" t="s">
        <v>76</v>
      </c>
      <c r="B215" s="2">
        <v>6</v>
      </c>
      <c r="C215" s="3" t="s">
        <v>33</v>
      </c>
      <c r="D215" s="3" t="s">
        <v>33</v>
      </c>
      <c r="E215" s="3" t="s">
        <v>33</v>
      </c>
      <c r="F215" s="2"/>
      <c r="G215" s="2"/>
      <c r="H215" s="2"/>
      <c r="I215" s="2">
        <v>63.467100000000002</v>
      </c>
      <c r="J215" s="2">
        <v>293</v>
      </c>
      <c r="K215" s="2">
        <v>63.684699999999999</v>
      </c>
      <c r="L215" s="2">
        <v>293</v>
      </c>
      <c r="M215" s="2">
        <v>105.86920000000001</v>
      </c>
      <c r="N215" s="2">
        <v>68</v>
      </c>
      <c r="O215" s="2">
        <v>108.8869</v>
      </c>
      <c r="P215" s="2">
        <v>50</v>
      </c>
      <c r="Q215" s="2">
        <v>94.531300000000002</v>
      </c>
      <c r="R215" s="2">
        <v>35</v>
      </c>
      <c r="S215" s="2">
        <v>91.066500000000005</v>
      </c>
      <c r="T215" s="2">
        <v>10</v>
      </c>
      <c r="U215" s="2">
        <v>0.88648000000000005</v>
      </c>
      <c r="V215" s="2">
        <v>19</v>
      </c>
      <c r="W215" s="2">
        <v>2005</v>
      </c>
    </row>
    <row r="216" spans="1:23" ht="12.3" x14ac:dyDescent="0.4">
      <c r="A216" s="2" t="s">
        <v>98</v>
      </c>
      <c r="B216" s="2">
        <v>14</v>
      </c>
      <c r="C216" s="2"/>
      <c r="D216" s="2"/>
      <c r="E216" s="2"/>
      <c r="F216" s="2"/>
      <c r="G216" s="2"/>
      <c r="H216" s="2"/>
      <c r="I216" s="2">
        <v>61.947400000000002</v>
      </c>
      <c r="J216" s="2">
        <v>312</v>
      </c>
      <c r="K216" s="2">
        <v>62.818100000000001</v>
      </c>
      <c r="L216" s="2">
        <v>306</v>
      </c>
      <c r="M216" s="2">
        <v>117.06189999999999</v>
      </c>
      <c r="N216" s="2">
        <v>3</v>
      </c>
      <c r="O216" s="2">
        <v>114.39960000000001</v>
      </c>
      <c r="P216" s="2">
        <v>13</v>
      </c>
      <c r="Q216" s="2">
        <v>92.366299999999995</v>
      </c>
      <c r="R216" s="2">
        <v>17</v>
      </c>
      <c r="S216" s="2">
        <v>95.724900000000005</v>
      </c>
      <c r="T216" s="2">
        <v>49</v>
      </c>
      <c r="U216" s="2">
        <v>0.88589799999999996</v>
      </c>
      <c r="V216" s="2">
        <v>20</v>
      </c>
      <c r="W216" s="2">
        <v>2005</v>
      </c>
    </row>
    <row r="217" spans="1:23" ht="12.3" x14ac:dyDescent="0.4">
      <c r="A217" s="2" t="s">
        <v>92</v>
      </c>
      <c r="B217" s="2">
        <v>5</v>
      </c>
      <c r="C217" s="3" t="s">
        <v>33</v>
      </c>
      <c r="D217" s="2"/>
      <c r="E217" s="2"/>
      <c r="F217" s="2"/>
      <c r="G217" s="2"/>
      <c r="H217" s="2"/>
      <c r="I217" s="2">
        <v>71.058999999999997</v>
      </c>
      <c r="J217" s="2">
        <v>42</v>
      </c>
      <c r="K217" s="2">
        <v>70.195599999999999</v>
      </c>
      <c r="L217" s="2">
        <v>55</v>
      </c>
      <c r="M217" s="2">
        <v>104.11539999999999</v>
      </c>
      <c r="N217" s="2">
        <v>109</v>
      </c>
      <c r="O217" s="2">
        <v>106.86709999999999</v>
      </c>
      <c r="P217" s="2">
        <v>69</v>
      </c>
      <c r="Q217" s="2">
        <v>92.221100000000007</v>
      </c>
      <c r="R217" s="2">
        <v>16</v>
      </c>
      <c r="S217" s="2">
        <v>89.422600000000003</v>
      </c>
      <c r="T217" s="2">
        <v>4</v>
      </c>
      <c r="U217" s="2">
        <v>0.88589200000000001</v>
      </c>
      <c r="V217" s="2">
        <v>21</v>
      </c>
      <c r="W217" s="2">
        <v>2005</v>
      </c>
    </row>
    <row r="218" spans="1:23" ht="12.3" x14ac:dyDescent="0.4">
      <c r="A218" s="2" t="s">
        <v>46</v>
      </c>
      <c r="B218" s="2">
        <v>9</v>
      </c>
      <c r="C218" s="2"/>
      <c r="D218" s="2"/>
      <c r="E218" s="2"/>
      <c r="F218" s="2"/>
      <c r="G218" s="2"/>
      <c r="H218" s="2"/>
      <c r="I218" s="2">
        <v>64.418599999999998</v>
      </c>
      <c r="J218" s="2">
        <v>271</v>
      </c>
      <c r="K218" s="2">
        <v>64.873699999999999</v>
      </c>
      <c r="L218" s="2">
        <v>255</v>
      </c>
      <c r="M218" s="2">
        <v>111.5947</v>
      </c>
      <c r="N218" s="2">
        <v>23</v>
      </c>
      <c r="O218" s="2">
        <v>113.95440000000001</v>
      </c>
      <c r="P218" s="2">
        <v>17</v>
      </c>
      <c r="Q218" s="2">
        <v>97.265500000000003</v>
      </c>
      <c r="R218" s="2">
        <v>62</v>
      </c>
      <c r="S218" s="2">
        <v>95.787899999999993</v>
      </c>
      <c r="T218" s="2">
        <v>50</v>
      </c>
      <c r="U218" s="2">
        <v>0.880494</v>
      </c>
      <c r="V218" s="2">
        <v>22</v>
      </c>
      <c r="W218" s="2">
        <v>2005</v>
      </c>
    </row>
    <row r="219" spans="1:23" ht="12.3" x14ac:dyDescent="0.4">
      <c r="A219" s="2" t="s">
        <v>55</v>
      </c>
      <c r="B219" s="2">
        <v>10</v>
      </c>
      <c r="C219" s="3" t="s">
        <v>33</v>
      </c>
      <c r="D219" s="3" t="s">
        <v>33</v>
      </c>
      <c r="E219" s="2"/>
      <c r="F219" s="2"/>
      <c r="G219" s="2"/>
      <c r="H219" s="2"/>
      <c r="I219" s="2">
        <v>65.905500000000004</v>
      </c>
      <c r="J219" s="2">
        <v>216</v>
      </c>
      <c r="K219" s="2">
        <v>63.6252</v>
      </c>
      <c r="L219" s="2">
        <v>295</v>
      </c>
      <c r="M219" s="2">
        <v>112.0655</v>
      </c>
      <c r="N219" s="2">
        <v>17</v>
      </c>
      <c r="O219" s="2">
        <v>114.1657</v>
      </c>
      <c r="P219" s="2">
        <v>15</v>
      </c>
      <c r="Q219" s="2">
        <v>100.84180000000001</v>
      </c>
      <c r="R219" s="2">
        <v>150</v>
      </c>
      <c r="S219" s="2">
        <v>96.755600000000001</v>
      </c>
      <c r="T219" s="2">
        <v>66</v>
      </c>
      <c r="U219" s="2">
        <v>0.87021099999999996</v>
      </c>
      <c r="V219" s="2">
        <v>23</v>
      </c>
      <c r="W219" s="2">
        <v>2005</v>
      </c>
    </row>
    <row r="220" spans="1:23" ht="12.3" x14ac:dyDescent="0.4">
      <c r="A220" s="2" t="s">
        <v>34</v>
      </c>
      <c r="B220" s="2">
        <v>7</v>
      </c>
      <c r="C220" s="3" t="s">
        <v>33</v>
      </c>
      <c r="D220" s="2"/>
      <c r="E220" s="2"/>
      <c r="F220" s="2"/>
      <c r="G220" s="2"/>
      <c r="H220" s="2"/>
      <c r="I220" s="2">
        <v>69.004999999999995</v>
      </c>
      <c r="J220" s="2">
        <v>105</v>
      </c>
      <c r="K220" s="2">
        <v>69.338200000000001</v>
      </c>
      <c r="L220" s="2">
        <v>84</v>
      </c>
      <c r="M220" s="2">
        <v>109.8523</v>
      </c>
      <c r="N220" s="2">
        <v>34</v>
      </c>
      <c r="O220" s="2">
        <v>109.8964</v>
      </c>
      <c r="P220" s="2">
        <v>40</v>
      </c>
      <c r="Q220" s="2">
        <v>92.832300000000004</v>
      </c>
      <c r="R220" s="2">
        <v>18</v>
      </c>
      <c r="S220" s="2">
        <v>93.400300000000001</v>
      </c>
      <c r="T220" s="2">
        <v>26</v>
      </c>
      <c r="U220" s="2">
        <v>0.86650499999999997</v>
      </c>
      <c r="V220" s="2">
        <v>24</v>
      </c>
      <c r="W220" s="2">
        <v>2005</v>
      </c>
    </row>
    <row r="221" spans="1:23" ht="12.3" x14ac:dyDescent="0.4">
      <c r="A221" s="2" t="s">
        <v>47</v>
      </c>
      <c r="B221" s="2">
        <v>3</v>
      </c>
      <c r="C221" s="3" t="s">
        <v>33</v>
      </c>
      <c r="D221" s="2"/>
      <c r="E221" s="2"/>
      <c r="F221" s="2"/>
      <c r="G221" s="2"/>
      <c r="H221" s="2"/>
      <c r="I221" s="2">
        <v>68.388400000000004</v>
      </c>
      <c r="J221" s="2">
        <v>123</v>
      </c>
      <c r="K221" s="2">
        <v>68.207899999999995</v>
      </c>
      <c r="L221" s="2">
        <v>119</v>
      </c>
      <c r="M221" s="2">
        <v>116.4325</v>
      </c>
      <c r="N221" s="2">
        <v>6</v>
      </c>
      <c r="O221" s="2">
        <v>117.93940000000001</v>
      </c>
      <c r="P221" s="2">
        <v>7</v>
      </c>
      <c r="Q221" s="2">
        <v>102.10250000000001</v>
      </c>
      <c r="R221" s="2">
        <v>188</v>
      </c>
      <c r="S221" s="2">
        <v>100.3467</v>
      </c>
      <c r="T221" s="2">
        <v>137</v>
      </c>
      <c r="U221" s="2">
        <v>0.86502900000000005</v>
      </c>
      <c r="V221" s="2">
        <v>25</v>
      </c>
      <c r="W221" s="2">
        <v>2005</v>
      </c>
    </row>
    <row r="222" spans="1:23" ht="12.3" x14ac:dyDescent="0.4">
      <c r="A222" s="2" t="s">
        <v>95</v>
      </c>
      <c r="B222" s="2">
        <v>4</v>
      </c>
      <c r="C222" s="3" t="s">
        <v>33</v>
      </c>
      <c r="D222" s="2"/>
      <c r="E222" s="2"/>
      <c r="F222" s="2"/>
      <c r="G222" s="2"/>
      <c r="H222" s="2"/>
      <c r="I222" s="2">
        <v>64.899600000000007</v>
      </c>
      <c r="J222" s="2">
        <v>259</v>
      </c>
      <c r="K222" s="2">
        <v>65.185599999999994</v>
      </c>
      <c r="L222" s="2">
        <v>247</v>
      </c>
      <c r="M222" s="2">
        <v>109.54730000000001</v>
      </c>
      <c r="N222" s="2">
        <v>40</v>
      </c>
      <c r="O222" s="2">
        <v>112.0723</v>
      </c>
      <c r="P222" s="2">
        <v>25</v>
      </c>
      <c r="Q222" s="2">
        <v>97.370599999999996</v>
      </c>
      <c r="R222" s="2">
        <v>65</v>
      </c>
      <c r="S222" s="2">
        <v>95.647099999999995</v>
      </c>
      <c r="T222" s="2">
        <v>48</v>
      </c>
      <c r="U222" s="2">
        <v>0.86086600000000002</v>
      </c>
      <c r="V222" s="2">
        <v>26</v>
      </c>
      <c r="W222" s="2">
        <v>2005</v>
      </c>
    </row>
    <row r="223" spans="1:23" ht="12.3" x14ac:dyDescent="0.4">
      <c r="A223" s="2" t="s">
        <v>84</v>
      </c>
      <c r="B223" s="2">
        <v>10</v>
      </c>
      <c r="C223" s="2"/>
      <c r="D223" s="2"/>
      <c r="E223" s="2"/>
      <c r="F223" s="2"/>
      <c r="G223" s="2"/>
      <c r="H223" s="2"/>
      <c r="I223" s="2">
        <v>68.472300000000004</v>
      </c>
      <c r="J223" s="2">
        <v>120</v>
      </c>
      <c r="K223" s="2">
        <v>68.790800000000004</v>
      </c>
      <c r="L223" s="2">
        <v>101</v>
      </c>
      <c r="M223" s="2">
        <v>105.9579</v>
      </c>
      <c r="N223" s="2">
        <v>65</v>
      </c>
      <c r="O223" s="2">
        <v>110.5638</v>
      </c>
      <c r="P223" s="2">
        <v>37</v>
      </c>
      <c r="Q223" s="2">
        <v>97.1935</v>
      </c>
      <c r="R223" s="2">
        <v>61</v>
      </c>
      <c r="S223" s="2">
        <v>94.792500000000004</v>
      </c>
      <c r="T223" s="2">
        <v>38</v>
      </c>
      <c r="U223" s="2">
        <v>0.85444200000000003</v>
      </c>
      <c r="V223" s="2">
        <v>27</v>
      </c>
      <c r="W223" s="2">
        <v>2005</v>
      </c>
    </row>
    <row r="224" spans="1:23" ht="12.3" x14ac:dyDescent="0.4">
      <c r="A224" s="2" t="s">
        <v>82</v>
      </c>
      <c r="B224" s="2">
        <v>7</v>
      </c>
      <c r="C224" s="3" t="s">
        <v>33</v>
      </c>
      <c r="D224" s="2"/>
      <c r="E224" s="2"/>
      <c r="F224" s="2"/>
      <c r="G224" s="2"/>
      <c r="H224" s="2"/>
      <c r="I224" s="2">
        <v>63.823</v>
      </c>
      <c r="J224" s="2">
        <v>284</v>
      </c>
      <c r="K224" s="2">
        <v>64.196899999999999</v>
      </c>
      <c r="L224" s="2">
        <v>284</v>
      </c>
      <c r="M224" s="2">
        <v>104.85469999999999</v>
      </c>
      <c r="N224" s="2">
        <v>92</v>
      </c>
      <c r="O224" s="2">
        <v>106.9693</v>
      </c>
      <c r="P224" s="2">
        <v>67</v>
      </c>
      <c r="Q224" s="2">
        <v>94.084699999999998</v>
      </c>
      <c r="R224" s="2">
        <v>30</v>
      </c>
      <c r="S224" s="2">
        <v>92.393699999999995</v>
      </c>
      <c r="T224" s="2">
        <v>15</v>
      </c>
      <c r="U224" s="2">
        <v>0.84350599999999998</v>
      </c>
      <c r="V224" s="2">
        <v>28</v>
      </c>
      <c r="W224" s="2">
        <v>2005</v>
      </c>
    </row>
    <row r="225" spans="1:23" ht="12.3" x14ac:dyDescent="0.4">
      <c r="A225" s="2" t="s">
        <v>115</v>
      </c>
      <c r="B225" s="2">
        <v>12</v>
      </c>
      <c r="C225" s="2"/>
      <c r="D225" s="2"/>
      <c r="E225" s="2"/>
      <c r="F225" s="2"/>
      <c r="G225" s="2"/>
      <c r="H225" s="2"/>
      <c r="I225" s="2">
        <v>66.519000000000005</v>
      </c>
      <c r="J225" s="2">
        <v>192</v>
      </c>
      <c r="K225" s="2">
        <v>66.275599999999997</v>
      </c>
      <c r="L225" s="2">
        <v>208</v>
      </c>
      <c r="M225" s="2">
        <v>113.89490000000001</v>
      </c>
      <c r="N225" s="2">
        <v>12</v>
      </c>
      <c r="O225" s="2">
        <v>112.06489999999999</v>
      </c>
      <c r="P225" s="2">
        <v>26</v>
      </c>
      <c r="Q225" s="2">
        <v>97.835999999999999</v>
      </c>
      <c r="R225" s="2">
        <v>77</v>
      </c>
      <c r="S225" s="2">
        <v>97.262200000000007</v>
      </c>
      <c r="T225" s="2">
        <v>73</v>
      </c>
      <c r="U225" s="2">
        <v>0.83605700000000005</v>
      </c>
      <c r="V225" s="2">
        <v>29</v>
      </c>
      <c r="W225" s="2">
        <v>2005</v>
      </c>
    </row>
    <row r="226" spans="1:23" ht="12.3" x14ac:dyDescent="0.4">
      <c r="A226" s="2" t="s">
        <v>67</v>
      </c>
      <c r="B226" s="2">
        <v>8</v>
      </c>
      <c r="C226" s="2"/>
      <c r="D226" s="2"/>
      <c r="E226" s="2"/>
      <c r="F226" s="2"/>
      <c r="G226" s="2"/>
      <c r="H226" s="2"/>
      <c r="I226" s="2">
        <v>69.051500000000004</v>
      </c>
      <c r="J226" s="2">
        <v>102</v>
      </c>
      <c r="K226" s="2">
        <v>67.960400000000007</v>
      </c>
      <c r="L226" s="2">
        <v>125</v>
      </c>
      <c r="M226" s="2">
        <v>111.38039999999999</v>
      </c>
      <c r="N226" s="2">
        <v>26</v>
      </c>
      <c r="O226" s="2">
        <v>110.8698</v>
      </c>
      <c r="P226" s="2">
        <v>33</v>
      </c>
      <c r="Q226" s="2">
        <v>98.966800000000006</v>
      </c>
      <c r="R226" s="2">
        <v>108</v>
      </c>
      <c r="S226" s="2">
        <v>96.702500000000001</v>
      </c>
      <c r="T226" s="2">
        <v>65</v>
      </c>
      <c r="U226" s="2">
        <v>0.82810399999999995</v>
      </c>
      <c r="V226" s="2">
        <v>31</v>
      </c>
      <c r="W226" s="2">
        <v>2005</v>
      </c>
    </row>
    <row r="227" spans="1:23" ht="12.3" x14ac:dyDescent="0.4">
      <c r="A227" s="2" t="s">
        <v>75</v>
      </c>
      <c r="B227" s="2">
        <v>8</v>
      </c>
      <c r="C227" s="2"/>
      <c r="D227" s="2"/>
      <c r="E227" s="2"/>
      <c r="F227" s="2"/>
      <c r="G227" s="2"/>
      <c r="H227" s="2"/>
      <c r="I227" s="2">
        <v>67.285899999999998</v>
      </c>
      <c r="J227" s="2">
        <v>164</v>
      </c>
      <c r="K227" s="2">
        <v>68.7136</v>
      </c>
      <c r="L227" s="2">
        <v>107</v>
      </c>
      <c r="M227" s="2">
        <v>101.2773</v>
      </c>
      <c r="N227" s="2">
        <v>173</v>
      </c>
      <c r="O227" s="2">
        <v>101.1123</v>
      </c>
      <c r="P227" s="2">
        <v>167</v>
      </c>
      <c r="Q227" s="2">
        <v>93.218000000000004</v>
      </c>
      <c r="R227" s="2">
        <v>21</v>
      </c>
      <c r="S227" s="2">
        <v>88.239599999999996</v>
      </c>
      <c r="T227" s="2">
        <v>2</v>
      </c>
      <c r="U227" s="2">
        <v>0.82721599999999995</v>
      </c>
      <c r="V227" s="2">
        <v>32</v>
      </c>
      <c r="W227" s="2">
        <v>2005</v>
      </c>
    </row>
    <row r="228" spans="1:23" ht="12.3" x14ac:dyDescent="0.4">
      <c r="A228" s="2" t="s">
        <v>85</v>
      </c>
      <c r="B228" s="2">
        <v>6</v>
      </c>
      <c r="C228" s="2"/>
      <c r="D228" s="2"/>
      <c r="E228" s="2"/>
      <c r="F228" s="2"/>
      <c r="G228" s="2"/>
      <c r="H228" s="2"/>
      <c r="I228" s="2">
        <v>66.919899999999998</v>
      </c>
      <c r="J228" s="2">
        <v>173</v>
      </c>
      <c r="K228" s="2">
        <v>67.017399999999995</v>
      </c>
      <c r="L228" s="2">
        <v>173</v>
      </c>
      <c r="M228" s="2">
        <v>110.28230000000001</v>
      </c>
      <c r="N228" s="2">
        <v>30</v>
      </c>
      <c r="O228" s="2">
        <v>113.3772</v>
      </c>
      <c r="P228" s="2">
        <v>21</v>
      </c>
      <c r="Q228" s="2">
        <v>104.2854</v>
      </c>
      <c r="R228" s="2">
        <v>237</v>
      </c>
      <c r="S228" s="2">
        <v>99.493099999999998</v>
      </c>
      <c r="T228" s="2">
        <v>117</v>
      </c>
      <c r="U228" s="2">
        <v>0.81791199999999997</v>
      </c>
      <c r="V228" s="2">
        <v>33</v>
      </c>
      <c r="W228" s="2">
        <v>2005</v>
      </c>
    </row>
    <row r="229" spans="1:23" ht="12.3" x14ac:dyDescent="0.4">
      <c r="A229" s="2" t="s">
        <v>126</v>
      </c>
      <c r="B229" s="2">
        <v>8</v>
      </c>
      <c r="C229" s="3" t="s">
        <v>33</v>
      </c>
      <c r="D229" s="2"/>
      <c r="E229" s="2"/>
      <c r="F229" s="2"/>
      <c r="G229" s="2"/>
      <c r="H229" s="2"/>
      <c r="I229" s="2">
        <v>64.131299999999996</v>
      </c>
      <c r="J229" s="2">
        <v>281</v>
      </c>
      <c r="K229" s="2">
        <v>64.432000000000002</v>
      </c>
      <c r="L229" s="2">
        <v>275</v>
      </c>
      <c r="M229" s="2">
        <v>111.96639999999999</v>
      </c>
      <c r="N229" s="2">
        <v>19</v>
      </c>
      <c r="O229" s="2">
        <v>111.96</v>
      </c>
      <c r="P229" s="2">
        <v>27</v>
      </c>
      <c r="Q229" s="2">
        <v>98.072299999999998</v>
      </c>
      <c r="R229" s="2">
        <v>86</v>
      </c>
      <c r="S229" s="2">
        <v>98.343500000000006</v>
      </c>
      <c r="T229" s="2">
        <v>89</v>
      </c>
      <c r="U229" s="2">
        <v>0.81626900000000002</v>
      </c>
      <c r="V229" s="2">
        <v>34</v>
      </c>
      <c r="W229" s="2">
        <v>2005</v>
      </c>
    </row>
    <row r="230" spans="1:23" ht="12.3" x14ac:dyDescent="0.4">
      <c r="A230" s="2" t="s">
        <v>232</v>
      </c>
      <c r="B230" s="2">
        <v>12</v>
      </c>
      <c r="C230" s="2"/>
      <c r="D230" s="2"/>
      <c r="E230" s="2"/>
      <c r="F230" s="2"/>
      <c r="G230" s="2"/>
      <c r="H230" s="2"/>
      <c r="I230" s="2">
        <v>70.552000000000007</v>
      </c>
      <c r="J230" s="2">
        <v>59</v>
      </c>
      <c r="K230" s="2">
        <v>71.497100000000003</v>
      </c>
      <c r="L230" s="2">
        <v>32</v>
      </c>
      <c r="M230" s="2">
        <v>109.0921</v>
      </c>
      <c r="N230" s="2">
        <v>42</v>
      </c>
      <c r="O230" s="2">
        <v>108.32170000000001</v>
      </c>
      <c r="P230" s="2">
        <v>54</v>
      </c>
      <c r="Q230" s="2">
        <v>94.330200000000005</v>
      </c>
      <c r="R230" s="2">
        <v>32</v>
      </c>
      <c r="S230" s="2">
        <v>95.215699999999998</v>
      </c>
      <c r="T230" s="2">
        <v>41</v>
      </c>
      <c r="U230" s="2">
        <v>0.81503199999999998</v>
      </c>
      <c r="V230" s="2">
        <v>35</v>
      </c>
      <c r="W230" s="2">
        <v>2005</v>
      </c>
    </row>
    <row r="231" spans="1:23" ht="12.3" x14ac:dyDescent="0.4">
      <c r="A231" s="2" t="s">
        <v>229</v>
      </c>
      <c r="B231" s="2">
        <v>7</v>
      </c>
      <c r="C231" s="3" t="s">
        <v>33</v>
      </c>
      <c r="D231" s="3" t="s">
        <v>33</v>
      </c>
      <c r="E231" s="3" t="s">
        <v>33</v>
      </c>
      <c r="F231" s="2"/>
      <c r="G231" s="2"/>
      <c r="H231" s="2"/>
      <c r="I231" s="2">
        <v>64.240099999999998</v>
      </c>
      <c r="J231" s="2">
        <v>277</v>
      </c>
      <c r="K231" s="2">
        <v>64.682699999999997</v>
      </c>
      <c r="L231" s="2">
        <v>264</v>
      </c>
      <c r="M231" s="2">
        <v>108.9222</v>
      </c>
      <c r="N231" s="2">
        <v>45</v>
      </c>
      <c r="O231" s="2">
        <v>112.3967</v>
      </c>
      <c r="P231" s="2">
        <v>24</v>
      </c>
      <c r="Q231" s="2">
        <v>101.9979</v>
      </c>
      <c r="R231" s="2">
        <v>182</v>
      </c>
      <c r="S231" s="2">
        <v>98.949700000000007</v>
      </c>
      <c r="T231" s="2">
        <v>104</v>
      </c>
      <c r="U231" s="2">
        <v>0.81235199999999996</v>
      </c>
      <c r="V231" s="2">
        <v>37</v>
      </c>
      <c r="W231" s="2">
        <v>2005</v>
      </c>
    </row>
    <row r="232" spans="1:23" ht="12.3" x14ac:dyDescent="0.4">
      <c r="A232" s="2" t="s">
        <v>90</v>
      </c>
      <c r="B232" s="2">
        <v>10</v>
      </c>
      <c r="C232" s="2"/>
      <c r="D232" s="2"/>
      <c r="E232" s="2"/>
      <c r="F232" s="2"/>
      <c r="G232" s="2"/>
      <c r="H232" s="2"/>
      <c r="I232" s="2">
        <v>64.490899999999996</v>
      </c>
      <c r="J232" s="2">
        <v>269</v>
      </c>
      <c r="K232" s="2">
        <v>64.507199999999997</v>
      </c>
      <c r="L232" s="2">
        <v>271</v>
      </c>
      <c r="M232" s="2">
        <v>110.4606</v>
      </c>
      <c r="N232" s="2">
        <v>29</v>
      </c>
      <c r="O232" s="2">
        <v>113.12309999999999</v>
      </c>
      <c r="P232" s="2">
        <v>22</v>
      </c>
      <c r="Q232" s="2">
        <v>100.2475</v>
      </c>
      <c r="R232" s="2">
        <v>136</v>
      </c>
      <c r="S232" s="2">
        <v>99.631100000000004</v>
      </c>
      <c r="T232" s="2">
        <v>121</v>
      </c>
      <c r="U232" s="2">
        <v>0.81161300000000003</v>
      </c>
      <c r="V232" s="2">
        <v>38</v>
      </c>
      <c r="W232" s="2">
        <v>2005</v>
      </c>
    </row>
    <row r="233" spans="1:23" ht="12.3" x14ac:dyDescent="0.4">
      <c r="A233" s="2" t="s">
        <v>59</v>
      </c>
      <c r="B233" s="2">
        <v>6</v>
      </c>
      <c r="C233" s="3" t="s">
        <v>33</v>
      </c>
      <c r="D233" s="3" t="s">
        <v>33</v>
      </c>
      <c r="E233" s="2"/>
      <c r="F233" s="2"/>
      <c r="G233" s="2"/>
      <c r="H233" s="2"/>
      <c r="I233" s="2">
        <v>70.939499999999995</v>
      </c>
      <c r="J233" s="2">
        <v>46</v>
      </c>
      <c r="K233" s="2">
        <v>70.421599999999998</v>
      </c>
      <c r="L233" s="2">
        <v>51</v>
      </c>
      <c r="M233" s="2">
        <v>108.3214</v>
      </c>
      <c r="N233" s="2">
        <v>51</v>
      </c>
      <c r="O233" s="2">
        <v>107.81359999999999</v>
      </c>
      <c r="P233" s="2">
        <v>61</v>
      </c>
      <c r="Q233" s="2">
        <v>97.950299999999999</v>
      </c>
      <c r="R233" s="2">
        <v>80</v>
      </c>
      <c r="S233" s="2">
        <v>95.236000000000004</v>
      </c>
      <c r="T233" s="2">
        <v>42</v>
      </c>
      <c r="U233" s="2">
        <v>0.80635800000000002</v>
      </c>
      <c r="V233" s="2">
        <v>39</v>
      </c>
      <c r="W233" s="2">
        <v>2005</v>
      </c>
    </row>
    <row r="234" spans="1:23" ht="12.3" x14ac:dyDescent="0.4">
      <c r="A234" s="2" t="s">
        <v>48</v>
      </c>
      <c r="B234" s="2">
        <v>9</v>
      </c>
      <c r="C234" s="3" t="s">
        <v>33</v>
      </c>
      <c r="D234" s="2"/>
      <c r="E234" s="2"/>
      <c r="F234" s="2"/>
      <c r="G234" s="2"/>
      <c r="H234" s="2"/>
      <c r="I234" s="2">
        <v>68.984800000000007</v>
      </c>
      <c r="J234" s="2">
        <v>106</v>
      </c>
      <c r="K234" s="2">
        <v>70.145600000000002</v>
      </c>
      <c r="L234" s="2">
        <v>57</v>
      </c>
      <c r="M234" s="2">
        <v>104.6399</v>
      </c>
      <c r="N234" s="2">
        <v>101</v>
      </c>
      <c r="O234" s="2">
        <v>105.8001</v>
      </c>
      <c r="P234" s="2">
        <v>89</v>
      </c>
      <c r="Q234" s="2">
        <v>95.862700000000004</v>
      </c>
      <c r="R234" s="2">
        <v>45</v>
      </c>
      <c r="S234" s="2">
        <v>93.693600000000004</v>
      </c>
      <c r="T234" s="2">
        <v>28</v>
      </c>
      <c r="U234" s="2">
        <v>0.80178799999999995</v>
      </c>
      <c r="V234" s="2">
        <v>40</v>
      </c>
      <c r="W234" s="2">
        <v>2005</v>
      </c>
    </row>
    <row r="235" spans="1:23" ht="12.3" x14ac:dyDescent="0.4">
      <c r="A235" s="2" t="s">
        <v>146</v>
      </c>
      <c r="B235" s="2">
        <v>9</v>
      </c>
      <c r="C235" s="3" t="s">
        <v>33</v>
      </c>
      <c r="D235" s="2"/>
      <c r="E235" s="2"/>
      <c r="F235" s="2"/>
      <c r="G235" s="2"/>
      <c r="H235" s="2"/>
      <c r="I235" s="2">
        <v>67.289400000000001</v>
      </c>
      <c r="J235" s="2">
        <v>162</v>
      </c>
      <c r="K235" s="2">
        <v>67.611099999999993</v>
      </c>
      <c r="L235" s="2">
        <v>146</v>
      </c>
      <c r="M235" s="2">
        <v>100.2753</v>
      </c>
      <c r="N235" s="2">
        <v>194</v>
      </c>
      <c r="O235" s="2">
        <v>101.2715</v>
      </c>
      <c r="P235" s="2">
        <v>163</v>
      </c>
      <c r="Q235" s="2">
        <v>93.927999999999997</v>
      </c>
      <c r="R235" s="2">
        <v>29</v>
      </c>
      <c r="S235" s="2">
        <v>90.022499999999994</v>
      </c>
      <c r="T235" s="2">
        <v>7</v>
      </c>
      <c r="U235" s="2">
        <v>0.79479500000000003</v>
      </c>
      <c r="V235" s="2">
        <v>43</v>
      </c>
      <c r="W235" s="2">
        <v>2005</v>
      </c>
    </row>
    <row r="236" spans="1:23" ht="12.3" x14ac:dyDescent="0.4">
      <c r="A236" s="2" t="s">
        <v>122</v>
      </c>
      <c r="B236" s="2">
        <v>12</v>
      </c>
      <c r="C236" s="3" t="s">
        <v>33</v>
      </c>
      <c r="D236" s="3" t="s">
        <v>33</v>
      </c>
      <c r="E236" s="2"/>
      <c r="F236" s="2"/>
      <c r="G236" s="2"/>
      <c r="H236" s="2"/>
      <c r="I236" s="2">
        <v>67.756200000000007</v>
      </c>
      <c r="J236" s="2">
        <v>145</v>
      </c>
      <c r="K236" s="2">
        <v>70.499099999999999</v>
      </c>
      <c r="L236" s="2">
        <v>49</v>
      </c>
      <c r="M236" s="2">
        <v>107.479</v>
      </c>
      <c r="N236" s="2">
        <v>54</v>
      </c>
      <c r="O236" s="2">
        <v>106.187</v>
      </c>
      <c r="P236" s="2">
        <v>80</v>
      </c>
      <c r="Q236" s="2">
        <v>93.784099999999995</v>
      </c>
      <c r="R236" s="2">
        <v>27</v>
      </c>
      <c r="S236" s="2">
        <v>94.892600000000002</v>
      </c>
      <c r="T236" s="2">
        <v>39</v>
      </c>
      <c r="U236" s="2">
        <v>0.78469500000000003</v>
      </c>
      <c r="V236" s="2">
        <v>44</v>
      </c>
      <c r="W236" s="2">
        <v>2005</v>
      </c>
    </row>
    <row r="237" spans="1:23" ht="12.3" x14ac:dyDescent="0.4">
      <c r="A237" s="2" t="s">
        <v>220</v>
      </c>
      <c r="B237" s="2">
        <v>13</v>
      </c>
      <c r="C237" s="3" t="s">
        <v>33</v>
      </c>
      <c r="D237" s="2"/>
      <c r="E237" s="2"/>
      <c r="F237" s="2"/>
      <c r="G237" s="2"/>
      <c r="H237" s="2"/>
      <c r="I237" s="2">
        <v>65.540000000000006</v>
      </c>
      <c r="J237" s="2">
        <v>234</v>
      </c>
      <c r="K237" s="2">
        <v>66.011499999999998</v>
      </c>
      <c r="L237" s="2">
        <v>219</v>
      </c>
      <c r="M237" s="2">
        <v>111.00109999999999</v>
      </c>
      <c r="N237" s="2">
        <v>27</v>
      </c>
      <c r="O237" s="2">
        <v>111.3507</v>
      </c>
      <c r="P237" s="2">
        <v>30</v>
      </c>
      <c r="Q237" s="2">
        <v>94.387699999999995</v>
      </c>
      <c r="R237" s="2">
        <v>33</v>
      </c>
      <c r="S237" s="2">
        <v>99.552300000000002</v>
      </c>
      <c r="T237" s="2">
        <v>118</v>
      </c>
      <c r="U237" s="2">
        <v>0.78381100000000004</v>
      </c>
      <c r="V237" s="2">
        <v>46</v>
      </c>
      <c r="W237" s="2">
        <v>2005</v>
      </c>
    </row>
    <row r="238" spans="1:23" ht="12.3" x14ac:dyDescent="0.4">
      <c r="A238" s="2" t="s">
        <v>145</v>
      </c>
      <c r="B238" s="2">
        <v>9</v>
      </c>
      <c r="C238" s="3" t="s">
        <v>33</v>
      </c>
      <c r="D238" s="2"/>
      <c r="E238" s="2"/>
      <c r="F238" s="2"/>
      <c r="G238" s="2"/>
      <c r="H238" s="2"/>
      <c r="I238" s="2">
        <v>67.555000000000007</v>
      </c>
      <c r="J238" s="2">
        <v>150</v>
      </c>
      <c r="K238" s="2">
        <v>66.902000000000001</v>
      </c>
      <c r="L238" s="2">
        <v>178</v>
      </c>
      <c r="M238" s="2">
        <v>102.86669999999999</v>
      </c>
      <c r="N238" s="2">
        <v>130</v>
      </c>
      <c r="O238" s="2">
        <v>102.25109999999999</v>
      </c>
      <c r="P238" s="2">
        <v>145</v>
      </c>
      <c r="Q238" s="2">
        <v>92.198999999999998</v>
      </c>
      <c r="R238" s="2">
        <v>14</v>
      </c>
      <c r="S238" s="2">
        <v>91.863500000000002</v>
      </c>
      <c r="T238" s="2">
        <v>12</v>
      </c>
      <c r="U238" s="2">
        <v>0.77416499999999999</v>
      </c>
      <c r="V238" s="2">
        <v>48</v>
      </c>
      <c r="W238" s="2">
        <v>2005</v>
      </c>
    </row>
    <row r="239" spans="1:23" ht="12.3" x14ac:dyDescent="0.4">
      <c r="A239" s="2" t="s">
        <v>52</v>
      </c>
      <c r="B239" s="2">
        <v>8</v>
      </c>
      <c r="C239" s="2"/>
      <c r="D239" s="2"/>
      <c r="E239" s="2"/>
      <c r="F239" s="2"/>
      <c r="G239" s="2"/>
      <c r="H239" s="2"/>
      <c r="I239" s="2">
        <v>68.920400000000001</v>
      </c>
      <c r="J239" s="2">
        <v>109</v>
      </c>
      <c r="K239" s="2">
        <v>68.0227</v>
      </c>
      <c r="L239" s="2">
        <v>123</v>
      </c>
      <c r="M239" s="2">
        <v>101.0188</v>
      </c>
      <c r="N239" s="2">
        <v>179</v>
      </c>
      <c r="O239" s="2">
        <v>104.6802</v>
      </c>
      <c r="P239" s="2">
        <v>106</v>
      </c>
      <c r="Q239" s="2">
        <v>98.339699999999993</v>
      </c>
      <c r="R239" s="2">
        <v>89</v>
      </c>
      <c r="S239" s="2">
        <v>94.071799999999996</v>
      </c>
      <c r="T239" s="2">
        <v>31</v>
      </c>
      <c r="U239" s="2">
        <v>0.77360600000000002</v>
      </c>
      <c r="V239" s="2">
        <v>49</v>
      </c>
      <c r="W239" s="2">
        <v>2005</v>
      </c>
    </row>
    <row r="240" spans="1:23" ht="12.3" x14ac:dyDescent="0.4">
      <c r="A240" s="2" t="s">
        <v>216</v>
      </c>
      <c r="B240" s="2">
        <v>11</v>
      </c>
      <c r="C240" s="2"/>
      <c r="D240" s="2"/>
      <c r="E240" s="2"/>
      <c r="F240" s="2"/>
      <c r="G240" s="2"/>
      <c r="H240" s="2"/>
      <c r="I240" s="2">
        <v>65.729299999999995</v>
      </c>
      <c r="J240" s="2">
        <v>223</v>
      </c>
      <c r="K240" s="2">
        <v>66.128200000000007</v>
      </c>
      <c r="L240" s="2">
        <v>214</v>
      </c>
      <c r="M240" s="2">
        <v>109.6499</v>
      </c>
      <c r="N240" s="2">
        <v>37</v>
      </c>
      <c r="O240" s="2">
        <v>109.6448</v>
      </c>
      <c r="P240" s="2">
        <v>41</v>
      </c>
      <c r="Q240" s="2">
        <v>100.8051</v>
      </c>
      <c r="R240" s="2">
        <v>149</v>
      </c>
      <c r="S240" s="2">
        <v>98.655699999999996</v>
      </c>
      <c r="T240" s="2">
        <v>95</v>
      </c>
      <c r="U240" s="2">
        <v>0.771096</v>
      </c>
      <c r="V240" s="2">
        <v>50</v>
      </c>
      <c r="W240" s="2">
        <v>2005</v>
      </c>
    </row>
    <row r="241" spans="1:23" ht="12.3" x14ac:dyDescent="0.4">
      <c r="A241" s="2" t="s">
        <v>63</v>
      </c>
      <c r="B241" s="2">
        <v>7</v>
      </c>
      <c r="C241" s="2"/>
      <c r="D241" s="2"/>
      <c r="E241" s="2"/>
      <c r="F241" s="2"/>
      <c r="G241" s="2"/>
      <c r="H241" s="2"/>
      <c r="I241" s="2">
        <v>70.814099999999996</v>
      </c>
      <c r="J241" s="2">
        <v>49</v>
      </c>
      <c r="K241" s="2">
        <v>71.375200000000007</v>
      </c>
      <c r="L241" s="2">
        <v>36</v>
      </c>
      <c r="M241" s="2">
        <v>108.7615</v>
      </c>
      <c r="N241" s="2">
        <v>47</v>
      </c>
      <c r="O241" s="2">
        <v>111.2419</v>
      </c>
      <c r="P241" s="2">
        <v>32</v>
      </c>
      <c r="Q241" s="2">
        <v>99.874700000000004</v>
      </c>
      <c r="R241" s="2">
        <v>125</v>
      </c>
      <c r="S241" s="2">
        <v>100.18129999999999</v>
      </c>
      <c r="T241" s="2">
        <v>133</v>
      </c>
      <c r="U241" s="2">
        <v>0.76929700000000001</v>
      </c>
      <c r="V241" s="2">
        <v>52</v>
      </c>
      <c r="W241" s="2">
        <v>2005</v>
      </c>
    </row>
    <row r="242" spans="1:23" ht="12.3" x14ac:dyDescent="0.4">
      <c r="A242" s="2" t="s">
        <v>128</v>
      </c>
      <c r="B242" s="2">
        <v>11</v>
      </c>
      <c r="C242" s="3" t="s">
        <v>33</v>
      </c>
      <c r="D242" s="2"/>
      <c r="E242" s="2"/>
      <c r="F242" s="2"/>
      <c r="G242" s="2"/>
      <c r="H242" s="2"/>
      <c r="I242" s="2">
        <v>72.225800000000007</v>
      </c>
      <c r="J242" s="2">
        <v>27</v>
      </c>
      <c r="K242" s="2">
        <v>71.380099999999999</v>
      </c>
      <c r="L242" s="2">
        <v>35</v>
      </c>
      <c r="M242" s="2">
        <v>107.0809</v>
      </c>
      <c r="N242" s="2">
        <v>58</v>
      </c>
      <c r="O242" s="2">
        <v>108.0639</v>
      </c>
      <c r="P242" s="2">
        <v>59</v>
      </c>
      <c r="Q242" s="2">
        <v>98.575000000000003</v>
      </c>
      <c r="R242" s="2">
        <v>95</v>
      </c>
      <c r="S242" s="2">
        <v>97.668999999999997</v>
      </c>
      <c r="T242" s="2">
        <v>80</v>
      </c>
      <c r="U242" s="2">
        <v>0.76189499999999999</v>
      </c>
      <c r="V242" s="2">
        <v>57</v>
      </c>
      <c r="W242" s="2">
        <v>2005</v>
      </c>
    </row>
    <row r="243" spans="1:23" ht="12.3" x14ac:dyDescent="0.4">
      <c r="A243" s="2" t="s">
        <v>77</v>
      </c>
      <c r="B243" s="2">
        <v>13</v>
      </c>
      <c r="C243" s="2"/>
      <c r="D243" s="2"/>
      <c r="E243" s="2"/>
      <c r="F243" s="2"/>
      <c r="G243" s="2"/>
      <c r="H243" s="2"/>
      <c r="I243" s="2">
        <v>67.050200000000004</v>
      </c>
      <c r="J243" s="2">
        <v>170</v>
      </c>
      <c r="K243" s="2">
        <v>68.869100000000003</v>
      </c>
      <c r="L243" s="2">
        <v>98</v>
      </c>
      <c r="M243" s="2">
        <v>101.41240000000001</v>
      </c>
      <c r="N243" s="2">
        <v>166</v>
      </c>
      <c r="O243" s="2">
        <v>100.87560000000001</v>
      </c>
      <c r="P243" s="2">
        <v>176</v>
      </c>
      <c r="Q243" s="2">
        <v>89.9084</v>
      </c>
      <c r="R243" s="2">
        <v>5</v>
      </c>
      <c r="S243" s="2">
        <v>91.325100000000006</v>
      </c>
      <c r="T243" s="2">
        <v>11</v>
      </c>
      <c r="U243" s="2">
        <v>0.75837900000000003</v>
      </c>
      <c r="V243" s="2">
        <v>60</v>
      </c>
      <c r="W243" s="2">
        <v>2005</v>
      </c>
    </row>
    <row r="244" spans="1:23" ht="12.3" x14ac:dyDescent="0.4">
      <c r="A244" s="2" t="s">
        <v>190</v>
      </c>
      <c r="B244" s="2">
        <v>12</v>
      </c>
      <c r="C244" s="2"/>
      <c r="D244" s="2"/>
      <c r="E244" s="2"/>
      <c r="F244" s="2"/>
      <c r="G244" s="2"/>
      <c r="H244" s="2"/>
      <c r="I244" s="2">
        <v>66.806299999999993</v>
      </c>
      <c r="J244" s="2">
        <v>179</v>
      </c>
      <c r="K244" s="2">
        <v>67.101200000000006</v>
      </c>
      <c r="L244" s="2">
        <v>168</v>
      </c>
      <c r="M244" s="2">
        <v>104.8468</v>
      </c>
      <c r="N244" s="2">
        <v>93</v>
      </c>
      <c r="O244" s="2">
        <v>102.89879999999999</v>
      </c>
      <c r="P244" s="2">
        <v>131</v>
      </c>
      <c r="Q244" s="2">
        <v>90.377399999999994</v>
      </c>
      <c r="R244" s="2">
        <v>6</v>
      </c>
      <c r="S244" s="2">
        <v>93.242599999999996</v>
      </c>
      <c r="T244" s="2">
        <v>19</v>
      </c>
      <c r="U244" s="2">
        <v>0.75643499999999997</v>
      </c>
      <c r="V244" s="2">
        <v>62</v>
      </c>
      <c r="W244" s="2">
        <v>2005</v>
      </c>
    </row>
    <row r="245" spans="1:23" ht="12.3" x14ac:dyDescent="0.4">
      <c r="A245" s="2" t="s">
        <v>65</v>
      </c>
      <c r="B245" s="2">
        <v>11</v>
      </c>
      <c r="C245" s="2"/>
      <c r="D245" s="2"/>
      <c r="E245" s="2"/>
      <c r="F245" s="2"/>
      <c r="G245" s="2"/>
      <c r="H245" s="2"/>
      <c r="I245" s="2">
        <v>70.571100000000001</v>
      </c>
      <c r="J245" s="2">
        <v>57</v>
      </c>
      <c r="K245" s="2">
        <v>70.139499999999998</v>
      </c>
      <c r="L245" s="2">
        <v>58</v>
      </c>
      <c r="M245" s="2">
        <v>103.89790000000001</v>
      </c>
      <c r="N245" s="2">
        <v>112</v>
      </c>
      <c r="O245" s="2">
        <v>106.0566</v>
      </c>
      <c r="P245" s="2">
        <v>85</v>
      </c>
      <c r="Q245" s="2">
        <v>99.9435</v>
      </c>
      <c r="R245" s="2">
        <v>129</v>
      </c>
      <c r="S245" s="2">
        <v>96.214500000000001</v>
      </c>
      <c r="T245" s="2">
        <v>57</v>
      </c>
      <c r="U245" s="2">
        <v>0.753992</v>
      </c>
      <c r="V245" s="2">
        <v>63</v>
      </c>
      <c r="W245" s="2">
        <v>2005</v>
      </c>
    </row>
    <row r="246" spans="1:23" ht="12.3" x14ac:dyDescent="0.4">
      <c r="A246" s="2" t="s">
        <v>219</v>
      </c>
      <c r="B246" s="2">
        <v>11</v>
      </c>
      <c r="C246" s="2"/>
      <c r="D246" s="2"/>
      <c r="E246" s="2"/>
      <c r="F246" s="2"/>
      <c r="G246" s="2"/>
      <c r="H246" s="2"/>
      <c r="I246" s="2">
        <v>67.288499999999999</v>
      </c>
      <c r="J246" s="2">
        <v>163</v>
      </c>
      <c r="K246" s="2">
        <v>67.339600000000004</v>
      </c>
      <c r="L246" s="2">
        <v>159</v>
      </c>
      <c r="M246" s="2">
        <v>112.1421</v>
      </c>
      <c r="N246" s="2">
        <v>16</v>
      </c>
      <c r="O246" s="2">
        <v>111.2898</v>
      </c>
      <c r="P246" s="2">
        <v>31</v>
      </c>
      <c r="Q246" s="2">
        <v>98.731899999999996</v>
      </c>
      <c r="R246" s="2">
        <v>100</v>
      </c>
      <c r="S246" s="2">
        <v>101.36750000000001</v>
      </c>
      <c r="T246" s="2">
        <v>162</v>
      </c>
      <c r="U246" s="2">
        <v>0.74534400000000001</v>
      </c>
      <c r="V246" s="2">
        <v>67</v>
      </c>
      <c r="W246" s="2">
        <v>2005</v>
      </c>
    </row>
    <row r="247" spans="1:23" ht="12.3" x14ac:dyDescent="0.4">
      <c r="A247" s="2" t="s">
        <v>117</v>
      </c>
      <c r="B247" s="2">
        <v>13</v>
      </c>
      <c r="C247" s="2"/>
      <c r="D247" s="2"/>
      <c r="E247" s="2"/>
      <c r="F247" s="2"/>
      <c r="G247" s="2"/>
      <c r="H247" s="2"/>
      <c r="I247" s="2">
        <v>69.137</v>
      </c>
      <c r="J247" s="2">
        <v>99</v>
      </c>
      <c r="K247" s="2">
        <v>68.635300000000001</v>
      </c>
      <c r="L247" s="2">
        <v>112</v>
      </c>
      <c r="M247" s="2">
        <v>104.2163</v>
      </c>
      <c r="N247" s="2">
        <v>107</v>
      </c>
      <c r="O247" s="2">
        <v>106.22069999999999</v>
      </c>
      <c r="P247" s="2">
        <v>78</v>
      </c>
      <c r="Q247" s="2">
        <v>97.942700000000002</v>
      </c>
      <c r="R247" s="2">
        <v>79</v>
      </c>
      <c r="S247" s="2">
        <v>96.808499999999995</v>
      </c>
      <c r="T247" s="2">
        <v>68</v>
      </c>
      <c r="U247" s="2">
        <v>0.74402900000000005</v>
      </c>
      <c r="V247" s="2">
        <v>69</v>
      </c>
      <c r="W247" s="2">
        <v>2005</v>
      </c>
    </row>
    <row r="248" spans="1:23" ht="12.3" x14ac:dyDescent="0.4">
      <c r="A248" s="2" t="s">
        <v>262</v>
      </c>
      <c r="B248" s="2">
        <v>10</v>
      </c>
      <c r="C248" s="2"/>
      <c r="D248" s="2"/>
      <c r="E248" s="2"/>
      <c r="F248" s="2"/>
      <c r="G248" s="2"/>
      <c r="H248" s="2"/>
      <c r="I248" s="2">
        <v>66.445700000000002</v>
      </c>
      <c r="J248" s="2">
        <v>195</v>
      </c>
      <c r="K248" s="2">
        <v>65.7821</v>
      </c>
      <c r="L248" s="2">
        <v>230</v>
      </c>
      <c r="M248" s="2">
        <v>104.2514</v>
      </c>
      <c r="N248" s="2">
        <v>106</v>
      </c>
      <c r="O248" s="2">
        <v>105.6669</v>
      </c>
      <c r="P248" s="2">
        <v>90</v>
      </c>
      <c r="Q248" s="2">
        <v>97.331999999999994</v>
      </c>
      <c r="R248" s="2">
        <v>63</v>
      </c>
      <c r="S248" s="2">
        <v>97.126199999999997</v>
      </c>
      <c r="T248" s="2">
        <v>71</v>
      </c>
      <c r="U248" s="2">
        <v>0.72496499999999997</v>
      </c>
      <c r="V248" s="2">
        <v>77</v>
      </c>
      <c r="W248" s="2">
        <v>2005</v>
      </c>
    </row>
    <row r="249" spans="1:23" ht="12.3" x14ac:dyDescent="0.4">
      <c r="A249" s="2" t="s">
        <v>151</v>
      </c>
      <c r="B249" s="2">
        <v>13</v>
      </c>
      <c r="C249" s="2"/>
      <c r="D249" s="2"/>
      <c r="E249" s="2"/>
      <c r="F249" s="2"/>
      <c r="G249" s="2"/>
      <c r="H249" s="2"/>
      <c r="I249" s="2">
        <v>65.641999999999996</v>
      </c>
      <c r="J249" s="2">
        <v>227</v>
      </c>
      <c r="K249" s="2">
        <v>66.482900000000001</v>
      </c>
      <c r="L249" s="2">
        <v>200</v>
      </c>
      <c r="M249" s="2">
        <v>108.3516</v>
      </c>
      <c r="N249" s="2">
        <v>48</v>
      </c>
      <c r="O249" s="2">
        <v>108.6439</v>
      </c>
      <c r="P249" s="2">
        <v>52</v>
      </c>
      <c r="Q249" s="2">
        <v>102.8064</v>
      </c>
      <c r="R249" s="2">
        <v>206</v>
      </c>
      <c r="S249" s="2">
        <v>101.6448</v>
      </c>
      <c r="T249" s="2">
        <v>168</v>
      </c>
      <c r="U249" s="2">
        <v>0.682612</v>
      </c>
      <c r="V249" s="2">
        <v>87</v>
      </c>
      <c r="W249" s="2">
        <v>2005</v>
      </c>
    </row>
    <row r="250" spans="1:23" ht="12.3" x14ac:dyDescent="0.4">
      <c r="A250" s="2" t="s">
        <v>289</v>
      </c>
      <c r="B250" s="2">
        <v>14</v>
      </c>
      <c r="C250" s="3" t="s">
        <v>33</v>
      </c>
      <c r="D250" s="2"/>
      <c r="E250" s="2"/>
      <c r="F250" s="2"/>
      <c r="G250" s="2"/>
      <c r="H250" s="2"/>
      <c r="I250" s="2">
        <v>63.541400000000003</v>
      </c>
      <c r="J250" s="2">
        <v>289</v>
      </c>
      <c r="K250" s="2">
        <v>64.312700000000007</v>
      </c>
      <c r="L250" s="2">
        <v>282</v>
      </c>
      <c r="M250" s="2">
        <v>99.955399999999997</v>
      </c>
      <c r="N250" s="2">
        <v>201</v>
      </c>
      <c r="O250" s="2">
        <v>99.388199999999998</v>
      </c>
      <c r="P250" s="2">
        <v>202</v>
      </c>
      <c r="Q250" s="2">
        <v>91.5929</v>
      </c>
      <c r="R250" s="2">
        <v>9</v>
      </c>
      <c r="S250" s="2">
        <v>93.382300000000001</v>
      </c>
      <c r="T250" s="2">
        <v>25</v>
      </c>
      <c r="U250" s="2">
        <v>0.67190499999999997</v>
      </c>
      <c r="V250" s="2">
        <v>93</v>
      </c>
      <c r="W250" s="2">
        <v>2005</v>
      </c>
    </row>
    <row r="251" spans="1:23" ht="12.3" x14ac:dyDescent="0.4">
      <c r="A251" s="2" t="s">
        <v>240</v>
      </c>
      <c r="B251" s="2">
        <v>14</v>
      </c>
      <c r="C251" s="2"/>
      <c r="D251" s="2"/>
      <c r="E251" s="2"/>
      <c r="F251" s="2"/>
      <c r="G251" s="2"/>
      <c r="H251" s="2"/>
      <c r="I251" s="2">
        <v>63.475099999999998</v>
      </c>
      <c r="J251" s="2">
        <v>292</v>
      </c>
      <c r="K251" s="2">
        <v>63.685899999999997</v>
      </c>
      <c r="L251" s="2">
        <v>292</v>
      </c>
      <c r="M251" s="2">
        <v>104.51430000000001</v>
      </c>
      <c r="N251" s="2">
        <v>102</v>
      </c>
      <c r="O251" s="2">
        <v>101.04430000000001</v>
      </c>
      <c r="P251" s="2">
        <v>171</v>
      </c>
      <c r="Q251" s="2">
        <v>92.059899999999999</v>
      </c>
      <c r="R251" s="2">
        <v>13</v>
      </c>
      <c r="S251" s="2">
        <v>95.291300000000007</v>
      </c>
      <c r="T251" s="2">
        <v>43</v>
      </c>
      <c r="U251" s="2">
        <v>0.66242699999999999</v>
      </c>
      <c r="V251" s="2">
        <v>97</v>
      </c>
      <c r="W251" s="2">
        <v>2005</v>
      </c>
    </row>
    <row r="252" spans="1:23" ht="12.3" x14ac:dyDescent="0.4">
      <c r="A252" s="2" t="s">
        <v>194</v>
      </c>
      <c r="B252" s="2">
        <v>14</v>
      </c>
      <c r="C252" s="2"/>
      <c r="D252" s="2"/>
      <c r="E252" s="2"/>
      <c r="F252" s="2"/>
      <c r="G252" s="2"/>
      <c r="H252" s="2"/>
      <c r="I252" s="2">
        <v>71.415000000000006</v>
      </c>
      <c r="J252" s="2">
        <v>37</v>
      </c>
      <c r="K252" s="2">
        <v>70.429900000000004</v>
      </c>
      <c r="L252" s="2">
        <v>50</v>
      </c>
      <c r="M252" s="2">
        <v>116.9511</v>
      </c>
      <c r="N252" s="2">
        <v>5</v>
      </c>
      <c r="O252" s="2">
        <v>113.7218</v>
      </c>
      <c r="P252" s="2">
        <v>18</v>
      </c>
      <c r="Q252" s="2">
        <v>107.05029999999999</v>
      </c>
      <c r="R252" s="2">
        <v>279</v>
      </c>
      <c r="S252" s="2">
        <v>109.56270000000001</v>
      </c>
      <c r="T252" s="2">
        <v>301</v>
      </c>
      <c r="U252" s="2">
        <v>0.60550700000000002</v>
      </c>
      <c r="V252" s="2">
        <v>118</v>
      </c>
      <c r="W252" s="2">
        <v>2005</v>
      </c>
    </row>
    <row r="253" spans="1:23" ht="12.3" x14ac:dyDescent="0.4">
      <c r="A253" s="2" t="s">
        <v>328</v>
      </c>
      <c r="B253" s="2">
        <v>15</v>
      </c>
      <c r="C253" s="2"/>
      <c r="D253" s="2"/>
      <c r="E253" s="2"/>
      <c r="F253" s="2"/>
      <c r="G253" s="2"/>
      <c r="H253" s="2"/>
      <c r="I253" s="2">
        <v>62.609299999999998</v>
      </c>
      <c r="J253" s="2">
        <v>305</v>
      </c>
      <c r="K253" s="2">
        <v>61.0764</v>
      </c>
      <c r="L253" s="2">
        <v>319</v>
      </c>
      <c r="M253" s="2">
        <v>98.056100000000001</v>
      </c>
      <c r="N253" s="2">
        <v>230</v>
      </c>
      <c r="O253" s="2">
        <v>96.627200000000002</v>
      </c>
      <c r="P253" s="2">
        <v>243</v>
      </c>
      <c r="Q253" s="2">
        <v>89.710999999999999</v>
      </c>
      <c r="R253" s="2">
        <v>4</v>
      </c>
      <c r="S253" s="2">
        <v>93.325500000000005</v>
      </c>
      <c r="T253" s="2">
        <v>23</v>
      </c>
      <c r="U253" s="2">
        <v>0.59864499999999998</v>
      </c>
      <c r="V253" s="2">
        <v>120</v>
      </c>
      <c r="W253" s="2">
        <v>2005</v>
      </c>
    </row>
    <row r="254" spans="1:23" ht="12.3" x14ac:dyDescent="0.4">
      <c r="A254" s="2" t="s">
        <v>324</v>
      </c>
      <c r="B254" s="2">
        <v>15</v>
      </c>
      <c r="C254" s="2"/>
      <c r="D254" s="2"/>
      <c r="E254" s="2"/>
      <c r="F254" s="2"/>
      <c r="G254" s="2"/>
      <c r="H254" s="2"/>
      <c r="I254" s="2">
        <v>66.597700000000003</v>
      </c>
      <c r="J254" s="2">
        <v>190</v>
      </c>
      <c r="K254" s="2">
        <v>66.765199999999993</v>
      </c>
      <c r="L254" s="2">
        <v>186</v>
      </c>
      <c r="M254" s="2">
        <v>105.208</v>
      </c>
      <c r="N254" s="2">
        <v>85</v>
      </c>
      <c r="O254" s="2">
        <v>101.0895</v>
      </c>
      <c r="P254" s="2">
        <v>169</v>
      </c>
      <c r="Q254" s="2">
        <v>100.41540000000001</v>
      </c>
      <c r="R254" s="2">
        <v>142</v>
      </c>
      <c r="S254" s="2">
        <v>100.1037</v>
      </c>
      <c r="T254" s="2">
        <v>130</v>
      </c>
      <c r="U254" s="2">
        <v>0.52814399999999995</v>
      </c>
      <c r="V254" s="2">
        <v>145</v>
      </c>
      <c r="W254" s="2">
        <v>2005</v>
      </c>
    </row>
    <row r="255" spans="1:23" ht="12.3" x14ac:dyDescent="0.4">
      <c r="A255" s="2" t="s">
        <v>166</v>
      </c>
      <c r="B255" s="2">
        <v>15</v>
      </c>
      <c r="C255" s="2"/>
      <c r="D255" s="2"/>
      <c r="E255" s="2"/>
      <c r="F255" s="2"/>
      <c r="G255" s="2"/>
      <c r="H255" s="2"/>
      <c r="I255" s="2">
        <v>69.997699999999995</v>
      </c>
      <c r="J255" s="2">
        <v>75</v>
      </c>
      <c r="K255" s="2">
        <v>68.389899999999997</v>
      </c>
      <c r="L255" s="2">
        <v>117</v>
      </c>
      <c r="M255" s="2">
        <v>100.4572</v>
      </c>
      <c r="N255" s="2">
        <v>191</v>
      </c>
      <c r="O255" s="2">
        <v>97.890100000000004</v>
      </c>
      <c r="P255" s="2">
        <v>225</v>
      </c>
      <c r="Q255" s="2">
        <v>96.870800000000003</v>
      </c>
      <c r="R255" s="2">
        <v>58</v>
      </c>
      <c r="S255" s="2">
        <v>98.302199999999999</v>
      </c>
      <c r="T255" s="2">
        <v>86</v>
      </c>
      <c r="U255" s="2">
        <v>0.48792400000000002</v>
      </c>
      <c r="V255" s="2">
        <v>162</v>
      </c>
      <c r="W255" s="2">
        <v>2005</v>
      </c>
    </row>
    <row r="256" spans="1:23" ht="12.3" x14ac:dyDescent="0.4">
      <c r="A256" s="2" t="s">
        <v>165</v>
      </c>
      <c r="B256" s="2">
        <v>16</v>
      </c>
      <c r="C256" s="2"/>
      <c r="D256" s="2"/>
      <c r="E256" s="2"/>
      <c r="F256" s="2"/>
      <c r="G256" s="2"/>
      <c r="H256" s="2"/>
      <c r="I256" s="2">
        <v>65.846599999999995</v>
      </c>
      <c r="J256" s="2">
        <v>218</v>
      </c>
      <c r="K256" s="2">
        <v>65.992500000000007</v>
      </c>
      <c r="L256" s="2">
        <v>221</v>
      </c>
      <c r="M256" s="2">
        <v>106.5184</v>
      </c>
      <c r="N256" s="2">
        <v>61</v>
      </c>
      <c r="O256" s="2">
        <v>106.3563</v>
      </c>
      <c r="P256" s="2">
        <v>76</v>
      </c>
      <c r="Q256" s="2">
        <v>110.8047</v>
      </c>
      <c r="R256" s="2">
        <v>321</v>
      </c>
      <c r="S256" s="2">
        <v>107.70480000000001</v>
      </c>
      <c r="T256" s="2">
        <v>281</v>
      </c>
      <c r="U256" s="2">
        <v>0.46384199999999998</v>
      </c>
      <c r="V256" s="2">
        <v>176</v>
      </c>
      <c r="W256" s="2">
        <v>2005</v>
      </c>
    </row>
    <row r="257" spans="1:23" ht="12.3" x14ac:dyDescent="0.4">
      <c r="A257" s="2" t="s">
        <v>177</v>
      </c>
      <c r="B257" s="2">
        <v>15</v>
      </c>
      <c r="C257" s="2"/>
      <c r="D257" s="2"/>
      <c r="E257" s="2"/>
      <c r="F257" s="2"/>
      <c r="G257" s="2"/>
      <c r="H257" s="2"/>
      <c r="I257" s="2">
        <v>62.104199999999999</v>
      </c>
      <c r="J257" s="2">
        <v>310</v>
      </c>
      <c r="K257" s="2">
        <v>60.946399999999997</v>
      </c>
      <c r="L257" s="2">
        <v>320</v>
      </c>
      <c r="M257" s="2">
        <v>108.9913</v>
      </c>
      <c r="N257" s="2">
        <v>44</v>
      </c>
      <c r="O257" s="2">
        <v>103.82640000000001</v>
      </c>
      <c r="P257" s="2">
        <v>115</v>
      </c>
      <c r="Q257" s="2">
        <v>103.7912</v>
      </c>
      <c r="R257" s="2">
        <v>226</v>
      </c>
      <c r="S257" s="2">
        <v>105.9743</v>
      </c>
      <c r="T257" s="2">
        <v>252</v>
      </c>
      <c r="U257" s="2">
        <v>0.44140099999999999</v>
      </c>
      <c r="V257" s="2">
        <v>183</v>
      </c>
      <c r="W257" s="2">
        <v>2005</v>
      </c>
    </row>
    <row r="258" spans="1:23" ht="12.3" x14ac:dyDescent="0.4">
      <c r="A258" s="2" t="s">
        <v>344</v>
      </c>
      <c r="B258" s="2">
        <v>16</v>
      </c>
      <c r="C258" s="2"/>
      <c r="D258" s="2"/>
      <c r="E258" s="2"/>
      <c r="F258" s="2"/>
      <c r="G258" s="2"/>
      <c r="H258" s="2"/>
      <c r="I258" s="2">
        <v>69.947400000000002</v>
      </c>
      <c r="J258" s="2">
        <v>76</v>
      </c>
      <c r="K258" s="2">
        <v>69.666499999999999</v>
      </c>
      <c r="L258" s="2">
        <v>74</v>
      </c>
      <c r="M258" s="2">
        <v>105.2655</v>
      </c>
      <c r="N258" s="2">
        <v>82</v>
      </c>
      <c r="O258" s="2">
        <v>100.8907</v>
      </c>
      <c r="P258" s="2">
        <v>175</v>
      </c>
      <c r="Q258" s="2">
        <v>100.3342</v>
      </c>
      <c r="R258" s="2">
        <v>138</v>
      </c>
      <c r="S258" s="2">
        <v>103.8184</v>
      </c>
      <c r="T258" s="2">
        <v>214</v>
      </c>
      <c r="U258" s="2">
        <v>0.41849199999999998</v>
      </c>
      <c r="V258" s="2">
        <v>191</v>
      </c>
      <c r="W258" s="2">
        <v>2005</v>
      </c>
    </row>
    <row r="259" spans="1:23" ht="12.3" x14ac:dyDescent="0.4">
      <c r="A259" s="2" t="s">
        <v>234</v>
      </c>
      <c r="B259" s="2">
        <v>16</v>
      </c>
      <c r="C259" s="2"/>
      <c r="D259" s="2"/>
      <c r="E259" s="2"/>
      <c r="F259" s="2"/>
      <c r="G259" s="2"/>
      <c r="H259" s="2"/>
      <c r="I259" s="2">
        <v>69.610699999999994</v>
      </c>
      <c r="J259" s="2">
        <v>87</v>
      </c>
      <c r="K259" s="2">
        <v>68.915499999999994</v>
      </c>
      <c r="L259" s="2">
        <v>96</v>
      </c>
      <c r="M259" s="2">
        <v>99.559100000000001</v>
      </c>
      <c r="N259" s="2">
        <v>208</v>
      </c>
      <c r="O259" s="2">
        <v>98.592200000000005</v>
      </c>
      <c r="P259" s="2">
        <v>215</v>
      </c>
      <c r="Q259" s="2">
        <v>98.957400000000007</v>
      </c>
      <c r="R259" s="2">
        <v>107</v>
      </c>
      <c r="S259" s="2">
        <v>101.63800000000001</v>
      </c>
      <c r="T259" s="2">
        <v>166</v>
      </c>
      <c r="U259" s="2">
        <v>0.41341</v>
      </c>
      <c r="V259" s="2">
        <v>194</v>
      </c>
      <c r="W259" s="2">
        <v>2005</v>
      </c>
    </row>
    <row r="260" spans="1:23" ht="12.3" x14ac:dyDescent="0.4">
      <c r="A260" s="2" t="s">
        <v>265</v>
      </c>
      <c r="B260" s="2">
        <v>16</v>
      </c>
      <c r="C260" s="2"/>
      <c r="D260" s="2"/>
      <c r="E260" s="2"/>
      <c r="F260" s="2"/>
      <c r="G260" s="2"/>
      <c r="H260" s="2"/>
      <c r="I260" s="2">
        <v>60.713000000000001</v>
      </c>
      <c r="J260" s="2">
        <v>322</v>
      </c>
      <c r="K260" s="2">
        <v>60.188000000000002</v>
      </c>
      <c r="L260" s="2">
        <v>323</v>
      </c>
      <c r="M260" s="2">
        <v>102.0196</v>
      </c>
      <c r="N260" s="2">
        <v>147</v>
      </c>
      <c r="O260" s="2">
        <v>102.5804</v>
      </c>
      <c r="P260" s="2">
        <v>138</v>
      </c>
      <c r="Q260" s="2">
        <v>101.5197</v>
      </c>
      <c r="R260" s="2">
        <v>169</v>
      </c>
      <c r="S260" s="2">
        <v>106.6371</v>
      </c>
      <c r="T260" s="2">
        <v>264</v>
      </c>
      <c r="U260" s="2">
        <v>0.39030700000000002</v>
      </c>
      <c r="V260" s="2">
        <v>200</v>
      </c>
      <c r="W260" s="2">
        <v>2005</v>
      </c>
    </row>
    <row r="261" spans="1:23" ht="12.3" x14ac:dyDescent="0.4">
      <c r="A261" s="2" t="s">
        <v>272</v>
      </c>
      <c r="B261" s="2">
        <v>16</v>
      </c>
      <c r="C261" s="2"/>
      <c r="D261" s="2"/>
      <c r="E261" s="2"/>
      <c r="F261" s="2"/>
      <c r="G261" s="2"/>
      <c r="H261" s="2"/>
      <c r="I261" s="2">
        <v>73.287300000000002</v>
      </c>
      <c r="J261" s="2">
        <v>19</v>
      </c>
      <c r="K261" s="2">
        <v>73.141300000000001</v>
      </c>
      <c r="L261" s="2">
        <v>13</v>
      </c>
      <c r="M261" s="2">
        <v>92.703999999999994</v>
      </c>
      <c r="N261" s="2">
        <v>292</v>
      </c>
      <c r="O261" s="2">
        <v>90.820499999999996</v>
      </c>
      <c r="P261" s="2">
        <v>308</v>
      </c>
      <c r="Q261" s="2">
        <v>91.981999999999999</v>
      </c>
      <c r="R261" s="2">
        <v>10</v>
      </c>
      <c r="S261" s="2">
        <v>100.9975</v>
      </c>
      <c r="T261" s="2">
        <v>151</v>
      </c>
      <c r="U261" s="2">
        <v>0.227687</v>
      </c>
      <c r="V261" s="2">
        <v>273</v>
      </c>
      <c r="W261" s="2">
        <v>2005</v>
      </c>
    </row>
    <row r="262" spans="1:23" ht="12.3" x14ac:dyDescent="0.4">
      <c r="A262" s="2" t="s">
        <v>32</v>
      </c>
      <c r="B262" s="2">
        <v>1</v>
      </c>
      <c r="C262" s="3" t="s">
        <v>33</v>
      </c>
      <c r="D262" s="3" t="s">
        <v>33</v>
      </c>
      <c r="E262" s="2"/>
      <c r="F262" s="2"/>
      <c r="G262" s="2"/>
      <c r="H262" s="2"/>
      <c r="I262" s="2">
        <v>71.308300000000003</v>
      </c>
      <c r="J262" s="2">
        <v>39</v>
      </c>
      <c r="K262" s="2">
        <v>71.882800000000003</v>
      </c>
      <c r="L262" s="2">
        <v>23</v>
      </c>
      <c r="M262" s="2">
        <v>115.4725</v>
      </c>
      <c r="N262" s="2">
        <v>1</v>
      </c>
      <c r="O262" s="2">
        <v>119.2993</v>
      </c>
      <c r="P262" s="2">
        <v>1</v>
      </c>
      <c r="Q262" s="2">
        <v>96.208200000000005</v>
      </c>
      <c r="R262" s="2">
        <v>56</v>
      </c>
      <c r="S262" s="2">
        <v>93.878399999999999</v>
      </c>
      <c r="T262" s="2">
        <v>31</v>
      </c>
      <c r="U262" s="2">
        <v>0.94023999999999996</v>
      </c>
      <c r="V262" s="2">
        <v>1</v>
      </c>
      <c r="W262" s="2">
        <v>2006</v>
      </c>
    </row>
    <row r="263" spans="1:23" ht="12.3" x14ac:dyDescent="0.4">
      <c r="A263" s="2" t="s">
        <v>54</v>
      </c>
      <c r="B263" s="2">
        <v>1</v>
      </c>
      <c r="C263" s="3" t="s">
        <v>33</v>
      </c>
      <c r="D263" s="3" t="s">
        <v>33</v>
      </c>
      <c r="E263" s="3" t="s">
        <v>33</v>
      </c>
      <c r="F263" s="2"/>
      <c r="G263" s="2"/>
      <c r="H263" s="2"/>
      <c r="I263" s="2">
        <v>71.499499999999998</v>
      </c>
      <c r="J263" s="2">
        <v>35</v>
      </c>
      <c r="K263" s="2">
        <v>71.123000000000005</v>
      </c>
      <c r="L263" s="2">
        <v>38</v>
      </c>
      <c r="M263" s="2">
        <v>112.59990000000001</v>
      </c>
      <c r="N263" s="2">
        <v>9</v>
      </c>
      <c r="O263" s="2">
        <v>116.20140000000001</v>
      </c>
      <c r="P263" s="2">
        <v>6</v>
      </c>
      <c r="Q263" s="2">
        <v>91.0946</v>
      </c>
      <c r="R263" s="2">
        <v>13</v>
      </c>
      <c r="S263" s="2">
        <v>91.702699999999993</v>
      </c>
      <c r="T263" s="2">
        <v>16</v>
      </c>
      <c r="U263" s="2">
        <v>0.93836399999999998</v>
      </c>
      <c r="V263" s="2">
        <v>2</v>
      </c>
      <c r="W263" s="2">
        <v>2006</v>
      </c>
    </row>
    <row r="264" spans="1:23" ht="12.3" x14ac:dyDescent="0.4">
      <c r="A264" s="2" t="s">
        <v>78</v>
      </c>
      <c r="B264" s="2">
        <v>1</v>
      </c>
      <c r="C264" s="3" t="s">
        <v>33</v>
      </c>
      <c r="D264" s="3" t="s">
        <v>33</v>
      </c>
      <c r="E264" s="3" t="s">
        <v>33</v>
      </c>
      <c r="F264" s="2"/>
      <c r="G264" s="2"/>
      <c r="H264" s="2"/>
      <c r="I264" s="2">
        <v>66.766800000000003</v>
      </c>
      <c r="J264" s="2">
        <v>178</v>
      </c>
      <c r="K264" s="2">
        <v>67.383200000000002</v>
      </c>
      <c r="L264" s="2">
        <v>141</v>
      </c>
      <c r="M264" s="2">
        <v>112.5262</v>
      </c>
      <c r="N264" s="2">
        <v>10</v>
      </c>
      <c r="O264" s="2">
        <v>115.8837</v>
      </c>
      <c r="P264" s="2">
        <v>7</v>
      </c>
      <c r="Q264" s="2">
        <v>95.116500000000002</v>
      </c>
      <c r="R264" s="2">
        <v>42</v>
      </c>
      <c r="S264" s="2">
        <v>92.431799999999996</v>
      </c>
      <c r="T264" s="2">
        <v>21</v>
      </c>
      <c r="U264" s="2">
        <v>0.93088300000000002</v>
      </c>
      <c r="V264" s="2">
        <v>3</v>
      </c>
      <c r="W264" s="2">
        <v>2006</v>
      </c>
    </row>
    <row r="265" spans="1:23" ht="12.3" x14ac:dyDescent="0.4">
      <c r="A265" s="2" t="s">
        <v>35</v>
      </c>
      <c r="B265" s="2">
        <v>4</v>
      </c>
      <c r="C265" s="2"/>
      <c r="D265" s="2"/>
      <c r="E265" s="2"/>
      <c r="F265" s="2"/>
      <c r="G265" s="2"/>
      <c r="H265" s="2"/>
      <c r="I265" s="2">
        <v>69.375299999999996</v>
      </c>
      <c r="J265" s="2">
        <v>82</v>
      </c>
      <c r="K265" s="2">
        <v>69.159899999999993</v>
      </c>
      <c r="L265" s="2">
        <v>83</v>
      </c>
      <c r="M265" s="2">
        <v>106.61920000000001</v>
      </c>
      <c r="N265" s="2">
        <v>76</v>
      </c>
      <c r="O265" s="2">
        <v>108.8579</v>
      </c>
      <c r="P265" s="2">
        <v>53</v>
      </c>
      <c r="Q265" s="2">
        <v>87.937700000000007</v>
      </c>
      <c r="R265" s="2">
        <v>2</v>
      </c>
      <c r="S265" s="2">
        <v>87.126599999999996</v>
      </c>
      <c r="T265" s="2">
        <v>2</v>
      </c>
      <c r="U265" s="2">
        <v>0.92829799999999996</v>
      </c>
      <c r="V265" s="2">
        <v>4</v>
      </c>
      <c r="W265" s="2">
        <v>2006</v>
      </c>
    </row>
    <row r="266" spans="1:23" ht="12.3" x14ac:dyDescent="0.4">
      <c r="A266" s="2" t="s">
        <v>67</v>
      </c>
      <c r="B266" s="2">
        <v>2</v>
      </c>
      <c r="C266" s="3" t="s">
        <v>33</v>
      </c>
      <c r="D266" s="3" t="s">
        <v>33</v>
      </c>
      <c r="E266" s="3" t="s">
        <v>33</v>
      </c>
      <c r="F266" s="2"/>
      <c r="G266" s="2"/>
      <c r="H266" s="2"/>
      <c r="I266" s="2">
        <v>66.7761</v>
      </c>
      <c r="J266" s="2">
        <v>177</v>
      </c>
      <c r="K266" s="2">
        <v>65.569199999999995</v>
      </c>
      <c r="L266" s="2">
        <v>231</v>
      </c>
      <c r="M266" s="2">
        <v>113.9547</v>
      </c>
      <c r="N266" s="2">
        <v>6</v>
      </c>
      <c r="O266" s="2">
        <v>117.1721</v>
      </c>
      <c r="P266" s="2">
        <v>3</v>
      </c>
      <c r="Q266" s="2">
        <v>90.458500000000001</v>
      </c>
      <c r="R266" s="2">
        <v>7</v>
      </c>
      <c r="S266" s="2">
        <v>94.367800000000003</v>
      </c>
      <c r="T266" s="2">
        <v>41</v>
      </c>
      <c r="U266" s="2">
        <v>0.92337400000000003</v>
      </c>
      <c r="V266" s="2">
        <v>5</v>
      </c>
      <c r="W266" s="2">
        <v>2006</v>
      </c>
    </row>
    <row r="267" spans="1:23" ht="12.3" x14ac:dyDescent="0.4">
      <c r="A267" s="2" t="s">
        <v>44</v>
      </c>
      <c r="B267" s="2">
        <v>4</v>
      </c>
      <c r="C267" s="3" t="s">
        <v>33</v>
      </c>
      <c r="D267" s="2"/>
      <c r="E267" s="2"/>
      <c r="F267" s="2"/>
      <c r="G267" s="2"/>
      <c r="H267" s="2"/>
      <c r="I267" s="2">
        <v>63.590699999999998</v>
      </c>
      <c r="J267" s="2">
        <v>287</v>
      </c>
      <c r="K267" s="2">
        <v>63.753</v>
      </c>
      <c r="L267" s="2">
        <v>281</v>
      </c>
      <c r="M267" s="2">
        <v>109.9195</v>
      </c>
      <c r="N267" s="2">
        <v>32</v>
      </c>
      <c r="O267" s="2">
        <v>113.3377</v>
      </c>
      <c r="P267" s="2">
        <v>15</v>
      </c>
      <c r="Q267" s="2">
        <v>91.848799999999997</v>
      </c>
      <c r="R267" s="2">
        <v>17</v>
      </c>
      <c r="S267" s="2">
        <v>91.653300000000002</v>
      </c>
      <c r="T267" s="2">
        <v>14</v>
      </c>
      <c r="U267" s="2">
        <v>0.91998400000000002</v>
      </c>
      <c r="V267" s="2">
        <v>6</v>
      </c>
      <c r="W267" s="2">
        <v>2006</v>
      </c>
    </row>
    <row r="268" spans="1:23" ht="12.3" x14ac:dyDescent="0.4">
      <c r="A268" s="2" t="s">
        <v>37</v>
      </c>
      <c r="B268" s="2">
        <v>3</v>
      </c>
      <c r="C268" s="3" t="s">
        <v>33</v>
      </c>
      <c r="D268" s="3" t="s">
        <v>33</v>
      </c>
      <c r="E268" s="3" t="s">
        <v>33</v>
      </c>
      <c r="F268" s="3" t="s">
        <v>33</v>
      </c>
      <c r="G268" s="3" t="s">
        <v>33</v>
      </c>
      <c r="H268" s="3" t="s">
        <v>33</v>
      </c>
      <c r="I268" s="2">
        <v>69.216999999999999</v>
      </c>
      <c r="J268" s="2">
        <v>87</v>
      </c>
      <c r="K268" s="2">
        <v>68.694500000000005</v>
      </c>
      <c r="L268" s="2">
        <v>97</v>
      </c>
      <c r="M268" s="2">
        <v>113.9862</v>
      </c>
      <c r="N268" s="2">
        <v>5</v>
      </c>
      <c r="O268" s="2">
        <v>113.8817</v>
      </c>
      <c r="P268" s="2">
        <v>14</v>
      </c>
      <c r="Q268" s="2">
        <v>93.253399999999999</v>
      </c>
      <c r="R268" s="2">
        <v>25</v>
      </c>
      <c r="S268" s="2">
        <v>92.112099999999998</v>
      </c>
      <c r="T268" s="2">
        <v>18</v>
      </c>
      <c r="U268" s="2">
        <v>0.91981000000000002</v>
      </c>
      <c r="V268" s="2">
        <v>7</v>
      </c>
      <c r="W268" s="2">
        <v>2006</v>
      </c>
    </row>
    <row r="269" spans="1:23" ht="12.3" x14ac:dyDescent="0.4">
      <c r="A269" s="2" t="s">
        <v>65</v>
      </c>
      <c r="B269" s="2">
        <v>2</v>
      </c>
      <c r="C269" s="3" t="s">
        <v>33</v>
      </c>
      <c r="D269" s="3" t="s">
        <v>33</v>
      </c>
      <c r="E269" s="3" t="s">
        <v>33</v>
      </c>
      <c r="F269" s="3" t="s">
        <v>33</v>
      </c>
      <c r="G269" s="3" t="s">
        <v>33</v>
      </c>
      <c r="H269" s="2"/>
      <c r="I269" s="2">
        <v>62.642099999999999</v>
      </c>
      <c r="J269" s="2">
        <v>305</v>
      </c>
      <c r="K269" s="2">
        <v>62.884700000000002</v>
      </c>
      <c r="L269" s="2">
        <v>300</v>
      </c>
      <c r="M269" s="2">
        <v>109.3432</v>
      </c>
      <c r="N269" s="2">
        <v>36</v>
      </c>
      <c r="O269" s="2">
        <v>112.3334</v>
      </c>
      <c r="P269" s="2">
        <v>22</v>
      </c>
      <c r="Q269" s="2">
        <v>93.693299999999994</v>
      </c>
      <c r="R269" s="2">
        <v>29</v>
      </c>
      <c r="S269" s="2">
        <v>91.199200000000005</v>
      </c>
      <c r="T269" s="2">
        <v>10</v>
      </c>
      <c r="U269" s="2">
        <v>0.91659000000000002</v>
      </c>
      <c r="V269" s="2">
        <v>8</v>
      </c>
      <c r="W269" s="2">
        <v>2006</v>
      </c>
    </row>
    <row r="270" spans="1:23" ht="12.3" x14ac:dyDescent="0.4">
      <c r="A270" s="2" t="s">
        <v>21</v>
      </c>
      <c r="B270" s="2">
        <v>2</v>
      </c>
      <c r="C270" s="3" t="s">
        <v>33</v>
      </c>
      <c r="D270" s="2"/>
      <c r="E270" s="2"/>
      <c r="F270" s="2"/>
      <c r="G270" s="2"/>
      <c r="H270" s="2"/>
      <c r="I270" s="2">
        <v>66.170900000000003</v>
      </c>
      <c r="J270" s="2">
        <v>205</v>
      </c>
      <c r="K270" s="2">
        <v>66.723500000000001</v>
      </c>
      <c r="L270" s="2">
        <v>173</v>
      </c>
      <c r="M270" s="2">
        <v>111.42400000000001</v>
      </c>
      <c r="N270" s="2">
        <v>18</v>
      </c>
      <c r="O270" s="2">
        <v>112.81010000000001</v>
      </c>
      <c r="P270" s="2">
        <v>17</v>
      </c>
      <c r="Q270" s="2">
        <v>94.879599999999996</v>
      </c>
      <c r="R270" s="2">
        <v>40</v>
      </c>
      <c r="S270" s="2">
        <v>91.872900000000001</v>
      </c>
      <c r="T270" s="2">
        <v>17</v>
      </c>
      <c r="U270" s="2">
        <v>0.91379999999999995</v>
      </c>
      <c r="V270" s="2">
        <v>9</v>
      </c>
      <c r="W270" s="2">
        <v>2006</v>
      </c>
    </row>
    <row r="271" spans="1:23" ht="12.3" x14ac:dyDescent="0.4">
      <c r="A271" s="2" t="s">
        <v>168</v>
      </c>
      <c r="B271" s="2">
        <v>3</v>
      </c>
      <c r="C271" s="3" t="s">
        <v>33</v>
      </c>
      <c r="D271" s="2"/>
      <c r="E271" s="2"/>
      <c r="F271" s="2"/>
      <c r="G271" s="2"/>
      <c r="H271" s="2"/>
      <c r="I271" s="2">
        <v>72.674599999999998</v>
      </c>
      <c r="J271" s="2">
        <v>19</v>
      </c>
      <c r="K271" s="2">
        <v>72.287999999999997</v>
      </c>
      <c r="L271" s="2">
        <v>20</v>
      </c>
      <c r="M271" s="2">
        <v>111.0668</v>
      </c>
      <c r="N271" s="2">
        <v>24</v>
      </c>
      <c r="O271" s="2">
        <v>115.2469</v>
      </c>
      <c r="P271" s="2">
        <v>10</v>
      </c>
      <c r="Q271" s="2">
        <v>95.795299999999997</v>
      </c>
      <c r="R271" s="2">
        <v>50</v>
      </c>
      <c r="S271" s="2">
        <v>93.917599999999993</v>
      </c>
      <c r="T271" s="2">
        <v>32</v>
      </c>
      <c r="U271" s="2">
        <v>0.913219</v>
      </c>
      <c r="V271" s="2">
        <v>10</v>
      </c>
      <c r="W271" s="2">
        <v>2006</v>
      </c>
    </row>
    <row r="272" spans="1:23" ht="12.3" x14ac:dyDescent="0.4">
      <c r="A272" s="2" t="s">
        <v>71</v>
      </c>
      <c r="B272" s="2">
        <v>1</v>
      </c>
      <c r="C272" s="3" t="s">
        <v>33</v>
      </c>
      <c r="D272" s="3" t="s">
        <v>33</v>
      </c>
      <c r="E272" s="3" t="s">
        <v>33</v>
      </c>
      <c r="F272" s="2"/>
      <c r="G272" s="2"/>
      <c r="H272" s="2"/>
      <c r="I272" s="2">
        <v>73.982600000000005</v>
      </c>
      <c r="J272" s="2">
        <v>9</v>
      </c>
      <c r="K272" s="2">
        <v>72.977999999999994</v>
      </c>
      <c r="L272" s="2">
        <v>13</v>
      </c>
      <c r="M272" s="2">
        <v>109.3103</v>
      </c>
      <c r="N272" s="2">
        <v>37</v>
      </c>
      <c r="O272" s="2">
        <v>109.6311</v>
      </c>
      <c r="P272" s="2">
        <v>41</v>
      </c>
      <c r="Q272" s="2">
        <v>88.944100000000006</v>
      </c>
      <c r="R272" s="2">
        <v>5</v>
      </c>
      <c r="S272" s="2">
        <v>89.612300000000005</v>
      </c>
      <c r="T272" s="2">
        <v>4</v>
      </c>
      <c r="U272" s="2">
        <v>0.910416</v>
      </c>
      <c r="V272" s="2">
        <v>11</v>
      </c>
      <c r="W272" s="2">
        <v>2006</v>
      </c>
    </row>
    <row r="273" spans="1:23" ht="12.3" x14ac:dyDescent="0.4">
      <c r="A273" s="2" t="s">
        <v>46</v>
      </c>
      <c r="B273" s="2">
        <v>5</v>
      </c>
      <c r="C273" s="3" t="s">
        <v>33</v>
      </c>
      <c r="D273" s="2"/>
      <c r="E273" s="2"/>
      <c r="F273" s="2"/>
      <c r="G273" s="2"/>
      <c r="H273" s="2"/>
      <c r="I273" s="2">
        <v>66.075299999999999</v>
      </c>
      <c r="J273" s="2">
        <v>209</v>
      </c>
      <c r="K273" s="2">
        <v>66.022900000000007</v>
      </c>
      <c r="L273" s="2">
        <v>216</v>
      </c>
      <c r="M273" s="2">
        <v>108.5515</v>
      </c>
      <c r="N273" s="2">
        <v>45</v>
      </c>
      <c r="O273" s="2">
        <v>110.5509</v>
      </c>
      <c r="P273" s="2">
        <v>32</v>
      </c>
      <c r="Q273" s="2">
        <v>93.987899999999996</v>
      </c>
      <c r="R273" s="2">
        <v>32</v>
      </c>
      <c r="S273" s="2">
        <v>90.675200000000004</v>
      </c>
      <c r="T273" s="2">
        <v>8</v>
      </c>
      <c r="U273" s="2">
        <v>0.90714099999999998</v>
      </c>
      <c r="V273" s="2">
        <v>12</v>
      </c>
      <c r="W273" s="2">
        <v>2006</v>
      </c>
    </row>
    <row r="274" spans="1:23" ht="12.3" x14ac:dyDescent="0.4">
      <c r="A274" s="2" t="s">
        <v>84</v>
      </c>
      <c r="B274" s="2">
        <v>3</v>
      </c>
      <c r="C274" s="2"/>
      <c r="D274" s="2"/>
      <c r="E274" s="2"/>
      <c r="F274" s="2"/>
      <c r="G274" s="2"/>
      <c r="H274" s="2"/>
      <c r="I274" s="2">
        <v>66.013499999999993</v>
      </c>
      <c r="J274" s="2">
        <v>211</v>
      </c>
      <c r="K274" s="2">
        <v>66.182500000000005</v>
      </c>
      <c r="L274" s="2">
        <v>212</v>
      </c>
      <c r="M274" s="2">
        <v>99.189700000000002</v>
      </c>
      <c r="N274" s="2">
        <v>208</v>
      </c>
      <c r="O274" s="2">
        <v>102.99769999999999</v>
      </c>
      <c r="P274" s="2">
        <v>141</v>
      </c>
      <c r="Q274" s="2">
        <v>87.980400000000003</v>
      </c>
      <c r="R274" s="2">
        <v>3</v>
      </c>
      <c r="S274" s="2">
        <v>85.888300000000001</v>
      </c>
      <c r="T274" s="2">
        <v>1</v>
      </c>
      <c r="U274" s="2">
        <v>0.88983699999999999</v>
      </c>
      <c r="V274" s="2">
        <v>13</v>
      </c>
      <c r="W274" s="2">
        <v>2006</v>
      </c>
    </row>
    <row r="275" spans="1:23" ht="12.3" x14ac:dyDescent="0.4">
      <c r="A275" s="2" t="s">
        <v>85</v>
      </c>
      <c r="B275" s="2">
        <v>4</v>
      </c>
      <c r="C275" s="3" t="s">
        <v>33</v>
      </c>
      <c r="D275" s="3" t="s">
        <v>33</v>
      </c>
      <c r="E275" s="3" t="s">
        <v>33</v>
      </c>
      <c r="F275" s="3" t="s">
        <v>33</v>
      </c>
      <c r="G275" s="2"/>
      <c r="H275" s="2"/>
      <c r="I275" s="2">
        <v>69.476900000000001</v>
      </c>
      <c r="J275" s="2">
        <v>75</v>
      </c>
      <c r="K275" s="2">
        <v>69.048599999999993</v>
      </c>
      <c r="L275" s="2">
        <v>89</v>
      </c>
      <c r="M275" s="2">
        <v>107.0427</v>
      </c>
      <c r="N275" s="2">
        <v>65</v>
      </c>
      <c r="O275" s="2">
        <v>110.5226</v>
      </c>
      <c r="P275" s="2">
        <v>33</v>
      </c>
      <c r="Q275" s="2">
        <v>94.134200000000007</v>
      </c>
      <c r="R275" s="2">
        <v>34</v>
      </c>
      <c r="S275" s="2">
        <v>92.165199999999999</v>
      </c>
      <c r="T275" s="2">
        <v>19</v>
      </c>
      <c r="U275" s="2">
        <v>0.88981299999999997</v>
      </c>
      <c r="V275" s="2">
        <v>14</v>
      </c>
      <c r="W275" s="2">
        <v>2006</v>
      </c>
    </row>
    <row r="276" spans="1:23" ht="12.3" x14ac:dyDescent="0.4">
      <c r="A276" s="2" t="s">
        <v>62</v>
      </c>
      <c r="B276" s="2">
        <v>7</v>
      </c>
      <c r="C276" s="3" t="s">
        <v>33</v>
      </c>
      <c r="D276" s="3" t="s">
        <v>33</v>
      </c>
      <c r="E276" s="2"/>
      <c r="F276" s="2"/>
      <c r="G276" s="2"/>
      <c r="H276" s="2"/>
      <c r="I276" s="2">
        <v>59.232900000000001</v>
      </c>
      <c r="J276" s="2">
        <v>328</v>
      </c>
      <c r="K276" s="2">
        <v>59.089399999999998</v>
      </c>
      <c r="L276" s="2">
        <v>329</v>
      </c>
      <c r="M276" s="2">
        <v>111.7182</v>
      </c>
      <c r="N276" s="2">
        <v>14</v>
      </c>
      <c r="O276" s="2">
        <v>114.961</v>
      </c>
      <c r="P276" s="2">
        <v>11</v>
      </c>
      <c r="Q276" s="2">
        <v>99.619200000000006</v>
      </c>
      <c r="R276" s="2">
        <v>119</v>
      </c>
      <c r="S276" s="2">
        <v>96.510400000000004</v>
      </c>
      <c r="T276" s="2">
        <v>66</v>
      </c>
      <c r="U276" s="2">
        <v>0.88203299999999996</v>
      </c>
      <c r="V276" s="2">
        <v>15</v>
      </c>
      <c r="W276" s="2">
        <v>2006</v>
      </c>
    </row>
    <row r="277" spans="1:23" ht="12.3" x14ac:dyDescent="0.4">
      <c r="A277" s="2" t="s">
        <v>81</v>
      </c>
      <c r="B277" s="2">
        <v>2</v>
      </c>
      <c r="C277" s="3" t="s">
        <v>33</v>
      </c>
      <c r="D277" s="2"/>
      <c r="E277" s="2"/>
      <c r="F277" s="2"/>
      <c r="G277" s="2"/>
      <c r="H277" s="2"/>
      <c r="I277" s="2">
        <v>73.144599999999997</v>
      </c>
      <c r="J277" s="2">
        <v>15</v>
      </c>
      <c r="K277" s="2">
        <v>73.034599999999998</v>
      </c>
      <c r="L277" s="2">
        <v>12</v>
      </c>
      <c r="M277" s="2">
        <v>111.4581</v>
      </c>
      <c r="N277" s="2">
        <v>17</v>
      </c>
      <c r="O277" s="2">
        <v>115.4075</v>
      </c>
      <c r="P277" s="2">
        <v>8</v>
      </c>
      <c r="Q277" s="2">
        <v>100.884</v>
      </c>
      <c r="R277" s="2">
        <v>145</v>
      </c>
      <c r="S277" s="2">
        <v>97.404799999999994</v>
      </c>
      <c r="T277" s="2">
        <v>85</v>
      </c>
      <c r="U277" s="2">
        <v>0.87548300000000001</v>
      </c>
      <c r="V277" s="2">
        <v>16</v>
      </c>
      <c r="W277" s="2">
        <v>2006</v>
      </c>
    </row>
    <row r="278" spans="1:23" ht="12.3" x14ac:dyDescent="0.4">
      <c r="A278" s="2" t="s">
        <v>80</v>
      </c>
      <c r="B278" s="2">
        <v>8</v>
      </c>
      <c r="C278" s="2"/>
      <c r="D278" s="2"/>
      <c r="E278" s="2"/>
      <c r="F278" s="2"/>
      <c r="G278" s="2"/>
      <c r="H278" s="2"/>
      <c r="I278" s="2">
        <v>68.545500000000004</v>
      </c>
      <c r="J278" s="2">
        <v>110</v>
      </c>
      <c r="K278" s="2">
        <v>67.830799999999996</v>
      </c>
      <c r="L278" s="2">
        <v>122</v>
      </c>
      <c r="M278" s="2">
        <v>107.9267</v>
      </c>
      <c r="N278" s="2">
        <v>55</v>
      </c>
      <c r="O278" s="2">
        <v>110.7842</v>
      </c>
      <c r="P278" s="2">
        <v>29</v>
      </c>
      <c r="Q278" s="2">
        <v>94.251999999999995</v>
      </c>
      <c r="R278" s="2">
        <v>36</v>
      </c>
      <c r="S278" s="2">
        <v>93.981099999999998</v>
      </c>
      <c r="T278" s="2">
        <v>33</v>
      </c>
      <c r="U278" s="2">
        <v>0.86894199999999999</v>
      </c>
      <c r="V278" s="2">
        <v>17</v>
      </c>
      <c r="W278" s="2">
        <v>2006</v>
      </c>
    </row>
    <row r="279" spans="1:23" ht="12.3" x14ac:dyDescent="0.4">
      <c r="A279" s="2" t="s">
        <v>229</v>
      </c>
      <c r="B279" s="2">
        <v>6</v>
      </c>
      <c r="C279" s="3" t="s">
        <v>33</v>
      </c>
      <c r="D279" s="3" t="s">
        <v>33</v>
      </c>
      <c r="E279" s="2"/>
      <c r="F279" s="2"/>
      <c r="G279" s="2"/>
      <c r="H279" s="2"/>
      <c r="I279" s="2">
        <v>63.528300000000002</v>
      </c>
      <c r="J279" s="2">
        <v>290</v>
      </c>
      <c r="K279" s="2">
        <v>63.573099999999997</v>
      </c>
      <c r="L279" s="2">
        <v>288</v>
      </c>
      <c r="M279" s="2">
        <v>110.3706</v>
      </c>
      <c r="N279" s="2">
        <v>29</v>
      </c>
      <c r="O279" s="2">
        <v>115.3092</v>
      </c>
      <c r="P279" s="2">
        <v>9</v>
      </c>
      <c r="Q279" s="2">
        <v>102.0179</v>
      </c>
      <c r="R279" s="2">
        <v>169</v>
      </c>
      <c r="S279" s="2">
        <v>98.058700000000002</v>
      </c>
      <c r="T279" s="2">
        <v>95</v>
      </c>
      <c r="U279" s="2">
        <v>0.86571500000000001</v>
      </c>
      <c r="V279" s="2">
        <v>18</v>
      </c>
      <c r="W279" s="2">
        <v>2006</v>
      </c>
    </row>
    <row r="280" spans="1:23" ht="12.3" x14ac:dyDescent="0.4">
      <c r="A280" s="2" t="s">
        <v>95</v>
      </c>
      <c r="B280" s="2">
        <v>4</v>
      </c>
      <c r="C280" s="3" t="s">
        <v>33</v>
      </c>
      <c r="D280" s="3" t="s">
        <v>33</v>
      </c>
      <c r="E280" s="2"/>
      <c r="F280" s="2"/>
      <c r="G280" s="2"/>
      <c r="H280" s="2"/>
      <c r="I280" s="2">
        <v>64.7624</v>
      </c>
      <c r="J280" s="2">
        <v>255</v>
      </c>
      <c r="K280" s="2">
        <v>63.119399999999999</v>
      </c>
      <c r="L280" s="2">
        <v>298</v>
      </c>
      <c r="M280" s="2">
        <v>114.1845</v>
      </c>
      <c r="N280" s="2">
        <v>2</v>
      </c>
      <c r="O280" s="2">
        <v>117.2871</v>
      </c>
      <c r="P280" s="2">
        <v>2</v>
      </c>
      <c r="Q280" s="2">
        <v>102.89870000000001</v>
      </c>
      <c r="R280" s="2">
        <v>193</v>
      </c>
      <c r="S280" s="2">
        <v>100.2366</v>
      </c>
      <c r="T280" s="2">
        <v>131</v>
      </c>
      <c r="U280" s="2">
        <v>0.85894400000000004</v>
      </c>
      <c r="V280" s="2">
        <v>19</v>
      </c>
      <c r="W280" s="2">
        <v>2006</v>
      </c>
    </row>
    <row r="281" spans="1:23" ht="12.3" x14ac:dyDescent="0.4">
      <c r="A281" s="2" t="s">
        <v>131</v>
      </c>
      <c r="B281" s="2">
        <v>5</v>
      </c>
      <c r="C281" s="3" t="s">
        <v>33</v>
      </c>
      <c r="D281" s="3" t="s">
        <v>33</v>
      </c>
      <c r="E281" s="2"/>
      <c r="F281" s="2"/>
      <c r="G281" s="2"/>
      <c r="H281" s="2"/>
      <c r="I281" s="2">
        <v>72.388900000000007</v>
      </c>
      <c r="J281" s="2">
        <v>23</v>
      </c>
      <c r="K281" s="2">
        <v>73.116799999999998</v>
      </c>
      <c r="L281" s="2">
        <v>11</v>
      </c>
      <c r="M281" s="2">
        <v>112.41379999999999</v>
      </c>
      <c r="N281" s="2">
        <v>11</v>
      </c>
      <c r="O281" s="2">
        <v>113.10120000000001</v>
      </c>
      <c r="P281" s="2">
        <v>16</v>
      </c>
      <c r="Q281" s="2">
        <v>95.194800000000001</v>
      </c>
      <c r="R281" s="2">
        <v>44</v>
      </c>
      <c r="S281" s="2">
        <v>96.715999999999994</v>
      </c>
      <c r="T281" s="2">
        <v>75</v>
      </c>
      <c r="U281" s="2">
        <v>0.85812299999999997</v>
      </c>
      <c r="V281" s="2">
        <v>20</v>
      </c>
      <c r="W281" s="2">
        <v>2006</v>
      </c>
    </row>
    <row r="282" spans="1:23" ht="12.3" x14ac:dyDescent="0.4">
      <c r="A282" s="2" t="s">
        <v>145</v>
      </c>
      <c r="B282" s="2">
        <v>5</v>
      </c>
      <c r="C282" s="2"/>
      <c r="D282" s="2"/>
      <c r="E282" s="2"/>
      <c r="F282" s="2"/>
      <c r="G282" s="2"/>
      <c r="H282" s="2"/>
      <c r="I282" s="2">
        <v>67.146900000000002</v>
      </c>
      <c r="J282" s="2">
        <v>160</v>
      </c>
      <c r="K282" s="2">
        <v>67.170500000000004</v>
      </c>
      <c r="L282" s="2">
        <v>149</v>
      </c>
      <c r="M282" s="2">
        <v>106.8085</v>
      </c>
      <c r="N282" s="2">
        <v>72</v>
      </c>
      <c r="O282" s="2">
        <v>108.3347</v>
      </c>
      <c r="P282" s="2">
        <v>59</v>
      </c>
      <c r="Q282" s="2">
        <v>93.122100000000003</v>
      </c>
      <c r="R282" s="2">
        <v>24</v>
      </c>
      <c r="S282" s="2">
        <v>92.8583</v>
      </c>
      <c r="T282" s="2">
        <v>25</v>
      </c>
      <c r="U282" s="2">
        <v>0.85479700000000003</v>
      </c>
      <c r="V282" s="2">
        <v>21</v>
      </c>
      <c r="W282" s="2">
        <v>2006</v>
      </c>
    </row>
    <row r="283" spans="1:23" ht="12.3" x14ac:dyDescent="0.4">
      <c r="A283" s="2" t="s">
        <v>147</v>
      </c>
      <c r="B283" s="2">
        <v>11</v>
      </c>
      <c r="C283" s="3" t="s">
        <v>33</v>
      </c>
      <c r="D283" s="3" t="s">
        <v>33</v>
      </c>
      <c r="E283" s="3" t="s">
        <v>33</v>
      </c>
      <c r="F283" s="3" t="s">
        <v>33</v>
      </c>
      <c r="G283" s="2"/>
      <c r="H283" s="2"/>
      <c r="I283" s="2">
        <v>64.144999999999996</v>
      </c>
      <c r="J283" s="2">
        <v>271</v>
      </c>
      <c r="K283" s="2">
        <v>64.037499999999994</v>
      </c>
      <c r="L283" s="2">
        <v>276</v>
      </c>
      <c r="M283" s="2">
        <v>107.2718</v>
      </c>
      <c r="N283" s="2">
        <v>63</v>
      </c>
      <c r="O283" s="2">
        <v>106.43989999999999</v>
      </c>
      <c r="P283" s="2">
        <v>78</v>
      </c>
      <c r="Q283" s="2">
        <v>90.8172</v>
      </c>
      <c r="R283" s="2">
        <v>11</v>
      </c>
      <c r="S283" s="2">
        <v>91.572000000000003</v>
      </c>
      <c r="T283" s="2">
        <v>12</v>
      </c>
      <c r="U283" s="2">
        <v>0.84944200000000003</v>
      </c>
      <c r="V283" s="2">
        <v>22</v>
      </c>
      <c r="W283" s="2">
        <v>2006</v>
      </c>
    </row>
    <row r="284" spans="1:23" ht="12.3" x14ac:dyDescent="0.4">
      <c r="A284" s="2" t="s">
        <v>245</v>
      </c>
      <c r="B284" s="2">
        <v>13</v>
      </c>
      <c r="C284" s="3" t="s">
        <v>33</v>
      </c>
      <c r="D284" s="3" t="s">
        <v>33</v>
      </c>
      <c r="E284" s="2"/>
      <c r="F284" s="2"/>
      <c r="G284" s="2"/>
      <c r="H284" s="2"/>
      <c r="I284" s="2">
        <v>69.053700000000006</v>
      </c>
      <c r="J284" s="2">
        <v>95</v>
      </c>
      <c r="K284" s="2">
        <v>71.121399999999994</v>
      </c>
      <c r="L284" s="2">
        <v>39</v>
      </c>
      <c r="M284" s="2">
        <v>102.36790000000001</v>
      </c>
      <c r="N284" s="2">
        <v>156</v>
      </c>
      <c r="O284" s="2">
        <v>104.9757</v>
      </c>
      <c r="P284" s="2">
        <v>105</v>
      </c>
      <c r="Q284" s="2">
        <v>91.790599999999998</v>
      </c>
      <c r="R284" s="2">
        <v>16</v>
      </c>
      <c r="S284" s="2">
        <v>90.327600000000004</v>
      </c>
      <c r="T284" s="2">
        <v>7</v>
      </c>
      <c r="U284" s="2">
        <v>0.849194</v>
      </c>
      <c r="V284" s="2">
        <v>23</v>
      </c>
      <c r="W284" s="2">
        <v>2006</v>
      </c>
    </row>
    <row r="285" spans="1:23" ht="12.3" x14ac:dyDescent="0.4">
      <c r="A285" s="2" t="s">
        <v>58</v>
      </c>
      <c r="B285" s="2">
        <v>6</v>
      </c>
      <c r="C285" s="2"/>
      <c r="D285" s="2"/>
      <c r="E285" s="2"/>
      <c r="F285" s="2"/>
      <c r="G285" s="2"/>
      <c r="H285" s="2"/>
      <c r="I285" s="2">
        <v>65.553399999999996</v>
      </c>
      <c r="J285" s="2">
        <v>230</v>
      </c>
      <c r="K285" s="2">
        <v>65.9071</v>
      </c>
      <c r="L285" s="2">
        <v>221</v>
      </c>
      <c r="M285" s="2">
        <v>110.0973</v>
      </c>
      <c r="N285" s="2">
        <v>30</v>
      </c>
      <c r="O285" s="2">
        <v>114.0908</v>
      </c>
      <c r="P285" s="2">
        <v>13</v>
      </c>
      <c r="Q285" s="2">
        <v>102.14109999999999</v>
      </c>
      <c r="R285" s="2">
        <v>173</v>
      </c>
      <c r="S285" s="2">
        <v>98.360900000000001</v>
      </c>
      <c r="T285" s="2">
        <v>99</v>
      </c>
      <c r="U285" s="2">
        <v>0.84632300000000005</v>
      </c>
      <c r="V285" s="2">
        <v>24</v>
      </c>
      <c r="W285" s="2">
        <v>2006</v>
      </c>
    </row>
    <row r="286" spans="1:23" ht="12.3" x14ac:dyDescent="0.4">
      <c r="A286" s="2" t="s">
        <v>248</v>
      </c>
      <c r="B286" s="2">
        <v>12</v>
      </c>
      <c r="C286" s="3" t="s">
        <v>33</v>
      </c>
      <c r="D286" s="2"/>
      <c r="E286" s="2"/>
      <c r="F286" s="2"/>
      <c r="G286" s="2"/>
      <c r="H286" s="2"/>
      <c r="I286" s="2">
        <v>65.709699999999998</v>
      </c>
      <c r="J286" s="2">
        <v>223</v>
      </c>
      <c r="K286" s="2">
        <v>64.945700000000002</v>
      </c>
      <c r="L286" s="2">
        <v>252</v>
      </c>
      <c r="M286" s="2">
        <v>104.483</v>
      </c>
      <c r="N286" s="2">
        <v>121</v>
      </c>
      <c r="O286" s="2">
        <v>104.3199</v>
      </c>
      <c r="P286" s="2">
        <v>118</v>
      </c>
      <c r="Q286" s="2">
        <v>91.471199999999996</v>
      </c>
      <c r="R286" s="2">
        <v>14</v>
      </c>
      <c r="S286" s="2">
        <v>89.994299999999996</v>
      </c>
      <c r="T286" s="2">
        <v>5</v>
      </c>
      <c r="U286" s="2">
        <v>0.84536900000000004</v>
      </c>
      <c r="V286" s="2">
        <v>25</v>
      </c>
      <c r="W286" s="2">
        <v>2006</v>
      </c>
    </row>
    <row r="287" spans="1:23" ht="12.3" x14ac:dyDescent="0.4">
      <c r="A287" s="2" t="s">
        <v>39</v>
      </c>
      <c r="B287" s="2">
        <v>7</v>
      </c>
      <c r="C287" s="2"/>
      <c r="D287" s="2"/>
      <c r="E287" s="2"/>
      <c r="F287" s="2"/>
      <c r="G287" s="2"/>
      <c r="H287" s="2"/>
      <c r="I287" s="2">
        <v>68.750699999999995</v>
      </c>
      <c r="J287" s="2">
        <v>104</v>
      </c>
      <c r="K287" s="2">
        <v>69.898799999999994</v>
      </c>
      <c r="L287" s="2">
        <v>61</v>
      </c>
      <c r="M287" s="2">
        <v>106.9834</v>
      </c>
      <c r="N287" s="2">
        <v>67</v>
      </c>
      <c r="O287" s="2">
        <v>110.51179999999999</v>
      </c>
      <c r="P287" s="2">
        <v>34</v>
      </c>
      <c r="Q287" s="2">
        <v>100.23560000000001</v>
      </c>
      <c r="R287" s="2">
        <v>133</v>
      </c>
      <c r="S287" s="2">
        <v>95.525999999999996</v>
      </c>
      <c r="T287" s="2">
        <v>48</v>
      </c>
      <c r="U287" s="2">
        <v>0.84235099999999996</v>
      </c>
      <c r="V287" s="2">
        <v>26</v>
      </c>
      <c r="W287" s="2">
        <v>2006</v>
      </c>
    </row>
    <row r="288" spans="1:23" ht="12.3" x14ac:dyDescent="0.4">
      <c r="A288" s="2" t="s">
        <v>45</v>
      </c>
      <c r="B288" s="2">
        <v>8</v>
      </c>
      <c r="C288" s="3" t="s">
        <v>33</v>
      </c>
      <c r="D288" s="2"/>
      <c r="E288" s="2"/>
      <c r="F288" s="2"/>
      <c r="G288" s="2"/>
      <c r="H288" s="2"/>
      <c r="I288" s="2">
        <v>65.629199999999997</v>
      </c>
      <c r="J288" s="2">
        <v>226</v>
      </c>
      <c r="K288" s="2">
        <v>65.694199999999995</v>
      </c>
      <c r="L288" s="2">
        <v>225</v>
      </c>
      <c r="M288" s="2">
        <v>107.7504</v>
      </c>
      <c r="N288" s="2">
        <v>57</v>
      </c>
      <c r="O288" s="2">
        <v>112.72920000000001</v>
      </c>
      <c r="P288" s="2">
        <v>19</v>
      </c>
      <c r="Q288" s="2">
        <v>100.095</v>
      </c>
      <c r="R288" s="2">
        <v>128</v>
      </c>
      <c r="S288" s="2">
        <v>97.733400000000003</v>
      </c>
      <c r="T288" s="2">
        <v>89</v>
      </c>
      <c r="U288" s="2">
        <v>0.83774700000000002</v>
      </c>
      <c r="V288" s="2">
        <v>27</v>
      </c>
      <c r="W288" s="2">
        <v>2006</v>
      </c>
    </row>
    <row r="289" spans="1:23" ht="12.3" x14ac:dyDescent="0.4">
      <c r="A289" s="2" t="s">
        <v>40</v>
      </c>
      <c r="B289" s="2">
        <v>6</v>
      </c>
      <c r="C289" s="3" t="s">
        <v>33</v>
      </c>
      <c r="D289" s="2"/>
      <c r="E289" s="2"/>
      <c r="F289" s="2"/>
      <c r="G289" s="2"/>
      <c r="H289" s="2"/>
      <c r="I289" s="2">
        <v>67.728399999999993</v>
      </c>
      <c r="J289" s="2">
        <v>139</v>
      </c>
      <c r="K289" s="2">
        <v>67.868700000000004</v>
      </c>
      <c r="L289" s="2">
        <v>119</v>
      </c>
      <c r="M289" s="2">
        <v>104.79640000000001</v>
      </c>
      <c r="N289" s="2">
        <v>110</v>
      </c>
      <c r="O289" s="2">
        <v>106.3565</v>
      </c>
      <c r="P289" s="2">
        <v>79</v>
      </c>
      <c r="Q289" s="2">
        <v>97.434799999999996</v>
      </c>
      <c r="R289" s="2">
        <v>70</v>
      </c>
      <c r="S289" s="2">
        <v>92.323499999999996</v>
      </c>
      <c r="T289" s="2">
        <v>20</v>
      </c>
      <c r="U289" s="2">
        <v>0.83578799999999998</v>
      </c>
      <c r="V289" s="2">
        <v>29</v>
      </c>
      <c r="W289" s="2">
        <v>2006</v>
      </c>
    </row>
    <row r="290" spans="1:23" ht="12.3" x14ac:dyDescent="0.4">
      <c r="A290" s="2" t="s">
        <v>83</v>
      </c>
      <c r="B290" s="2">
        <v>9</v>
      </c>
      <c r="C290" s="2"/>
      <c r="D290" s="2"/>
      <c r="E290" s="2"/>
      <c r="F290" s="2"/>
      <c r="G290" s="2"/>
      <c r="H290" s="2"/>
      <c r="I290" s="2">
        <v>64.416499999999999</v>
      </c>
      <c r="J290" s="2">
        <v>265</v>
      </c>
      <c r="K290" s="2">
        <v>64.971400000000003</v>
      </c>
      <c r="L290" s="2">
        <v>250</v>
      </c>
      <c r="M290" s="2">
        <v>103.3147</v>
      </c>
      <c r="N290" s="2">
        <v>141</v>
      </c>
      <c r="O290" s="2">
        <v>104.5585</v>
      </c>
      <c r="P290" s="2">
        <v>112</v>
      </c>
      <c r="Q290" s="2">
        <v>89.717699999999994</v>
      </c>
      <c r="R290" s="2">
        <v>6</v>
      </c>
      <c r="S290" s="2">
        <v>90.995599999999996</v>
      </c>
      <c r="T290" s="2">
        <v>9</v>
      </c>
      <c r="U290" s="2">
        <v>0.83170500000000003</v>
      </c>
      <c r="V290" s="2">
        <v>30</v>
      </c>
      <c r="W290" s="2">
        <v>2006</v>
      </c>
    </row>
    <row r="291" spans="1:23" ht="12.3" x14ac:dyDescent="0.4">
      <c r="A291" s="2" t="s">
        <v>216</v>
      </c>
      <c r="B291" s="2">
        <v>10</v>
      </c>
      <c r="C291" s="2"/>
      <c r="D291" s="2"/>
      <c r="E291" s="2"/>
      <c r="F291" s="2"/>
      <c r="G291" s="2"/>
      <c r="H291" s="2"/>
      <c r="I291" s="2">
        <v>60.872500000000002</v>
      </c>
      <c r="J291" s="2">
        <v>322</v>
      </c>
      <c r="K291" s="2">
        <v>61.042700000000004</v>
      </c>
      <c r="L291" s="2">
        <v>322</v>
      </c>
      <c r="M291" s="2">
        <v>104.4641</v>
      </c>
      <c r="N291" s="2">
        <v>122</v>
      </c>
      <c r="O291" s="2">
        <v>106.7564</v>
      </c>
      <c r="P291" s="2">
        <v>76</v>
      </c>
      <c r="Q291" s="2">
        <v>94.004199999999997</v>
      </c>
      <c r="R291" s="2">
        <v>33</v>
      </c>
      <c r="S291" s="2">
        <v>92.937899999999999</v>
      </c>
      <c r="T291" s="2">
        <v>26</v>
      </c>
      <c r="U291" s="2">
        <v>0.83119399999999999</v>
      </c>
      <c r="V291" s="2">
        <v>31</v>
      </c>
      <c r="W291" s="2">
        <v>2006</v>
      </c>
    </row>
    <row r="292" spans="1:23" ht="12.3" x14ac:dyDescent="0.4">
      <c r="A292" s="2" t="s">
        <v>76</v>
      </c>
      <c r="B292" s="2">
        <v>9</v>
      </c>
      <c r="C292" s="2"/>
      <c r="D292" s="2"/>
      <c r="E292" s="2"/>
      <c r="F292" s="2"/>
      <c r="G292" s="2"/>
      <c r="H292" s="2"/>
      <c r="I292" s="2">
        <v>66.172700000000006</v>
      </c>
      <c r="J292" s="2">
        <v>204</v>
      </c>
      <c r="K292" s="2">
        <v>66.721400000000003</v>
      </c>
      <c r="L292" s="2">
        <v>174</v>
      </c>
      <c r="M292" s="2">
        <v>106.15949999999999</v>
      </c>
      <c r="N292" s="2">
        <v>85</v>
      </c>
      <c r="O292" s="2">
        <v>108.91840000000001</v>
      </c>
      <c r="P292" s="2">
        <v>52</v>
      </c>
      <c r="Q292" s="2">
        <v>96.905000000000001</v>
      </c>
      <c r="R292" s="2">
        <v>66</v>
      </c>
      <c r="S292" s="2">
        <v>94.998000000000005</v>
      </c>
      <c r="T292" s="2">
        <v>45</v>
      </c>
      <c r="U292" s="2">
        <v>0.828148</v>
      </c>
      <c r="V292" s="2">
        <v>34</v>
      </c>
      <c r="W292" s="2">
        <v>2006</v>
      </c>
    </row>
    <row r="293" spans="1:23" ht="12.3" x14ac:dyDescent="0.4">
      <c r="A293" s="2" t="s">
        <v>82</v>
      </c>
      <c r="B293" s="2">
        <v>11</v>
      </c>
      <c r="C293" s="2"/>
      <c r="D293" s="2"/>
      <c r="E293" s="2"/>
      <c r="F293" s="2"/>
      <c r="G293" s="2"/>
      <c r="H293" s="2"/>
      <c r="I293" s="2">
        <v>61.6404</v>
      </c>
      <c r="J293" s="2">
        <v>318</v>
      </c>
      <c r="K293" s="2">
        <v>61.677399999999999</v>
      </c>
      <c r="L293" s="2">
        <v>318</v>
      </c>
      <c r="M293" s="2">
        <v>97.26</v>
      </c>
      <c r="N293" s="2">
        <v>242</v>
      </c>
      <c r="O293" s="2">
        <v>102.11920000000001</v>
      </c>
      <c r="P293" s="2">
        <v>159</v>
      </c>
      <c r="Q293" s="2">
        <v>88.567700000000002</v>
      </c>
      <c r="R293" s="2">
        <v>4</v>
      </c>
      <c r="S293" s="2">
        <v>89.158000000000001</v>
      </c>
      <c r="T293" s="2">
        <v>3</v>
      </c>
      <c r="U293" s="2">
        <v>0.82648299999999997</v>
      </c>
      <c r="V293" s="2">
        <v>35</v>
      </c>
      <c r="W293" s="2">
        <v>2006</v>
      </c>
    </row>
    <row r="294" spans="1:23" ht="12.3" x14ac:dyDescent="0.4">
      <c r="A294" s="2" t="s">
        <v>192</v>
      </c>
      <c r="B294" s="2">
        <v>7</v>
      </c>
      <c r="C294" s="3" t="s">
        <v>33</v>
      </c>
      <c r="D294" s="3" t="s">
        <v>33</v>
      </c>
      <c r="E294" s="2"/>
      <c r="F294" s="2"/>
      <c r="G294" s="2"/>
      <c r="H294" s="2"/>
      <c r="I294" s="2">
        <v>63.146700000000003</v>
      </c>
      <c r="J294" s="2">
        <v>297</v>
      </c>
      <c r="K294" s="2">
        <v>63.698999999999998</v>
      </c>
      <c r="L294" s="2">
        <v>283</v>
      </c>
      <c r="M294" s="2">
        <v>106.6939</v>
      </c>
      <c r="N294" s="2">
        <v>75</v>
      </c>
      <c r="O294" s="2">
        <v>110.1734</v>
      </c>
      <c r="P294" s="2">
        <v>37</v>
      </c>
      <c r="Q294" s="2">
        <v>96.319199999999995</v>
      </c>
      <c r="R294" s="2">
        <v>58</v>
      </c>
      <c r="S294" s="2">
        <v>96.306100000000001</v>
      </c>
      <c r="T294" s="2">
        <v>60</v>
      </c>
      <c r="U294" s="2">
        <v>0.82448399999999999</v>
      </c>
      <c r="V294" s="2">
        <v>37</v>
      </c>
      <c r="W294" s="2">
        <v>2006</v>
      </c>
    </row>
    <row r="295" spans="1:23" ht="12.3" x14ac:dyDescent="0.4">
      <c r="A295" s="2" t="s">
        <v>232</v>
      </c>
      <c r="B295" s="2">
        <v>8</v>
      </c>
      <c r="C295" s="3" t="s">
        <v>33</v>
      </c>
      <c r="D295" s="2"/>
      <c r="E295" s="2"/>
      <c r="F295" s="2"/>
      <c r="G295" s="2"/>
      <c r="H295" s="2"/>
      <c r="I295" s="2">
        <v>71.292500000000004</v>
      </c>
      <c r="J295" s="2">
        <v>40</v>
      </c>
      <c r="K295" s="2">
        <v>73.337999999999994</v>
      </c>
      <c r="L295" s="2">
        <v>9</v>
      </c>
      <c r="M295" s="2">
        <v>109.6585</v>
      </c>
      <c r="N295" s="2">
        <v>35</v>
      </c>
      <c r="O295" s="2">
        <v>107.92310000000001</v>
      </c>
      <c r="P295" s="2">
        <v>63</v>
      </c>
      <c r="Q295" s="2">
        <v>92.320700000000002</v>
      </c>
      <c r="R295" s="2">
        <v>19</v>
      </c>
      <c r="S295" s="2">
        <v>94.341399999999993</v>
      </c>
      <c r="T295" s="2">
        <v>40</v>
      </c>
      <c r="U295" s="2">
        <v>0.82444099999999998</v>
      </c>
      <c r="V295" s="2">
        <v>38</v>
      </c>
      <c r="W295" s="2">
        <v>2006</v>
      </c>
    </row>
    <row r="296" spans="1:23" ht="12.3" x14ac:dyDescent="0.4">
      <c r="A296" s="2" t="s">
        <v>43</v>
      </c>
      <c r="B296" s="2">
        <v>8</v>
      </c>
      <c r="C296" s="3" t="s">
        <v>33</v>
      </c>
      <c r="D296" s="2"/>
      <c r="E296" s="2"/>
      <c r="F296" s="2"/>
      <c r="G296" s="2"/>
      <c r="H296" s="2"/>
      <c r="I296" s="2">
        <v>69.292599999999993</v>
      </c>
      <c r="J296" s="2">
        <v>85</v>
      </c>
      <c r="K296" s="2">
        <v>69.635400000000004</v>
      </c>
      <c r="L296" s="2">
        <v>70</v>
      </c>
      <c r="M296" s="2">
        <v>103.136</v>
      </c>
      <c r="N296" s="2">
        <v>146</v>
      </c>
      <c r="O296" s="2">
        <v>107.7834</v>
      </c>
      <c r="P296" s="2">
        <v>66</v>
      </c>
      <c r="Q296" s="2">
        <v>96.416499999999999</v>
      </c>
      <c r="R296" s="2">
        <v>60</v>
      </c>
      <c r="S296" s="2">
        <v>94.305000000000007</v>
      </c>
      <c r="T296" s="2">
        <v>39</v>
      </c>
      <c r="U296" s="2">
        <v>0.82292200000000004</v>
      </c>
      <c r="V296" s="2">
        <v>39</v>
      </c>
      <c r="W296" s="2">
        <v>2006</v>
      </c>
    </row>
    <row r="297" spans="1:23" ht="12.3" x14ac:dyDescent="0.4">
      <c r="A297" s="2" t="s">
        <v>55</v>
      </c>
      <c r="B297" s="2">
        <v>10</v>
      </c>
      <c r="C297" s="3" t="s">
        <v>33</v>
      </c>
      <c r="D297" s="2"/>
      <c r="E297" s="2"/>
      <c r="F297" s="2"/>
      <c r="G297" s="2"/>
      <c r="H297" s="2"/>
      <c r="I297" s="2">
        <v>67.0334</v>
      </c>
      <c r="J297" s="2">
        <v>164</v>
      </c>
      <c r="K297" s="2">
        <v>66.235699999999994</v>
      </c>
      <c r="L297" s="2">
        <v>205</v>
      </c>
      <c r="M297" s="2">
        <v>110.7269</v>
      </c>
      <c r="N297" s="2">
        <v>27</v>
      </c>
      <c r="O297" s="2">
        <v>111.1627</v>
      </c>
      <c r="P297" s="2">
        <v>27</v>
      </c>
      <c r="Q297" s="2">
        <v>98.840400000000002</v>
      </c>
      <c r="R297" s="2">
        <v>98</v>
      </c>
      <c r="S297" s="2">
        <v>97.337500000000006</v>
      </c>
      <c r="T297" s="2">
        <v>84</v>
      </c>
      <c r="U297" s="2">
        <v>0.82161600000000001</v>
      </c>
      <c r="V297" s="2">
        <v>40</v>
      </c>
      <c r="W297" s="2">
        <v>2006</v>
      </c>
    </row>
    <row r="298" spans="1:23" ht="12.3" x14ac:dyDescent="0.4">
      <c r="A298" s="2" t="s">
        <v>38</v>
      </c>
      <c r="B298" s="2">
        <v>6</v>
      </c>
      <c r="C298" s="2"/>
      <c r="D298" s="2"/>
      <c r="E298" s="2"/>
      <c r="F298" s="2"/>
      <c r="G298" s="2"/>
      <c r="H298" s="2"/>
      <c r="I298" s="2">
        <v>63.174100000000003</v>
      </c>
      <c r="J298" s="2">
        <v>296</v>
      </c>
      <c r="K298" s="2">
        <v>63.613</v>
      </c>
      <c r="L298" s="2">
        <v>286</v>
      </c>
      <c r="M298" s="2">
        <v>108.23399999999999</v>
      </c>
      <c r="N298" s="2">
        <v>50</v>
      </c>
      <c r="O298" s="2">
        <v>112.2929</v>
      </c>
      <c r="P298" s="2">
        <v>23</v>
      </c>
      <c r="Q298" s="2">
        <v>99.773399999999995</v>
      </c>
      <c r="R298" s="2">
        <v>122</v>
      </c>
      <c r="S298" s="2">
        <v>99.075699999999998</v>
      </c>
      <c r="T298" s="2">
        <v>111</v>
      </c>
      <c r="U298" s="2">
        <v>0.80847100000000005</v>
      </c>
      <c r="V298" s="2">
        <v>43</v>
      </c>
      <c r="W298" s="2">
        <v>2006</v>
      </c>
    </row>
    <row r="299" spans="1:23" ht="12.3" x14ac:dyDescent="0.4">
      <c r="A299" s="2" t="s">
        <v>289</v>
      </c>
      <c r="B299" s="2">
        <v>9</v>
      </c>
      <c r="C299" s="3" t="s">
        <v>33</v>
      </c>
      <c r="D299" s="2"/>
      <c r="E299" s="2"/>
      <c r="F299" s="2"/>
      <c r="G299" s="2"/>
      <c r="H299" s="2"/>
      <c r="I299" s="2">
        <v>63.104399999999998</v>
      </c>
      <c r="J299" s="2">
        <v>299</v>
      </c>
      <c r="K299" s="2">
        <v>63.7286</v>
      </c>
      <c r="L299" s="2">
        <v>282</v>
      </c>
      <c r="M299" s="2">
        <v>104.6627</v>
      </c>
      <c r="N299" s="2">
        <v>114</v>
      </c>
      <c r="O299" s="2">
        <v>104.5399</v>
      </c>
      <c r="P299" s="2">
        <v>113</v>
      </c>
      <c r="Q299" s="2">
        <v>87.608000000000004</v>
      </c>
      <c r="R299" s="2">
        <v>1</v>
      </c>
      <c r="S299" s="2">
        <v>92.448899999999995</v>
      </c>
      <c r="T299" s="2">
        <v>22</v>
      </c>
      <c r="U299" s="2">
        <v>0.80431699999999995</v>
      </c>
      <c r="V299" s="2">
        <v>45</v>
      </c>
      <c r="W299" s="2">
        <v>2006</v>
      </c>
    </row>
    <row r="300" spans="1:23" ht="12.3" x14ac:dyDescent="0.4">
      <c r="A300" s="2" t="s">
        <v>204</v>
      </c>
      <c r="B300" s="2">
        <v>13</v>
      </c>
      <c r="C300" s="2"/>
      <c r="D300" s="2"/>
      <c r="E300" s="2"/>
      <c r="F300" s="2"/>
      <c r="G300" s="2"/>
      <c r="H300" s="2"/>
      <c r="I300" s="2">
        <v>57.043799999999997</v>
      </c>
      <c r="J300" s="2">
        <v>332</v>
      </c>
      <c r="K300" s="2">
        <v>55.973199999999999</v>
      </c>
      <c r="L300" s="2">
        <v>333</v>
      </c>
      <c r="M300" s="2">
        <v>111.56699999999999</v>
      </c>
      <c r="N300" s="2">
        <v>15</v>
      </c>
      <c r="O300" s="2">
        <v>109.8233</v>
      </c>
      <c r="P300" s="2">
        <v>40</v>
      </c>
      <c r="Q300" s="2">
        <v>95.624099999999999</v>
      </c>
      <c r="R300" s="2">
        <v>47</v>
      </c>
      <c r="S300" s="2">
        <v>97.1721</v>
      </c>
      <c r="T300" s="2">
        <v>81</v>
      </c>
      <c r="U300" s="2">
        <v>0.80336799999999997</v>
      </c>
      <c r="V300" s="2">
        <v>46</v>
      </c>
      <c r="W300" s="2">
        <v>2006</v>
      </c>
    </row>
    <row r="301" spans="1:23" ht="12.3" x14ac:dyDescent="0.4">
      <c r="A301" s="2" t="s">
        <v>47</v>
      </c>
      <c r="B301" s="2">
        <v>3</v>
      </c>
      <c r="C301" s="3" t="s">
        <v>33</v>
      </c>
      <c r="D301" s="3" t="s">
        <v>33</v>
      </c>
      <c r="E301" s="2"/>
      <c r="F301" s="2"/>
      <c r="G301" s="2"/>
      <c r="H301" s="2"/>
      <c r="I301" s="2">
        <v>68.882400000000004</v>
      </c>
      <c r="J301" s="2">
        <v>99</v>
      </c>
      <c r="K301" s="2">
        <v>67.734399999999994</v>
      </c>
      <c r="L301" s="2">
        <v>127</v>
      </c>
      <c r="M301" s="2">
        <v>114.09650000000001</v>
      </c>
      <c r="N301" s="2">
        <v>3</v>
      </c>
      <c r="O301" s="2">
        <v>116.2731</v>
      </c>
      <c r="P301" s="2">
        <v>5</v>
      </c>
      <c r="Q301" s="2">
        <v>103.1721</v>
      </c>
      <c r="R301" s="2">
        <v>200</v>
      </c>
      <c r="S301" s="2">
        <v>103.0651</v>
      </c>
      <c r="T301" s="2">
        <v>186</v>
      </c>
      <c r="U301" s="2">
        <v>0.80006100000000002</v>
      </c>
      <c r="V301" s="2">
        <v>47</v>
      </c>
      <c r="W301" s="2">
        <v>2006</v>
      </c>
    </row>
    <row r="302" spans="1:23" ht="12.3" x14ac:dyDescent="0.4">
      <c r="A302" s="2" t="s">
        <v>23</v>
      </c>
      <c r="B302" s="2">
        <v>5</v>
      </c>
      <c r="C302" s="2"/>
      <c r="D302" s="2"/>
      <c r="E302" s="2"/>
      <c r="F302" s="2"/>
      <c r="G302" s="2"/>
      <c r="H302" s="2"/>
      <c r="I302" s="2">
        <v>69.603200000000001</v>
      </c>
      <c r="J302" s="2">
        <v>71</v>
      </c>
      <c r="K302" s="2">
        <v>69.593400000000003</v>
      </c>
      <c r="L302" s="2">
        <v>73</v>
      </c>
      <c r="M302" s="2">
        <v>103.4564</v>
      </c>
      <c r="N302" s="2">
        <v>140</v>
      </c>
      <c r="O302" s="2">
        <v>108.6802</v>
      </c>
      <c r="P302" s="2">
        <v>54</v>
      </c>
      <c r="Q302" s="2">
        <v>98.109800000000007</v>
      </c>
      <c r="R302" s="2">
        <v>87</v>
      </c>
      <c r="S302" s="2">
        <v>96.563599999999994</v>
      </c>
      <c r="T302" s="2">
        <v>68</v>
      </c>
      <c r="U302" s="2">
        <v>0.79566000000000003</v>
      </c>
      <c r="V302" s="2">
        <v>49</v>
      </c>
      <c r="W302" s="2">
        <v>2006</v>
      </c>
    </row>
    <row r="303" spans="1:23" ht="12.3" x14ac:dyDescent="0.4">
      <c r="A303" s="2" t="s">
        <v>57</v>
      </c>
      <c r="B303" s="2">
        <v>7</v>
      </c>
      <c r="C303" s="2"/>
      <c r="D303" s="2"/>
      <c r="E303" s="2"/>
      <c r="F303" s="2"/>
      <c r="G303" s="2"/>
      <c r="H303" s="2"/>
      <c r="I303" s="2">
        <v>64.066100000000006</v>
      </c>
      <c r="J303" s="2">
        <v>277</v>
      </c>
      <c r="K303" s="2">
        <v>63.334600000000002</v>
      </c>
      <c r="L303" s="2">
        <v>292</v>
      </c>
      <c r="M303" s="2">
        <v>105.6388</v>
      </c>
      <c r="N303" s="2">
        <v>94</v>
      </c>
      <c r="O303" s="2">
        <v>108.6733</v>
      </c>
      <c r="P303" s="2">
        <v>55</v>
      </c>
      <c r="Q303" s="2">
        <v>99.454499999999996</v>
      </c>
      <c r="R303" s="2">
        <v>115</v>
      </c>
      <c r="S303" s="2">
        <v>97.045500000000004</v>
      </c>
      <c r="T303" s="2">
        <v>80</v>
      </c>
      <c r="U303" s="2">
        <v>0.78607400000000005</v>
      </c>
      <c r="V303" s="2">
        <v>52</v>
      </c>
      <c r="W303" s="2">
        <v>2006</v>
      </c>
    </row>
    <row r="304" spans="1:23" ht="12.3" x14ac:dyDescent="0.4">
      <c r="A304" s="2" t="s">
        <v>128</v>
      </c>
      <c r="B304" s="2">
        <v>9</v>
      </c>
      <c r="C304" s="2"/>
      <c r="D304" s="2"/>
      <c r="E304" s="2"/>
      <c r="F304" s="2"/>
      <c r="G304" s="2"/>
      <c r="H304" s="2"/>
      <c r="I304" s="2">
        <v>70.249099999999999</v>
      </c>
      <c r="J304" s="2">
        <v>55</v>
      </c>
      <c r="K304" s="2">
        <v>70.1858</v>
      </c>
      <c r="L304" s="2">
        <v>55</v>
      </c>
      <c r="M304" s="2">
        <v>105.26609999999999</v>
      </c>
      <c r="N304" s="2">
        <v>101</v>
      </c>
      <c r="O304" s="2">
        <v>107.881</v>
      </c>
      <c r="P304" s="2">
        <v>64</v>
      </c>
      <c r="Q304" s="2">
        <v>93.385599999999997</v>
      </c>
      <c r="R304" s="2">
        <v>26</v>
      </c>
      <c r="S304" s="2">
        <v>96.568299999999994</v>
      </c>
      <c r="T304" s="2">
        <v>69</v>
      </c>
      <c r="U304" s="2">
        <v>0.78142</v>
      </c>
      <c r="V304" s="2">
        <v>53</v>
      </c>
      <c r="W304" s="2">
        <v>2006</v>
      </c>
    </row>
    <row r="305" spans="1:23" ht="12.3" x14ac:dyDescent="0.4">
      <c r="A305" s="2" t="s">
        <v>97</v>
      </c>
      <c r="B305" s="2">
        <v>11</v>
      </c>
      <c r="C305" s="2"/>
      <c r="D305" s="2"/>
      <c r="E305" s="2"/>
      <c r="F305" s="2"/>
      <c r="G305" s="2"/>
      <c r="H305" s="2"/>
      <c r="I305" s="2">
        <v>67.023200000000003</v>
      </c>
      <c r="J305" s="2">
        <v>166</v>
      </c>
      <c r="K305" s="2">
        <v>67.432000000000002</v>
      </c>
      <c r="L305" s="2">
        <v>136</v>
      </c>
      <c r="M305" s="2">
        <v>109.8188</v>
      </c>
      <c r="N305" s="2">
        <v>33</v>
      </c>
      <c r="O305" s="2">
        <v>110.1537</v>
      </c>
      <c r="P305" s="2">
        <v>38</v>
      </c>
      <c r="Q305" s="2">
        <v>98.840400000000002</v>
      </c>
      <c r="R305" s="2">
        <v>99</v>
      </c>
      <c r="S305" s="2">
        <v>98.811300000000003</v>
      </c>
      <c r="T305" s="2">
        <v>106</v>
      </c>
      <c r="U305" s="2">
        <v>0.77723900000000001</v>
      </c>
      <c r="V305" s="2">
        <v>57</v>
      </c>
      <c r="W305" s="2">
        <v>2006</v>
      </c>
    </row>
    <row r="306" spans="1:23" ht="12.3" x14ac:dyDescent="0.4">
      <c r="A306" s="2" t="s">
        <v>122</v>
      </c>
      <c r="B306" s="2">
        <v>11</v>
      </c>
      <c r="C306" s="3" t="s">
        <v>33</v>
      </c>
      <c r="D306" s="2"/>
      <c r="E306" s="2"/>
      <c r="F306" s="2"/>
      <c r="G306" s="2"/>
      <c r="H306" s="2"/>
      <c r="I306" s="2">
        <v>67.977800000000002</v>
      </c>
      <c r="J306" s="2">
        <v>130</v>
      </c>
      <c r="K306" s="2">
        <v>69.346199999999996</v>
      </c>
      <c r="L306" s="2">
        <v>78</v>
      </c>
      <c r="M306" s="2">
        <v>107.6327</v>
      </c>
      <c r="N306" s="2">
        <v>59</v>
      </c>
      <c r="O306" s="2">
        <v>106.28189999999999</v>
      </c>
      <c r="P306" s="2">
        <v>84</v>
      </c>
      <c r="Q306" s="2">
        <v>96.125299999999996</v>
      </c>
      <c r="R306" s="2">
        <v>54</v>
      </c>
      <c r="S306" s="2">
        <v>95.999300000000005</v>
      </c>
      <c r="T306" s="2">
        <v>55</v>
      </c>
      <c r="U306" s="2">
        <v>0.76317599999999997</v>
      </c>
      <c r="V306" s="2">
        <v>60</v>
      </c>
      <c r="W306" s="2">
        <v>2006</v>
      </c>
    </row>
    <row r="307" spans="1:23" ht="12.3" x14ac:dyDescent="0.4">
      <c r="A307" s="2" t="s">
        <v>50</v>
      </c>
      <c r="B307" s="2">
        <v>14</v>
      </c>
      <c r="C307" s="2"/>
      <c r="D307" s="2"/>
      <c r="E307" s="2"/>
      <c r="F307" s="2"/>
      <c r="G307" s="2"/>
      <c r="H307" s="2"/>
      <c r="I307" s="2">
        <v>65.255099999999999</v>
      </c>
      <c r="J307" s="2">
        <v>237</v>
      </c>
      <c r="K307" s="2">
        <v>67.002799999999993</v>
      </c>
      <c r="L307" s="2">
        <v>158</v>
      </c>
      <c r="M307" s="2">
        <v>108.8965</v>
      </c>
      <c r="N307" s="2">
        <v>42</v>
      </c>
      <c r="O307" s="2">
        <v>108.18980000000001</v>
      </c>
      <c r="P307" s="2">
        <v>60</v>
      </c>
      <c r="Q307" s="2">
        <v>96.049599999999998</v>
      </c>
      <c r="R307" s="2">
        <v>51</v>
      </c>
      <c r="S307" s="2">
        <v>97.923100000000005</v>
      </c>
      <c r="T307" s="2">
        <v>91</v>
      </c>
      <c r="U307" s="2">
        <v>0.75889099999999998</v>
      </c>
      <c r="V307" s="2">
        <v>62</v>
      </c>
      <c r="W307" s="2">
        <v>2006</v>
      </c>
    </row>
    <row r="308" spans="1:23" ht="12.3" x14ac:dyDescent="0.4">
      <c r="A308" s="2" t="s">
        <v>53</v>
      </c>
      <c r="B308" s="2">
        <v>12</v>
      </c>
      <c r="C308" s="2"/>
      <c r="D308" s="2"/>
      <c r="E308" s="2"/>
      <c r="F308" s="2"/>
      <c r="G308" s="2"/>
      <c r="H308" s="2"/>
      <c r="I308" s="2">
        <v>66.752899999999997</v>
      </c>
      <c r="J308" s="2">
        <v>179</v>
      </c>
      <c r="K308" s="2">
        <v>67.412199999999999</v>
      </c>
      <c r="L308" s="2">
        <v>137</v>
      </c>
      <c r="M308" s="2">
        <v>106.3043</v>
      </c>
      <c r="N308" s="2">
        <v>83</v>
      </c>
      <c r="O308" s="2">
        <v>106.3486</v>
      </c>
      <c r="P308" s="2">
        <v>82</v>
      </c>
      <c r="Q308" s="2">
        <v>96.244600000000005</v>
      </c>
      <c r="R308" s="2">
        <v>57</v>
      </c>
      <c r="S308" s="2">
        <v>96.482799999999997</v>
      </c>
      <c r="T308" s="2">
        <v>63</v>
      </c>
      <c r="U308" s="2">
        <v>0.75391600000000003</v>
      </c>
      <c r="V308" s="2">
        <v>64</v>
      </c>
      <c r="W308" s="2">
        <v>2006</v>
      </c>
    </row>
    <row r="309" spans="1:23" ht="12.3" x14ac:dyDescent="0.4">
      <c r="A309" s="2" t="s">
        <v>241</v>
      </c>
      <c r="B309" s="2">
        <v>13</v>
      </c>
      <c r="C309" s="2"/>
      <c r="D309" s="2"/>
      <c r="E309" s="2"/>
      <c r="F309" s="2"/>
      <c r="G309" s="2"/>
      <c r="H309" s="2"/>
      <c r="I309" s="2">
        <v>71.936499999999995</v>
      </c>
      <c r="J309" s="2">
        <v>27</v>
      </c>
      <c r="K309" s="2">
        <v>71.164100000000005</v>
      </c>
      <c r="L309" s="2">
        <v>34</v>
      </c>
      <c r="M309" s="2">
        <v>111.55540000000001</v>
      </c>
      <c r="N309" s="2">
        <v>16</v>
      </c>
      <c r="O309" s="2">
        <v>108.66719999999999</v>
      </c>
      <c r="P309" s="2">
        <v>56</v>
      </c>
      <c r="Q309" s="2">
        <v>99.9358</v>
      </c>
      <c r="R309" s="2">
        <v>124</v>
      </c>
      <c r="S309" s="2">
        <v>98.809899999999999</v>
      </c>
      <c r="T309" s="2">
        <v>105</v>
      </c>
      <c r="U309" s="2">
        <v>0.74905100000000002</v>
      </c>
      <c r="V309" s="2">
        <v>67</v>
      </c>
      <c r="W309" s="2">
        <v>2006</v>
      </c>
    </row>
    <row r="310" spans="1:23" ht="12.3" x14ac:dyDescent="0.4">
      <c r="A310" s="2" t="s">
        <v>119</v>
      </c>
      <c r="B310" s="2">
        <v>10</v>
      </c>
      <c r="C310" s="2"/>
      <c r="D310" s="2"/>
      <c r="E310" s="2"/>
      <c r="F310" s="2"/>
      <c r="G310" s="2"/>
      <c r="H310" s="2"/>
      <c r="I310" s="2">
        <v>66.443100000000001</v>
      </c>
      <c r="J310" s="2">
        <v>192</v>
      </c>
      <c r="K310" s="2">
        <v>66.983900000000006</v>
      </c>
      <c r="L310" s="2">
        <v>159</v>
      </c>
      <c r="M310" s="2">
        <v>101.07850000000001</v>
      </c>
      <c r="N310" s="2">
        <v>176</v>
      </c>
      <c r="O310" s="2">
        <v>105.55670000000001</v>
      </c>
      <c r="P310" s="2">
        <v>95</v>
      </c>
      <c r="Q310" s="2">
        <v>99.154499999999999</v>
      </c>
      <c r="R310" s="2">
        <v>108</v>
      </c>
      <c r="S310" s="2">
        <v>95.984899999999996</v>
      </c>
      <c r="T310" s="2">
        <v>54</v>
      </c>
      <c r="U310" s="2">
        <v>0.748977</v>
      </c>
      <c r="V310" s="2">
        <v>68</v>
      </c>
      <c r="W310" s="2">
        <v>2006</v>
      </c>
    </row>
    <row r="311" spans="1:23" ht="12.3" x14ac:dyDescent="0.4">
      <c r="A311" s="2" t="s">
        <v>49</v>
      </c>
      <c r="B311" s="2">
        <v>10</v>
      </c>
      <c r="C311" s="3" t="s">
        <v>33</v>
      </c>
      <c r="D311" s="2"/>
      <c r="E311" s="2"/>
      <c r="F311" s="2"/>
      <c r="G311" s="2"/>
      <c r="H311" s="2"/>
      <c r="I311" s="2">
        <v>64.725700000000003</v>
      </c>
      <c r="J311" s="2">
        <v>256</v>
      </c>
      <c r="K311" s="2">
        <v>64.844200000000001</v>
      </c>
      <c r="L311" s="2">
        <v>257</v>
      </c>
      <c r="M311" s="2">
        <v>106.9003</v>
      </c>
      <c r="N311" s="2">
        <v>69</v>
      </c>
      <c r="O311" s="2">
        <v>109.1016</v>
      </c>
      <c r="P311" s="2">
        <v>49</v>
      </c>
      <c r="Q311" s="2">
        <v>103.1665</v>
      </c>
      <c r="R311" s="2">
        <v>198</v>
      </c>
      <c r="S311" s="2">
        <v>99.343500000000006</v>
      </c>
      <c r="T311" s="2">
        <v>117</v>
      </c>
      <c r="U311" s="2">
        <v>0.74602000000000002</v>
      </c>
      <c r="V311" s="2">
        <v>69</v>
      </c>
      <c r="W311" s="2">
        <v>2006</v>
      </c>
    </row>
    <row r="312" spans="1:23" ht="12.3" x14ac:dyDescent="0.4">
      <c r="A312" s="2" t="s">
        <v>98</v>
      </c>
      <c r="B312" s="2">
        <v>12</v>
      </c>
      <c r="C312" s="2"/>
      <c r="D312" s="2"/>
      <c r="E312" s="2"/>
      <c r="F312" s="2"/>
      <c r="G312" s="2"/>
      <c r="H312" s="2"/>
      <c r="I312" s="2">
        <v>63.2575</v>
      </c>
      <c r="J312" s="2">
        <v>294</v>
      </c>
      <c r="K312" s="2">
        <v>62.517600000000002</v>
      </c>
      <c r="L312" s="2">
        <v>309</v>
      </c>
      <c r="M312" s="2">
        <v>111.23180000000001</v>
      </c>
      <c r="N312" s="2">
        <v>19</v>
      </c>
      <c r="O312" s="2">
        <v>112.7478</v>
      </c>
      <c r="P312" s="2">
        <v>18</v>
      </c>
      <c r="Q312" s="2">
        <v>99.929500000000004</v>
      </c>
      <c r="R312" s="2">
        <v>123</v>
      </c>
      <c r="S312" s="2">
        <v>102.6657</v>
      </c>
      <c r="T312" s="2">
        <v>177</v>
      </c>
      <c r="U312" s="2">
        <v>0.74597500000000005</v>
      </c>
      <c r="V312" s="2">
        <v>70</v>
      </c>
      <c r="W312" s="2">
        <v>2006</v>
      </c>
    </row>
    <row r="313" spans="1:23" ht="12.3" x14ac:dyDescent="0.4">
      <c r="A313" s="2" t="s">
        <v>287</v>
      </c>
      <c r="B313" s="2">
        <v>14</v>
      </c>
      <c r="C313" s="2"/>
      <c r="D313" s="2"/>
      <c r="E313" s="2"/>
      <c r="F313" s="2"/>
      <c r="G313" s="2"/>
      <c r="H313" s="2"/>
      <c r="I313" s="2">
        <v>67.6935</v>
      </c>
      <c r="J313" s="2">
        <v>141</v>
      </c>
      <c r="K313" s="2">
        <v>67.328699999999998</v>
      </c>
      <c r="L313" s="2">
        <v>143</v>
      </c>
      <c r="M313" s="2">
        <v>109.2165</v>
      </c>
      <c r="N313" s="2">
        <v>38</v>
      </c>
      <c r="O313" s="2">
        <v>107.98690000000001</v>
      </c>
      <c r="P313" s="2">
        <v>62</v>
      </c>
      <c r="Q313" s="2">
        <v>96.8977</v>
      </c>
      <c r="R313" s="2">
        <v>65</v>
      </c>
      <c r="S313" s="2">
        <v>98.346199999999996</v>
      </c>
      <c r="T313" s="2">
        <v>98</v>
      </c>
      <c r="U313" s="2">
        <v>0.74562899999999999</v>
      </c>
      <c r="V313" s="2">
        <v>71</v>
      </c>
      <c r="W313" s="2">
        <v>2006</v>
      </c>
    </row>
    <row r="314" spans="1:23" ht="12.3" x14ac:dyDescent="0.4">
      <c r="A314" s="2" t="s">
        <v>126</v>
      </c>
      <c r="B314" s="2">
        <v>13</v>
      </c>
      <c r="C314" s="2"/>
      <c r="D314" s="2"/>
      <c r="E314" s="2"/>
      <c r="F314" s="2"/>
      <c r="G314" s="2"/>
      <c r="H314" s="2"/>
      <c r="I314" s="2">
        <v>65.556100000000001</v>
      </c>
      <c r="J314" s="2">
        <v>229</v>
      </c>
      <c r="K314" s="2">
        <v>64.415400000000005</v>
      </c>
      <c r="L314" s="2">
        <v>265</v>
      </c>
      <c r="M314" s="2">
        <v>111.2239</v>
      </c>
      <c r="N314" s="2">
        <v>20</v>
      </c>
      <c r="O314" s="2">
        <v>107.664</v>
      </c>
      <c r="P314" s="2">
        <v>68</v>
      </c>
      <c r="Q314" s="2">
        <v>95.744500000000002</v>
      </c>
      <c r="R314" s="2">
        <v>49</v>
      </c>
      <c r="S314" s="2">
        <v>98.812600000000003</v>
      </c>
      <c r="T314" s="2">
        <v>107</v>
      </c>
      <c r="U314" s="2">
        <v>0.72841199999999995</v>
      </c>
      <c r="V314" s="2">
        <v>77</v>
      </c>
      <c r="W314" s="2">
        <v>2006</v>
      </c>
    </row>
    <row r="315" spans="1:23" ht="12.3" x14ac:dyDescent="0.4">
      <c r="A315" s="2" t="s">
        <v>240</v>
      </c>
      <c r="B315" s="2">
        <v>15</v>
      </c>
      <c r="C315" s="2"/>
      <c r="D315" s="2"/>
      <c r="E315" s="2"/>
      <c r="F315" s="2"/>
      <c r="G315" s="2"/>
      <c r="H315" s="2"/>
      <c r="I315" s="2">
        <v>65.9529</v>
      </c>
      <c r="J315" s="2">
        <v>212</v>
      </c>
      <c r="K315" s="2">
        <v>66.257400000000004</v>
      </c>
      <c r="L315" s="2">
        <v>201</v>
      </c>
      <c r="M315" s="2">
        <v>108.7847</v>
      </c>
      <c r="N315" s="2">
        <v>43</v>
      </c>
      <c r="O315" s="2">
        <v>102.0475</v>
      </c>
      <c r="P315" s="2">
        <v>160</v>
      </c>
      <c r="Q315" s="2">
        <v>91.735600000000005</v>
      </c>
      <c r="R315" s="2">
        <v>15</v>
      </c>
      <c r="S315" s="2">
        <v>94.593400000000003</v>
      </c>
      <c r="T315" s="2">
        <v>43</v>
      </c>
      <c r="U315" s="2">
        <v>0.70522099999999999</v>
      </c>
      <c r="V315" s="2">
        <v>87</v>
      </c>
      <c r="W315" s="2">
        <v>2006</v>
      </c>
    </row>
    <row r="316" spans="1:23" ht="12.3" x14ac:dyDescent="0.4">
      <c r="A316" s="2" t="s">
        <v>181</v>
      </c>
      <c r="B316" s="2">
        <v>14</v>
      </c>
      <c r="C316" s="2"/>
      <c r="D316" s="2"/>
      <c r="E316" s="2"/>
      <c r="F316" s="2"/>
      <c r="G316" s="2"/>
      <c r="H316" s="2"/>
      <c r="I316" s="2">
        <v>64.530199999999994</v>
      </c>
      <c r="J316" s="2">
        <v>261</v>
      </c>
      <c r="K316" s="2">
        <v>65.0017</v>
      </c>
      <c r="L316" s="2">
        <v>248</v>
      </c>
      <c r="M316" s="2">
        <v>108.9603</v>
      </c>
      <c r="N316" s="2">
        <v>41</v>
      </c>
      <c r="O316" s="2">
        <v>102.73560000000001</v>
      </c>
      <c r="P316" s="2">
        <v>149</v>
      </c>
      <c r="Q316" s="2">
        <v>94.208500000000001</v>
      </c>
      <c r="R316" s="2">
        <v>35</v>
      </c>
      <c r="S316" s="2">
        <v>95.452699999999993</v>
      </c>
      <c r="T316" s="2">
        <v>47</v>
      </c>
      <c r="U316" s="2">
        <v>0.69963600000000004</v>
      </c>
      <c r="V316" s="2">
        <v>89</v>
      </c>
      <c r="W316" s="2">
        <v>2006</v>
      </c>
    </row>
    <row r="317" spans="1:23" ht="12.3" x14ac:dyDescent="0.4">
      <c r="A317" s="2" t="s">
        <v>234</v>
      </c>
      <c r="B317" s="2">
        <v>12</v>
      </c>
      <c r="C317" s="3" t="s">
        <v>33</v>
      </c>
      <c r="D317" s="2"/>
      <c r="E317" s="2"/>
      <c r="F317" s="2"/>
      <c r="G317" s="2"/>
      <c r="H317" s="2"/>
      <c r="I317" s="2">
        <v>69.058300000000003</v>
      </c>
      <c r="J317" s="2">
        <v>94</v>
      </c>
      <c r="K317" s="2">
        <v>67.601900000000001</v>
      </c>
      <c r="L317" s="2">
        <v>130</v>
      </c>
      <c r="M317" s="2">
        <v>111.8723</v>
      </c>
      <c r="N317" s="2">
        <v>13</v>
      </c>
      <c r="O317" s="2">
        <v>109.1174</v>
      </c>
      <c r="P317" s="2">
        <v>48</v>
      </c>
      <c r="Q317" s="2">
        <v>101.62739999999999</v>
      </c>
      <c r="R317" s="2">
        <v>161</v>
      </c>
      <c r="S317" s="2">
        <v>101.6682</v>
      </c>
      <c r="T317" s="2">
        <v>157</v>
      </c>
      <c r="U317" s="2">
        <v>0.69278300000000004</v>
      </c>
      <c r="V317" s="2">
        <v>90</v>
      </c>
      <c r="W317" s="2">
        <v>2006</v>
      </c>
    </row>
    <row r="318" spans="1:23" ht="12.3" x14ac:dyDescent="0.4">
      <c r="A318" s="2" t="s">
        <v>259</v>
      </c>
      <c r="B318" s="2">
        <v>14</v>
      </c>
      <c r="C318" s="3" t="s">
        <v>33</v>
      </c>
      <c r="D318" s="2"/>
      <c r="E318" s="2"/>
      <c r="F318" s="2"/>
      <c r="G318" s="2"/>
      <c r="H318" s="2"/>
      <c r="I318" s="2">
        <v>70.110399999999998</v>
      </c>
      <c r="J318" s="2">
        <v>58</v>
      </c>
      <c r="K318" s="2">
        <v>69.218299999999999</v>
      </c>
      <c r="L318" s="2">
        <v>81</v>
      </c>
      <c r="M318" s="2">
        <v>106.8762</v>
      </c>
      <c r="N318" s="2">
        <v>70</v>
      </c>
      <c r="O318" s="2">
        <v>105.88200000000001</v>
      </c>
      <c r="P318" s="2">
        <v>88</v>
      </c>
      <c r="Q318" s="2">
        <v>98.167199999999994</v>
      </c>
      <c r="R318" s="2">
        <v>88</v>
      </c>
      <c r="S318" s="2">
        <v>99.325999999999993</v>
      </c>
      <c r="T318" s="2">
        <v>116</v>
      </c>
      <c r="U318" s="2">
        <v>0.67591500000000004</v>
      </c>
      <c r="V318" s="2">
        <v>93</v>
      </c>
      <c r="W318" s="2">
        <v>2006</v>
      </c>
    </row>
    <row r="319" spans="1:23" ht="12.3" x14ac:dyDescent="0.4">
      <c r="A319" s="2" t="s">
        <v>77</v>
      </c>
      <c r="B319" s="2">
        <v>15</v>
      </c>
      <c r="C319" s="2"/>
      <c r="D319" s="2"/>
      <c r="E319" s="2"/>
      <c r="F319" s="2"/>
      <c r="G319" s="2"/>
      <c r="H319" s="2"/>
      <c r="I319" s="2">
        <v>65.292400000000001</v>
      </c>
      <c r="J319" s="2">
        <v>235</v>
      </c>
      <c r="K319" s="2">
        <v>66.189300000000003</v>
      </c>
      <c r="L319" s="2">
        <v>210</v>
      </c>
      <c r="M319" s="2">
        <v>103.949</v>
      </c>
      <c r="N319" s="2">
        <v>132</v>
      </c>
      <c r="O319" s="2">
        <v>99.131</v>
      </c>
      <c r="P319" s="2">
        <v>214</v>
      </c>
      <c r="Q319" s="2">
        <v>90.461799999999997</v>
      </c>
      <c r="R319" s="2">
        <v>8</v>
      </c>
      <c r="S319" s="2">
        <v>93.626000000000005</v>
      </c>
      <c r="T319" s="2">
        <v>29</v>
      </c>
      <c r="U319" s="2">
        <v>0.65859400000000001</v>
      </c>
      <c r="V319" s="2">
        <v>101</v>
      </c>
      <c r="W319" s="2">
        <v>2006</v>
      </c>
    </row>
    <row r="320" spans="1:23" ht="12.3" x14ac:dyDescent="0.4">
      <c r="A320" s="2" t="s">
        <v>138</v>
      </c>
      <c r="B320" s="2">
        <v>16</v>
      </c>
      <c r="C320" s="2"/>
      <c r="D320" s="2"/>
      <c r="E320" s="2"/>
      <c r="F320" s="2"/>
      <c r="G320" s="2"/>
      <c r="H320" s="2"/>
      <c r="I320" s="2">
        <v>68.654399999999995</v>
      </c>
      <c r="J320" s="2">
        <v>108</v>
      </c>
      <c r="K320" s="2">
        <v>68.482100000000003</v>
      </c>
      <c r="L320" s="2">
        <v>106</v>
      </c>
      <c r="M320" s="2">
        <v>108.4927</v>
      </c>
      <c r="N320" s="2">
        <v>46</v>
      </c>
      <c r="O320" s="2">
        <v>104.7593</v>
      </c>
      <c r="P320" s="2">
        <v>109</v>
      </c>
      <c r="Q320" s="2">
        <v>98.620500000000007</v>
      </c>
      <c r="R320" s="2">
        <v>94</v>
      </c>
      <c r="S320" s="2">
        <v>100.3129</v>
      </c>
      <c r="T320" s="2">
        <v>132</v>
      </c>
      <c r="U320" s="2">
        <v>0.62217100000000003</v>
      </c>
      <c r="V320" s="2">
        <v>118</v>
      </c>
      <c r="W320" s="2">
        <v>2006</v>
      </c>
    </row>
    <row r="321" spans="1:23" ht="12.3" x14ac:dyDescent="0.4">
      <c r="A321" s="2" t="s">
        <v>134</v>
      </c>
      <c r="B321" s="2">
        <v>15</v>
      </c>
      <c r="C321" s="2"/>
      <c r="D321" s="2"/>
      <c r="E321" s="2"/>
      <c r="F321" s="2"/>
      <c r="G321" s="2"/>
      <c r="H321" s="2"/>
      <c r="I321" s="2">
        <v>67.540000000000006</v>
      </c>
      <c r="J321" s="2">
        <v>146</v>
      </c>
      <c r="K321" s="2">
        <v>67.165300000000002</v>
      </c>
      <c r="L321" s="2">
        <v>150</v>
      </c>
      <c r="M321" s="2">
        <v>110.9961</v>
      </c>
      <c r="N321" s="2">
        <v>25</v>
      </c>
      <c r="O321" s="2">
        <v>108.9734</v>
      </c>
      <c r="P321" s="2">
        <v>51</v>
      </c>
      <c r="Q321" s="2">
        <v>102.4421</v>
      </c>
      <c r="R321" s="2">
        <v>181</v>
      </c>
      <c r="S321" s="2">
        <v>105.248</v>
      </c>
      <c r="T321" s="2">
        <v>227</v>
      </c>
      <c r="U321" s="2">
        <v>0.598692</v>
      </c>
      <c r="V321" s="2">
        <v>126</v>
      </c>
      <c r="W321" s="2">
        <v>2006</v>
      </c>
    </row>
    <row r="322" spans="1:23" ht="12.3" x14ac:dyDescent="0.4">
      <c r="A322" s="2" t="s">
        <v>339</v>
      </c>
      <c r="B322" s="2">
        <v>16</v>
      </c>
      <c r="C322" s="2"/>
      <c r="D322" s="2"/>
      <c r="E322" s="2"/>
      <c r="F322" s="2"/>
      <c r="G322" s="2"/>
      <c r="H322" s="2"/>
      <c r="I322" s="2">
        <v>64.127600000000001</v>
      </c>
      <c r="J322" s="2">
        <v>273</v>
      </c>
      <c r="K322" s="2">
        <v>65.224900000000005</v>
      </c>
      <c r="L322" s="2">
        <v>241</v>
      </c>
      <c r="M322" s="2">
        <v>106.4503</v>
      </c>
      <c r="N322" s="2">
        <v>78</v>
      </c>
      <c r="O322" s="2">
        <v>104.5827</v>
      </c>
      <c r="P322" s="2">
        <v>111</v>
      </c>
      <c r="Q322" s="2">
        <v>99.312600000000003</v>
      </c>
      <c r="R322" s="2">
        <v>112</v>
      </c>
      <c r="S322" s="2">
        <v>102.5629</v>
      </c>
      <c r="T322" s="2">
        <v>176</v>
      </c>
      <c r="U322" s="2">
        <v>0.55583499999999997</v>
      </c>
      <c r="V322" s="2">
        <v>132</v>
      </c>
      <c r="W322" s="2">
        <v>2006</v>
      </c>
    </row>
    <row r="323" spans="1:23" ht="12.3" x14ac:dyDescent="0.4">
      <c r="A323" s="2" t="s">
        <v>244</v>
      </c>
      <c r="B323" s="2">
        <v>15</v>
      </c>
      <c r="C323" s="2"/>
      <c r="D323" s="2"/>
      <c r="E323" s="2"/>
      <c r="F323" s="2"/>
      <c r="G323" s="2"/>
      <c r="H323" s="2"/>
      <c r="I323" s="2">
        <v>71.881100000000004</v>
      </c>
      <c r="J323" s="2">
        <v>29</v>
      </c>
      <c r="K323" s="2">
        <v>69.950100000000006</v>
      </c>
      <c r="L323" s="2">
        <v>58</v>
      </c>
      <c r="M323" s="2">
        <v>112.11920000000001</v>
      </c>
      <c r="N323" s="2">
        <v>12</v>
      </c>
      <c r="O323" s="2">
        <v>107.0975</v>
      </c>
      <c r="P323" s="2">
        <v>73</v>
      </c>
      <c r="Q323" s="2">
        <v>103.8058</v>
      </c>
      <c r="R323" s="2">
        <v>217</v>
      </c>
      <c r="S323" s="2">
        <v>106.8052</v>
      </c>
      <c r="T323" s="2">
        <v>260</v>
      </c>
      <c r="U323" s="2">
        <v>0.50785899999999995</v>
      </c>
      <c r="V323" s="2">
        <v>153</v>
      </c>
      <c r="W323" s="2">
        <v>2006</v>
      </c>
    </row>
    <row r="324" spans="1:23" ht="12.3" x14ac:dyDescent="0.4">
      <c r="A324" s="2" t="s">
        <v>251</v>
      </c>
      <c r="B324" s="2">
        <v>16</v>
      </c>
      <c r="C324" s="2"/>
      <c r="D324" s="2"/>
      <c r="E324" s="2"/>
      <c r="F324" s="2"/>
      <c r="G324" s="2"/>
      <c r="H324" s="2"/>
      <c r="I324" s="2">
        <v>65.804299999999998</v>
      </c>
      <c r="J324" s="2">
        <v>220</v>
      </c>
      <c r="K324" s="2">
        <v>66.266900000000007</v>
      </c>
      <c r="L324" s="2">
        <v>198</v>
      </c>
      <c r="M324" s="2">
        <v>96.303100000000001</v>
      </c>
      <c r="N324" s="2">
        <v>255</v>
      </c>
      <c r="O324" s="2">
        <v>95.327200000000005</v>
      </c>
      <c r="P324" s="2">
        <v>271</v>
      </c>
      <c r="Q324" s="2">
        <v>94.760999999999996</v>
      </c>
      <c r="R324" s="2">
        <v>39</v>
      </c>
      <c r="S324" s="2">
        <v>96.851500000000001</v>
      </c>
      <c r="T324" s="2">
        <v>76</v>
      </c>
      <c r="U324" s="2">
        <v>0.45451799999999998</v>
      </c>
      <c r="V324" s="2">
        <v>173</v>
      </c>
      <c r="W324" s="2">
        <v>2006</v>
      </c>
    </row>
    <row r="325" spans="1:23" ht="12.3" x14ac:dyDescent="0.4">
      <c r="A325" s="2" t="s">
        <v>338</v>
      </c>
      <c r="B325" s="2">
        <v>16</v>
      </c>
      <c r="C325" s="2"/>
      <c r="D325" s="2"/>
      <c r="E325" s="2"/>
      <c r="F325" s="2"/>
      <c r="G325" s="2"/>
      <c r="H325" s="2"/>
      <c r="I325" s="2">
        <v>68.303200000000004</v>
      </c>
      <c r="J325" s="2">
        <v>122</v>
      </c>
      <c r="K325" s="2">
        <v>66.913799999999995</v>
      </c>
      <c r="L325" s="2">
        <v>163</v>
      </c>
      <c r="M325" s="2">
        <v>95.180899999999994</v>
      </c>
      <c r="N325" s="2">
        <v>280</v>
      </c>
      <c r="O325" s="2">
        <v>95.065399999999997</v>
      </c>
      <c r="P325" s="2">
        <v>275</v>
      </c>
      <c r="Q325" s="2">
        <v>93.650400000000005</v>
      </c>
      <c r="R325" s="2">
        <v>28</v>
      </c>
      <c r="S325" s="2">
        <v>97.325100000000006</v>
      </c>
      <c r="T325" s="2">
        <v>83</v>
      </c>
      <c r="U325" s="2">
        <v>0.432869</v>
      </c>
      <c r="V325" s="2">
        <v>187</v>
      </c>
      <c r="W325" s="2">
        <v>2006</v>
      </c>
    </row>
    <row r="326" spans="1:23" ht="12.3" x14ac:dyDescent="0.4">
      <c r="A326" s="2" t="s">
        <v>135</v>
      </c>
      <c r="B326" s="2">
        <v>16</v>
      </c>
      <c r="C326" s="2"/>
      <c r="D326" s="2"/>
      <c r="E326" s="2"/>
      <c r="F326" s="2"/>
      <c r="G326" s="2"/>
      <c r="H326" s="2"/>
      <c r="I326" s="2">
        <v>69.427000000000007</v>
      </c>
      <c r="J326" s="2">
        <v>79</v>
      </c>
      <c r="K326" s="2">
        <v>70.230500000000006</v>
      </c>
      <c r="L326" s="2">
        <v>51</v>
      </c>
      <c r="M326" s="2">
        <v>96.286600000000007</v>
      </c>
      <c r="N326" s="2">
        <v>257</v>
      </c>
      <c r="O326" s="2">
        <v>91.748900000000006</v>
      </c>
      <c r="P326" s="2">
        <v>312</v>
      </c>
      <c r="Q326" s="2">
        <v>91.850300000000004</v>
      </c>
      <c r="R326" s="2">
        <v>18</v>
      </c>
      <c r="S326" s="2">
        <v>100.4858</v>
      </c>
      <c r="T326" s="2">
        <v>138</v>
      </c>
      <c r="U326" s="2">
        <v>0.25998399999999999</v>
      </c>
      <c r="V326" s="2">
        <v>263</v>
      </c>
      <c r="W326" s="2">
        <v>2006</v>
      </c>
    </row>
    <row r="327" spans="1:23" ht="12.3" x14ac:dyDescent="0.4">
      <c r="A327" s="2" t="s">
        <v>168</v>
      </c>
      <c r="B327" s="2">
        <v>1</v>
      </c>
      <c r="C327" s="3" t="s">
        <v>33</v>
      </c>
      <c r="D327" s="3" t="s">
        <v>33</v>
      </c>
      <c r="E327" s="3" t="s">
        <v>33</v>
      </c>
      <c r="F327" s="2"/>
      <c r="G327" s="2"/>
      <c r="H327" s="2"/>
      <c r="I327" s="2">
        <v>73.9268</v>
      </c>
      <c r="J327" s="2">
        <v>10</v>
      </c>
      <c r="K327" s="2">
        <v>72.983199999999997</v>
      </c>
      <c r="L327" s="2">
        <v>9</v>
      </c>
      <c r="M327" s="2">
        <v>116.3077</v>
      </c>
      <c r="N327" s="2">
        <v>2</v>
      </c>
      <c r="O327" s="2">
        <v>118.08580000000001</v>
      </c>
      <c r="P327" s="2">
        <v>4</v>
      </c>
      <c r="Q327" s="2">
        <v>91.968299999999999</v>
      </c>
      <c r="R327" s="2">
        <v>10</v>
      </c>
      <c r="S327" s="2">
        <v>90.4833</v>
      </c>
      <c r="T327" s="2">
        <v>8</v>
      </c>
      <c r="U327" s="2">
        <v>0.955291</v>
      </c>
      <c r="V327" s="2">
        <v>1</v>
      </c>
      <c r="W327" s="2">
        <v>2007</v>
      </c>
    </row>
    <row r="328" spans="1:23" ht="12.3" x14ac:dyDescent="0.4">
      <c r="A328" s="2" t="s">
        <v>21</v>
      </c>
      <c r="B328" s="2">
        <v>1</v>
      </c>
      <c r="C328" s="3" t="s">
        <v>33</v>
      </c>
      <c r="D328" s="3" t="s">
        <v>33</v>
      </c>
      <c r="E328" s="3" t="s">
        <v>33</v>
      </c>
      <c r="F328" s="3" t="s">
        <v>33</v>
      </c>
      <c r="G328" s="3" t="s">
        <v>33</v>
      </c>
      <c r="H328" s="2"/>
      <c r="I328" s="2">
        <v>65.146199999999993</v>
      </c>
      <c r="J328" s="2">
        <v>233</v>
      </c>
      <c r="K328" s="2">
        <v>65.392200000000003</v>
      </c>
      <c r="L328" s="2">
        <v>218</v>
      </c>
      <c r="M328" s="2">
        <v>113.20829999999999</v>
      </c>
      <c r="N328" s="2">
        <v>14</v>
      </c>
      <c r="O328" s="2">
        <v>116.5324</v>
      </c>
      <c r="P328" s="2">
        <v>7</v>
      </c>
      <c r="Q328" s="2">
        <v>92.444299999999998</v>
      </c>
      <c r="R328" s="2">
        <v>13</v>
      </c>
      <c r="S328" s="2">
        <v>89.683000000000007</v>
      </c>
      <c r="T328" s="2">
        <v>5</v>
      </c>
      <c r="U328" s="2">
        <v>0.95310099999999998</v>
      </c>
      <c r="V328" s="2">
        <v>2</v>
      </c>
      <c r="W328" s="2">
        <v>2007</v>
      </c>
    </row>
    <row r="329" spans="1:23" ht="12.3" x14ac:dyDescent="0.4">
      <c r="A329" s="2" t="s">
        <v>35</v>
      </c>
      <c r="B329" s="2">
        <v>1</v>
      </c>
      <c r="C329" s="3" t="s">
        <v>33</v>
      </c>
      <c r="D329" s="3" t="s">
        <v>33</v>
      </c>
      <c r="E329" s="3" t="s">
        <v>33</v>
      </c>
      <c r="F329" s="2"/>
      <c r="G329" s="2"/>
      <c r="H329" s="2"/>
      <c r="I329" s="2">
        <v>69.486400000000003</v>
      </c>
      <c r="J329" s="2">
        <v>79</v>
      </c>
      <c r="K329" s="2">
        <v>69.596500000000006</v>
      </c>
      <c r="L329" s="2">
        <v>65</v>
      </c>
      <c r="M329" s="2">
        <v>111.56480000000001</v>
      </c>
      <c r="N329" s="2">
        <v>25</v>
      </c>
      <c r="O329" s="2">
        <v>112.3509</v>
      </c>
      <c r="P329" s="2">
        <v>30</v>
      </c>
      <c r="Q329" s="2">
        <v>86.624600000000001</v>
      </c>
      <c r="R329" s="2">
        <v>1</v>
      </c>
      <c r="S329" s="2">
        <v>87.437799999999996</v>
      </c>
      <c r="T329" s="2">
        <v>1</v>
      </c>
      <c r="U329" s="2">
        <v>0.94700200000000001</v>
      </c>
      <c r="V329" s="2">
        <v>3</v>
      </c>
      <c r="W329" s="2">
        <v>2007</v>
      </c>
    </row>
    <row r="330" spans="1:23" ht="12.3" x14ac:dyDescent="0.4">
      <c r="A330" s="2" t="s">
        <v>62</v>
      </c>
      <c r="B330" s="2">
        <v>2</v>
      </c>
      <c r="C330" s="3" t="s">
        <v>33</v>
      </c>
      <c r="D330" s="3" t="s">
        <v>33</v>
      </c>
      <c r="E330" s="3" t="s">
        <v>33</v>
      </c>
      <c r="F330" s="3" t="s">
        <v>33</v>
      </c>
      <c r="G330" s="2"/>
      <c r="H330" s="2"/>
      <c r="I330" s="2">
        <v>59.715200000000003</v>
      </c>
      <c r="J330" s="2">
        <v>328</v>
      </c>
      <c r="K330" s="2">
        <v>60.222299999999997</v>
      </c>
      <c r="L330" s="2">
        <v>327</v>
      </c>
      <c r="M330" s="2">
        <v>115.3203</v>
      </c>
      <c r="N330" s="2">
        <v>6</v>
      </c>
      <c r="O330" s="2">
        <v>118.5962</v>
      </c>
      <c r="P330" s="2">
        <v>2</v>
      </c>
      <c r="Q330" s="2">
        <v>95.349400000000003</v>
      </c>
      <c r="R330" s="2">
        <v>37</v>
      </c>
      <c r="S330" s="2">
        <v>92.455600000000004</v>
      </c>
      <c r="T330" s="2">
        <v>14</v>
      </c>
      <c r="U330" s="2">
        <v>0.94601000000000002</v>
      </c>
      <c r="V330" s="2">
        <v>4</v>
      </c>
      <c r="W330" s="2">
        <v>2007</v>
      </c>
    </row>
    <row r="331" spans="1:23" ht="12.3" x14ac:dyDescent="0.4">
      <c r="A331" s="2" t="s">
        <v>37</v>
      </c>
      <c r="B331" s="2">
        <v>1</v>
      </c>
      <c r="C331" s="3" t="s">
        <v>33</v>
      </c>
      <c r="D331" s="3" t="s">
        <v>33</v>
      </c>
      <c r="E331" s="3" t="s">
        <v>33</v>
      </c>
      <c r="F331" s="3" t="s">
        <v>33</v>
      </c>
      <c r="G331" s="3" t="s">
        <v>33</v>
      </c>
      <c r="H331" s="3" t="s">
        <v>33</v>
      </c>
      <c r="I331" s="2">
        <v>67.157700000000006</v>
      </c>
      <c r="J331" s="2">
        <v>155</v>
      </c>
      <c r="K331" s="2">
        <v>66.382000000000005</v>
      </c>
      <c r="L331" s="2">
        <v>178</v>
      </c>
      <c r="M331" s="2">
        <v>117.7637</v>
      </c>
      <c r="N331" s="2">
        <v>1</v>
      </c>
      <c r="O331" s="2">
        <v>118.38339999999999</v>
      </c>
      <c r="P331" s="2">
        <v>3</v>
      </c>
      <c r="Q331" s="2">
        <v>91.511300000000006</v>
      </c>
      <c r="R331" s="2">
        <v>7</v>
      </c>
      <c r="S331" s="2">
        <v>92.692499999999995</v>
      </c>
      <c r="T331" s="2">
        <v>18</v>
      </c>
      <c r="U331" s="2">
        <v>0.94339399999999995</v>
      </c>
      <c r="V331" s="2">
        <v>5</v>
      </c>
      <c r="W331" s="2">
        <v>2007</v>
      </c>
    </row>
    <row r="332" spans="1:23" ht="12.3" x14ac:dyDescent="0.4">
      <c r="A332" s="2" t="s">
        <v>248</v>
      </c>
      <c r="B332" s="2">
        <v>3</v>
      </c>
      <c r="C332" s="3" t="s">
        <v>33</v>
      </c>
      <c r="D332" s="3" t="s">
        <v>33</v>
      </c>
      <c r="E332" s="2"/>
      <c r="F332" s="2"/>
      <c r="G332" s="2"/>
      <c r="H332" s="2"/>
      <c r="I332" s="2">
        <v>65.730599999999995</v>
      </c>
      <c r="J332" s="2">
        <v>214</v>
      </c>
      <c r="K332" s="2">
        <v>65.616500000000002</v>
      </c>
      <c r="L332" s="2">
        <v>209</v>
      </c>
      <c r="M332" s="2">
        <v>114.7877</v>
      </c>
      <c r="N332" s="2">
        <v>8</v>
      </c>
      <c r="O332" s="2">
        <v>116.82429999999999</v>
      </c>
      <c r="P332" s="2">
        <v>6</v>
      </c>
      <c r="Q332" s="2">
        <v>89.453299999999999</v>
      </c>
      <c r="R332" s="2">
        <v>3</v>
      </c>
      <c r="S332" s="2">
        <v>92.521799999999999</v>
      </c>
      <c r="T332" s="2">
        <v>15</v>
      </c>
      <c r="U332" s="2">
        <v>0.93596199999999996</v>
      </c>
      <c r="V332" s="2">
        <v>6</v>
      </c>
      <c r="W332" s="2">
        <v>2007</v>
      </c>
    </row>
    <row r="333" spans="1:23" ht="12.3" x14ac:dyDescent="0.4">
      <c r="A333" s="2" t="s">
        <v>76</v>
      </c>
      <c r="B333" s="2">
        <v>2</v>
      </c>
      <c r="C333" s="2"/>
      <c r="D333" s="2"/>
      <c r="E333" s="2"/>
      <c r="F333" s="2"/>
      <c r="G333" s="2"/>
      <c r="H333" s="2"/>
      <c r="I333" s="2">
        <v>63.119500000000002</v>
      </c>
      <c r="J333" s="2">
        <v>292</v>
      </c>
      <c r="K333" s="2">
        <v>64.251900000000006</v>
      </c>
      <c r="L333" s="2">
        <v>268</v>
      </c>
      <c r="M333" s="2">
        <v>110.9032</v>
      </c>
      <c r="N333" s="2">
        <v>31</v>
      </c>
      <c r="O333" s="2">
        <v>112.63039999999999</v>
      </c>
      <c r="P333" s="2">
        <v>29</v>
      </c>
      <c r="Q333" s="2">
        <v>90.682900000000004</v>
      </c>
      <c r="R333" s="2">
        <v>5</v>
      </c>
      <c r="S333" s="2">
        <v>89.367800000000003</v>
      </c>
      <c r="T333" s="2">
        <v>3</v>
      </c>
      <c r="U333" s="2">
        <v>0.93465799999999999</v>
      </c>
      <c r="V333" s="2">
        <v>7</v>
      </c>
      <c r="W333" s="2">
        <v>2007</v>
      </c>
    </row>
    <row r="334" spans="1:23" ht="12.3" x14ac:dyDescent="0.4">
      <c r="A334" s="2" t="s">
        <v>71</v>
      </c>
      <c r="B334" s="2">
        <v>2</v>
      </c>
      <c r="C334" s="3" t="s">
        <v>33</v>
      </c>
      <c r="D334" s="3" t="s">
        <v>33</v>
      </c>
      <c r="E334" s="3" t="s">
        <v>33</v>
      </c>
      <c r="F334" s="2"/>
      <c r="G334" s="2"/>
      <c r="H334" s="2"/>
      <c r="I334" s="2">
        <v>70.782700000000006</v>
      </c>
      <c r="J334" s="2">
        <v>49</v>
      </c>
      <c r="K334" s="2">
        <v>69.438699999999997</v>
      </c>
      <c r="L334" s="2">
        <v>69</v>
      </c>
      <c r="M334" s="2">
        <v>112.5087</v>
      </c>
      <c r="N334" s="2">
        <v>18</v>
      </c>
      <c r="O334" s="2">
        <v>112.6549</v>
      </c>
      <c r="P334" s="2">
        <v>28</v>
      </c>
      <c r="Q334" s="2">
        <v>88.045299999999997</v>
      </c>
      <c r="R334" s="2">
        <v>2</v>
      </c>
      <c r="S334" s="2">
        <v>90.278400000000005</v>
      </c>
      <c r="T334" s="2">
        <v>6</v>
      </c>
      <c r="U334" s="2">
        <v>0.92733500000000002</v>
      </c>
      <c r="V334" s="2">
        <v>8</v>
      </c>
      <c r="W334" s="2">
        <v>2007</v>
      </c>
    </row>
    <row r="335" spans="1:23" ht="12.3" x14ac:dyDescent="0.4">
      <c r="A335" s="2" t="s">
        <v>65</v>
      </c>
      <c r="B335" s="2">
        <v>2</v>
      </c>
      <c r="C335" s="3" t="s">
        <v>33</v>
      </c>
      <c r="D335" s="3" t="s">
        <v>33</v>
      </c>
      <c r="E335" s="3" t="s">
        <v>33</v>
      </c>
      <c r="F335" s="3" t="s">
        <v>33</v>
      </c>
      <c r="G335" s="2"/>
      <c r="H335" s="2"/>
      <c r="I335" s="2">
        <v>64.4495</v>
      </c>
      <c r="J335" s="2">
        <v>258</v>
      </c>
      <c r="K335" s="2">
        <v>64.299800000000005</v>
      </c>
      <c r="L335" s="2">
        <v>266</v>
      </c>
      <c r="M335" s="2">
        <v>111.1692</v>
      </c>
      <c r="N335" s="2">
        <v>29</v>
      </c>
      <c r="O335" s="2">
        <v>113.0406</v>
      </c>
      <c r="P335" s="2">
        <v>25</v>
      </c>
      <c r="Q335" s="2">
        <v>93.773099999999999</v>
      </c>
      <c r="R335" s="2">
        <v>19</v>
      </c>
      <c r="S335" s="2">
        <v>91.944000000000003</v>
      </c>
      <c r="T335" s="2">
        <v>13</v>
      </c>
      <c r="U335" s="2">
        <v>0.91494200000000003</v>
      </c>
      <c r="V335" s="2">
        <v>9</v>
      </c>
      <c r="W335" s="2">
        <v>2007</v>
      </c>
    </row>
    <row r="336" spans="1:23" ht="12.3" x14ac:dyDescent="0.4">
      <c r="A336" s="2" t="s">
        <v>36</v>
      </c>
      <c r="B336" s="2">
        <v>4</v>
      </c>
      <c r="C336" s="3" t="s">
        <v>33</v>
      </c>
      <c r="D336" s="2"/>
      <c r="E336" s="2"/>
      <c r="F336" s="2"/>
      <c r="G336" s="2"/>
      <c r="H336" s="2"/>
      <c r="I336" s="2">
        <v>73.519400000000005</v>
      </c>
      <c r="J336" s="2">
        <v>12</v>
      </c>
      <c r="K336" s="2">
        <v>72.929100000000005</v>
      </c>
      <c r="L336" s="2">
        <v>10</v>
      </c>
      <c r="M336" s="2">
        <v>107.89239999999999</v>
      </c>
      <c r="N336" s="2">
        <v>65</v>
      </c>
      <c r="O336" s="2">
        <v>109.9813</v>
      </c>
      <c r="P336" s="2">
        <v>54</v>
      </c>
      <c r="Q336" s="2">
        <v>91.718100000000007</v>
      </c>
      <c r="R336" s="2">
        <v>9</v>
      </c>
      <c r="S336" s="2">
        <v>90.312299999999993</v>
      </c>
      <c r="T336" s="2">
        <v>7</v>
      </c>
      <c r="U336" s="2">
        <v>0.90601500000000001</v>
      </c>
      <c r="V336" s="2">
        <v>10</v>
      </c>
      <c r="W336" s="2">
        <v>2007</v>
      </c>
    </row>
    <row r="337" spans="1:23" ht="12.3" x14ac:dyDescent="0.4">
      <c r="A337" s="2" t="s">
        <v>32</v>
      </c>
      <c r="B337" s="2">
        <v>6</v>
      </c>
      <c r="C337" s="2"/>
      <c r="D337" s="2"/>
      <c r="E337" s="2"/>
      <c r="F337" s="2"/>
      <c r="G337" s="2"/>
      <c r="H337" s="2"/>
      <c r="I337" s="2">
        <v>65.953400000000002</v>
      </c>
      <c r="J337" s="2">
        <v>208</v>
      </c>
      <c r="K337" s="2">
        <v>65.564499999999995</v>
      </c>
      <c r="L337" s="2">
        <v>211</v>
      </c>
      <c r="M337" s="2">
        <v>105.5341</v>
      </c>
      <c r="N337" s="2">
        <v>108</v>
      </c>
      <c r="O337" s="2">
        <v>110.2039</v>
      </c>
      <c r="P337" s="2">
        <v>49</v>
      </c>
      <c r="Q337" s="2">
        <v>92.008700000000005</v>
      </c>
      <c r="R337" s="2">
        <v>11</v>
      </c>
      <c r="S337" s="2">
        <v>90.5274</v>
      </c>
      <c r="T337" s="2">
        <v>9</v>
      </c>
      <c r="U337" s="2">
        <v>0.90566500000000005</v>
      </c>
      <c r="V337" s="2">
        <v>11</v>
      </c>
      <c r="W337" s="2">
        <v>2007</v>
      </c>
    </row>
    <row r="338" spans="1:23" ht="12.3" x14ac:dyDescent="0.4">
      <c r="A338" s="2" t="s">
        <v>46</v>
      </c>
      <c r="B338" s="2">
        <v>3</v>
      </c>
      <c r="C338" s="3" t="s">
        <v>33</v>
      </c>
      <c r="D338" s="3" t="s">
        <v>33</v>
      </c>
      <c r="E338" s="2"/>
      <c r="F338" s="2"/>
      <c r="G338" s="2"/>
      <c r="H338" s="2"/>
      <c r="I338" s="2">
        <v>62.7363</v>
      </c>
      <c r="J338" s="2">
        <v>296</v>
      </c>
      <c r="K338" s="2">
        <v>62.915999999999997</v>
      </c>
      <c r="L338" s="2">
        <v>300</v>
      </c>
      <c r="M338" s="2">
        <v>112.2623</v>
      </c>
      <c r="N338" s="2">
        <v>19</v>
      </c>
      <c r="O338" s="2">
        <v>115.1422</v>
      </c>
      <c r="P338" s="2">
        <v>12</v>
      </c>
      <c r="Q338" s="2">
        <v>98.346800000000002</v>
      </c>
      <c r="R338" s="2">
        <v>79</v>
      </c>
      <c r="S338" s="2">
        <v>94.6952</v>
      </c>
      <c r="T338" s="2">
        <v>35</v>
      </c>
      <c r="U338" s="2">
        <v>0.90450299999999995</v>
      </c>
      <c r="V338" s="2">
        <v>12</v>
      </c>
      <c r="W338" s="2">
        <v>2007</v>
      </c>
    </row>
    <row r="339" spans="1:23" ht="12.3" x14ac:dyDescent="0.4">
      <c r="A339" s="2" t="s">
        <v>86</v>
      </c>
      <c r="B339" s="2">
        <v>6</v>
      </c>
      <c r="C339" s="3" t="s">
        <v>33</v>
      </c>
      <c r="D339" s="2"/>
      <c r="E339" s="2"/>
      <c r="F339" s="2"/>
      <c r="G339" s="2"/>
      <c r="H339" s="2"/>
      <c r="I339" s="2">
        <v>65.959100000000007</v>
      </c>
      <c r="J339" s="2">
        <v>207</v>
      </c>
      <c r="K339" s="2">
        <v>64.927199999999999</v>
      </c>
      <c r="L339" s="2">
        <v>238</v>
      </c>
      <c r="M339" s="2">
        <v>107.075</v>
      </c>
      <c r="N339" s="2">
        <v>80</v>
      </c>
      <c r="O339" s="2">
        <v>111.0924</v>
      </c>
      <c r="P339" s="2">
        <v>41</v>
      </c>
      <c r="Q339" s="2">
        <v>95.086799999999997</v>
      </c>
      <c r="R339" s="2">
        <v>33</v>
      </c>
      <c r="S339" s="2">
        <v>92.724599999999995</v>
      </c>
      <c r="T339" s="2">
        <v>19</v>
      </c>
      <c r="U339" s="2">
        <v>0.88878500000000005</v>
      </c>
      <c r="V339" s="2">
        <v>13</v>
      </c>
      <c r="W339" s="2">
        <v>2007</v>
      </c>
    </row>
    <row r="340" spans="1:23" ht="12.3" x14ac:dyDescent="0.4">
      <c r="A340" s="2" t="s">
        <v>45</v>
      </c>
      <c r="B340" s="2">
        <v>8</v>
      </c>
      <c r="C340" s="3" t="s">
        <v>33</v>
      </c>
      <c r="D340" s="2"/>
      <c r="E340" s="2"/>
      <c r="F340" s="2"/>
      <c r="G340" s="2"/>
      <c r="H340" s="2"/>
      <c r="I340" s="2">
        <v>67.864000000000004</v>
      </c>
      <c r="J340" s="2">
        <v>119</v>
      </c>
      <c r="K340" s="2">
        <v>67.465299999999999</v>
      </c>
      <c r="L340" s="2">
        <v>129</v>
      </c>
      <c r="M340" s="2">
        <v>107.6178</v>
      </c>
      <c r="N340" s="2">
        <v>69</v>
      </c>
      <c r="O340" s="2">
        <v>113.31399999999999</v>
      </c>
      <c r="P340" s="2">
        <v>21</v>
      </c>
      <c r="Q340" s="2">
        <v>98.558499999999995</v>
      </c>
      <c r="R340" s="2">
        <v>85</v>
      </c>
      <c r="S340" s="2">
        <v>94.742999999999995</v>
      </c>
      <c r="T340" s="2">
        <v>37</v>
      </c>
      <c r="U340" s="2">
        <v>0.88679799999999998</v>
      </c>
      <c r="V340" s="2">
        <v>14</v>
      </c>
      <c r="W340" s="2">
        <v>2007</v>
      </c>
    </row>
    <row r="341" spans="1:23" ht="12.3" x14ac:dyDescent="0.4">
      <c r="A341" s="2" t="s">
        <v>67</v>
      </c>
      <c r="B341" s="2">
        <v>4</v>
      </c>
      <c r="C341" s="3" t="s">
        <v>33</v>
      </c>
      <c r="D341" s="2"/>
      <c r="E341" s="2"/>
      <c r="F341" s="2"/>
      <c r="G341" s="2"/>
      <c r="H341" s="2"/>
      <c r="I341" s="2">
        <v>69.614900000000006</v>
      </c>
      <c r="J341" s="2">
        <v>73</v>
      </c>
      <c r="K341" s="2">
        <v>68.4709</v>
      </c>
      <c r="L341" s="2">
        <v>99</v>
      </c>
      <c r="M341" s="2">
        <v>114.5988</v>
      </c>
      <c r="N341" s="2">
        <v>9</v>
      </c>
      <c r="O341" s="2">
        <v>118.97369999999999</v>
      </c>
      <c r="P341" s="2">
        <v>1</v>
      </c>
      <c r="Q341" s="2">
        <v>100.2649</v>
      </c>
      <c r="R341" s="2">
        <v>122</v>
      </c>
      <c r="S341" s="2">
        <v>99.514600000000002</v>
      </c>
      <c r="T341" s="2">
        <v>99</v>
      </c>
      <c r="U341" s="2">
        <v>0.88633899999999999</v>
      </c>
      <c r="V341" s="2">
        <v>15</v>
      </c>
      <c r="W341" s="2">
        <v>2007</v>
      </c>
    </row>
    <row r="342" spans="1:23" ht="12.3" x14ac:dyDescent="0.4">
      <c r="A342" s="2" t="s">
        <v>82</v>
      </c>
      <c r="B342" s="2">
        <v>4</v>
      </c>
      <c r="C342" s="3" t="s">
        <v>33</v>
      </c>
      <c r="D342" s="3" t="s">
        <v>33</v>
      </c>
      <c r="E342" s="2"/>
      <c r="F342" s="2"/>
      <c r="G342" s="2"/>
      <c r="H342" s="2"/>
      <c r="I342" s="2">
        <v>60.414900000000003</v>
      </c>
      <c r="J342" s="2">
        <v>325</v>
      </c>
      <c r="K342" s="2">
        <v>61.757599999999996</v>
      </c>
      <c r="L342" s="2">
        <v>315</v>
      </c>
      <c r="M342" s="2">
        <v>104.3302</v>
      </c>
      <c r="N342" s="2">
        <v>133</v>
      </c>
      <c r="O342" s="2">
        <v>106.803</v>
      </c>
      <c r="P342" s="2">
        <v>92</v>
      </c>
      <c r="Q342" s="2">
        <v>94.465500000000006</v>
      </c>
      <c r="R342" s="2">
        <v>24</v>
      </c>
      <c r="S342" s="2">
        <v>89.369500000000002</v>
      </c>
      <c r="T342" s="2">
        <v>4</v>
      </c>
      <c r="U342" s="2">
        <v>0.885884</v>
      </c>
      <c r="V342" s="2">
        <v>16</v>
      </c>
      <c r="W342" s="2">
        <v>2007</v>
      </c>
    </row>
    <row r="343" spans="1:23" ht="12.3" x14ac:dyDescent="0.4">
      <c r="A343" s="2" t="s">
        <v>78</v>
      </c>
      <c r="B343" s="2">
        <v>9</v>
      </c>
      <c r="C343" s="2"/>
      <c r="D343" s="2"/>
      <c r="E343" s="2"/>
      <c r="F343" s="2"/>
      <c r="G343" s="2"/>
      <c r="H343" s="2"/>
      <c r="I343" s="2">
        <v>66.653999999999996</v>
      </c>
      <c r="J343" s="2">
        <v>176</v>
      </c>
      <c r="K343" s="2">
        <v>66.816299999999998</v>
      </c>
      <c r="L343" s="2">
        <v>164</v>
      </c>
      <c r="M343" s="2">
        <v>107.80840000000001</v>
      </c>
      <c r="N343" s="2">
        <v>66</v>
      </c>
      <c r="O343" s="2">
        <v>111.0917</v>
      </c>
      <c r="P343" s="2">
        <v>42</v>
      </c>
      <c r="Q343" s="2">
        <v>96.927000000000007</v>
      </c>
      <c r="R343" s="2">
        <v>59</v>
      </c>
      <c r="S343" s="2">
        <v>93.025800000000004</v>
      </c>
      <c r="T343" s="2">
        <v>21</v>
      </c>
      <c r="U343" s="2">
        <v>0.88503600000000004</v>
      </c>
      <c r="V343" s="2">
        <v>17</v>
      </c>
      <c r="W343" s="2">
        <v>2007</v>
      </c>
    </row>
    <row r="344" spans="1:23" ht="12.3" x14ac:dyDescent="0.4">
      <c r="A344" s="2" t="s">
        <v>56</v>
      </c>
      <c r="B344" s="2">
        <v>6</v>
      </c>
      <c r="C344" s="2"/>
      <c r="D344" s="2"/>
      <c r="E344" s="2"/>
      <c r="F344" s="2"/>
      <c r="G344" s="2"/>
      <c r="H344" s="2"/>
      <c r="I344" s="2">
        <v>70.406000000000006</v>
      </c>
      <c r="J344" s="2">
        <v>59</v>
      </c>
      <c r="K344" s="2">
        <v>71.079700000000003</v>
      </c>
      <c r="L344" s="2">
        <v>34</v>
      </c>
      <c r="M344" s="2">
        <v>115.5459</v>
      </c>
      <c r="N344" s="2">
        <v>4</v>
      </c>
      <c r="O344" s="2">
        <v>117.3749</v>
      </c>
      <c r="P344" s="2">
        <v>5</v>
      </c>
      <c r="Q344" s="2">
        <v>96.417400000000001</v>
      </c>
      <c r="R344" s="2">
        <v>52</v>
      </c>
      <c r="S344" s="2">
        <v>98.623099999999994</v>
      </c>
      <c r="T344" s="2">
        <v>87</v>
      </c>
      <c r="U344" s="2">
        <v>0.88098299999999996</v>
      </c>
      <c r="V344" s="2">
        <v>18</v>
      </c>
      <c r="W344" s="2">
        <v>2007</v>
      </c>
    </row>
    <row r="345" spans="1:23" ht="12.3" x14ac:dyDescent="0.4">
      <c r="A345" s="2" t="s">
        <v>58</v>
      </c>
      <c r="B345" s="2">
        <v>9</v>
      </c>
      <c r="C345" s="3" t="s">
        <v>33</v>
      </c>
      <c r="D345" s="2"/>
      <c r="E345" s="2"/>
      <c r="F345" s="2"/>
      <c r="G345" s="2"/>
      <c r="H345" s="2"/>
      <c r="I345" s="2">
        <v>60.942799999999998</v>
      </c>
      <c r="J345" s="2">
        <v>321</v>
      </c>
      <c r="K345" s="2">
        <v>62.113900000000001</v>
      </c>
      <c r="L345" s="2">
        <v>310</v>
      </c>
      <c r="M345" s="2">
        <v>106.9186</v>
      </c>
      <c r="N345" s="2">
        <v>83</v>
      </c>
      <c r="O345" s="2">
        <v>108.8565</v>
      </c>
      <c r="P345" s="2">
        <v>68</v>
      </c>
      <c r="Q345" s="2">
        <v>93.254199999999997</v>
      </c>
      <c r="R345" s="2">
        <v>16</v>
      </c>
      <c r="S345" s="2">
        <v>91.506399999999999</v>
      </c>
      <c r="T345" s="2">
        <v>12</v>
      </c>
      <c r="U345" s="2">
        <v>0.88044599999999995</v>
      </c>
      <c r="V345" s="2">
        <v>19</v>
      </c>
      <c r="W345" s="2">
        <v>2007</v>
      </c>
    </row>
    <row r="346" spans="1:23" ht="12.3" x14ac:dyDescent="0.4">
      <c r="A346" s="2" t="s">
        <v>41</v>
      </c>
      <c r="B346" s="2">
        <v>3</v>
      </c>
      <c r="C346" s="3" t="s">
        <v>33</v>
      </c>
      <c r="D346" s="3" t="s">
        <v>33</v>
      </c>
      <c r="E346" s="3" t="s">
        <v>33</v>
      </c>
      <c r="F346" s="2"/>
      <c r="G346" s="2"/>
      <c r="H346" s="2"/>
      <c r="I346" s="2">
        <v>67.273899999999998</v>
      </c>
      <c r="J346" s="2">
        <v>146</v>
      </c>
      <c r="K346" s="2">
        <v>66.999899999999997</v>
      </c>
      <c r="L346" s="2">
        <v>154</v>
      </c>
      <c r="M346" s="2">
        <v>112.64530000000001</v>
      </c>
      <c r="N346" s="2">
        <v>16</v>
      </c>
      <c r="O346" s="2">
        <v>115.7993</v>
      </c>
      <c r="P346" s="2">
        <v>10</v>
      </c>
      <c r="Q346" s="2">
        <v>97.821899999999999</v>
      </c>
      <c r="R346" s="2">
        <v>72</v>
      </c>
      <c r="S346" s="2">
        <v>97.504199999999997</v>
      </c>
      <c r="T346" s="2">
        <v>62</v>
      </c>
      <c r="U346" s="2">
        <v>0.87842299999999995</v>
      </c>
      <c r="V346" s="2">
        <v>20</v>
      </c>
      <c r="W346" s="2">
        <v>2007</v>
      </c>
    </row>
    <row r="347" spans="1:23" ht="12.3" x14ac:dyDescent="0.4">
      <c r="A347" s="2" t="s">
        <v>40</v>
      </c>
      <c r="B347" s="2">
        <v>7</v>
      </c>
      <c r="C347" s="3" t="s">
        <v>33</v>
      </c>
      <c r="D347" s="2"/>
      <c r="E347" s="2"/>
      <c r="F347" s="2"/>
      <c r="G347" s="2"/>
      <c r="H347" s="2"/>
      <c r="I347" s="2">
        <v>64.052899999999994</v>
      </c>
      <c r="J347" s="2">
        <v>266</v>
      </c>
      <c r="K347" s="2">
        <v>65.596500000000006</v>
      </c>
      <c r="L347" s="2">
        <v>210</v>
      </c>
      <c r="M347" s="2">
        <v>110.2021</v>
      </c>
      <c r="N347" s="2">
        <v>39</v>
      </c>
      <c r="O347" s="2">
        <v>113.8082</v>
      </c>
      <c r="P347" s="2">
        <v>19</v>
      </c>
      <c r="Q347" s="2">
        <v>96.804900000000004</v>
      </c>
      <c r="R347" s="2">
        <v>56</v>
      </c>
      <c r="S347" s="2">
        <v>95.917599999999993</v>
      </c>
      <c r="T347" s="2">
        <v>47</v>
      </c>
      <c r="U347" s="2">
        <v>0.87726599999999999</v>
      </c>
      <c r="V347" s="2">
        <v>21</v>
      </c>
      <c r="W347" s="2">
        <v>2007</v>
      </c>
    </row>
    <row r="348" spans="1:23" ht="12.3" x14ac:dyDescent="0.4">
      <c r="A348" s="2" t="s">
        <v>18</v>
      </c>
      <c r="B348" s="2">
        <v>5</v>
      </c>
      <c r="C348" s="3" t="s">
        <v>33</v>
      </c>
      <c r="D348" s="3" t="s">
        <v>33</v>
      </c>
      <c r="E348" s="2"/>
      <c r="F348" s="2"/>
      <c r="G348" s="2"/>
      <c r="H348" s="2"/>
      <c r="I348" s="2">
        <v>58.582700000000003</v>
      </c>
      <c r="J348" s="2">
        <v>332</v>
      </c>
      <c r="K348" s="2">
        <v>59.301499999999997</v>
      </c>
      <c r="L348" s="2">
        <v>329</v>
      </c>
      <c r="M348" s="2">
        <v>115.084</v>
      </c>
      <c r="N348" s="2">
        <v>7</v>
      </c>
      <c r="O348" s="2">
        <v>115.33929999999999</v>
      </c>
      <c r="P348" s="2">
        <v>11</v>
      </c>
      <c r="Q348" s="2">
        <v>94.912300000000002</v>
      </c>
      <c r="R348" s="2">
        <v>30</v>
      </c>
      <c r="S348" s="2">
        <v>97.239800000000002</v>
      </c>
      <c r="T348" s="2">
        <v>60</v>
      </c>
      <c r="U348" s="2">
        <v>0.87685999999999997</v>
      </c>
      <c r="V348" s="2">
        <v>22</v>
      </c>
      <c r="W348" s="2">
        <v>2007</v>
      </c>
    </row>
    <row r="349" spans="1:23" ht="12.3" x14ac:dyDescent="0.4">
      <c r="A349" s="2" t="s">
        <v>90</v>
      </c>
      <c r="B349" s="2">
        <v>10</v>
      </c>
      <c r="C349" s="2"/>
      <c r="D349" s="2"/>
      <c r="E349" s="2"/>
      <c r="F349" s="2"/>
      <c r="G349" s="2"/>
      <c r="H349" s="2"/>
      <c r="I349" s="2">
        <v>62.305900000000001</v>
      </c>
      <c r="J349" s="2">
        <v>305</v>
      </c>
      <c r="K349" s="2">
        <v>63.665599999999998</v>
      </c>
      <c r="L349" s="2">
        <v>287</v>
      </c>
      <c r="M349" s="2">
        <v>107.7688</v>
      </c>
      <c r="N349" s="2">
        <v>67</v>
      </c>
      <c r="O349" s="2">
        <v>112.0902</v>
      </c>
      <c r="P349" s="2">
        <v>32</v>
      </c>
      <c r="Q349" s="2">
        <v>97.056600000000003</v>
      </c>
      <c r="R349" s="2">
        <v>62</v>
      </c>
      <c r="S349" s="2">
        <v>94.8733</v>
      </c>
      <c r="T349" s="2">
        <v>39</v>
      </c>
      <c r="U349" s="2">
        <v>0.871888</v>
      </c>
      <c r="V349" s="2">
        <v>23</v>
      </c>
      <c r="W349" s="2">
        <v>2007</v>
      </c>
    </row>
    <row r="350" spans="1:23" ht="12.3" x14ac:dyDescent="0.4">
      <c r="A350" s="2" t="s">
        <v>239</v>
      </c>
      <c r="B350" s="2">
        <v>3</v>
      </c>
      <c r="C350" s="3" t="s">
        <v>33</v>
      </c>
      <c r="D350" s="2"/>
      <c r="E350" s="2"/>
      <c r="F350" s="2"/>
      <c r="G350" s="2"/>
      <c r="H350" s="2"/>
      <c r="I350" s="2">
        <v>61.380600000000001</v>
      </c>
      <c r="J350" s="2">
        <v>319</v>
      </c>
      <c r="K350" s="2">
        <v>60.848999999999997</v>
      </c>
      <c r="L350" s="2">
        <v>322</v>
      </c>
      <c r="M350" s="2">
        <v>106.2136</v>
      </c>
      <c r="N350" s="2">
        <v>95</v>
      </c>
      <c r="O350" s="2">
        <v>108.6062</v>
      </c>
      <c r="P350" s="2">
        <v>71</v>
      </c>
      <c r="Q350" s="2">
        <v>94.4345</v>
      </c>
      <c r="R350" s="2">
        <v>23</v>
      </c>
      <c r="S350" s="2">
        <v>92.665599999999998</v>
      </c>
      <c r="T350" s="2">
        <v>17</v>
      </c>
      <c r="U350" s="2">
        <v>0.86121400000000004</v>
      </c>
      <c r="V350" s="2">
        <v>24</v>
      </c>
      <c r="W350" s="2">
        <v>2007</v>
      </c>
    </row>
    <row r="351" spans="1:23" ht="12.3" x14ac:dyDescent="0.4">
      <c r="A351" s="2" t="s">
        <v>92</v>
      </c>
      <c r="B351" s="2">
        <v>10</v>
      </c>
      <c r="C351" s="2"/>
      <c r="D351" s="2"/>
      <c r="E351" s="2"/>
      <c r="F351" s="2"/>
      <c r="G351" s="2"/>
      <c r="H351" s="2"/>
      <c r="I351" s="2">
        <v>70.211100000000002</v>
      </c>
      <c r="J351" s="2">
        <v>62</v>
      </c>
      <c r="K351" s="2">
        <v>68.340999999999994</v>
      </c>
      <c r="L351" s="2">
        <v>105</v>
      </c>
      <c r="M351" s="2">
        <v>111.526</v>
      </c>
      <c r="N351" s="2">
        <v>26</v>
      </c>
      <c r="O351" s="2">
        <v>114.6063</v>
      </c>
      <c r="P351" s="2">
        <v>15</v>
      </c>
      <c r="Q351" s="2">
        <v>98.372799999999998</v>
      </c>
      <c r="R351" s="2">
        <v>80</v>
      </c>
      <c r="S351" s="2">
        <v>97.820499999999996</v>
      </c>
      <c r="T351" s="2">
        <v>67</v>
      </c>
      <c r="U351" s="2">
        <v>0.86071600000000004</v>
      </c>
      <c r="V351" s="2">
        <v>25</v>
      </c>
      <c r="W351" s="2">
        <v>2007</v>
      </c>
    </row>
    <row r="352" spans="1:23" ht="12.3" x14ac:dyDescent="0.4">
      <c r="A352" s="2" t="s">
        <v>50</v>
      </c>
      <c r="B352" s="2">
        <v>9</v>
      </c>
      <c r="C352" s="3" t="s">
        <v>33</v>
      </c>
      <c r="D352" s="2"/>
      <c r="E352" s="2"/>
      <c r="F352" s="2"/>
      <c r="G352" s="2"/>
      <c r="H352" s="2"/>
      <c r="I352" s="2">
        <v>66.208200000000005</v>
      </c>
      <c r="J352" s="2">
        <v>197</v>
      </c>
      <c r="K352" s="2">
        <v>67.458699999999993</v>
      </c>
      <c r="L352" s="2">
        <v>130</v>
      </c>
      <c r="M352" s="2">
        <v>115.3751</v>
      </c>
      <c r="N352" s="2">
        <v>5</v>
      </c>
      <c r="O352" s="2">
        <v>115.08320000000001</v>
      </c>
      <c r="P352" s="2">
        <v>13</v>
      </c>
      <c r="Q352" s="2">
        <v>98.071100000000001</v>
      </c>
      <c r="R352" s="2">
        <v>74</v>
      </c>
      <c r="S352" s="2">
        <v>98.236800000000002</v>
      </c>
      <c r="T352" s="2">
        <v>80</v>
      </c>
      <c r="U352" s="2">
        <v>0.86058500000000004</v>
      </c>
      <c r="V352" s="2">
        <v>26</v>
      </c>
      <c r="W352" s="2">
        <v>2007</v>
      </c>
    </row>
    <row r="353" spans="1:23" ht="12.3" x14ac:dyDescent="0.4">
      <c r="A353" s="2" t="s">
        <v>39</v>
      </c>
      <c r="B353" s="2">
        <v>8</v>
      </c>
      <c r="C353" s="2"/>
      <c r="D353" s="2"/>
      <c r="E353" s="2"/>
      <c r="F353" s="2"/>
      <c r="G353" s="2"/>
      <c r="H353" s="2"/>
      <c r="I353" s="2">
        <v>67.830600000000004</v>
      </c>
      <c r="J353" s="2">
        <v>122</v>
      </c>
      <c r="K353" s="2">
        <v>68.751400000000004</v>
      </c>
      <c r="L353" s="2">
        <v>89</v>
      </c>
      <c r="M353" s="2">
        <v>106.4606</v>
      </c>
      <c r="N353" s="2">
        <v>90</v>
      </c>
      <c r="O353" s="2">
        <v>110.6636</v>
      </c>
      <c r="P353" s="2">
        <v>45</v>
      </c>
      <c r="Q353" s="2">
        <v>95.365799999999993</v>
      </c>
      <c r="R353" s="2">
        <v>38</v>
      </c>
      <c r="S353" s="2">
        <v>94.593199999999996</v>
      </c>
      <c r="T353" s="2">
        <v>34</v>
      </c>
      <c r="U353" s="2">
        <v>0.85869099999999998</v>
      </c>
      <c r="V353" s="2">
        <v>27</v>
      </c>
      <c r="W353" s="2">
        <v>2007</v>
      </c>
    </row>
    <row r="354" spans="1:23" ht="12.3" x14ac:dyDescent="0.4">
      <c r="A354" s="2" t="s">
        <v>43</v>
      </c>
      <c r="B354" s="2">
        <v>8</v>
      </c>
      <c r="C354" s="2"/>
      <c r="D354" s="2"/>
      <c r="E354" s="2"/>
      <c r="F354" s="2"/>
      <c r="G354" s="2"/>
      <c r="H354" s="2"/>
      <c r="I354" s="2">
        <v>69.067300000000003</v>
      </c>
      <c r="J354" s="2">
        <v>91</v>
      </c>
      <c r="K354" s="2">
        <v>69.057000000000002</v>
      </c>
      <c r="L354" s="2">
        <v>78</v>
      </c>
      <c r="M354" s="2">
        <v>112.9722</v>
      </c>
      <c r="N354" s="2">
        <v>15</v>
      </c>
      <c r="O354" s="2">
        <v>116.083</v>
      </c>
      <c r="P354" s="2">
        <v>9</v>
      </c>
      <c r="Q354" s="2">
        <v>104.1438</v>
      </c>
      <c r="R354" s="2">
        <v>206</v>
      </c>
      <c r="S354" s="2">
        <v>99.773600000000002</v>
      </c>
      <c r="T354" s="2">
        <v>108</v>
      </c>
      <c r="U354" s="2">
        <v>0.85082999999999998</v>
      </c>
      <c r="V354" s="2">
        <v>28</v>
      </c>
      <c r="W354" s="2">
        <v>2007</v>
      </c>
    </row>
    <row r="355" spans="1:23" ht="12.3" x14ac:dyDescent="0.4">
      <c r="A355" s="2" t="s">
        <v>121</v>
      </c>
      <c r="B355" s="2">
        <v>9</v>
      </c>
      <c r="C355" s="3" t="s">
        <v>33</v>
      </c>
      <c r="D355" s="2"/>
      <c r="E355" s="2"/>
      <c r="F355" s="2"/>
      <c r="G355" s="2"/>
      <c r="H355" s="2"/>
      <c r="I355" s="2">
        <v>66.320300000000003</v>
      </c>
      <c r="J355" s="2">
        <v>193</v>
      </c>
      <c r="K355" s="2">
        <v>67.866200000000006</v>
      </c>
      <c r="L355" s="2">
        <v>117</v>
      </c>
      <c r="M355" s="2">
        <v>105.273</v>
      </c>
      <c r="N355" s="2">
        <v>114</v>
      </c>
      <c r="O355" s="2">
        <v>107.5194</v>
      </c>
      <c r="P355" s="2">
        <v>83</v>
      </c>
      <c r="Q355" s="2">
        <v>95.29</v>
      </c>
      <c r="R355" s="2">
        <v>36</v>
      </c>
      <c r="S355" s="2">
        <v>92.662099999999995</v>
      </c>
      <c r="T355" s="2">
        <v>16</v>
      </c>
      <c r="U355" s="2">
        <v>0.84686099999999997</v>
      </c>
      <c r="V355" s="2">
        <v>31</v>
      </c>
      <c r="W355" s="2">
        <v>2007</v>
      </c>
    </row>
    <row r="356" spans="1:23" ht="12.3" x14ac:dyDescent="0.4">
      <c r="A356" s="2" t="s">
        <v>44</v>
      </c>
      <c r="B356" s="2">
        <v>12</v>
      </c>
      <c r="C356" s="2"/>
      <c r="D356" s="2"/>
      <c r="E356" s="2"/>
      <c r="F356" s="2"/>
      <c r="G356" s="2"/>
      <c r="H356" s="2"/>
      <c r="I356" s="2">
        <v>62.406999999999996</v>
      </c>
      <c r="J356" s="2">
        <v>301</v>
      </c>
      <c r="K356" s="2">
        <v>62.819099999999999</v>
      </c>
      <c r="L356" s="2">
        <v>301</v>
      </c>
      <c r="M356" s="2">
        <v>102.9468</v>
      </c>
      <c r="N356" s="2">
        <v>156</v>
      </c>
      <c r="O356" s="2">
        <v>103.11069999999999</v>
      </c>
      <c r="P356" s="2">
        <v>151</v>
      </c>
      <c r="Q356" s="2">
        <v>91.516800000000003</v>
      </c>
      <c r="R356" s="2">
        <v>8</v>
      </c>
      <c r="S356" s="2">
        <v>88.963999999999999</v>
      </c>
      <c r="T356" s="2">
        <v>2</v>
      </c>
      <c r="U356" s="2">
        <v>0.84515099999999999</v>
      </c>
      <c r="V356" s="2">
        <v>33</v>
      </c>
      <c r="W356" s="2">
        <v>2007</v>
      </c>
    </row>
    <row r="357" spans="1:23" ht="12.3" x14ac:dyDescent="0.4">
      <c r="A357" s="2" t="s">
        <v>80</v>
      </c>
      <c r="B357" s="2">
        <v>12</v>
      </c>
      <c r="C357" s="2"/>
      <c r="D357" s="2"/>
      <c r="E357" s="2"/>
      <c r="F357" s="2"/>
      <c r="G357" s="2"/>
      <c r="H357" s="2"/>
      <c r="I357" s="2">
        <v>67.692700000000002</v>
      </c>
      <c r="J357" s="2">
        <v>127</v>
      </c>
      <c r="K357" s="2">
        <v>67.363600000000005</v>
      </c>
      <c r="L357" s="2">
        <v>133</v>
      </c>
      <c r="M357" s="2">
        <v>105.17959999999999</v>
      </c>
      <c r="N357" s="2">
        <v>115</v>
      </c>
      <c r="O357" s="2">
        <v>107.47069999999999</v>
      </c>
      <c r="P357" s="2">
        <v>84</v>
      </c>
      <c r="Q357" s="2">
        <v>96.941199999999995</v>
      </c>
      <c r="R357" s="2">
        <v>60</v>
      </c>
      <c r="S357" s="2">
        <v>93.120900000000006</v>
      </c>
      <c r="T357" s="2">
        <v>22</v>
      </c>
      <c r="U357" s="2">
        <v>0.83864399999999995</v>
      </c>
      <c r="V357" s="2">
        <v>37</v>
      </c>
      <c r="W357" s="2">
        <v>2007</v>
      </c>
    </row>
    <row r="358" spans="1:23" ht="12.3" x14ac:dyDescent="0.4">
      <c r="A358" s="2" t="s">
        <v>159</v>
      </c>
      <c r="B358" s="2">
        <v>5</v>
      </c>
      <c r="C358" s="3" t="s">
        <v>33</v>
      </c>
      <c r="D358" s="2"/>
      <c r="E358" s="2"/>
      <c r="F358" s="2"/>
      <c r="G358" s="2"/>
      <c r="H358" s="2"/>
      <c r="I358" s="2">
        <v>65.590999999999994</v>
      </c>
      <c r="J358" s="2">
        <v>219</v>
      </c>
      <c r="K358" s="2">
        <v>64.434700000000007</v>
      </c>
      <c r="L358" s="2">
        <v>259</v>
      </c>
      <c r="M358" s="2">
        <v>108.6478</v>
      </c>
      <c r="N358" s="2">
        <v>52</v>
      </c>
      <c r="O358" s="2">
        <v>110.0334</v>
      </c>
      <c r="P358" s="2">
        <v>53</v>
      </c>
      <c r="Q358" s="2">
        <v>98.402100000000004</v>
      </c>
      <c r="R358" s="2">
        <v>82</v>
      </c>
      <c r="S358" s="2">
        <v>95.525199999999998</v>
      </c>
      <c r="T358" s="2">
        <v>43</v>
      </c>
      <c r="U358" s="2">
        <v>0.83562400000000003</v>
      </c>
      <c r="V358" s="2">
        <v>38</v>
      </c>
      <c r="W358" s="2">
        <v>2007</v>
      </c>
    </row>
    <row r="359" spans="1:23" ht="12.3" x14ac:dyDescent="0.4">
      <c r="A359" s="2" t="s">
        <v>81</v>
      </c>
      <c r="B359" s="2">
        <v>5</v>
      </c>
      <c r="C359" s="3" t="s">
        <v>33</v>
      </c>
      <c r="D359" s="3" t="s">
        <v>33</v>
      </c>
      <c r="E359" s="2"/>
      <c r="F359" s="2"/>
      <c r="G359" s="2"/>
      <c r="H359" s="2"/>
      <c r="I359" s="2">
        <v>73.163600000000002</v>
      </c>
      <c r="J359" s="2">
        <v>15</v>
      </c>
      <c r="K359" s="2">
        <v>72.471999999999994</v>
      </c>
      <c r="L359" s="2">
        <v>19</v>
      </c>
      <c r="M359" s="2">
        <v>107.3875</v>
      </c>
      <c r="N359" s="2">
        <v>74</v>
      </c>
      <c r="O359" s="2">
        <v>111.0303</v>
      </c>
      <c r="P359" s="2">
        <v>43</v>
      </c>
      <c r="Q359" s="2">
        <v>100.6241</v>
      </c>
      <c r="R359" s="2">
        <v>133</v>
      </c>
      <c r="S359" s="2">
        <v>96.422399999999996</v>
      </c>
      <c r="T359" s="2">
        <v>52</v>
      </c>
      <c r="U359" s="2">
        <v>0.83510399999999996</v>
      </c>
      <c r="V359" s="2">
        <v>39</v>
      </c>
      <c r="W359" s="2">
        <v>2007</v>
      </c>
    </row>
    <row r="360" spans="1:23" ht="12.3" x14ac:dyDescent="0.4">
      <c r="A360" s="2" t="s">
        <v>145</v>
      </c>
      <c r="B360" s="2">
        <v>7</v>
      </c>
      <c r="C360" s="3" t="s">
        <v>33</v>
      </c>
      <c r="D360" s="2"/>
      <c r="E360" s="2"/>
      <c r="F360" s="2"/>
      <c r="G360" s="2"/>
      <c r="H360" s="2"/>
      <c r="I360" s="2">
        <v>67.429299999999998</v>
      </c>
      <c r="J360" s="2">
        <v>138</v>
      </c>
      <c r="K360" s="2">
        <v>67.192400000000006</v>
      </c>
      <c r="L360" s="2">
        <v>144</v>
      </c>
      <c r="M360" s="2">
        <v>114.471</v>
      </c>
      <c r="N360" s="2">
        <v>10</v>
      </c>
      <c r="O360" s="2">
        <v>116.18899999999999</v>
      </c>
      <c r="P360" s="2">
        <v>8</v>
      </c>
      <c r="Q360" s="2">
        <v>99.092799999999997</v>
      </c>
      <c r="R360" s="2">
        <v>94</v>
      </c>
      <c r="S360" s="2">
        <v>100.9284</v>
      </c>
      <c r="T360" s="2">
        <v>135</v>
      </c>
      <c r="U360" s="2">
        <v>0.83469499999999996</v>
      </c>
      <c r="V360" s="2">
        <v>40</v>
      </c>
      <c r="W360" s="2">
        <v>2007</v>
      </c>
    </row>
    <row r="361" spans="1:23" ht="12.3" x14ac:dyDescent="0.4">
      <c r="A361" s="2" t="s">
        <v>96</v>
      </c>
      <c r="B361" s="2">
        <v>8</v>
      </c>
      <c r="C361" s="2"/>
      <c r="D361" s="2"/>
      <c r="E361" s="2"/>
      <c r="F361" s="2"/>
      <c r="G361" s="2"/>
      <c r="H361" s="2"/>
      <c r="I361" s="2">
        <v>68.297600000000003</v>
      </c>
      <c r="J361" s="2">
        <v>104</v>
      </c>
      <c r="K361" s="2">
        <v>68.625600000000006</v>
      </c>
      <c r="L361" s="2">
        <v>97</v>
      </c>
      <c r="M361" s="2">
        <v>112.18040000000001</v>
      </c>
      <c r="N361" s="2">
        <v>22</v>
      </c>
      <c r="O361" s="2">
        <v>114.7617</v>
      </c>
      <c r="P361" s="2">
        <v>14</v>
      </c>
      <c r="Q361" s="2">
        <v>100.9316</v>
      </c>
      <c r="R361" s="2">
        <v>140</v>
      </c>
      <c r="S361" s="2">
        <v>99.854799999999997</v>
      </c>
      <c r="T361" s="2">
        <v>111</v>
      </c>
      <c r="U361" s="2">
        <v>0.83203400000000005</v>
      </c>
      <c r="V361" s="2">
        <v>41</v>
      </c>
      <c r="W361" s="2">
        <v>2007</v>
      </c>
    </row>
    <row r="362" spans="1:23" ht="12.3" x14ac:dyDescent="0.4">
      <c r="A362" s="2" t="s">
        <v>109</v>
      </c>
      <c r="B362" s="2">
        <v>7</v>
      </c>
      <c r="C362" s="3" t="s">
        <v>33</v>
      </c>
      <c r="D362" s="3" t="s">
        <v>33</v>
      </c>
      <c r="E362" s="2"/>
      <c r="F362" s="2"/>
      <c r="G362" s="2"/>
      <c r="H362" s="2"/>
      <c r="I362" s="2">
        <v>66.799899999999994</v>
      </c>
      <c r="J362" s="2">
        <v>167</v>
      </c>
      <c r="K362" s="2">
        <v>66.048299999999998</v>
      </c>
      <c r="L362" s="2">
        <v>194</v>
      </c>
      <c r="M362" s="2">
        <v>110.652</v>
      </c>
      <c r="N362" s="2">
        <v>35</v>
      </c>
      <c r="O362" s="2">
        <v>109.7692</v>
      </c>
      <c r="P362" s="2">
        <v>58</v>
      </c>
      <c r="Q362" s="2">
        <v>98.549700000000001</v>
      </c>
      <c r="R362" s="2">
        <v>84</v>
      </c>
      <c r="S362" s="2">
        <v>95.803600000000003</v>
      </c>
      <c r="T362" s="2">
        <v>46</v>
      </c>
      <c r="U362" s="2">
        <v>0.82705799999999996</v>
      </c>
      <c r="V362" s="2">
        <v>44</v>
      </c>
      <c r="W362" s="2">
        <v>2007</v>
      </c>
    </row>
    <row r="363" spans="1:23" ht="12.3" x14ac:dyDescent="0.4">
      <c r="A363" s="2" t="s">
        <v>240</v>
      </c>
      <c r="B363" s="2">
        <v>11</v>
      </c>
      <c r="C363" s="3" t="s">
        <v>33</v>
      </c>
      <c r="D363" s="2"/>
      <c r="E363" s="2"/>
      <c r="F363" s="2"/>
      <c r="G363" s="2"/>
      <c r="H363" s="2"/>
      <c r="I363" s="2">
        <v>66.481200000000001</v>
      </c>
      <c r="J363" s="2">
        <v>184</v>
      </c>
      <c r="K363" s="2">
        <v>63.134</v>
      </c>
      <c r="L363" s="2">
        <v>297</v>
      </c>
      <c r="M363" s="2">
        <v>111.1078</v>
      </c>
      <c r="N363" s="2">
        <v>30</v>
      </c>
      <c r="O363" s="2">
        <v>111.95610000000001</v>
      </c>
      <c r="P363" s="2">
        <v>33</v>
      </c>
      <c r="Q363" s="2">
        <v>94.3566</v>
      </c>
      <c r="R363" s="2">
        <v>21</v>
      </c>
      <c r="S363" s="2">
        <v>97.822699999999998</v>
      </c>
      <c r="T363" s="2">
        <v>68</v>
      </c>
      <c r="U363" s="2">
        <v>0.82519299999999995</v>
      </c>
      <c r="V363" s="2">
        <v>45</v>
      </c>
      <c r="W363" s="2">
        <v>2007</v>
      </c>
    </row>
    <row r="364" spans="1:23" ht="12.3" x14ac:dyDescent="0.4">
      <c r="A364" s="2" t="s">
        <v>47</v>
      </c>
      <c r="B364" s="2">
        <v>10</v>
      </c>
      <c r="C364" s="2"/>
      <c r="D364" s="2"/>
      <c r="E364" s="2"/>
      <c r="F364" s="2"/>
      <c r="G364" s="2"/>
      <c r="H364" s="2"/>
      <c r="I364" s="2">
        <v>69.4238</v>
      </c>
      <c r="J364" s="2">
        <v>82</v>
      </c>
      <c r="K364" s="2">
        <v>68.130799999999994</v>
      </c>
      <c r="L364" s="2">
        <v>107</v>
      </c>
      <c r="M364" s="2">
        <v>112.1884</v>
      </c>
      <c r="N364" s="2">
        <v>21</v>
      </c>
      <c r="O364" s="2">
        <v>113.11539999999999</v>
      </c>
      <c r="P364" s="2">
        <v>23</v>
      </c>
      <c r="Q364" s="2">
        <v>99.366299999999995</v>
      </c>
      <c r="R364" s="2">
        <v>99</v>
      </c>
      <c r="S364" s="2">
        <v>99.572100000000006</v>
      </c>
      <c r="T364" s="2">
        <v>100</v>
      </c>
      <c r="U364" s="2">
        <v>0.81253299999999995</v>
      </c>
      <c r="V364" s="2">
        <v>47</v>
      </c>
      <c r="W364" s="2">
        <v>2007</v>
      </c>
    </row>
    <row r="365" spans="1:23" ht="12.3" x14ac:dyDescent="0.4">
      <c r="A365" s="2" t="s">
        <v>190</v>
      </c>
      <c r="B365" s="2">
        <v>12</v>
      </c>
      <c r="C365" s="2"/>
      <c r="D365" s="2"/>
      <c r="E365" s="2"/>
      <c r="F365" s="2"/>
      <c r="G365" s="2"/>
      <c r="H365" s="2"/>
      <c r="I365" s="2">
        <v>65.192800000000005</v>
      </c>
      <c r="J365" s="2">
        <v>227</v>
      </c>
      <c r="K365" s="2">
        <v>67.319400000000002</v>
      </c>
      <c r="L365" s="2">
        <v>137</v>
      </c>
      <c r="M365" s="2">
        <v>107.2243</v>
      </c>
      <c r="N365" s="2">
        <v>79</v>
      </c>
      <c r="O365" s="2">
        <v>107.34</v>
      </c>
      <c r="P365" s="2">
        <v>85</v>
      </c>
      <c r="Q365" s="2">
        <v>94.813999999999993</v>
      </c>
      <c r="R365" s="2">
        <v>28</v>
      </c>
      <c r="S365" s="2">
        <v>94.723500000000001</v>
      </c>
      <c r="T365" s="2">
        <v>36</v>
      </c>
      <c r="U365" s="2">
        <v>0.80813599999999997</v>
      </c>
      <c r="V365" s="2">
        <v>48</v>
      </c>
      <c r="W365" s="2">
        <v>2007</v>
      </c>
    </row>
    <row r="366" spans="1:23" ht="12.3" x14ac:dyDescent="0.4">
      <c r="A366" s="2" t="s">
        <v>137</v>
      </c>
      <c r="B366" s="2">
        <v>11</v>
      </c>
      <c r="C366" s="3" t="s">
        <v>33</v>
      </c>
      <c r="D366" s="2"/>
      <c r="E366" s="2"/>
      <c r="F366" s="2"/>
      <c r="G366" s="2"/>
      <c r="H366" s="2"/>
      <c r="I366" s="2">
        <v>65.147999999999996</v>
      </c>
      <c r="J366" s="2">
        <v>232</v>
      </c>
      <c r="K366" s="2">
        <v>66.006200000000007</v>
      </c>
      <c r="L366" s="2">
        <v>196</v>
      </c>
      <c r="M366" s="2">
        <v>114.1977</v>
      </c>
      <c r="N366" s="2">
        <v>11</v>
      </c>
      <c r="O366" s="2">
        <v>114.0138</v>
      </c>
      <c r="P366" s="2">
        <v>18</v>
      </c>
      <c r="Q366" s="2">
        <v>98.840400000000002</v>
      </c>
      <c r="R366" s="2">
        <v>91</v>
      </c>
      <c r="S366" s="2">
        <v>100.6247</v>
      </c>
      <c r="T366" s="2">
        <v>124</v>
      </c>
      <c r="U366" s="2">
        <v>0.80792699999999995</v>
      </c>
      <c r="V366" s="2">
        <v>49</v>
      </c>
      <c r="W366" s="2">
        <v>2007</v>
      </c>
    </row>
    <row r="367" spans="1:23" ht="12.3" x14ac:dyDescent="0.4">
      <c r="A367" s="2" t="s">
        <v>42</v>
      </c>
      <c r="B367" s="2">
        <v>5</v>
      </c>
      <c r="C367" s="3" t="s">
        <v>33</v>
      </c>
      <c r="D367" s="3" t="s">
        <v>33</v>
      </c>
      <c r="E367" s="2"/>
      <c r="F367" s="2"/>
      <c r="G367" s="2"/>
      <c r="H367" s="2"/>
      <c r="I367" s="2">
        <v>67.268000000000001</v>
      </c>
      <c r="J367" s="2">
        <v>149</v>
      </c>
      <c r="K367" s="2">
        <v>67.775199999999998</v>
      </c>
      <c r="L367" s="2">
        <v>121</v>
      </c>
      <c r="M367" s="2">
        <v>104.4746</v>
      </c>
      <c r="N367" s="2">
        <v>127</v>
      </c>
      <c r="O367" s="2">
        <v>109.04949999999999</v>
      </c>
      <c r="P367" s="2">
        <v>65</v>
      </c>
      <c r="Q367" s="2">
        <v>95.037099999999995</v>
      </c>
      <c r="R367" s="2">
        <v>31</v>
      </c>
      <c r="S367" s="2">
        <v>96.358099999999993</v>
      </c>
      <c r="T367" s="2">
        <v>51</v>
      </c>
      <c r="U367" s="2">
        <v>0.80579199999999995</v>
      </c>
      <c r="V367" s="2">
        <v>50</v>
      </c>
      <c r="W367" s="2">
        <v>2007</v>
      </c>
    </row>
    <row r="368" spans="1:23" ht="12.3" x14ac:dyDescent="0.4">
      <c r="A368" s="2" t="s">
        <v>95</v>
      </c>
      <c r="B368" s="2">
        <v>7</v>
      </c>
      <c r="C368" s="3" t="s">
        <v>33</v>
      </c>
      <c r="D368" s="2"/>
      <c r="E368" s="2"/>
      <c r="F368" s="2"/>
      <c r="G368" s="2"/>
      <c r="H368" s="2"/>
      <c r="I368" s="2">
        <v>66.2363</v>
      </c>
      <c r="J368" s="2">
        <v>196</v>
      </c>
      <c r="K368" s="2">
        <v>64.754400000000004</v>
      </c>
      <c r="L368" s="2">
        <v>246</v>
      </c>
      <c r="M368" s="2">
        <v>111.86660000000001</v>
      </c>
      <c r="N368" s="2">
        <v>23</v>
      </c>
      <c r="O368" s="2">
        <v>114.03570000000001</v>
      </c>
      <c r="P368" s="2">
        <v>17</v>
      </c>
      <c r="Q368" s="2">
        <v>104.72929999999999</v>
      </c>
      <c r="R368" s="2">
        <v>223</v>
      </c>
      <c r="S368" s="2">
        <v>100.7944</v>
      </c>
      <c r="T368" s="2">
        <v>131</v>
      </c>
      <c r="U368" s="2">
        <v>0.80524899999999999</v>
      </c>
      <c r="V368" s="2">
        <v>51</v>
      </c>
      <c r="W368" s="2">
        <v>2007</v>
      </c>
    </row>
    <row r="369" spans="1:23" ht="12.3" x14ac:dyDescent="0.4">
      <c r="A369" s="2" t="s">
        <v>134</v>
      </c>
      <c r="B369" s="2">
        <v>13</v>
      </c>
      <c r="C369" s="2"/>
      <c r="D369" s="2"/>
      <c r="E369" s="2"/>
      <c r="F369" s="2"/>
      <c r="G369" s="2"/>
      <c r="H369" s="2"/>
      <c r="I369" s="2">
        <v>72.322199999999995</v>
      </c>
      <c r="J369" s="2">
        <v>23</v>
      </c>
      <c r="K369" s="2">
        <v>72.708299999999994</v>
      </c>
      <c r="L369" s="2">
        <v>13</v>
      </c>
      <c r="M369" s="2">
        <v>110.748</v>
      </c>
      <c r="N369" s="2">
        <v>34</v>
      </c>
      <c r="O369" s="2">
        <v>110.2953</v>
      </c>
      <c r="P369" s="2">
        <v>47</v>
      </c>
      <c r="Q369" s="2">
        <v>95.092600000000004</v>
      </c>
      <c r="R369" s="2">
        <v>34</v>
      </c>
      <c r="S369" s="2">
        <v>97.524799999999999</v>
      </c>
      <c r="T369" s="2">
        <v>63</v>
      </c>
      <c r="U369" s="2">
        <v>0.80457400000000001</v>
      </c>
      <c r="V369" s="2">
        <v>53</v>
      </c>
      <c r="W369" s="2">
        <v>2007</v>
      </c>
    </row>
    <row r="370" spans="1:23" ht="12.3" x14ac:dyDescent="0.4">
      <c r="A370" s="2" t="s">
        <v>111</v>
      </c>
      <c r="B370" s="2">
        <v>6</v>
      </c>
      <c r="C370" s="3" t="s">
        <v>33</v>
      </c>
      <c r="D370" s="3" t="s">
        <v>33</v>
      </c>
      <c r="E370" s="2"/>
      <c r="F370" s="2"/>
      <c r="G370" s="2"/>
      <c r="H370" s="2"/>
      <c r="I370" s="2">
        <v>68.407700000000006</v>
      </c>
      <c r="J370" s="2">
        <v>102</v>
      </c>
      <c r="K370" s="2">
        <v>67.471699999999998</v>
      </c>
      <c r="L370" s="2">
        <v>128</v>
      </c>
      <c r="M370" s="2">
        <v>109.4825</v>
      </c>
      <c r="N370" s="2">
        <v>43</v>
      </c>
      <c r="O370" s="2">
        <v>112.9542</v>
      </c>
      <c r="P370" s="2">
        <v>27</v>
      </c>
      <c r="Q370" s="2">
        <v>103.0196</v>
      </c>
      <c r="R370" s="2">
        <v>188</v>
      </c>
      <c r="S370" s="2">
        <v>100.5202</v>
      </c>
      <c r="T370" s="2">
        <v>119</v>
      </c>
      <c r="U370" s="2">
        <v>0.79268300000000003</v>
      </c>
      <c r="V370" s="2">
        <v>58</v>
      </c>
      <c r="W370" s="2">
        <v>2007</v>
      </c>
    </row>
    <row r="371" spans="1:23" ht="12.3" x14ac:dyDescent="0.4">
      <c r="A371" s="2" t="s">
        <v>87</v>
      </c>
      <c r="B371" s="2">
        <v>4</v>
      </c>
      <c r="C371" s="3" t="s">
        <v>33</v>
      </c>
      <c r="D371" s="2"/>
      <c r="E371" s="2"/>
      <c r="F371" s="2"/>
      <c r="G371" s="2"/>
      <c r="H371" s="2"/>
      <c r="I371" s="2">
        <v>70.538899999999998</v>
      </c>
      <c r="J371" s="2">
        <v>54</v>
      </c>
      <c r="K371" s="2">
        <v>69.022300000000001</v>
      </c>
      <c r="L371" s="2">
        <v>80</v>
      </c>
      <c r="M371" s="2">
        <v>108.9795</v>
      </c>
      <c r="N371" s="2">
        <v>48</v>
      </c>
      <c r="O371" s="2">
        <v>109.6875</v>
      </c>
      <c r="P371" s="2">
        <v>59</v>
      </c>
      <c r="Q371" s="2">
        <v>101.8036</v>
      </c>
      <c r="R371" s="2">
        <v>159</v>
      </c>
      <c r="S371" s="2">
        <v>97.9833</v>
      </c>
      <c r="T371" s="2">
        <v>71</v>
      </c>
      <c r="U371" s="2">
        <v>0.78543700000000005</v>
      </c>
      <c r="V371" s="2">
        <v>60</v>
      </c>
      <c r="W371" s="2">
        <v>2007</v>
      </c>
    </row>
    <row r="372" spans="1:23" ht="12.3" x14ac:dyDescent="0.4">
      <c r="A372" s="2" t="s">
        <v>52</v>
      </c>
      <c r="B372" s="2">
        <v>11</v>
      </c>
      <c r="C372" s="2"/>
      <c r="D372" s="2"/>
      <c r="E372" s="2"/>
      <c r="F372" s="2"/>
      <c r="G372" s="2"/>
      <c r="H372" s="2"/>
      <c r="I372" s="2">
        <v>66.122699999999995</v>
      </c>
      <c r="J372" s="2">
        <v>202</v>
      </c>
      <c r="K372" s="2">
        <v>66.753399999999999</v>
      </c>
      <c r="L372" s="2">
        <v>167</v>
      </c>
      <c r="M372" s="2">
        <v>103.42100000000001</v>
      </c>
      <c r="N372" s="2">
        <v>151</v>
      </c>
      <c r="O372" s="2">
        <v>107.2025</v>
      </c>
      <c r="P372" s="2">
        <v>88</v>
      </c>
      <c r="Q372" s="2">
        <v>99.186300000000003</v>
      </c>
      <c r="R372" s="2">
        <v>97</v>
      </c>
      <c r="S372" s="2">
        <v>96.177899999999994</v>
      </c>
      <c r="T372" s="2">
        <v>50</v>
      </c>
      <c r="U372" s="2">
        <v>0.77695099999999995</v>
      </c>
      <c r="V372" s="2">
        <v>63</v>
      </c>
      <c r="W372" s="2">
        <v>2007</v>
      </c>
    </row>
    <row r="373" spans="1:23" ht="12.3" x14ac:dyDescent="0.4">
      <c r="A373" s="2" t="s">
        <v>59</v>
      </c>
      <c r="B373" s="2">
        <v>10</v>
      </c>
      <c r="C373" s="2"/>
      <c r="D373" s="2"/>
      <c r="E373" s="2"/>
      <c r="F373" s="2"/>
      <c r="G373" s="2"/>
      <c r="H373" s="2"/>
      <c r="I373" s="2">
        <v>66.527000000000001</v>
      </c>
      <c r="J373" s="2">
        <v>183</v>
      </c>
      <c r="K373" s="2">
        <v>65.695700000000002</v>
      </c>
      <c r="L373" s="2">
        <v>206</v>
      </c>
      <c r="M373" s="2">
        <v>106.4256</v>
      </c>
      <c r="N373" s="2">
        <v>92</v>
      </c>
      <c r="O373" s="2">
        <v>108.9379</v>
      </c>
      <c r="P373" s="2">
        <v>67</v>
      </c>
      <c r="Q373" s="2">
        <v>102.6934</v>
      </c>
      <c r="R373" s="2">
        <v>176</v>
      </c>
      <c r="S373" s="2">
        <v>98.928299999999993</v>
      </c>
      <c r="T373" s="2">
        <v>90</v>
      </c>
      <c r="U373" s="2">
        <v>0.75183199999999994</v>
      </c>
      <c r="V373" s="2">
        <v>71</v>
      </c>
      <c r="W373" s="2">
        <v>2007</v>
      </c>
    </row>
    <row r="374" spans="1:23" ht="12.3" x14ac:dyDescent="0.4">
      <c r="A374" s="2" t="s">
        <v>178</v>
      </c>
      <c r="B374" s="2">
        <v>13</v>
      </c>
      <c r="C374" s="2"/>
      <c r="D374" s="2"/>
      <c r="E374" s="2"/>
      <c r="F374" s="2"/>
      <c r="G374" s="2"/>
      <c r="H374" s="2"/>
      <c r="I374" s="2">
        <v>62.359499999999997</v>
      </c>
      <c r="J374" s="2">
        <v>304</v>
      </c>
      <c r="K374" s="2">
        <v>63.395699999999998</v>
      </c>
      <c r="L374" s="2">
        <v>293</v>
      </c>
      <c r="M374" s="2">
        <v>101.68049999999999</v>
      </c>
      <c r="N374" s="2">
        <v>178</v>
      </c>
      <c r="O374" s="2">
        <v>101.3128</v>
      </c>
      <c r="P374" s="2">
        <v>178</v>
      </c>
      <c r="Q374" s="2">
        <v>90.711399999999998</v>
      </c>
      <c r="R374" s="2">
        <v>6</v>
      </c>
      <c r="S374" s="2">
        <v>93.212299999999999</v>
      </c>
      <c r="T374" s="2">
        <v>24</v>
      </c>
      <c r="U374" s="2">
        <v>0.72278699999999996</v>
      </c>
      <c r="V374" s="2">
        <v>80</v>
      </c>
      <c r="W374" s="2">
        <v>2007</v>
      </c>
    </row>
    <row r="375" spans="1:23" ht="12.3" x14ac:dyDescent="0.4">
      <c r="A375" s="2" t="s">
        <v>232</v>
      </c>
      <c r="B375" s="2">
        <v>11</v>
      </c>
      <c r="C375" s="2"/>
      <c r="D375" s="2"/>
      <c r="E375" s="2"/>
      <c r="F375" s="2"/>
      <c r="G375" s="2"/>
      <c r="H375" s="2"/>
      <c r="I375" s="2">
        <v>66.816500000000005</v>
      </c>
      <c r="J375" s="2">
        <v>165</v>
      </c>
      <c r="K375" s="2">
        <v>67.738299999999995</v>
      </c>
      <c r="L375" s="2">
        <v>123</v>
      </c>
      <c r="M375" s="2">
        <v>106.3599</v>
      </c>
      <c r="N375" s="2">
        <v>94</v>
      </c>
      <c r="O375" s="2">
        <v>103.5669</v>
      </c>
      <c r="P375" s="2">
        <v>146</v>
      </c>
      <c r="Q375" s="2">
        <v>96.212100000000007</v>
      </c>
      <c r="R375" s="2">
        <v>47</v>
      </c>
      <c r="S375" s="2">
        <v>95.475899999999996</v>
      </c>
      <c r="T375" s="2">
        <v>42</v>
      </c>
      <c r="U375" s="2">
        <v>0.71818099999999996</v>
      </c>
      <c r="V375" s="2">
        <v>82</v>
      </c>
      <c r="W375" s="2">
        <v>2007</v>
      </c>
    </row>
    <row r="376" spans="1:23" ht="12.3" x14ac:dyDescent="0.4">
      <c r="A376" s="2" t="s">
        <v>138</v>
      </c>
      <c r="B376" s="2">
        <v>14</v>
      </c>
      <c r="C376" s="2"/>
      <c r="D376" s="2"/>
      <c r="E376" s="2"/>
      <c r="F376" s="2"/>
      <c r="G376" s="2"/>
      <c r="H376" s="2"/>
      <c r="I376" s="2">
        <v>66.974999999999994</v>
      </c>
      <c r="J376" s="2">
        <v>159</v>
      </c>
      <c r="K376" s="2">
        <v>67.290099999999995</v>
      </c>
      <c r="L376" s="2">
        <v>139</v>
      </c>
      <c r="M376" s="2">
        <v>106.4855</v>
      </c>
      <c r="N376" s="2">
        <v>89</v>
      </c>
      <c r="O376" s="2">
        <v>105.82689999999999</v>
      </c>
      <c r="P376" s="2">
        <v>110</v>
      </c>
      <c r="Q376" s="2">
        <v>97.073800000000006</v>
      </c>
      <c r="R376" s="2">
        <v>63</v>
      </c>
      <c r="S376" s="2">
        <v>97.717200000000005</v>
      </c>
      <c r="T376" s="2">
        <v>65</v>
      </c>
      <c r="U376" s="2">
        <v>0.71440199999999998</v>
      </c>
      <c r="V376" s="2">
        <v>83</v>
      </c>
      <c r="W376" s="2">
        <v>2007</v>
      </c>
    </row>
    <row r="377" spans="1:23" ht="12.3" x14ac:dyDescent="0.4">
      <c r="A377" s="2" t="s">
        <v>171</v>
      </c>
      <c r="B377" s="2">
        <v>14</v>
      </c>
      <c r="C377" s="2"/>
      <c r="D377" s="2"/>
      <c r="E377" s="2"/>
      <c r="F377" s="2"/>
      <c r="G377" s="2"/>
      <c r="H377" s="2"/>
      <c r="I377" s="2">
        <v>62.1143</v>
      </c>
      <c r="J377" s="2">
        <v>308</v>
      </c>
      <c r="K377" s="2">
        <v>63.636200000000002</v>
      </c>
      <c r="L377" s="2">
        <v>288</v>
      </c>
      <c r="M377" s="2">
        <v>103.03440000000001</v>
      </c>
      <c r="N377" s="2">
        <v>155</v>
      </c>
      <c r="O377" s="2">
        <v>103.1979</v>
      </c>
      <c r="P377" s="2">
        <v>150</v>
      </c>
      <c r="Q377" s="2">
        <v>98.255200000000002</v>
      </c>
      <c r="R377" s="2">
        <v>77</v>
      </c>
      <c r="S377" s="2">
        <v>95.635300000000001</v>
      </c>
      <c r="T377" s="2">
        <v>44</v>
      </c>
      <c r="U377" s="2">
        <v>0.70583399999999996</v>
      </c>
      <c r="V377" s="2">
        <v>85</v>
      </c>
      <c r="W377" s="2">
        <v>2007</v>
      </c>
    </row>
    <row r="378" spans="1:23" ht="12.3" x14ac:dyDescent="0.4">
      <c r="A378" s="2" t="s">
        <v>77</v>
      </c>
      <c r="B378" s="2">
        <v>14</v>
      </c>
      <c r="C378" s="2"/>
      <c r="D378" s="2"/>
      <c r="E378" s="2"/>
      <c r="F378" s="2"/>
      <c r="G378" s="2"/>
      <c r="H378" s="2"/>
      <c r="I378" s="2">
        <v>68.075900000000004</v>
      </c>
      <c r="J378" s="2">
        <v>111</v>
      </c>
      <c r="K378" s="2">
        <v>69.319500000000005</v>
      </c>
      <c r="L378" s="2">
        <v>71</v>
      </c>
      <c r="M378" s="2">
        <v>108.8584</v>
      </c>
      <c r="N378" s="2">
        <v>49</v>
      </c>
      <c r="O378" s="2">
        <v>107.8532</v>
      </c>
      <c r="P378" s="2">
        <v>79</v>
      </c>
      <c r="Q378" s="2">
        <v>98.381699999999995</v>
      </c>
      <c r="R378" s="2">
        <v>81</v>
      </c>
      <c r="S378" s="2">
        <v>100.2092</v>
      </c>
      <c r="T378" s="2">
        <v>115</v>
      </c>
      <c r="U378" s="2">
        <v>0.69959700000000002</v>
      </c>
      <c r="V378" s="2">
        <v>88</v>
      </c>
      <c r="W378" s="2">
        <v>2007</v>
      </c>
    </row>
    <row r="379" spans="1:23" ht="12.3" x14ac:dyDescent="0.4">
      <c r="A379" s="2" t="s">
        <v>276</v>
      </c>
      <c r="B379" s="2">
        <v>15</v>
      </c>
      <c r="C379" s="2"/>
      <c r="D379" s="2"/>
      <c r="E379" s="2"/>
      <c r="F379" s="2"/>
      <c r="G379" s="2"/>
      <c r="H379" s="2"/>
      <c r="I379" s="2">
        <v>69.531199999999998</v>
      </c>
      <c r="J379" s="2">
        <v>76</v>
      </c>
      <c r="K379" s="2">
        <v>68.938900000000004</v>
      </c>
      <c r="L379" s="2">
        <v>82</v>
      </c>
      <c r="M379" s="2">
        <v>114.00530000000001</v>
      </c>
      <c r="N379" s="2">
        <v>12</v>
      </c>
      <c r="O379" s="2">
        <v>112.17270000000001</v>
      </c>
      <c r="P379" s="2">
        <v>31</v>
      </c>
      <c r="Q379" s="2">
        <v>101.1652</v>
      </c>
      <c r="R379" s="2">
        <v>141</v>
      </c>
      <c r="S379" s="2">
        <v>104.81910000000001</v>
      </c>
      <c r="T379" s="2">
        <v>209</v>
      </c>
      <c r="U379" s="2">
        <v>0.68562400000000001</v>
      </c>
      <c r="V379" s="2">
        <v>95</v>
      </c>
      <c r="W379" s="2">
        <v>2007</v>
      </c>
    </row>
    <row r="380" spans="1:23" ht="12.3" x14ac:dyDescent="0.4">
      <c r="A380" s="2" t="s">
        <v>167</v>
      </c>
      <c r="B380" s="2">
        <v>14</v>
      </c>
      <c r="C380" s="2"/>
      <c r="D380" s="2"/>
      <c r="E380" s="2"/>
      <c r="F380" s="2"/>
      <c r="G380" s="2"/>
      <c r="H380" s="2"/>
      <c r="I380" s="2">
        <v>59.299300000000002</v>
      </c>
      <c r="J380" s="2">
        <v>330</v>
      </c>
      <c r="K380" s="2">
        <v>59.204999999999998</v>
      </c>
      <c r="L380" s="2">
        <v>331</v>
      </c>
      <c r="M380" s="2">
        <v>99.946600000000004</v>
      </c>
      <c r="N380" s="2">
        <v>208</v>
      </c>
      <c r="O380" s="2">
        <v>103.254</v>
      </c>
      <c r="P380" s="2">
        <v>149</v>
      </c>
      <c r="Q380" s="2">
        <v>96.359499999999997</v>
      </c>
      <c r="R380" s="2">
        <v>49</v>
      </c>
      <c r="S380" s="2">
        <v>96.572699999999998</v>
      </c>
      <c r="T380" s="2">
        <v>54</v>
      </c>
      <c r="U380" s="2">
        <v>0.68337000000000003</v>
      </c>
      <c r="V380" s="2">
        <v>97</v>
      </c>
      <c r="W380" s="2">
        <v>2007</v>
      </c>
    </row>
    <row r="381" spans="1:23" ht="12.3" x14ac:dyDescent="0.4">
      <c r="A381" s="2" t="s">
        <v>118</v>
      </c>
      <c r="B381" s="2">
        <v>13</v>
      </c>
      <c r="C381" s="2"/>
      <c r="D381" s="2"/>
      <c r="E381" s="2"/>
      <c r="F381" s="2"/>
      <c r="G381" s="2"/>
      <c r="H381" s="2"/>
      <c r="I381" s="2">
        <v>72.163700000000006</v>
      </c>
      <c r="J381" s="2">
        <v>24</v>
      </c>
      <c r="K381" s="2">
        <v>70.552499999999995</v>
      </c>
      <c r="L381" s="2">
        <v>42</v>
      </c>
      <c r="M381" s="2">
        <v>107.33110000000001</v>
      </c>
      <c r="N381" s="2">
        <v>77</v>
      </c>
      <c r="O381" s="2">
        <v>105.97709999999999</v>
      </c>
      <c r="P381" s="2">
        <v>105</v>
      </c>
      <c r="Q381" s="2">
        <v>99.730999999999995</v>
      </c>
      <c r="R381" s="2">
        <v>108</v>
      </c>
      <c r="S381" s="2">
        <v>99.252499999999998</v>
      </c>
      <c r="T381" s="2">
        <v>93</v>
      </c>
      <c r="U381" s="2">
        <v>0.68002700000000005</v>
      </c>
      <c r="V381" s="2">
        <v>98</v>
      </c>
      <c r="W381" s="2">
        <v>2007</v>
      </c>
    </row>
    <row r="382" spans="1:23" ht="12.3" x14ac:dyDescent="0.4">
      <c r="A382" s="2" t="s">
        <v>188</v>
      </c>
      <c r="B382" s="2">
        <v>12</v>
      </c>
      <c r="C382" s="2"/>
      <c r="D382" s="2"/>
      <c r="E382" s="2"/>
      <c r="F382" s="2"/>
      <c r="G382" s="2"/>
      <c r="H382" s="2"/>
      <c r="I382" s="2">
        <v>72.797899999999998</v>
      </c>
      <c r="J382" s="2">
        <v>19</v>
      </c>
      <c r="K382" s="2">
        <v>71.997500000000002</v>
      </c>
      <c r="L382" s="2">
        <v>24</v>
      </c>
      <c r="M382" s="2">
        <v>110.8599</v>
      </c>
      <c r="N382" s="2">
        <v>32</v>
      </c>
      <c r="O382" s="2">
        <v>110.0711</v>
      </c>
      <c r="P382" s="2">
        <v>52</v>
      </c>
      <c r="Q382" s="2">
        <v>101.3848</v>
      </c>
      <c r="R382" s="2">
        <v>148</v>
      </c>
      <c r="S382" s="2">
        <v>104.9319</v>
      </c>
      <c r="T382" s="2">
        <v>213</v>
      </c>
      <c r="U382" s="2">
        <v>0.63410699999999998</v>
      </c>
      <c r="V382" s="2">
        <v>107</v>
      </c>
      <c r="W382" s="2">
        <v>2007</v>
      </c>
    </row>
    <row r="383" spans="1:23" ht="12.3" x14ac:dyDescent="0.4">
      <c r="A383" s="2" t="s">
        <v>339</v>
      </c>
      <c r="B383" s="2">
        <v>13</v>
      </c>
      <c r="C383" s="2"/>
      <c r="D383" s="2"/>
      <c r="E383" s="2"/>
      <c r="F383" s="2"/>
      <c r="G383" s="2"/>
      <c r="H383" s="2"/>
      <c r="I383" s="2">
        <v>63.603200000000001</v>
      </c>
      <c r="J383" s="2">
        <v>279</v>
      </c>
      <c r="K383" s="2">
        <v>64.946899999999999</v>
      </c>
      <c r="L383" s="2">
        <v>236</v>
      </c>
      <c r="M383" s="2">
        <v>106.8329</v>
      </c>
      <c r="N383" s="2">
        <v>85</v>
      </c>
      <c r="O383" s="2">
        <v>105.8143</v>
      </c>
      <c r="P383" s="2">
        <v>111</v>
      </c>
      <c r="Q383" s="2">
        <v>100.6185</v>
      </c>
      <c r="R383" s="2">
        <v>132</v>
      </c>
      <c r="S383" s="2">
        <v>101.10339999999999</v>
      </c>
      <c r="T383" s="2">
        <v>136</v>
      </c>
      <c r="U383" s="2">
        <v>0.62802100000000005</v>
      </c>
      <c r="V383" s="2">
        <v>110</v>
      </c>
      <c r="W383" s="2">
        <v>2007</v>
      </c>
    </row>
    <row r="384" spans="1:23" ht="12.3" x14ac:dyDescent="0.4">
      <c r="A384" s="2" t="s">
        <v>244</v>
      </c>
      <c r="B384" s="2">
        <v>15</v>
      </c>
      <c r="C384" s="2"/>
      <c r="D384" s="2"/>
      <c r="E384" s="2"/>
      <c r="F384" s="2"/>
      <c r="G384" s="2"/>
      <c r="H384" s="2"/>
      <c r="I384" s="2">
        <v>67.2059</v>
      </c>
      <c r="J384" s="2">
        <v>152</v>
      </c>
      <c r="K384" s="2">
        <v>67.378799999999998</v>
      </c>
      <c r="L384" s="2">
        <v>132</v>
      </c>
      <c r="M384" s="2">
        <v>107.36020000000001</v>
      </c>
      <c r="N384" s="2">
        <v>76</v>
      </c>
      <c r="O384" s="2">
        <v>104.4161</v>
      </c>
      <c r="P384" s="2">
        <v>134</v>
      </c>
      <c r="Q384" s="2">
        <v>94.826700000000002</v>
      </c>
      <c r="R384" s="2">
        <v>29</v>
      </c>
      <c r="S384" s="2">
        <v>99.827600000000004</v>
      </c>
      <c r="T384" s="2">
        <v>110</v>
      </c>
      <c r="U384" s="2">
        <v>0.62639800000000001</v>
      </c>
      <c r="V384" s="2">
        <v>111</v>
      </c>
      <c r="W384" s="2">
        <v>2007</v>
      </c>
    </row>
    <row r="385" spans="1:23" ht="12.3" x14ac:dyDescent="0.4">
      <c r="A385" s="2" t="s">
        <v>184</v>
      </c>
      <c r="B385" s="2">
        <v>15</v>
      </c>
      <c r="C385" s="2"/>
      <c r="D385" s="2"/>
      <c r="E385" s="2"/>
      <c r="F385" s="2"/>
      <c r="G385" s="2"/>
      <c r="H385" s="2"/>
      <c r="I385" s="2">
        <v>70.520499999999998</v>
      </c>
      <c r="J385" s="2">
        <v>55</v>
      </c>
      <c r="K385" s="2">
        <v>70.170199999999994</v>
      </c>
      <c r="L385" s="2">
        <v>49</v>
      </c>
      <c r="M385" s="2">
        <v>105.9134</v>
      </c>
      <c r="N385" s="2">
        <v>103</v>
      </c>
      <c r="O385" s="2">
        <v>101.0235</v>
      </c>
      <c r="P385" s="2">
        <v>187</v>
      </c>
      <c r="Q385" s="2">
        <v>100.32299999999999</v>
      </c>
      <c r="R385" s="2">
        <v>125</v>
      </c>
      <c r="S385" s="2">
        <v>101.9812</v>
      </c>
      <c r="T385" s="2">
        <v>159</v>
      </c>
      <c r="U385" s="2">
        <v>0.47290100000000002</v>
      </c>
      <c r="V385" s="2">
        <v>161</v>
      </c>
      <c r="W385" s="2">
        <v>2007</v>
      </c>
    </row>
    <row r="386" spans="1:23" ht="12.3" x14ac:dyDescent="0.4">
      <c r="A386" s="2" t="s">
        <v>156</v>
      </c>
      <c r="B386" s="2">
        <v>16</v>
      </c>
      <c r="C386" s="2"/>
      <c r="D386" s="2"/>
      <c r="E386" s="2"/>
      <c r="F386" s="2"/>
      <c r="G386" s="2"/>
      <c r="H386" s="2"/>
      <c r="I386" s="2">
        <v>64.977599999999995</v>
      </c>
      <c r="J386" s="2">
        <v>245</v>
      </c>
      <c r="K386" s="2">
        <v>64.577500000000001</v>
      </c>
      <c r="L386" s="2">
        <v>253</v>
      </c>
      <c r="M386" s="2">
        <v>106.1309</v>
      </c>
      <c r="N386" s="2">
        <v>98</v>
      </c>
      <c r="O386" s="2">
        <v>102.55540000000001</v>
      </c>
      <c r="P386" s="2">
        <v>162</v>
      </c>
      <c r="Q386" s="2">
        <v>100.6046</v>
      </c>
      <c r="R386" s="2">
        <v>131</v>
      </c>
      <c r="S386" s="2">
        <v>103.5301</v>
      </c>
      <c r="T386" s="2">
        <v>177</v>
      </c>
      <c r="U386" s="2">
        <v>0.47282999999999997</v>
      </c>
      <c r="V386" s="2">
        <v>162</v>
      </c>
      <c r="W386" s="2">
        <v>2007</v>
      </c>
    </row>
    <row r="387" spans="1:23" ht="12.3" x14ac:dyDescent="0.4">
      <c r="A387" s="2" t="s">
        <v>194</v>
      </c>
      <c r="B387" s="2">
        <v>16</v>
      </c>
      <c r="C387" s="2"/>
      <c r="D387" s="2"/>
      <c r="E387" s="2"/>
      <c r="F387" s="2"/>
      <c r="G387" s="2"/>
      <c r="H387" s="2"/>
      <c r="I387" s="2">
        <v>69.233999999999995</v>
      </c>
      <c r="J387" s="2">
        <v>86</v>
      </c>
      <c r="K387" s="2">
        <v>69.322699999999998</v>
      </c>
      <c r="L387" s="2">
        <v>70</v>
      </c>
      <c r="M387" s="2">
        <v>108.4158</v>
      </c>
      <c r="N387" s="2">
        <v>54</v>
      </c>
      <c r="O387" s="2">
        <v>105.5827</v>
      </c>
      <c r="P387" s="2">
        <v>114</v>
      </c>
      <c r="Q387" s="2">
        <v>105.3049</v>
      </c>
      <c r="R387" s="2">
        <v>238</v>
      </c>
      <c r="S387" s="2">
        <v>107.873</v>
      </c>
      <c r="T387" s="2">
        <v>269</v>
      </c>
      <c r="U387" s="2">
        <v>0.438614</v>
      </c>
      <c r="V387" s="2">
        <v>175</v>
      </c>
      <c r="W387" s="2">
        <v>2007</v>
      </c>
    </row>
    <row r="388" spans="1:23" ht="12.3" x14ac:dyDescent="0.4">
      <c r="A388" s="2" t="s">
        <v>324</v>
      </c>
      <c r="B388" s="2">
        <v>16</v>
      </c>
      <c r="C388" s="2"/>
      <c r="D388" s="2"/>
      <c r="E388" s="2"/>
      <c r="F388" s="2"/>
      <c r="G388" s="2"/>
      <c r="H388" s="2"/>
      <c r="I388" s="2">
        <v>61.728999999999999</v>
      </c>
      <c r="J388" s="2">
        <v>314</v>
      </c>
      <c r="K388" s="2">
        <v>62.029200000000003</v>
      </c>
      <c r="L388" s="2">
        <v>312</v>
      </c>
      <c r="M388" s="2">
        <v>104.3443</v>
      </c>
      <c r="N388" s="2">
        <v>131</v>
      </c>
      <c r="O388" s="2">
        <v>100.227</v>
      </c>
      <c r="P388" s="2">
        <v>200</v>
      </c>
      <c r="Q388" s="2">
        <v>101.26860000000001</v>
      </c>
      <c r="R388" s="2">
        <v>142</v>
      </c>
      <c r="S388" s="2">
        <v>103.0133</v>
      </c>
      <c r="T388" s="2">
        <v>171</v>
      </c>
      <c r="U388" s="2">
        <v>0.42181299999999999</v>
      </c>
      <c r="V388" s="2">
        <v>181</v>
      </c>
      <c r="W388" s="2">
        <v>2007</v>
      </c>
    </row>
    <row r="389" spans="1:23" ht="12.3" x14ac:dyDescent="0.4">
      <c r="A389" s="2" t="s">
        <v>170</v>
      </c>
      <c r="B389" s="2">
        <v>15</v>
      </c>
      <c r="C389" s="2"/>
      <c r="D389" s="2"/>
      <c r="E389" s="2"/>
      <c r="F389" s="2"/>
      <c r="G389" s="2"/>
      <c r="H389" s="2"/>
      <c r="I389" s="2">
        <v>67.290099999999995</v>
      </c>
      <c r="J389" s="2">
        <v>145</v>
      </c>
      <c r="K389" s="2">
        <v>66.2393</v>
      </c>
      <c r="L389" s="2">
        <v>187</v>
      </c>
      <c r="M389" s="2">
        <v>104.5076</v>
      </c>
      <c r="N389" s="2">
        <v>126</v>
      </c>
      <c r="O389" s="2">
        <v>100.9254</v>
      </c>
      <c r="P389" s="2">
        <v>190</v>
      </c>
      <c r="Q389" s="2">
        <v>103.5035</v>
      </c>
      <c r="R389" s="2">
        <v>196</v>
      </c>
      <c r="S389" s="2">
        <v>103.73139999999999</v>
      </c>
      <c r="T389" s="2">
        <v>184</v>
      </c>
      <c r="U389" s="2">
        <v>0.42180600000000001</v>
      </c>
      <c r="V389" s="2">
        <v>182</v>
      </c>
      <c r="W389" s="2">
        <v>2007</v>
      </c>
    </row>
    <row r="390" spans="1:23" ht="12.3" x14ac:dyDescent="0.4">
      <c r="A390" s="2" t="s">
        <v>301</v>
      </c>
      <c r="B390" s="2">
        <v>16</v>
      </c>
      <c r="C390" s="2"/>
      <c r="D390" s="2"/>
      <c r="E390" s="2"/>
      <c r="F390" s="2"/>
      <c r="G390" s="2"/>
      <c r="H390" s="2"/>
      <c r="I390" s="2">
        <v>67.653700000000001</v>
      </c>
      <c r="J390" s="2">
        <v>129</v>
      </c>
      <c r="K390" s="2">
        <v>68.378299999999996</v>
      </c>
      <c r="L390" s="2">
        <v>103</v>
      </c>
      <c r="M390" s="2">
        <v>101.1053</v>
      </c>
      <c r="N390" s="2">
        <v>190</v>
      </c>
      <c r="O390" s="2">
        <v>99.930499999999995</v>
      </c>
      <c r="P390" s="2">
        <v>206</v>
      </c>
      <c r="Q390" s="2">
        <v>103.17059999999999</v>
      </c>
      <c r="R390" s="2">
        <v>192</v>
      </c>
      <c r="S390" s="2">
        <v>108.1392</v>
      </c>
      <c r="T390" s="2">
        <v>277</v>
      </c>
      <c r="U390" s="2">
        <v>0.287437</v>
      </c>
      <c r="V390" s="2">
        <v>240</v>
      </c>
      <c r="W390" s="2">
        <v>2007</v>
      </c>
    </row>
    <row r="391" spans="1:23" ht="12.3" x14ac:dyDescent="0.4">
      <c r="A391" s="2" t="s">
        <v>312</v>
      </c>
      <c r="B391" s="2">
        <v>16</v>
      </c>
      <c r="C391" s="2"/>
      <c r="D391" s="2"/>
      <c r="E391" s="2"/>
      <c r="F391" s="2"/>
      <c r="G391" s="2"/>
      <c r="H391" s="2"/>
      <c r="I391" s="2">
        <v>71.892300000000006</v>
      </c>
      <c r="J391" s="2">
        <v>28</v>
      </c>
      <c r="K391" s="2">
        <v>70.785600000000002</v>
      </c>
      <c r="L391" s="2">
        <v>39</v>
      </c>
      <c r="M391" s="2">
        <v>98.696200000000005</v>
      </c>
      <c r="N391" s="2">
        <v>229</v>
      </c>
      <c r="O391" s="2">
        <v>99.197699999999998</v>
      </c>
      <c r="P391" s="2">
        <v>213</v>
      </c>
      <c r="Q391" s="2">
        <v>99.729100000000003</v>
      </c>
      <c r="R391" s="2">
        <v>107</v>
      </c>
      <c r="S391" s="2">
        <v>107.77290000000001</v>
      </c>
      <c r="T391" s="2">
        <v>267</v>
      </c>
      <c r="U391" s="2">
        <v>0.27818500000000002</v>
      </c>
      <c r="V391" s="2">
        <v>248</v>
      </c>
      <c r="W391" s="2">
        <v>2007</v>
      </c>
    </row>
    <row r="392" spans="1:23" ht="12.3" x14ac:dyDescent="0.4">
      <c r="A392" s="2" t="s">
        <v>35</v>
      </c>
      <c r="B392" s="2">
        <v>1</v>
      </c>
      <c r="C392" s="3" t="s">
        <v>33</v>
      </c>
      <c r="D392" s="3" t="s">
        <v>33</v>
      </c>
      <c r="E392" s="3" t="s">
        <v>33</v>
      </c>
      <c r="F392" s="3" t="s">
        <v>33</v>
      </c>
      <c r="G392" s="3" t="s">
        <v>33</v>
      </c>
      <c r="H392" s="3" t="s">
        <v>33</v>
      </c>
      <c r="I392" s="2">
        <v>68.722300000000004</v>
      </c>
      <c r="J392" s="2">
        <v>108</v>
      </c>
      <c r="K392" s="2">
        <v>68.898200000000003</v>
      </c>
      <c r="L392" s="2">
        <v>98</v>
      </c>
      <c r="M392" s="2">
        <v>117.8681</v>
      </c>
      <c r="N392" s="2">
        <v>1</v>
      </c>
      <c r="O392" s="2">
        <v>120.8601</v>
      </c>
      <c r="P392" s="2">
        <v>1</v>
      </c>
      <c r="Q392" s="2">
        <v>89.5929</v>
      </c>
      <c r="R392" s="2">
        <v>5</v>
      </c>
      <c r="S392" s="2">
        <v>89.791600000000003</v>
      </c>
      <c r="T392" s="2">
        <v>6</v>
      </c>
      <c r="U392" s="2">
        <v>0.96823599999999999</v>
      </c>
      <c r="V392" s="2">
        <v>1</v>
      </c>
      <c r="W392" s="2">
        <v>2008</v>
      </c>
    </row>
    <row r="393" spans="1:23" ht="12.3" x14ac:dyDescent="0.4">
      <c r="A393" s="2" t="s">
        <v>71</v>
      </c>
      <c r="B393" s="2">
        <v>1</v>
      </c>
      <c r="C393" s="3" t="s">
        <v>33</v>
      </c>
      <c r="D393" s="3" t="s">
        <v>33</v>
      </c>
      <c r="E393" s="3" t="s">
        <v>33</v>
      </c>
      <c r="F393" s="3" t="s">
        <v>33</v>
      </c>
      <c r="G393" s="2"/>
      <c r="I393" s="2">
        <v>70.485799999999998</v>
      </c>
      <c r="J393" s="2">
        <v>57</v>
      </c>
      <c r="K393" s="2">
        <v>69.744600000000005</v>
      </c>
      <c r="L393" s="2">
        <v>74</v>
      </c>
      <c r="M393" s="2">
        <v>112.8163</v>
      </c>
      <c r="N393" s="2">
        <v>17</v>
      </c>
      <c r="O393" s="2">
        <v>111.949</v>
      </c>
      <c r="P393" s="2">
        <v>30</v>
      </c>
      <c r="Q393" s="2">
        <v>85.718100000000007</v>
      </c>
      <c r="R393" s="2">
        <v>1</v>
      </c>
      <c r="S393" s="2">
        <v>85.855999999999995</v>
      </c>
      <c r="T393" s="2">
        <v>1</v>
      </c>
      <c r="U393" s="2">
        <v>0.95485900000000001</v>
      </c>
      <c r="V393" s="2">
        <v>2</v>
      </c>
      <c r="W393" s="2">
        <v>2008</v>
      </c>
    </row>
    <row r="394" spans="1:23" ht="12.3" x14ac:dyDescent="0.4">
      <c r="A394" s="2" t="s">
        <v>65</v>
      </c>
      <c r="B394" s="2">
        <v>1</v>
      </c>
      <c r="C394" s="3" t="s">
        <v>33</v>
      </c>
      <c r="D394" s="3" t="s">
        <v>33</v>
      </c>
      <c r="E394" s="3" t="s">
        <v>33</v>
      </c>
      <c r="F394" s="3" t="s">
        <v>33</v>
      </c>
      <c r="G394" s="2"/>
      <c r="H394" s="2"/>
      <c r="I394" s="2">
        <v>64.998199999999997</v>
      </c>
      <c r="J394" s="2">
        <v>250</v>
      </c>
      <c r="K394" s="2">
        <v>65.5595</v>
      </c>
      <c r="L394" s="2">
        <v>216</v>
      </c>
      <c r="M394" s="2">
        <v>113.7163</v>
      </c>
      <c r="N394" s="2">
        <v>10</v>
      </c>
      <c r="O394" s="2">
        <v>116.1109</v>
      </c>
      <c r="P394" s="2">
        <v>6</v>
      </c>
      <c r="Q394" s="2">
        <v>91.734300000000005</v>
      </c>
      <c r="R394" s="2">
        <v>8</v>
      </c>
      <c r="S394" s="2">
        <v>89.335099999999997</v>
      </c>
      <c r="T394" s="2">
        <v>4</v>
      </c>
      <c r="U394" s="2">
        <v>0.95323599999999997</v>
      </c>
      <c r="V394" s="2">
        <v>3</v>
      </c>
      <c r="W394" s="2">
        <v>2008</v>
      </c>
    </row>
    <row r="395" spans="1:23" ht="12.3" x14ac:dyDescent="0.4">
      <c r="A395" s="2" t="s">
        <v>76</v>
      </c>
      <c r="B395" s="2">
        <v>3</v>
      </c>
      <c r="C395" s="3" t="s">
        <v>33</v>
      </c>
      <c r="D395" s="3" t="s">
        <v>33</v>
      </c>
      <c r="E395" s="2"/>
      <c r="F395" s="2"/>
      <c r="G395" s="2"/>
      <c r="H395" s="2"/>
      <c r="I395" s="2">
        <v>62.093600000000002</v>
      </c>
      <c r="J395" s="2">
        <v>312</v>
      </c>
      <c r="K395" s="2">
        <v>62.7376</v>
      </c>
      <c r="L395" s="2">
        <v>306</v>
      </c>
      <c r="M395" s="2">
        <v>108.68600000000001</v>
      </c>
      <c r="N395" s="2">
        <v>55</v>
      </c>
      <c r="O395" s="2">
        <v>112.3212</v>
      </c>
      <c r="P395" s="2">
        <v>28</v>
      </c>
      <c r="Q395" s="2">
        <v>86.642700000000005</v>
      </c>
      <c r="R395" s="2">
        <v>2</v>
      </c>
      <c r="S395" s="2">
        <v>87.367699999999999</v>
      </c>
      <c r="T395" s="2">
        <v>2</v>
      </c>
      <c r="U395" s="2">
        <v>0.94731100000000001</v>
      </c>
      <c r="V395" s="2">
        <v>4</v>
      </c>
      <c r="W395" s="2">
        <v>2008</v>
      </c>
    </row>
    <row r="396" spans="1:23" ht="12.3" x14ac:dyDescent="0.4">
      <c r="A396" s="2" t="s">
        <v>168</v>
      </c>
      <c r="B396" s="2">
        <v>1</v>
      </c>
      <c r="C396" s="3" t="s">
        <v>33</v>
      </c>
      <c r="D396" s="3" t="s">
        <v>33</v>
      </c>
      <c r="E396" s="3" t="s">
        <v>33</v>
      </c>
      <c r="F396" s="3" t="s">
        <v>33</v>
      </c>
      <c r="G396" s="2"/>
      <c r="H396" s="2"/>
      <c r="I396" s="2">
        <v>75.893000000000001</v>
      </c>
      <c r="J396" s="2">
        <v>3</v>
      </c>
      <c r="K396" s="2">
        <v>74.418700000000001</v>
      </c>
      <c r="L396" s="2">
        <v>7</v>
      </c>
      <c r="M396" s="2">
        <v>115.3951</v>
      </c>
      <c r="N396" s="2">
        <v>3</v>
      </c>
      <c r="O396" s="2">
        <v>118.7927</v>
      </c>
      <c r="P396" s="2">
        <v>3</v>
      </c>
      <c r="Q396" s="2">
        <v>94.904200000000003</v>
      </c>
      <c r="R396" s="2">
        <v>33</v>
      </c>
      <c r="S396" s="2">
        <v>93.24</v>
      </c>
      <c r="T396" s="2">
        <v>23</v>
      </c>
      <c r="U396" s="2">
        <v>0.94187799999999999</v>
      </c>
      <c r="V396" s="2">
        <v>5</v>
      </c>
      <c r="W396" s="2">
        <v>2008</v>
      </c>
    </row>
    <row r="397" spans="1:23" ht="12.3" x14ac:dyDescent="0.4">
      <c r="A397" s="2" t="s">
        <v>32</v>
      </c>
      <c r="B397" s="2">
        <v>2</v>
      </c>
      <c r="C397" s="3" t="s">
        <v>33</v>
      </c>
      <c r="D397" s="2"/>
      <c r="E397" s="2"/>
      <c r="F397" s="2"/>
      <c r="G397" s="2"/>
      <c r="H397" s="2"/>
      <c r="I397" s="2">
        <v>74.276799999999994</v>
      </c>
      <c r="J397" s="2">
        <v>11</v>
      </c>
      <c r="K397" s="2">
        <v>73.275199999999998</v>
      </c>
      <c r="L397" s="2">
        <v>13</v>
      </c>
      <c r="M397" s="2">
        <v>112.98390000000001</v>
      </c>
      <c r="N397" s="2">
        <v>14</v>
      </c>
      <c r="O397" s="2">
        <v>114.88890000000001</v>
      </c>
      <c r="P397" s="2">
        <v>9</v>
      </c>
      <c r="Q397" s="2">
        <v>93.064999999999998</v>
      </c>
      <c r="R397" s="2">
        <v>20</v>
      </c>
      <c r="S397" s="2">
        <v>90.842699999999994</v>
      </c>
      <c r="T397" s="2">
        <v>10</v>
      </c>
      <c r="U397" s="2">
        <v>0.93706299999999998</v>
      </c>
      <c r="V397" s="2">
        <v>6</v>
      </c>
      <c r="W397" s="2">
        <v>2008</v>
      </c>
    </row>
    <row r="398" spans="1:23" ht="12.3" x14ac:dyDescent="0.4">
      <c r="A398" s="2" t="s">
        <v>67</v>
      </c>
      <c r="B398" s="2">
        <v>2</v>
      </c>
      <c r="C398" s="3" t="s">
        <v>33</v>
      </c>
      <c r="D398" s="3" t="s">
        <v>33</v>
      </c>
      <c r="E398" s="3" t="s">
        <v>33</v>
      </c>
      <c r="F398" s="2"/>
      <c r="G398" s="2"/>
      <c r="H398" s="2"/>
      <c r="I398" s="2">
        <v>65.184100000000001</v>
      </c>
      <c r="J398" s="2">
        <v>234</v>
      </c>
      <c r="K398" s="2">
        <v>64.727699999999999</v>
      </c>
      <c r="L398" s="2">
        <v>254</v>
      </c>
      <c r="M398" s="2">
        <v>114.3155</v>
      </c>
      <c r="N398" s="2">
        <v>8</v>
      </c>
      <c r="O398" s="2">
        <v>118.67829999999999</v>
      </c>
      <c r="P398" s="2">
        <v>4</v>
      </c>
      <c r="Q398" s="2">
        <v>98.694000000000003</v>
      </c>
      <c r="R398" s="2">
        <v>85</v>
      </c>
      <c r="S398" s="2">
        <v>95.151799999999994</v>
      </c>
      <c r="T398" s="2">
        <v>40</v>
      </c>
      <c r="U398" s="2">
        <v>0.926956</v>
      </c>
      <c r="V398" s="2">
        <v>7</v>
      </c>
      <c r="W398" s="2">
        <v>2008</v>
      </c>
    </row>
    <row r="399" spans="1:23" ht="12.3" x14ac:dyDescent="0.4">
      <c r="A399" s="2" t="s">
        <v>62</v>
      </c>
      <c r="B399" s="2">
        <v>2</v>
      </c>
      <c r="C399" s="3" t="s">
        <v>33</v>
      </c>
      <c r="D399" s="2"/>
      <c r="E399" s="2"/>
      <c r="F399" s="2"/>
      <c r="G399" s="2"/>
      <c r="H399" s="2"/>
      <c r="I399" s="2">
        <v>62.196300000000001</v>
      </c>
      <c r="J399" s="2">
        <v>311</v>
      </c>
      <c r="K399" s="2">
        <v>62.246899999999997</v>
      </c>
      <c r="L399" s="2">
        <v>317</v>
      </c>
      <c r="M399" s="2">
        <v>111.1919</v>
      </c>
      <c r="N399" s="2">
        <v>25</v>
      </c>
      <c r="O399" s="2">
        <v>112.5181</v>
      </c>
      <c r="P399" s="2">
        <v>26</v>
      </c>
      <c r="Q399" s="2">
        <v>92.587400000000002</v>
      </c>
      <c r="R399" s="2">
        <v>16</v>
      </c>
      <c r="S399" s="2">
        <v>90.423599999999993</v>
      </c>
      <c r="T399" s="2">
        <v>7</v>
      </c>
      <c r="U399" s="2">
        <v>0.925118</v>
      </c>
      <c r="V399" s="2">
        <v>8</v>
      </c>
      <c r="W399" s="2">
        <v>2008</v>
      </c>
    </row>
    <row r="400" spans="1:23" ht="12.3" x14ac:dyDescent="0.4">
      <c r="A400" s="2" t="s">
        <v>86</v>
      </c>
      <c r="B400" s="2">
        <v>3</v>
      </c>
      <c r="C400" s="3" t="s">
        <v>33</v>
      </c>
      <c r="D400" s="3" t="s">
        <v>33</v>
      </c>
      <c r="E400" s="3" t="s">
        <v>33</v>
      </c>
      <c r="F400" s="2"/>
      <c r="G400" s="2"/>
      <c r="H400" s="2"/>
      <c r="I400" s="2">
        <v>66.996399999999994</v>
      </c>
      <c r="J400" s="2">
        <v>172</v>
      </c>
      <c r="K400" s="2">
        <v>67.271600000000007</v>
      </c>
      <c r="L400" s="2">
        <v>148</v>
      </c>
      <c r="M400" s="2">
        <v>106.4896</v>
      </c>
      <c r="N400" s="2">
        <v>86</v>
      </c>
      <c r="O400" s="2">
        <v>109.7418</v>
      </c>
      <c r="P400" s="2">
        <v>49</v>
      </c>
      <c r="Q400" s="2">
        <v>90.940899999999999</v>
      </c>
      <c r="R400" s="2">
        <v>7</v>
      </c>
      <c r="S400" s="2">
        <v>89.006799999999998</v>
      </c>
      <c r="T400" s="2">
        <v>3</v>
      </c>
      <c r="U400" s="2">
        <v>0.917458</v>
      </c>
      <c r="V400" s="2">
        <v>9</v>
      </c>
      <c r="W400" s="2">
        <v>2008</v>
      </c>
    </row>
    <row r="401" spans="1:23" ht="12.3" x14ac:dyDescent="0.4">
      <c r="A401" s="2" t="s">
        <v>52</v>
      </c>
      <c r="B401" s="2">
        <v>3</v>
      </c>
      <c r="C401" s="3" t="s">
        <v>33</v>
      </c>
      <c r="D401" s="3" t="s">
        <v>33</v>
      </c>
      <c r="E401" s="2"/>
      <c r="F401" s="2"/>
      <c r="G401" s="2"/>
      <c r="H401" s="2"/>
      <c r="I401" s="2">
        <v>64.048699999999997</v>
      </c>
      <c r="J401" s="2">
        <v>281</v>
      </c>
      <c r="K401" s="2">
        <v>64.982100000000003</v>
      </c>
      <c r="L401" s="2">
        <v>244</v>
      </c>
      <c r="M401" s="2">
        <v>109.1301</v>
      </c>
      <c r="N401" s="2">
        <v>49</v>
      </c>
      <c r="O401" s="2">
        <v>111.6589</v>
      </c>
      <c r="P401" s="2">
        <v>35</v>
      </c>
      <c r="Q401" s="2">
        <v>93.483599999999996</v>
      </c>
      <c r="R401" s="2">
        <v>23</v>
      </c>
      <c r="S401" s="2">
        <v>90.565700000000007</v>
      </c>
      <c r="T401" s="2">
        <v>9</v>
      </c>
      <c r="U401" s="2">
        <v>0.91741899999999998</v>
      </c>
      <c r="V401" s="2">
        <v>10</v>
      </c>
      <c r="W401" s="2">
        <v>2008</v>
      </c>
    </row>
    <row r="402" spans="1:23" ht="12.3" x14ac:dyDescent="0.4">
      <c r="A402" s="2" t="s">
        <v>239</v>
      </c>
      <c r="B402" s="2">
        <v>4</v>
      </c>
      <c r="C402" s="3" t="s">
        <v>33</v>
      </c>
      <c r="D402" s="3" t="s">
        <v>33</v>
      </c>
      <c r="E402" s="2"/>
      <c r="F402" s="2"/>
      <c r="G402" s="2"/>
      <c r="H402" s="2"/>
      <c r="I402" s="2">
        <v>59.148200000000003</v>
      </c>
      <c r="J402" s="2">
        <v>336</v>
      </c>
      <c r="K402" s="2">
        <v>59.683100000000003</v>
      </c>
      <c r="L402" s="2">
        <v>334</v>
      </c>
      <c r="M402" s="2">
        <v>112.2148</v>
      </c>
      <c r="N402" s="2">
        <v>21</v>
      </c>
      <c r="O402" s="2">
        <v>114.0761</v>
      </c>
      <c r="P402" s="2">
        <v>14</v>
      </c>
      <c r="Q402" s="2">
        <v>94.959199999999996</v>
      </c>
      <c r="R402" s="2">
        <v>34</v>
      </c>
      <c r="S402" s="2">
        <v>93.526700000000005</v>
      </c>
      <c r="T402" s="2">
        <v>26</v>
      </c>
      <c r="U402" s="2">
        <v>0.90755399999999997</v>
      </c>
      <c r="V402" s="2">
        <v>11</v>
      </c>
      <c r="W402" s="2">
        <v>2008</v>
      </c>
    </row>
    <row r="403" spans="1:23" ht="12.3" x14ac:dyDescent="0.4">
      <c r="A403" s="2" t="s">
        <v>205</v>
      </c>
      <c r="B403" s="2">
        <v>5</v>
      </c>
      <c r="C403" s="2"/>
      <c r="D403" s="2"/>
      <c r="E403" s="2"/>
      <c r="F403" s="2"/>
      <c r="G403" s="2"/>
      <c r="H403" s="2"/>
      <c r="I403" s="2">
        <v>62.811199999999999</v>
      </c>
      <c r="J403" s="2">
        <v>301</v>
      </c>
      <c r="K403" s="2">
        <v>63.919899999999998</v>
      </c>
      <c r="L403" s="2">
        <v>283</v>
      </c>
      <c r="M403" s="2">
        <v>115.0265</v>
      </c>
      <c r="N403" s="2">
        <v>5</v>
      </c>
      <c r="O403" s="2">
        <v>119.28449999999999</v>
      </c>
      <c r="P403" s="2">
        <v>2</v>
      </c>
      <c r="Q403" s="2">
        <v>97.043499999999995</v>
      </c>
      <c r="R403" s="2">
        <v>60</v>
      </c>
      <c r="S403" s="2">
        <v>97.801100000000005</v>
      </c>
      <c r="T403" s="2">
        <v>80</v>
      </c>
      <c r="U403" s="2">
        <v>0.90751199999999999</v>
      </c>
      <c r="V403" s="2">
        <v>12</v>
      </c>
      <c r="W403" s="2">
        <v>2008</v>
      </c>
    </row>
    <row r="404" spans="1:23" ht="12.3" x14ac:dyDescent="0.4">
      <c r="A404" s="2" t="s">
        <v>134</v>
      </c>
      <c r="B404" s="2">
        <v>10</v>
      </c>
      <c r="C404" s="3" t="s">
        <v>33</v>
      </c>
      <c r="D404" s="3" t="s">
        <v>33</v>
      </c>
      <c r="E404" s="3" t="s">
        <v>33</v>
      </c>
      <c r="F404" s="2"/>
      <c r="G404" s="2"/>
      <c r="H404" s="2"/>
      <c r="I404" s="2">
        <v>68.375399999999999</v>
      </c>
      <c r="J404" s="2">
        <v>119</v>
      </c>
      <c r="K404" s="2">
        <v>68.271500000000003</v>
      </c>
      <c r="L404" s="2">
        <v>116</v>
      </c>
      <c r="M404" s="2">
        <v>113.30889999999999</v>
      </c>
      <c r="N404" s="2">
        <v>12</v>
      </c>
      <c r="O404" s="2">
        <v>112.67610000000001</v>
      </c>
      <c r="P404" s="2">
        <v>23</v>
      </c>
      <c r="Q404" s="2">
        <v>92.409300000000002</v>
      </c>
      <c r="R404" s="2">
        <v>15</v>
      </c>
      <c r="S404" s="2">
        <v>92.483599999999996</v>
      </c>
      <c r="T404" s="2">
        <v>19</v>
      </c>
      <c r="U404" s="2">
        <v>0.90645299999999995</v>
      </c>
      <c r="V404" s="2">
        <v>13</v>
      </c>
      <c r="W404" s="2">
        <v>2008</v>
      </c>
    </row>
    <row r="405" spans="1:23" ht="12.3" x14ac:dyDescent="0.4">
      <c r="A405" s="2" t="s">
        <v>24</v>
      </c>
      <c r="B405" s="2">
        <v>5</v>
      </c>
      <c r="C405" s="2"/>
      <c r="D405" s="2"/>
      <c r="E405" s="2"/>
      <c r="F405" s="2"/>
      <c r="G405" s="2"/>
      <c r="H405" s="2"/>
      <c r="I405" s="2">
        <v>70.798900000000003</v>
      </c>
      <c r="J405" s="2">
        <v>51</v>
      </c>
      <c r="K405" s="2">
        <v>69.148899999999998</v>
      </c>
      <c r="L405" s="2">
        <v>85</v>
      </c>
      <c r="M405" s="2">
        <v>110.0735</v>
      </c>
      <c r="N405" s="2">
        <v>40</v>
      </c>
      <c r="O405" s="2">
        <v>111.6797</v>
      </c>
      <c r="P405" s="2">
        <v>34</v>
      </c>
      <c r="Q405" s="2">
        <v>95.589399999999998</v>
      </c>
      <c r="R405" s="2">
        <v>44</v>
      </c>
      <c r="S405" s="2">
        <v>92.126999999999995</v>
      </c>
      <c r="T405" s="2">
        <v>16</v>
      </c>
      <c r="U405" s="2">
        <v>0.90144299999999999</v>
      </c>
      <c r="V405" s="2">
        <v>14</v>
      </c>
      <c r="W405" s="2">
        <v>2008</v>
      </c>
    </row>
    <row r="406" spans="1:23" ht="12.3" x14ac:dyDescent="0.4">
      <c r="A406" s="2" t="s">
        <v>81</v>
      </c>
      <c r="B406" s="2">
        <v>2</v>
      </c>
      <c r="C406" s="3" t="s">
        <v>33</v>
      </c>
      <c r="D406" s="3" t="s">
        <v>33</v>
      </c>
      <c r="E406" s="2"/>
      <c r="F406" s="2"/>
      <c r="G406" s="2"/>
      <c r="H406" s="2"/>
      <c r="I406" s="2">
        <v>72.748400000000004</v>
      </c>
      <c r="J406" s="2">
        <v>15</v>
      </c>
      <c r="K406" s="2">
        <v>72.118600000000001</v>
      </c>
      <c r="L406" s="2">
        <v>19</v>
      </c>
      <c r="M406" s="2">
        <v>113.04389999999999</v>
      </c>
      <c r="N406" s="2">
        <v>13</v>
      </c>
      <c r="O406" s="2">
        <v>116.0628</v>
      </c>
      <c r="P406" s="2">
        <v>7</v>
      </c>
      <c r="Q406" s="2">
        <v>97.674199999999999</v>
      </c>
      <c r="R406" s="2">
        <v>71</v>
      </c>
      <c r="S406" s="2">
        <v>96.171400000000006</v>
      </c>
      <c r="T406" s="2">
        <v>54</v>
      </c>
      <c r="U406" s="2">
        <v>0.89678400000000003</v>
      </c>
      <c r="V406" s="2">
        <v>15</v>
      </c>
      <c r="W406" s="2">
        <v>2008</v>
      </c>
    </row>
    <row r="407" spans="1:23" ht="12.3" x14ac:dyDescent="0.4">
      <c r="A407" s="2" t="s">
        <v>39</v>
      </c>
      <c r="B407" s="2">
        <v>6</v>
      </c>
      <c r="C407" s="3" t="s">
        <v>33</v>
      </c>
      <c r="D407" s="2"/>
      <c r="E407" s="2"/>
      <c r="F407" s="2"/>
      <c r="G407" s="2"/>
      <c r="H407" s="2"/>
      <c r="I407" s="2">
        <v>69.122699999999995</v>
      </c>
      <c r="J407" s="2">
        <v>94</v>
      </c>
      <c r="K407" s="2">
        <v>68.579499999999996</v>
      </c>
      <c r="L407" s="2">
        <v>109</v>
      </c>
      <c r="M407" s="2">
        <v>109.1781</v>
      </c>
      <c r="N407" s="2">
        <v>48</v>
      </c>
      <c r="O407" s="2">
        <v>110.7711</v>
      </c>
      <c r="P407" s="2">
        <v>41</v>
      </c>
      <c r="Q407" s="2">
        <v>92.785300000000007</v>
      </c>
      <c r="R407" s="2">
        <v>17</v>
      </c>
      <c r="S407" s="2">
        <v>92.012299999999996</v>
      </c>
      <c r="T407" s="2">
        <v>15</v>
      </c>
      <c r="U407" s="2">
        <v>0.89414099999999996</v>
      </c>
      <c r="V407" s="2">
        <v>16</v>
      </c>
      <c r="W407" s="2">
        <v>2008</v>
      </c>
    </row>
    <row r="408" spans="1:23" ht="12.3" x14ac:dyDescent="0.4">
      <c r="A408" s="2" t="s">
        <v>50</v>
      </c>
      <c r="B408" s="2">
        <v>3</v>
      </c>
      <c r="C408" s="3" t="s">
        <v>33</v>
      </c>
      <c r="D408" s="3" t="s">
        <v>33</v>
      </c>
      <c r="E408" s="3" t="s">
        <v>33</v>
      </c>
      <c r="F408" s="2"/>
      <c r="G408" s="2"/>
      <c r="H408" s="2"/>
      <c r="I408" s="2">
        <v>65.205299999999994</v>
      </c>
      <c r="J408" s="2">
        <v>233</v>
      </c>
      <c r="K408" s="2">
        <v>65.322599999999994</v>
      </c>
      <c r="L408" s="2">
        <v>227</v>
      </c>
      <c r="M408" s="2">
        <v>115.1371</v>
      </c>
      <c r="N408" s="2">
        <v>4</v>
      </c>
      <c r="O408" s="2">
        <v>113.1885</v>
      </c>
      <c r="P408" s="2">
        <v>19</v>
      </c>
      <c r="Q408" s="2">
        <v>95.681299999999993</v>
      </c>
      <c r="R408" s="2">
        <v>45</v>
      </c>
      <c r="S408" s="2">
        <v>94.156800000000004</v>
      </c>
      <c r="T408" s="2">
        <v>32</v>
      </c>
      <c r="U408" s="2">
        <v>0.89255200000000001</v>
      </c>
      <c r="V408" s="2">
        <v>17</v>
      </c>
      <c r="W408" s="2">
        <v>2008</v>
      </c>
    </row>
    <row r="409" spans="1:23" ht="12.3" x14ac:dyDescent="0.4">
      <c r="A409" s="2" t="s">
        <v>58</v>
      </c>
      <c r="B409" s="2">
        <v>5</v>
      </c>
      <c r="C409" s="3" t="s">
        <v>33</v>
      </c>
      <c r="D409" s="3" t="s">
        <v>33</v>
      </c>
      <c r="E409" s="2"/>
      <c r="F409" s="2"/>
      <c r="G409" s="2"/>
      <c r="H409" s="2"/>
      <c r="I409" s="2">
        <v>64.303399999999996</v>
      </c>
      <c r="J409" s="2">
        <v>272</v>
      </c>
      <c r="K409" s="2">
        <v>65.028700000000001</v>
      </c>
      <c r="L409" s="2">
        <v>241</v>
      </c>
      <c r="M409" s="2">
        <v>110.345</v>
      </c>
      <c r="N409" s="2">
        <v>36</v>
      </c>
      <c r="O409" s="2">
        <v>112.5868</v>
      </c>
      <c r="P409" s="2">
        <v>25</v>
      </c>
      <c r="Q409" s="2">
        <v>96.484099999999998</v>
      </c>
      <c r="R409" s="2">
        <v>53</v>
      </c>
      <c r="S409" s="2">
        <v>94.313699999999997</v>
      </c>
      <c r="T409" s="2">
        <v>34</v>
      </c>
      <c r="U409" s="2">
        <v>0.88458899999999996</v>
      </c>
      <c r="V409" s="2">
        <v>18</v>
      </c>
      <c r="W409" s="2">
        <v>2008</v>
      </c>
    </row>
    <row r="410" spans="1:23" ht="12.3" x14ac:dyDescent="0.4">
      <c r="A410" s="2" t="s">
        <v>121</v>
      </c>
      <c r="B410" s="2">
        <v>6</v>
      </c>
      <c r="C410" s="3" t="s">
        <v>33</v>
      </c>
      <c r="D410" s="2"/>
      <c r="E410" s="2"/>
      <c r="F410" s="2"/>
      <c r="G410" s="2"/>
      <c r="H410" s="2"/>
      <c r="I410" s="2">
        <v>65.843000000000004</v>
      </c>
      <c r="J410" s="2">
        <v>203</v>
      </c>
      <c r="K410" s="2">
        <v>67.923299999999998</v>
      </c>
      <c r="L410" s="2">
        <v>132</v>
      </c>
      <c r="M410" s="2">
        <v>104.0596</v>
      </c>
      <c r="N410" s="2">
        <v>132</v>
      </c>
      <c r="O410" s="2">
        <v>108.4965</v>
      </c>
      <c r="P410" s="2">
        <v>64</v>
      </c>
      <c r="Q410" s="2">
        <v>91.956000000000003</v>
      </c>
      <c r="R410" s="2">
        <v>11</v>
      </c>
      <c r="S410" s="2">
        <v>91.445700000000002</v>
      </c>
      <c r="T410" s="2">
        <v>12</v>
      </c>
      <c r="U410" s="2">
        <v>0.87719999999999998</v>
      </c>
      <c r="V410" s="2">
        <v>19</v>
      </c>
      <c r="W410" s="2">
        <v>2008</v>
      </c>
    </row>
    <row r="411" spans="1:23" ht="12.3" x14ac:dyDescent="0.4">
      <c r="A411" s="2" t="s">
        <v>18</v>
      </c>
      <c r="B411" s="2">
        <v>7</v>
      </c>
      <c r="C411" s="3" t="s">
        <v>33</v>
      </c>
      <c r="D411" s="2"/>
      <c r="E411" s="2"/>
      <c r="F411" s="2"/>
      <c r="G411" s="2"/>
      <c r="H411" s="2"/>
      <c r="I411" s="2">
        <v>59.973399999999998</v>
      </c>
      <c r="J411" s="2">
        <v>330</v>
      </c>
      <c r="K411" s="2">
        <v>60.948999999999998</v>
      </c>
      <c r="L411" s="2">
        <v>327</v>
      </c>
      <c r="M411" s="2">
        <v>112.8232</v>
      </c>
      <c r="N411" s="2">
        <v>16</v>
      </c>
      <c r="O411" s="2">
        <v>113.3087</v>
      </c>
      <c r="P411" s="2">
        <v>18</v>
      </c>
      <c r="Q411" s="2">
        <v>95.133899999999997</v>
      </c>
      <c r="R411" s="2">
        <v>39</v>
      </c>
      <c r="S411" s="2">
        <v>95.774500000000003</v>
      </c>
      <c r="T411" s="2">
        <v>50</v>
      </c>
      <c r="U411" s="2">
        <v>0.87362300000000004</v>
      </c>
      <c r="V411" s="2">
        <v>20</v>
      </c>
      <c r="W411" s="2">
        <v>2008</v>
      </c>
    </row>
    <row r="412" spans="1:23" ht="12.3" x14ac:dyDescent="0.4">
      <c r="A412" s="2" t="s">
        <v>248</v>
      </c>
      <c r="B412" s="2">
        <v>9</v>
      </c>
      <c r="C412" s="3" t="s">
        <v>33</v>
      </c>
      <c r="D412" s="2"/>
      <c r="E412" s="2"/>
      <c r="F412" s="2"/>
      <c r="G412" s="2"/>
      <c r="H412" s="2"/>
      <c r="I412" s="2">
        <v>64.863900000000001</v>
      </c>
      <c r="J412" s="2">
        <v>257</v>
      </c>
      <c r="K412" s="2">
        <v>63.817799999999998</v>
      </c>
      <c r="L412" s="2">
        <v>285</v>
      </c>
      <c r="M412" s="2">
        <v>107.69410000000001</v>
      </c>
      <c r="N412" s="2">
        <v>65</v>
      </c>
      <c r="O412" s="2">
        <v>109.0287</v>
      </c>
      <c r="P412" s="2">
        <v>58</v>
      </c>
      <c r="Q412" s="2">
        <v>93.982500000000002</v>
      </c>
      <c r="R412" s="2">
        <v>25</v>
      </c>
      <c r="S412" s="2">
        <v>92.473399999999998</v>
      </c>
      <c r="T412" s="2">
        <v>18</v>
      </c>
      <c r="U412" s="2">
        <v>0.86920399999999998</v>
      </c>
      <c r="V412" s="2">
        <v>21</v>
      </c>
      <c r="W412" s="2">
        <v>2008</v>
      </c>
    </row>
    <row r="413" spans="1:23" ht="12.3" x14ac:dyDescent="0.4">
      <c r="A413" s="2" t="s">
        <v>42</v>
      </c>
      <c r="B413" s="2">
        <v>6</v>
      </c>
      <c r="C413" s="2"/>
      <c r="D413" s="2"/>
      <c r="E413" s="2"/>
      <c r="F413" s="2"/>
      <c r="G413" s="2"/>
      <c r="H413" s="2"/>
      <c r="I413" s="2">
        <v>65.715100000000007</v>
      </c>
      <c r="J413" s="2">
        <v>210</v>
      </c>
      <c r="K413" s="2">
        <v>66.793199999999999</v>
      </c>
      <c r="L413" s="2">
        <v>166</v>
      </c>
      <c r="M413" s="2">
        <v>104.0217</v>
      </c>
      <c r="N413" s="2">
        <v>133</v>
      </c>
      <c r="O413" s="2">
        <v>108.7276</v>
      </c>
      <c r="P413" s="2">
        <v>60</v>
      </c>
      <c r="Q413" s="2">
        <v>95.106399999999994</v>
      </c>
      <c r="R413" s="2">
        <v>38</v>
      </c>
      <c r="S413" s="2">
        <v>92.276600000000002</v>
      </c>
      <c r="T413" s="2">
        <v>17</v>
      </c>
      <c r="U413" s="2">
        <v>0.868371</v>
      </c>
      <c r="V413" s="2">
        <v>22</v>
      </c>
      <c r="W413" s="2">
        <v>2008</v>
      </c>
    </row>
    <row r="414" spans="1:23" ht="12.3" x14ac:dyDescent="0.4">
      <c r="A414" s="2" t="s">
        <v>43</v>
      </c>
      <c r="B414" s="2">
        <v>10</v>
      </c>
      <c r="C414" s="2"/>
      <c r="D414" s="2"/>
      <c r="E414" s="2"/>
      <c r="F414" s="2"/>
      <c r="G414" s="2"/>
      <c r="H414" s="2"/>
      <c r="I414" s="2">
        <v>64.665499999999994</v>
      </c>
      <c r="J414" s="2">
        <v>265</v>
      </c>
      <c r="K414" s="2">
        <v>65.012100000000004</v>
      </c>
      <c r="L414" s="2">
        <v>243</v>
      </c>
      <c r="M414" s="2">
        <v>109.4196</v>
      </c>
      <c r="N414" s="2">
        <v>44</v>
      </c>
      <c r="O414" s="2">
        <v>114.35420000000001</v>
      </c>
      <c r="P414" s="2">
        <v>12</v>
      </c>
      <c r="Q414" s="2">
        <v>102.2513</v>
      </c>
      <c r="R414" s="2">
        <v>177</v>
      </c>
      <c r="S414" s="2">
        <v>97.059399999999997</v>
      </c>
      <c r="T414" s="2">
        <v>65</v>
      </c>
      <c r="U414" s="2">
        <v>0.86826899999999996</v>
      </c>
      <c r="V414" s="2">
        <v>23</v>
      </c>
      <c r="W414" s="2">
        <v>2008</v>
      </c>
    </row>
    <row r="415" spans="1:23" ht="12.3" x14ac:dyDescent="0.4">
      <c r="A415" s="2" t="s">
        <v>148</v>
      </c>
      <c r="B415" s="2">
        <v>11</v>
      </c>
      <c r="C415" s="3" t="s">
        <v>33</v>
      </c>
      <c r="D415" s="2"/>
      <c r="E415" s="2"/>
      <c r="F415" s="2"/>
      <c r="G415" s="2"/>
      <c r="H415" s="2"/>
      <c r="I415" s="2">
        <v>72.370599999999996</v>
      </c>
      <c r="J415" s="2">
        <v>22</v>
      </c>
      <c r="K415" s="2">
        <v>71.789599999999993</v>
      </c>
      <c r="L415" s="2">
        <v>24</v>
      </c>
      <c r="M415" s="2">
        <v>108.0988</v>
      </c>
      <c r="N415" s="2">
        <v>61</v>
      </c>
      <c r="O415" s="2">
        <v>112.19889999999999</v>
      </c>
      <c r="P415" s="2">
        <v>29</v>
      </c>
      <c r="Q415" s="2">
        <v>94.865499999999997</v>
      </c>
      <c r="R415" s="2">
        <v>31</v>
      </c>
      <c r="S415" s="2">
        <v>95.297700000000006</v>
      </c>
      <c r="T415" s="2">
        <v>42</v>
      </c>
      <c r="U415" s="2">
        <v>0.86733199999999999</v>
      </c>
      <c r="V415" s="2">
        <v>24</v>
      </c>
      <c r="W415" s="2">
        <v>2008</v>
      </c>
    </row>
    <row r="416" spans="1:23" ht="12.3" x14ac:dyDescent="0.4">
      <c r="A416" s="2" t="s">
        <v>40</v>
      </c>
      <c r="B416" s="2">
        <v>8</v>
      </c>
      <c r="C416" s="2"/>
      <c r="D416" s="2"/>
      <c r="E416" s="2"/>
      <c r="F416" s="2"/>
      <c r="G416" s="2"/>
      <c r="H416" s="2"/>
      <c r="I416" s="2">
        <v>67.089100000000002</v>
      </c>
      <c r="J416" s="2">
        <v>167</v>
      </c>
      <c r="K416" s="2">
        <v>68.109499999999997</v>
      </c>
      <c r="L416" s="2">
        <v>122</v>
      </c>
      <c r="M416" s="2">
        <v>110.4868</v>
      </c>
      <c r="N416" s="2">
        <v>34</v>
      </c>
      <c r="O416" s="2">
        <v>111.81180000000001</v>
      </c>
      <c r="P416" s="2">
        <v>33</v>
      </c>
      <c r="Q416" s="2">
        <v>95.513499999999993</v>
      </c>
      <c r="R416" s="2">
        <v>42</v>
      </c>
      <c r="S416" s="2">
        <v>95.040999999999997</v>
      </c>
      <c r="T416" s="2">
        <v>39</v>
      </c>
      <c r="U416" s="2">
        <v>0.86632500000000001</v>
      </c>
      <c r="V416" s="2">
        <v>25</v>
      </c>
      <c r="W416" s="2">
        <v>2008</v>
      </c>
    </row>
    <row r="417" spans="1:23" ht="12.3" x14ac:dyDescent="0.4">
      <c r="A417" s="2" t="s">
        <v>47</v>
      </c>
      <c r="B417" s="2">
        <v>7</v>
      </c>
      <c r="C417" s="2"/>
      <c r="D417" s="2"/>
      <c r="E417" s="2"/>
      <c r="F417" s="2"/>
      <c r="G417" s="2"/>
      <c r="H417" s="2"/>
      <c r="I417" s="2">
        <v>67.944800000000001</v>
      </c>
      <c r="J417" s="2">
        <v>136</v>
      </c>
      <c r="K417" s="2">
        <v>68.030100000000004</v>
      </c>
      <c r="L417" s="2">
        <v>125</v>
      </c>
      <c r="M417" s="2">
        <v>110.73139999999999</v>
      </c>
      <c r="N417" s="2">
        <v>31</v>
      </c>
      <c r="O417" s="2">
        <v>112.39879999999999</v>
      </c>
      <c r="P417" s="2">
        <v>27</v>
      </c>
      <c r="Q417" s="2">
        <v>91.851799999999997</v>
      </c>
      <c r="R417" s="2">
        <v>10</v>
      </c>
      <c r="S417" s="2">
        <v>95.591300000000004</v>
      </c>
      <c r="T417" s="2">
        <v>45</v>
      </c>
      <c r="U417" s="2">
        <v>0.86560800000000004</v>
      </c>
      <c r="V417" s="2">
        <v>26</v>
      </c>
      <c r="W417" s="2">
        <v>2008</v>
      </c>
    </row>
    <row r="418" spans="1:23" ht="12.3" x14ac:dyDescent="0.4">
      <c r="A418" s="2" t="s">
        <v>56</v>
      </c>
      <c r="B418" s="2">
        <v>5</v>
      </c>
      <c r="C418" s="3" t="s">
        <v>33</v>
      </c>
      <c r="D418" s="2"/>
      <c r="E418" s="2"/>
      <c r="F418" s="2"/>
      <c r="G418" s="2"/>
      <c r="H418" s="2"/>
      <c r="I418" s="2">
        <v>71.404799999999994</v>
      </c>
      <c r="J418" s="2">
        <v>39</v>
      </c>
      <c r="K418" s="2">
        <v>71.175299999999993</v>
      </c>
      <c r="L418" s="2">
        <v>34</v>
      </c>
      <c r="M418" s="2">
        <v>112.86150000000001</v>
      </c>
      <c r="N418" s="2">
        <v>15</v>
      </c>
      <c r="O418" s="2">
        <v>114.8331</v>
      </c>
      <c r="P418" s="2">
        <v>10</v>
      </c>
      <c r="Q418" s="2">
        <v>98.167400000000001</v>
      </c>
      <c r="R418" s="2">
        <v>79</v>
      </c>
      <c r="S418" s="2">
        <v>97.819599999999994</v>
      </c>
      <c r="T418" s="2">
        <v>81</v>
      </c>
      <c r="U418" s="2">
        <v>0.86343000000000003</v>
      </c>
      <c r="V418" s="2">
        <v>27</v>
      </c>
      <c r="W418" s="2">
        <v>2008</v>
      </c>
    </row>
    <row r="419" spans="1:23" ht="12.3" x14ac:dyDescent="0.4">
      <c r="A419" s="2" t="s">
        <v>54</v>
      </c>
      <c r="B419" s="2">
        <v>4</v>
      </c>
      <c r="C419" s="2"/>
      <c r="D419" s="2"/>
      <c r="E419" s="2"/>
      <c r="F419" s="2"/>
      <c r="G419" s="2"/>
      <c r="H419" s="2"/>
      <c r="I419" s="2">
        <v>70.208799999999997</v>
      </c>
      <c r="J419" s="2">
        <v>65</v>
      </c>
      <c r="K419" s="2">
        <v>68.753500000000003</v>
      </c>
      <c r="L419" s="2">
        <v>102</v>
      </c>
      <c r="M419" s="2">
        <v>110.42789999999999</v>
      </c>
      <c r="N419" s="2">
        <v>35</v>
      </c>
      <c r="O419" s="2">
        <v>113.4128</v>
      </c>
      <c r="P419" s="2">
        <v>17</v>
      </c>
      <c r="Q419" s="2">
        <v>97.653599999999997</v>
      </c>
      <c r="R419" s="2">
        <v>70</v>
      </c>
      <c r="S419" s="2">
        <v>96.791200000000003</v>
      </c>
      <c r="T419" s="2">
        <v>63</v>
      </c>
      <c r="U419" s="2">
        <v>0.86086600000000002</v>
      </c>
      <c r="V419" s="2">
        <v>28</v>
      </c>
      <c r="W419" s="2">
        <v>2008</v>
      </c>
    </row>
    <row r="420" spans="1:23" ht="12.3" x14ac:dyDescent="0.4">
      <c r="A420" s="2" t="s">
        <v>46</v>
      </c>
      <c r="B420" s="2">
        <v>4</v>
      </c>
      <c r="C420" s="3" t="s">
        <v>33</v>
      </c>
      <c r="D420" s="2"/>
      <c r="E420" s="2"/>
      <c r="F420" s="2"/>
      <c r="G420" s="2"/>
      <c r="H420" s="2"/>
      <c r="I420" s="2">
        <v>65.592799999999997</v>
      </c>
      <c r="J420" s="2">
        <v>220</v>
      </c>
      <c r="K420" s="2">
        <v>65.295100000000005</v>
      </c>
      <c r="L420" s="2">
        <v>229</v>
      </c>
      <c r="M420" s="2">
        <v>111.2773</v>
      </c>
      <c r="N420" s="2">
        <v>23</v>
      </c>
      <c r="O420" s="2">
        <v>114.1934</v>
      </c>
      <c r="P420" s="2">
        <v>13</v>
      </c>
      <c r="Q420" s="2">
        <v>99.247299999999996</v>
      </c>
      <c r="R420" s="2">
        <v>96</v>
      </c>
      <c r="S420" s="2">
        <v>97.520099999999999</v>
      </c>
      <c r="T420" s="2">
        <v>72</v>
      </c>
      <c r="U420" s="2">
        <v>0.85997800000000002</v>
      </c>
      <c r="V420" s="2">
        <v>29</v>
      </c>
      <c r="W420" s="2">
        <v>2008</v>
      </c>
    </row>
    <row r="421" spans="1:23" ht="12.3" x14ac:dyDescent="0.4">
      <c r="A421" s="2" t="s">
        <v>229</v>
      </c>
      <c r="B421" s="2">
        <v>7</v>
      </c>
      <c r="C421" s="3" t="s">
        <v>33</v>
      </c>
      <c r="D421" s="3" t="s">
        <v>33</v>
      </c>
      <c r="E421" s="2"/>
      <c r="F421" s="2"/>
      <c r="G421" s="2"/>
      <c r="H421" s="2"/>
      <c r="I421" s="2">
        <v>66.319800000000001</v>
      </c>
      <c r="J421" s="2">
        <v>192</v>
      </c>
      <c r="K421" s="2">
        <v>65.476100000000002</v>
      </c>
      <c r="L421" s="2">
        <v>220</v>
      </c>
      <c r="M421" s="2">
        <v>110.97669999999999</v>
      </c>
      <c r="N421" s="2">
        <v>28</v>
      </c>
      <c r="O421" s="2">
        <v>110.10339999999999</v>
      </c>
      <c r="P421" s="2">
        <v>44</v>
      </c>
      <c r="Q421" s="2">
        <v>95.014799999999994</v>
      </c>
      <c r="R421" s="2">
        <v>36</v>
      </c>
      <c r="S421" s="2">
        <v>94.694800000000001</v>
      </c>
      <c r="T421" s="2">
        <v>36</v>
      </c>
      <c r="U421" s="2">
        <v>0.84989099999999995</v>
      </c>
      <c r="V421" s="2">
        <v>30</v>
      </c>
      <c r="W421" s="2">
        <v>2008</v>
      </c>
    </row>
    <row r="422" spans="1:23" ht="12.3" x14ac:dyDescent="0.4">
      <c r="A422" s="2" t="s">
        <v>96</v>
      </c>
      <c r="B422" s="2">
        <v>8</v>
      </c>
      <c r="C422" s="2"/>
      <c r="D422" s="2"/>
      <c r="E422" s="2"/>
      <c r="F422" s="2"/>
      <c r="G422" s="2"/>
      <c r="H422" s="2"/>
      <c r="I422" s="2">
        <v>69.926299999999998</v>
      </c>
      <c r="J422" s="2">
        <v>72</v>
      </c>
      <c r="K422" s="2">
        <v>69.700299999999999</v>
      </c>
      <c r="L422" s="2">
        <v>76</v>
      </c>
      <c r="M422" s="2">
        <v>105.48569999999999</v>
      </c>
      <c r="N422" s="2">
        <v>106</v>
      </c>
      <c r="O422" s="2">
        <v>104.72280000000001</v>
      </c>
      <c r="P422" s="2">
        <v>124</v>
      </c>
      <c r="Q422" s="2">
        <v>90.422499999999999</v>
      </c>
      <c r="R422" s="2">
        <v>6</v>
      </c>
      <c r="S422" s="2">
        <v>90.529700000000005</v>
      </c>
      <c r="T422" s="2">
        <v>8</v>
      </c>
      <c r="U422" s="2">
        <v>0.842221</v>
      </c>
      <c r="V422" s="2">
        <v>32</v>
      </c>
      <c r="W422" s="2">
        <v>2008</v>
      </c>
    </row>
    <row r="423" spans="1:23" ht="12.3" x14ac:dyDescent="0.4">
      <c r="A423" s="2" t="s">
        <v>41</v>
      </c>
      <c r="B423" s="2">
        <v>9</v>
      </c>
      <c r="C423" s="2"/>
      <c r="D423" s="2"/>
      <c r="E423" s="2"/>
      <c r="F423" s="2"/>
      <c r="G423" s="2"/>
      <c r="H423" s="2"/>
      <c r="I423" s="2">
        <v>67.217299999999994</v>
      </c>
      <c r="J423" s="2">
        <v>164</v>
      </c>
      <c r="K423" s="2">
        <v>67.124600000000001</v>
      </c>
      <c r="L423" s="2">
        <v>154</v>
      </c>
      <c r="M423" s="2">
        <v>112.5175</v>
      </c>
      <c r="N423" s="2">
        <v>20</v>
      </c>
      <c r="O423" s="2">
        <v>117.79649999999999</v>
      </c>
      <c r="P423" s="2">
        <v>5</v>
      </c>
      <c r="Q423" s="2">
        <v>106.9744</v>
      </c>
      <c r="R423" s="2">
        <v>288</v>
      </c>
      <c r="S423" s="2">
        <v>102.47839999999999</v>
      </c>
      <c r="T423" s="2">
        <v>172</v>
      </c>
      <c r="U423" s="2">
        <v>0.83230199999999999</v>
      </c>
      <c r="V423" s="2">
        <v>34</v>
      </c>
      <c r="W423" s="2">
        <v>2008</v>
      </c>
    </row>
    <row r="424" spans="1:23" ht="12.3" x14ac:dyDescent="0.4">
      <c r="A424" s="2" t="s">
        <v>48</v>
      </c>
      <c r="B424" s="2">
        <v>8</v>
      </c>
      <c r="C424" s="3" t="s">
        <v>33</v>
      </c>
      <c r="D424" s="2"/>
      <c r="E424" s="2"/>
      <c r="F424" s="2"/>
      <c r="G424" s="2"/>
      <c r="H424" s="2"/>
      <c r="I424" s="2">
        <v>69.029799999999994</v>
      </c>
      <c r="J424" s="2">
        <v>97</v>
      </c>
      <c r="K424" s="2">
        <v>68.284599999999998</v>
      </c>
      <c r="L424" s="2">
        <v>115</v>
      </c>
      <c r="M424" s="2">
        <v>104.67619999999999</v>
      </c>
      <c r="N424" s="2">
        <v>122</v>
      </c>
      <c r="O424" s="2">
        <v>104.83540000000001</v>
      </c>
      <c r="P424" s="2">
        <v>120</v>
      </c>
      <c r="Q424" s="2">
        <v>93.591999999999999</v>
      </c>
      <c r="R424" s="2">
        <v>24</v>
      </c>
      <c r="S424" s="2">
        <v>91.679100000000005</v>
      </c>
      <c r="T424" s="2">
        <v>14</v>
      </c>
      <c r="U424" s="2">
        <v>0.82377299999999998</v>
      </c>
      <c r="V424" s="2">
        <v>37</v>
      </c>
      <c r="W424" s="2">
        <v>2008</v>
      </c>
    </row>
    <row r="425" spans="1:23" ht="12.3" x14ac:dyDescent="0.4">
      <c r="A425" s="2" t="s">
        <v>53</v>
      </c>
      <c r="B425" s="2">
        <v>9</v>
      </c>
      <c r="C425" s="2"/>
      <c r="D425" s="2"/>
      <c r="E425" s="2"/>
      <c r="F425" s="2"/>
      <c r="G425" s="2"/>
      <c r="H425" s="2"/>
      <c r="I425" s="2">
        <v>65.048599999999993</v>
      </c>
      <c r="J425" s="2">
        <v>245</v>
      </c>
      <c r="K425" s="2">
        <v>66.120400000000004</v>
      </c>
      <c r="L425" s="2">
        <v>194</v>
      </c>
      <c r="M425" s="2">
        <v>106.1494</v>
      </c>
      <c r="N425" s="2">
        <v>91</v>
      </c>
      <c r="O425" s="2">
        <v>106.7225</v>
      </c>
      <c r="P425" s="2">
        <v>90</v>
      </c>
      <c r="Q425" s="2">
        <v>94.171099999999996</v>
      </c>
      <c r="R425" s="2">
        <v>26</v>
      </c>
      <c r="S425" s="2">
        <v>93.373999999999995</v>
      </c>
      <c r="T425" s="2">
        <v>24</v>
      </c>
      <c r="U425" s="2">
        <v>0.82297200000000004</v>
      </c>
      <c r="V425" s="2">
        <v>38</v>
      </c>
      <c r="W425" s="2">
        <v>2008</v>
      </c>
    </row>
    <row r="426" spans="1:23" ht="12.3" x14ac:dyDescent="0.4">
      <c r="A426" s="2" t="s">
        <v>68</v>
      </c>
      <c r="B426" s="2">
        <v>12</v>
      </c>
      <c r="C426" s="3" t="s">
        <v>33</v>
      </c>
      <c r="D426" s="3" t="s">
        <v>33</v>
      </c>
      <c r="E426" s="2"/>
      <c r="F426" s="2"/>
      <c r="G426" s="2"/>
      <c r="H426" s="2"/>
      <c r="I426" s="2">
        <v>68.691900000000004</v>
      </c>
      <c r="J426" s="2">
        <v>110</v>
      </c>
      <c r="K426" s="2">
        <v>68.941500000000005</v>
      </c>
      <c r="L426" s="2">
        <v>95</v>
      </c>
      <c r="M426" s="2">
        <v>111.07850000000001</v>
      </c>
      <c r="N426" s="2">
        <v>26</v>
      </c>
      <c r="O426" s="2">
        <v>109.4072</v>
      </c>
      <c r="P426" s="2">
        <v>54</v>
      </c>
      <c r="Q426" s="2">
        <v>94.486800000000002</v>
      </c>
      <c r="R426" s="2">
        <v>28</v>
      </c>
      <c r="S426" s="2">
        <v>95.892200000000003</v>
      </c>
      <c r="T426" s="2">
        <v>51</v>
      </c>
      <c r="U426" s="2">
        <v>0.81999200000000005</v>
      </c>
      <c r="V426" s="2">
        <v>39</v>
      </c>
      <c r="W426" s="2">
        <v>2008</v>
      </c>
    </row>
    <row r="427" spans="1:23" ht="12.3" x14ac:dyDescent="0.4">
      <c r="A427" s="2" t="s">
        <v>158</v>
      </c>
      <c r="B427" s="2">
        <v>11</v>
      </c>
      <c r="C427" s="2"/>
      <c r="D427" s="2"/>
      <c r="E427" s="2"/>
      <c r="F427" s="2"/>
      <c r="G427" s="2"/>
      <c r="H427" s="2"/>
      <c r="I427" s="2">
        <v>70.931600000000003</v>
      </c>
      <c r="J427" s="2">
        <v>49</v>
      </c>
      <c r="K427" s="2">
        <v>71.796700000000001</v>
      </c>
      <c r="L427" s="2">
        <v>23</v>
      </c>
      <c r="M427" s="2">
        <v>110.2323</v>
      </c>
      <c r="N427" s="2">
        <v>37</v>
      </c>
      <c r="O427" s="2">
        <v>113.99039999999999</v>
      </c>
      <c r="P427" s="2">
        <v>15</v>
      </c>
      <c r="Q427" s="2">
        <v>101.56610000000001</v>
      </c>
      <c r="R427" s="2">
        <v>154</v>
      </c>
      <c r="S427" s="2">
        <v>99.945999999999998</v>
      </c>
      <c r="T427" s="2">
        <v>116</v>
      </c>
      <c r="U427" s="2">
        <v>0.81936699999999996</v>
      </c>
      <c r="V427" s="2">
        <v>40</v>
      </c>
      <c r="W427" s="2">
        <v>2008</v>
      </c>
    </row>
    <row r="428" spans="1:23" ht="12.3" x14ac:dyDescent="0.4">
      <c r="A428" s="2" t="s">
        <v>262</v>
      </c>
      <c r="B428" s="2">
        <v>10</v>
      </c>
      <c r="C428" s="2"/>
      <c r="D428" s="2"/>
      <c r="E428" s="2"/>
      <c r="F428" s="2"/>
      <c r="G428" s="2"/>
      <c r="H428" s="2"/>
      <c r="I428" s="2">
        <v>67.921499999999995</v>
      </c>
      <c r="J428" s="2">
        <v>138</v>
      </c>
      <c r="K428" s="2">
        <v>67.218500000000006</v>
      </c>
      <c r="L428" s="2">
        <v>150</v>
      </c>
      <c r="M428" s="2">
        <v>110.14409999999999</v>
      </c>
      <c r="N428" s="2">
        <v>39</v>
      </c>
      <c r="O428" s="2">
        <v>107.3677</v>
      </c>
      <c r="P428" s="2">
        <v>76</v>
      </c>
      <c r="Q428" s="2">
        <v>92.293999999999997</v>
      </c>
      <c r="R428" s="2">
        <v>13</v>
      </c>
      <c r="S428" s="2">
        <v>94.212000000000003</v>
      </c>
      <c r="T428" s="2">
        <v>33</v>
      </c>
      <c r="U428" s="2">
        <v>0.81805000000000005</v>
      </c>
      <c r="V428" s="2">
        <v>41</v>
      </c>
      <c r="W428" s="2">
        <v>2008</v>
      </c>
    </row>
    <row r="429" spans="1:23" ht="12.3" x14ac:dyDescent="0.4">
      <c r="A429" s="2" t="s">
        <v>38</v>
      </c>
      <c r="B429" s="2">
        <v>6</v>
      </c>
      <c r="C429" s="3" t="s">
        <v>33</v>
      </c>
      <c r="D429" s="2"/>
      <c r="E429" s="2"/>
      <c r="F429" s="2"/>
      <c r="G429" s="2"/>
      <c r="H429" s="2"/>
      <c r="I429" s="2">
        <v>64.889300000000006</v>
      </c>
      <c r="J429" s="2">
        <v>256</v>
      </c>
      <c r="K429" s="2">
        <v>64.787599999999998</v>
      </c>
      <c r="L429" s="2">
        <v>251</v>
      </c>
      <c r="M429" s="2">
        <v>103.9473</v>
      </c>
      <c r="N429" s="2">
        <v>135</v>
      </c>
      <c r="O429" s="2">
        <v>106.61320000000001</v>
      </c>
      <c r="P429" s="2">
        <v>94</v>
      </c>
      <c r="Q429" s="2">
        <v>96.940600000000003</v>
      </c>
      <c r="R429" s="2">
        <v>58</v>
      </c>
      <c r="S429" s="2">
        <v>93.743200000000002</v>
      </c>
      <c r="T429" s="2">
        <v>28</v>
      </c>
      <c r="U429" s="2">
        <v>0.81449000000000005</v>
      </c>
      <c r="V429" s="2">
        <v>42</v>
      </c>
      <c r="W429" s="2">
        <v>2008</v>
      </c>
    </row>
    <row r="430" spans="1:23" ht="12.3" x14ac:dyDescent="0.4">
      <c r="A430" s="2" t="s">
        <v>91</v>
      </c>
      <c r="B430" s="2">
        <v>11</v>
      </c>
      <c r="C430" s="2"/>
      <c r="D430" s="2"/>
      <c r="E430" s="2"/>
      <c r="F430" s="2"/>
      <c r="G430" s="2"/>
      <c r="H430" s="2"/>
      <c r="I430" s="2">
        <v>65.145099999999999</v>
      </c>
      <c r="J430" s="2">
        <v>237</v>
      </c>
      <c r="K430" s="2">
        <v>65.198899999999995</v>
      </c>
      <c r="L430" s="2">
        <v>233</v>
      </c>
      <c r="M430" s="2">
        <v>112.07340000000001</v>
      </c>
      <c r="N430" s="2">
        <v>22</v>
      </c>
      <c r="O430" s="2">
        <v>112.9071</v>
      </c>
      <c r="P430" s="2">
        <v>22</v>
      </c>
      <c r="Q430" s="2">
        <v>102.3507</v>
      </c>
      <c r="R430" s="2">
        <v>180</v>
      </c>
      <c r="S430" s="2">
        <v>99.813800000000001</v>
      </c>
      <c r="T430" s="2">
        <v>115</v>
      </c>
      <c r="U430" s="2">
        <v>0.80494299999999996</v>
      </c>
      <c r="V430" s="2">
        <v>44</v>
      </c>
      <c r="W430" s="2">
        <v>2008</v>
      </c>
    </row>
    <row r="431" spans="1:23" ht="12.3" x14ac:dyDescent="0.4">
      <c r="A431" s="2" t="s">
        <v>60</v>
      </c>
      <c r="B431" s="2">
        <v>7</v>
      </c>
      <c r="C431" s="3" t="s">
        <v>33</v>
      </c>
      <c r="D431" s="2"/>
      <c r="E431" s="2"/>
      <c r="F431" s="2"/>
      <c r="G431" s="2"/>
      <c r="H431" s="2"/>
      <c r="I431" s="2">
        <v>68.061099999999996</v>
      </c>
      <c r="J431" s="2">
        <v>130</v>
      </c>
      <c r="K431" s="2">
        <v>66.975899999999996</v>
      </c>
      <c r="L431" s="2">
        <v>160</v>
      </c>
      <c r="M431" s="2">
        <v>107.3847</v>
      </c>
      <c r="N431" s="2">
        <v>71</v>
      </c>
      <c r="O431" s="2">
        <v>110.3429</v>
      </c>
      <c r="P431" s="2">
        <v>43</v>
      </c>
      <c r="Q431" s="2">
        <v>98.959199999999996</v>
      </c>
      <c r="R431" s="2">
        <v>92</v>
      </c>
      <c r="S431" s="2">
        <v>97.679199999999994</v>
      </c>
      <c r="T431" s="2">
        <v>76</v>
      </c>
      <c r="U431" s="2">
        <v>0.802485</v>
      </c>
      <c r="V431" s="2">
        <v>45</v>
      </c>
      <c r="W431" s="2">
        <v>2008</v>
      </c>
    </row>
    <row r="432" spans="1:23" ht="12.3" x14ac:dyDescent="0.4">
      <c r="A432" s="2" t="s">
        <v>80</v>
      </c>
      <c r="B432" s="2">
        <v>9</v>
      </c>
      <c r="C432" s="3" t="s">
        <v>33</v>
      </c>
      <c r="D432" s="2"/>
      <c r="E432" s="2"/>
      <c r="F432" s="2"/>
      <c r="G432" s="2"/>
      <c r="H432" s="2"/>
      <c r="I432" s="2">
        <v>69.215900000000005</v>
      </c>
      <c r="J432" s="2">
        <v>92</v>
      </c>
      <c r="K432" s="2">
        <v>68.398700000000005</v>
      </c>
      <c r="L432" s="2">
        <v>112</v>
      </c>
      <c r="M432" s="2">
        <v>106.20659999999999</v>
      </c>
      <c r="N432" s="2">
        <v>90</v>
      </c>
      <c r="O432" s="2">
        <v>107.94889999999999</v>
      </c>
      <c r="P432" s="2">
        <v>70</v>
      </c>
      <c r="Q432" s="2">
        <v>96.689599999999999</v>
      </c>
      <c r="R432" s="2">
        <v>55</v>
      </c>
      <c r="S432" s="2">
        <v>95.596500000000006</v>
      </c>
      <c r="T432" s="2">
        <v>46</v>
      </c>
      <c r="U432" s="2">
        <v>0.80178700000000003</v>
      </c>
      <c r="V432" s="2">
        <v>46</v>
      </c>
      <c r="W432" s="2">
        <v>2008</v>
      </c>
    </row>
    <row r="433" spans="1:23" ht="12.3" x14ac:dyDescent="0.4">
      <c r="A433" s="2" t="s">
        <v>109</v>
      </c>
      <c r="B433" s="2">
        <v>8</v>
      </c>
      <c r="C433" s="3" t="s">
        <v>33</v>
      </c>
      <c r="D433" s="2"/>
      <c r="E433" s="2"/>
      <c r="F433" s="2"/>
      <c r="G433" s="2"/>
      <c r="H433" s="2"/>
      <c r="I433" s="2">
        <v>65.445300000000003</v>
      </c>
      <c r="J433" s="2">
        <v>227</v>
      </c>
      <c r="K433" s="2">
        <v>65.083799999999997</v>
      </c>
      <c r="L433" s="2">
        <v>237</v>
      </c>
      <c r="M433" s="2">
        <v>105.7488</v>
      </c>
      <c r="N433" s="2">
        <v>99</v>
      </c>
      <c r="O433" s="2">
        <v>109.9117</v>
      </c>
      <c r="P433" s="2">
        <v>47</v>
      </c>
      <c r="Q433" s="2">
        <v>95.034800000000004</v>
      </c>
      <c r="R433" s="2">
        <v>37</v>
      </c>
      <c r="S433" s="2">
        <v>97.637600000000006</v>
      </c>
      <c r="T433" s="2">
        <v>73</v>
      </c>
      <c r="U433" s="2">
        <v>0.79604699999999995</v>
      </c>
      <c r="V433" s="2">
        <v>48</v>
      </c>
      <c r="W433" s="2">
        <v>2008</v>
      </c>
    </row>
    <row r="434" spans="1:23" ht="12.3" x14ac:dyDescent="0.4">
      <c r="A434" s="2" t="s">
        <v>88</v>
      </c>
      <c r="B434" s="2">
        <v>12</v>
      </c>
      <c r="C434" s="2"/>
      <c r="D434" s="2"/>
      <c r="E434" s="2"/>
      <c r="F434" s="2"/>
      <c r="G434" s="2"/>
      <c r="H434" s="2"/>
      <c r="I434" s="2">
        <v>65.539599999999993</v>
      </c>
      <c r="J434" s="2">
        <v>223</v>
      </c>
      <c r="K434" s="2">
        <v>65.123900000000006</v>
      </c>
      <c r="L434" s="2">
        <v>236</v>
      </c>
      <c r="M434" s="2">
        <v>109.0386</v>
      </c>
      <c r="N434" s="2">
        <v>51</v>
      </c>
      <c r="O434" s="2">
        <v>111.1769</v>
      </c>
      <c r="P434" s="2">
        <v>37</v>
      </c>
      <c r="Q434" s="2">
        <v>102.7907</v>
      </c>
      <c r="R434" s="2">
        <v>190</v>
      </c>
      <c r="S434" s="2">
        <v>99.271100000000004</v>
      </c>
      <c r="T434" s="2">
        <v>105</v>
      </c>
      <c r="U434" s="2">
        <v>0.786269</v>
      </c>
      <c r="V434" s="2">
        <v>52</v>
      </c>
      <c r="W434" s="2">
        <v>2008</v>
      </c>
    </row>
    <row r="435" spans="1:23" ht="12.3" x14ac:dyDescent="0.4">
      <c r="A435" s="2" t="s">
        <v>78</v>
      </c>
      <c r="B435" s="2">
        <v>12</v>
      </c>
      <c r="C435" s="3" t="s">
        <v>33</v>
      </c>
      <c r="D435" s="3" t="s">
        <v>33</v>
      </c>
      <c r="E435" s="2"/>
      <c r="F435" s="2"/>
      <c r="G435" s="2"/>
      <c r="H435" s="2"/>
      <c r="I435" s="2">
        <v>69.0578</v>
      </c>
      <c r="J435" s="2">
        <v>96</v>
      </c>
      <c r="K435" s="2">
        <v>69.017200000000003</v>
      </c>
      <c r="L435" s="2">
        <v>90</v>
      </c>
      <c r="M435" s="2">
        <v>105.37779999999999</v>
      </c>
      <c r="N435" s="2">
        <v>109</v>
      </c>
      <c r="O435" s="2">
        <v>106.6808</v>
      </c>
      <c r="P435" s="2">
        <v>91</v>
      </c>
      <c r="Q435" s="2">
        <v>100.4832</v>
      </c>
      <c r="R435" s="2">
        <v>126</v>
      </c>
      <c r="S435" s="2">
        <v>95.487399999999994</v>
      </c>
      <c r="T435" s="2">
        <v>44</v>
      </c>
      <c r="U435" s="2">
        <v>0.78155399999999997</v>
      </c>
      <c r="V435" s="2">
        <v>54</v>
      </c>
      <c r="W435" s="2">
        <v>2008</v>
      </c>
    </row>
    <row r="436" spans="1:23" ht="12.3" x14ac:dyDescent="0.4">
      <c r="A436" s="2" t="s">
        <v>111</v>
      </c>
      <c r="B436" s="2">
        <v>4</v>
      </c>
      <c r="C436" s="2"/>
      <c r="D436" s="2"/>
      <c r="E436" s="2"/>
      <c r="F436" s="2"/>
      <c r="G436" s="2"/>
      <c r="H436" s="2"/>
      <c r="I436" s="2">
        <v>71.372</v>
      </c>
      <c r="J436" s="2">
        <v>40</v>
      </c>
      <c r="K436" s="2">
        <v>69.7072</v>
      </c>
      <c r="L436" s="2">
        <v>75</v>
      </c>
      <c r="M436" s="2">
        <v>110.18219999999999</v>
      </c>
      <c r="N436" s="2">
        <v>38</v>
      </c>
      <c r="O436" s="2">
        <v>110.4747</v>
      </c>
      <c r="P436" s="2">
        <v>42</v>
      </c>
      <c r="Q436" s="2">
        <v>101.6717</v>
      </c>
      <c r="R436" s="2">
        <v>161</v>
      </c>
      <c r="S436" s="2">
        <v>98.952600000000004</v>
      </c>
      <c r="T436" s="2">
        <v>96</v>
      </c>
      <c r="U436" s="2">
        <v>0.78017400000000003</v>
      </c>
      <c r="V436" s="2">
        <v>55</v>
      </c>
      <c r="W436" s="2">
        <v>2008</v>
      </c>
    </row>
    <row r="437" spans="1:23" ht="12.3" x14ac:dyDescent="0.4">
      <c r="A437" s="2" t="s">
        <v>287</v>
      </c>
      <c r="B437" s="2">
        <v>10</v>
      </c>
      <c r="C437" s="2"/>
      <c r="D437" s="2"/>
      <c r="E437" s="2"/>
      <c r="F437" s="2"/>
      <c r="G437" s="2"/>
      <c r="H437" s="2"/>
      <c r="I437" s="2">
        <v>66.862899999999996</v>
      </c>
      <c r="J437" s="2">
        <v>175</v>
      </c>
      <c r="K437" s="2">
        <v>66.534999999999997</v>
      </c>
      <c r="L437" s="2">
        <v>177</v>
      </c>
      <c r="M437" s="2">
        <v>112.7932</v>
      </c>
      <c r="N437" s="2">
        <v>18</v>
      </c>
      <c r="O437" s="2">
        <v>110.8569</v>
      </c>
      <c r="P437" s="2">
        <v>40</v>
      </c>
      <c r="Q437" s="2">
        <v>97.214500000000001</v>
      </c>
      <c r="R437" s="2">
        <v>64</v>
      </c>
      <c r="S437" s="2">
        <v>99.782399999999996</v>
      </c>
      <c r="T437" s="2">
        <v>113</v>
      </c>
      <c r="U437" s="2">
        <v>0.77036199999999999</v>
      </c>
      <c r="V437" s="2">
        <v>59</v>
      </c>
      <c r="W437" s="2">
        <v>2008</v>
      </c>
    </row>
    <row r="438" spans="1:23" ht="12.3" x14ac:dyDescent="0.4">
      <c r="A438" s="2" t="s">
        <v>138</v>
      </c>
      <c r="B438" s="2">
        <v>13</v>
      </c>
      <c r="C438" s="2"/>
      <c r="D438" s="2"/>
      <c r="E438" s="2"/>
      <c r="F438" s="2"/>
      <c r="G438" s="2"/>
      <c r="H438" s="2"/>
      <c r="I438" s="2">
        <v>64.919399999999996</v>
      </c>
      <c r="J438" s="2">
        <v>252</v>
      </c>
      <c r="K438" s="2">
        <v>65.232600000000005</v>
      </c>
      <c r="L438" s="2">
        <v>232</v>
      </c>
      <c r="M438" s="2">
        <v>105.22490000000001</v>
      </c>
      <c r="N438" s="2">
        <v>113</v>
      </c>
      <c r="O438" s="2">
        <v>102.7894</v>
      </c>
      <c r="P438" s="2">
        <v>157</v>
      </c>
      <c r="Q438" s="2">
        <v>94.201800000000006</v>
      </c>
      <c r="R438" s="2">
        <v>27</v>
      </c>
      <c r="S438" s="2">
        <v>93.205399999999997</v>
      </c>
      <c r="T438" s="2">
        <v>22</v>
      </c>
      <c r="U438" s="2">
        <v>0.755023</v>
      </c>
      <c r="V438" s="2">
        <v>67</v>
      </c>
      <c r="W438" s="2">
        <v>2008</v>
      </c>
    </row>
    <row r="439" spans="1:23" ht="12.3" x14ac:dyDescent="0.4">
      <c r="A439" s="2" t="s">
        <v>147</v>
      </c>
      <c r="B439" s="2">
        <v>12</v>
      </c>
      <c r="C439" s="2"/>
      <c r="D439" s="2"/>
      <c r="E439" s="2"/>
      <c r="F439" s="2"/>
      <c r="G439" s="2"/>
      <c r="H439" s="2"/>
      <c r="I439" s="2">
        <v>62.957999999999998</v>
      </c>
      <c r="J439" s="2">
        <v>299</v>
      </c>
      <c r="K439" s="2">
        <v>63.191200000000002</v>
      </c>
      <c r="L439" s="2">
        <v>297</v>
      </c>
      <c r="M439" s="2">
        <v>109.9854</v>
      </c>
      <c r="N439" s="2">
        <v>41</v>
      </c>
      <c r="O439" s="2">
        <v>109.28870000000001</v>
      </c>
      <c r="P439" s="2">
        <v>55</v>
      </c>
      <c r="Q439" s="2">
        <v>97.944800000000001</v>
      </c>
      <c r="R439" s="2">
        <v>76</v>
      </c>
      <c r="S439" s="2">
        <v>100.0801</v>
      </c>
      <c r="T439" s="2">
        <v>119</v>
      </c>
      <c r="U439" s="2">
        <v>0.73346100000000003</v>
      </c>
      <c r="V439" s="2">
        <v>77</v>
      </c>
      <c r="W439" s="2">
        <v>2008</v>
      </c>
    </row>
    <row r="440" spans="1:23" ht="12.3" x14ac:dyDescent="0.4">
      <c r="A440" s="2" t="s">
        <v>45</v>
      </c>
      <c r="B440" s="2">
        <v>11</v>
      </c>
      <c r="C440" s="2"/>
      <c r="D440" s="2"/>
      <c r="E440" s="2"/>
      <c r="F440" s="2"/>
      <c r="G440" s="2"/>
      <c r="H440" s="2"/>
      <c r="I440" s="2">
        <v>65.746499999999997</v>
      </c>
      <c r="J440" s="2">
        <v>209</v>
      </c>
      <c r="K440" s="2">
        <v>63.935699999999997</v>
      </c>
      <c r="L440" s="2">
        <v>281</v>
      </c>
      <c r="M440" s="2">
        <v>103.1138</v>
      </c>
      <c r="N440" s="2">
        <v>151</v>
      </c>
      <c r="O440" s="2">
        <v>104.46420000000001</v>
      </c>
      <c r="P440" s="2">
        <v>128</v>
      </c>
      <c r="Q440" s="2">
        <v>97.912199999999999</v>
      </c>
      <c r="R440" s="2">
        <v>75</v>
      </c>
      <c r="S440" s="2">
        <v>96.662199999999999</v>
      </c>
      <c r="T440" s="2">
        <v>61</v>
      </c>
      <c r="U440" s="2">
        <v>0.70943800000000001</v>
      </c>
      <c r="V440" s="2">
        <v>86</v>
      </c>
      <c r="W440" s="2">
        <v>2008</v>
      </c>
    </row>
    <row r="441" spans="1:23" ht="12.3" x14ac:dyDescent="0.4">
      <c r="A441" s="2" t="s">
        <v>311</v>
      </c>
      <c r="B441" s="2">
        <v>14</v>
      </c>
      <c r="C441" s="2"/>
      <c r="D441" s="2"/>
      <c r="E441" s="2"/>
      <c r="F441" s="2"/>
      <c r="G441" s="2"/>
      <c r="H441" s="2"/>
      <c r="I441" s="2">
        <v>72.604699999999994</v>
      </c>
      <c r="J441" s="2">
        <v>18</v>
      </c>
      <c r="K441" s="2">
        <v>73.192899999999995</v>
      </c>
      <c r="L441" s="2">
        <v>15</v>
      </c>
      <c r="M441" s="2">
        <v>113.43210000000001</v>
      </c>
      <c r="N441" s="2">
        <v>11</v>
      </c>
      <c r="O441" s="2">
        <v>111.11960000000001</v>
      </c>
      <c r="P441" s="2">
        <v>38</v>
      </c>
      <c r="Q441" s="2">
        <v>100.2556</v>
      </c>
      <c r="R441" s="2">
        <v>120</v>
      </c>
      <c r="S441" s="2">
        <v>103.7128</v>
      </c>
      <c r="T441" s="2">
        <v>198</v>
      </c>
      <c r="U441" s="2">
        <v>0.68853699999999995</v>
      </c>
      <c r="V441" s="2">
        <v>91</v>
      </c>
      <c r="W441" s="2">
        <v>2008</v>
      </c>
    </row>
    <row r="442" spans="1:23" ht="12.3" x14ac:dyDescent="0.4">
      <c r="A442" s="2" t="s">
        <v>196</v>
      </c>
      <c r="B442" s="2">
        <v>13</v>
      </c>
      <c r="C442" s="3" t="s">
        <v>33</v>
      </c>
      <c r="D442" s="2"/>
      <c r="E442" s="2"/>
      <c r="F442" s="2"/>
      <c r="G442" s="2"/>
      <c r="H442" s="2"/>
      <c r="I442" s="2">
        <v>69.734200000000001</v>
      </c>
      <c r="J442" s="2">
        <v>78</v>
      </c>
      <c r="K442" s="2">
        <v>68.659800000000004</v>
      </c>
      <c r="L442" s="2">
        <v>107</v>
      </c>
      <c r="M442" s="2">
        <v>108.8561</v>
      </c>
      <c r="N442" s="2">
        <v>52</v>
      </c>
      <c r="O442" s="2">
        <v>106.1652</v>
      </c>
      <c r="P442" s="2">
        <v>104</v>
      </c>
      <c r="Q442" s="2">
        <v>100.29819999999999</v>
      </c>
      <c r="R442" s="2">
        <v>122</v>
      </c>
      <c r="S442" s="2">
        <v>99.343299999999999</v>
      </c>
      <c r="T442" s="2">
        <v>107</v>
      </c>
      <c r="U442" s="2">
        <v>0.68217099999999997</v>
      </c>
      <c r="V442" s="2">
        <v>93</v>
      </c>
      <c r="W442" s="2">
        <v>2008</v>
      </c>
    </row>
    <row r="443" spans="1:23" ht="12.3" x14ac:dyDescent="0.4">
      <c r="A443" s="2" t="s">
        <v>240</v>
      </c>
      <c r="B443" s="2">
        <v>13</v>
      </c>
      <c r="C443" s="2"/>
      <c r="D443" s="2"/>
      <c r="E443" s="2"/>
      <c r="F443" s="2"/>
      <c r="G443" s="2"/>
      <c r="H443" s="2"/>
      <c r="I443" s="2">
        <v>63.688600000000001</v>
      </c>
      <c r="J443" s="2">
        <v>291</v>
      </c>
      <c r="K443" s="2">
        <v>63.138500000000001</v>
      </c>
      <c r="L443" s="2">
        <v>298</v>
      </c>
      <c r="M443" s="2">
        <v>101.76130000000001</v>
      </c>
      <c r="N443" s="2">
        <v>168</v>
      </c>
      <c r="O443" s="2">
        <v>97.460499999999996</v>
      </c>
      <c r="P443" s="2">
        <v>243</v>
      </c>
      <c r="Q443" s="2">
        <v>92.325000000000003</v>
      </c>
      <c r="R443" s="2">
        <v>14</v>
      </c>
      <c r="S443" s="2">
        <v>91.6691</v>
      </c>
      <c r="T443" s="2">
        <v>13</v>
      </c>
      <c r="U443" s="2">
        <v>0.66918699999999998</v>
      </c>
      <c r="V443" s="2">
        <v>96</v>
      </c>
      <c r="W443" s="2">
        <v>2008</v>
      </c>
    </row>
    <row r="444" spans="1:23" ht="12.3" x14ac:dyDescent="0.4">
      <c r="A444" s="2" t="s">
        <v>19</v>
      </c>
      <c r="B444" s="2">
        <v>14</v>
      </c>
      <c r="C444" s="2"/>
      <c r="D444" s="2"/>
      <c r="E444" s="2"/>
      <c r="F444" s="2"/>
      <c r="G444" s="2"/>
      <c r="H444" s="2"/>
      <c r="I444" s="2">
        <v>66.756600000000006</v>
      </c>
      <c r="J444" s="2">
        <v>179</v>
      </c>
      <c r="K444" s="2">
        <v>65.877200000000002</v>
      </c>
      <c r="L444" s="2">
        <v>204</v>
      </c>
      <c r="M444" s="2">
        <v>101.2043</v>
      </c>
      <c r="N444" s="2">
        <v>181</v>
      </c>
      <c r="O444" s="2">
        <v>102.1974</v>
      </c>
      <c r="P444" s="2">
        <v>171</v>
      </c>
      <c r="Q444" s="2">
        <v>99.7834</v>
      </c>
      <c r="R444" s="2">
        <v>109</v>
      </c>
      <c r="S444" s="2">
        <v>96.238600000000005</v>
      </c>
      <c r="T444" s="2">
        <v>56</v>
      </c>
      <c r="U444" s="2">
        <v>0.66615899999999995</v>
      </c>
      <c r="V444" s="2">
        <v>97</v>
      </c>
      <c r="W444" s="2">
        <v>2008</v>
      </c>
    </row>
    <row r="445" spans="1:23" ht="12.3" x14ac:dyDescent="0.4">
      <c r="A445" s="2" t="s">
        <v>333</v>
      </c>
      <c r="B445" s="2">
        <v>14</v>
      </c>
      <c r="C445" s="2"/>
      <c r="D445" s="2"/>
      <c r="E445" s="2"/>
      <c r="F445" s="2"/>
      <c r="G445" s="2"/>
      <c r="H445" s="2"/>
      <c r="I445" s="2">
        <v>68.882099999999994</v>
      </c>
      <c r="J445" s="2">
        <v>101</v>
      </c>
      <c r="K445" s="2">
        <v>69.010000000000005</v>
      </c>
      <c r="L445" s="2">
        <v>92</v>
      </c>
      <c r="M445" s="2">
        <v>111.05200000000001</v>
      </c>
      <c r="N445" s="2">
        <v>27</v>
      </c>
      <c r="O445" s="2">
        <v>109.9731</v>
      </c>
      <c r="P445" s="2">
        <v>46</v>
      </c>
      <c r="Q445" s="2">
        <v>99.279700000000005</v>
      </c>
      <c r="R445" s="2">
        <v>97</v>
      </c>
      <c r="S445" s="2">
        <v>104.7877</v>
      </c>
      <c r="T445" s="2">
        <v>221</v>
      </c>
      <c r="U445" s="2">
        <v>0.63539699999999999</v>
      </c>
      <c r="V445" s="2">
        <v>104</v>
      </c>
      <c r="W445" s="2">
        <v>2008</v>
      </c>
    </row>
    <row r="446" spans="1:23" ht="12.3" x14ac:dyDescent="0.4">
      <c r="A446" s="2" t="s">
        <v>269</v>
      </c>
      <c r="B446" s="2">
        <v>16</v>
      </c>
      <c r="C446" s="2"/>
      <c r="D446" s="2"/>
      <c r="E446" s="2"/>
      <c r="F446" s="2"/>
      <c r="G446" s="2"/>
      <c r="H446" s="2"/>
      <c r="I446" s="2">
        <v>66.967699999999994</v>
      </c>
      <c r="J446" s="2">
        <v>173</v>
      </c>
      <c r="K446" s="2">
        <v>68.220100000000002</v>
      </c>
      <c r="L446" s="2">
        <v>118</v>
      </c>
      <c r="M446" s="2">
        <v>109.31959999999999</v>
      </c>
      <c r="N446" s="2">
        <v>46</v>
      </c>
      <c r="O446" s="2">
        <v>106.8994</v>
      </c>
      <c r="P446" s="2">
        <v>84</v>
      </c>
      <c r="Q446" s="2">
        <v>101.0322</v>
      </c>
      <c r="R446" s="2">
        <v>140</v>
      </c>
      <c r="S446" s="2">
        <v>102.2469</v>
      </c>
      <c r="T446" s="2">
        <v>168</v>
      </c>
      <c r="U446" s="2">
        <v>0.62521199999999999</v>
      </c>
      <c r="V446" s="2">
        <v>112</v>
      </c>
      <c r="W446" s="2">
        <v>2008</v>
      </c>
    </row>
    <row r="447" spans="1:23" ht="12.3" x14ac:dyDescent="0.4">
      <c r="A447" s="2" t="s">
        <v>133</v>
      </c>
      <c r="B447" s="2">
        <v>13</v>
      </c>
      <c r="C447" s="3" t="s">
        <v>33</v>
      </c>
      <c r="D447" s="2"/>
      <c r="E447" s="2"/>
      <c r="F447" s="2"/>
      <c r="G447" s="2"/>
      <c r="H447" s="2"/>
      <c r="I447" s="2">
        <v>65.301100000000005</v>
      </c>
      <c r="J447" s="2">
        <v>230</v>
      </c>
      <c r="K447" s="2">
        <v>64.852800000000002</v>
      </c>
      <c r="L447" s="2">
        <v>247</v>
      </c>
      <c r="M447" s="2">
        <v>98.719099999999997</v>
      </c>
      <c r="N447" s="2">
        <v>224</v>
      </c>
      <c r="O447" s="2">
        <v>99.826899999999995</v>
      </c>
      <c r="P447" s="2">
        <v>200</v>
      </c>
      <c r="Q447" s="2">
        <v>95.806399999999996</v>
      </c>
      <c r="R447" s="2">
        <v>46</v>
      </c>
      <c r="S447" s="2">
        <v>95.672799999999995</v>
      </c>
      <c r="T447" s="2">
        <v>49</v>
      </c>
      <c r="U447" s="2">
        <v>0.61982199999999998</v>
      </c>
      <c r="V447" s="2">
        <v>115</v>
      </c>
      <c r="W447" s="2">
        <v>2008</v>
      </c>
    </row>
    <row r="448" spans="1:23" ht="12.3" x14ac:dyDescent="0.4">
      <c r="A448" s="2" t="s">
        <v>252</v>
      </c>
      <c r="B448" s="2">
        <v>15</v>
      </c>
      <c r="C448" s="2"/>
      <c r="D448" s="2"/>
      <c r="E448" s="2"/>
      <c r="F448" s="2"/>
      <c r="G448" s="2"/>
      <c r="H448" s="2"/>
      <c r="I448" s="2">
        <v>65.053399999999996</v>
      </c>
      <c r="J448" s="2">
        <v>243</v>
      </c>
      <c r="K448" s="2">
        <v>65.038600000000002</v>
      </c>
      <c r="L448" s="2">
        <v>240</v>
      </c>
      <c r="M448" s="2">
        <v>113.8252</v>
      </c>
      <c r="N448" s="2">
        <v>9</v>
      </c>
      <c r="O448" s="2">
        <v>111.94670000000001</v>
      </c>
      <c r="P448" s="2">
        <v>31</v>
      </c>
      <c r="Q448" s="2">
        <v>105.52209999999999</v>
      </c>
      <c r="R448" s="2">
        <v>263</v>
      </c>
      <c r="S448" s="2">
        <v>107.8308</v>
      </c>
      <c r="T448" s="2">
        <v>284</v>
      </c>
      <c r="U448" s="2">
        <v>0.60606099999999996</v>
      </c>
      <c r="V448" s="2">
        <v>121</v>
      </c>
      <c r="W448" s="2">
        <v>2008</v>
      </c>
    </row>
    <row r="449" spans="1:23" ht="12.3" x14ac:dyDescent="0.4">
      <c r="A449" s="2" t="s">
        <v>212</v>
      </c>
      <c r="B449" s="2">
        <v>14</v>
      </c>
      <c r="C449" s="2"/>
      <c r="D449" s="2"/>
      <c r="E449" s="2"/>
      <c r="F449" s="2"/>
      <c r="G449" s="2"/>
      <c r="H449" s="2"/>
      <c r="I449" s="2">
        <v>72.355699999999999</v>
      </c>
      <c r="J449" s="2">
        <v>24</v>
      </c>
      <c r="K449" s="2">
        <v>72.414100000000005</v>
      </c>
      <c r="L449" s="2">
        <v>17</v>
      </c>
      <c r="M449" s="2">
        <v>109.9851</v>
      </c>
      <c r="N449" s="2">
        <v>42</v>
      </c>
      <c r="O449" s="2">
        <v>106.64319999999999</v>
      </c>
      <c r="P449" s="2">
        <v>93</v>
      </c>
      <c r="Q449" s="2">
        <v>102.7667</v>
      </c>
      <c r="R449" s="2">
        <v>189</v>
      </c>
      <c r="S449" s="2">
        <v>103.3789</v>
      </c>
      <c r="T449" s="2">
        <v>192</v>
      </c>
      <c r="U449" s="2">
        <v>0.58843900000000005</v>
      </c>
      <c r="V449" s="2">
        <v>129</v>
      </c>
      <c r="W449" s="2">
        <v>2008</v>
      </c>
    </row>
    <row r="450" spans="1:23" ht="12.3" x14ac:dyDescent="0.4">
      <c r="A450" s="2" t="s">
        <v>244</v>
      </c>
      <c r="B450" s="2">
        <v>15</v>
      </c>
      <c r="C450" s="2"/>
      <c r="D450" s="2"/>
      <c r="E450" s="2"/>
      <c r="F450" s="2"/>
      <c r="G450" s="2"/>
      <c r="H450" s="2"/>
      <c r="I450" s="2">
        <v>71.511099999999999</v>
      </c>
      <c r="J450" s="2">
        <v>36</v>
      </c>
      <c r="K450" s="2">
        <v>70.426000000000002</v>
      </c>
      <c r="L450" s="2">
        <v>48</v>
      </c>
      <c r="M450" s="2">
        <v>109.7821</v>
      </c>
      <c r="N450" s="2">
        <v>43</v>
      </c>
      <c r="O450" s="2">
        <v>107.4327</v>
      </c>
      <c r="P450" s="2">
        <v>73</v>
      </c>
      <c r="Q450" s="2">
        <v>102.43819999999999</v>
      </c>
      <c r="R450" s="2">
        <v>182</v>
      </c>
      <c r="S450" s="2">
        <v>104.5431</v>
      </c>
      <c r="T450" s="2">
        <v>215</v>
      </c>
      <c r="U450" s="2">
        <v>0.57775100000000001</v>
      </c>
      <c r="V450" s="2">
        <v>131</v>
      </c>
      <c r="W450" s="2">
        <v>2008</v>
      </c>
    </row>
    <row r="451" spans="1:23" ht="12.3" x14ac:dyDescent="0.4">
      <c r="A451" s="2" t="s">
        <v>226</v>
      </c>
      <c r="B451" s="2">
        <v>15</v>
      </c>
      <c r="C451" s="2"/>
      <c r="D451" s="2"/>
      <c r="E451" s="2"/>
      <c r="F451" s="2"/>
      <c r="G451" s="2"/>
      <c r="H451" s="2"/>
      <c r="I451" s="2">
        <v>60.916400000000003</v>
      </c>
      <c r="J451" s="2">
        <v>324</v>
      </c>
      <c r="K451" s="2">
        <v>61.920900000000003</v>
      </c>
      <c r="L451" s="2">
        <v>320</v>
      </c>
      <c r="M451" s="2">
        <v>106.95359999999999</v>
      </c>
      <c r="N451" s="2">
        <v>78</v>
      </c>
      <c r="O451" s="2">
        <v>107.8497</v>
      </c>
      <c r="P451" s="2">
        <v>72</v>
      </c>
      <c r="Q451" s="2">
        <v>101.55540000000001</v>
      </c>
      <c r="R451" s="2">
        <v>153</v>
      </c>
      <c r="S451" s="2">
        <v>105.0294</v>
      </c>
      <c r="T451" s="2">
        <v>228</v>
      </c>
      <c r="U451" s="2">
        <v>0.5756</v>
      </c>
      <c r="V451" s="2">
        <v>133</v>
      </c>
      <c r="W451" s="2">
        <v>2008</v>
      </c>
    </row>
    <row r="452" spans="1:23" ht="12.3" x14ac:dyDescent="0.4">
      <c r="A452" s="2" t="s">
        <v>349</v>
      </c>
      <c r="B452" s="2">
        <v>16</v>
      </c>
      <c r="C452" s="2"/>
      <c r="D452" s="2"/>
      <c r="E452" s="2"/>
      <c r="F452" s="2"/>
      <c r="G452" s="2"/>
      <c r="H452" s="2"/>
      <c r="I452" s="2">
        <v>68.343400000000003</v>
      </c>
      <c r="J452" s="2">
        <v>120</v>
      </c>
      <c r="K452" s="2">
        <v>67.788200000000003</v>
      </c>
      <c r="L452" s="2">
        <v>136</v>
      </c>
      <c r="M452" s="2">
        <v>100.7011</v>
      </c>
      <c r="N452" s="2">
        <v>189</v>
      </c>
      <c r="O452" s="2">
        <v>98.769800000000004</v>
      </c>
      <c r="P452" s="2">
        <v>219</v>
      </c>
      <c r="Q452" s="2">
        <v>97.054199999999994</v>
      </c>
      <c r="R452" s="2">
        <v>62</v>
      </c>
      <c r="S452" s="2">
        <v>98.3215</v>
      </c>
      <c r="T452" s="2">
        <v>90</v>
      </c>
      <c r="U452" s="2">
        <v>0.51307499999999995</v>
      </c>
      <c r="V452" s="2">
        <v>159</v>
      </c>
      <c r="W452" s="2">
        <v>2008</v>
      </c>
    </row>
    <row r="453" spans="1:23" ht="12.3" x14ac:dyDescent="0.4">
      <c r="A453" s="2" t="s">
        <v>227</v>
      </c>
      <c r="B453" s="2">
        <v>15</v>
      </c>
      <c r="C453" s="2"/>
      <c r="D453" s="2"/>
      <c r="E453" s="2"/>
      <c r="F453" s="2"/>
      <c r="G453" s="2"/>
      <c r="H453" s="2"/>
      <c r="I453" s="2">
        <v>67.232200000000006</v>
      </c>
      <c r="J453" s="2">
        <v>163</v>
      </c>
      <c r="K453" s="2">
        <v>67.453699999999998</v>
      </c>
      <c r="L453" s="2">
        <v>145</v>
      </c>
      <c r="M453" s="2">
        <v>108.6632</v>
      </c>
      <c r="N453" s="2">
        <v>56</v>
      </c>
      <c r="O453" s="2">
        <v>103.44970000000001</v>
      </c>
      <c r="P453" s="2">
        <v>149</v>
      </c>
      <c r="Q453" s="2">
        <v>102.7603</v>
      </c>
      <c r="R453" s="2">
        <v>188</v>
      </c>
      <c r="S453" s="2">
        <v>103.02119999999999</v>
      </c>
      <c r="T453" s="2">
        <v>182</v>
      </c>
      <c r="U453" s="2">
        <v>0.51192899999999997</v>
      </c>
      <c r="V453" s="2">
        <v>161</v>
      </c>
      <c r="W453" s="2">
        <v>2008</v>
      </c>
    </row>
    <row r="454" spans="1:23" ht="12.3" x14ac:dyDescent="0.4">
      <c r="A454" s="2" t="s">
        <v>270</v>
      </c>
      <c r="B454" s="2">
        <v>16</v>
      </c>
      <c r="C454" s="2"/>
      <c r="D454" s="2"/>
      <c r="E454" s="2"/>
      <c r="F454" s="2"/>
      <c r="G454" s="2"/>
      <c r="H454" s="2"/>
      <c r="I454" s="2">
        <v>71.203999999999994</v>
      </c>
      <c r="J454" s="2">
        <v>43</v>
      </c>
      <c r="K454" s="2">
        <v>70.147800000000004</v>
      </c>
      <c r="L454" s="2">
        <v>57</v>
      </c>
      <c r="M454" s="2">
        <v>100.8066</v>
      </c>
      <c r="N454" s="2">
        <v>187</v>
      </c>
      <c r="O454" s="2">
        <v>100.7145</v>
      </c>
      <c r="P454" s="2">
        <v>189</v>
      </c>
      <c r="Q454" s="2">
        <v>97.602000000000004</v>
      </c>
      <c r="R454" s="2">
        <v>68</v>
      </c>
      <c r="S454" s="2">
        <v>102.6367</v>
      </c>
      <c r="T454" s="2">
        <v>178</v>
      </c>
      <c r="U454" s="2">
        <v>0.44585900000000001</v>
      </c>
      <c r="V454" s="2">
        <v>175</v>
      </c>
      <c r="W454" s="2">
        <v>2008</v>
      </c>
    </row>
    <row r="455" spans="1:23" ht="12.3" x14ac:dyDescent="0.4">
      <c r="A455" s="2" t="s">
        <v>341</v>
      </c>
      <c r="B455" s="2">
        <v>16</v>
      </c>
      <c r="C455" s="2"/>
      <c r="D455" s="2"/>
      <c r="E455" s="2"/>
      <c r="F455" s="2"/>
      <c r="G455" s="2"/>
      <c r="H455" s="2"/>
      <c r="I455" s="2">
        <v>63.731699999999996</v>
      </c>
      <c r="J455" s="2">
        <v>290</v>
      </c>
      <c r="K455" s="2">
        <v>63.997599999999998</v>
      </c>
      <c r="L455" s="2">
        <v>278</v>
      </c>
      <c r="M455" s="2">
        <v>90.7727</v>
      </c>
      <c r="N455" s="2">
        <v>325</v>
      </c>
      <c r="O455" s="2">
        <v>93.313199999999995</v>
      </c>
      <c r="P455" s="2">
        <v>306</v>
      </c>
      <c r="Q455" s="2">
        <v>102.30589999999999</v>
      </c>
      <c r="R455" s="2">
        <v>178</v>
      </c>
      <c r="S455" s="2">
        <v>104.2839</v>
      </c>
      <c r="T455" s="2">
        <v>208</v>
      </c>
      <c r="U455" s="2">
        <v>0.21784200000000001</v>
      </c>
      <c r="V455" s="2">
        <v>286</v>
      </c>
      <c r="W455" s="2">
        <v>2008</v>
      </c>
    </row>
    <row r="456" spans="1:23" ht="12.3" x14ac:dyDescent="0.4">
      <c r="A456" s="2" t="s">
        <v>299</v>
      </c>
      <c r="B456" s="2">
        <v>16</v>
      </c>
      <c r="C456" s="2"/>
      <c r="D456" s="2"/>
      <c r="E456" s="2"/>
      <c r="F456" s="2"/>
      <c r="G456" s="2"/>
      <c r="H456" s="2"/>
      <c r="I456" s="2">
        <v>65.141099999999994</v>
      </c>
      <c r="J456" s="2">
        <v>238</v>
      </c>
      <c r="K456" s="2">
        <v>64.698800000000006</v>
      </c>
      <c r="L456" s="2">
        <v>255</v>
      </c>
      <c r="M456" s="2">
        <v>92.817999999999998</v>
      </c>
      <c r="N456" s="2">
        <v>308</v>
      </c>
      <c r="O456" s="2">
        <v>92.2821</v>
      </c>
      <c r="P456" s="2">
        <v>317</v>
      </c>
      <c r="Q456" s="2">
        <v>100.9277</v>
      </c>
      <c r="R456" s="2">
        <v>138</v>
      </c>
      <c r="S456" s="2">
        <v>104.2745</v>
      </c>
      <c r="T456" s="2">
        <v>207</v>
      </c>
      <c r="U456" s="2">
        <v>0.19702</v>
      </c>
      <c r="V456" s="2">
        <v>292</v>
      </c>
      <c r="W456" s="2">
        <v>2008</v>
      </c>
    </row>
    <row r="457" spans="1:23" ht="12.3" x14ac:dyDescent="0.4">
      <c r="A457" s="2" t="s">
        <v>71</v>
      </c>
      <c r="B457" s="2">
        <v>2</v>
      </c>
      <c r="C457" s="3" t="s">
        <v>33</v>
      </c>
      <c r="D457" s="3" t="s">
        <v>33</v>
      </c>
      <c r="E457" s="2"/>
      <c r="F457" s="2"/>
      <c r="G457" s="2"/>
      <c r="H457" s="2"/>
      <c r="I457" s="2">
        <v>67.7774</v>
      </c>
      <c r="J457" s="2">
        <v>118</v>
      </c>
      <c r="K457" s="2">
        <v>66.456299999999999</v>
      </c>
      <c r="L457" s="2">
        <v>163</v>
      </c>
      <c r="M457" s="2">
        <v>108.9131</v>
      </c>
      <c r="N457" s="2">
        <v>47</v>
      </c>
      <c r="O457" s="2">
        <v>108.4135</v>
      </c>
      <c r="P457" s="2">
        <v>62</v>
      </c>
      <c r="Q457" s="2">
        <v>83.445999999999998</v>
      </c>
      <c r="R457" s="2">
        <v>1</v>
      </c>
      <c r="S457" s="2">
        <v>81.127700000000004</v>
      </c>
      <c r="T457" s="2">
        <v>1</v>
      </c>
      <c r="U457" s="2">
        <v>0.96558299999999997</v>
      </c>
      <c r="V457" s="2">
        <v>1</v>
      </c>
      <c r="W457" s="2">
        <v>2009</v>
      </c>
    </row>
    <row r="458" spans="1:23" ht="12.3" x14ac:dyDescent="0.4">
      <c r="A458" s="2" t="s">
        <v>46</v>
      </c>
      <c r="B458" s="2">
        <v>1</v>
      </c>
      <c r="C458" s="3" t="s">
        <v>33</v>
      </c>
      <c r="D458" s="3" t="s">
        <v>33</v>
      </c>
      <c r="E458" s="3" t="s">
        <v>33</v>
      </c>
      <c r="F458" s="2"/>
      <c r="G458" s="2"/>
      <c r="H458" s="2"/>
      <c r="I458" s="2">
        <v>66.883899999999997</v>
      </c>
      <c r="J458" s="2">
        <v>146</v>
      </c>
      <c r="K458" s="2">
        <v>66.419600000000003</v>
      </c>
      <c r="L458" s="2">
        <v>165</v>
      </c>
      <c r="M458" s="2">
        <v>116.78279999999999</v>
      </c>
      <c r="N458" s="2">
        <v>3</v>
      </c>
      <c r="O458" s="2">
        <v>119.85120000000001</v>
      </c>
      <c r="P458" s="2">
        <v>2</v>
      </c>
      <c r="Q458" s="2">
        <v>96.328900000000004</v>
      </c>
      <c r="R458" s="2">
        <v>61</v>
      </c>
      <c r="S458" s="2">
        <v>93.053200000000004</v>
      </c>
      <c r="T458" s="2">
        <v>24</v>
      </c>
      <c r="U458" s="2">
        <v>0.94835899999999995</v>
      </c>
      <c r="V458" s="2">
        <v>2</v>
      </c>
      <c r="W458" s="2">
        <v>2009</v>
      </c>
    </row>
    <row r="459" spans="1:23" ht="12.3" x14ac:dyDescent="0.4">
      <c r="A459" s="2" t="s">
        <v>54</v>
      </c>
      <c r="B459" s="2">
        <v>1</v>
      </c>
      <c r="C459" s="3" t="s">
        <v>33</v>
      </c>
      <c r="D459" s="3" t="s">
        <v>33</v>
      </c>
      <c r="E459" s="3" t="s">
        <v>33</v>
      </c>
      <c r="F459" s="3" t="s">
        <v>33</v>
      </c>
      <c r="G459" s="2"/>
      <c r="H459" s="2"/>
      <c r="I459" s="2">
        <v>67.471500000000006</v>
      </c>
      <c r="J459" s="2">
        <v>133</v>
      </c>
      <c r="K459" s="2">
        <v>67.359300000000005</v>
      </c>
      <c r="L459" s="2">
        <v>127</v>
      </c>
      <c r="M459" s="2">
        <v>111.6104</v>
      </c>
      <c r="N459" s="2">
        <v>19</v>
      </c>
      <c r="O459" s="2">
        <v>112.2406</v>
      </c>
      <c r="P459" s="2">
        <v>28</v>
      </c>
      <c r="Q459" s="2">
        <v>91.688199999999995</v>
      </c>
      <c r="R459" s="2">
        <v>8</v>
      </c>
      <c r="S459" s="2">
        <v>87.540099999999995</v>
      </c>
      <c r="T459" s="2">
        <v>3</v>
      </c>
      <c r="U459" s="2">
        <v>0.94574599999999998</v>
      </c>
      <c r="V459" s="2">
        <v>3</v>
      </c>
      <c r="W459" s="2">
        <v>2009</v>
      </c>
    </row>
    <row r="460" spans="1:23" ht="12.3" x14ac:dyDescent="0.4">
      <c r="A460" s="2" t="s">
        <v>168</v>
      </c>
      <c r="B460" s="2">
        <v>1</v>
      </c>
      <c r="C460" s="3" t="s">
        <v>33</v>
      </c>
      <c r="D460" s="3" t="s">
        <v>33</v>
      </c>
      <c r="E460" s="3" t="s">
        <v>33</v>
      </c>
      <c r="F460" s="3" t="s">
        <v>33</v>
      </c>
      <c r="G460" s="3" t="s">
        <v>33</v>
      </c>
      <c r="H460" s="3" t="s">
        <v>33</v>
      </c>
      <c r="I460" s="2">
        <v>75.774500000000003</v>
      </c>
      <c r="J460" s="2">
        <v>4</v>
      </c>
      <c r="K460" s="2">
        <v>74.071200000000005</v>
      </c>
      <c r="L460" s="2">
        <v>7</v>
      </c>
      <c r="M460" s="2">
        <v>117.4778</v>
      </c>
      <c r="N460" s="2">
        <v>2</v>
      </c>
      <c r="O460" s="2">
        <v>121.90819999999999</v>
      </c>
      <c r="P460" s="2">
        <v>1</v>
      </c>
      <c r="Q460" s="2">
        <v>96.254199999999997</v>
      </c>
      <c r="R460" s="2">
        <v>59</v>
      </c>
      <c r="S460" s="2">
        <v>95.354900000000001</v>
      </c>
      <c r="T460" s="2">
        <v>49</v>
      </c>
      <c r="U460" s="2">
        <v>0.94401800000000002</v>
      </c>
      <c r="V460" s="2">
        <v>4</v>
      </c>
      <c r="W460" s="2">
        <v>2009</v>
      </c>
    </row>
    <row r="461" spans="1:23" ht="12.3" x14ac:dyDescent="0.4">
      <c r="A461" s="2" t="s">
        <v>86</v>
      </c>
      <c r="B461" s="2">
        <v>1</v>
      </c>
      <c r="C461" s="3" t="s">
        <v>33</v>
      </c>
      <c r="D461" s="3" t="s">
        <v>33</v>
      </c>
      <c r="E461" s="3" t="s">
        <v>33</v>
      </c>
      <c r="F461" s="2"/>
      <c r="G461" s="2"/>
      <c r="H461" s="2"/>
      <c r="I461" s="2">
        <v>69.310400000000001</v>
      </c>
      <c r="J461" s="2">
        <v>74</v>
      </c>
      <c r="K461" s="2">
        <v>68.395300000000006</v>
      </c>
      <c r="L461" s="2">
        <v>90</v>
      </c>
      <c r="M461" s="2">
        <v>106.15770000000001</v>
      </c>
      <c r="N461" s="2">
        <v>85</v>
      </c>
      <c r="O461" s="2">
        <v>107.706</v>
      </c>
      <c r="P461" s="2">
        <v>72</v>
      </c>
      <c r="Q461" s="2">
        <v>88.7333</v>
      </c>
      <c r="R461" s="2">
        <v>3</v>
      </c>
      <c r="S461" s="2">
        <v>85.781899999999993</v>
      </c>
      <c r="T461" s="2">
        <v>2</v>
      </c>
      <c r="U461" s="2">
        <v>0.93197099999999999</v>
      </c>
      <c r="V461" s="2">
        <v>5</v>
      </c>
      <c r="W461" s="2">
        <v>2009</v>
      </c>
    </row>
    <row r="462" spans="1:23" ht="12.3" x14ac:dyDescent="0.4">
      <c r="A462" s="2" t="s">
        <v>47</v>
      </c>
      <c r="B462" s="2">
        <v>4</v>
      </c>
      <c r="C462" s="3" t="s">
        <v>33</v>
      </c>
      <c r="D462" s="3" t="s">
        <v>33</v>
      </c>
      <c r="E462" s="2"/>
      <c r="F462" s="2"/>
      <c r="G462" s="2"/>
      <c r="H462" s="2"/>
      <c r="I462" s="2">
        <v>67.983000000000004</v>
      </c>
      <c r="J462" s="2">
        <v>110</v>
      </c>
      <c r="K462" s="2">
        <v>68.432299999999998</v>
      </c>
      <c r="L462" s="2">
        <v>88</v>
      </c>
      <c r="M462" s="2">
        <v>114.87309999999999</v>
      </c>
      <c r="N462" s="2">
        <v>5</v>
      </c>
      <c r="O462" s="2">
        <v>115.4522</v>
      </c>
      <c r="P462" s="2">
        <v>12</v>
      </c>
      <c r="Q462" s="2">
        <v>89.832099999999997</v>
      </c>
      <c r="R462" s="2">
        <v>4</v>
      </c>
      <c r="S462" s="2">
        <v>92.789699999999996</v>
      </c>
      <c r="T462" s="2">
        <v>21</v>
      </c>
      <c r="U462" s="2">
        <v>0.92504799999999998</v>
      </c>
      <c r="V462" s="2">
        <v>6</v>
      </c>
      <c r="W462" s="2">
        <v>2009</v>
      </c>
    </row>
    <row r="463" spans="1:23" ht="12.3" x14ac:dyDescent="0.4">
      <c r="A463" s="2" t="s">
        <v>229</v>
      </c>
      <c r="B463" s="2">
        <v>6</v>
      </c>
      <c r="C463" s="2"/>
      <c r="D463" s="2"/>
      <c r="E463" s="2"/>
      <c r="F463" s="2"/>
      <c r="G463" s="2"/>
      <c r="H463" s="2"/>
      <c r="I463" s="2">
        <v>65.844800000000006</v>
      </c>
      <c r="J463" s="2">
        <v>189</v>
      </c>
      <c r="K463" s="2">
        <v>65.092399999999998</v>
      </c>
      <c r="L463" s="2">
        <v>232</v>
      </c>
      <c r="M463" s="2">
        <v>109.66630000000001</v>
      </c>
      <c r="N463" s="2">
        <v>34</v>
      </c>
      <c r="O463" s="2">
        <v>112.8715</v>
      </c>
      <c r="P463" s="2">
        <v>21</v>
      </c>
      <c r="Q463" s="2">
        <v>93.691599999999994</v>
      </c>
      <c r="R463" s="2">
        <v>23</v>
      </c>
      <c r="S463" s="2">
        <v>90.716399999999993</v>
      </c>
      <c r="T463" s="2">
        <v>10</v>
      </c>
      <c r="U463" s="2">
        <v>0.92503999999999997</v>
      </c>
      <c r="V463" s="2">
        <v>7</v>
      </c>
      <c r="W463" s="2">
        <v>2009</v>
      </c>
    </row>
    <row r="464" spans="1:23" ht="12.3" x14ac:dyDescent="0.4">
      <c r="A464" s="2" t="s">
        <v>32</v>
      </c>
      <c r="B464" s="2">
        <v>2</v>
      </c>
      <c r="C464" s="3" t="s">
        <v>33</v>
      </c>
      <c r="D464" s="3" t="s">
        <v>33</v>
      </c>
      <c r="E464" s="2"/>
      <c r="F464" s="2"/>
      <c r="G464" s="2"/>
      <c r="H464" s="2"/>
      <c r="I464" s="2">
        <v>69.350499999999997</v>
      </c>
      <c r="J464" s="2">
        <v>72</v>
      </c>
      <c r="K464" s="2">
        <v>67.492999999999995</v>
      </c>
      <c r="L464" s="2">
        <v>121</v>
      </c>
      <c r="M464" s="2">
        <v>112.0145</v>
      </c>
      <c r="N464" s="2">
        <v>15</v>
      </c>
      <c r="O464" s="2">
        <v>117.2739</v>
      </c>
      <c r="P464" s="2">
        <v>4</v>
      </c>
      <c r="Q464" s="2">
        <v>94.6374</v>
      </c>
      <c r="R464" s="2">
        <v>34</v>
      </c>
      <c r="S464" s="2">
        <v>94.336799999999997</v>
      </c>
      <c r="T464" s="2">
        <v>38</v>
      </c>
      <c r="U464" s="2">
        <v>0.92434300000000003</v>
      </c>
      <c r="V464" s="2">
        <v>8</v>
      </c>
      <c r="W464" s="2">
        <v>2009</v>
      </c>
    </row>
    <row r="465" spans="1:23" ht="12.3" x14ac:dyDescent="0.4">
      <c r="A465" s="2" t="s">
        <v>65</v>
      </c>
      <c r="B465" s="2">
        <v>6</v>
      </c>
      <c r="C465" s="3" t="s">
        <v>33</v>
      </c>
      <c r="D465" s="2"/>
      <c r="E465" s="2"/>
      <c r="F465" s="2"/>
      <c r="G465" s="2"/>
      <c r="H465" s="2"/>
      <c r="I465" s="2">
        <v>65.398200000000003</v>
      </c>
      <c r="J465" s="2">
        <v>207</v>
      </c>
      <c r="K465" s="2">
        <v>66.642499999999998</v>
      </c>
      <c r="L465" s="2">
        <v>158</v>
      </c>
      <c r="M465" s="2">
        <v>116.1125</v>
      </c>
      <c r="N465" s="2">
        <v>4</v>
      </c>
      <c r="O465" s="2">
        <v>118.1729</v>
      </c>
      <c r="P465" s="2">
        <v>3</v>
      </c>
      <c r="Q465" s="2">
        <v>97.200400000000002</v>
      </c>
      <c r="R465" s="2">
        <v>82</v>
      </c>
      <c r="S465" s="2">
        <v>95.705399999999997</v>
      </c>
      <c r="T465" s="2">
        <v>55</v>
      </c>
      <c r="U465" s="2">
        <v>0.91871700000000001</v>
      </c>
      <c r="V465" s="2">
        <v>9</v>
      </c>
      <c r="W465" s="2">
        <v>2009</v>
      </c>
    </row>
    <row r="466" spans="1:23" ht="12.3" x14ac:dyDescent="0.4">
      <c r="A466" s="2" t="s">
        <v>58</v>
      </c>
      <c r="B466" s="2">
        <v>2</v>
      </c>
      <c r="C466" s="3" t="s">
        <v>33</v>
      </c>
      <c r="D466" s="3" t="s">
        <v>33</v>
      </c>
      <c r="E466" s="3" t="s">
        <v>33</v>
      </c>
      <c r="F466" s="3" t="s">
        <v>33</v>
      </c>
      <c r="G466" s="3" t="s">
        <v>33</v>
      </c>
      <c r="H466" s="2"/>
      <c r="I466" s="2">
        <v>66.289500000000004</v>
      </c>
      <c r="J466" s="2">
        <v>169</v>
      </c>
      <c r="K466" s="2">
        <v>67.654899999999998</v>
      </c>
      <c r="L466" s="2">
        <v>114</v>
      </c>
      <c r="M466" s="2">
        <v>108.55119999999999</v>
      </c>
      <c r="N466" s="2">
        <v>53</v>
      </c>
      <c r="O466" s="2">
        <v>110.8623</v>
      </c>
      <c r="P466" s="2">
        <v>35</v>
      </c>
      <c r="Q466" s="2">
        <v>94.863</v>
      </c>
      <c r="R466" s="2">
        <v>40</v>
      </c>
      <c r="S466" s="2">
        <v>90.599400000000003</v>
      </c>
      <c r="T466" s="2">
        <v>9</v>
      </c>
      <c r="U466" s="2">
        <v>0.91061599999999998</v>
      </c>
      <c r="V466" s="2">
        <v>10</v>
      </c>
      <c r="W466" s="2">
        <v>2009</v>
      </c>
    </row>
    <row r="467" spans="1:23" ht="12.3" x14ac:dyDescent="0.4">
      <c r="A467" s="2" t="s">
        <v>73</v>
      </c>
      <c r="B467" s="2">
        <v>3</v>
      </c>
      <c r="C467" s="3" t="s">
        <v>33</v>
      </c>
      <c r="D467" s="3" t="s">
        <v>33</v>
      </c>
      <c r="E467" s="3" t="s">
        <v>33</v>
      </c>
      <c r="F467" s="2"/>
      <c r="G467" s="2"/>
      <c r="H467" s="2"/>
      <c r="I467" s="2">
        <v>72.447400000000002</v>
      </c>
      <c r="J467" s="2">
        <v>15</v>
      </c>
      <c r="K467" s="2">
        <v>71.201400000000007</v>
      </c>
      <c r="L467" s="2">
        <v>21</v>
      </c>
      <c r="M467" s="2">
        <v>111.6704</v>
      </c>
      <c r="N467" s="2">
        <v>18</v>
      </c>
      <c r="O467" s="2">
        <v>112.273</v>
      </c>
      <c r="P467" s="2">
        <v>27</v>
      </c>
      <c r="Q467" s="2">
        <v>91.7102</v>
      </c>
      <c r="R467" s="2">
        <v>9</v>
      </c>
      <c r="S467" s="2">
        <v>91.798900000000003</v>
      </c>
      <c r="T467" s="2">
        <v>14</v>
      </c>
      <c r="U467" s="2">
        <v>0.91013900000000003</v>
      </c>
      <c r="V467" s="2">
        <v>11</v>
      </c>
      <c r="W467" s="2">
        <v>2009</v>
      </c>
    </row>
    <row r="468" spans="1:23" ht="12.3" x14ac:dyDescent="0.4">
      <c r="A468" s="2" t="s">
        <v>38</v>
      </c>
      <c r="B468" s="2">
        <v>2</v>
      </c>
      <c r="C468" s="3" t="s">
        <v>33</v>
      </c>
      <c r="D468" s="3" t="s">
        <v>33</v>
      </c>
      <c r="E468" s="3" t="s">
        <v>33</v>
      </c>
      <c r="F468" s="2"/>
      <c r="G468" s="2"/>
      <c r="H468" s="2"/>
      <c r="I468" s="2">
        <v>69.104500000000002</v>
      </c>
      <c r="J468" s="2">
        <v>80</v>
      </c>
      <c r="K468" s="2">
        <v>68.252099999999999</v>
      </c>
      <c r="L468" s="2">
        <v>94</v>
      </c>
      <c r="M468" s="2">
        <v>114.15560000000001</v>
      </c>
      <c r="N468" s="2">
        <v>8</v>
      </c>
      <c r="O468" s="2">
        <v>116.5286</v>
      </c>
      <c r="P468" s="2">
        <v>6</v>
      </c>
      <c r="Q468" s="2">
        <v>97.648600000000002</v>
      </c>
      <c r="R468" s="2">
        <v>89</v>
      </c>
      <c r="S468" s="2">
        <v>95.585099999999997</v>
      </c>
      <c r="T468" s="2">
        <v>53</v>
      </c>
      <c r="U468" s="2">
        <v>0.90707000000000004</v>
      </c>
      <c r="V468" s="2">
        <v>12</v>
      </c>
      <c r="W468" s="2">
        <v>2009</v>
      </c>
    </row>
    <row r="469" spans="1:23" ht="12.3" x14ac:dyDescent="0.4">
      <c r="A469" s="2" t="s">
        <v>121</v>
      </c>
      <c r="B469" s="2">
        <v>5</v>
      </c>
      <c r="C469" s="3" t="s">
        <v>33</v>
      </c>
      <c r="D469" s="2"/>
      <c r="E469" s="2"/>
      <c r="F469" s="2"/>
      <c r="G469" s="2"/>
      <c r="H469" s="2"/>
      <c r="I469" s="2">
        <v>65.200199999999995</v>
      </c>
      <c r="J469" s="2">
        <v>218</v>
      </c>
      <c r="K469" s="2">
        <v>66.936999999999998</v>
      </c>
      <c r="L469" s="2">
        <v>146</v>
      </c>
      <c r="M469" s="2">
        <v>105.44670000000001</v>
      </c>
      <c r="N469" s="2">
        <v>94</v>
      </c>
      <c r="O469" s="2">
        <v>109.4021</v>
      </c>
      <c r="P469" s="2">
        <v>48</v>
      </c>
      <c r="Q469" s="2">
        <v>90.095200000000006</v>
      </c>
      <c r="R469" s="2">
        <v>7</v>
      </c>
      <c r="S469" s="2">
        <v>89.762799999999999</v>
      </c>
      <c r="T469" s="2">
        <v>5</v>
      </c>
      <c r="U469" s="2">
        <v>0.90681699999999998</v>
      </c>
      <c r="V469" s="2">
        <v>13</v>
      </c>
      <c r="W469" s="2">
        <v>2009</v>
      </c>
    </row>
    <row r="470" spans="1:23" ht="12.3" x14ac:dyDescent="0.4">
      <c r="A470" s="2" t="s">
        <v>35</v>
      </c>
      <c r="B470" s="2">
        <v>3</v>
      </c>
      <c r="C470" s="3" t="s">
        <v>33</v>
      </c>
      <c r="D470" s="3" t="s">
        <v>33</v>
      </c>
      <c r="E470" s="2"/>
      <c r="F470" s="2"/>
      <c r="G470" s="2"/>
      <c r="H470" s="2"/>
      <c r="I470" s="2">
        <v>69.563500000000005</v>
      </c>
      <c r="J470" s="2">
        <v>66</v>
      </c>
      <c r="K470" s="2">
        <v>68.489400000000003</v>
      </c>
      <c r="L470" s="2">
        <v>85</v>
      </c>
      <c r="M470" s="2">
        <v>110.48350000000001</v>
      </c>
      <c r="N470" s="2">
        <v>25</v>
      </c>
      <c r="O470" s="2">
        <v>112.60169999999999</v>
      </c>
      <c r="P470" s="2">
        <v>25</v>
      </c>
      <c r="Q470" s="2">
        <v>94.204499999999996</v>
      </c>
      <c r="R470" s="2">
        <v>25</v>
      </c>
      <c r="S470" s="2">
        <v>92.404399999999995</v>
      </c>
      <c r="T470" s="2">
        <v>19</v>
      </c>
      <c r="U470" s="2">
        <v>0.90664400000000001</v>
      </c>
      <c r="V470" s="2">
        <v>14</v>
      </c>
      <c r="W470" s="2">
        <v>2009</v>
      </c>
    </row>
    <row r="471" spans="1:23" ht="12.3" x14ac:dyDescent="0.4">
      <c r="A471" s="2" t="s">
        <v>131</v>
      </c>
      <c r="B471" s="2">
        <v>4</v>
      </c>
      <c r="C471" s="3" t="s">
        <v>33</v>
      </c>
      <c r="D471" s="2"/>
      <c r="E471" s="2"/>
      <c r="F471" s="2"/>
      <c r="G471" s="2"/>
      <c r="H471" s="2"/>
      <c r="I471" s="2">
        <v>71.997799999999998</v>
      </c>
      <c r="J471" s="2">
        <v>19</v>
      </c>
      <c r="K471" s="2">
        <v>74.174000000000007</v>
      </c>
      <c r="L471" s="2">
        <v>6</v>
      </c>
      <c r="M471" s="2">
        <v>108.0774</v>
      </c>
      <c r="N471" s="2">
        <v>57</v>
      </c>
      <c r="O471" s="2">
        <v>110.76560000000001</v>
      </c>
      <c r="P471" s="2">
        <v>37</v>
      </c>
      <c r="Q471" s="2">
        <v>95.606999999999999</v>
      </c>
      <c r="R471" s="2">
        <v>48</v>
      </c>
      <c r="S471" s="2">
        <v>90.979699999999994</v>
      </c>
      <c r="T471" s="2">
        <v>11</v>
      </c>
      <c r="U471" s="2">
        <v>0.90576400000000001</v>
      </c>
      <c r="V471" s="2">
        <v>15</v>
      </c>
      <c r="W471" s="2">
        <v>2009</v>
      </c>
    </row>
    <row r="472" spans="1:23" ht="12.3" x14ac:dyDescent="0.4">
      <c r="A472" s="2" t="s">
        <v>23</v>
      </c>
      <c r="B472" s="2">
        <v>3</v>
      </c>
      <c r="C472" s="3" t="s">
        <v>33</v>
      </c>
      <c r="D472" s="3" t="s">
        <v>33</v>
      </c>
      <c r="E472" s="2"/>
      <c r="F472" s="2"/>
      <c r="G472" s="2"/>
      <c r="H472" s="2"/>
      <c r="I472" s="2">
        <v>71.285399999999996</v>
      </c>
      <c r="J472" s="2">
        <v>30</v>
      </c>
      <c r="K472" s="2">
        <v>70.527900000000002</v>
      </c>
      <c r="L472" s="2">
        <v>32</v>
      </c>
      <c r="M472" s="2">
        <v>109.6083</v>
      </c>
      <c r="N472" s="2">
        <v>35</v>
      </c>
      <c r="O472" s="2">
        <v>117.0626</v>
      </c>
      <c r="P472" s="2">
        <v>5</v>
      </c>
      <c r="Q472" s="2">
        <v>98.838200000000001</v>
      </c>
      <c r="R472" s="2">
        <v>109</v>
      </c>
      <c r="S472" s="2">
        <v>96.264200000000002</v>
      </c>
      <c r="T472" s="2">
        <v>62</v>
      </c>
      <c r="U472" s="2">
        <v>0.90461100000000005</v>
      </c>
      <c r="V472" s="2">
        <v>16</v>
      </c>
      <c r="W472" s="2">
        <v>2009</v>
      </c>
    </row>
    <row r="473" spans="1:23" ht="12.3" x14ac:dyDescent="0.4">
      <c r="A473" s="2" t="s">
        <v>99</v>
      </c>
      <c r="B473" s="2">
        <v>6</v>
      </c>
      <c r="C473" s="3" t="s">
        <v>33</v>
      </c>
      <c r="D473" s="2"/>
      <c r="E473" s="2"/>
      <c r="F473" s="2"/>
      <c r="G473" s="2"/>
      <c r="H473" s="2"/>
      <c r="I473" s="2">
        <v>60.4955</v>
      </c>
      <c r="J473" s="2">
        <v>330</v>
      </c>
      <c r="K473" s="2">
        <v>60.131999999999998</v>
      </c>
      <c r="L473" s="2">
        <v>333</v>
      </c>
      <c r="M473" s="2">
        <v>113.4389</v>
      </c>
      <c r="N473" s="2">
        <v>9</v>
      </c>
      <c r="O473" s="2">
        <v>115.7012</v>
      </c>
      <c r="P473" s="2">
        <v>11</v>
      </c>
      <c r="Q473" s="2">
        <v>97.994900000000001</v>
      </c>
      <c r="R473" s="2">
        <v>94</v>
      </c>
      <c r="S473" s="2">
        <v>95.302099999999996</v>
      </c>
      <c r="T473" s="2">
        <v>47</v>
      </c>
      <c r="U473" s="2">
        <v>0.90295800000000004</v>
      </c>
      <c r="V473" s="2">
        <v>17</v>
      </c>
      <c r="W473" s="2">
        <v>2009</v>
      </c>
    </row>
    <row r="474" spans="1:23" ht="12.3" x14ac:dyDescent="0.4">
      <c r="A474" s="2" t="s">
        <v>78</v>
      </c>
      <c r="B474" s="2">
        <v>3</v>
      </c>
      <c r="C474" s="3" t="s">
        <v>33</v>
      </c>
      <c r="D474" s="3" t="s">
        <v>33</v>
      </c>
      <c r="E474" s="3" t="s">
        <v>33</v>
      </c>
      <c r="F474" s="3" t="s">
        <v>33</v>
      </c>
      <c r="G474" s="2"/>
      <c r="H474" s="2"/>
      <c r="I474" s="2">
        <v>69.127899999999997</v>
      </c>
      <c r="J474" s="2">
        <v>79</v>
      </c>
      <c r="K474" s="2">
        <v>68.4696</v>
      </c>
      <c r="L474" s="2">
        <v>86</v>
      </c>
      <c r="M474" s="2">
        <v>109.9945</v>
      </c>
      <c r="N474" s="2">
        <v>29</v>
      </c>
      <c r="O474" s="2">
        <v>111.9937</v>
      </c>
      <c r="P474" s="2">
        <v>30</v>
      </c>
      <c r="Q474" s="2">
        <v>95.776799999999994</v>
      </c>
      <c r="R474" s="2">
        <v>51</v>
      </c>
      <c r="S474" s="2">
        <v>92.271699999999996</v>
      </c>
      <c r="T474" s="2">
        <v>17</v>
      </c>
      <c r="U474" s="2">
        <v>0.902702</v>
      </c>
      <c r="V474" s="2">
        <v>18</v>
      </c>
      <c r="W474" s="2">
        <v>2009</v>
      </c>
    </row>
    <row r="475" spans="1:23" ht="12.3" x14ac:dyDescent="0.4">
      <c r="A475" s="2" t="s">
        <v>96</v>
      </c>
      <c r="B475" s="2">
        <v>8</v>
      </c>
      <c r="C475" s="2"/>
      <c r="D475" s="2"/>
      <c r="E475" s="2"/>
      <c r="F475" s="2"/>
      <c r="G475" s="2"/>
      <c r="H475" s="2"/>
      <c r="I475" s="2">
        <v>68.725399999999993</v>
      </c>
      <c r="J475" s="2">
        <v>94</v>
      </c>
      <c r="K475" s="2">
        <v>69.983900000000006</v>
      </c>
      <c r="L475" s="2">
        <v>44</v>
      </c>
      <c r="M475" s="2">
        <v>111.8682</v>
      </c>
      <c r="N475" s="2">
        <v>17</v>
      </c>
      <c r="O475" s="2">
        <v>113.0282</v>
      </c>
      <c r="P475" s="2">
        <v>19</v>
      </c>
      <c r="Q475" s="2">
        <v>93.682299999999998</v>
      </c>
      <c r="R475" s="2">
        <v>22</v>
      </c>
      <c r="S475" s="2">
        <v>93.548599999999993</v>
      </c>
      <c r="T475" s="2">
        <v>30</v>
      </c>
      <c r="U475" s="2">
        <v>0.89800899999999995</v>
      </c>
      <c r="V475" s="2">
        <v>19</v>
      </c>
      <c r="W475" s="2">
        <v>2009</v>
      </c>
    </row>
    <row r="476" spans="1:23" ht="12.3" x14ac:dyDescent="0.4">
      <c r="A476" s="2" t="s">
        <v>39</v>
      </c>
      <c r="B476" s="2">
        <v>6</v>
      </c>
      <c r="C476" s="3" t="s">
        <v>33</v>
      </c>
      <c r="D476" s="2"/>
      <c r="E476" s="2"/>
      <c r="F476" s="2"/>
      <c r="G476" s="2"/>
      <c r="H476" s="2"/>
      <c r="I476" s="2">
        <v>69.515600000000006</v>
      </c>
      <c r="J476" s="2">
        <v>67</v>
      </c>
      <c r="K476" s="2">
        <v>68.781099999999995</v>
      </c>
      <c r="L476" s="2">
        <v>75</v>
      </c>
      <c r="M476" s="2">
        <v>113.11150000000001</v>
      </c>
      <c r="N476" s="2">
        <v>11</v>
      </c>
      <c r="O476" s="2">
        <v>116.1857</v>
      </c>
      <c r="P476" s="2">
        <v>9</v>
      </c>
      <c r="Q476" s="2">
        <v>98.9559</v>
      </c>
      <c r="R476" s="2">
        <v>113</v>
      </c>
      <c r="S476" s="2">
        <v>96.541799999999995</v>
      </c>
      <c r="T476" s="2">
        <v>63</v>
      </c>
      <c r="U476" s="2">
        <v>0.89378100000000005</v>
      </c>
      <c r="V476" s="2">
        <v>20</v>
      </c>
      <c r="W476" s="2">
        <v>2009</v>
      </c>
    </row>
    <row r="477" spans="1:23" ht="12.3" x14ac:dyDescent="0.4">
      <c r="A477" s="2" t="s">
        <v>61</v>
      </c>
      <c r="B477" s="2">
        <v>4</v>
      </c>
      <c r="C477" s="2"/>
      <c r="D477" s="2"/>
      <c r="E477" s="2"/>
      <c r="F477" s="2"/>
      <c r="G477" s="2"/>
      <c r="H477" s="2"/>
      <c r="I477" s="2">
        <v>75.325800000000001</v>
      </c>
      <c r="J477" s="2">
        <v>6</v>
      </c>
      <c r="K477" s="2">
        <v>73.388800000000003</v>
      </c>
      <c r="L477" s="2">
        <v>10</v>
      </c>
      <c r="M477" s="2">
        <v>107.883</v>
      </c>
      <c r="N477" s="2">
        <v>62</v>
      </c>
      <c r="O477" s="2">
        <v>109.7782</v>
      </c>
      <c r="P477" s="2">
        <v>45</v>
      </c>
      <c r="Q477" s="2">
        <v>93.201999999999998</v>
      </c>
      <c r="R477" s="2">
        <v>18</v>
      </c>
      <c r="S477" s="2">
        <v>92.031700000000001</v>
      </c>
      <c r="T477" s="2">
        <v>16</v>
      </c>
      <c r="U477" s="2">
        <v>0.883683</v>
      </c>
      <c r="V477" s="2">
        <v>21</v>
      </c>
      <c r="W477" s="2">
        <v>2009</v>
      </c>
    </row>
    <row r="478" spans="1:23" ht="12.3" x14ac:dyDescent="0.4">
      <c r="A478" s="2" t="s">
        <v>24</v>
      </c>
      <c r="B478" s="2">
        <v>7</v>
      </c>
      <c r="C478" s="2"/>
      <c r="D478" s="2"/>
      <c r="E478" s="2"/>
      <c r="F478" s="2"/>
      <c r="G478" s="2"/>
      <c r="H478" s="2"/>
      <c r="I478" s="2">
        <v>70.428600000000003</v>
      </c>
      <c r="J478" s="2">
        <v>43</v>
      </c>
      <c r="K478" s="2">
        <v>69.061000000000007</v>
      </c>
      <c r="L478" s="2">
        <v>65</v>
      </c>
      <c r="M478" s="2">
        <v>111.9457</v>
      </c>
      <c r="N478" s="2">
        <v>16</v>
      </c>
      <c r="O478" s="2">
        <v>116.2067</v>
      </c>
      <c r="P478" s="2">
        <v>8</v>
      </c>
      <c r="Q478" s="2">
        <v>96.069199999999995</v>
      </c>
      <c r="R478" s="2">
        <v>56</v>
      </c>
      <c r="S478" s="2">
        <v>97.548699999999997</v>
      </c>
      <c r="T478" s="2">
        <v>78</v>
      </c>
      <c r="U478" s="2">
        <v>0.88212599999999997</v>
      </c>
      <c r="V478" s="2">
        <v>22</v>
      </c>
      <c r="W478" s="2">
        <v>2009</v>
      </c>
    </row>
    <row r="479" spans="1:23" ht="12.3" x14ac:dyDescent="0.4">
      <c r="A479" s="2" t="s">
        <v>44</v>
      </c>
      <c r="B479" s="2">
        <v>5</v>
      </c>
      <c r="C479" s="2"/>
      <c r="D479" s="2"/>
      <c r="E479" s="2"/>
      <c r="F479" s="2"/>
      <c r="G479" s="2"/>
      <c r="H479" s="2"/>
      <c r="I479" s="2">
        <v>62.714399999999998</v>
      </c>
      <c r="J479" s="2">
        <v>296</v>
      </c>
      <c r="K479" s="2">
        <v>63.569699999999997</v>
      </c>
      <c r="L479" s="2">
        <v>283</v>
      </c>
      <c r="M479" s="2">
        <v>102.06229999999999</v>
      </c>
      <c r="N479" s="2">
        <v>163</v>
      </c>
      <c r="O479" s="2">
        <v>103.9402</v>
      </c>
      <c r="P479" s="2">
        <v>127</v>
      </c>
      <c r="Q479" s="2">
        <v>89.974400000000003</v>
      </c>
      <c r="R479" s="2">
        <v>6</v>
      </c>
      <c r="S479" s="2">
        <v>87.626099999999994</v>
      </c>
      <c r="T479" s="2">
        <v>4</v>
      </c>
      <c r="U479" s="2">
        <v>0.87690800000000002</v>
      </c>
      <c r="V479" s="2">
        <v>23</v>
      </c>
      <c r="W479" s="2">
        <v>2009</v>
      </c>
    </row>
    <row r="480" spans="1:23" ht="12.3" x14ac:dyDescent="0.4">
      <c r="A480" s="2" t="s">
        <v>50</v>
      </c>
      <c r="B480" s="2">
        <v>4</v>
      </c>
      <c r="C480" s="3" t="s">
        <v>33</v>
      </c>
      <c r="D480" s="3" t="s">
        <v>33</v>
      </c>
      <c r="E480" s="2"/>
      <c r="F480" s="2"/>
      <c r="G480" s="2"/>
      <c r="H480" s="2"/>
      <c r="I480" s="2">
        <v>67.121499999999997</v>
      </c>
      <c r="J480" s="2">
        <v>137</v>
      </c>
      <c r="K480" s="2">
        <v>66.871899999999997</v>
      </c>
      <c r="L480" s="2">
        <v>148</v>
      </c>
      <c r="M480" s="2">
        <v>107.5317</v>
      </c>
      <c r="N480" s="2">
        <v>73</v>
      </c>
      <c r="O480" s="2">
        <v>109.4507</v>
      </c>
      <c r="P480" s="2">
        <v>47</v>
      </c>
      <c r="Q480" s="2">
        <v>92.569500000000005</v>
      </c>
      <c r="R480" s="2">
        <v>13</v>
      </c>
      <c r="S480" s="2">
        <v>92.388999999999996</v>
      </c>
      <c r="T480" s="2">
        <v>18</v>
      </c>
      <c r="U480" s="2">
        <v>0.87532200000000004</v>
      </c>
      <c r="V480" s="2">
        <v>24</v>
      </c>
      <c r="W480" s="2">
        <v>2009</v>
      </c>
    </row>
    <row r="481" spans="1:23" ht="12.3" x14ac:dyDescent="0.4">
      <c r="A481" s="2" t="s">
        <v>70</v>
      </c>
      <c r="B481" s="2">
        <v>5</v>
      </c>
      <c r="C481" s="2"/>
      <c r="D481" s="2"/>
      <c r="E481" s="2"/>
      <c r="F481" s="2"/>
      <c r="G481" s="2"/>
      <c r="H481" s="2"/>
      <c r="I481" s="2">
        <v>65.098699999999994</v>
      </c>
      <c r="J481" s="2">
        <v>222</v>
      </c>
      <c r="K481" s="2">
        <v>65.399699999999996</v>
      </c>
      <c r="L481" s="2">
        <v>217</v>
      </c>
      <c r="M481" s="2">
        <v>107.8438</v>
      </c>
      <c r="N481" s="2">
        <v>63</v>
      </c>
      <c r="O481" s="2">
        <v>108.66759999999999</v>
      </c>
      <c r="P481" s="2">
        <v>58</v>
      </c>
      <c r="Q481" s="2">
        <v>96.354299999999995</v>
      </c>
      <c r="R481" s="2">
        <v>63</v>
      </c>
      <c r="S481" s="2">
        <v>91.935199999999995</v>
      </c>
      <c r="T481" s="2">
        <v>15</v>
      </c>
      <c r="U481" s="2">
        <v>0.87246299999999999</v>
      </c>
      <c r="V481" s="2">
        <v>25</v>
      </c>
      <c r="W481" s="2">
        <v>2009</v>
      </c>
    </row>
    <row r="482" spans="1:23" ht="12.3" x14ac:dyDescent="0.4">
      <c r="A482" s="2" t="s">
        <v>76</v>
      </c>
      <c r="B482" s="2">
        <v>12</v>
      </c>
      <c r="C482" s="3" t="s">
        <v>33</v>
      </c>
      <c r="D482" s="2"/>
      <c r="E482" s="2"/>
      <c r="F482" s="2"/>
      <c r="G482" s="2"/>
      <c r="H482" s="2"/>
      <c r="I482" s="2">
        <v>58.725900000000003</v>
      </c>
      <c r="J482" s="2">
        <v>341</v>
      </c>
      <c r="K482" s="2">
        <v>59.915399999999998</v>
      </c>
      <c r="L482" s="2">
        <v>334</v>
      </c>
      <c r="M482" s="2">
        <v>108.59650000000001</v>
      </c>
      <c r="N482" s="2">
        <v>51</v>
      </c>
      <c r="O482" s="2">
        <v>112.1296</v>
      </c>
      <c r="P482" s="2">
        <v>29</v>
      </c>
      <c r="Q482" s="2">
        <v>99.506699999999995</v>
      </c>
      <c r="R482" s="2">
        <v>121</v>
      </c>
      <c r="S482" s="2">
        <v>95.770300000000006</v>
      </c>
      <c r="T482" s="2">
        <v>56</v>
      </c>
      <c r="U482" s="2">
        <v>0.85979399999999995</v>
      </c>
      <c r="V482" s="2">
        <v>26</v>
      </c>
      <c r="W482" s="2">
        <v>2009</v>
      </c>
    </row>
    <row r="483" spans="1:23" ht="12.3" x14ac:dyDescent="0.4">
      <c r="A483" s="2" t="s">
        <v>42</v>
      </c>
      <c r="B483" s="2">
        <v>10</v>
      </c>
      <c r="C483" s="3" t="s">
        <v>33</v>
      </c>
      <c r="D483" s="2"/>
      <c r="E483" s="2"/>
      <c r="F483" s="2"/>
      <c r="G483" s="2"/>
      <c r="H483" s="2"/>
      <c r="I483" s="2">
        <v>65.0779</v>
      </c>
      <c r="J483" s="2">
        <v>224</v>
      </c>
      <c r="K483" s="2">
        <v>64.627700000000004</v>
      </c>
      <c r="L483" s="2">
        <v>247</v>
      </c>
      <c r="M483" s="2">
        <v>104.59229999999999</v>
      </c>
      <c r="N483" s="2">
        <v>115</v>
      </c>
      <c r="O483" s="2">
        <v>108.0282</v>
      </c>
      <c r="P483" s="2">
        <v>66</v>
      </c>
      <c r="Q483" s="2">
        <v>97.586299999999994</v>
      </c>
      <c r="R483" s="2">
        <v>88</v>
      </c>
      <c r="S483" s="2">
        <v>92.493499999999997</v>
      </c>
      <c r="T483" s="2">
        <v>20</v>
      </c>
      <c r="U483" s="2">
        <v>0.85636500000000004</v>
      </c>
      <c r="V483" s="2">
        <v>27</v>
      </c>
      <c r="W483" s="2">
        <v>2009</v>
      </c>
    </row>
    <row r="484" spans="1:23" ht="12.3" x14ac:dyDescent="0.4">
      <c r="A484" s="2" t="s">
        <v>67</v>
      </c>
      <c r="B484" s="2">
        <v>7</v>
      </c>
      <c r="C484" s="3" t="s">
        <v>33</v>
      </c>
      <c r="D484" s="2"/>
      <c r="E484" s="2"/>
      <c r="F484" s="2"/>
      <c r="G484" s="2"/>
      <c r="H484" s="2"/>
      <c r="I484" s="2">
        <v>67.539100000000005</v>
      </c>
      <c r="J484" s="2">
        <v>131</v>
      </c>
      <c r="K484" s="2">
        <v>66.141099999999994</v>
      </c>
      <c r="L484" s="2">
        <v>174</v>
      </c>
      <c r="M484" s="2">
        <v>106.66589999999999</v>
      </c>
      <c r="N484" s="2">
        <v>79</v>
      </c>
      <c r="O484" s="2">
        <v>109.2162</v>
      </c>
      <c r="P484" s="2">
        <v>51</v>
      </c>
      <c r="Q484" s="2">
        <v>96.383399999999995</v>
      </c>
      <c r="R484" s="2">
        <v>65</v>
      </c>
      <c r="S484" s="2">
        <v>93.570899999999995</v>
      </c>
      <c r="T484" s="2">
        <v>31</v>
      </c>
      <c r="U484" s="2">
        <v>0.85545199999999999</v>
      </c>
      <c r="V484" s="2">
        <v>28</v>
      </c>
      <c r="W484" s="2">
        <v>2009</v>
      </c>
    </row>
    <row r="485" spans="1:23" ht="12.3" x14ac:dyDescent="0.4">
      <c r="A485" s="2" t="s">
        <v>57</v>
      </c>
      <c r="B485" s="2">
        <v>7</v>
      </c>
      <c r="C485" s="2"/>
      <c r="D485" s="2"/>
      <c r="E485" s="2"/>
      <c r="F485" s="2"/>
      <c r="G485" s="2"/>
      <c r="H485" s="2"/>
      <c r="I485" s="2">
        <v>66.184200000000004</v>
      </c>
      <c r="J485" s="2">
        <v>175</v>
      </c>
      <c r="K485" s="2">
        <v>67.169799999999995</v>
      </c>
      <c r="L485" s="2">
        <v>135</v>
      </c>
      <c r="M485" s="2">
        <v>112.23350000000001</v>
      </c>
      <c r="N485" s="2">
        <v>14</v>
      </c>
      <c r="O485" s="2">
        <v>115.70489999999999</v>
      </c>
      <c r="P485" s="2">
        <v>10</v>
      </c>
      <c r="Q485" s="2">
        <v>101.88979999999999</v>
      </c>
      <c r="R485" s="2">
        <v>188</v>
      </c>
      <c r="S485" s="2">
        <v>99.332800000000006</v>
      </c>
      <c r="T485" s="2">
        <v>124</v>
      </c>
      <c r="U485" s="2">
        <v>0.852522</v>
      </c>
      <c r="V485" s="2">
        <v>29</v>
      </c>
      <c r="W485" s="2">
        <v>2009</v>
      </c>
    </row>
    <row r="486" spans="1:23" ht="12.3" x14ac:dyDescent="0.4">
      <c r="A486" s="2" t="s">
        <v>20</v>
      </c>
      <c r="B486" s="2">
        <v>5</v>
      </c>
      <c r="C486" s="2"/>
      <c r="D486" s="2"/>
      <c r="E486" s="2"/>
      <c r="F486" s="2"/>
      <c r="G486" s="2"/>
      <c r="H486" s="2"/>
      <c r="I486" s="2">
        <v>68.257999999999996</v>
      </c>
      <c r="J486" s="2">
        <v>104</v>
      </c>
      <c r="K486" s="2">
        <v>66.983699999999999</v>
      </c>
      <c r="L486" s="2">
        <v>144</v>
      </c>
      <c r="M486" s="2">
        <v>100.44880000000001</v>
      </c>
      <c r="N486" s="2">
        <v>187</v>
      </c>
      <c r="O486" s="2">
        <v>104.7221</v>
      </c>
      <c r="P486" s="2">
        <v>110</v>
      </c>
      <c r="Q486" s="2">
        <v>94.917400000000001</v>
      </c>
      <c r="R486" s="2">
        <v>41</v>
      </c>
      <c r="S486" s="2">
        <v>89.948899999999995</v>
      </c>
      <c r="T486" s="2">
        <v>6</v>
      </c>
      <c r="U486" s="2">
        <v>0.85179899999999997</v>
      </c>
      <c r="V486" s="2">
        <v>30</v>
      </c>
      <c r="W486" s="2">
        <v>2009</v>
      </c>
    </row>
    <row r="487" spans="1:23" ht="12.3" x14ac:dyDescent="0.4">
      <c r="A487" s="2" t="s">
        <v>72</v>
      </c>
      <c r="B487" s="2">
        <v>8</v>
      </c>
      <c r="C487" s="3" t="s">
        <v>33</v>
      </c>
      <c r="D487" s="2"/>
      <c r="E487" s="2"/>
      <c r="F487" s="2"/>
      <c r="G487" s="2"/>
      <c r="H487" s="2"/>
      <c r="I487" s="2">
        <v>72.418700000000001</v>
      </c>
      <c r="J487" s="2">
        <v>16</v>
      </c>
      <c r="K487" s="2">
        <v>70.432900000000004</v>
      </c>
      <c r="L487" s="2">
        <v>34</v>
      </c>
      <c r="M487" s="2">
        <v>111.4555</v>
      </c>
      <c r="N487" s="2">
        <v>20</v>
      </c>
      <c r="O487" s="2">
        <v>112.8104</v>
      </c>
      <c r="P487" s="2">
        <v>22</v>
      </c>
      <c r="Q487" s="2">
        <v>101.5167</v>
      </c>
      <c r="R487" s="2">
        <v>176</v>
      </c>
      <c r="S487" s="2">
        <v>96.962199999999996</v>
      </c>
      <c r="T487" s="2">
        <v>68</v>
      </c>
      <c r="U487" s="2">
        <v>0.85080699999999998</v>
      </c>
      <c r="V487" s="2">
        <v>31</v>
      </c>
      <c r="W487" s="2">
        <v>2009</v>
      </c>
    </row>
    <row r="488" spans="1:23" ht="12.3" x14ac:dyDescent="0.4">
      <c r="A488" s="2" t="s">
        <v>21</v>
      </c>
      <c r="B488" s="2">
        <v>8</v>
      </c>
      <c r="C488" s="2"/>
      <c r="D488" s="2"/>
      <c r="E488" s="2"/>
      <c r="F488" s="2"/>
      <c r="G488" s="2"/>
      <c r="H488" s="2"/>
      <c r="I488" s="2">
        <v>61.712299999999999</v>
      </c>
      <c r="J488" s="2">
        <v>318</v>
      </c>
      <c r="K488" s="2">
        <v>63.355899999999998</v>
      </c>
      <c r="L488" s="2">
        <v>288</v>
      </c>
      <c r="M488" s="2">
        <v>107.6511</v>
      </c>
      <c r="N488" s="2">
        <v>69</v>
      </c>
      <c r="O488" s="2">
        <v>113.0316</v>
      </c>
      <c r="P488" s="2">
        <v>18</v>
      </c>
      <c r="Q488" s="2">
        <v>99.724599999999995</v>
      </c>
      <c r="R488" s="2">
        <v>131</v>
      </c>
      <c r="S488" s="2">
        <v>97.763599999999997</v>
      </c>
      <c r="T488" s="2">
        <v>84</v>
      </c>
      <c r="U488" s="2">
        <v>0.84141999999999995</v>
      </c>
      <c r="V488" s="2">
        <v>33</v>
      </c>
      <c r="W488" s="2">
        <v>2009</v>
      </c>
    </row>
    <row r="489" spans="1:23" ht="12.3" x14ac:dyDescent="0.4">
      <c r="A489" s="2" t="s">
        <v>18</v>
      </c>
      <c r="B489" s="2">
        <v>9</v>
      </c>
      <c r="C489" s="2"/>
      <c r="D489" s="2"/>
      <c r="E489" s="2"/>
      <c r="F489" s="2"/>
      <c r="G489" s="2"/>
      <c r="H489" s="2"/>
      <c r="I489" s="2">
        <v>62.612099999999998</v>
      </c>
      <c r="J489" s="2">
        <v>298</v>
      </c>
      <c r="K489" s="2">
        <v>63.422800000000002</v>
      </c>
      <c r="L489" s="2">
        <v>286</v>
      </c>
      <c r="M489" s="2">
        <v>106.91330000000001</v>
      </c>
      <c r="N489" s="2">
        <v>78</v>
      </c>
      <c r="O489" s="2">
        <v>108.4606</v>
      </c>
      <c r="P489" s="2">
        <v>60</v>
      </c>
      <c r="Q489" s="2">
        <v>92.915099999999995</v>
      </c>
      <c r="R489" s="2">
        <v>15</v>
      </c>
      <c r="S489" s="2">
        <v>94.121200000000002</v>
      </c>
      <c r="T489" s="2">
        <v>36</v>
      </c>
      <c r="U489" s="2">
        <v>0.83627200000000002</v>
      </c>
      <c r="V489" s="2">
        <v>35</v>
      </c>
      <c r="W489" s="2">
        <v>2009</v>
      </c>
    </row>
    <row r="490" spans="1:23" ht="12.3" x14ac:dyDescent="0.4">
      <c r="A490" s="2" t="s">
        <v>81</v>
      </c>
      <c r="B490" s="2">
        <v>9</v>
      </c>
      <c r="C490" s="2"/>
      <c r="D490" s="2"/>
      <c r="E490" s="2"/>
      <c r="F490" s="2"/>
      <c r="G490" s="2"/>
      <c r="H490" s="2"/>
      <c r="I490" s="2">
        <v>71.5625</v>
      </c>
      <c r="J490" s="2">
        <v>27</v>
      </c>
      <c r="K490" s="2">
        <v>68.968699999999998</v>
      </c>
      <c r="L490" s="2">
        <v>67</v>
      </c>
      <c r="M490" s="2">
        <v>109.1284</v>
      </c>
      <c r="N490" s="2">
        <v>44</v>
      </c>
      <c r="O490" s="2">
        <v>113.3582</v>
      </c>
      <c r="P490" s="2">
        <v>17</v>
      </c>
      <c r="Q490" s="2">
        <v>101.178</v>
      </c>
      <c r="R490" s="2">
        <v>168</v>
      </c>
      <c r="S490" s="2">
        <v>98.644999999999996</v>
      </c>
      <c r="T490" s="2">
        <v>105</v>
      </c>
      <c r="U490" s="2">
        <v>0.83184800000000003</v>
      </c>
      <c r="V490" s="2">
        <v>36</v>
      </c>
      <c r="W490" s="2">
        <v>2009</v>
      </c>
    </row>
    <row r="491" spans="1:23" ht="12.3" x14ac:dyDescent="0.4">
      <c r="A491" s="2" t="s">
        <v>75</v>
      </c>
      <c r="B491" s="2">
        <v>10</v>
      </c>
      <c r="C491" s="2"/>
      <c r="D491" s="2"/>
      <c r="E491" s="2"/>
      <c r="F491" s="2"/>
      <c r="G491" s="2"/>
      <c r="H491" s="2"/>
      <c r="I491" s="2">
        <v>63.649299999999997</v>
      </c>
      <c r="J491" s="2">
        <v>277</v>
      </c>
      <c r="K491" s="2">
        <v>65.376599999999996</v>
      </c>
      <c r="L491" s="2">
        <v>218</v>
      </c>
      <c r="M491" s="2">
        <v>103.44329999999999</v>
      </c>
      <c r="N491" s="2">
        <v>136</v>
      </c>
      <c r="O491" s="2">
        <v>105.0415</v>
      </c>
      <c r="P491" s="2">
        <v>102</v>
      </c>
      <c r="Q491" s="2">
        <v>95.924599999999998</v>
      </c>
      <c r="R491" s="2">
        <v>53</v>
      </c>
      <c r="S491" s="2">
        <v>91.428299999999993</v>
      </c>
      <c r="T491" s="2">
        <v>13</v>
      </c>
      <c r="U491" s="2">
        <v>0.831488</v>
      </c>
      <c r="V491" s="2">
        <v>37</v>
      </c>
      <c r="W491" s="2">
        <v>2009</v>
      </c>
    </row>
    <row r="492" spans="1:23" ht="12.3" x14ac:dyDescent="0.4">
      <c r="A492" s="2" t="s">
        <v>43</v>
      </c>
      <c r="B492" s="2">
        <v>12</v>
      </c>
      <c r="C492" s="3" t="s">
        <v>33</v>
      </c>
      <c r="D492" s="3" t="s">
        <v>33</v>
      </c>
      <c r="E492" s="2"/>
      <c r="F492" s="2"/>
      <c r="G492" s="2"/>
      <c r="H492" s="2"/>
      <c r="I492" s="2">
        <v>64.403599999999997</v>
      </c>
      <c r="J492" s="2">
        <v>262</v>
      </c>
      <c r="K492" s="2">
        <v>65.537499999999994</v>
      </c>
      <c r="L492" s="2">
        <v>208</v>
      </c>
      <c r="M492" s="2">
        <v>111.43049999999999</v>
      </c>
      <c r="N492" s="2">
        <v>21</v>
      </c>
      <c r="O492" s="2">
        <v>116.26260000000001</v>
      </c>
      <c r="P492" s="2">
        <v>7</v>
      </c>
      <c r="Q492" s="2">
        <v>105.8351</v>
      </c>
      <c r="R492" s="2">
        <v>267</v>
      </c>
      <c r="S492" s="2">
        <v>101.3051</v>
      </c>
      <c r="T492" s="2">
        <v>165</v>
      </c>
      <c r="U492" s="2">
        <v>0.82972999999999997</v>
      </c>
      <c r="V492" s="2">
        <v>38</v>
      </c>
      <c r="W492" s="2">
        <v>2009</v>
      </c>
    </row>
    <row r="493" spans="1:23" ht="12.3" x14ac:dyDescent="0.4">
      <c r="A493" s="2" t="s">
        <v>248</v>
      </c>
      <c r="B493" s="2">
        <v>9</v>
      </c>
      <c r="C493" s="3" t="s">
        <v>33</v>
      </c>
      <c r="D493" s="2"/>
      <c r="E493" s="2"/>
      <c r="F493" s="2"/>
      <c r="G493" s="2"/>
      <c r="H493" s="2"/>
      <c r="I493" s="2">
        <v>65.992999999999995</v>
      </c>
      <c r="J493" s="2">
        <v>181</v>
      </c>
      <c r="K493" s="2">
        <v>65.094099999999997</v>
      </c>
      <c r="L493" s="2">
        <v>231</v>
      </c>
      <c r="M493" s="2">
        <v>107.8173</v>
      </c>
      <c r="N493" s="2">
        <v>64</v>
      </c>
      <c r="O493" s="2">
        <v>111.4631</v>
      </c>
      <c r="P493" s="2">
        <v>33</v>
      </c>
      <c r="Q493" s="2">
        <v>100.2696</v>
      </c>
      <c r="R493" s="2">
        <v>145</v>
      </c>
      <c r="S493" s="2">
        <v>97.822000000000003</v>
      </c>
      <c r="T493" s="2">
        <v>86</v>
      </c>
      <c r="U493" s="2">
        <v>0.81776199999999999</v>
      </c>
      <c r="V493" s="2">
        <v>43</v>
      </c>
      <c r="W493" s="2">
        <v>2009</v>
      </c>
    </row>
    <row r="494" spans="1:23" ht="12.3" x14ac:dyDescent="0.4">
      <c r="A494" s="2" t="s">
        <v>88</v>
      </c>
      <c r="B494" s="2">
        <v>11</v>
      </c>
      <c r="C494" s="2"/>
      <c r="D494" s="2"/>
      <c r="E494" s="2"/>
      <c r="F494" s="2"/>
      <c r="G494" s="2"/>
      <c r="H494" s="2"/>
      <c r="I494" s="2">
        <v>65.133700000000005</v>
      </c>
      <c r="J494" s="2">
        <v>221</v>
      </c>
      <c r="K494" s="2">
        <v>64.401899999999998</v>
      </c>
      <c r="L494" s="2">
        <v>260</v>
      </c>
      <c r="M494" s="2">
        <v>105.8472</v>
      </c>
      <c r="N494" s="2">
        <v>88</v>
      </c>
      <c r="O494" s="2">
        <v>107.9807</v>
      </c>
      <c r="P494" s="2">
        <v>67</v>
      </c>
      <c r="Q494" s="2">
        <v>97.412800000000004</v>
      </c>
      <c r="R494" s="2">
        <v>87</v>
      </c>
      <c r="S494" s="2">
        <v>95.004900000000006</v>
      </c>
      <c r="T494" s="2">
        <v>43</v>
      </c>
      <c r="U494" s="2">
        <v>0.81340299999999999</v>
      </c>
      <c r="V494" s="2">
        <v>44</v>
      </c>
      <c r="W494" s="2">
        <v>2009</v>
      </c>
    </row>
    <row r="495" spans="1:23" ht="12.3" x14ac:dyDescent="0.4">
      <c r="A495" s="2" t="s">
        <v>154</v>
      </c>
      <c r="B495" s="2">
        <v>10</v>
      </c>
      <c r="C495" s="3" t="s">
        <v>33</v>
      </c>
      <c r="D495" s="2"/>
      <c r="E495" s="2"/>
      <c r="F495" s="2"/>
      <c r="G495" s="2"/>
      <c r="H495" s="2"/>
      <c r="I495" s="2">
        <v>62.2883</v>
      </c>
      <c r="J495" s="2">
        <v>309</v>
      </c>
      <c r="K495" s="2">
        <v>64.132000000000005</v>
      </c>
      <c r="L495" s="2">
        <v>267</v>
      </c>
      <c r="M495" s="2">
        <v>105.57380000000001</v>
      </c>
      <c r="N495" s="2">
        <v>92</v>
      </c>
      <c r="O495" s="2">
        <v>110.80840000000001</v>
      </c>
      <c r="P495" s="2">
        <v>36</v>
      </c>
      <c r="Q495" s="2">
        <v>100.68810000000001</v>
      </c>
      <c r="R495" s="2">
        <v>157</v>
      </c>
      <c r="S495" s="2">
        <v>97.522000000000006</v>
      </c>
      <c r="T495" s="2">
        <v>77</v>
      </c>
      <c r="U495" s="2">
        <v>0.81288000000000005</v>
      </c>
      <c r="V495" s="2">
        <v>45</v>
      </c>
      <c r="W495" s="2">
        <v>2009</v>
      </c>
    </row>
    <row r="496" spans="1:23" ht="12.3" x14ac:dyDescent="0.4">
      <c r="A496" s="2" t="s">
        <v>85</v>
      </c>
      <c r="B496" s="2">
        <v>8</v>
      </c>
      <c r="C496" s="3" t="s">
        <v>33</v>
      </c>
      <c r="D496" s="2"/>
      <c r="E496" s="2"/>
      <c r="F496" s="2"/>
      <c r="G496" s="2"/>
      <c r="H496" s="2"/>
      <c r="I496" s="2">
        <v>68.184899999999999</v>
      </c>
      <c r="J496" s="2">
        <v>106</v>
      </c>
      <c r="K496" s="2">
        <v>66.868700000000004</v>
      </c>
      <c r="L496" s="2">
        <v>149</v>
      </c>
      <c r="M496" s="2">
        <v>109.1335</v>
      </c>
      <c r="N496" s="2">
        <v>43</v>
      </c>
      <c r="O496" s="2">
        <v>109.0287</v>
      </c>
      <c r="P496" s="2">
        <v>55</v>
      </c>
      <c r="Q496" s="2">
        <v>95.348500000000001</v>
      </c>
      <c r="R496" s="2">
        <v>45</v>
      </c>
      <c r="S496" s="2">
        <v>96.242199999999997</v>
      </c>
      <c r="T496" s="2">
        <v>61</v>
      </c>
      <c r="U496" s="2">
        <v>0.80760900000000002</v>
      </c>
      <c r="V496" s="2">
        <v>47</v>
      </c>
      <c r="W496" s="2">
        <v>2009</v>
      </c>
    </row>
    <row r="497" spans="1:23" ht="12.3" x14ac:dyDescent="0.4">
      <c r="A497" s="2" t="s">
        <v>36</v>
      </c>
      <c r="B497" s="2">
        <v>10</v>
      </c>
      <c r="C497" s="3" t="s">
        <v>33</v>
      </c>
      <c r="D497" s="2"/>
      <c r="E497" s="2"/>
      <c r="F497" s="2"/>
      <c r="G497" s="2"/>
      <c r="H497" s="2"/>
      <c r="I497" s="2">
        <v>68.746700000000004</v>
      </c>
      <c r="J497" s="2">
        <v>92</v>
      </c>
      <c r="K497" s="2">
        <v>67.2714</v>
      </c>
      <c r="L497" s="2">
        <v>129</v>
      </c>
      <c r="M497" s="2">
        <v>103.1284</v>
      </c>
      <c r="N497" s="2">
        <v>141</v>
      </c>
      <c r="O497" s="2">
        <v>107.6215</v>
      </c>
      <c r="P497" s="2">
        <v>74</v>
      </c>
      <c r="Q497" s="2">
        <v>98.89</v>
      </c>
      <c r="R497" s="2">
        <v>111</v>
      </c>
      <c r="S497" s="2">
        <v>95.117099999999994</v>
      </c>
      <c r="T497" s="2">
        <v>45</v>
      </c>
      <c r="U497" s="2">
        <v>0.80539899999999998</v>
      </c>
      <c r="V497" s="2">
        <v>48</v>
      </c>
      <c r="W497" s="2">
        <v>2009</v>
      </c>
    </row>
    <row r="498" spans="1:23" ht="12.3" x14ac:dyDescent="0.4">
      <c r="A498" s="2" t="s">
        <v>137</v>
      </c>
      <c r="B498" s="2">
        <v>11</v>
      </c>
      <c r="C498" s="2"/>
      <c r="D498" s="2"/>
      <c r="E498" s="2"/>
      <c r="F498" s="2"/>
      <c r="G498" s="2"/>
      <c r="H498" s="2"/>
      <c r="I498" s="2">
        <v>66.120900000000006</v>
      </c>
      <c r="J498" s="2">
        <v>178</v>
      </c>
      <c r="K498" s="2">
        <v>67.092299999999994</v>
      </c>
      <c r="L498" s="2">
        <v>138</v>
      </c>
      <c r="M498" s="2">
        <v>108.2766</v>
      </c>
      <c r="N498" s="2">
        <v>55</v>
      </c>
      <c r="O498" s="2">
        <v>107.9363</v>
      </c>
      <c r="P498" s="2">
        <v>68</v>
      </c>
      <c r="Q498" s="2">
        <v>94.858500000000006</v>
      </c>
      <c r="R498" s="2">
        <v>39</v>
      </c>
      <c r="S498" s="2">
        <v>95.493700000000004</v>
      </c>
      <c r="T498" s="2">
        <v>51</v>
      </c>
      <c r="U498" s="2">
        <v>0.80353399999999997</v>
      </c>
      <c r="V498" s="2">
        <v>49</v>
      </c>
      <c r="W498" s="2">
        <v>2009</v>
      </c>
    </row>
    <row r="499" spans="1:23" ht="12.3" x14ac:dyDescent="0.4">
      <c r="A499" s="2" t="s">
        <v>98</v>
      </c>
      <c r="B499" s="2">
        <v>11</v>
      </c>
      <c r="C499" s="2"/>
      <c r="D499" s="2"/>
      <c r="E499" s="2"/>
      <c r="F499" s="2"/>
      <c r="G499" s="2"/>
      <c r="H499" s="2"/>
      <c r="I499" s="2">
        <v>61.518500000000003</v>
      </c>
      <c r="J499" s="2">
        <v>322</v>
      </c>
      <c r="K499" s="2">
        <v>61.238799999999998</v>
      </c>
      <c r="L499" s="2">
        <v>324</v>
      </c>
      <c r="M499" s="2">
        <v>117.6271</v>
      </c>
      <c r="N499" s="2">
        <v>1</v>
      </c>
      <c r="O499" s="2">
        <v>114.9799</v>
      </c>
      <c r="P499" s="2">
        <v>13</v>
      </c>
      <c r="Q499" s="2">
        <v>100.5955</v>
      </c>
      <c r="R499" s="2">
        <v>152</v>
      </c>
      <c r="S499" s="2">
        <v>102.078</v>
      </c>
      <c r="T499" s="2">
        <v>175</v>
      </c>
      <c r="U499" s="2">
        <v>0.79717499999999997</v>
      </c>
      <c r="V499" s="2">
        <v>52</v>
      </c>
      <c r="W499" s="2">
        <v>2009</v>
      </c>
    </row>
    <row r="500" spans="1:23" ht="12.3" x14ac:dyDescent="0.4">
      <c r="A500" s="2" t="s">
        <v>196</v>
      </c>
      <c r="B500" s="2">
        <v>9</v>
      </c>
      <c r="C500" s="3" t="s">
        <v>33</v>
      </c>
      <c r="D500" s="2"/>
      <c r="E500" s="2"/>
      <c r="F500" s="2"/>
      <c r="G500" s="2"/>
      <c r="H500" s="2"/>
      <c r="I500" s="2">
        <v>71.967399999999998</v>
      </c>
      <c r="J500" s="2">
        <v>22</v>
      </c>
      <c r="K500" s="2">
        <v>71.873199999999997</v>
      </c>
      <c r="L500" s="2">
        <v>16</v>
      </c>
      <c r="M500" s="2">
        <v>107.60250000000001</v>
      </c>
      <c r="N500" s="2">
        <v>70</v>
      </c>
      <c r="O500" s="2">
        <v>110.11920000000001</v>
      </c>
      <c r="P500" s="2">
        <v>41</v>
      </c>
      <c r="Q500" s="2">
        <v>96.841099999999997</v>
      </c>
      <c r="R500" s="2">
        <v>75</v>
      </c>
      <c r="S500" s="2">
        <v>98.467299999999994</v>
      </c>
      <c r="T500" s="2">
        <v>95</v>
      </c>
      <c r="U500" s="2">
        <v>0.78349299999999999</v>
      </c>
      <c r="V500" s="2">
        <v>60</v>
      </c>
      <c r="W500" s="2">
        <v>2009</v>
      </c>
    </row>
    <row r="501" spans="1:23" ht="12.3" x14ac:dyDescent="0.4">
      <c r="A501" s="2" t="s">
        <v>222</v>
      </c>
      <c r="B501" s="2">
        <v>13</v>
      </c>
      <c r="C501" s="3" t="s">
        <v>33</v>
      </c>
      <c r="D501" s="2"/>
      <c r="E501" s="2"/>
      <c r="F501" s="2"/>
      <c r="G501" s="2"/>
      <c r="H501" s="2"/>
      <c r="I501" s="2">
        <v>64.316400000000002</v>
      </c>
      <c r="J501" s="2">
        <v>265</v>
      </c>
      <c r="K501" s="2">
        <v>64.5792</v>
      </c>
      <c r="L501" s="2">
        <v>251</v>
      </c>
      <c r="M501" s="2">
        <v>101.0395</v>
      </c>
      <c r="N501" s="2">
        <v>174</v>
      </c>
      <c r="O501" s="2">
        <v>103.90430000000001</v>
      </c>
      <c r="P501" s="2">
        <v>129</v>
      </c>
      <c r="Q501" s="2">
        <v>92.860500000000002</v>
      </c>
      <c r="R501" s="2">
        <v>14</v>
      </c>
      <c r="S501" s="2">
        <v>93.221000000000004</v>
      </c>
      <c r="T501" s="2">
        <v>26</v>
      </c>
      <c r="U501" s="2">
        <v>0.77690599999999999</v>
      </c>
      <c r="V501" s="2">
        <v>61</v>
      </c>
      <c r="W501" s="2">
        <v>2009</v>
      </c>
    </row>
    <row r="502" spans="1:23" ht="12.3" x14ac:dyDescent="0.4">
      <c r="A502" s="2" t="s">
        <v>48</v>
      </c>
      <c r="B502" s="2">
        <v>13</v>
      </c>
      <c r="C502" s="2"/>
      <c r="D502" s="2"/>
      <c r="E502" s="2"/>
      <c r="F502" s="2"/>
      <c r="G502" s="2"/>
      <c r="H502" s="2"/>
      <c r="I502" s="2">
        <v>69.860399999999998</v>
      </c>
      <c r="J502" s="2">
        <v>59</v>
      </c>
      <c r="K502" s="2">
        <v>68.2547</v>
      </c>
      <c r="L502" s="2">
        <v>93</v>
      </c>
      <c r="M502" s="2">
        <v>104.2522</v>
      </c>
      <c r="N502" s="2">
        <v>120</v>
      </c>
      <c r="O502" s="2">
        <v>106.2569</v>
      </c>
      <c r="P502" s="2">
        <v>88</v>
      </c>
      <c r="Q502" s="2">
        <v>97.165899999999993</v>
      </c>
      <c r="R502" s="2">
        <v>81</v>
      </c>
      <c r="S502" s="2">
        <v>95.5351</v>
      </c>
      <c r="T502" s="2">
        <v>52</v>
      </c>
      <c r="U502" s="2">
        <v>0.77262900000000001</v>
      </c>
      <c r="V502" s="2">
        <v>63</v>
      </c>
      <c r="W502" s="2">
        <v>2009</v>
      </c>
    </row>
    <row r="503" spans="1:23" ht="12.3" x14ac:dyDescent="0.4">
      <c r="A503" s="2" t="s">
        <v>95</v>
      </c>
      <c r="B503" s="2">
        <v>7</v>
      </c>
      <c r="C503" s="2"/>
      <c r="D503" s="2"/>
      <c r="E503" s="2"/>
      <c r="F503" s="2"/>
      <c r="G503" s="2"/>
      <c r="H503" s="2"/>
      <c r="I503" s="2">
        <v>67.689300000000003</v>
      </c>
      <c r="J503" s="2">
        <v>123</v>
      </c>
      <c r="K503" s="2">
        <v>66.484999999999999</v>
      </c>
      <c r="L503" s="2">
        <v>162</v>
      </c>
      <c r="M503" s="2">
        <v>109.90949999999999</v>
      </c>
      <c r="N503" s="2">
        <v>30</v>
      </c>
      <c r="O503" s="2">
        <v>111.7364</v>
      </c>
      <c r="P503" s="2">
        <v>32</v>
      </c>
      <c r="Q503" s="2">
        <v>103.5741</v>
      </c>
      <c r="R503" s="2">
        <v>226</v>
      </c>
      <c r="S503" s="2">
        <v>100.6032</v>
      </c>
      <c r="T503" s="2">
        <v>148</v>
      </c>
      <c r="U503" s="2">
        <v>0.76977200000000001</v>
      </c>
      <c r="V503" s="2">
        <v>64</v>
      </c>
      <c r="W503" s="2">
        <v>2009</v>
      </c>
    </row>
    <row r="504" spans="1:23" ht="12.3" x14ac:dyDescent="0.4">
      <c r="A504" s="2" t="s">
        <v>360</v>
      </c>
      <c r="B504" s="2">
        <v>14</v>
      </c>
      <c r="C504" s="2"/>
      <c r="D504" s="2"/>
      <c r="E504" s="2"/>
      <c r="F504" s="2"/>
      <c r="G504" s="2"/>
      <c r="H504" s="2"/>
      <c r="I504" s="2">
        <v>67.583500000000001</v>
      </c>
      <c r="J504" s="2">
        <v>128</v>
      </c>
      <c r="K504" s="2">
        <v>68.648399999999995</v>
      </c>
      <c r="L504" s="2">
        <v>79</v>
      </c>
      <c r="M504" s="2">
        <v>114.6974</v>
      </c>
      <c r="N504" s="2">
        <v>6</v>
      </c>
      <c r="O504" s="2">
        <v>112.5865</v>
      </c>
      <c r="P504" s="2">
        <v>26</v>
      </c>
      <c r="Q504" s="2">
        <v>99.988299999999995</v>
      </c>
      <c r="R504" s="2">
        <v>139</v>
      </c>
      <c r="S504" s="2">
        <v>102.02719999999999</v>
      </c>
      <c r="T504" s="2">
        <v>174</v>
      </c>
      <c r="U504" s="2">
        <v>0.75630900000000001</v>
      </c>
      <c r="V504" s="2">
        <v>73</v>
      </c>
      <c r="W504" s="2">
        <v>2009</v>
      </c>
    </row>
    <row r="505" spans="1:23" ht="12.3" x14ac:dyDescent="0.4">
      <c r="A505" s="2" t="s">
        <v>216</v>
      </c>
      <c r="B505" s="2">
        <v>12</v>
      </c>
      <c r="C505" s="2"/>
      <c r="D505" s="2"/>
      <c r="E505" s="2"/>
      <c r="F505" s="2"/>
      <c r="G505" s="2"/>
      <c r="H505" s="2"/>
      <c r="I505" s="2">
        <v>61.311</v>
      </c>
      <c r="J505" s="2">
        <v>325</v>
      </c>
      <c r="K505" s="2">
        <v>61.855400000000003</v>
      </c>
      <c r="L505" s="2">
        <v>318</v>
      </c>
      <c r="M505" s="2">
        <v>108.1962</v>
      </c>
      <c r="N505" s="2">
        <v>56</v>
      </c>
      <c r="O505" s="2">
        <v>109.1155</v>
      </c>
      <c r="P505" s="2">
        <v>53</v>
      </c>
      <c r="Q505" s="2">
        <v>102.1995</v>
      </c>
      <c r="R505" s="2">
        <v>198</v>
      </c>
      <c r="S505" s="2">
        <v>99.241100000000003</v>
      </c>
      <c r="T505" s="2">
        <v>122</v>
      </c>
      <c r="U505" s="2">
        <v>0.74853800000000004</v>
      </c>
      <c r="V505" s="2">
        <v>76</v>
      </c>
      <c r="W505" s="2">
        <v>2009</v>
      </c>
    </row>
    <row r="506" spans="1:23" ht="12.3" x14ac:dyDescent="0.4">
      <c r="A506" s="2" t="s">
        <v>64</v>
      </c>
      <c r="B506" s="2">
        <v>11</v>
      </c>
      <c r="C506" s="3" t="s">
        <v>33</v>
      </c>
      <c r="D506" s="2"/>
      <c r="E506" s="2"/>
      <c r="F506" s="2"/>
      <c r="G506" s="2"/>
      <c r="H506" s="2"/>
      <c r="I506" s="2">
        <v>65.5077</v>
      </c>
      <c r="J506" s="2">
        <v>204</v>
      </c>
      <c r="K506" s="2">
        <v>65.585300000000004</v>
      </c>
      <c r="L506" s="2">
        <v>203</v>
      </c>
      <c r="M506" s="2">
        <v>102.1484</v>
      </c>
      <c r="N506" s="2">
        <v>160</v>
      </c>
      <c r="O506" s="2">
        <v>102.3203</v>
      </c>
      <c r="P506" s="2">
        <v>150</v>
      </c>
      <c r="Q506" s="2">
        <v>92.946700000000007</v>
      </c>
      <c r="R506" s="2">
        <v>16</v>
      </c>
      <c r="S506" s="2">
        <v>93.921499999999995</v>
      </c>
      <c r="T506" s="2">
        <v>35</v>
      </c>
      <c r="U506" s="2">
        <v>0.72809199999999996</v>
      </c>
      <c r="V506" s="2">
        <v>83</v>
      </c>
      <c r="W506" s="2">
        <v>2009</v>
      </c>
    </row>
    <row r="507" spans="1:23" ht="12.3" x14ac:dyDescent="0.4">
      <c r="A507" s="2" t="s">
        <v>282</v>
      </c>
      <c r="B507" s="2">
        <v>14</v>
      </c>
      <c r="C507" s="2"/>
      <c r="D507" s="2"/>
      <c r="E507" s="2"/>
      <c r="F507" s="2"/>
      <c r="G507" s="2"/>
      <c r="H507" s="2"/>
      <c r="I507" s="2">
        <v>64.377399999999994</v>
      </c>
      <c r="J507" s="2">
        <v>264</v>
      </c>
      <c r="K507" s="2">
        <v>62.919499999999999</v>
      </c>
      <c r="L507" s="2">
        <v>300</v>
      </c>
      <c r="M507" s="2">
        <v>98.13</v>
      </c>
      <c r="N507" s="2">
        <v>227</v>
      </c>
      <c r="O507" s="2">
        <v>97.094499999999996</v>
      </c>
      <c r="P507" s="2">
        <v>248</v>
      </c>
      <c r="Q507" s="2">
        <v>88.648700000000005</v>
      </c>
      <c r="R507" s="2">
        <v>2</v>
      </c>
      <c r="S507" s="2">
        <v>90.441199999999995</v>
      </c>
      <c r="T507" s="2">
        <v>7</v>
      </c>
      <c r="U507" s="2">
        <v>0.69345699999999999</v>
      </c>
      <c r="V507" s="2">
        <v>86</v>
      </c>
      <c r="W507" s="2">
        <v>2009</v>
      </c>
    </row>
    <row r="508" spans="1:23" ht="12.3" x14ac:dyDescent="0.4">
      <c r="A508" s="2" t="s">
        <v>68</v>
      </c>
      <c r="B508" s="2">
        <v>12</v>
      </c>
      <c r="C508" s="3" t="s">
        <v>33</v>
      </c>
      <c r="D508" s="2"/>
      <c r="E508" s="2"/>
      <c r="F508" s="2"/>
      <c r="G508" s="2"/>
      <c r="H508" s="2"/>
      <c r="I508" s="2">
        <v>65.9726</v>
      </c>
      <c r="J508" s="2">
        <v>182</v>
      </c>
      <c r="K508" s="2">
        <v>65.903499999999994</v>
      </c>
      <c r="L508" s="2">
        <v>187</v>
      </c>
      <c r="M508" s="2">
        <v>109.5453</v>
      </c>
      <c r="N508" s="2">
        <v>37</v>
      </c>
      <c r="O508" s="2">
        <v>109.2259</v>
      </c>
      <c r="P508" s="2">
        <v>50</v>
      </c>
      <c r="Q508" s="2">
        <v>101.57599999999999</v>
      </c>
      <c r="R508" s="2">
        <v>178</v>
      </c>
      <c r="S508" s="2">
        <v>101.75279999999999</v>
      </c>
      <c r="T508" s="2">
        <v>170</v>
      </c>
      <c r="U508" s="2">
        <v>0.69318100000000005</v>
      </c>
      <c r="V508" s="2">
        <v>87</v>
      </c>
      <c r="W508" s="2">
        <v>2009</v>
      </c>
    </row>
    <row r="509" spans="1:23" ht="12.3" x14ac:dyDescent="0.4">
      <c r="A509" s="2" t="s">
        <v>256</v>
      </c>
      <c r="B509" s="2">
        <v>13</v>
      </c>
      <c r="C509" s="2"/>
      <c r="D509" s="2"/>
      <c r="E509" s="2"/>
      <c r="F509" s="2"/>
      <c r="G509" s="2"/>
      <c r="H509" s="2"/>
      <c r="I509" s="2">
        <v>64.793800000000005</v>
      </c>
      <c r="J509" s="2">
        <v>246</v>
      </c>
      <c r="K509" s="2">
        <v>66.012600000000006</v>
      </c>
      <c r="L509" s="2">
        <v>180</v>
      </c>
      <c r="M509" s="2">
        <v>101.2427</v>
      </c>
      <c r="N509" s="2">
        <v>172</v>
      </c>
      <c r="O509" s="2">
        <v>101.256</v>
      </c>
      <c r="P509" s="2">
        <v>170</v>
      </c>
      <c r="Q509" s="2">
        <v>92.160600000000002</v>
      </c>
      <c r="R509" s="2">
        <v>10</v>
      </c>
      <c r="S509" s="2">
        <v>95.038899999999998</v>
      </c>
      <c r="T509" s="2">
        <v>44</v>
      </c>
      <c r="U509" s="2">
        <v>0.67452299999999998</v>
      </c>
      <c r="V509" s="2">
        <v>91</v>
      </c>
      <c r="W509" s="2">
        <v>2009</v>
      </c>
    </row>
    <row r="510" spans="1:23" ht="12.3" x14ac:dyDescent="0.4">
      <c r="A510" s="2" t="s">
        <v>226</v>
      </c>
      <c r="B510" s="2">
        <v>14</v>
      </c>
      <c r="C510" s="2"/>
      <c r="D510" s="2"/>
      <c r="E510" s="2"/>
      <c r="F510" s="2"/>
      <c r="G510" s="2"/>
      <c r="H510" s="2"/>
      <c r="I510" s="2">
        <v>61.040700000000001</v>
      </c>
      <c r="J510" s="2">
        <v>327</v>
      </c>
      <c r="K510" s="2">
        <v>61.164200000000001</v>
      </c>
      <c r="L510" s="2">
        <v>325</v>
      </c>
      <c r="M510" s="2">
        <v>105.1724</v>
      </c>
      <c r="N510" s="2">
        <v>101</v>
      </c>
      <c r="O510" s="2">
        <v>103.9704</v>
      </c>
      <c r="P510" s="2">
        <v>126</v>
      </c>
      <c r="Q510" s="2">
        <v>94.454099999999997</v>
      </c>
      <c r="R510" s="2">
        <v>30</v>
      </c>
      <c r="S510" s="2">
        <v>98.721199999999996</v>
      </c>
      <c r="T510" s="2">
        <v>108</v>
      </c>
      <c r="U510" s="2">
        <v>0.64469100000000001</v>
      </c>
      <c r="V510" s="2">
        <v>103</v>
      </c>
      <c r="W510" s="2">
        <v>2009</v>
      </c>
    </row>
    <row r="511" spans="1:23" ht="12.3" x14ac:dyDescent="0.4">
      <c r="A511" s="2" t="s">
        <v>108</v>
      </c>
      <c r="B511" s="2">
        <v>16</v>
      </c>
      <c r="C511" s="2"/>
      <c r="D511" s="2"/>
      <c r="E511" s="2"/>
      <c r="F511" s="2"/>
      <c r="G511" s="2"/>
      <c r="H511" s="2"/>
      <c r="I511" s="2">
        <v>72.094300000000004</v>
      </c>
      <c r="J511" s="2">
        <v>17</v>
      </c>
      <c r="K511" s="2">
        <v>70.990499999999997</v>
      </c>
      <c r="L511" s="2">
        <v>24</v>
      </c>
      <c r="M511" s="2">
        <v>107.67</v>
      </c>
      <c r="N511" s="2">
        <v>67</v>
      </c>
      <c r="O511" s="2">
        <v>105.0436</v>
      </c>
      <c r="P511" s="2">
        <v>101</v>
      </c>
      <c r="Q511" s="2">
        <v>96.7363</v>
      </c>
      <c r="R511" s="2">
        <v>71</v>
      </c>
      <c r="S511" s="2">
        <v>100.24120000000001</v>
      </c>
      <c r="T511" s="2">
        <v>142</v>
      </c>
      <c r="U511" s="2">
        <v>0.631382</v>
      </c>
      <c r="V511" s="2">
        <v>106</v>
      </c>
      <c r="W511" s="2">
        <v>2009</v>
      </c>
    </row>
    <row r="512" spans="1:23" ht="12.3" x14ac:dyDescent="0.4">
      <c r="A512" s="2" t="s">
        <v>198</v>
      </c>
      <c r="B512" s="2">
        <v>15</v>
      </c>
      <c r="C512" s="2"/>
      <c r="D512" s="2"/>
      <c r="E512" s="2"/>
      <c r="F512" s="2"/>
      <c r="G512" s="2"/>
      <c r="H512" s="2"/>
      <c r="I512" s="2">
        <v>71.602500000000006</v>
      </c>
      <c r="J512" s="2">
        <v>26</v>
      </c>
      <c r="K512" s="2">
        <v>72.908799999999999</v>
      </c>
      <c r="L512" s="2">
        <v>12</v>
      </c>
      <c r="M512" s="2">
        <v>102.0672</v>
      </c>
      <c r="N512" s="2">
        <v>162</v>
      </c>
      <c r="O512" s="2">
        <v>99.728999999999999</v>
      </c>
      <c r="P512" s="2">
        <v>206</v>
      </c>
      <c r="Q512" s="2">
        <v>97.228899999999996</v>
      </c>
      <c r="R512" s="2">
        <v>83</v>
      </c>
      <c r="S512" s="2">
        <v>95.380099999999999</v>
      </c>
      <c r="T512" s="2">
        <v>50</v>
      </c>
      <c r="U512" s="2">
        <v>0.62544900000000003</v>
      </c>
      <c r="V512" s="2">
        <v>109</v>
      </c>
      <c r="W512" s="2">
        <v>2009</v>
      </c>
    </row>
    <row r="513" spans="1:23" ht="12.3" x14ac:dyDescent="0.4">
      <c r="A513" s="2" t="s">
        <v>333</v>
      </c>
      <c r="B513" s="2">
        <v>14</v>
      </c>
      <c r="C513" s="2"/>
      <c r="D513" s="2"/>
      <c r="E513" s="2"/>
      <c r="F513" s="2"/>
      <c r="G513" s="2"/>
      <c r="H513" s="2"/>
      <c r="I513" s="2">
        <v>66.423100000000005</v>
      </c>
      <c r="J513" s="2">
        <v>163</v>
      </c>
      <c r="K513" s="2">
        <v>66.832999999999998</v>
      </c>
      <c r="L513" s="2">
        <v>151</v>
      </c>
      <c r="M513" s="2">
        <v>109.0291</v>
      </c>
      <c r="N513" s="2">
        <v>46</v>
      </c>
      <c r="O513" s="2">
        <v>106.1421</v>
      </c>
      <c r="P513" s="2">
        <v>91</v>
      </c>
      <c r="Q513" s="2">
        <v>96.784300000000002</v>
      </c>
      <c r="R513" s="2">
        <v>72</v>
      </c>
      <c r="S513" s="2">
        <v>101.8901</v>
      </c>
      <c r="T513" s="2">
        <v>172</v>
      </c>
      <c r="U513" s="2">
        <v>0.61542399999999997</v>
      </c>
      <c r="V513" s="2">
        <v>113</v>
      </c>
      <c r="W513" s="2">
        <v>2009</v>
      </c>
    </row>
    <row r="514" spans="1:23" ht="12.3" x14ac:dyDescent="0.4">
      <c r="A514" s="2" t="s">
        <v>269</v>
      </c>
      <c r="B514" s="2">
        <v>13</v>
      </c>
      <c r="C514" s="2"/>
      <c r="D514" s="2"/>
      <c r="E514" s="2"/>
      <c r="F514" s="2"/>
      <c r="G514" s="2"/>
      <c r="H514" s="2"/>
      <c r="I514" s="2">
        <v>65.8934</v>
      </c>
      <c r="J514" s="2">
        <v>186</v>
      </c>
      <c r="K514" s="2">
        <v>65.987099999999998</v>
      </c>
      <c r="L514" s="2">
        <v>183</v>
      </c>
      <c r="M514" s="2">
        <v>109.4819</v>
      </c>
      <c r="N514" s="2">
        <v>39</v>
      </c>
      <c r="O514" s="2">
        <v>107.8385</v>
      </c>
      <c r="P514" s="2">
        <v>70</v>
      </c>
      <c r="Q514" s="2">
        <v>101.5784</v>
      </c>
      <c r="R514" s="2">
        <v>179</v>
      </c>
      <c r="S514" s="2">
        <v>104.1996</v>
      </c>
      <c r="T514" s="2">
        <v>225</v>
      </c>
      <c r="U514" s="2">
        <v>0.59742700000000004</v>
      </c>
      <c r="V514" s="2">
        <v>116</v>
      </c>
      <c r="W514" s="2">
        <v>2009</v>
      </c>
    </row>
    <row r="515" spans="1:23" ht="12.3" x14ac:dyDescent="0.4">
      <c r="A515" s="2" t="s">
        <v>345</v>
      </c>
      <c r="B515" s="2">
        <v>15</v>
      </c>
      <c r="C515" s="2"/>
      <c r="D515" s="2"/>
      <c r="E515" s="2"/>
      <c r="F515" s="2"/>
      <c r="G515" s="2"/>
      <c r="H515" s="2"/>
      <c r="I515" s="2">
        <v>66.097300000000004</v>
      </c>
      <c r="J515" s="2">
        <v>179</v>
      </c>
      <c r="K515" s="2">
        <v>66.271000000000001</v>
      </c>
      <c r="L515" s="2">
        <v>171</v>
      </c>
      <c r="M515" s="2">
        <v>101.51860000000001</v>
      </c>
      <c r="N515" s="2">
        <v>168</v>
      </c>
      <c r="O515" s="2">
        <v>99.320499999999996</v>
      </c>
      <c r="P515" s="2">
        <v>215</v>
      </c>
      <c r="Q515" s="2">
        <v>93.167699999999996</v>
      </c>
      <c r="R515" s="2">
        <v>17</v>
      </c>
      <c r="S515" s="2">
        <v>97.501900000000006</v>
      </c>
      <c r="T515" s="2">
        <v>76</v>
      </c>
      <c r="U515" s="2">
        <v>0.55293199999999998</v>
      </c>
      <c r="V515" s="2">
        <v>134</v>
      </c>
      <c r="W515" s="2">
        <v>2009</v>
      </c>
    </row>
    <row r="516" spans="1:23" ht="12.3" x14ac:dyDescent="0.4">
      <c r="A516" s="2" t="s">
        <v>307</v>
      </c>
      <c r="B516" s="2">
        <v>15</v>
      </c>
      <c r="C516" s="2"/>
      <c r="D516" s="2"/>
      <c r="E516" s="2"/>
      <c r="F516" s="2"/>
      <c r="G516" s="2"/>
      <c r="H516" s="2"/>
      <c r="I516" s="2">
        <v>67.146299999999997</v>
      </c>
      <c r="J516" s="2">
        <v>136</v>
      </c>
      <c r="K516" s="2">
        <v>66.702100000000002</v>
      </c>
      <c r="L516" s="2">
        <v>155</v>
      </c>
      <c r="M516" s="2">
        <v>105.108</v>
      </c>
      <c r="N516" s="2">
        <v>104</v>
      </c>
      <c r="O516" s="2">
        <v>100.0742</v>
      </c>
      <c r="P516" s="2">
        <v>201</v>
      </c>
      <c r="Q516" s="2">
        <v>96.299800000000005</v>
      </c>
      <c r="R516" s="2">
        <v>60</v>
      </c>
      <c r="S516" s="2">
        <v>98.495199999999997</v>
      </c>
      <c r="T516" s="2">
        <v>99</v>
      </c>
      <c r="U516" s="2">
        <v>0.545597</v>
      </c>
      <c r="V516" s="2">
        <v>137</v>
      </c>
      <c r="W516" s="2">
        <v>2009</v>
      </c>
    </row>
    <row r="517" spans="1:23" ht="12.3" x14ac:dyDescent="0.4">
      <c r="A517" s="2" t="s">
        <v>201</v>
      </c>
      <c r="B517" s="2">
        <v>16</v>
      </c>
      <c r="C517" s="2"/>
      <c r="D517" s="2"/>
      <c r="E517" s="2"/>
      <c r="F517" s="2"/>
      <c r="G517" s="2"/>
      <c r="H517" s="2"/>
      <c r="I517" s="2">
        <v>66.876900000000006</v>
      </c>
      <c r="J517" s="2">
        <v>147</v>
      </c>
      <c r="K517" s="2">
        <v>66.088200000000001</v>
      </c>
      <c r="L517" s="2">
        <v>177</v>
      </c>
      <c r="M517" s="2">
        <v>103.6198</v>
      </c>
      <c r="N517" s="2">
        <v>130</v>
      </c>
      <c r="O517" s="2">
        <v>101.6664</v>
      </c>
      <c r="P517" s="2">
        <v>158</v>
      </c>
      <c r="Q517" s="2">
        <v>102.6229</v>
      </c>
      <c r="R517" s="2">
        <v>205</v>
      </c>
      <c r="S517" s="2">
        <v>101.3664</v>
      </c>
      <c r="T517" s="2">
        <v>166</v>
      </c>
      <c r="U517" s="2">
        <v>0.508494</v>
      </c>
      <c r="V517" s="2">
        <v>158</v>
      </c>
      <c r="W517" s="2">
        <v>2009</v>
      </c>
    </row>
    <row r="518" spans="1:23" ht="12.3" x14ac:dyDescent="0.4">
      <c r="A518" s="2" t="s">
        <v>315</v>
      </c>
      <c r="B518" s="2">
        <v>15</v>
      </c>
      <c r="C518" s="2"/>
      <c r="D518" s="2"/>
      <c r="E518" s="2"/>
      <c r="F518" s="2"/>
      <c r="G518" s="2"/>
      <c r="H518" s="2"/>
      <c r="I518" s="2">
        <v>66.992599999999996</v>
      </c>
      <c r="J518" s="2">
        <v>142</v>
      </c>
      <c r="K518" s="2">
        <v>68.412700000000001</v>
      </c>
      <c r="L518" s="2">
        <v>89</v>
      </c>
      <c r="M518" s="2">
        <v>103.2525</v>
      </c>
      <c r="N518" s="2">
        <v>138</v>
      </c>
      <c r="O518" s="2">
        <v>101.13590000000001</v>
      </c>
      <c r="P518" s="2">
        <v>173</v>
      </c>
      <c r="Q518" s="2">
        <v>98.519400000000005</v>
      </c>
      <c r="R518" s="2">
        <v>102</v>
      </c>
      <c r="S518" s="2">
        <v>101.0018</v>
      </c>
      <c r="T518" s="2">
        <v>158</v>
      </c>
      <c r="U518" s="2">
        <v>0.50381699999999996</v>
      </c>
      <c r="V518" s="2">
        <v>161</v>
      </c>
      <c r="W518" s="2">
        <v>2009</v>
      </c>
    </row>
    <row r="519" spans="1:23" ht="12.3" x14ac:dyDescent="0.4">
      <c r="A519" s="2" t="s">
        <v>223</v>
      </c>
      <c r="B519" s="2">
        <v>16</v>
      </c>
      <c r="C519" s="2"/>
      <c r="D519" s="2"/>
      <c r="E519" s="2"/>
      <c r="F519" s="2"/>
      <c r="G519" s="2"/>
      <c r="H519" s="2"/>
      <c r="I519" s="2">
        <v>71.174300000000002</v>
      </c>
      <c r="J519" s="2">
        <v>31</v>
      </c>
      <c r="K519" s="2">
        <v>69.884500000000003</v>
      </c>
      <c r="L519" s="2">
        <v>48</v>
      </c>
      <c r="M519" s="2">
        <v>102.7826</v>
      </c>
      <c r="N519" s="2">
        <v>147</v>
      </c>
      <c r="O519" s="2">
        <v>101.2514</v>
      </c>
      <c r="P519" s="2">
        <v>171</v>
      </c>
      <c r="Q519" s="2">
        <v>99.534300000000002</v>
      </c>
      <c r="R519" s="2">
        <v>124</v>
      </c>
      <c r="S519" s="2">
        <v>101.2088</v>
      </c>
      <c r="T519" s="2">
        <v>162</v>
      </c>
      <c r="U519" s="2">
        <v>0.50121000000000004</v>
      </c>
      <c r="V519" s="2">
        <v>164</v>
      </c>
      <c r="W519" s="2">
        <v>2009</v>
      </c>
    </row>
    <row r="520" spans="1:23" ht="12.3" x14ac:dyDescent="0.4">
      <c r="A520" s="2" t="s">
        <v>297</v>
      </c>
      <c r="B520" s="2">
        <v>16</v>
      </c>
      <c r="C520" s="2"/>
      <c r="D520" s="2"/>
      <c r="E520" s="2"/>
      <c r="F520" s="2"/>
      <c r="G520" s="2"/>
      <c r="H520" s="2"/>
      <c r="I520" s="2">
        <v>66.169399999999996</v>
      </c>
      <c r="J520" s="2">
        <v>177</v>
      </c>
      <c r="K520" s="2">
        <v>64.518799999999999</v>
      </c>
      <c r="L520" s="2">
        <v>255</v>
      </c>
      <c r="M520" s="2">
        <v>105.2414</v>
      </c>
      <c r="N520" s="2">
        <v>98</v>
      </c>
      <c r="O520" s="2">
        <v>101.0658</v>
      </c>
      <c r="P520" s="2">
        <v>176</v>
      </c>
      <c r="Q520" s="2">
        <v>96.465000000000003</v>
      </c>
      <c r="R520" s="2">
        <v>66</v>
      </c>
      <c r="S520" s="2">
        <v>102.7761</v>
      </c>
      <c r="T520" s="2">
        <v>190</v>
      </c>
      <c r="U520" s="2">
        <v>0.451903</v>
      </c>
      <c r="V520" s="2">
        <v>185</v>
      </c>
      <c r="W520" s="2">
        <v>2009</v>
      </c>
    </row>
    <row r="521" spans="1:23" ht="12.3" x14ac:dyDescent="0.4">
      <c r="A521" s="2" t="s">
        <v>166</v>
      </c>
      <c r="B521" s="2">
        <v>16</v>
      </c>
      <c r="C521" s="2"/>
      <c r="D521" s="2"/>
      <c r="E521" s="2"/>
      <c r="F521" s="2"/>
      <c r="G521" s="2"/>
      <c r="H521" s="2"/>
      <c r="I521" s="2">
        <v>70.836299999999994</v>
      </c>
      <c r="J521" s="2">
        <v>37</v>
      </c>
      <c r="K521" s="2">
        <v>70.296099999999996</v>
      </c>
      <c r="L521" s="2">
        <v>36</v>
      </c>
      <c r="M521" s="2">
        <v>105.20489999999999</v>
      </c>
      <c r="N521" s="2">
        <v>100</v>
      </c>
      <c r="O521" s="2">
        <v>104.5025</v>
      </c>
      <c r="P521" s="2">
        <v>114</v>
      </c>
      <c r="Q521" s="2">
        <v>106.5386</v>
      </c>
      <c r="R521" s="2">
        <v>279</v>
      </c>
      <c r="S521" s="2">
        <v>107.8091</v>
      </c>
      <c r="T521" s="2">
        <v>293</v>
      </c>
      <c r="U521" s="2">
        <v>0.41138599999999997</v>
      </c>
      <c r="V521" s="2">
        <v>200</v>
      </c>
      <c r="W521" s="2">
        <v>2009</v>
      </c>
    </row>
    <row r="522" spans="1:23" ht="12.3" x14ac:dyDescent="0.4">
      <c r="A522" s="2" t="s">
        <v>35</v>
      </c>
      <c r="B522" s="2">
        <v>1</v>
      </c>
      <c r="C522" s="3" t="s">
        <v>33</v>
      </c>
      <c r="D522" s="2"/>
      <c r="E522" s="2"/>
      <c r="F522" s="2"/>
      <c r="G522" s="2"/>
      <c r="H522" s="2"/>
      <c r="I522" s="2">
        <v>69.918899999999994</v>
      </c>
      <c r="J522" s="2">
        <v>68</v>
      </c>
      <c r="K522" s="2">
        <v>68.384699999999995</v>
      </c>
      <c r="L522" s="2">
        <v>119</v>
      </c>
      <c r="M522" s="2">
        <v>116.1563</v>
      </c>
      <c r="N522" s="2">
        <v>4</v>
      </c>
      <c r="O522" s="2">
        <v>118.87779999999999</v>
      </c>
      <c r="P522" s="2">
        <v>1</v>
      </c>
      <c r="Q522" s="2">
        <v>91.097700000000003</v>
      </c>
      <c r="R522" s="2">
        <v>9</v>
      </c>
      <c r="S522" s="2">
        <v>88.795000000000002</v>
      </c>
      <c r="T522" s="2">
        <v>5</v>
      </c>
      <c r="U522" s="2">
        <v>0.96627799999999997</v>
      </c>
      <c r="V522" s="2">
        <v>1</v>
      </c>
      <c r="W522" s="2">
        <v>2010</v>
      </c>
    </row>
    <row r="523" spans="1:23" ht="12.3" x14ac:dyDescent="0.4">
      <c r="A523" s="2" t="s">
        <v>32</v>
      </c>
      <c r="B523" s="2">
        <v>1</v>
      </c>
      <c r="C523" s="3" t="s">
        <v>33</v>
      </c>
      <c r="D523" s="3" t="s">
        <v>33</v>
      </c>
      <c r="E523" s="3" t="s">
        <v>33</v>
      </c>
      <c r="F523" s="3" t="s">
        <v>33</v>
      </c>
      <c r="G523" s="3" t="s">
        <v>33</v>
      </c>
      <c r="H523" s="3" t="s">
        <v>33</v>
      </c>
      <c r="I523" s="2">
        <v>67.622799999999998</v>
      </c>
      <c r="J523" s="2">
        <v>158</v>
      </c>
      <c r="K523" s="2">
        <v>66.684299999999993</v>
      </c>
      <c r="L523" s="2">
        <v>198</v>
      </c>
      <c r="M523" s="2">
        <v>114.7741</v>
      </c>
      <c r="N523" s="2">
        <v>6</v>
      </c>
      <c r="O523" s="2">
        <v>116.9563</v>
      </c>
      <c r="P523" s="2">
        <v>6</v>
      </c>
      <c r="Q523" s="2">
        <v>91.28</v>
      </c>
      <c r="R523" s="2">
        <v>10</v>
      </c>
      <c r="S523" s="2">
        <v>89.206100000000006</v>
      </c>
      <c r="T523" s="2">
        <v>6</v>
      </c>
      <c r="U523" s="2">
        <v>0.95749799999999996</v>
      </c>
      <c r="V523" s="2">
        <v>2</v>
      </c>
      <c r="W523" s="2">
        <v>2010</v>
      </c>
    </row>
    <row r="524" spans="1:23" ht="12.3" x14ac:dyDescent="0.4">
      <c r="A524" s="2" t="s">
        <v>23</v>
      </c>
      <c r="B524" s="2">
        <v>1</v>
      </c>
      <c r="C524" s="3" t="s">
        <v>33</v>
      </c>
      <c r="D524" s="3" t="s">
        <v>33</v>
      </c>
      <c r="E524" s="2"/>
      <c r="F524" s="2"/>
      <c r="G524" s="2"/>
      <c r="H524" s="2"/>
      <c r="I524" s="2">
        <v>71.3215</v>
      </c>
      <c r="J524" s="2">
        <v>30</v>
      </c>
      <c r="K524" s="2">
        <v>70.744100000000003</v>
      </c>
      <c r="L524" s="2">
        <v>37</v>
      </c>
      <c r="M524" s="2">
        <v>114.26600000000001</v>
      </c>
      <c r="N524" s="2">
        <v>7</v>
      </c>
      <c r="O524" s="2">
        <v>115.7085</v>
      </c>
      <c r="P524" s="2">
        <v>10</v>
      </c>
      <c r="Q524" s="2">
        <v>94.187799999999996</v>
      </c>
      <c r="R524" s="2">
        <v>40</v>
      </c>
      <c r="S524" s="2">
        <v>91.889099999999999</v>
      </c>
      <c r="T524" s="2">
        <v>22</v>
      </c>
      <c r="U524" s="2">
        <v>0.93405099999999996</v>
      </c>
      <c r="V524" s="2">
        <v>3</v>
      </c>
      <c r="W524" s="2">
        <v>2010</v>
      </c>
    </row>
    <row r="525" spans="1:23" ht="12.3" x14ac:dyDescent="0.4">
      <c r="A525" s="2" t="s">
        <v>21</v>
      </c>
      <c r="B525" s="2">
        <v>2</v>
      </c>
      <c r="C525" s="3" t="s">
        <v>33</v>
      </c>
      <c r="D525" s="3" t="s">
        <v>33</v>
      </c>
      <c r="E525" s="2"/>
      <c r="F525" s="2"/>
      <c r="G525" s="2"/>
      <c r="H525" s="2"/>
      <c r="I525" s="2">
        <v>64.750699999999995</v>
      </c>
      <c r="J525" s="2">
        <v>281</v>
      </c>
      <c r="K525" s="2">
        <v>65.824100000000001</v>
      </c>
      <c r="L525" s="2">
        <v>236</v>
      </c>
      <c r="M525" s="2">
        <v>113.6388</v>
      </c>
      <c r="N525" s="2">
        <v>9</v>
      </c>
      <c r="O525" s="2">
        <v>116.15819999999999</v>
      </c>
      <c r="P525" s="2">
        <v>8</v>
      </c>
      <c r="Q525" s="2">
        <v>94.143199999999993</v>
      </c>
      <c r="R525" s="2">
        <v>39</v>
      </c>
      <c r="S525" s="2">
        <v>92.656400000000005</v>
      </c>
      <c r="T525" s="2">
        <v>29</v>
      </c>
      <c r="U525" s="2">
        <v>0.93083800000000005</v>
      </c>
      <c r="V525" s="2">
        <v>4</v>
      </c>
      <c r="W525" s="2">
        <v>2010</v>
      </c>
    </row>
    <row r="526" spans="1:23" ht="12.3" x14ac:dyDescent="0.4">
      <c r="A526" s="2" t="s">
        <v>229</v>
      </c>
      <c r="B526" s="2">
        <v>2</v>
      </c>
      <c r="C526" s="3" t="s">
        <v>33</v>
      </c>
      <c r="D526" s="3" t="s">
        <v>33</v>
      </c>
      <c r="E526" s="3" t="s">
        <v>33</v>
      </c>
      <c r="F526" s="3" t="s">
        <v>33</v>
      </c>
      <c r="G526" s="2"/>
      <c r="H526" s="2"/>
      <c r="I526" s="2">
        <v>63.989100000000001</v>
      </c>
      <c r="J526" s="2">
        <v>298</v>
      </c>
      <c r="K526" s="2">
        <v>63.412999999999997</v>
      </c>
      <c r="L526" s="2">
        <v>312</v>
      </c>
      <c r="M526" s="2">
        <v>111.91119999999999</v>
      </c>
      <c r="N526" s="2">
        <v>17</v>
      </c>
      <c r="O526" s="2">
        <v>115.8246</v>
      </c>
      <c r="P526" s="2">
        <v>9</v>
      </c>
      <c r="Q526" s="2">
        <v>97.724599999999995</v>
      </c>
      <c r="R526" s="2">
        <v>98</v>
      </c>
      <c r="S526" s="2">
        <v>92.837599999999995</v>
      </c>
      <c r="T526" s="2">
        <v>31</v>
      </c>
      <c r="U526" s="2">
        <v>0.92717499999999997</v>
      </c>
      <c r="V526" s="2">
        <v>5</v>
      </c>
      <c r="W526" s="2">
        <v>2010</v>
      </c>
    </row>
    <row r="527" spans="1:23" ht="12.3" x14ac:dyDescent="0.4">
      <c r="A527" s="2" t="s">
        <v>45</v>
      </c>
      <c r="B527" s="2">
        <v>1</v>
      </c>
      <c r="C527" s="3" t="s">
        <v>33</v>
      </c>
      <c r="D527" s="3" t="s">
        <v>33</v>
      </c>
      <c r="E527" s="3" t="s">
        <v>33</v>
      </c>
      <c r="F527" s="2"/>
      <c r="G527" s="2"/>
      <c r="H527" s="2"/>
      <c r="I527" s="2">
        <v>70.251800000000003</v>
      </c>
      <c r="J527" s="2">
        <v>57</v>
      </c>
      <c r="K527" s="2">
        <v>69.402600000000007</v>
      </c>
      <c r="L527" s="2">
        <v>71</v>
      </c>
      <c r="M527" s="2">
        <v>111.7162</v>
      </c>
      <c r="N527" s="2">
        <v>19</v>
      </c>
      <c r="O527" s="2">
        <v>111.7599</v>
      </c>
      <c r="P527" s="2">
        <v>26</v>
      </c>
      <c r="Q527" s="2">
        <v>92.029399999999995</v>
      </c>
      <c r="R527" s="2">
        <v>21</v>
      </c>
      <c r="S527" s="2">
        <v>89.6768</v>
      </c>
      <c r="T527" s="2">
        <v>9</v>
      </c>
      <c r="U527" s="2">
        <v>0.92632899999999996</v>
      </c>
      <c r="V527" s="2">
        <v>6</v>
      </c>
      <c r="W527" s="2">
        <v>2010</v>
      </c>
    </row>
    <row r="528" spans="1:23" ht="12.3" x14ac:dyDescent="0.4">
      <c r="A528" s="2" t="s">
        <v>148</v>
      </c>
      <c r="B528" s="2">
        <v>2</v>
      </c>
      <c r="C528" s="3" t="s">
        <v>33</v>
      </c>
      <c r="D528" s="3" t="s">
        <v>33</v>
      </c>
      <c r="E528" s="3" t="s">
        <v>33</v>
      </c>
      <c r="F528" s="2"/>
      <c r="G528" s="2"/>
      <c r="H528" s="2"/>
      <c r="I528" s="2">
        <v>72.0244</v>
      </c>
      <c r="J528" s="2">
        <v>24</v>
      </c>
      <c r="K528" s="2">
        <v>71.048000000000002</v>
      </c>
      <c r="L528" s="2">
        <v>31</v>
      </c>
      <c r="M528" s="2">
        <v>109.5895</v>
      </c>
      <c r="N528" s="2">
        <v>33</v>
      </c>
      <c r="O528" s="2">
        <v>113.9432</v>
      </c>
      <c r="P528" s="2">
        <v>17</v>
      </c>
      <c r="Q528" s="2">
        <v>95.613600000000005</v>
      </c>
      <c r="R528" s="2">
        <v>50</v>
      </c>
      <c r="S528" s="2">
        <v>91.5124</v>
      </c>
      <c r="T528" s="2">
        <v>19</v>
      </c>
      <c r="U528" s="2">
        <v>0.92560699999999996</v>
      </c>
      <c r="V528" s="2">
        <v>7</v>
      </c>
      <c r="W528" s="2">
        <v>2010</v>
      </c>
    </row>
    <row r="529" spans="1:23" ht="12.3" x14ac:dyDescent="0.4">
      <c r="A529" s="2" t="s">
        <v>76</v>
      </c>
      <c r="B529" s="2">
        <v>4</v>
      </c>
      <c r="C529" s="3" t="s">
        <v>33</v>
      </c>
      <c r="D529" s="2"/>
      <c r="E529" s="2"/>
      <c r="F529" s="2"/>
      <c r="G529" s="2"/>
      <c r="H529" s="2"/>
      <c r="I529" s="2">
        <v>60.0458</v>
      </c>
      <c r="J529" s="2">
        <v>341</v>
      </c>
      <c r="K529" s="2">
        <v>60.210900000000002</v>
      </c>
      <c r="L529" s="2">
        <v>340</v>
      </c>
      <c r="M529" s="2">
        <v>111.4756</v>
      </c>
      <c r="N529" s="2">
        <v>21</v>
      </c>
      <c r="O529" s="2">
        <v>113.3768</v>
      </c>
      <c r="P529" s="2">
        <v>19</v>
      </c>
      <c r="Q529" s="2">
        <v>92.853899999999996</v>
      </c>
      <c r="R529" s="2">
        <v>28</v>
      </c>
      <c r="S529" s="2">
        <v>91.376999999999995</v>
      </c>
      <c r="T529" s="2">
        <v>16</v>
      </c>
      <c r="U529" s="2">
        <v>0.922786</v>
      </c>
      <c r="V529" s="2">
        <v>8</v>
      </c>
      <c r="W529" s="2">
        <v>2010</v>
      </c>
    </row>
    <row r="530" spans="1:23" ht="12.3" x14ac:dyDescent="0.4">
      <c r="A530" s="2" t="s">
        <v>62</v>
      </c>
      <c r="B530" s="2">
        <v>3</v>
      </c>
      <c r="C530" s="2"/>
      <c r="D530" s="2"/>
      <c r="E530" s="2"/>
      <c r="F530" s="2"/>
      <c r="G530" s="2"/>
      <c r="H530" s="2"/>
      <c r="I530" s="2">
        <v>66.591300000000004</v>
      </c>
      <c r="J530" s="2">
        <v>214</v>
      </c>
      <c r="K530" s="2">
        <v>66.566199999999995</v>
      </c>
      <c r="L530" s="2">
        <v>207</v>
      </c>
      <c r="M530" s="2">
        <v>109.9958</v>
      </c>
      <c r="N530" s="2">
        <v>31</v>
      </c>
      <c r="O530" s="2">
        <v>115.21939999999999</v>
      </c>
      <c r="P530" s="2">
        <v>12</v>
      </c>
      <c r="Q530" s="2">
        <v>97.787899999999993</v>
      </c>
      <c r="R530" s="2">
        <v>100</v>
      </c>
      <c r="S530" s="2">
        <v>93.512100000000004</v>
      </c>
      <c r="T530" s="2">
        <v>37</v>
      </c>
      <c r="U530" s="2">
        <v>0.91687200000000002</v>
      </c>
      <c r="V530" s="2">
        <v>9</v>
      </c>
      <c r="W530" s="2">
        <v>2010</v>
      </c>
    </row>
    <row r="531" spans="1:23" ht="12.3" x14ac:dyDescent="0.4">
      <c r="A531" s="2" t="s">
        <v>96</v>
      </c>
      <c r="B531" s="2">
        <v>7</v>
      </c>
      <c r="C531" s="3" t="s">
        <v>33</v>
      </c>
      <c r="D531" s="2"/>
      <c r="E531" s="2"/>
      <c r="F531" s="2"/>
      <c r="G531" s="2"/>
      <c r="H531" s="2"/>
      <c r="I531" s="2">
        <v>71.448899999999995</v>
      </c>
      <c r="J531" s="2">
        <v>29</v>
      </c>
      <c r="K531" s="2">
        <v>72.818600000000004</v>
      </c>
      <c r="L531" s="2">
        <v>12</v>
      </c>
      <c r="M531" s="2">
        <v>115.54770000000001</v>
      </c>
      <c r="N531" s="2">
        <v>5</v>
      </c>
      <c r="O531" s="2">
        <v>115.5427</v>
      </c>
      <c r="P531" s="2">
        <v>11</v>
      </c>
      <c r="Q531" s="2">
        <v>91.659499999999994</v>
      </c>
      <c r="R531" s="2">
        <v>12</v>
      </c>
      <c r="S531" s="2">
        <v>93.917599999999993</v>
      </c>
      <c r="T531" s="2">
        <v>44</v>
      </c>
      <c r="U531" s="2">
        <v>0.91552599999999995</v>
      </c>
      <c r="V531" s="2">
        <v>10</v>
      </c>
      <c r="W531" s="2">
        <v>2010</v>
      </c>
    </row>
    <row r="532" spans="1:23" ht="12.3" x14ac:dyDescent="0.4">
      <c r="A532" s="2" t="s">
        <v>158</v>
      </c>
      <c r="B532" s="2">
        <v>3</v>
      </c>
      <c r="C532" s="3" t="s">
        <v>33</v>
      </c>
      <c r="D532" s="3" t="s">
        <v>33</v>
      </c>
      <c r="E532" s="3" t="s">
        <v>33</v>
      </c>
      <c r="F532" s="2"/>
      <c r="G532" s="2"/>
      <c r="H532" s="2"/>
      <c r="I532" s="2">
        <v>67.519000000000005</v>
      </c>
      <c r="J532" s="2">
        <v>164</v>
      </c>
      <c r="K532" s="2">
        <v>65.818399999999997</v>
      </c>
      <c r="L532" s="2">
        <v>237</v>
      </c>
      <c r="M532" s="2">
        <v>112.7598</v>
      </c>
      <c r="N532" s="2">
        <v>12</v>
      </c>
      <c r="O532" s="2">
        <v>117.53</v>
      </c>
      <c r="P532" s="2">
        <v>4</v>
      </c>
      <c r="Q532" s="2">
        <v>98.089799999999997</v>
      </c>
      <c r="R532" s="2">
        <v>106</v>
      </c>
      <c r="S532" s="2">
        <v>95.608000000000004</v>
      </c>
      <c r="T532" s="2">
        <v>60</v>
      </c>
      <c r="U532" s="2">
        <v>0.914825</v>
      </c>
      <c r="V532" s="2">
        <v>11</v>
      </c>
      <c r="W532" s="2">
        <v>2010</v>
      </c>
    </row>
    <row r="533" spans="1:23" ht="12.3" x14ac:dyDescent="0.4">
      <c r="A533" s="2" t="s">
        <v>88</v>
      </c>
      <c r="B533" s="2">
        <v>5</v>
      </c>
      <c r="C533" s="2"/>
      <c r="D533" s="2"/>
      <c r="E533" s="2"/>
      <c r="F533" s="2"/>
      <c r="G533" s="2"/>
      <c r="H533" s="2"/>
      <c r="I533" s="2">
        <v>62.057099999999998</v>
      </c>
      <c r="J533" s="2">
        <v>329</v>
      </c>
      <c r="K533" s="2">
        <v>61.204099999999997</v>
      </c>
      <c r="L533" s="2">
        <v>336</v>
      </c>
      <c r="M533" s="2">
        <v>104.0827</v>
      </c>
      <c r="N533" s="2">
        <v>112</v>
      </c>
      <c r="O533" s="2">
        <v>105.8365</v>
      </c>
      <c r="P533" s="2">
        <v>92</v>
      </c>
      <c r="Q533" s="2">
        <v>89.364400000000003</v>
      </c>
      <c r="R533" s="2">
        <v>4</v>
      </c>
      <c r="S533" s="2">
        <v>86.539599999999993</v>
      </c>
      <c r="T533" s="2">
        <v>2</v>
      </c>
      <c r="U533" s="2">
        <v>0.91010100000000005</v>
      </c>
      <c r="V533" s="2">
        <v>12</v>
      </c>
      <c r="W533" s="2">
        <v>2010</v>
      </c>
    </row>
    <row r="534" spans="1:23" ht="12.3" x14ac:dyDescent="0.4">
      <c r="A534" s="2" t="s">
        <v>36</v>
      </c>
      <c r="B534" s="2">
        <v>4</v>
      </c>
      <c r="C534" s="3" t="s">
        <v>33</v>
      </c>
      <c r="D534" s="2"/>
      <c r="E534" s="2"/>
      <c r="F534" s="2"/>
      <c r="G534" s="2"/>
      <c r="H534" s="2"/>
      <c r="I534" s="2">
        <v>70.327100000000002</v>
      </c>
      <c r="J534" s="2">
        <v>53</v>
      </c>
      <c r="K534" s="2">
        <v>70.172899999999998</v>
      </c>
      <c r="L534" s="2">
        <v>51</v>
      </c>
      <c r="M534" s="2">
        <v>111.324</v>
      </c>
      <c r="N534" s="2">
        <v>23</v>
      </c>
      <c r="O534" s="2">
        <v>116.2984</v>
      </c>
      <c r="P534" s="2">
        <v>7</v>
      </c>
      <c r="Q534" s="2">
        <v>95.808700000000002</v>
      </c>
      <c r="R534" s="2">
        <v>53</v>
      </c>
      <c r="S534" s="2">
        <v>95.673500000000004</v>
      </c>
      <c r="T534" s="2">
        <v>61</v>
      </c>
      <c r="U534" s="2">
        <v>0.90421799999999997</v>
      </c>
      <c r="V534" s="2">
        <v>13</v>
      </c>
      <c r="W534" s="2">
        <v>2010</v>
      </c>
    </row>
    <row r="535" spans="1:23" ht="12.3" x14ac:dyDescent="0.4">
      <c r="A535" s="2" t="s">
        <v>78</v>
      </c>
      <c r="B535" s="2">
        <v>2</v>
      </c>
      <c r="C535" s="3" t="s">
        <v>33</v>
      </c>
      <c r="D535" s="2"/>
      <c r="E535" s="2"/>
      <c r="F535" s="2"/>
      <c r="G535" s="2"/>
      <c r="H535" s="2"/>
      <c r="I535" s="2">
        <v>72.532799999999995</v>
      </c>
      <c r="J535" s="2">
        <v>20</v>
      </c>
      <c r="K535" s="2">
        <v>72.865600000000001</v>
      </c>
      <c r="L535" s="2">
        <v>11</v>
      </c>
      <c r="M535" s="2">
        <v>113.4836</v>
      </c>
      <c r="N535" s="2">
        <v>10</v>
      </c>
      <c r="O535" s="2">
        <v>116.99809999999999</v>
      </c>
      <c r="P535" s="2">
        <v>5</v>
      </c>
      <c r="Q535" s="2">
        <v>100.265</v>
      </c>
      <c r="R535" s="2">
        <v>149</v>
      </c>
      <c r="S535" s="2">
        <v>96.3553</v>
      </c>
      <c r="T535" s="2">
        <v>67</v>
      </c>
      <c r="U535" s="2">
        <v>0.903115</v>
      </c>
      <c r="V535" s="2">
        <v>14</v>
      </c>
      <c r="W535" s="2">
        <v>2010</v>
      </c>
    </row>
    <row r="536" spans="1:23" ht="12.3" x14ac:dyDescent="0.4">
      <c r="A536" s="2" t="s">
        <v>121</v>
      </c>
      <c r="B536" s="2">
        <v>4</v>
      </c>
      <c r="C536" s="3" t="s">
        <v>33</v>
      </c>
      <c r="D536" s="3" t="s">
        <v>33</v>
      </c>
      <c r="E536" s="2"/>
      <c r="F536" s="2"/>
      <c r="G536" s="2"/>
      <c r="H536" s="2"/>
      <c r="I536" s="2">
        <v>66.738299999999995</v>
      </c>
      <c r="J536" s="2">
        <v>203</v>
      </c>
      <c r="K536" s="2">
        <v>67.150599999999997</v>
      </c>
      <c r="L536" s="2">
        <v>180</v>
      </c>
      <c r="M536" s="2">
        <v>106.5055</v>
      </c>
      <c r="N536" s="2">
        <v>80</v>
      </c>
      <c r="O536" s="2">
        <v>107.2779</v>
      </c>
      <c r="P536" s="2">
        <v>71</v>
      </c>
      <c r="Q536" s="2">
        <v>91.453999999999994</v>
      </c>
      <c r="R536" s="2">
        <v>11</v>
      </c>
      <c r="S536" s="2">
        <v>88.759299999999996</v>
      </c>
      <c r="T536" s="2">
        <v>4</v>
      </c>
      <c r="U536" s="2">
        <v>0.89836400000000005</v>
      </c>
      <c r="V536" s="2">
        <v>15</v>
      </c>
      <c r="W536" s="2">
        <v>2010</v>
      </c>
    </row>
    <row r="537" spans="1:23" ht="12.3" x14ac:dyDescent="0.4">
      <c r="A537" s="2" t="s">
        <v>18</v>
      </c>
      <c r="B537" s="2">
        <v>5</v>
      </c>
      <c r="C537" s="3" t="s">
        <v>33</v>
      </c>
      <c r="D537" s="3" t="s">
        <v>33</v>
      </c>
      <c r="E537" s="3" t="s">
        <v>33</v>
      </c>
      <c r="F537" s="3" t="s">
        <v>33</v>
      </c>
      <c r="G537" s="3" t="s">
        <v>33</v>
      </c>
      <c r="H537" s="2"/>
      <c r="I537" s="2">
        <v>64.527299999999997</v>
      </c>
      <c r="J537" s="2">
        <v>287</v>
      </c>
      <c r="K537" s="2">
        <v>65.161699999999996</v>
      </c>
      <c r="L537" s="2">
        <v>269</v>
      </c>
      <c r="M537" s="2">
        <v>108.49290000000001</v>
      </c>
      <c r="N537" s="2">
        <v>47</v>
      </c>
      <c r="O537" s="2">
        <v>108.1695</v>
      </c>
      <c r="P537" s="2">
        <v>55</v>
      </c>
      <c r="Q537" s="2">
        <v>92.537199999999999</v>
      </c>
      <c r="R537" s="2">
        <v>24</v>
      </c>
      <c r="S537" s="2">
        <v>89.628600000000006</v>
      </c>
      <c r="T537" s="2">
        <v>8</v>
      </c>
      <c r="U537" s="2">
        <v>0.89681200000000005</v>
      </c>
      <c r="V537" s="2">
        <v>16</v>
      </c>
      <c r="W537" s="2">
        <v>2010</v>
      </c>
    </row>
    <row r="538" spans="1:23" ht="12.3" x14ac:dyDescent="0.4">
      <c r="A538" s="2" t="s">
        <v>248</v>
      </c>
      <c r="B538" s="2">
        <v>5</v>
      </c>
      <c r="C538" s="3" t="s">
        <v>33</v>
      </c>
      <c r="D538" s="2"/>
      <c r="E538" s="2"/>
      <c r="F538" s="2"/>
      <c r="G538" s="2"/>
      <c r="H538" s="2"/>
      <c r="I538" s="2">
        <v>66.494299999999996</v>
      </c>
      <c r="J538" s="2">
        <v>222</v>
      </c>
      <c r="K538" s="2">
        <v>65.627499999999998</v>
      </c>
      <c r="L538" s="2">
        <v>246</v>
      </c>
      <c r="M538" s="2">
        <v>107.133</v>
      </c>
      <c r="N538" s="2">
        <v>64</v>
      </c>
      <c r="O538" s="2">
        <v>109.98560000000001</v>
      </c>
      <c r="P538" s="2">
        <v>43</v>
      </c>
      <c r="Q538" s="2">
        <v>97.105199999999996</v>
      </c>
      <c r="R538" s="2">
        <v>84</v>
      </c>
      <c r="S538" s="2">
        <v>91.801500000000004</v>
      </c>
      <c r="T538" s="2">
        <v>21</v>
      </c>
      <c r="U538" s="2">
        <v>0.88877499999999998</v>
      </c>
      <c r="V538" s="2">
        <v>17</v>
      </c>
      <c r="W538" s="2">
        <v>2010</v>
      </c>
    </row>
    <row r="539" spans="1:23" ht="12.3" x14ac:dyDescent="0.4">
      <c r="A539" s="2" t="s">
        <v>98</v>
      </c>
      <c r="B539" s="2">
        <v>12</v>
      </c>
      <c r="C539" s="2"/>
      <c r="D539" s="2"/>
      <c r="E539" s="2"/>
      <c r="F539" s="2"/>
      <c r="G539" s="2"/>
      <c r="H539" s="2"/>
      <c r="I539" s="2">
        <v>62.666499999999999</v>
      </c>
      <c r="J539" s="2">
        <v>322</v>
      </c>
      <c r="K539" s="2">
        <v>61.534700000000001</v>
      </c>
      <c r="L539" s="2">
        <v>332</v>
      </c>
      <c r="M539" s="2">
        <v>117.1305</v>
      </c>
      <c r="N539" s="2">
        <v>1</v>
      </c>
      <c r="O539" s="2">
        <v>113.6422</v>
      </c>
      <c r="P539" s="2">
        <v>18</v>
      </c>
      <c r="Q539" s="2">
        <v>95.665499999999994</v>
      </c>
      <c r="R539" s="2">
        <v>51</v>
      </c>
      <c r="S539" s="2">
        <v>95.405699999999996</v>
      </c>
      <c r="T539" s="2">
        <v>58</v>
      </c>
      <c r="U539" s="2">
        <v>0.88200299999999998</v>
      </c>
      <c r="V539" s="2">
        <v>18</v>
      </c>
      <c r="W539" s="2">
        <v>2010</v>
      </c>
    </row>
    <row r="540" spans="1:23" ht="12.3" x14ac:dyDescent="0.4">
      <c r="A540" s="2" t="s">
        <v>57</v>
      </c>
      <c r="B540" s="2">
        <v>8</v>
      </c>
      <c r="C540" s="3" t="s">
        <v>33</v>
      </c>
      <c r="D540" s="2"/>
      <c r="E540" s="2"/>
      <c r="F540" s="2"/>
      <c r="G540" s="2"/>
      <c r="H540" s="2"/>
      <c r="I540" s="2">
        <v>68.562100000000001</v>
      </c>
      <c r="J540" s="2">
        <v>116</v>
      </c>
      <c r="K540" s="2">
        <v>68.461100000000002</v>
      </c>
      <c r="L540" s="2">
        <v>113</v>
      </c>
      <c r="M540" s="2">
        <v>114.0441</v>
      </c>
      <c r="N540" s="2">
        <v>8</v>
      </c>
      <c r="O540" s="2">
        <v>117.8527</v>
      </c>
      <c r="P540" s="2">
        <v>3</v>
      </c>
      <c r="Q540" s="2">
        <v>99.397999999999996</v>
      </c>
      <c r="R540" s="2">
        <v>132</v>
      </c>
      <c r="S540" s="2">
        <v>99.062100000000001</v>
      </c>
      <c r="T540" s="2">
        <v>122</v>
      </c>
      <c r="U540" s="2">
        <v>0.88052600000000003</v>
      </c>
      <c r="V540" s="2">
        <v>19</v>
      </c>
      <c r="W540" s="2">
        <v>2010</v>
      </c>
    </row>
    <row r="541" spans="1:23" ht="12.3" x14ac:dyDescent="0.4">
      <c r="A541" s="2" t="s">
        <v>50</v>
      </c>
      <c r="B541" s="2">
        <v>6</v>
      </c>
      <c r="C541" s="3" t="s">
        <v>33</v>
      </c>
      <c r="D541" s="3" t="s">
        <v>33</v>
      </c>
      <c r="E541" s="2"/>
      <c r="F541" s="2"/>
      <c r="G541" s="2"/>
      <c r="H541" s="2"/>
      <c r="I541" s="2">
        <v>70.519599999999997</v>
      </c>
      <c r="J541" s="2">
        <v>46</v>
      </c>
      <c r="K541" s="2">
        <v>70.736599999999996</v>
      </c>
      <c r="L541" s="2">
        <v>38</v>
      </c>
      <c r="M541" s="2">
        <v>110.8022</v>
      </c>
      <c r="N541" s="2">
        <v>26</v>
      </c>
      <c r="O541" s="2">
        <v>114.0637</v>
      </c>
      <c r="P541" s="2">
        <v>15</v>
      </c>
      <c r="Q541" s="2">
        <v>95.688000000000002</v>
      </c>
      <c r="R541" s="2">
        <v>52</v>
      </c>
      <c r="S541" s="2">
        <v>95.887900000000002</v>
      </c>
      <c r="T541" s="2">
        <v>64</v>
      </c>
      <c r="U541" s="2">
        <v>0.88039000000000001</v>
      </c>
      <c r="V541" s="2">
        <v>20</v>
      </c>
      <c r="W541" s="2">
        <v>2010</v>
      </c>
    </row>
    <row r="542" spans="1:23" ht="12.3" x14ac:dyDescent="0.4">
      <c r="A542" s="2" t="s">
        <v>216</v>
      </c>
      <c r="B542" s="2">
        <v>9</v>
      </c>
      <c r="C542" s="3" t="s">
        <v>33</v>
      </c>
      <c r="D542" s="3" t="s">
        <v>33</v>
      </c>
      <c r="E542" s="2"/>
      <c r="F542" s="2"/>
      <c r="G542" s="2"/>
      <c r="H542" s="2"/>
      <c r="I542" s="2">
        <v>59.076599999999999</v>
      </c>
      <c r="J542" s="2">
        <v>345</v>
      </c>
      <c r="K542" s="2">
        <v>59.9</v>
      </c>
      <c r="L542" s="2">
        <v>342</v>
      </c>
      <c r="M542" s="2">
        <v>107.26860000000001</v>
      </c>
      <c r="N542" s="2">
        <v>60</v>
      </c>
      <c r="O542" s="2">
        <v>106.1109</v>
      </c>
      <c r="P542" s="2">
        <v>86</v>
      </c>
      <c r="Q542" s="2">
        <v>91.691500000000005</v>
      </c>
      <c r="R542" s="2">
        <v>15</v>
      </c>
      <c r="S542" s="2">
        <v>89.247500000000002</v>
      </c>
      <c r="T542" s="2">
        <v>7</v>
      </c>
      <c r="U542" s="2">
        <v>0.87977700000000003</v>
      </c>
      <c r="V542" s="2">
        <v>21</v>
      </c>
      <c r="W542" s="2">
        <v>2010</v>
      </c>
    </row>
    <row r="543" spans="1:23" ht="12.3" x14ac:dyDescent="0.4">
      <c r="A543" s="2" t="s">
        <v>58</v>
      </c>
      <c r="B543" s="2">
        <v>5</v>
      </c>
      <c r="C543" s="3" t="s">
        <v>33</v>
      </c>
      <c r="D543" s="3" t="s">
        <v>33</v>
      </c>
      <c r="E543" s="3" t="s">
        <v>33</v>
      </c>
      <c r="F543" s="3" t="s">
        <v>33</v>
      </c>
      <c r="G543" s="2"/>
      <c r="H543" s="2"/>
      <c r="I543" s="2">
        <v>66.673000000000002</v>
      </c>
      <c r="J543" s="2">
        <v>209</v>
      </c>
      <c r="K543" s="2">
        <v>67.115899999999996</v>
      </c>
      <c r="L543" s="2">
        <v>182</v>
      </c>
      <c r="M543" s="2">
        <v>108.39230000000001</v>
      </c>
      <c r="N543" s="2">
        <v>49</v>
      </c>
      <c r="O543" s="2">
        <v>109.21469999999999</v>
      </c>
      <c r="P543" s="2">
        <v>47</v>
      </c>
      <c r="Q543" s="2">
        <v>95.432599999999994</v>
      </c>
      <c r="R543" s="2">
        <v>45</v>
      </c>
      <c r="S543" s="2">
        <v>91.951999999999998</v>
      </c>
      <c r="T543" s="2">
        <v>23</v>
      </c>
      <c r="U543" s="2">
        <v>0.87852699999999995</v>
      </c>
      <c r="V543" s="2">
        <v>22</v>
      </c>
      <c r="W543" s="2">
        <v>2010</v>
      </c>
    </row>
    <row r="544" spans="1:23" ht="12.3" x14ac:dyDescent="0.4">
      <c r="A544" s="2" t="s">
        <v>39</v>
      </c>
      <c r="B544" s="2">
        <v>6</v>
      </c>
      <c r="C544" s="2"/>
      <c r="D544" s="2"/>
      <c r="E544" s="2"/>
      <c r="F544" s="2"/>
      <c r="G544" s="2"/>
      <c r="H544" s="2"/>
      <c r="I544" s="2">
        <v>64.580200000000005</v>
      </c>
      <c r="J544" s="2">
        <v>286</v>
      </c>
      <c r="K544" s="2">
        <v>63.774900000000002</v>
      </c>
      <c r="L544" s="2">
        <v>303</v>
      </c>
      <c r="M544" s="2">
        <v>111.18040000000001</v>
      </c>
      <c r="N544" s="2">
        <v>24</v>
      </c>
      <c r="O544" s="2">
        <v>111.824</v>
      </c>
      <c r="P544" s="2">
        <v>24</v>
      </c>
      <c r="Q544" s="2">
        <v>98.190899999999999</v>
      </c>
      <c r="R544" s="2">
        <v>108</v>
      </c>
      <c r="S544" s="2">
        <v>94.228700000000003</v>
      </c>
      <c r="T544" s="2">
        <v>47</v>
      </c>
      <c r="U544" s="2">
        <v>0.87748400000000004</v>
      </c>
      <c r="V544" s="2">
        <v>23</v>
      </c>
      <c r="W544" s="2">
        <v>2010</v>
      </c>
    </row>
    <row r="545" spans="1:23" ht="12.3" x14ac:dyDescent="0.4">
      <c r="A545" s="2" t="s">
        <v>46</v>
      </c>
      <c r="B545" s="2">
        <v>3</v>
      </c>
      <c r="C545" s="3" t="s">
        <v>33</v>
      </c>
      <c r="D545" s="2"/>
      <c r="E545" s="2"/>
      <c r="F545" s="2"/>
      <c r="G545" s="2"/>
      <c r="H545" s="2"/>
      <c r="I545" s="2">
        <v>62.341999999999999</v>
      </c>
      <c r="J545" s="2">
        <v>327</v>
      </c>
      <c r="K545" s="2">
        <v>61.861400000000003</v>
      </c>
      <c r="L545" s="2">
        <v>331</v>
      </c>
      <c r="M545" s="2">
        <v>106.77079999999999</v>
      </c>
      <c r="N545" s="2">
        <v>74</v>
      </c>
      <c r="O545" s="2">
        <v>109.9858</v>
      </c>
      <c r="P545" s="2">
        <v>42</v>
      </c>
      <c r="Q545" s="2">
        <v>96.484099999999998</v>
      </c>
      <c r="R545" s="2">
        <v>73</v>
      </c>
      <c r="S545" s="2">
        <v>92.914500000000004</v>
      </c>
      <c r="T545" s="2">
        <v>32</v>
      </c>
      <c r="U545" s="2">
        <v>0.87432200000000004</v>
      </c>
      <c r="V545" s="2">
        <v>24</v>
      </c>
      <c r="W545" s="2">
        <v>2010</v>
      </c>
    </row>
    <row r="546" spans="1:23" ht="12.3" x14ac:dyDescent="0.4">
      <c r="A546" s="2" t="s">
        <v>56</v>
      </c>
      <c r="B546" s="2">
        <v>6</v>
      </c>
      <c r="C546" s="2"/>
      <c r="D546" s="2"/>
      <c r="E546" s="2"/>
      <c r="F546" s="2"/>
      <c r="G546" s="2"/>
      <c r="H546" s="2"/>
      <c r="I546" s="2">
        <v>64.347200000000001</v>
      </c>
      <c r="J546" s="2">
        <v>290</v>
      </c>
      <c r="K546" s="2">
        <v>63.727899999999998</v>
      </c>
      <c r="L546" s="2">
        <v>304</v>
      </c>
      <c r="M546" s="2">
        <v>116.6644</v>
      </c>
      <c r="N546" s="2">
        <v>2</v>
      </c>
      <c r="O546" s="2">
        <v>118.1491</v>
      </c>
      <c r="P546" s="2">
        <v>2</v>
      </c>
      <c r="Q546" s="2">
        <v>105.7914</v>
      </c>
      <c r="R546" s="2">
        <v>280</v>
      </c>
      <c r="S546" s="2">
        <v>99.857500000000002</v>
      </c>
      <c r="T546" s="2">
        <v>138</v>
      </c>
      <c r="U546" s="2">
        <v>0.87372899999999998</v>
      </c>
      <c r="V546" s="2">
        <v>25</v>
      </c>
      <c r="W546" s="2">
        <v>2010</v>
      </c>
    </row>
    <row r="547" spans="1:23" ht="12.3" x14ac:dyDescent="0.4">
      <c r="A547" s="2" t="s">
        <v>24</v>
      </c>
      <c r="B547" s="2">
        <v>7</v>
      </c>
      <c r="C547" s="2"/>
      <c r="D547" s="2"/>
      <c r="E547" s="2"/>
      <c r="F547" s="2"/>
      <c r="G547" s="2"/>
      <c r="H547" s="2"/>
      <c r="I547" s="2">
        <v>70.025400000000005</v>
      </c>
      <c r="J547" s="2">
        <v>63</v>
      </c>
      <c r="K547" s="2">
        <v>69.057199999999995</v>
      </c>
      <c r="L547" s="2">
        <v>84</v>
      </c>
      <c r="M547" s="2">
        <v>104.51430000000001</v>
      </c>
      <c r="N547" s="2">
        <v>102</v>
      </c>
      <c r="O547" s="2">
        <v>107.7848</v>
      </c>
      <c r="P547" s="2">
        <v>62</v>
      </c>
      <c r="Q547" s="2">
        <v>91.679000000000002</v>
      </c>
      <c r="R547" s="2">
        <v>13</v>
      </c>
      <c r="S547" s="2">
        <v>91.136499999999998</v>
      </c>
      <c r="T547" s="2">
        <v>15</v>
      </c>
      <c r="U547" s="2">
        <v>0.87318899999999999</v>
      </c>
      <c r="V547" s="2">
        <v>26</v>
      </c>
      <c r="W547" s="2">
        <v>2010</v>
      </c>
    </row>
    <row r="548" spans="1:23" ht="12.3" x14ac:dyDescent="0.4">
      <c r="A548" s="2" t="s">
        <v>67</v>
      </c>
      <c r="B548" s="2">
        <v>8</v>
      </c>
      <c r="C548" s="2"/>
      <c r="D548" s="2"/>
      <c r="E548" s="2"/>
      <c r="F548" s="2"/>
      <c r="G548" s="2"/>
      <c r="H548" s="2"/>
      <c r="I548" s="2">
        <v>74.099800000000002</v>
      </c>
      <c r="J548" s="2">
        <v>9</v>
      </c>
      <c r="K548" s="2">
        <v>72.723299999999995</v>
      </c>
      <c r="L548" s="2">
        <v>14</v>
      </c>
      <c r="M548" s="2">
        <v>108.86790000000001</v>
      </c>
      <c r="N548" s="2">
        <v>43</v>
      </c>
      <c r="O548" s="2">
        <v>111.595</v>
      </c>
      <c r="P548" s="2">
        <v>27</v>
      </c>
      <c r="Q548" s="2">
        <v>93.678600000000003</v>
      </c>
      <c r="R548" s="2">
        <v>31</v>
      </c>
      <c r="S548" s="2">
        <v>94.526700000000005</v>
      </c>
      <c r="T548" s="2">
        <v>48</v>
      </c>
      <c r="U548" s="2">
        <v>0.87089899999999998</v>
      </c>
      <c r="V548" s="2">
        <v>27</v>
      </c>
      <c r="W548" s="2">
        <v>2010</v>
      </c>
    </row>
    <row r="549" spans="1:23" ht="12.3" x14ac:dyDescent="0.4">
      <c r="A549" s="2" t="s">
        <v>20</v>
      </c>
      <c r="B549" s="2">
        <v>9</v>
      </c>
      <c r="C549" s="2"/>
      <c r="D549" s="2"/>
      <c r="E549" s="2"/>
      <c r="F549" s="2"/>
      <c r="G549" s="2"/>
      <c r="H549" s="2"/>
      <c r="I549" s="2">
        <v>67.833200000000005</v>
      </c>
      <c r="J549" s="2">
        <v>144</v>
      </c>
      <c r="K549" s="2">
        <v>66.853999999999999</v>
      </c>
      <c r="L549" s="2">
        <v>191</v>
      </c>
      <c r="M549" s="2">
        <v>100.35509999999999</v>
      </c>
      <c r="N549" s="2">
        <v>188</v>
      </c>
      <c r="O549" s="2">
        <v>102.4203</v>
      </c>
      <c r="P549" s="2">
        <v>153</v>
      </c>
      <c r="Q549" s="2">
        <v>88.543999999999997</v>
      </c>
      <c r="R549" s="2">
        <v>1</v>
      </c>
      <c r="S549" s="2">
        <v>86.992599999999996</v>
      </c>
      <c r="T549" s="2">
        <v>3</v>
      </c>
      <c r="U549" s="2">
        <v>0.86732500000000001</v>
      </c>
      <c r="V549" s="2">
        <v>28</v>
      </c>
      <c r="W549" s="2">
        <v>2010</v>
      </c>
    </row>
    <row r="550" spans="1:23" ht="12.3" x14ac:dyDescent="0.4">
      <c r="A550" s="2" t="s">
        <v>262</v>
      </c>
      <c r="B550" s="2">
        <v>10</v>
      </c>
      <c r="C550" s="3" t="s">
        <v>33</v>
      </c>
      <c r="D550" s="3" t="s">
        <v>33</v>
      </c>
      <c r="E550" s="2"/>
      <c r="F550" s="2"/>
      <c r="G550" s="2"/>
      <c r="H550" s="2"/>
      <c r="I550" s="2">
        <v>67.443399999999997</v>
      </c>
      <c r="J550" s="2">
        <v>170</v>
      </c>
      <c r="K550" s="2">
        <v>67.988299999999995</v>
      </c>
      <c r="L550" s="2">
        <v>135</v>
      </c>
      <c r="M550" s="2">
        <v>116.3831</v>
      </c>
      <c r="N550" s="2">
        <v>3</v>
      </c>
      <c r="O550" s="2">
        <v>114.38039999999999</v>
      </c>
      <c r="P550" s="2">
        <v>14</v>
      </c>
      <c r="Q550" s="2">
        <v>97.803600000000003</v>
      </c>
      <c r="R550" s="2">
        <v>101</v>
      </c>
      <c r="S550" s="2">
        <v>97.408799999999999</v>
      </c>
      <c r="T550" s="2">
        <v>85</v>
      </c>
      <c r="U550" s="2">
        <v>0.86377999999999999</v>
      </c>
      <c r="V550" s="2">
        <v>29</v>
      </c>
      <c r="W550" s="2">
        <v>2010</v>
      </c>
    </row>
    <row r="551" spans="1:23" ht="12.3" x14ac:dyDescent="0.4">
      <c r="A551" s="2" t="s">
        <v>219</v>
      </c>
      <c r="B551" s="2">
        <v>12</v>
      </c>
      <c r="C551" s="2"/>
      <c r="D551" s="2"/>
      <c r="E551" s="2"/>
      <c r="F551" s="2"/>
      <c r="G551" s="2"/>
      <c r="H551" s="2"/>
      <c r="I551" s="2">
        <v>70.000500000000002</v>
      </c>
      <c r="J551" s="2">
        <v>65</v>
      </c>
      <c r="K551" s="2">
        <v>69.447999999999993</v>
      </c>
      <c r="L551" s="2">
        <v>69</v>
      </c>
      <c r="M551" s="2">
        <v>106.76430000000001</v>
      </c>
      <c r="N551" s="2">
        <v>75</v>
      </c>
      <c r="O551" s="2">
        <v>105.4755</v>
      </c>
      <c r="P551" s="2">
        <v>100</v>
      </c>
      <c r="Q551" s="2">
        <v>90.513599999999997</v>
      </c>
      <c r="R551" s="2">
        <v>8</v>
      </c>
      <c r="S551" s="2">
        <v>89.837900000000005</v>
      </c>
      <c r="T551" s="2">
        <v>10</v>
      </c>
      <c r="U551" s="2">
        <v>0.86358900000000005</v>
      </c>
      <c r="V551" s="2">
        <v>30</v>
      </c>
      <c r="W551" s="2">
        <v>2010</v>
      </c>
    </row>
    <row r="552" spans="1:23" ht="12.3" x14ac:dyDescent="0.4">
      <c r="A552" s="2" t="s">
        <v>92</v>
      </c>
      <c r="B552" s="2">
        <v>10</v>
      </c>
      <c r="C552" s="3" t="s">
        <v>33</v>
      </c>
      <c r="D552" s="2"/>
      <c r="E552" s="2"/>
      <c r="F552" s="2"/>
      <c r="G552" s="2"/>
      <c r="H552" s="2"/>
      <c r="I552" s="2">
        <v>70.816100000000006</v>
      </c>
      <c r="J552" s="2">
        <v>38</v>
      </c>
      <c r="K552" s="2">
        <v>69.691400000000002</v>
      </c>
      <c r="L552" s="2">
        <v>63</v>
      </c>
      <c r="M552" s="2">
        <v>102.02079999999999</v>
      </c>
      <c r="N552" s="2">
        <v>152</v>
      </c>
      <c r="O552" s="2">
        <v>107.223</v>
      </c>
      <c r="P552" s="2">
        <v>72</v>
      </c>
      <c r="Q552" s="2">
        <v>93.515900000000002</v>
      </c>
      <c r="R552" s="2">
        <v>30</v>
      </c>
      <c r="S552" s="2">
        <v>91.441900000000004</v>
      </c>
      <c r="T552" s="2">
        <v>17</v>
      </c>
      <c r="U552" s="2">
        <v>0.86186600000000002</v>
      </c>
      <c r="V552" s="2">
        <v>31</v>
      </c>
      <c r="W552" s="2">
        <v>2010</v>
      </c>
    </row>
    <row r="553" spans="1:23" ht="12.3" x14ac:dyDescent="0.4">
      <c r="A553" s="2" t="s">
        <v>73</v>
      </c>
      <c r="B553" s="2">
        <v>10</v>
      </c>
      <c r="C553" s="3" t="s">
        <v>33</v>
      </c>
      <c r="D553" s="2"/>
      <c r="E553" s="2"/>
      <c r="F553" s="2"/>
      <c r="G553" s="2"/>
      <c r="H553" s="2"/>
      <c r="I553" s="2">
        <v>71.678600000000003</v>
      </c>
      <c r="J553" s="2">
        <v>26</v>
      </c>
      <c r="K553" s="2">
        <v>70.517499999999998</v>
      </c>
      <c r="L553" s="2">
        <v>40</v>
      </c>
      <c r="M553" s="2">
        <v>107.1079</v>
      </c>
      <c r="N553" s="2">
        <v>65</v>
      </c>
      <c r="O553" s="2">
        <v>107.35299999999999</v>
      </c>
      <c r="P553" s="2">
        <v>67</v>
      </c>
      <c r="Q553" s="2">
        <v>91.682900000000004</v>
      </c>
      <c r="R553" s="2">
        <v>14</v>
      </c>
      <c r="S553" s="2">
        <v>91.590400000000002</v>
      </c>
      <c r="T553" s="2">
        <v>20</v>
      </c>
      <c r="U553" s="2">
        <v>0.86130300000000004</v>
      </c>
      <c r="V553" s="2">
        <v>32</v>
      </c>
      <c r="W553" s="2">
        <v>2010</v>
      </c>
    </row>
    <row r="554" spans="1:23" ht="12.3" x14ac:dyDescent="0.4">
      <c r="A554" s="2" t="s">
        <v>75</v>
      </c>
      <c r="B554" s="2">
        <v>11</v>
      </c>
      <c r="C554" s="2"/>
      <c r="D554" s="2"/>
      <c r="E554" s="2"/>
      <c r="F554" s="2"/>
      <c r="G554" s="2"/>
      <c r="H554" s="2"/>
      <c r="I554" s="2">
        <v>66.236999999999995</v>
      </c>
      <c r="J554" s="2">
        <v>230</v>
      </c>
      <c r="K554" s="2">
        <v>66.609099999999998</v>
      </c>
      <c r="L554" s="2">
        <v>204</v>
      </c>
      <c r="M554" s="2">
        <v>108.9568</v>
      </c>
      <c r="N554" s="2">
        <v>41</v>
      </c>
      <c r="O554" s="2">
        <v>111.35590000000001</v>
      </c>
      <c r="P554" s="2">
        <v>29</v>
      </c>
      <c r="Q554" s="2">
        <v>96.409599999999998</v>
      </c>
      <c r="R554" s="2">
        <v>70</v>
      </c>
      <c r="S554" s="2">
        <v>95.127300000000005</v>
      </c>
      <c r="T554" s="2">
        <v>54</v>
      </c>
      <c r="U554" s="2">
        <v>0.85953500000000005</v>
      </c>
      <c r="V554" s="2">
        <v>33</v>
      </c>
      <c r="W554" s="2">
        <v>2010</v>
      </c>
    </row>
    <row r="555" spans="1:23" ht="12.3" x14ac:dyDescent="0.4">
      <c r="A555" s="2" t="s">
        <v>190</v>
      </c>
      <c r="B555" s="2">
        <v>11</v>
      </c>
      <c r="C555" s="3" t="s">
        <v>33</v>
      </c>
      <c r="D555" s="2"/>
      <c r="E555" s="2"/>
      <c r="F555" s="2"/>
      <c r="G555" s="2"/>
      <c r="H555" s="2"/>
      <c r="I555" s="2">
        <v>63.3504</v>
      </c>
      <c r="J555" s="2">
        <v>312</v>
      </c>
      <c r="K555" s="2">
        <v>64.061700000000002</v>
      </c>
      <c r="L555" s="2">
        <v>299</v>
      </c>
      <c r="M555" s="2">
        <v>106.26260000000001</v>
      </c>
      <c r="N555" s="2">
        <v>83</v>
      </c>
      <c r="O555" s="2">
        <v>106.9823</v>
      </c>
      <c r="P555" s="2">
        <v>76</v>
      </c>
      <c r="Q555" s="2">
        <v>90.105699999999999</v>
      </c>
      <c r="R555" s="2">
        <v>7</v>
      </c>
      <c r="S555" s="2">
        <v>91.481300000000005</v>
      </c>
      <c r="T555" s="2">
        <v>18</v>
      </c>
      <c r="U555" s="2">
        <v>0.85816000000000003</v>
      </c>
      <c r="V555" s="2">
        <v>34</v>
      </c>
      <c r="W555" s="2">
        <v>2010</v>
      </c>
    </row>
    <row r="556" spans="1:23" ht="12.3" x14ac:dyDescent="0.4">
      <c r="A556" s="2" t="s">
        <v>97</v>
      </c>
      <c r="B556" s="2">
        <v>11</v>
      </c>
      <c r="C556" s="2"/>
      <c r="D556" s="2"/>
      <c r="E556" s="2"/>
      <c r="F556" s="2"/>
      <c r="G556" s="2"/>
      <c r="H556" s="2"/>
      <c r="I556" s="2">
        <v>64.120999999999995</v>
      </c>
      <c r="J556" s="2">
        <v>296</v>
      </c>
      <c r="K556" s="2">
        <v>64.625399999999999</v>
      </c>
      <c r="L556" s="2">
        <v>280</v>
      </c>
      <c r="M556" s="2">
        <v>107.8931</v>
      </c>
      <c r="N556" s="2">
        <v>54</v>
      </c>
      <c r="O556" s="2">
        <v>109.40989999999999</v>
      </c>
      <c r="P556" s="2">
        <v>46</v>
      </c>
      <c r="Q556" s="2">
        <v>95.999200000000002</v>
      </c>
      <c r="R556" s="2">
        <v>60</v>
      </c>
      <c r="S556" s="2">
        <v>93.9251</v>
      </c>
      <c r="T556" s="2">
        <v>46</v>
      </c>
      <c r="U556" s="2">
        <v>0.85257499999999997</v>
      </c>
      <c r="V556" s="2">
        <v>35</v>
      </c>
      <c r="W556" s="2">
        <v>2010</v>
      </c>
    </row>
    <row r="557" spans="1:23" ht="12.3" x14ac:dyDescent="0.4">
      <c r="A557" s="2" t="s">
        <v>81</v>
      </c>
      <c r="B557" s="2">
        <v>6</v>
      </c>
      <c r="C557" s="3" t="s">
        <v>33</v>
      </c>
      <c r="D557" s="3" t="s">
        <v>33</v>
      </c>
      <c r="E557" s="3" t="s">
        <v>33</v>
      </c>
      <c r="F557" s="2"/>
      <c r="G557" s="2"/>
      <c r="H557" s="2"/>
      <c r="I557" s="2">
        <v>70.697000000000003</v>
      </c>
      <c r="J557" s="2">
        <v>41</v>
      </c>
      <c r="K557" s="2">
        <v>69.488299999999995</v>
      </c>
      <c r="L557" s="2">
        <v>68</v>
      </c>
      <c r="M557" s="2">
        <v>103.3137</v>
      </c>
      <c r="N557" s="2">
        <v>128</v>
      </c>
      <c r="O557" s="2">
        <v>104.1957</v>
      </c>
      <c r="P557" s="2">
        <v>124</v>
      </c>
      <c r="Q557" s="2">
        <v>91.957899999999995</v>
      </c>
      <c r="R557" s="2">
        <v>19</v>
      </c>
      <c r="S557" s="2">
        <v>89.878900000000002</v>
      </c>
      <c r="T557" s="2">
        <v>11</v>
      </c>
      <c r="U557" s="2">
        <v>0.84550700000000001</v>
      </c>
      <c r="V557" s="2">
        <v>38</v>
      </c>
      <c r="W557" s="2">
        <v>2010</v>
      </c>
    </row>
    <row r="558" spans="1:23" ht="12.3" x14ac:dyDescent="0.4">
      <c r="A558" s="2" t="s">
        <v>72</v>
      </c>
      <c r="B558" s="2">
        <v>7</v>
      </c>
      <c r="C558" s="2"/>
      <c r="D558" s="2"/>
      <c r="E558" s="2"/>
      <c r="F558" s="2"/>
      <c r="G558" s="2"/>
      <c r="H558" s="2"/>
      <c r="I558" s="2">
        <v>69.018600000000006</v>
      </c>
      <c r="J558" s="2">
        <v>90</v>
      </c>
      <c r="K558" s="2">
        <v>68.006399999999999</v>
      </c>
      <c r="L558" s="2">
        <v>131</v>
      </c>
      <c r="M558" s="2">
        <v>107.54640000000001</v>
      </c>
      <c r="N558" s="2">
        <v>58</v>
      </c>
      <c r="O558" s="2">
        <v>110.3771</v>
      </c>
      <c r="P558" s="2">
        <v>41</v>
      </c>
      <c r="Q558" s="2">
        <v>98.647900000000007</v>
      </c>
      <c r="R558" s="2">
        <v>119</v>
      </c>
      <c r="S558" s="2">
        <v>95.427099999999996</v>
      </c>
      <c r="T558" s="2">
        <v>59</v>
      </c>
      <c r="U558" s="2">
        <v>0.84206999999999999</v>
      </c>
      <c r="V558" s="2">
        <v>39</v>
      </c>
      <c r="W558" s="2">
        <v>2010</v>
      </c>
    </row>
    <row r="559" spans="1:23" ht="12.3" x14ac:dyDescent="0.4">
      <c r="A559" s="2" t="s">
        <v>100</v>
      </c>
      <c r="B559" s="2">
        <v>7</v>
      </c>
      <c r="C559" s="2"/>
      <c r="D559" s="2"/>
      <c r="E559" s="2"/>
      <c r="F559" s="2"/>
      <c r="G559" s="2"/>
      <c r="H559" s="2"/>
      <c r="I559" s="2">
        <v>65.1905</v>
      </c>
      <c r="J559" s="2">
        <v>262</v>
      </c>
      <c r="K559" s="2">
        <v>64.104299999999995</v>
      </c>
      <c r="L559" s="2">
        <v>295</v>
      </c>
      <c r="M559" s="2">
        <v>103.7747</v>
      </c>
      <c r="N559" s="2">
        <v>121</v>
      </c>
      <c r="O559" s="2">
        <v>107.92610000000001</v>
      </c>
      <c r="P559" s="2">
        <v>56</v>
      </c>
      <c r="Q559" s="2">
        <v>93.724500000000006</v>
      </c>
      <c r="R559" s="2">
        <v>33</v>
      </c>
      <c r="S559" s="2">
        <v>93.335999999999999</v>
      </c>
      <c r="T559" s="2">
        <v>35</v>
      </c>
      <c r="U559" s="2">
        <v>0.841611</v>
      </c>
      <c r="V559" s="2">
        <v>40</v>
      </c>
      <c r="W559" s="2">
        <v>2010</v>
      </c>
    </row>
    <row r="560" spans="1:23" ht="12.3" x14ac:dyDescent="0.4">
      <c r="A560" s="2" t="s">
        <v>115</v>
      </c>
      <c r="B560" s="2">
        <v>3</v>
      </c>
      <c r="C560" s="3" t="s">
        <v>33</v>
      </c>
      <c r="D560" s="2"/>
      <c r="E560" s="2"/>
      <c r="F560" s="2"/>
      <c r="G560" s="2"/>
      <c r="H560" s="2"/>
      <c r="I560" s="2">
        <v>68.032499999999999</v>
      </c>
      <c r="J560" s="2">
        <v>134</v>
      </c>
      <c r="K560" s="2">
        <v>68.637699999999995</v>
      </c>
      <c r="L560" s="2">
        <v>106</v>
      </c>
      <c r="M560" s="2">
        <v>112.148</v>
      </c>
      <c r="N560" s="2">
        <v>14</v>
      </c>
      <c r="O560" s="2">
        <v>113.06100000000001</v>
      </c>
      <c r="P560" s="2">
        <v>21</v>
      </c>
      <c r="Q560" s="2">
        <v>98.022999999999996</v>
      </c>
      <c r="R560" s="2">
        <v>104</v>
      </c>
      <c r="S560" s="2">
        <v>97.906300000000002</v>
      </c>
      <c r="T560" s="2">
        <v>94</v>
      </c>
      <c r="U560" s="2">
        <v>0.83957199999999998</v>
      </c>
      <c r="V560" s="2">
        <v>41</v>
      </c>
      <c r="W560" s="2">
        <v>2010</v>
      </c>
    </row>
    <row r="561" spans="1:23" ht="12.3" x14ac:dyDescent="0.4">
      <c r="A561" s="2" t="s">
        <v>109</v>
      </c>
      <c r="B561" s="2">
        <v>8</v>
      </c>
      <c r="C561" s="2"/>
      <c r="D561" s="2"/>
      <c r="E561" s="2"/>
      <c r="F561" s="2"/>
      <c r="G561" s="2"/>
      <c r="H561" s="2"/>
      <c r="I561" s="2">
        <v>67.489400000000003</v>
      </c>
      <c r="J561" s="2">
        <v>167</v>
      </c>
      <c r="K561" s="2">
        <v>67.345200000000006</v>
      </c>
      <c r="L561" s="2">
        <v>167</v>
      </c>
      <c r="M561" s="2">
        <v>107.2269</v>
      </c>
      <c r="N561" s="2">
        <v>61</v>
      </c>
      <c r="O561" s="2">
        <v>107.4345</v>
      </c>
      <c r="P561" s="2">
        <v>63</v>
      </c>
      <c r="Q561" s="2">
        <v>94.015799999999999</v>
      </c>
      <c r="R561" s="2">
        <v>35</v>
      </c>
      <c r="S561" s="2">
        <v>93.085400000000007</v>
      </c>
      <c r="T561" s="2">
        <v>33</v>
      </c>
      <c r="U561" s="2">
        <v>0.83871399999999996</v>
      </c>
      <c r="V561" s="2">
        <v>42</v>
      </c>
      <c r="W561" s="2">
        <v>2010</v>
      </c>
    </row>
    <row r="562" spans="1:23" ht="12.3" x14ac:dyDescent="0.4">
      <c r="A562" s="2" t="s">
        <v>86</v>
      </c>
      <c r="B562" s="2">
        <v>9</v>
      </c>
      <c r="C562" s="2"/>
      <c r="D562" s="2"/>
      <c r="E562" s="2"/>
      <c r="F562" s="2"/>
      <c r="G562" s="2"/>
      <c r="H562" s="2"/>
      <c r="I562" s="2">
        <v>68.376400000000004</v>
      </c>
      <c r="J562" s="2">
        <v>124</v>
      </c>
      <c r="K562" s="2">
        <v>67.290199999999999</v>
      </c>
      <c r="L562" s="2">
        <v>172</v>
      </c>
      <c r="M562" s="2">
        <v>110.3721</v>
      </c>
      <c r="N562" s="2">
        <v>28</v>
      </c>
      <c r="O562" s="2">
        <v>113.1934</v>
      </c>
      <c r="P562" s="2">
        <v>20</v>
      </c>
      <c r="Q562" s="2">
        <v>100.76600000000001</v>
      </c>
      <c r="R562" s="2">
        <v>158</v>
      </c>
      <c r="S562" s="2">
        <v>98.139700000000005</v>
      </c>
      <c r="T562" s="2">
        <v>102</v>
      </c>
      <c r="U562" s="2">
        <v>0.83768699999999996</v>
      </c>
      <c r="V562" s="2">
        <v>43</v>
      </c>
      <c r="W562" s="2">
        <v>2010</v>
      </c>
    </row>
    <row r="563" spans="1:23" ht="12.3" x14ac:dyDescent="0.4">
      <c r="A563" s="2" t="s">
        <v>131</v>
      </c>
      <c r="B563" s="2">
        <v>11</v>
      </c>
      <c r="C563" s="3" t="s">
        <v>33</v>
      </c>
      <c r="D563" s="3" t="s">
        <v>33</v>
      </c>
      <c r="E563" s="2"/>
      <c r="F563" s="2"/>
      <c r="G563" s="2"/>
      <c r="H563" s="2"/>
      <c r="I563" s="2">
        <v>73.210499999999996</v>
      </c>
      <c r="J563" s="2">
        <v>13</v>
      </c>
      <c r="K563" s="2">
        <v>73.210300000000004</v>
      </c>
      <c r="L563" s="2">
        <v>10</v>
      </c>
      <c r="M563" s="2">
        <v>108.3075</v>
      </c>
      <c r="N563" s="2">
        <v>51</v>
      </c>
      <c r="O563" s="2">
        <v>109.5266</v>
      </c>
      <c r="P563" s="2">
        <v>45</v>
      </c>
      <c r="Q563" s="2">
        <v>95.611800000000002</v>
      </c>
      <c r="R563" s="2">
        <v>49</v>
      </c>
      <c r="S563" s="2">
        <v>95.1524</v>
      </c>
      <c r="T563" s="2">
        <v>55</v>
      </c>
      <c r="U563" s="2">
        <v>0.83450599999999997</v>
      </c>
      <c r="V563" s="2">
        <v>44</v>
      </c>
      <c r="W563" s="2">
        <v>2010</v>
      </c>
    </row>
    <row r="564" spans="1:23" ht="12.3" x14ac:dyDescent="0.4">
      <c r="A564" s="2" t="s">
        <v>111</v>
      </c>
      <c r="B564" s="2">
        <v>4</v>
      </c>
      <c r="C564" s="2"/>
      <c r="D564" s="2"/>
      <c r="E564" s="2"/>
      <c r="F564" s="2"/>
      <c r="G564" s="2"/>
      <c r="H564" s="2"/>
      <c r="I564" s="2">
        <v>70.473399999999998</v>
      </c>
      <c r="J564" s="2">
        <v>47</v>
      </c>
      <c r="K564" s="2">
        <v>69.749700000000004</v>
      </c>
      <c r="L564" s="2">
        <v>61</v>
      </c>
      <c r="M564" s="2">
        <v>109.4408</v>
      </c>
      <c r="N564" s="2">
        <v>37</v>
      </c>
      <c r="O564" s="2">
        <v>111.5836</v>
      </c>
      <c r="P564" s="2">
        <v>28</v>
      </c>
      <c r="Q564" s="2">
        <v>98.942700000000002</v>
      </c>
      <c r="R564" s="2">
        <v>126</v>
      </c>
      <c r="S564" s="2">
        <v>96.970500000000001</v>
      </c>
      <c r="T564" s="2">
        <v>75</v>
      </c>
      <c r="U564" s="2">
        <v>0.83399699999999999</v>
      </c>
      <c r="V564" s="2">
        <v>45</v>
      </c>
      <c r="W564" s="2">
        <v>2010</v>
      </c>
    </row>
    <row r="565" spans="1:23" ht="12.3" x14ac:dyDescent="0.4">
      <c r="A565" s="2" t="s">
        <v>47</v>
      </c>
      <c r="B565" s="2">
        <v>8</v>
      </c>
      <c r="C565" s="3" t="s">
        <v>33</v>
      </c>
      <c r="D565" s="2"/>
      <c r="E565" s="2"/>
      <c r="F565" s="2"/>
      <c r="G565" s="2"/>
      <c r="H565" s="2"/>
      <c r="I565" s="2">
        <v>69.167199999999994</v>
      </c>
      <c r="J565" s="2">
        <v>85</v>
      </c>
      <c r="K565" s="2">
        <v>68.817800000000005</v>
      </c>
      <c r="L565" s="2">
        <v>95</v>
      </c>
      <c r="M565" s="2">
        <v>110.9178</v>
      </c>
      <c r="N565" s="2">
        <v>25</v>
      </c>
      <c r="O565" s="2">
        <v>110.4838</v>
      </c>
      <c r="P565" s="2">
        <v>39</v>
      </c>
      <c r="Q565" s="2">
        <v>97.109899999999996</v>
      </c>
      <c r="R565" s="2">
        <v>85</v>
      </c>
      <c r="S565" s="2">
        <v>96.209400000000002</v>
      </c>
      <c r="T565" s="2">
        <v>66</v>
      </c>
      <c r="U565" s="2">
        <v>0.83074599999999998</v>
      </c>
      <c r="V565" s="2">
        <v>46</v>
      </c>
      <c r="W565" s="2">
        <v>2010</v>
      </c>
    </row>
    <row r="566" spans="1:23" ht="12.3" x14ac:dyDescent="0.4">
      <c r="A566" s="2" t="s">
        <v>196</v>
      </c>
      <c r="B566" s="2">
        <v>13</v>
      </c>
      <c r="C566" s="2"/>
      <c r="D566" s="2"/>
      <c r="E566" s="2"/>
      <c r="F566" s="2"/>
      <c r="G566" s="2"/>
      <c r="H566" s="2"/>
      <c r="I566" s="2">
        <v>70.015799999999999</v>
      </c>
      <c r="J566" s="2">
        <v>64</v>
      </c>
      <c r="K566" s="2">
        <v>70.125399999999999</v>
      </c>
      <c r="L566" s="2">
        <v>52</v>
      </c>
      <c r="M566" s="2">
        <v>106.9294</v>
      </c>
      <c r="N566" s="2">
        <v>66</v>
      </c>
      <c r="O566" s="2">
        <v>108.4629</v>
      </c>
      <c r="P566" s="2">
        <v>53</v>
      </c>
      <c r="Q566" s="2">
        <v>92.646600000000007</v>
      </c>
      <c r="R566" s="2">
        <v>25</v>
      </c>
      <c r="S566" s="2">
        <v>94.585999999999999</v>
      </c>
      <c r="T566" s="2">
        <v>49</v>
      </c>
      <c r="U566" s="2">
        <v>0.82840100000000005</v>
      </c>
      <c r="V566" s="2">
        <v>47</v>
      </c>
      <c r="W566" s="2">
        <v>2010</v>
      </c>
    </row>
    <row r="567" spans="1:23" ht="12.3" x14ac:dyDescent="0.4">
      <c r="A567" s="2" t="s">
        <v>181</v>
      </c>
      <c r="B567" s="2">
        <v>13</v>
      </c>
      <c r="C567" s="3" t="s">
        <v>33</v>
      </c>
      <c r="D567" s="2"/>
      <c r="E567" s="2"/>
      <c r="F567" s="2"/>
      <c r="G567" s="2"/>
      <c r="H567" s="2"/>
      <c r="I567" s="2">
        <v>67.939499999999995</v>
      </c>
      <c r="J567" s="2">
        <v>139</v>
      </c>
      <c r="K567" s="2">
        <v>67.248400000000004</v>
      </c>
      <c r="L567" s="2">
        <v>175</v>
      </c>
      <c r="M567" s="2">
        <v>111.96510000000001</v>
      </c>
      <c r="N567" s="2">
        <v>15</v>
      </c>
      <c r="O567" s="2">
        <v>107.28619999999999</v>
      </c>
      <c r="P567" s="2">
        <v>69</v>
      </c>
      <c r="Q567" s="2">
        <v>90.040400000000005</v>
      </c>
      <c r="R567" s="2">
        <v>6</v>
      </c>
      <c r="S567" s="2">
        <v>93.901300000000006</v>
      </c>
      <c r="T567" s="2">
        <v>42</v>
      </c>
      <c r="U567" s="2">
        <v>0.82236299999999996</v>
      </c>
      <c r="V567" s="2">
        <v>49</v>
      </c>
      <c r="W567" s="2">
        <v>2010</v>
      </c>
    </row>
    <row r="568" spans="1:23" ht="12.3" x14ac:dyDescent="0.4">
      <c r="A568" s="2" t="s">
        <v>37</v>
      </c>
      <c r="B568" s="2">
        <v>10</v>
      </c>
      <c r="C568" s="2"/>
      <c r="D568" s="2"/>
      <c r="E568" s="2"/>
      <c r="F568" s="2"/>
      <c r="G568" s="2"/>
      <c r="H568" s="2"/>
      <c r="I568" s="2">
        <v>66.589600000000004</v>
      </c>
      <c r="J568" s="2">
        <v>215</v>
      </c>
      <c r="K568" s="2">
        <v>65.409499999999994</v>
      </c>
      <c r="L568" s="2">
        <v>258</v>
      </c>
      <c r="M568" s="2">
        <v>107.18380000000001</v>
      </c>
      <c r="N568" s="2">
        <v>63</v>
      </c>
      <c r="O568" s="2">
        <v>111.3105</v>
      </c>
      <c r="P568" s="2">
        <v>30</v>
      </c>
      <c r="Q568" s="2">
        <v>98.138400000000004</v>
      </c>
      <c r="R568" s="2">
        <v>107</v>
      </c>
      <c r="S568" s="2">
        <v>98.039500000000004</v>
      </c>
      <c r="T568" s="2">
        <v>98</v>
      </c>
      <c r="U568" s="2">
        <v>0.81152800000000003</v>
      </c>
      <c r="V568" s="2">
        <v>52</v>
      </c>
      <c r="W568" s="2">
        <v>2010</v>
      </c>
    </row>
    <row r="569" spans="1:23" ht="12.3" x14ac:dyDescent="0.4">
      <c r="A569" s="2" t="s">
        <v>61</v>
      </c>
      <c r="B569" s="2">
        <v>9</v>
      </c>
      <c r="C569" s="3" t="s">
        <v>33</v>
      </c>
      <c r="D569" s="2"/>
      <c r="E569" s="2"/>
      <c r="F569" s="2"/>
      <c r="G569" s="2"/>
      <c r="H569" s="2"/>
      <c r="I569" s="2">
        <v>70.786500000000004</v>
      </c>
      <c r="J569" s="2">
        <v>39</v>
      </c>
      <c r="K569" s="2">
        <v>70.281099999999995</v>
      </c>
      <c r="L569" s="2">
        <v>46</v>
      </c>
      <c r="M569" s="2">
        <v>100.7884</v>
      </c>
      <c r="N569" s="2">
        <v>180</v>
      </c>
      <c r="O569" s="2">
        <v>104.611</v>
      </c>
      <c r="P569" s="2">
        <v>112</v>
      </c>
      <c r="Q569" s="2">
        <v>94.693200000000004</v>
      </c>
      <c r="R569" s="2">
        <v>43</v>
      </c>
      <c r="S569" s="2">
        <v>92.692599999999999</v>
      </c>
      <c r="T569" s="2">
        <v>30</v>
      </c>
      <c r="U569" s="2">
        <v>0.800759</v>
      </c>
      <c r="V569" s="2">
        <v>57</v>
      </c>
      <c r="W569" s="2">
        <v>2010</v>
      </c>
    </row>
    <row r="570" spans="1:23" ht="12.3" x14ac:dyDescent="0.4">
      <c r="A570" s="2" t="s">
        <v>333</v>
      </c>
      <c r="B570" s="2">
        <v>12</v>
      </c>
      <c r="C570" s="3" t="s">
        <v>33</v>
      </c>
      <c r="D570" s="3" t="s">
        <v>33</v>
      </c>
      <c r="E570" s="2"/>
      <c r="F570" s="2"/>
      <c r="G570" s="2"/>
      <c r="H570" s="2"/>
      <c r="I570" s="2">
        <v>65.532600000000002</v>
      </c>
      <c r="J570" s="2">
        <v>254</v>
      </c>
      <c r="K570" s="2">
        <v>65.781700000000001</v>
      </c>
      <c r="L570" s="2">
        <v>240</v>
      </c>
      <c r="M570" s="2">
        <v>113.4091</v>
      </c>
      <c r="N570" s="2">
        <v>11</v>
      </c>
      <c r="O570" s="2">
        <v>114.0527</v>
      </c>
      <c r="P570" s="2">
        <v>16</v>
      </c>
      <c r="Q570" s="2">
        <v>97.426500000000004</v>
      </c>
      <c r="R570" s="2">
        <v>91</v>
      </c>
      <c r="S570" s="2">
        <v>102.03489999999999</v>
      </c>
      <c r="T570" s="2">
        <v>178</v>
      </c>
      <c r="U570" s="2">
        <v>0.78253099999999998</v>
      </c>
      <c r="V570" s="2">
        <v>60</v>
      </c>
      <c r="W570" s="2">
        <v>2010</v>
      </c>
    </row>
    <row r="571" spans="1:23" ht="12.3" x14ac:dyDescent="0.4">
      <c r="A571" s="2" t="s">
        <v>279</v>
      </c>
      <c r="B571" s="2">
        <v>13</v>
      </c>
      <c r="C571" s="2"/>
      <c r="D571" s="2"/>
      <c r="E571" s="2"/>
      <c r="F571" s="2"/>
      <c r="G571" s="2"/>
      <c r="H571" s="2"/>
      <c r="I571" s="2">
        <v>65.826599999999999</v>
      </c>
      <c r="J571" s="2">
        <v>245</v>
      </c>
      <c r="K571" s="2">
        <v>65.066800000000001</v>
      </c>
      <c r="L571" s="2">
        <v>272</v>
      </c>
      <c r="M571" s="2">
        <v>104.43170000000001</v>
      </c>
      <c r="N571" s="2">
        <v>103</v>
      </c>
      <c r="O571" s="2">
        <v>102.7302</v>
      </c>
      <c r="P571" s="2">
        <v>151</v>
      </c>
      <c r="Q571" s="2">
        <v>93.686300000000003</v>
      </c>
      <c r="R571" s="2">
        <v>32</v>
      </c>
      <c r="S571" s="2">
        <v>93.259399999999999</v>
      </c>
      <c r="T571" s="2">
        <v>34</v>
      </c>
      <c r="U571" s="2">
        <v>0.75255700000000003</v>
      </c>
      <c r="V571" s="2">
        <v>71</v>
      </c>
      <c r="W571" s="2">
        <v>2010</v>
      </c>
    </row>
    <row r="572" spans="1:23" ht="12.3" x14ac:dyDescent="0.4">
      <c r="A572" s="2" t="s">
        <v>130</v>
      </c>
      <c r="B572" s="2">
        <v>13</v>
      </c>
      <c r="C572" s="2"/>
      <c r="D572" s="2"/>
      <c r="E572" s="2"/>
      <c r="F572" s="2"/>
      <c r="G572" s="2"/>
      <c r="H572" s="2"/>
      <c r="I572" s="2">
        <v>71.610799999999998</v>
      </c>
      <c r="J572" s="2">
        <v>27</v>
      </c>
      <c r="K572" s="2">
        <v>72.084199999999996</v>
      </c>
      <c r="L572" s="2">
        <v>20</v>
      </c>
      <c r="M572" s="2">
        <v>109.2381</v>
      </c>
      <c r="N572" s="2">
        <v>38</v>
      </c>
      <c r="O572" s="2">
        <v>110.7958</v>
      </c>
      <c r="P572" s="2">
        <v>35</v>
      </c>
      <c r="Q572" s="2">
        <v>104.0244</v>
      </c>
      <c r="R572" s="2">
        <v>244</v>
      </c>
      <c r="S572" s="2">
        <v>102.6934</v>
      </c>
      <c r="T572" s="2">
        <v>194</v>
      </c>
      <c r="U572" s="2">
        <v>0.70543599999999995</v>
      </c>
      <c r="V572" s="2">
        <v>87</v>
      </c>
      <c r="W572" s="2">
        <v>2010</v>
      </c>
    </row>
    <row r="573" spans="1:23" ht="12.3" x14ac:dyDescent="0.4">
      <c r="A573" s="2" t="s">
        <v>151</v>
      </c>
      <c r="B573" s="2">
        <v>14</v>
      </c>
      <c r="C573" s="3" t="s">
        <v>33</v>
      </c>
      <c r="D573" s="2"/>
      <c r="E573" s="2"/>
      <c r="F573" s="2"/>
      <c r="G573" s="2"/>
      <c r="H573" s="2"/>
      <c r="I573" s="2">
        <v>68.769300000000001</v>
      </c>
      <c r="J573" s="2">
        <v>102</v>
      </c>
      <c r="K573" s="2">
        <v>69.5351</v>
      </c>
      <c r="L573" s="2">
        <v>65</v>
      </c>
      <c r="M573" s="2">
        <v>104.4282</v>
      </c>
      <c r="N573" s="2">
        <v>104</v>
      </c>
      <c r="O573" s="2">
        <v>105.86450000000001</v>
      </c>
      <c r="P573" s="2">
        <v>90</v>
      </c>
      <c r="Q573" s="2">
        <v>97.691000000000003</v>
      </c>
      <c r="R573" s="2">
        <v>96</v>
      </c>
      <c r="S573" s="2">
        <v>98.398799999999994</v>
      </c>
      <c r="T573" s="2">
        <v>107</v>
      </c>
      <c r="U573" s="2">
        <v>0.69867900000000005</v>
      </c>
      <c r="V573" s="2">
        <v>93</v>
      </c>
      <c r="W573" s="2">
        <v>2010</v>
      </c>
    </row>
    <row r="574" spans="1:23" ht="12.3" x14ac:dyDescent="0.4">
      <c r="A574" s="2" t="s">
        <v>234</v>
      </c>
      <c r="B574" s="2">
        <v>14</v>
      </c>
      <c r="C574" s="2"/>
      <c r="D574" s="2"/>
      <c r="E574" s="2"/>
      <c r="F574" s="2"/>
      <c r="G574" s="2"/>
      <c r="H574" s="2"/>
      <c r="I574" s="2">
        <v>63.6599</v>
      </c>
      <c r="J574" s="2">
        <v>305</v>
      </c>
      <c r="K574" s="2">
        <v>63.714300000000001</v>
      </c>
      <c r="L574" s="2">
        <v>306</v>
      </c>
      <c r="M574" s="2">
        <v>108.8523</v>
      </c>
      <c r="N574" s="2">
        <v>45</v>
      </c>
      <c r="O574" s="2">
        <v>105.1683</v>
      </c>
      <c r="P574" s="2">
        <v>103</v>
      </c>
      <c r="Q574" s="2">
        <v>97.771900000000002</v>
      </c>
      <c r="R574" s="2">
        <v>99</v>
      </c>
      <c r="S574" s="2">
        <v>98.558300000000003</v>
      </c>
      <c r="T574" s="2">
        <v>111</v>
      </c>
      <c r="U574" s="2">
        <v>0.67841700000000005</v>
      </c>
      <c r="V574" s="2">
        <v>98</v>
      </c>
      <c r="W574" s="2">
        <v>2010</v>
      </c>
    </row>
    <row r="575" spans="1:23" ht="12.3" x14ac:dyDescent="0.4">
      <c r="A575" s="2" t="s">
        <v>225</v>
      </c>
      <c r="B575" s="2">
        <v>14</v>
      </c>
      <c r="C575" s="2"/>
      <c r="D575" s="2"/>
      <c r="E575" s="2"/>
      <c r="F575" s="2"/>
      <c r="G575" s="2"/>
      <c r="H575" s="2"/>
      <c r="I575" s="2">
        <v>70.464699999999993</v>
      </c>
      <c r="J575" s="2">
        <v>49</v>
      </c>
      <c r="K575" s="2">
        <v>70.054400000000001</v>
      </c>
      <c r="L575" s="2">
        <v>56</v>
      </c>
      <c r="M575" s="2">
        <v>111.9319</v>
      </c>
      <c r="N575" s="2">
        <v>16</v>
      </c>
      <c r="O575" s="2">
        <v>109.6887</v>
      </c>
      <c r="P575" s="2">
        <v>44</v>
      </c>
      <c r="Q575" s="2">
        <v>101.43219999999999</v>
      </c>
      <c r="R575" s="2">
        <v>175</v>
      </c>
      <c r="S575" s="2">
        <v>103.0312</v>
      </c>
      <c r="T575" s="2">
        <v>207</v>
      </c>
      <c r="U575" s="2">
        <v>0.67262</v>
      </c>
      <c r="V575" s="2">
        <v>101</v>
      </c>
      <c r="W575" s="2">
        <v>2010</v>
      </c>
    </row>
    <row r="576" spans="1:23" ht="12.3" x14ac:dyDescent="0.4">
      <c r="A576" s="2" t="s">
        <v>118</v>
      </c>
      <c r="B576" s="2">
        <v>12</v>
      </c>
      <c r="C576" s="2"/>
      <c r="D576" s="2"/>
      <c r="E576" s="2"/>
      <c r="F576" s="2"/>
      <c r="G576" s="2"/>
      <c r="H576" s="2"/>
      <c r="I576" s="2">
        <v>72.0852</v>
      </c>
      <c r="J576" s="2">
        <v>23</v>
      </c>
      <c r="K576" s="2">
        <v>71.847300000000004</v>
      </c>
      <c r="L576" s="2">
        <v>23</v>
      </c>
      <c r="M576" s="2">
        <v>109.0478</v>
      </c>
      <c r="N576" s="2">
        <v>40</v>
      </c>
      <c r="O576" s="2">
        <v>111.0211</v>
      </c>
      <c r="P576" s="2">
        <v>34</v>
      </c>
      <c r="Q576" s="2">
        <v>108.1713</v>
      </c>
      <c r="R576" s="2">
        <v>315</v>
      </c>
      <c r="S576" s="2">
        <v>104.5017</v>
      </c>
      <c r="T576" s="2">
        <v>234</v>
      </c>
      <c r="U576" s="2">
        <v>0.66728900000000002</v>
      </c>
      <c r="V576" s="2">
        <v>105</v>
      </c>
      <c r="W576" s="2">
        <v>2010</v>
      </c>
    </row>
    <row r="577" spans="1:23" ht="12.3" x14ac:dyDescent="0.4">
      <c r="A577" s="2" t="s">
        <v>220</v>
      </c>
      <c r="B577" s="2">
        <v>16</v>
      </c>
      <c r="C577" s="2"/>
      <c r="D577" s="2"/>
      <c r="E577" s="2"/>
      <c r="F577" s="2"/>
      <c r="G577" s="2"/>
      <c r="H577" s="2"/>
      <c r="I577" s="2">
        <v>67.572500000000005</v>
      </c>
      <c r="J577" s="2">
        <v>162</v>
      </c>
      <c r="K577" s="2">
        <v>67.555400000000006</v>
      </c>
      <c r="L577" s="2">
        <v>157</v>
      </c>
      <c r="M577" s="2">
        <v>104.6583</v>
      </c>
      <c r="N577" s="2">
        <v>99</v>
      </c>
      <c r="O577" s="2">
        <v>103.4121</v>
      </c>
      <c r="P577" s="2">
        <v>139</v>
      </c>
      <c r="Q577" s="2">
        <v>94.596299999999999</v>
      </c>
      <c r="R577" s="2">
        <v>41</v>
      </c>
      <c r="S577" s="2">
        <v>99.943100000000001</v>
      </c>
      <c r="T577" s="2">
        <v>140</v>
      </c>
      <c r="U577" s="2">
        <v>0.59685900000000003</v>
      </c>
      <c r="V577" s="2">
        <v>126</v>
      </c>
      <c r="W577" s="2">
        <v>2010</v>
      </c>
    </row>
    <row r="578" spans="1:23" ht="12.3" x14ac:dyDescent="0.4">
      <c r="A578" s="2" t="s">
        <v>165</v>
      </c>
      <c r="B578" s="2">
        <v>14</v>
      </c>
      <c r="C578" s="2"/>
      <c r="D578" s="2"/>
      <c r="E578" s="2"/>
      <c r="F578" s="2"/>
      <c r="G578" s="2"/>
      <c r="H578" s="2"/>
      <c r="I578" s="2">
        <v>70.273399999999995</v>
      </c>
      <c r="J578" s="2">
        <v>55</v>
      </c>
      <c r="K578" s="2">
        <v>70.301299999999998</v>
      </c>
      <c r="L578" s="2">
        <v>44</v>
      </c>
      <c r="M578" s="2">
        <v>106.8378</v>
      </c>
      <c r="N578" s="2">
        <v>71</v>
      </c>
      <c r="O578" s="2">
        <v>107.399</v>
      </c>
      <c r="P578" s="2">
        <v>65</v>
      </c>
      <c r="Q578" s="2">
        <v>102.1336</v>
      </c>
      <c r="R578" s="2">
        <v>185</v>
      </c>
      <c r="S578" s="2">
        <v>103.8548</v>
      </c>
      <c r="T578" s="2">
        <v>223</v>
      </c>
      <c r="U578" s="2">
        <v>0.59529699999999997</v>
      </c>
      <c r="V578" s="2">
        <v>129</v>
      </c>
      <c r="W578" s="2">
        <v>2010</v>
      </c>
    </row>
    <row r="579" spans="1:23" ht="12.3" x14ac:dyDescent="0.4">
      <c r="A579" s="2" t="s">
        <v>108</v>
      </c>
      <c r="B579" s="2">
        <v>16</v>
      </c>
      <c r="C579" s="2"/>
      <c r="D579" s="2"/>
      <c r="E579" s="2"/>
      <c r="F579" s="2"/>
      <c r="G579" s="2"/>
      <c r="H579" s="2"/>
      <c r="I579" s="2">
        <v>68.687899999999999</v>
      </c>
      <c r="J579" s="2">
        <v>108</v>
      </c>
      <c r="K579" s="2">
        <v>67.997100000000003</v>
      </c>
      <c r="L579" s="2">
        <v>133</v>
      </c>
      <c r="M579" s="2">
        <v>100.09139999999999</v>
      </c>
      <c r="N579" s="2">
        <v>192</v>
      </c>
      <c r="O579" s="2">
        <v>98.995699999999999</v>
      </c>
      <c r="P579" s="2">
        <v>201</v>
      </c>
      <c r="Q579" s="2">
        <v>95.938000000000002</v>
      </c>
      <c r="R579" s="2">
        <v>57</v>
      </c>
      <c r="S579" s="2">
        <v>96.663600000000002</v>
      </c>
      <c r="T579" s="2">
        <v>73</v>
      </c>
      <c r="U579" s="2">
        <v>0.56811500000000004</v>
      </c>
      <c r="V579" s="2">
        <v>142</v>
      </c>
      <c r="W579" s="2">
        <v>2010</v>
      </c>
    </row>
    <row r="580" spans="1:23" ht="12.3" x14ac:dyDescent="0.4">
      <c r="A580" s="2" t="s">
        <v>104</v>
      </c>
      <c r="B580" s="2">
        <v>15</v>
      </c>
      <c r="C580" s="2"/>
      <c r="D580" s="2"/>
      <c r="E580" s="2"/>
      <c r="F580" s="2"/>
      <c r="G580" s="2"/>
      <c r="H580" s="2"/>
      <c r="I580" s="2">
        <v>67.402100000000004</v>
      </c>
      <c r="J580" s="2">
        <v>174</v>
      </c>
      <c r="K580" s="2">
        <v>67.565600000000003</v>
      </c>
      <c r="L580" s="2">
        <v>154</v>
      </c>
      <c r="M580" s="2">
        <v>99.888000000000005</v>
      </c>
      <c r="N580" s="2">
        <v>194</v>
      </c>
      <c r="O580" s="2">
        <v>98.7179</v>
      </c>
      <c r="P580" s="2">
        <v>209</v>
      </c>
      <c r="Q580" s="2">
        <v>97.496300000000005</v>
      </c>
      <c r="R580" s="2">
        <v>93</v>
      </c>
      <c r="S580" s="2">
        <v>96.862399999999994</v>
      </c>
      <c r="T580" s="2">
        <v>74</v>
      </c>
      <c r="U580" s="2">
        <v>0.554338</v>
      </c>
      <c r="V580" s="2">
        <v>147</v>
      </c>
      <c r="W580" s="2">
        <v>2010</v>
      </c>
    </row>
    <row r="581" spans="1:23" ht="12.3" x14ac:dyDescent="0.4">
      <c r="A581" s="2" t="s">
        <v>345</v>
      </c>
      <c r="B581" s="2">
        <v>15</v>
      </c>
      <c r="C581" s="2"/>
      <c r="D581" s="2"/>
      <c r="E581" s="2"/>
      <c r="F581" s="2"/>
      <c r="G581" s="2"/>
      <c r="H581" s="2"/>
      <c r="I581" s="2">
        <v>70.104399999999998</v>
      </c>
      <c r="J581" s="2">
        <v>61</v>
      </c>
      <c r="K581" s="2">
        <v>69.816299999999998</v>
      </c>
      <c r="L581" s="2">
        <v>60</v>
      </c>
      <c r="M581" s="2">
        <v>107.9646</v>
      </c>
      <c r="N581" s="2">
        <v>53</v>
      </c>
      <c r="O581" s="2">
        <v>103.8837</v>
      </c>
      <c r="P581" s="2">
        <v>133</v>
      </c>
      <c r="Q581" s="2">
        <v>98.597399999999993</v>
      </c>
      <c r="R581" s="2">
        <v>118</v>
      </c>
      <c r="S581" s="2">
        <v>102.4671</v>
      </c>
      <c r="T581" s="2">
        <v>191</v>
      </c>
      <c r="U581" s="2">
        <v>0.53939499999999996</v>
      </c>
      <c r="V581" s="2">
        <v>153</v>
      </c>
      <c r="W581" s="2">
        <v>2010</v>
      </c>
    </row>
    <row r="582" spans="1:23" ht="12.3" x14ac:dyDescent="0.4">
      <c r="A582" s="2" t="s">
        <v>184</v>
      </c>
      <c r="B582" s="2">
        <v>15</v>
      </c>
      <c r="C582" s="2"/>
      <c r="D582" s="2"/>
      <c r="E582" s="2"/>
      <c r="F582" s="2"/>
      <c r="G582" s="2"/>
      <c r="H582" s="2"/>
      <c r="I582" s="2">
        <v>68.546800000000005</v>
      </c>
      <c r="J582" s="2">
        <v>118</v>
      </c>
      <c r="K582" s="2">
        <v>68.728399999999993</v>
      </c>
      <c r="L582" s="2">
        <v>98</v>
      </c>
      <c r="M582" s="2">
        <v>105.2366</v>
      </c>
      <c r="N582" s="2">
        <v>94</v>
      </c>
      <c r="O582" s="2">
        <v>101.98350000000001</v>
      </c>
      <c r="P582" s="2">
        <v>160</v>
      </c>
      <c r="Q582" s="2">
        <v>100.31959999999999</v>
      </c>
      <c r="R582" s="2">
        <v>150</v>
      </c>
      <c r="S582" s="2">
        <v>102.4178</v>
      </c>
      <c r="T582" s="2">
        <v>188</v>
      </c>
      <c r="U582" s="2">
        <v>0.48778500000000002</v>
      </c>
      <c r="V582" s="2">
        <v>175</v>
      </c>
      <c r="W582" s="2">
        <v>2010</v>
      </c>
    </row>
    <row r="583" spans="1:23" ht="12.3" x14ac:dyDescent="0.4">
      <c r="A583" s="2" t="s">
        <v>307</v>
      </c>
      <c r="B583" s="2">
        <v>15</v>
      </c>
      <c r="C583" s="2"/>
      <c r="D583" s="2"/>
      <c r="E583" s="2"/>
      <c r="F583" s="2"/>
      <c r="G583" s="2"/>
      <c r="H583" s="2"/>
      <c r="I583" s="2">
        <v>67.664000000000001</v>
      </c>
      <c r="J583" s="2">
        <v>157</v>
      </c>
      <c r="K583" s="2">
        <v>67.064400000000006</v>
      </c>
      <c r="L583" s="2">
        <v>185</v>
      </c>
      <c r="M583" s="2">
        <v>101.3257</v>
      </c>
      <c r="N583" s="2">
        <v>165</v>
      </c>
      <c r="O583" s="2">
        <v>99.373599999999996</v>
      </c>
      <c r="P583" s="2">
        <v>198</v>
      </c>
      <c r="Q583" s="2">
        <v>96.817300000000003</v>
      </c>
      <c r="R583" s="2">
        <v>77</v>
      </c>
      <c r="S583" s="2">
        <v>100.2647</v>
      </c>
      <c r="T583" s="2">
        <v>146</v>
      </c>
      <c r="U583" s="2">
        <v>0.474358</v>
      </c>
      <c r="V583" s="2">
        <v>181</v>
      </c>
      <c r="W583" s="2">
        <v>2010</v>
      </c>
    </row>
    <row r="584" spans="1:23" ht="12.3" x14ac:dyDescent="0.4">
      <c r="A584" s="2" t="s">
        <v>326</v>
      </c>
      <c r="B584" s="2">
        <v>16</v>
      </c>
      <c r="C584" s="2"/>
      <c r="D584" s="2"/>
      <c r="E584" s="2"/>
      <c r="F584" s="2"/>
      <c r="G584" s="2"/>
      <c r="H584" s="2"/>
      <c r="I584" s="2">
        <v>69.827500000000001</v>
      </c>
      <c r="J584" s="2">
        <v>71</v>
      </c>
      <c r="K584" s="2">
        <v>70.063999999999993</v>
      </c>
      <c r="L584" s="2">
        <v>55</v>
      </c>
      <c r="M584" s="2">
        <v>107.2011</v>
      </c>
      <c r="N584" s="2">
        <v>62</v>
      </c>
      <c r="O584" s="2">
        <v>104.4722</v>
      </c>
      <c r="P584" s="2">
        <v>117</v>
      </c>
      <c r="Q584" s="2">
        <v>99.227500000000006</v>
      </c>
      <c r="R584" s="2">
        <v>130</v>
      </c>
      <c r="S584" s="2">
        <v>105.5154</v>
      </c>
      <c r="T584" s="2">
        <v>256</v>
      </c>
      <c r="U584" s="2">
        <v>0.47146700000000002</v>
      </c>
      <c r="V584" s="2">
        <v>183</v>
      </c>
      <c r="W584" s="2">
        <v>2010</v>
      </c>
    </row>
    <row r="585" spans="1:23" ht="12.3" x14ac:dyDescent="0.4">
      <c r="A585" s="2" t="s">
        <v>240</v>
      </c>
      <c r="B585" s="2">
        <v>16</v>
      </c>
      <c r="C585" s="2"/>
      <c r="D585" s="2"/>
      <c r="E585" s="2"/>
      <c r="F585" s="2"/>
      <c r="G585" s="2"/>
      <c r="H585" s="2"/>
      <c r="I585" s="2">
        <v>66.888099999999994</v>
      </c>
      <c r="J585" s="2">
        <v>194</v>
      </c>
      <c r="K585" s="2">
        <v>65.785799999999995</v>
      </c>
      <c r="L585" s="2">
        <v>238</v>
      </c>
      <c r="M585" s="2">
        <v>92.6387</v>
      </c>
      <c r="N585" s="2">
        <v>307</v>
      </c>
      <c r="O585" s="2">
        <v>91.037800000000004</v>
      </c>
      <c r="P585" s="2">
        <v>313</v>
      </c>
      <c r="Q585" s="2">
        <v>91.733599999999996</v>
      </c>
      <c r="R585" s="2">
        <v>16</v>
      </c>
      <c r="S585" s="2">
        <v>93.448099999999997</v>
      </c>
      <c r="T585" s="2">
        <v>36</v>
      </c>
      <c r="U585" s="2">
        <v>0.42543199999999998</v>
      </c>
      <c r="V585" s="2">
        <v>198</v>
      </c>
      <c r="W585" s="2">
        <v>2010</v>
      </c>
    </row>
    <row r="586" spans="1:23" ht="12.3" x14ac:dyDescent="0.4">
      <c r="A586" s="2" t="s">
        <v>351</v>
      </c>
      <c r="B586" s="2">
        <v>16</v>
      </c>
      <c r="C586" s="2"/>
      <c r="D586" s="2"/>
      <c r="E586" s="2"/>
      <c r="F586" s="2"/>
      <c r="G586" s="2"/>
      <c r="H586" s="2"/>
      <c r="I586" s="2">
        <v>67.863200000000006</v>
      </c>
      <c r="J586" s="2">
        <v>140</v>
      </c>
      <c r="K586" s="2">
        <v>66.626499999999993</v>
      </c>
      <c r="L586" s="2">
        <v>202</v>
      </c>
      <c r="M586" s="2">
        <v>93.218999999999994</v>
      </c>
      <c r="N586" s="2">
        <v>302</v>
      </c>
      <c r="O586" s="2">
        <v>90.1584</v>
      </c>
      <c r="P586" s="2">
        <v>319</v>
      </c>
      <c r="Q586" s="2">
        <v>94.045199999999994</v>
      </c>
      <c r="R586" s="2">
        <v>36</v>
      </c>
      <c r="S586" s="2">
        <v>96.648600000000002</v>
      </c>
      <c r="T586" s="2">
        <v>72</v>
      </c>
      <c r="U586" s="2">
        <v>0.31015199999999998</v>
      </c>
      <c r="V586" s="2">
        <v>237</v>
      </c>
      <c r="W586" s="2">
        <v>2010</v>
      </c>
    </row>
    <row r="587" spans="1:23" ht="12.3" x14ac:dyDescent="0.4">
      <c r="A587" s="2" t="s">
        <v>21</v>
      </c>
      <c r="B587" s="2">
        <v>1</v>
      </c>
      <c r="C587" s="3" t="s">
        <v>33</v>
      </c>
      <c r="D587" s="3" t="s">
        <v>33</v>
      </c>
      <c r="E587" s="2"/>
      <c r="F587" s="2"/>
      <c r="G587" s="2"/>
      <c r="H587" s="2"/>
      <c r="I587" s="2">
        <v>64.483000000000004</v>
      </c>
      <c r="J587" s="2">
        <v>269</v>
      </c>
      <c r="K587" s="2">
        <v>65.619699999999995</v>
      </c>
      <c r="L587" s="2">
        <v>229</v>
      </c>
      <c r="M587" s="2">
        <v>119.2011</v>
      </c>
      <c r="N587" s="2">
        <v>1</v>
      </c>
      <c r="O587" s="2">
        <v>122.7577</v>
      </c>
      <c r="P587" s="2">
        <v>1</v>
      </c>
      <c r="Q587" s="2">
        <v>93.425799999999995</v>
      </c>
      <c r="R587" s="2">
        <v>19</v>
      </c>
      <c r="S587" s="2">
        <v>93.061499999999995</v>
      </c>
      <c r="T587" s="2">
        <v>22</v>
      </c>
      <c r="U587" s="2">
        <v>0.96026400000000001</v>
      </c>
      <c r="V587" s="2">
        <v>1</v>
      </c>
      <c r="W587" s="2">
        <v>2011</v>
      </c>
    </row>
    <row r="588" spans="1:23" ht="12.3" x14ac:dyDescent="0.4">
      <c r="A588" s="2" t="s">
        <v>32</v>
      </c>
      <c r="B588" s="2">
        <v>1</v>
      </c>
      <c r="C588" s="3" t="s">
        <v>33</v>
      </c>
      <c r="D588" s="3" t="s">
        <v>33</v>
      </c>
      <c r="E588" s="2"/>
      <c r="F588" s="2"/>
      <c r="G588" s="2"/>
      <c r="H588" s="2"/>
      <c r="I588" s="2">
        <v>70.7577</v>
      </c>
      <c r="J588" s="2">
        <v>32</v>
      </c>
      <c r="K588" s="2">
        <v>69.644099999999995</v>
      </c>
      <c r="L588" s="2">
        <v>44</v>
      </c>
      <c r="M588" s="2">
        <v>114.4312</v>
      </c>
      <c r="N588" s="2">
        <v>10</v>
      </c>
      <c r="O588" s="2">
        <v>117.0254</v>
      </c>
      <c r="P588" s="2">
        <v>5</v>
      </c>
      <c r="Q588" s="2">
        <v>90.833100000000002</v>
      </c>
      <c r="R588" s="2">
        <v>8</v>
      </c>
      <c r="S588" s="2">
        <v>90.596999999999994</v>
      </c>
      <c r="T588" s="2">
        <v>8</v>
      </c>
      <c r="U588" s="2">
        <v>0.94996199999999997</v>
      </c>
      <c r="V588" s="2">
        <v>2</v>
      </c>
      <c r="W588" s="2">
        <v>2011</v>
      </c>
    </row>
    <row r="589" spans="1:23" ht="12.3" x14ac:dyDescent="0.4">
      <c r="A589" s="2" t="s">
        <v>35</v>
      </c>
      <c r="B589" s="2">
        <v>1</v>
      </c>
      <c r="C589" s="3" t="s">
        <v>33</v>
      </c>
      <c r="D589" s="3" t="s">
        <v>33</v>
      </c>
      <c r="E589" s="3" t="s">
        <v>33</v>
      </c>
      <c r="F589" s="2"/>
      <c r="G589" s="2"/>
      <c r="H589" s="2"/>
      <c r="I589" s="2">
        <v>70.376099999999994</v>
      </c>
      <c r="J589" s="2">
        <v>38</v>
      </c>
      <c r="K589" s="2">
        <v>69.552499999999995</v>
      </c>
      <c r="L589" s="2">
        <v>48</v>
      </c>
      <c r="M589" s="2">
        <v>116.7659</v>
      </c>
      <c r="N589" s="2">
        <v>6</v>
      </c>
      <c r="O589" s="2">
        <v>118.10550000000001</v>
      </c>
      <c r="P589" s="2">
        <v>4</v>
      </c>
      <c r="Q589" s="2">
        <v>92.559600000000003</v>
      </c>
      <c r="R589" s="2">
        <v>15</v>
      </c>
      <c r="S589" s="2">
        <v>92.614400000000003</v>
      </c>
      <c r="T589" s="2">
        <v>21</v>
      </c>
      <c r="U589" s="2">
        <v>0.94246099999999999</v>
      </c>
      <c r="V589" s="2">
        <v>3</v>
      </c>
      <c r="W589" s="2">
        <v>2011</v>
      </c>
    </row>
    <row r="590" spans="1:23" ht="12.3" x14ac:dyDescent="0.4">
      <c r="A590" s="2" t="s">
        <v>67</v>
      </c>
      <c r="B590" s="2">
        <v>4</v>
      </c>
      <c r="C590" s="3" t="s">
        <v>33</v>
      </c>
      <c r="D590" s="2"/>
      <c r="E590" s="2"/>
      <c r="F590" s="2"/>
      <c r="G590" s="2"/>
      <c r="H590" s="2"/>
      <c r="I590" s="2">
        <v>68.139700000000005</v>
      </c>
      <c r="J590" s="2">
        <v>103</v>
      </c>
      <c r="K590" s="2">
        <v>66.940600000000003</v>
      </c>
      <c r="L590" s="2">
        <v>157</v>
      </c>
      <c r="M590" s="2">
        <v>109.4233</v>
      </c>
      <c r="N590" s="2">
        <v>42</v>
      </c>
      <c r="O590" s="2">
        <v>114.2741</v>
      </c>
      <c r="P590" s="2">
        <v>13</v>
      </c>
      <c r="Q590" s="2">
        <v>89.971999999999994</v>
      </c>
      <c r="R590" s="2">
        <v>5</v>
      </c>
      <c r="S590" s="2">
        <v>89.946600000000004</v>
      </c>
      <c r="T590" s="2">
        <v>5</v>
      </c>
      <c r="U590" s="2">
        <v>0.94007799999999997</v>
      </c>
      <c r="V590" s="2">
        <v>4</v>
      </c>
      <c r="W590" s="2">
        <v>2011</v>
      </c>
    </row>
    <row r="591" spans="1:23" ht="12.3" x14ac:dyDescent="0.4">
      <c r="A591" s="2" t="s">
        <v>46</v>
      </c>
      <c r="B591" s="2">
        <v>1</v>
      </c>
      <c r="C591" s="3" t="s">
        <v>33</v>
      </c>
      <c r="D591" s="2"/>
      <c r="E591" s="2"/>
      <c r="F591" s="2"/>
      <c r="G591" s="2"/>
      <c r="H591" s="2"/>
      <c r="I591" s="2">
        <v>63.701799999999999</v>
      </c>
      <c r="J591" s="2">
        <v>300</v>
      </c>
      <c r="K591" s="2">
        <v>63.281799999999997</v>
      </c>
      <c r="L591" s="2">
        <v>314</v>
      </c>
      <c r="M591" s="2">
        <v>115.89700000000001</v>
      </c>
      <c r="N591" s="2">
        <v>8</v>
      </c>
      <c r="O591" s="2">
        <v>116.95820000000001</v>
      </c>
      <c r="P591" s="2">
        <v>6</v>
      </c>
      <c r="Q591" s="2">
        <v>95.435000000000002</v>
      </c>
      <c r="R591" s="2">
        <v>43</v>
      </c>
      <c r="S591" s="2">
        <v>92.302700000000002</v>
      </c>
      <c r="T591" s="2">
        <v>17</v>
      </c>
      <c r="U591" s="2">
        <v>0.93834399999999996</v>
      </c>
      <c r="V591" s="2">
        <v>5</v>
      </c>
      <c r="W591" s="2">
        <v>2011</v>
      </c>
    </row>
    <row r="592" spans="1:23" ht="12.3" x14ac:dyDescent="0.4">
      <c r="A592" s="2" t="s">
        <v>97</v>
      </c>
      <c r="B592" s="2">
        <v>2</v>
      </c>
      <c r="C592" s="3" t="s">
        <v>33</v>
      </c>
      <c r="D592" s="3" t="s">
        <v>33</v>
      </c>
      <c r="E592" s="2"/>
      <c r="F592" s="2"/>
      <c r="G592" s="2"/>
      <c r="H592" s="2"/>
      <c r="I592" s="2">
        <v>64.149199999999993</v>
      </c>
      <c r="J592" s="2">
        <v>284</v>
      </c>
      <c r="K592" s="2">
        <v>64.169600000000003</v>
      </c>
      <c r="L592" s="2">
        <v>287</v>
      </c>
      <c r="M592" s="2">
        <v>110.62009999999999</v>
      </c>
      <c r="N592" s="2">
        <v>28</v>
      </c>
      <c r="O592" s="2">
        <v>111.798</v>
      </c>
      <c r="P592" s="2">
        <v>27</v>
      </c>
      <c r="Q592" s="2">
        <v>91.863600000000005</v>
      </c>
      <c r="R592" s="2">
        <v>10</v>
      </c>
      <c r="S592" s="2">
        <v>88.544200000000004</v>
      </c>
      <c r="T592" s="2">
        <v>1</v>
      </c>
      <c r="U592" s="2">
        <v>0.93593800000000005</v>
      </c>
      <c r="V592" s="2">
        <v>6</v>
      </c>
      <c r="W592" s="2">
        <v>2011</v>
      </c>
    </row>
    <row r="593" spans="1:23" ht="12.3" x14ac:dyDescent="0.4">
      <c r="A593" s="2" t="s">
        <v>45</v>
      </c>
      <c r="B593" s="2">
        <v>4</v>
      </c>
      <c r="C593" s="3" t="s">
        <v>33</v>
      </c>
      <c r="D593" s="3" t="s">
        <v>33</v>
      </c>
      <c r="E593" s="3" t="s">
        <v>33</v>
      </c>
      <c r="F593" s="3" t="s">
        <v>33</v>
      </c>
      <c r="G593" s="2"/>
      <c r="H593" s="2"/>
      <c r="I593" s="2">
        <v>67.182699999999997</v>
      </c>
      <c r="J593" s="2">
        <v>160</v>
      </c>
      <c r="K593" s="2">
        <v>66.775800000000004</v>
      </c>
      <c r="L593" s="2">
        <v>164</v>
      </c>
      <c r="M593" s="2">
        <v>113.6506</v>
      </c>
      <c r="N593" s="2">
        <v>12</v>
      </c>
      <c r="O593" s="2">
        <v>116.2402</v>
      </c>
      <c r="P593" s="2">
        <v>8</v>
      </c>
      <c r="Q593" s="2">
        <v>94.906400000000005</v>
      </c>
      <c r="R593" s="2">
        <v>35</v>
      </c>
      <c r="S593" s="2">
        <v>93.258799999999994</v>
      </c>
      <c r="T593" s="2">
        <v>27</v>
      </c>
      <c r="U593" s="2">
        <v>0.92643799999999998</v>
      </c>
      <c r="V593" s="2">
        <v>7</v>
      </c>
      <c r="W593" s="2">
        <v>2011</v>
      </c>
    </row>
    <row r="594" spans="1:23" ht="12.3" x14ac:dyDescent="0.4">
      <c r="A594" s="2" t="s">
        <v>56</v>
      </c>
      <c r="B594" s="2">
        <v>2</v>
      </c>
      <c r="C594" s="3" t="s">
        <v>33</v>
      </c>
      <c r="D594" s="2"/>
      <c r="E594" s="2"/>
      <c r="F594" s="2"/>
      <c r="G594" s="2"/>
      <c r="H594" s="2"/>
      <c r="I594" s="2">
        <v>64.575000000000003</v>
      </c>
      <c r="J594" s="2">
        <v>267</v>
      </c>
      <c r="K594" s="2">
        <v>64.4465</v>
      </c>
      <c r="L594" s="2">
        <v>273</v>
      </c>
      <c r="M594" s="2">
        <v>115.9097</v>
      </c>
      <c r="N594" s="2">
        <v>7</v>
      </c>
      <c r="O594" s="2">
        <v>121.10250000000001</v>
      </c>
      <c r="P594" s="2">
        <v>2</v>
      </c>
      <c r="Q594" s="2">
        <v>100.4776</v>
      </c>
      <c r="R594" s="2">
        <v>140</v>
      </c>
      <c r="S594" s="2">
        <v>97.474100000000007</v>
      </c>
      <c r="T594" s="2">
        <v>76</v>
      </c>
      <c r="U594" s="2">
        <v>0.92386699999999999</v>
      </c>
      <c r="V594" s="2">
        <v>8</v>
      </c>
      <c r="W594" s="2">
        <v>2011</v>
      </c>
    </row>
    <row r="595" spans="1:23" ht="12.3" x14ac:dyDescent="0.4">
      <c r="A595" s="2" t="s">
        <v>121</v>
      </c>
      <c r="B595" s="2">
        <v>3</v>
      </c>
      <c r="C595" s="3" t="s">
        <v>33</v>
      </c>
      <c r="D595" s="2"/>
      <c r="E595" s="2"/>
      <c r="F595" s="2"/>
      <c r="G595" s="2"/>
      <c r="H595" s="2"/>
      <c r="I595" s="2">
        <v>66.106300000000005</v>
      </c>
      <c r="J595" s="2">
        <v>203</v>
      </c>
      <c r="K595" s="2">
        <v>67.156400000000005</v>
      </c>
      <c r="L595" s="2">
        <v>145</v>
      </c>
      <c r="M595" s="2">
        <v>109.59050000000001</v>
      </c>
      <c r="N595" s="2">
        <v>39</v>
      </c>
      <c r="O595" s="2">
        <v>113.3805</v>
      </c>
      <c r="P595" s="2">
        <v>19</v>
      </c>
      <c r="Q595" s="2">
        <v>93.340199999999996</v>
      </c>
      <c r="R595" s="2">
        <v>18</v>
      </c>
      <c r="S595" s="2">
        <v>91.319400000000002</v>
      </c>
      <c r="T595" s="2">
        <v>14</v>
      </c>
      <c r="U595" s="2">
        <v>0.92332800000000004</v>
      </c>
      <c r="V595" s="2">
        <v>9</v>
      </c>
      <c r="W595" s="2">
        <v>2011</v>
      </c>
    </row>
    <row r="596" spans="1:23" ht="12.3" x14ac:dyDescent="0.4">
      <c r="A596" s="2" t="s">
        <v>76</v>
      </c>
      <c r="B596" s="2">
        <v>4</v>
      </c>
      <c r="C596" s="3" t="s">
        <v>33</v>
      </c>
      <c r="D596" s="3" t="s">
        <v>33</v>
      </c>
      <c r="E596" s="2"/>
      <c r="F596" s="2"/>
      <c r="G596" s="2"/>
      <c r="H596" s="2"/>
      <c r="I596" s="2">
        <v>57.072200000000002</v>
      </c>
      <c r="J596" s="2">
        <v>345</v>
      </c>
      <c r="K596" s="2">
        <v>57.615400000000001</v>
      </c>
      <c r="L596" s="2">
        <v>345</v>
      </c>
      <c r="M596" s="2">
        <v>118.351</v>
      </c>
      <c r="N596" s="2">
        <v>2</v>
      </c>
      <c r="O596" s="2">
        <v>119.7906</v>
      </c>
      <c r="P596" s="2">
        <v>3</v>
      </c>
      <c r="Q596" s="2">
        <v>101.3777</v>
      </c>
      <c r="R596" s="2">
        <v>171</v>
      </c>
      <c r="S596" s="2">
        <v>96.650300000000001</v>
      </c>
      <c r="T596" s="2">
        <v>61</v>
      </c>
      <c r="U596" s="2">
        <v>0.92189900000000002</v>
      </c>
      <c r="V596" s="2">
        <v>10</v>
      </c>
      <c r="W596" s="2">
        <v>2011</v>
      </c>
    </row>
    <row r="597" spans="1:23" ht="12.3" x14ac:dyDescent="0.4">
      <c r="A597" s="2" t="s">
        <v>86</v>
      </c>
      <c r="B597" s="2">
        <v>4</v>
      </c>
      <c r="C597" s="2"/>
      <c r="D597" s="2"/>
      <c r="E597" s="2"/>
      <c r="F597" s="2"/>
      <c r="G597" s="2"/>
      <c r="H597" s="2"/>
      <c r="I597" s="2">
        <v>68.303600000000003</v>
      </c>
      <c r="J597" s="2">
        <v>94</v>
      </c>
      <c r="K597" s="2">
        <v>67.706000000000003</v>
      </c>
      <c r="L597" s="2">
        <v>112</v>
      </c>
      <c r="M597" s="2">
        <v>107.791</v>
      </c>
      <c r="N597" s="2">
        <v>53</v>
      </c>
      <c r="O597" s="2">
        <v>109.27079999999999</v>
      </c>
      <c r="P597" s="2">
        <v>49</v>
      </c>
      <c r="Q597" s="2">
        <v>92.951300000000003</v>
      </c>
      <c r="R597" s="2">
        <v>16</v>
      </c>
      <c r="S597" s="2">
        <v>89.155500000000004</v>
      </c>
      <c r="T597" s="2">
        <v>3</v>
      </c>
      <c r="U597" s="2">
        <v>0.91210800000000003</v>
      </c>
      <c r="V597" s="2">
        <v>11</v>
      </c>
      <c r="W597" s="2">
        <v>2011</v>
      </c>
    </row>
    <row r="598" spans="1:23" ht="12.3" x14ac:dyDescent="0.4">
      <c r="A598" s="2" t="s">
        <v>96</v>
      </c>
      <c r="B598" s="2">
        <v>3</v>
      </c>
      <c r="C598" s="3" t="s">
        <v>33</v>
      </c>
      <c r="D598" s="3" t="s">
        <v>33</v>
      </c>
      <c r="E598" s="2"/>
      <c r="F598" s="2"/>
      <c r="G598" s="2"/>
      <c r="H598" s="2"/>
      <c r="I598" s="2">
        <v>71.221599999999995</v>
      </c>
      <c r="J598" s="2">
        <v>25</v>
      </c>
      <c r="K598" s="2">
        <v>71.155199999999994</v>
      </c>
      <c r="L598" s="2">
        <v>23</v>
      </c>
      <c r="M598" s="2">
        <v>113.2313</v>
      </c>
      <c r="N598" s="2">
        <v>13</v>
      </c>
      <c r="O598" s="2">
        <v>116.8365</v>
      </c>
      <c r="P598" s="2">
        <v>7</v>
      </c>
      <c r="Q598" s="2">
        <v>95.103099999999998</v>
      </c>
      <c r="R598" s="2">
        <v>37</v>
      </c>
      <c r="S598" s="2">
        <v>95.592100000000002</v>
      </c>
      <c r="T598" s="2">
        <v>51</v>
      </c>
      <c r="U598" s="2">
        <v>0.909528</v>
      </c>
      <c r="V598" s="2">
        <v>12</v>
      </c>
      <c r="W598" s="2">
        <v>2011</v>
      </c>
    </row>
    <row r="599" spans="1:23" ht="12.3" x14ac:dyDescent="0.4">
      <c r="A599" s="2" t="s">
        <v>54</v>
      </c>
      <c r="B599" s="2">
        <v>3</v>
      </c>
      <c r="C599" s="3" t="s">
        <v>33</v>
      </c>
      <c r="D599" s="3" t="s">
        <v>33</v>
      </c>
      <c r="E599" s="3" t="s">
        <v>33</v>
      </c>
      <c r="F599" s="3" t="s">
        <v>33</v>
      </c>
      <c r="G599" s="3" t="s">
        <v>33</v>
      </c>
      <c r="H599" s="3" t="s">
        <v>33</v>
      </c>
      <c r="I599" s="2">
        <v>66.219499999999996</v>
      </c>
      <c r="J599" s="2">
        <v>197</v>
      </c>
      <c r="K599" s="2">
        <v>66.264799999999994</v>
      </c>
      <c r="L599" s="2">
        <v>193</v>
      </c>
      <c r="M599" s="2">
        <v>108.5852</v>
      </c>
      <c r="N599" s="2">
        <v>48</v>
      </c>
      <c r="O599" s="2">
        <v>113.8185</v>
      </c>
      <c r="P599" s="2">
        <v>17</v>
      </c>
      <c r="Q599" s="2">
        <v>98.411000000000001</v>
      </c>
      <c r="R599" s="2">
        <v>93</v>
      </c>
      <c r="S599" s="2">
        <v>93.8292</v>
      </c>
      <c r="T599" s="2">
        <v>30</v>
      </c>
      <c r="U599" s="2">
        <v>0.90211799999999998</v>
      </c>
      <c r="V599" s="2">
        <v>13</v>
      </c>
      <c r="W599" s="2">
        <v>2011</v>
      </c>
    </row>
    <row r="600" spans="1:23" ht="12.3" x14ac:dyDescent="0.4">
      <c r="A600" s="2" t="s">
        <v>168</v>
      </c>
      <c r="B600" s="2">
        <v>2</v>
      </c>
      <c r="C600" s="3" t="s">
        <v>33</v>
      </c>
      <c r="D600" s="3" t="s">
        <v>33</v>
      </c>
      <c r="E600" s="3" t="s">
        <v>33</v>
      </c>
      <c r="F600" s="2"/>
      <c r="G600" s="2"/>
      <c r="H600" s="2"/>
      <c r="I600" s="2">
        <v>72.261300000000006</v>
      </c>
      <c r="J600" s="2">
        <v>17</v>
      </c>
      <c r="K600" s="2">
        <v>71.319100000000006</v>
      </c>
      <c r="L600" s="2">
        <v>21</v>
      </c>
      <c r="M600" s="2">
        <v>105.4297</v>
      </c>
      <c r="N600" s="2">
        <v>83</v>
      </c>
      <c r="O600" s="2">
        <v>109.1614</v>
      </c>
      <c r="P600" s="2">
        <v>51</v>
      </c>
      <c r="Q600" s="2">
        <v>93.4452</v>
      </c>
      <c r="R600" s="2">
        <v>20</v>
      </c>
      <c r="S600" s="2">
        <v>90.342699999999994</v>
      </c>
      <c r="T600" s="2">
        <v>7</v>
      </c>
      <c r="U600" s="2">
        <v>0.89807400000000004</v>
      </c>
      <c r="V600" s="2">
        <v>14</v>
      </c>
      <c r="W600" s="2">
        <v>2011</v>
      </c>
    </row>
    <row r="601" spans="1:23" ht="12.3" x14ac:dyDescent="0.4">
      <c r="A601" s="2" t="s">
        <v>98</v>
      </c>
      <c r="B601" s="2">
        <v>12</v>
      </c>
      <c r="C601" s="2"/>
      <c r="D601" s="2"/>
      <c r="E601" s="2"/>
      <c r="F601" s="2"/>
      <c r="G601" s="2"/>
      <c r="H601" s="2"/>
      <c r="I601" s="2">
        <v>64.009799999999998</v>
      </c>
      <c r="J601" s="2">
        <v>290</v>
      </c>
      <c r="K601" s="2">
        <v>63.741599999999998</v>
      </c>
      <c r="L601" s="2">
        <v>302</v>
      </c>
      <c r="M601" s="2">
        <v>110.5461</v>
      </c>
      <c r="N601" s="2">
        <v>30</v>
      </c>
      <c r="O601" s="2">
        <v>108.39660000000001</v>
      </c>
      <c r="P601" s="2">
        <v>61</v>
      </c>
      <c r="Q601" s="2">
        <v>89.897400000000005</v>
      </c>
      <c r="R601" s="2">
        <v>4</v>
      </c>
      <c r="S601" s="2">
        <v>89.738299999999995</v>
      </c>
      <c r="T601" s="2">
        <v>4</v>
      </c>
      <c r="U601" s="2">
        <v>0.89773700000000001</v>
      </c>
      <c r="V601" s="2">
        <v>15</v>
      </c>
      <c r="W601" s="2">
        <v>2011</v>
      </c>
    </row>
    <row r="602" spans="1:23" ht="12.3" x14ac:dyDescent="0.4">
      <c r="A602" s="2" t="s">
        <v>23</v>
      </c>
      <c r="B602" s="2">
        <v>3</v>
      </c>
      <c r="C602" s="3" t="s">
        <v>33</v>
      </c>
      <c r="D602" s="2"/>
      <c r="E602" s="2"/>
      <c r="F602" s="2"/>
      <c r="G602" s="2"/>
      <c r="H602" s="2"/>
      <c r="I602" s="2">
        <v>66.376800000000003</v>
      </c>
      <c r="J602" s="2">
        <v>191</v>
      </c>
      <c r="K602" s="2">
        <v>66.644199999999998</v>
      </c>
      <c r="L602" s="2">
        <v>173</v>
      </c>
      <c r="M602" s="2">
        <v>109.9216</v>
      </c>
      <c r="N602" s="2">
        <v>34</v>
      </c>
      <c r="O602" s="2">
        <v>111.56270000000001</v>
      </c>
      <c r="P602" s="2">
        <v>29</v>
      </c>
      <c r="Q602" s="2">
        <v>94.682500000000005</v>
      </c>
      <c r="R602" s="2">
        <v>32</v>
      </c>
      <c r="S602" s="2">
        <v>92.5685</v>
      </c>
      <c r="T602" s="2">
        <v>20</v>
      </c>
      <c r="U602" s="2">
        <v>0.89532599999999996</v>
      </c>
      <c r="V602" s="2">
        <v>16</v>
      </c>
      <c r="W602" s="2">
        <v>2011</v>
      </c>
    </row>
    <row r="603" spans="1:23" ht="12.3" x14ac:dyDescent="0.4">
      <c r="A603" s="2" t="s">
        <v>37</v>
      </c>
      <c r="B603" s="2">
        <v>2</v>
      </c>
      <c r="C603" s="3" t="s">
        <v>33</v>
      </c>
      <c r="D603" s="3" t="s">
        <v>33</v>
      </c>
      <c r="E603" s="3" t="s">
        <v>33</v>
      </c>
      <c r="F603" s="2"/>
      <c r="G603" s="2"/>
      <c r="H603" s="2"/>
      <c r="I603" s="2">
        <v>63.863799999999998</v>
      </c>
      <c r="J603" s="2">
        <v>295</v>
      </c>
      <c r="K603" s="2">
        <v>63.918700000000001</v>
      </c>
      <c r="L603" s="2">
        <v>297</v>
      </c>
      <c r="M603" s="2">
        <v>109.40479999999999</v>
      </c>
      <c r="N603" s="2">
        <v>43</v>
      </c>
      <c r="O603" s="2">
        <v>113.4598</v>
      </c>
      <c r="P603" s="2">
        <v>18</v>
      </c>
      <c r="Q603" s="2">
        <v>96.625799999999998</v>
      </c>
      <c r="R603" s="2">
        <v>60</v>
      </c>
      <c r="S603" s="2">
        <v>95.228899999999996</v>
      </c>
      <c r="T603" s="2">
        <v>45</v>
      </c>
      <c r="U603" s="2">
        <v>0.88229999999999997</v>
      </c>
      <c r="V603" s="2">
        <v>17</v>
      </c>
      <c r="W603" s="2">
        <v>2011</v>
      </c>
    </row>
    <row r="604" spans="1:23" ht="12.3" x14ac:dyDescent="0.4">
      <c r="A604" s="2" t="s">
        <v>34</v>
      </c>
      <c r="B604" s="2">
        <v>6</v>
      </c>
      <c r="C604" s="3" t="s">
        <v>33</v>
      </c>
      <c r="D604" s="2"/>
      <c r="E604" s="2"/>
      <c r="F604" s="2"/>
      <c r="G604" s="2"/>
      <c r="H604" s="2"/>
      <c r="I604" s="2">
        <v>63.942</v>
      </c>
      <c r="J604" s="2">
        <v>291</v>
      </c>
      <c r="K604" s="2">
        <v>64.1785</v>
      </c>
      <c r="L604" s="2">
        <v>286</v>
      </c>
      <c r="M604" s="2">
        <v>107.0048</v>
      </c>
      <c r="N604" s="2">
        <v>62</v>
      </c>
      <c r="O604" s="2">
        <v>108.1173</v>
      </c>
      <c r="P604" s="2">
        <v>64</v>
      </c>
      <c r="Q604" s="2">
        <v>92.523200000000003</v>
      </c>
      <c r="R604" s="2">
        <v>14</v>
      </c>
      <c r="S604" s="2">
        <v>90.919799999999995</v>
      </c>
      <c r="T604" s="2">
        <v>10</v>
      </c>
      <c r="U604" s="2">
        <v>0.87998100000000001</v>
      </c>
      <c r="V604" s="2">
        <v>18</v>
      </c>
      <c r="W604" s="2">
        <v>2011</v>
      </c>
    </row>
    <row r="605" spans="1:23" ht="12.3" x14ac:dyDescent="0.4">
      <c r="A605" s="2" t="s">
        <v>229</v>
      </c>
      <c r="B605" s="2">
        <v>5</v>
      </c>
      <c r="C605" s="3" t="s">
        <v>33</v>
      </c>
      <c r="D605" s="2"/>
      <c r="E605" s="2"/>
      <c r="F605" s="2"/>
      <c r="G605" s="2"/>
      <c r="H605" s="2"/>
      <c r="I605" s="2">
        <v>64.383899999999997</v>
      </c>
      <c r="J605" s="2">
        <v>275</v>
      </c>
      <c r="K605" s="2">
        <v>63.578800000000001</v>
      </c>
      <c r="L605" s="2">
        <v>308</v>
      </c>
      <c r="M605" s="2">
        <v>107.7522</v>
      </c>
      <c r="N605" s="2">
        <v>54</v>
      </c>
      <c r="O605" s="2">
        <v>111.202</v>
      </c>
      <c r="P605" s="2">
        <v>32</v>
      </c>
      <c r="Q605" s="2">
        <v>99.9148</v>
      </c>
      <c r="R605" s="2">
        <v>122</v>
      </c>
      <c r="S605" s="2">
        <v>93.554500000000004</v>
      </c>
      <c r="T605" s="2">
        <v>28</v>
      </c>
      <c r="U605" s="2">
        <v>0.87945200000000001</v>
      </c>
      <c r="V605" s="2">
        <v>19</v>
      </c>
      <c r="W605" s="2">
        <v>2011</v>
      </c>
    </row>
    <row r="606" spans="1:23" ht="12.3" x14ac:dyDescent="0.4">
      <c r="A606" s="2" t="s">
        <v>131</v>
      </c>
      <c r="B606" s="2">
        <v>7</v>
      </c>
      <c r="C606" s="3" t="s">
        <v>33</v>
      </c>
      <c r="D606" s="2"/>
      <c r="E606" s="2"/>
      <c r="F606" s="2"/>
      <c r="G606" s="2"/>
      <c r="H606" s="2"/>
      <c r="I606" s="2">
        <v>72.541399999999996</v>
      </c>
      <c r="J606" s="2">
        <v>13</v>
      </c>
      <c r="K606" s="2">
        <v>71.681100000000001</v>
      </c>
      <c r="L606" s="2">
        <v>16</v>
      </c>
      <c r="M606" s="2">
        <v>113.95610000000001</v>
      </c>
      <c r="N606" s="2">
        <v>11</v>
      </c>
      <c r="O606" s="2">
        <v>113.1615</v>
      </c>
      <c r="P606" s="2">
        <v>21</v>
      </c>
      <c r="Q606" s="2">
        <v>96.537899999999993</v>
      </c>
      <c r="R606" s="2">
        <v>58</v>
      </c>
      <c r="S606" s="2">
        <v>95.297200000000004</v>
      </c>
      <c r="T606" s="2">
        <v>46</v>
      </c>
      <c r="U606" s="2">
        <v>0.87824000000000002</v>
      </c>
      <c r="V606" s="2">
        <v>20</v>
      </c>
      <c r="W606" s="2">
        <v>2011</v>
      </c>
    </row>
    <row r="607" spans="1:23" ht="12.3" x14ac:dyDescent="0.4">
      <c r="A607" s="2" t="s">
        <v>244</v>
      </c>
      <c r="B607" s="2">
        <v>13</v>
      </c>
      <c r="C607" s="2"/>
      <c r="D607" s="2"/>
      <c r="E607" s="2"/>
      <c r="F607" s="2"/>
      <c r="G607" s="2"/>
      <c r="H607" s="2"/>
      <c r="I607" s="2">
        <v>69.637600000000006</v>
      </c>
      <c r="J607" s="2">
        <v>45</v>
      </c>
      <c r="K607" s="2">
        <v>69.110900000000001</v>
      </c>
      <c r="L607" s="2">
        <v>56</v>
      </c>
      <c r="M607" s="2">
        <v>114.8511</v>
      </c>
      <c r="N607" s="2">
        <v>9</v>
      </c>
      <c r="O607" s="2">
        <v>109.9871</v>
      </c>
      <c r="P607" s="2">
        <v>39</v>
      </c>
      <c r="Q607" s="2">
        <v>88.135800000000003</v>
      </c>
      <c r="R607" s="2">
        <v>2</v>
      </c>
      <c r="S607" s="2">
        <v>93.127700000000004</v>
      </c>
      <c r="T607" s="2">
        <v>26</v>
      </c>
      <c r="U607" s="2">
        <v>0.87141100000000005</v>
      </c>
      <c r="V607" s="2">
        <v>21</v>
      </c>
      <c r="W607" s="2">
        <v>2011</v>
      </c>
    </row>
    <row r="608" spans="1:23" ht="12.3" x14ac:dyDescent="0.4">
      <c r="A608" s="2" t="s">
        <v>44</v>
      </c>
      <c r="B608" s="2">
        <v>9</v>
      </c>
      <c r="C608" s="3" t="s">
        <v>33</v>
      </c>
      <c r="D608" s="2"/>
      <c r="E608" s="2"/>
      <c r="F608" s="2"/>
      <c r="G608" s="2"/>
      <c r="H608" s="2"/>
      <c r="I608" s="2">
        <v>66.438000000000002</v>
      </c>
      <c r="J608" s="2">
        <v>185</v>
      </c>
      <c r="K608" s="2">
        <v>66.700199999999995</v>
      </c>
      <c r="L608" s="2">
        <v>168</v>
      </c>
      <c r="M608" s="2">
        <v>106.7756</v>
      </c>
      <c r="N608" s="2">
        <v>65</v>
      </c>
      <c r="O608" s="2">
        <v>109.6508</v>
      </c>
      <c r="P608" s="2">
        <v>46</v>
      </c>
      <c r="Q608" s="2">
        <v>98.081699999999998</v>
      </c>
      <c r="R608" s="2">
        <v>85</v>
      </c>
      <c r="S608" s="2">
        <v>93.108000000000004</v>
      </c>
      <c r="T608" s="2">
        <v>25</v>
      </c>
      <c r="U608" s="2">
        <v>0.86769300000000005</v>
      </c>
      <c r="V608" s="2">
        <v>22</v>
      </c>
      <c r="W608" s="2">
        <v>2011</v>
      </c>
    </row>
    <row r="609" spans="1:23" ht="12.3" x14ac:dyDescent="0.4">
      <c r="A609" s="2" t="s">
        <v>24</v>
      </c>
      <c r="B609" s="2">
        <v>12</v>
      </c>
      <c r="C609" s="2"/>
      <c r="D609" s="2"/>
      <c r="E609" s="2"/>
      <c r="F609" s="2"/>
      <c r="G609" s="2"/>
      <c r="H609" s="2"/>
      <c r="I609" s="2">
        <v>65.401499999999999</v>
      </c>
      <c r="J609" s="2">
        <v>243</v>
      </c>
      <c r="K609" s="2">
        <v>65.012200000000007</v>
      </c>
      <c r="L609" s="2">
        <v>252</v>
      </c>
      <c r="M609" s="2">
        <v>103.777</v>
      </c>
      <c r="N609" s="2">
        <v>119</v>
      </c>
      <c r="O609" s="2">
        <v>106.7393</v>
      </c>
      <c r="P609" s="2">
        <v>80</v>
      </c>
      <c r="Q609" s="2">
        <v>92.321899999999999</v>
      </c>
      <c r="R609" s="2">
        <v>12</v>
      </c>
      <c r="S609" s="2">
        <v>90.658500000000004</v>
      </c>
      <c r="T609" s="2">
        <v>9</v>
      </c>
      <c r="U609" s="2">
        <v>0.86736199999999997</v>
      </c>
      <c r="V609" s="2">
        <v>23</v>
      </c>
      <c r="W609" s="2">
        <v>2011</v>
      </c>
    </row>
    <row r="610" spans="1:23" ht="12.3" x14ac:dyDescent="0.4">
      <c r="A610" s="2" t="s">
        <v>109</v>
      </c>
      <c r="B610" s="2">
        <v>8</v>
      </c>
      <c r="C610" s="2"/>
      <c r="D610" s="2"/>
      <c r="E610" s="2"/>
      <c r="F610" s="2"/>
      <c r="G610" s="2"/>
      <c r="H610" s="2"/>
      <c r="I610" s="2">
        <v>67.441500000000005</v>
      </c>
      <c r="J610" s="2">
        <v>142</v>
      </c>
      <c r="K610" s="2">
        <v>67.983099999999993</v>
      </c>
      <c r="L610" s="2">
        <v>101</v>
      </c>
      <c r="M610" s="2">
        <v>106.342</v>
      </c>
      <c r="N610" s="2">
        <v>73</v>
      </c>
      <c r="O610" s="2">
        <v>108.5438</v>
      </c>
      <c r="P610" s="2">
        <v>57</v>
      </c>
      <c r="Q610" s="2">
        <v>92.514300000000006</v>
      </c>
      <c r="R610" s="2">
        <v>13</v>
      </c>
      <c r="S610" s="2">
        <v>92.341899999999995</v>
      </c>
      <c r="T610" s="2">
        <v>18</v>
      </c>
      <c r="U610" s="2">
        <v>0.86518499999999998</v>
      </c>
      <c r="V610" s="2">
        <v>24</v>
      </c>
      <c r="W610" s="2">
        <v>2011</v>
      </c>
    </row>
    <row r="611" spans="1:23" ht="12.3" x14ac:dyDescent="0.4">
      <c r="A611" s="2" t="s">
        <v>147</v>
      </c>
      <c r="B611" s="2">
        <v>8</v>
      </c>
      <c r="C611" s="3" t="s">
        <v>33</v>
      </c>
      <c r="D611" s="2"/>
      <c r="E611" s="2"/>
      <c r="F611" s="2"/>
      <c r="G611" s="2"/>
      <c r="H611" s="2"/>
      <c r="I611" s="2">
        <v>64.391400000000004</v>
      </c>
      <c r="J611" s="2">
        <v>274</v>
      </c>
      <c r="K611" s="2">
        <v>65.8399</v>
      </c>
      <c r="L611" s="2">
        <v>220</v>
      </c>
      <c r="M611" s="2">
        <v>112.85169999999999</v>
      </c>
      <c r="N611" s="2">
        <v>14</v>
      </c>
      <c r="O611" s="2">
        <v>112.50539999999999</v>
      </c>
      <c r="P611" s="2">
        <v>23</v>
      </c>
      <c r="Q611" s="2">
        <v>94.522800000000004</v>
      </c>
      <c r="R611" s="2">
        <v>30</v>
      </c>
      <c r="S611" s="2">
        <v>95.719200000000001</v>
      </c>
      <c r="T611" s="2">
        <v>53</v>
      </c>
      <c r="U611" s="2">
        <v>0.86508700000000005</v>
      </c>
      <c r="V611" s="2">
        <v>25</v>
      </c>
      <c r="W611" s="2">
        <v>2011</v>
      </c>
    </row>
    <row r="612" spans="1:23" ht="12.3" x14ac:dyDescent="0.4">
      <c r="A612" s="2" t="s">
        <v>148</v>
      </c>
      <c r="B612" s="2">
        <v>5</v>
      </c>
      <c r="C612" s="3" t="s">
        <v>33</v>
      </c>
      <c r="D612" s="2"/>
      <c r="E612" s="2"/>
      <c r="F612" s="2"/>
      <c r="G612" s="2"/>
      <c r="H612" s="2"/>
      <c r="I612" s="2">
        <v>69.251999999999995</v>
      </c>
      <c r="J612" s="2">
        <v>59</v>
      </c>
      <c r="K612" s="2">
        <v>68.035300000000007</v>
      </c>
      <c r="L612" s="2">
        <v>97</v>
      </c>
      <c r="M612" s="2">
        <v>104.78919999999999</v>
      </c>
      <c r="N612" s="2">
        <v>98</v>
      </c>
      <c r="O612" s="2">
        <v>107.584</v>
      </c>
      <c r="P612" s="2">
        <v>70</v>
      </c>
      <c r="Q612" s="2">
        <v>95.742699999999999</v>
      </c>
      <c r="R612" s="2">
        <v>45</v>
      </c>
      <c r="S612" s="2">
        <v>92.074299999999994</v>
      </c>
      <c r="T612" s="2">
        <v>16</v>
      </c>
      <c r="U612" s="2">
        <v>0.85696099999999997</v>
      </c>
      <c r="V612" s="2">
        <v>26</v>
      </c>
      <c r="W612" s="2">
        <v>2011</v>
      </c>
    </row>
    <row r="613" spans="1:23" ht="12.3" x14ac:dyDescent="0.4">
      <c r="A613" s="2" t="s">
        <v>62</v>
      </c>
      <c r="B613" s="2">
        <v>6</v>
      </c>
      <c r="C613" s="2"/>
      <c r="D613" s="2"/>
      <c r="E613" s="2"/>
      <c r="F613" s="2"/>
      <c r="G613" s="2"/>
      <c r="H613" s="2"/>
      <c r="I613" s="2">
        <v>65.104100000000003</v>
      </c>
      <c r="J613" s="2">
        <v>249</v>
      </c>
      <c r="K613" s="2">
        <v>64.876599999999996</v>
      </c>
      <c r="L613" s="2">
        <v>255</v>
      </c>
      <c r="M613" s="2">
        <v>107.95269999999999</v>
      </c>
      <c r="N613" s="2">
        <v>52</v>
      </c>
      <c r="O613" s="2">
        <v>111.50409999999999</v>
      </c>
      <c r="P613" s="2">
        <v>31</v>
      </c>
      <c r="Q613" s="2">
        <v>101.0925</v>
      </c>
      <c r="R613" s="2">
        <v>160</v>
      </c>
      <c r="S613" s="2">
        <v>95.549899999999994</v>
      </c>
      <c r="T613" s="2">
        <v>49</v>
      </c>
      <c r="U613" s="2">
        <v>0.85516999999999999</v>
      </c>
      <c r="V613" s="2">
        <v>27</v>
      </c>
      <c r="W613" s="2">
        <v>2011</v>
      </c>
    </row>
    <row r="614" spans="1:23" ht="12.3" x14ac:dyDescent="0.4">
      <c r="A614" s="2" t="s">
        <v>88</v>
      </c>
      <c r="B614" s="2">
        <v>7</v>
      </c>
      <c r="C614" s="3" t="s">
        <v>33</v>
      </c>
      <c r="D614" s="2"/>
      <c r="E614" s="2"/>
      <c r="F614" s="2"/>
      <c r="G614" s="2"/>
      <c r="H614" s="2"/>
      <c r="I614" s="2">
        <v>66.045699999999997</v>
      </c>
      <c r="J614" s="2">
        <v>205</v>
      </c>
      <c r="K614" s="2">
        <v>65.311800000000005</v>
      </c>
      <c r="L614" s="2">
        <v>243</v>
      </c>
      <c r="M614" s="2">
        <v>107.21040000000001</v>
      </c>
      <c r="N614" s="2">
        <v>58</v>
      </c>
      <c r="O614" s="2">
        <v>108.4174</v>
      </c>
      <c r="P614" s="2">
        <v>60</v>
      </c>
      <c r="Q614" s="2">
        <v>93.617999999999995</v>
      </c>
      <c r="R614" s="2">
        <v>24</v>
      </c>
      <c r="S614" s="2">
        <v>93.088999999999999</v>
      </c>
      <c r="T614" s="2">
        <v>23</v>
      </c>
      <c r="U614" s="2">
        <v>0.85232799999999997</v>
      </c>
      <c r="V614" s="2">
        <v>28</v>
      </c>
      <c r="W614" s="2">
        <v>2011</v>
      </c>
    </row>
    <row r="615" spans="1:23" ht="12.3" x14ac:dyDescent="0.4">
      <c r="A615" s="2" t="s">
        <v>39</v>
      </c>
      <c r="B615" s="2">
        <v>11</v>
      </c>
      <c r="C615" s="3" t="s">
        <v>33</v>
      </c>
      <c r="D615" s="3" t="s">
        <v>33</v>
      </c>
      <c r="E615" s="2"/>
      <c r="F615" s="2"/>
      <c r="G615" s="2"/>
      <c r="H615" s="2"/>
      <c r="I615" s="2">
        <v>68.589799999999997</v>
      </c>
      <c r="J615" s="2">
        <v>83</v>
      </c>
      <c r="K615" s="2">
        <v>67.697999999999993</v>
      </c>
      <c r="L615" s="2">
        <v>114</v>
      </c>
      <c r="M615" s="2">
        <v>110.6293</v>
      </c>
      <c r="N615" s="2">
        <v>27</v>
      </c>
      <c r="O615" s="2">
        <v>113.99460000000001</v>
      </c>
      <c r="P615" s="2">
        <v>16</v>
      </c>
      <c r="Q615" s="2">
        <v>101.23779999999999</v>
      </c>
      <c r="R615" s="2">
        <v>166</v>
      </c>
      <c r="S615" s="2">
        <v>97.985799999999998</v>
      </c>
      <c r="T615" s="2">
        <v>86</v>
      </c>
      <c r="U615" s="2">
        <v>0.85072099999999995</v>
      </c>
      <c r="V615" s="2">
        <v>29</v>
      </c>
      <c r="W615" s="2">
        <v>2011</v>
      </c>
    </row>
    <row r="616" spans="1:23" ht="12.3" x14ac:dyDescent="0.4">
      <c r="A616" s="2" t="s">
        <v>43</v>
      </c>
      <c r="B616" s="2">
        <v>5</v>
      </c>
      <c r="C616" s="3" t="s">
        <v>33</v>
      </c>
      <c r="D616" s="3" t="s">
        <v>33</v>
      </c>
      <c r="E616" s="3" t="s">
        <v>33</v>
      </c>
      <c r="F616" s="2"/>
      <c r="G616" s="2"/>
      <c r="H616" s="2"/>
      <c r="I616" s="2">
        <v>67.051299999999998</v>
      </c>
      <c r="J616" s="2">
        <v>169</v>
      </c>
      <c r="K616" s="2">
        <v>66.236900000000006</v>
      </c>
      <c r="L616" s="2">
        <v>194</v>
      </c>
      <c r="M616" s="2">
        <v>112.6932</v>
      </c>
      <c r="N616" s="2">
        <v>16</v>
      </c>
      <c r="O616" s="2">
        <v>114.0809</v>
      </c>
      <c r="P616" s="2">
        <v>15</v>
      </c>
      <c r="Q616" s="2">
        <v>98.897099999999995</v>
      </c>
      <c r="R616" s="2">
        <v>102</v>
      </c>
      <c r="S616" s="2">
        <v>98.095399999999998</v>
      </c>
      <c r="T616" s="2">
        <v>89</v>
      </c>
      <c r="U616" s="2">
        <v>0.85019500000000003</v>
      </c>
      <c r="V616" s="2">
        <v>30</v>
      </c>
      <c r="W616" s="2">
        <v>2011</v>
      </c>
    </row>
    <row r="617" spans="1:23" ht="12.3" x14ac:dyDescent="0.4">
      <c r="A617" s="2" t="s">
        <v>102</v>
      </c>
      <c r="B617" s="2">
        <v>6</v>
      </c>
      <c r="C617" s="2"/>
      <c r="D617" s="2"/>
      <c r="E617" s="2"/>
      <c r="F617" s="2"/>
      <c r="G617" s="2"/>
      <c r="H617" s="2"/>
      <c r="I617" s="2">
        <v>66.396699999999996</v>
      </c>
      <c r="J617" s="2">
        <v>190</v>
      </c>
      <c r="K617" s="2">
        <v>67.192700000000002</v>
      </c>
      <c r="L617" s="2">
        <v>143</v>
      </c>
      <c r="M617" s="2">
        <v>105.087</v>
      </c>
      <c r="N617" s="2">
        <v>92</v>
      </c>
      <c r="O617" s="2">
        <v>109.46299999999999</v>
      </c>
      <c r="P617" s="2">
        <v>48</v>
      </c>
      <c r="Q617" s="2">
        <v>99.456900000000005</v>
      </c>
      <c r="R617" s="2">
        <v>110</v>
      </c>
      <c r="S617" s="2">
        <v>94.1892</v>
      </c>
      <c r="T617" s="2">
        <v>35</v>
      </c>
      <c r="U617" s="2">
        <v>0.84918499999999997</v>
      </c>
      <c r="V617" s="2">
        <v>31</v>
      </c>
      <c r="W617" s="2">
        <v>2011</v>
      </c>
    </row>
    <row r="618" spans="1:23" ht="12.3" x14ac:dyDescent="0.4">
      <c r="A618" s="2" t="s">
        <v>50</v>
      </c>
      <c r="B618" s="2">
        <v>6</v>
      </c>
      <c r="C618" s="2"/>
      <c r="D618" s="2"/>
      <c r="E618" s="2"/>
      <c r="F618" s="2"/>
      <c r="G618" s="2"/>
      <c r="H618" s="2"/>
      <c r="I618" s="2">
        <v>65.404899999999998</v>
      </c>
      <c r="J618" s="2">
        <v>242</v>
      </c>
      <c r="K618" s="2">
        <v>66.111800000000002</v>
      </c>
      <c r="L618" s="2">
        <v>204</v>
      </c>
      <c r="M618" s="2">
        <v>109.2818</v>
      </c>
      <c r="N618" s="2">
        <v>44</v>
      </c>
      <c r="O618" s="2">
        <v>111.5789</v>
      </c>
      <c r="P618" s="2">
        <v>28</v>
      </c>
      <c r="Q618" s="2">
        <v>97.208500000000001</v>
      </c>
      <c r="R618" s="2">
        <v>72</v>
      </c>
      <c r="S618" s="2">
        <v>96.127099999999999</v>
      </c>
      <c r="T618" s="2">
        <v>56</v>
      </c>
      <c r="U618" s="2">
        <v>0.84738000000000002</v>
      </c>
      <c r="V618" s="2">
        <v>32</v>
      </c>
      <c r="W618" s="2">
        <v>2011</v>
      </c>
    </row>
    <row r="619" spans="1:23" ht="12.3" x14ac:dyDescent="0.4">
      <c r="A619" s="2" t="s">
        <v>78</v>
      </c>
      <c r="B619" s="2">
        <v>9</v>
      </c>
      <c r="C619" s="2"/>
      <c r="D619" s="2"/>
      <c r="E619" s="2"/>
      <c r="F619" s="2"/>
      <c r="G619" s="2"/>
      <c r="H619" s="2"/>
      <c r="I619" s="2">
        <v>66.211200000000005</v>
      </c>
      <c r="J619" s="2">
        <v>199</v>
      </c>
      <c r="K619" s="2">
        <v>66.236199999999997</v>
      </c>
      <c r="L619" s="2">
        <v>195</v>
      </c>
      <c r="M619" s="2">
        <v>109.5659</v>
      </c>
      <c r="N619" s="2">
        <v>40</v>
      </c>
      <c r="O619" s="2">
        <v>113.3295</v>
      </c>
      <c r="P619" s="2">
        <v>20</v>
      </c>
      <c r="Q619" s="2">
        <v>98.962199999999996</v>
      </c>
      <c r="R619" s="2">
        <v>106</v>
      </c>
      <c r="S619" s="2">
        <v>97.819299999999998</v>
      </c>
      <c r="T619" s="2">
        <v>81</v>
      </c>
      <c r="U619" s="2">
        <v>0.84455800000000003</v>
      </c>
      <c r="V619" s="2">
        <v>33</v>
      </c>
      <c r="W619" s="2">
        <v>2011</v>
      </c>
    </row>
    <row r="620" spans="1:23" ht="12.3" x14ac:dyDescent="0.4">
      <c r="A620" s="2" t="s">
        <v>47</v>
      </c>
      <c r="B620" s="2">
        <v>11</v>
      </c>
      <c r="C620" s="3" t="s">
        <v>33</v>
      </c>
      <c r="D620" s="2"/>
      <c r="E620" s="2"/>
      <c r="F620" s="2"/>
      <c r="G620" s="2"/>
      <c r="H620" s="2"/>
      <c r="I620" s="2">
        <v>68.028599999999997</v>
      </c>
      <c r="J620" s="2">
        <v>111</v>
      </c>
      <c r="K620" s="2">
        <v>67.670100000000005</v>
      </c>
      <c r="L620" s="2">
        <v>116</v>
      </c>
      <c r="M620" s="2">
        <v>110.5722</v>
      </c>
      <c r="N620" s="2">
        <v>29</v>
      </c>
      <c r="O620" s="2">
        <v>109.1328</v>
      </c>
      <c r="P620" s="2">
        <v>52</v>
      </c>
      <c r="Q620" s="2">
        <v>95.232200000000006</v>
      </c>
      <c r="R620" s="2">
        <v>39</v>
      </c>
      <c r="S620" s="2">
        <v>94.938999999999993</v>
      </c>
      <c r="T620" s="2">
        <v>41</v>
      </c>
      <c r="U620" s="2">
        <v>0.83233900000000005</v>
      </c>
      <c r="V620" s="2">
        <v>34</v>
      </c>
      <c r="W620" s="2">
        <v>2011</v>
      </c>
    </row>
    <row r="621" spans="1:23" ht="12.3" x14ac:dyDescent="0.4">
      <c r="A621" s="2" t="s">
        <v>100</v>
      </c>
      <c r="B621" s="2">
        <v>12</v>
      </c>
      <c r="C621" s="3" t="s">
        <v>33</v>
      </c>
      <c r="D621" s="3" t="s">
        <v>33</v>
      </c>
      <c r="E621" s="2"/>
      <c r="F621" s="2"/>
      <c r="G621" s="2"/>
      <c r="H621" s="2"/>
      <c r="I621" s="2">
        <v>63.9236</v>
      </c>
      <c r="J621" s="2">
        <v>292</v>
      </c>
      <c r="K621" s="2">
        <v>63.799900000000001</v>
      </c>
      <c r="L621" s="2">
        <v>300</v>
      </c>
      <c r="M621" s="2">
        <v>109.1121</v>
      </c>
      <c r="N621" s="2">
        <v>46</v>
      </c>
      <c r="O621" s="2">
        <v>109.8189</v>
      </c>
      <c r="P621" s="2">
        <v>44</v>
      </c>
      <c r="Q621" s="2">
        <v>94.848200000000006</v>
      </c>
      <c r="R621" s="2">
        <v>34</v>
      </c>
      <c r="S621" s="2">
        <v>95.578800000000001</v>
      </c>
      <c r="T621" s="2">
        <v>50</v>
      </c>
      <c r="U621" s="2">
        <v>0.83161799999999997</v>
      </c>
      <c r="V621" s="2">
        <v>35</v>
      </c>
      <c r="W621" s="2">
        <v>2011</v>
      </c>
    </row>
    <row r="622" spans="1:23" ht="12.3" x14ac:dyDescent="0.4">
      <c r="A622" s="2" t="s">
        <v>73</v>
      </c>
      <c r="B622" s="2">
        <v>11</v>
      </c>
      <c r="C622" s="2"/>
      <c r="D622" s="2"/>
      <c r="E622" s="2"/>
      <c r="F622" s="2"/>
      <c r="G622" s="2"/>
      <c r="H622" s="2"/>
      <c r="I622" s="2">
        <v>72.605800000000002</v>
      </c>
      <c r="J622" s="2">
        <v>12</v>
      </c>
      <c r="K622" s="2">
        <v>72.144599999999997</v>
      </c>
      <c r="L622" s="2">
        <v>13</v>
      </c>
      <c r="M622" s="2">
        <v>109.8463</v>
      </c>
      <c r="N622" s="2">
        <v>35</v>
      </c>
      <c r="O622" s="2">
        <v>111.55840000000001</v>
      </c>
      <c r="P622" s="2">
        <v>30</v>
      </c>
      <c r="Q622" s="2">
        <v>98.125699999999995</v>
      </c>
      <c r="R622" s="2">
        <v>86</v>
      </c>
      <c r="S622" s="2">
        <v>97.093699999999998</v>
      </c>
      <c r="T622" s="2">
        <v>67</v>
      </c>
      <c r="U622" s="2">
        <v>0.83160299999999998</v>
      </c>
      <c r="V622" s="2">
        <v>36</v>
      </c>
      <c r="W622" s="2">
        <v>2011</v>
      </c>
    </row>
    <row r="623" spans="1:23" ht="12.3" x14ac:dyDescent="0.4">
      <c r="A623" s="2" t="s">
        <v>111</v>
      </c>
      <c r="B623" s="2">
        <v>5</v>
      </c>
      <c r="C623" s="2"/>
      <c r="D623" s="2"/>
      <c r="E623" s="2"/>
      <c r="F623" s="2"/>
      <c r="G623" s="2"/>
      <c r="H623" s="2"/>
      <c r="I623" s="2">
        <v>68.009799999999998</v>
      </c>
      <c r="J623" s="2">
        <v>112</v>
      </c>
      <c r="K623" s="2">
        <v>67.729299999999995</v>
      </c>
      <c r="L623" s="2">
        <v>110</v>
      </c>
      <c r="M623" s="2">
        <v>111.0209</v>
      </c>
      <c r="N623" s="2">
        <v>24</v>
      </c>
      <c r="O623" s="2">
        <v>114.09350000000001</v>
      </c>
      <c r="P623" s="2">
        <v>14</v>
      </c>
      <c r="Q623" s="2">
        <v>98.703599999999994</v>
      </c>
      <c r="R623" s="2">
        <v>99</v>
      </c>
      <c r="S623" s="2">
        <v>99.4773</v>
      </c>
      <c r="T623" s="2">
        <v>114</v>
      </c>
      <c r="U623" s="2">
        <v>0.828712</v>
      </c>
      <c r="V623" s="2">
        <v>37</v>
      </c>
      <c r="W623" s="2">
        <v>2011</v>
      </c>
    </row>
    <row r="624" spans="1:23" ht="12.3" x14ac:dyDescent="0.4">
      <c r="A624" s="2" t="s">
        <v>190</v>
      </c>
      <c r="B624" s="2">
        <v>9</v>
      </c>
      <c r="C624" s="2"/>
      <c r="D624" s="2"/>
      <c r="E624" s="2"/>
      <c r="F624" s="2"/>
      <c r="G624" s="2"/>
      <c r="H624" s="2"/>
      <c r="I624" s="2">
        <v>60.9557</v>
      </c>
      <c r="J624" s="2">
        <v>340</v>
      </c>
      <c r="K624" s="2">
        <v>61.403500000000001</v>
      </c>
      <c r="L624" s="2">
        <v>332</v>
      </c>
      <c r="M624" s="2">
        <v>108.0705</v>
      </c>
      <c r="N624" s="2">
        <v>50</v>
      </c>
      <c r="O624" s="2">
        <v>108.35720000000001</v>
      </c>
      <c r="P624" s="2">
        <v>62</v>
      </c>
      <c r="Q624" s="2">
        <v>95.345200000000006</v>
      </c>
      <c r="R624" s="2">
        <v>40</v>
      </c>
      <c r="S624" s="2">
        <v>94.734800000000007</v>
      </c>
      <c r="T624" s="2">
        <v>39</v>
      </c>
      <c r="U624" s="2">
        <v>0.82419799999999999</v>
      </c>
      <c r="V624" s="2">
        <v>39</v>
      </c>
      <c r="W624" s="2">
        <v>2011</v>
      </c>
    </row>
    <row r="625" spans="1:23" ht="12.3" x14ac:dyDescent="0.4">
      <c r="A625" s="2" t="s">
        <v>248</v>
      </c>
      <c r="B625" s="2">
        <v>7</v>
      </c>
      <c r="C625" s="2"/>
      <c r="D625" s="2"/>
      <c r="E625" s="2"/>
      <c r="F625" s="2"/>
      <c r="G625" s="2"/>
      <c r="H625" s="2"/>
      <c r="I625" s="2">
        <v>63.3643</v>
      </c>
      <c r="J625" s="2">
        <v>306</v>
      </c>
      <c r="K625" s="2">
        <v>62.4497</v>
      </c>
      <c r="L625" s="2">
        <v>325</v>
      </c>
      <c r="M625" s="2">
        <v>106.31570000000001</v>
      </c>
      <c r="N625" s="2">
        <v>74</v>
      </c>
      <c r="O625" s="2">
        <v>107.6803</v>
      </c>
      <c r="P625" s="2">
        <v>66</v>
      </c>
      <c r="Q625" s="2">
        <v>96.104900000000001</v>
      </c>
      <c r="R625" s="2">
        <v>50</v>
      </c>
      <c r="S625" s="2">
        <v>94.159300000000002</v>
      </c>
      <c r="T625" s="2">
        <v>34</v>
      </c>
      <c r="U625" s="2">
        <v>0.823909</v>
      </c>
      <c r="V625" s="2">
        <v>40</v>
      </c>
      <c r="W625" s="2">
        <v>2011</v>
      </c>
    </row>
    <row r="626" spans="1:23" ht="12.3" x14ac:dyDescent="0.4">
      <c r="A626" s="2" t="s">
        <v>20</v>
      </c>
      <c r="B626" s="2">
        <v>10</v>
      </c>
      <c r="C626" s="3" t="s">
        <v>33</v>
      </c>
      <c r="D626" s="3" t="s">
        <v>33</v>
      </c>
      <c r="E626" s="2"/>
      <c r="F626" s="2"/>
      <c r="G626" s="2"/>
      <c r="H626" s="2"/>
      <c r="I626" s="2">
        <v>69.8065</v>
      </c>
      <c r="J626" s="2">
        <v>43</v>
      </c>
      <c r="K626" s="2">
        <v>69.047399999999996</v>
      </c>
      <c r="L626" s="2">
        <v>57</v>
      </c>
      <c r="M626" s="2">
        <v>98.826800000000006</v>
      </c>
      <c r="N626" s="2">
        <v>229</v>
      </c>
      <c r="O626" s="2">
        <v>100.986</v>
      </c>
      <c r="P626" s="2">
        <v>183</v>
      </c>
      <c r="Q626" s="2">
        <v>89.5274</v>
      </c>
      <c r="R626" s="2">
        <v>3</v>
      </c>
      <c r="S626" s="2">
        <v>88.593199999999996</v>
      </c>
      <c r="T626" s="2">
        <v>2</v>
      </c>
      <c r="U626" s="2">
        <v>0.81841600000000003</v>
      </c>
      <c r="V626" s="2">
        <v>42</v>
      </c>
      <c r="W626" s="2">
        <v>2011</v>
      </c>
    </row>
    <row r="627" spans="1:23" ht="12.3" x14ac:dyDescent="0.4">
      <c r="A627" s="2" t="s">
        <v>154</v>
      </c>
      <c r="B627" s="2">
        <v>8</v>
      </c>
      <c r="C627" s="3" t="s">
        <v>33</v>
      </c>
      <c r="D627" s="2"/>
      <c r="E627" s="2"/>
      <c r="F627" s="2"/>
      <c r="G627" s="2"/>
      <c r="H627" s="2"/>
      <c r="I627" s="2">
        <v>61.804299999999998</v>
      </c>
      <c r="J627" s="2">
        <v>332</v>
      </c>
      <c r="K627" s="2">
        <v>62.807299999999998</v>
      </c>
      <c r="L627" s="2">
        <v>323</v>
      </c>
      <c r="M627" s="2">
        <v>105.3073</v>
      </c>
      <c r="N627" s="2">
        <v>88</v>
      </c>
      <c r="O627" s="2">
        <v>109.05589999999999</v>
      </c>
      <c r="P627" s="2">
        <v>55</v>
      </c>
      <c r="Q627" s="2">
        <v>100.8622</v>
      </c>
      <c r="R627" s="2">
        <v>153</v>
      </c>
      <c r="S627" s="2">
        <v>95.739900000000006</v>
      </c>
      <c r="T627" s="2">
        <v>54</v>
      </c>
      <c r="U627" s="2">
        <v>0.81721600000000005</v>
      </c>
      <c r="V627" s="2">
        <v>43</v>
      </c>
      <c r="W627" s="2">
        <v>2011</v>
      </c>
    </row>
    <row r="628" spans="1:23" ht="12.3" x14ac:dyDescent="0.4">
      <c r="A628" s="2" t="s">
        <v>230</v>
      </c>
      <c r="B628" s="2">
        <v>10</v>
      </c>
      <c r="C628" s="2"/>
      <c r="D628" s="2"/>
      <c r="E628" s="2"/>
      <c r="F628" s="2"/>
      <c r="G628" s="2"/>
      <c r="H628" s="2"/>
      <c r="I628" s="2">
        <v>59.965200000000003</v>
      </c>
      <c r="J628" s="2">
        <v>342</v>
      </c>
      <c r="K628" s="2">
        <v>60.504199999999997</v>
      </c>
      <c r="L628" s="2">
        <v>341</v>
      </c>
      <c r="M628" s="2">
        <v>105.4044</v>
      </c>
      <c r="N628" s="2">
        <v>84</v>
      </c>
      <c r="O628" s="2">
        <v>109.8158</v>
      </c>
      <c r="P628" s="2">
        <v>45</v>
      </c>
      <c r="Q628" s="2">
        <v>104.1575</v>
      </c>
      <c r="R628" s="2">
        <v>241</v>
      </c>
      <c r="S628" s="2">
        <v>96.790599999999998</v>
      </c>
      <c r="T628" s="2">
        <v>64</v>
      </c>
      <c r="U628" s="2">
        <v>0.81029600000000002</v>
      </c>
      <c r="V628" s="2">
        <v>44</v>
      </c>
      <c r="W628" s="2">
        <v>2011</v>
      </c>
    </row>
    <row r="629" spans="1:23" ht="12.3" x14ac:dyDescent="0.4">
      <c r="A629" s="2" t="s">
        <v>18</v>
      </c>
      <c r="B629" s="2">
        <v>8</v>
      </c>
      <c r="C629" s="3" t="s">
        <v>33</v>
      </c>
      <c r="D629" s="3" t="s">
        <v>33</v>
      </c>
      <c r="E629" s="3" t="s">
        <v>33</v>
      </c>
      <c r="F629" s="3" t="s">
        <v>33</v>
      </c>
      <c r="G629" s="3" t="s">
        <v>33</v>
      </c>
      <c r="H629" s="2"/>
      <c r="I629" s="2">
        <v>65.457700000000003</v>
      </c>
      <c r="J629" s="2">
        <v>236</v>
      </c>
      <c r="K629" s="2">
        <v>64.418700000000001</v>
      </c>
      <c r="L629" s="2">
        <v>276</v>
      </c>
      <c r="M629" s="2">
        <v>109.5098</v>
      </c>
      <c r="N629" s="2">
        <v>41</v>
      </c>
      <c r="O629" s="2">
        <v>110.4816</v>
      </c>
      <c r="P629" s="2">
        <v>37</v>
      </c>
      <c r="Q629" s="2">
        <v>98.036799999999999</v>
      </c>
      <c r="R629" s="2">
        <v>84</v>
      </c>
      <c r="S629" s="2">
        <v>97.494900000000001</v>
      </c>
      <c r="T629" s="2">
        <v>77</v>
      </c>
      <c r="U629" s="2">
        <v>0.80815400000000004</v>
      </c>
      <c r="V629" s="2">
        <v>45</v>
      </c>
      <c r="W629" s="2">
        <v>2011</v>
      </c>
    </row>
    <row r="630" spans="1:23" ht="12.3" x14ac:dyDescent="0.4">
      <c r="A630" s="2" t="s">
        <v>58</v>
      </c>
      <c r="B630" s="2">
        <v>10</v>
      </c>
      <c r="C630" s="2"/>
      <c r="D630" s="2"/>
      <c r="E630" s="2"/>
      <c r="F630" s="2"/>
      <c r="G630" s="2"/>
      <c r="H630" s="2"/>
      <c r="I630" s="2">
        <v>65.704800000000006</v>
      </c>
      <c r="J630" s="2">
        <v>226</v>
      </c>
      <c r="K630" s="2">
        <v>65.833399999999997</v>
      </c>
      <c r="L630" s="2">
        <v>221</v>
      </c>
      <c r="M630" s="2">
        <v>102.3626</v>
      </c>
      <c r="N630" s="2">
        <v>154</v>
      </c>
      <c r="O630" s="2">
        <v>106.45869999999999</v>
      </c>
      <c r="P630" s="2">
        <v>84</v>
      </c>
      <c r="Q630" s="2">
        <v>100.0946</v>
      </c>
      <c r="R630" s="2">
        <v>131</v>
      </c>
      <c r="S630" s="2">
        <v>94.0441</v>
      </c>
      <c r="T630" s="2">
        <v>32</v>
      </c>
      <c r="U630" s="2">
        <v>0.80626600000000004</v>
      </c>
      <c r="V630" s="2">
        <v>46</v>
      </c>
      <c r="W630" s="2">
        <v>2011</v>
      </c>
    </row>
    <row r="631" spans="1:23" ht="12.3" x14ac:dyDescent="0.4">
      <c r="A631" s="2" t="s">
        <v>42</v>
      </c>
      <c r="B631" s="2">
        <v>11</v>
      </c>
      <c r="C631" s="2"/>
      <c r="D631" s="2"/>
      <c r="E631" s="2"/>
      <c r="F631" s="2"/>
      <c r="G631" s="2"/>
      <c r="H631" s="2"/>
      <c r="I631" s="2">
        <v>64.581400000000002</v>
      </c>
      <c r="J631" s="2">
        <v>266</v>
      </c>
      <c r="K631" s="2">
        <v>63.322200000000002</v>
      </c>
      <c r="L631" s="2">
        <v>313</v>
      </c>
      <c r="M631" s="2">
        <v>103.0684</v>
      </c>
      <c r="N631" s="2">
        <v>133</v>
      </c>
      <c r="O631" s="2">
        <v>106.3344</v>
      </c>
      <c r="P631" s="2">
        <v>87</v>
      </c>
      <c r="Q631" s="2">
        <v>97.023200000000003</v>
      </c>
      <c r="R631" s="2">
        <v>67</v>
      </c>
      <c r="S631" s="2">
        <v>94.121099999999998</v>
      </c>
      <c r="T631" s="2">
        <v>33</v>
      </c>
      <c r="U631" s="2">
        <v>0.80267200000000005</v>
      </c>
      <c r="V631" s="2">
        <v>48</v>
      </c>
      <c r="W631" s="2">
        <v>2011</v>
      </c>
    </row>
    <row r="632" spans="1:23" ht="12.3" x14ac:dyDescent="0.4">
      <c r="A632" s="2" t="s">
        <v>65</v>
      </c>
      <c r="B632" s="2">
        <v>7</v>
      </c>
      <c r="C632" s="3" t="s">
        <v>33</v>
      </c>
      <c r="D632" s="2"/>
      <c r="E632" s="2"/>
      <c r="F632" s="2"/>
      <c r="G632" s="2"/>
      <c r="H632" s="2"/>
      <c r="I632" s="2">
        <v>67.2393</v>
      </c>
      <c r="J632" s="2">
        <v>155</v>
      </c>
      <c r="K632" s="2">
        <v>66.218800000000002</v>
      </c>
      <c r="L632" s="2">
        <v>196</v>
      </c>
      <c r="M632" s="2">
        <v>103.5282</v>
      </c>
      <c r="N632" s="2">
        <v>124</v>
      </c>
      <c r="O632" s="2">
        <v>105.187</v>
      </c>
      <c r="P632" s="2">
        <v>97</v>
      </c>
      <c r="Q632" s="2">
        <v>96.861500000000007</v>
      </c>
      <c r="R632" s="2">
        <v>64</v>
      </c>
      <c r="S632" s="2">
        <v>93.778700000000001</v>
      </c>
      <c r="T632" s="2">
        <v>29</v>
      </c>
      <c r="U632" s="2">
        <v>0.78922000000000003</v>
      </c>
      <c r="V632" s="2">
        <v>53</v>
      </c>
      <c r="W632" s="2">
        <v>2011</v>
      </c>
    </row>
    <row r="633" spans="1:23" ht="12.3" x14ac:dyDescent="0.4">
      <c r="A633" s="2" t="s">
        <v>128</v>
      </c>
      <c r="B633" s="2">
        <v>12</v>
      </c>
      <c r="C633" s="2"/>
      <c r="D633" s="2"/>
      <c r="E633" s="2"/>
      <c r="F633" s="2"/>
      <c r="G633" s="2"/>
      <c r="H633" s="2"/>
      <c r="I633" s="2">
        <v>63.0989</v>
      </c>
      <c r="J633" s="2">
        <v>312</v>
      </c>
      <c r="K633" s="2">
        <v>62.937199999999997</v>
      </c>
      <c r="L633" s="2">
        <v>318</v>
      </c>
      <c r="M633" s="2">
        <v>106.8412</v>
      </c>
      <c r="N633" s="2">
        <v>63</v>
      </c>
      <c r="O633" s="2">
        <v>107.0116</v>
      </c>
      <c r="P633" s="2">
        <v>76</v>
      </c>
      <c r="Q633" s="2">
        <v>96.061599999999999</v>
      </c>
      <c r="R633" s="2">
        <v>49</v>
      </c>
      <c r="S633" s="2">
        <v>95.424999999999997</v>
      </c>
      <c r="T633" s="2">
        <v>47</v>
      </c>
      <c r="U633" s="2">
        <v>0.78882600000000003</v>
      </c>
      <c r="V633" s="2">
        <v>54</v>
      </c>
      <c r="W633" s="2">
        <v>2011</v>
      </c>
    </row>
    <row r="634" spans="1:23" ht="12.3" x14ac:dyDescent="0.4">
      <c r="A634" s="2" t="s">
        <v>81</v>
      </c>
      <c r="B634" s="2">
        <v>9</v>
      </c>
      <c r="C634" s="2"/>
      <c r="D634" s="2"/>
      <c r="E634" s="2"/>
      <c r="F634" s="2"/>
      <c r="G634" s="2"/>
      <c r="H634" s="2"/>
      <c r="I634" s="2">
        <v>67.618200000000002</v>
      </c>
      <c r="J634" s="2">
        <v>133</v>
      </c>
      <c r="K634" s="2">
        <v>67.145300000000006</v>
      </c>
      <c r="L634" s="2">
        <v>146</v>
      </c>
      <c r="M634" s="2">
        <v>103.5544</v>
      </c>
      <c r="N634" s="2">
        <v>123</v>
      </c>
      <c r="O634" s="2">
        <v>105.9635</v>
      </c>
      <c r="P634" s="2">
        <v>89</v>
      </c>
      <c r="Q634" s="2">
        <v>98.867699999999999</v>
      </c>
      <c r="R634" s="2">
        <v>101</v>
      </c>
      <c r="S634" s="2">
        <v>94.754800000000003</v>
      </c>
      <c r="T634" s="2">
        <v>40</v>
      </c>
      <c r="U634" s="2">
        <v>0.78342100000000003</v>
      </c>
      <c r="V634" s="2">
        <v>57</v>
      </c>
      <c r="W634" s="2">
        <v>2011</v>
      </c>
    </row>
    <row r="635" spans="1:23" ht="12.3" x14ac:dyDescent="0.4">
      <c r="A635" s="2" t="s">
        <v>165</v>
      </c>
      <c r="B635" s="2">
        <v>13</v>
      </c>
      <c r="C635" s="2"/>
      <c r="D635" s="2"/>
      <c r="E635" s="2"/>
      <c r="F635" s="2"/>
      <c r="G635" s="2"/>
      <c r="H635" s="2"/>
      <c r="I635" s="2">
        <v>72.440100000000001</v>
      </c>
      <c r="J635" s="2">
        <v>14</v>
      </c>
      <c r="K635" s="2">
        <v>72.876999999999995</v>
      </c>
      <c r="L635" s="2">
        <v>7</v>
      </c>
      <c r="M635" s="2">
        <v>117.0802</v>
      </c>
      <c r="N635" s="2">
        <v>4</v>
      </c>
      <c r="O635" s="2">
        <v>115.9563</v>
      </c>
      <c r="P635" s="2">
        <v>9</v>
      </c>
      <c r="Q635" s="2">
        <v>105.2766</v>
      </c>
      <c r="R635" s="2">
        <v>265</v>
      </c>
      <c r="S635" s="2">
        <v>103.94499999999999</v>
      </c>
      <c r="T635" s="2">
        <v>222</v>
      </c>
      <c r="U635" s="2">
        <v>0.77860399999999996</v>
      </c>
      <c r="V635" s="2">
        <v>60</v>
      </c>
      <c r="W635" s="2">
        <v>2011</v>
      </c>
    </row>
    <row r="636" spans="1:23" ht="12.3" x14ac:dyDescent="0.4">
      <c r="A636" s="2" t="s">
        <v>19</v>
      </c>
      <c r="B636" s="2">
        <v>10</v>
      </c>
      <c r="C636" s="2"/>
      <c r="D636" s="2"/>
      <c r="E636" s="2"/>
      <c r="F636" s="2"/>
      <c r="G636" s="2"/>
      <c r="H636" s="2"/>
      <c r="I636" s="2">
        <v>64.839299999999994</v>
      </c>
      <c r="J636" s="2">
        <v>258</v>
      </c>
      <c r="K636" s="2">
        <v>64.736199999999997</v>
      </c>
      <c r="L636" s="2">
        <v>261</v>
      </c>
      <c r="M636" s="2">
        <v>103.8391</v>
      </c>
      <c r="N636" s="2">
        <v>117</v>
      </c>
      <c r="O636" s="2">
        <v>105.91549999999999</v>
      </c>
      <c r="P636" s="2">
        <v>91</v>
      </c>
      <c r="Q636" s="2">
        <v>96.692999999999998</v>
      </c>
      <c r="R636" s="2">
        <v>61</v>
      </c>
      <c r="S636" s="2">
        <v>95.204800000000006</v>
      </c>
      <c r="T636" s="2">
        <v>44</v>
      </c>
      <c r="U636" s="2">
        <v>0.77312400000000003</v>
      </c>
      <c r="V636" s="2">
        <v>61</v>
      </c>
      <c r="W636" s="2">
        <v>2011</v>
      </c>
    </row>
    <row r="637" spans="1:23" ht="12.3" x14ac:dyDescent="0.4">
      <c r="A637" s="2" t="s">
        <v>176</v>
      </c>
      <c r="B637" s="2">
        <v>13</v>
      </c>
      <c r="C637" s="2"/>
      <c r="D637" s="2"/>
      <c r="E637" s="2"/>
      <c r="F637" s="2"/>
      <c r="G637" s="2"/>
      <c r="H637" s="2"/>
      <c r="I637" s="2">
        <v>64.034000000000006</v>
      </c>
      <c r="J637" s="2">
        <v>288</v>
      </c>
      <c r="K637" s="2">
        <v>64.259500000000003</v>
      </c>
      <c r="L637" s="2">
        <v>283</v>
      </c>
      <c r="M637" s="2">
        <v>106.59869999999999</v>
      </c>
      <c r="N637" s="2">
        <v>66</v>
      </c>
      <c r="O637" s="2">
        <v>105.0343</v>
      </c>
      <c r="P637" s="2">
        <v>102</v>
      </c>
      <c r="Q637" s="2">
        <v>97.742900000000006</v>
      </c>
      <c r="R637" s="2">
        <v>79</v>
      </c>
      <c r="S637" s="2">
        <v>96.383300000000006</v>
      </c>
      <c r="T637" s="2">
        <v>58</v>
      </c>
      <c r="U637" s="2">
        <v>0.72878699999999996</v>
      </c>
      <c r="V637" s="2">
        <v>74</v>
      </c>
      <c r="W637" s="2">
        <v>2011</v>
      </c>
    </row>
    <row r="638" spans="1:23" ht="12.3" x14ac:dyDescent="0.4">
      <c r="A638" s="2" t="s">
        <v>137</v>
      </c>
      <c r="B638" s="2">
        <v>11</v>
      </c>
      <c r="C638" s="3" t="s">
        <v>33</v>
      </c>
      <c r="D638" s="3" t="s">
        <v>33</v>
      </c>
      <c r="E638" s="3" t="s">
        <v>33</v>
      </c>
      <c r="F638" s="3" t="s">
        <v>33</v>
      </c>
      <c r="G638" s="2"/>
      <c r="H638" s="2"/>
      <c r="I638" s="2">
        <v>65.618899999999996</v>
      </c>
      <c r="J638" s="2">
        <v>228</v>
      </c>
      <c r="K638" s="2">
        <v>66.498699999999999</v>
      </c>
      <c r="L638" s="2">
        <v>177</v>
      </c>
      <c r="M638" s="2">
        <v>107.977</v>
      </c>
      <c r="N638" s="2">
        <v>51</v>
      </c>
      <c r="O638" s="2">
        <v>109.1301</v>
      </c>
      <c r="P638" s="2">
        <v>53</v>
      </c>
      <c r="Q638" s="2">
        <v>101.8681</v>
      </c>
      <c r="R638" s="2">
        <v>184</v>
      </c>
      <c r="S638" s="2">
        <v>101.0565</v>
      </c>
      <c r="T638" s="2">
        <v>145</v>
      </c>
      <c r="U638" s="2">
        <v>0.70762899999999995</v>
      </c>
      <c r="V638" s="2">
        <v>78</v>
      </c>
      <c r="W638" s="2">
        <v>2011</v>
      </c>
    </row>
    <row r="639" spans="1:23" ht="12.3" x14ac:dyDescent="0.4">
      <c r="A639" s="2" t="s">
        <v>289</v>
      </c>
      <c r="B639" s="2">
        <v>14</v>
      </c>
      <c r="C639" s="2"/>
      <c r="D639" s="2"/>
      <c r="E639" s="2"/>
      <c r="F639" s="2"/>
      <c r="G639" s="2"/>
      <c r="H639" s="2"/>
      <c r="I639" s="2">
        <v>66.2316</v>
      </c>
      <c r="J639" s="2">
        <v>196</v>
      </c>
      <c r="K639" s="2">
        <v>66.272199999999998</v>
      </c>
      <c r="L639" s="2">
        <v>192</v>
      </c>
      <c r="M639" s="2">
        <v>106.5111</v>
      </c>
      <c r="N639" s="2">
        <v>68</v>
      </c>
      <c r="O639" s="2">
        <v>104.3282</v>
      </c>
      <c r="P639" s="2">
        <v>112</v>
      </c>
      <c r="Q639" s="2">
        <v>95.543400000000005</v>
      </c>
      <c r="R639" s="2">
        <v>44</v>
      </c>
      <c r="S639" s="2">
        <v>97.1023</v>
      </c>
      <c r="T639" s="2">
        <v>68</v>
      </c>
      <c r="U639" s="2">
        <v>0.69538999999999995</v>
      </c>
      <c r="V639" s="2">
        <v>82</v>
      </c>
      <c r="W639" s="2">
        <v>2011</v>
      </c>
    </row>
    <row r="640" spans="1:23" ht="12.3" x14ac:dyDescent="0.4">
      <c r="A640" s="2" t="s">
        <v>201</v>
      </c>
      <c r="B640" s="2">
        <v>13</v>
      </c>
      <c r="C640" s="3" t="s">
        <v>33</v>
      </c>
      <c r="D640" s="2"/>
      <c r="E640" s="2"/>
      <c r="F640" s="2"/>
      <c r="G640" s="2"/>
      <c r="H640" s="2"/>
      <c r="I640" s="2">
        <v>64.049700000000001</v>
      </c>
      <c r="J640" s="2">
        <v>287</v>
      </c>
      <c r="K640" s="2">
        <v>64.780500000000004</v>
      </c>
      <c r="L640" s="2">
        <v>258</v>
      </c>
      <c r="M640" s="2">
        <v>106.2067</v>
      </c>
      <c r="N640" s="2">
        <v>77</v>
      </c>
      <c r="O640" s="2">
        <v>104.3969</v>
      </c>
      <c r="P640" s="2">
        <v>109</v>
      </c>
      <c r="Q640" s="2">
        <v>96.197199999999995</v>
      </c>
      <c r="R640" s="2">
        <v>52</v>
      </c>
      <c r="S640" s="2">
        <v>97.601799999999997</v>
      </c>
      <c r="T640" s="2">
        <v>79</v>
      </c>
      <c r="U640" s="2">
        <v>0.68438500000000002</v>
      </c>
      <c r="V640" s="2">
        <v>83</v>
      </c>
      <c r="W640" s="2">
        <v>2011</v>
      </c>
    </row>
    <row r="641" spans="1:23" ht="12.3" x14ac:dyDescent="0.4">
      <c r="A641" s="2" t="s">
        <v>279</v>
      </c>
      <c r="B641" s="2">
        <v>14</v>
      </c>
      <c r="C641" s="2"/>
      <c r="D641" s="2"/>
      <c r="E641" s="2"/>
      <c r="F641" s="2"/>
      <c r="G641" s="2"/>
      <c r="H641" s="2"/>
      <c r="I641" s="2">
        <v>64.415099999999995</v>
      </c>
      <c r="J641" s="2">
        <v>271</v>
      </c>
      <c r="K641" s="2">
        <v>64.572599999999994</v>
      </c>
      <c r="L641" s="2">
        <v>270</v>
      </c>
      <c r="M641" s="2">
        <v>112.4804</v>
      </c>
      <c r="N641" s="2">
        <v>18</v>
      </c>
      <c r="O641" s="2">
        <v>110.9243</v>
      </c>
      <c r="P641" s="2">
        <v>33</v>
      </c>
      <c r="Q641" s="2">
        <v>103.3314</v>
      </c>
      <c r="R641" s="2">
        <v>208</v>
      </c>
      <c r="S641" s="2">
        <v>103.7717</v>
      </c>
      <c r="T641" s="2">
        <v>217</v>
      </c>
      <c r="U641" s="2">
        <v>0.68276899999999996</v>
      </c>
      <c r="V641" s="2">
        <v>84</v>
      </c>
      <c r="W641" s="2">
        <v>2011</v>
      </c>
    </row>
    <row r="642" spans="1:23" ht="12.3" x14ac:dyDescent="0.4">
      <c r="A642" s="2" t="s">
        <v>71</v>
      </c>
      <c r="B642" s="2">
        <v>12</v>
      </c>
      <c r="C642" s="2"/>
      <c r="D642" s="2"/>
      <c r="E642" s="2"/>
      <c r="F642" s="2"/>
      <c r="G642" s="2"/>
      <c r="H642" s="2"/>
      <c r="I642" s="2">
        <v>69.316699999999997</v>
      </c>
      <c r="J642" s="2">
        <v>56</v>
      </c>
      <c r="K642" s="2">
        <v>68.550200000000004</v>
      </c>
      <c r="L642" s="2">
        <v>70</v>
      </c>
      <c r="M642" s="2">
        <v>102.785</v>
      </c>
      <c r="N642" s="2">
        <v>142</v>
      </c>
      <c r="O642" s="2">
        <v>102.0442</v>
      </c>
      <c r="P642" s="2">
        <v>157</v>
      </c>
      <c r="Q642" s="2">
        <v>97.365700000000004</v>
      </c>
      <c r="R642" s="2">
        <v>76</v>
      </c>
      <c r="S642" s="2">
        <v>95.933700000000002</v>
      </c>
      <c r="T642" s="2">
        <v>55</v>
      </c>
      <c r="U642" s="2">
        <v>0.67042500000000005</v>
      </c>
      <c r="V642" s="2">
        <v>90</v>
      </c>
      <c r="W642" s="2">
        <v>2011</v>
      </c>
    </row>
    <row r="643" spans="1:23" ht="12.3" x14ac:dyDescent="0.4">
      <c r="A643" s="2" t="s">
        <v>343</v>
      </c>
      <c r="B643" s="2">
        <v>15</v>
      </c>
      <c r="C643" s="2"/>
      <c r="D643" s="2"/>
      <c r="E643" s="2"/>
      <c r="F643" s="2"/>
      <c r="G643" s="2"/>
      <c r="H643" s="2"/>
      <c r="I643" s="2">
        <v>74.459199999999996</v>
      </c>
      <c r="J643" s="2">
        <v>6</v>
      </c>
      <c r="K643" s="2">
        <v>73.9482</v>
      </c>
      <c r="L643" s="2">
        <v>4</v>
      </c>
      <c r="M643" s="2">
        <v>110.15560000000001</v>
      </c>
      <c r="N643" s="2">
        <v>32</v>
      </c>
      <c r="O643" s="2">
        <v>108.45699999999999</v>
      </c>
      <c r="P643" s="2">
        <v>58</v>
      </c>
      <c r="Q643" s="2">
        <v>98.627399999999994</v>
      </c>
      <c r="R643" s="2">
        <v>96</v>
      </c>
      <c r="S643" s="2">
        <v>103.0628</v>
      </c>
      <c r="T643" s="2">
        <v>205</v>
      </c>
      <c r="U643" s="2">
        <v>0.64260099999999998</v>
      </c>
      <c r="V643" s="2">
        <v>99</v>
      </c>
      <c r="W643" s="2">
        <v>2011</v>
      </c>
    </row>
    <row r="644" spans="1:23" ht="12.3" x14ac:dyDescent="0.4">
      <c r="A644" s="2" t="s">
        <v>335</v>
      </c>
      <c r="B644" s="2">
        <v>14</v>
      </c>
      <c r="C644" s="2"/>
      <c r="D644" s="2"/>
      <c r="E644" s="2"/>
      <c r="F644" s="2"/>
      <c r="G644" s="2"/>
      <c r="H644" s="2"/>
      <c r="I644" s="2">
        <v>65.647999999999996</v>
      </c>
      <c r="J644" s="2">
        <v>227</v>
      </c>
      <c r="K644" s="2">
        <v>65.847200000000001</v>
      </c>
      <c r="L644" s="2">
        <v>219</v>
      </c>
      <c r="M644" s="2">
        <v>92.886899999999997</v>
      </c>
      <c r="N644" s="2">
        <v>309</v>
      </c>
      <c r="O644" s="2">
        <v>94.541300000000007</v>
      </c>
      <c r="P644" s="2">
        <v>290</v>
      </c>
      <c r="Q644" s="2">
        <v>91.023099999999999</v>
      </c>
      <c r="R644" s="2">
        <v>9</v>
      </c>
      <c r="S644" s="2">
        <v>90.256100000000004</v>
      </c>
      <c r="T644" s="2">
        <v>6</v>
      </c>
      <c r="U644" s="2">
        <v>0.63028300000000004</v>
      </c>
      <c r="V644" s="2">
        <v>107</v>
      </c>
      <c r="W644" s="2">
        <v>2011</v>
      </c>
    </row>
    <row r="645" spans="1:23" ht="12.3" x14ac:dyDescent="0.4">
      <c r="A645" s="2" t="s">
        <v>358</v>
      </c>
      <c r="B645" s="2">
        <v>15</v>
      </c>
      <c r="C645" s="2"/>
      <c r="D645" s="2"/>
      <c r="E645" s="2"/>
      <c r="F645" s="2"/>
      <c r="G645" s="2"/>
      <c r="H645" s="2"/>
      <c r="I645" s="2">
        <v>66.6267</v>
      </c>
      <c r="J645" s="2">
        <v>180</v>
      </c>
      <c r="K645" s="2">
        <v>67.984200000000001</v>
      </c>
      <c r="L645" s="2">
        <v>100</v>
      </c>
      <c r="M645" s="2">
        <v>106.5384</v>
      </c>
      <c r="N645" s="2">
        <v>67</v>
      </c>
      <c r="O645" s="2">
        <v>105.1764</v>
      </c>
      <c r="P645" s="2">
        <v>98</v>
      </c>
      <c r="Q645" s="2">
        <v>99.647300000000001</v>
      </c>
      <c r="R645" s="2">
        <v>113</v>
      </c>
      <c r="S645" s="2">
        <v>101.3395</v>
      </c>
      <c r="T645" s="2">
        <v>155</v>
      </c>
      <c r="U645" s="2">
        <v>0.60524500000000003</v>
      </c>
      <c r="V645" s="2">
        <v>116</v>
      </c>
      <c r="W645" s="2">
        <v>2011</v>
      </c>
    </row>
    <row r="646" spans="1:23" ht="12.3" x14ac:dyDescent="0.4">
      <c r="A646" s="2" t="s">
        <v>267</v>
      </c>
      <c r="B646" s="2">
        <v>14</v>
      </c>
      <c r="C646" s="2"/>
      <c r="D646" s="2"/>
      <c r="E646" s="2"/>
      <c r="F646" s="2"/>
      <c r="G646" s="2"/>
      <c r="H646" s="2"/>
      <c r="I646" s="2">
        <v>64.856999999999999</v>
      </c>
      <c r="J646" s="2">
        <v>257</v>
      </c>
      <c r="K646" s="2">
        <v>66.399500000000003</v>
      </c>
      <c r="L646" s="2">
        <v>185</v>
      </c>
      <c r="M646" s="2">
        <v>100.3648</v>
      </c>
      <c r="N646" s="2">
        <v>199</v>
      </c>
      <c r="O646" s="2">
        <v>100.2028</v>
      </c>
      <c r="P646" s="2">
        <v>199</v>
      </c>
      <c r="Q646" s="2">
        <v>98.276399999999995</v>
      </c>
      <c r="R646" s="2">
        <v>91</v>
      </c>
      <c r="S646" s="2">
        <v>96.599199999999996</v>
      </c>
      <c r="T646" s="2">
        <v>60</v>
      </c>
      <c r="U646" s="2">
        <v>0.60377000000000003</v>
      </c>
      <c r="V646" s="2">
        <v>119</v>
      </c>
      <c r="W646" s="2">
        <v>2011</v>
      </c>
    </row>
    <row r="647" spans="1:23" ht="12.3" x14ac:dyDescent="0.4">
      <c r="A647" s="2" t="s">
        <v>256</v>
      </c>
      <c r="B647" s="2">
        <v>15</v>
      </c>
      <c r="C647" s="2"/>
      <c r="D647" s="2"/>
      <c r="E647" s="2"/>
      <c r="F647" s="2"/>
      <c r="G647" s="2"/>
      <c r="H647" s="2"/>
      <c r="I647" s="2">
        <v>66.743600000000001</v>
      </c>
      <c r="J647" s="2">
        <v>173</v>
      </c>
      <c r="K647" s="2">
        <v>66.747900000000001</v>
      </c>
      <c r="L647" s="2">
        <v>167</v>
      </c>
      <c r="M647" s="2">
        <v>102.99299999999999</v>
      </c>
      <c r="N647" s="2">
        <v>138</v>
      </c>
      <c r="O647" s="2">
        <v>102.2825</v>
      </c>
      <c r="P647" s="2">
        <v>152</v>
      </c>
      <c r="Q647" s="2">
        <v>97.5702</v>
      </c>
      <c r="R647" s="2">
        <v>78</v>
      </c>
      <c r="S647" s="2">
        <v>98.640299999999996</v>
      </c>
      <c r="T647" s="2">
        <v>100</v>
      </c>
      <c r="U647" s="2">
        <v>0.60276099999999999</v>
      </c>
      <c r="V647" s="2">
        <v>120</v>
      </c>
      <c r="W647" s="2">
        <v>2011</v>
      </c>
    </row>
    <row r="648" spans="1:23" ht="12.3" x14ac:dyDescent="0.4">
      <c r="A648" s="2" t="s">
        <v>104</v>
      </c>
      <c r="B648" s="2">
        <v>15</v>
      </c>
      <c r="C648" s="2"/>
      <c r="D648" s="2"/>
      <c r="E648" s="2"/>
      <c r="F648" s="2"/>
      <c r="G648" s="2"/>
      <c r="H648" s="2"/>
      <c r="I648" s="2">
        <v>65.269599999999997</v>
      </c>
      <c r="J648" s="2">
        <v>247</v>
      </c>
      <c r="K648" s="2">
        <v>65.406400000000005</v>
      </c>
      <c r="L648" s="2">
        <v>239</v>
      </c>
      <c r="M648" s="2">
        <v>103.07259999999999</v>
      </c>
      <c r="N648" s="2">
        <v>132</v>
      </c>
      <c r="O648" s="2">
        <v>102.0934</v>
      </c>
      <c r="P648" s="2">
        <v>156</v>
      </c>
      <c r="Q648" s="2">
        <v>100.01139999999999</v>
      </c>
      <c r="R648" s="2">
        <v>125</v>
      </c>
      <c r="S648" s="2">
        <v>98.737499999999997</v>
      </c>
      <c r="T648" s="2">
        <v>102</v>
      </c>
      <c r="U648" s="2">
        <v>0.59492500000000004</v>
      </c>
      <c r="V648" s="2">
        <v>121</v>
      </c>
      <c r="W648" s="2">
        <v>2011</v>
      </c>
    </row>
    <row r="649" spans="1:23" ht="12.3" x14ac:dyDescent="0.4">
      <c r="A649" s="2" t="s">
        <v>281</v>
      </c>
      <c r="B649" s="2">
        <v>16</v>
      </c>
      <c r="C649" s="2"/>
      <c r="D649" s="2"/>
      <c r="E649" s="2"/>
      <c r="F649" s="2"/>
      <c r="G649" s="2"/>
      <c r="H649" s="2"/>
      <c r="I649" s="2">
        <v>69.4649</v>
      </c>
      <c r="J649" s="2">
        <v>52</v>
      </c>
      <c r="K649" s="2">
        <v>68.893100000000004</v>
      </c>
      <c r="L649" s="2">
        <v>62</v>
      </c>
      <c r="M649" s="2">
        <v>101.2503</v>
      </c>
      <c r="N649" s="2">
        <v>182</v>
      </c>
      <c r="O649" s="2">
        <v>99.722399999999993</v>
      </c>
      <c r="P649" s="2">
        <v>209</v>
      </c>
      <c r="Q649" s="2">
        <v>96.378699999999995</v>
      </c>
      <c r="R649" s="2">
        <v>54</v>
      </c>
      <c r="S649" s="2">
        <v>97.419499999999999</v>
      </c>
      <c r="T649" s="2">
        <v>73</v>
      </c>
      <c r="U649" s="2">
        <v>0.56677</v>
      </c>
      <c r="V649" s="2">
        <v>135</v>
      </c>
      <c r="W649" s="2">
        <v>2011</v>
      </c>
    </row>
    <row r="650" spans="1:23" ht="12.3" x14ac:dyDescent="0.4">
      <c r="A650" s="2" t="s">
        <v>203</v>
      </c>
      <c r="B650" s="2">
        <v>16</v>
      </c>
      <c r="C650" s="2"/>
      <c r="D650" s="2"/>
      <c r="E650" s="2"/>
      <c r="F650" s="2"/>
      <c r="G650" s="2"/>
      <c r="H650" s="2"/>
      <c r="I650" s="2">
        <v>63.014800000000001</v>
      </c>
      <c r="J650" s="2">
        <v>313</v>
      </c>
      <c r="K650" s="2">
        <v>63.9724</v>
      </c>
      <c r="L650" s="2">
        <v>295</v>
      </c>
      <c r="M650" s="2">
        <v>103.40479999999999</v>
      </c>
      <c r="N650" s="2">
        <v>126</v>
      </c>
      <c r="O650" s="2">
        <v>101.58880000000001</v>
      </c>
      <c r="P650" s="2">
        <v>173</v>
      </c>
      <c r="Q650" s="2">
        <v>99.673100000000005</v>
      </c>
      <c r="R650" s="2">
        <v>114</v>
      </c>
      <c r="S650" s="2">
        <v>101.851</v>
      </c>
      <c r="T650" s="2">
        <v>170</v>
      </c>
      <c r="U650" s="2">
        <v>0.492589</v>
      </c>
      <c r="V650" s="2">
        <v>164</v>
      </c>
      <c r="W650" s="2">
        <v>2011</v>
      </c>
    </row>
    <row r="651" spans="1:23" ht="12.3" x14ac:dyDescent="0.4">
      <c r="A651" s="2" t="s">
        <v>135</v>
      </c>
      <c r="B651" s="2">
        <v>16</v>
      </c>
      <c r="C651" s="2"/>
      <c r="D651" s="2"/>
      <c r="E651" s="2"/>
      <c r="F651" s="2"/>
      <c r="G651" s="2"/>
      <c r="H651" s="2"/>
      <c r="I651" s="2">
        <v>67.535799999999995</v>
      </c>
      <c r="J651" s="2">
        <v>137</v>
      </c>
      <c r="K651" s="2">
        <v>68.068200000000004</v>
      </c>
      <c r="L651" s="2">
        <v>95</v>
      </c>
      <c r="M651" s="2">
        <v>97.466499999999996</v>
      </c>
      <c r="N651" s="2">
        <v>255</v>
      </c>
      <c r="O651" s="2">
        <v>94.201700000000002</v>
      </c>
      <c r="P651" s="2">
        <v>293</v>
      </c>
      <c r="Q651" s="2">
        <v>90.420699999999997</v>
      </c>
      <c r="R651" s="2">
        <v>7</v>
      </c>
      <c r="S651" s="2">
        <v>96.723100000000002</v>
      </c>
      <c r="T651" s="2">
        <v>63</v>
      </c>
      <c r="U651" s="2">
        <v>0.42464000000000002</v>
      </c>
      <c r="V651" s="2">
        <v>194</v>
      </c>
      <c r="W651" s="2">
        <v>2011</v>
      </c>
    </row>
    <row r="652" spans="1:23" ht="12.3" x14ac:dyDescent="0.4">
      <c r="A652" s="2" t="s">
        <v>185</v>
      </c>
      <c r="B652" s="2">
        <v>16</v>
      </c>
      <c r="C652" s="2"/>
      <c r="D652" s="2"/>
      <c r="E652" s="2"/>
      <c r="F652" s="2"/>
      <c r="G652" s="2"/>
      <c r="H652" s="2"/>
      <c r="I652" s="2">
        <v>68.808599999999998</v>
      </c>
      <c r="J652" s="2">
        <v>76</v>
      </c>
      <c r="K652" s="2">
        <v>67.793400000000005</v>
      </c>
      <c r="L652" s="2">
        <v>109</v>
      </c>
      <c r="M652" s="2">
        <v>102.48569999999999</v>
      </c>
      <c r="N652" s="2">
        <v>151</v>
      </c>
      <c r="O652" s="2">
        <v>101.61409999999999</v>
      </c>
      <c r="P652" s="2">
        <v>172</v>
      </c>
      <c r="Q652" s="2">
        <v>102.8142</v>
      </c>
      <c r="R652" s="2">
        <v>199</v>
      </c>
      <c r="S652" s="2">
        <v>105.8219</v>
      </c>
      <c r="T652" s="2">
        <v>259</v>
      </c>
      <c r="U652" s="2">
        <v>0.38541900000000001</v>
      </c>
      <c r="V652" s="2">
        <v>210</v>
      </c>
      <c r="W652" s="2">
        <v>2011</v>
      </c>
    </row>
    <row r="653" spans="1:23" ht="12.3" x14ac:dyDescent="0.4">
      <c r="A653" s="2" t="s">
        <v>125</v>
      </c>
      <c r="B653" s="2">
        <v>16</v>
      </c>
      <c r="C653" s="2"/>
      <c r="D653" s="2"/>
      <c r="E653" s="2"/>
      <c r="F653" s="2"/>
      <c r="G653" s="2"/>
      <c r="H653" s="2"/>
      <c r="I653" s="2">
        <v>64.660899999999998</v>
      </c>
      <c r="J653" s="2">
        <v>265</v>
      </c>
      <c r="K653" s="2">
        <v>65.331400000000002</v>
      </c>
      <c r="L653" s="2">
        <v>242</v>
      </c>
      <c r="M653" s="2">
        <v>101.967</v>
      </c>
      <c r="N653" s="2">
        <v>163</v>
      </c>
      <c r="O653" s="2">
        <v>99.558599999999998</v>
      </c>
      <c r="P653" s="2">
        <v>212</v>
      </c>
      <c r="Q653" s="2">
        <v>103.5429</v>
      </c>
      <c r="R653" s="2">
        <v>218</v>
      </c>
      <c r="S653" s="2">
        <v>103.74930000000001</v>
      </c>
      <c r="T653" s="2">
        <v>215</v>
      </c>
      <c r="U653" s="2">
        <v>0.383635</v>
      </c>
      <c r="V653" s="2">
        <v>212</v>
      </c>
      <c r="W653" s="2">
        <v>2011</v>
      </c>
    </row>
    <row r="654" spans="1:23" ht="12.3" x14ac:dyDescent="0.4">
      <c r="A654" s="2" t="s">
        <v>297</v>
      </c>
      <c r="B654" s="2">
        <v>16</v>
      </c>
      <c r="C654" s="2"/>
      <c r="D654" s="2"/>
      <c r="E654" s="2"/>
      <c r="F654" s="2"/>
      <c r="G654" s="2"/>
      <c r="H654" s="2"/>
      <c r="I654" s="2">
        <v>66.211799999999997</v>
      </c>
      <c r="J654" s="2">
        <v>198</v>
      </c>
      <c r="K654" s="2">
        <v>65.006399999999999</v>
      </c>
      <c r="L654" s="2">
        <v>253</v>
      </c>
      <c r="M654" s="2">
        <v>92.031400000000005</v>
      </c>
      <c r="N654" s="2">
        <v>319</v>
      </c>
      <c r="O654" s="2">
        <v>93.230999999999995</v>
      </c>
      <c r="P654" s="2">
        <v>303</v>
      </c>
      <c r="Q654" s="2">
        <v>96.522900000000007</v>
      </c>
      <c r="R654" s="2">
        <v>57</v>
      </c>
      <c r="S654" s="2">
        <v>104.108</v>
      </c>
      <c r="T654" s="2">
        <v>228</v>
      </c>
      <c r="U654" s="2">
        <v>0.21942900000000001</v>
      </c>
      <c r="V654" s="2">
        <v>290</v>
      </c>
      <c r="W654" s="2">
        <v>2011</v>
      </c>
    </row>
    <row r="655" spans="1:23" ht="12.3" x14ac:dyDescent="0.4">
      <c r="A655" s="2" t="s">
        <v>45</v>
      </c>
      <c r="B655" s="2">
        <v>1</v>
      </c>
      <c r="C655" s="3" t="s">
        <v>33</v>
      </c>
      <c r="D655" s="3" t="s">
        <v>33</v>
      </c>
      <c r="E655" s="3" t="s">
        <v>33</v>
      </c>
      <c r="F655" s="3" t="s">
        <v>33</v>
      </c>
      <c r="G655" s="3" t="s">
        <v>33</v>
      </c>
      <c r="H655" s="3" t="s">
        <v>33</v>
      </c>
      <c r="I655" s="2">
        <v>66.118399999999994</v>
      </c>
      <c r="J655" s="2">
        <v>177</v>
      </c>
      <c r="K655" s="2">
        <v>65.673500000000004</v>
      </c>
      <c r="L655" s="2">
        <v>191</v>
      </c>
      <c r="M655" s="2">
        <v>116.4605</v>
      </c>
      <c r="N655" s="2">
        <v>4</v>
      </c>
      <c r="O655" s="2">
        <v>118.6576</v>
      </c>
      <c r="P655" s="2">
        <v>2</v>
      </c>
      <c r="Q655" s="2">
        <v>89.6755</v>
      </c>
      <c r="R655" s="2">
        <v>7</v>
      </c>
      <c r="S655" s="2">
        <v>89.285499999999999</v>
      </c>
      <c r="T655" s="2">
        <v>5</v>
      </c>
      <c r="U655" s="2">
        <v>0.96340700000000001</v>
      </c>
      <c r="V655" s="2">
        <v>1</v>
      </c>
      <c r="W655" s="2">
        <v>2012</v>
      </c>
    </row>
    <row r="656" spans="1:23" ht="12.3" x14ac:dyDescent="0.4">
      <c r="A656" s="2" t="s">
        <v>58</v>
      </c>
      <c r="B656" s="2">
        <v>1</v>
      </c>
      <c r="C656" s="3" t="s">
        <v>33</v>
      </c>
      <c r="D656" s="3" t="s">
        <v>33</v>
      </c>
      <c r="E656" s="2"/>
      <c r="F656" s="2"/>
      <c r="G656" s="2"/>
      <c r="H656" s="2"/>
      <c r="I656" s="2">
        <v>65.364500000000007</v>
      </c>
      <c r="J656" s="2">
        <v>210</v>
      </c>
      <c r="K656" s="2">
        <v>65.5715</v>
      </c>
      <c r="L656" s="2">
        <v>198</v>
      </c>
      <c r="M656" s="2">
        <v>109.7376</v>
      </c>
      <c r="N656" s="2">
        <v>31</v>
      </c>
      <c r="O656" s="2">
        <v>112.9404</v>
      </c>
      <c r="P656" s="2">
        <v>19</v>
      </c>
      <c r="Q656" s="2">
        <v>90.255099999999999</v>
      </c>
      <c r="R656" s="2">
        <v>11</v>
      </c>
      <c r="S656" s="2">
        <v>86.723699999999994</v>
      </c>
      <c r="T656" s="2">
        <v>2</v>
      </c>
      <c r="U656" s="2">
        <v>0.95424100000000001</v>
      </c>
      <c r="V656" s="2">
        <v>2</v>
      </c>
      <c r="W656" s="2">
        <v>2012</v>
      </c>
    </row>
    <row r="657" spans="1:23" ht="12.3" x14ac:dyDescent="0.4">
      <c r="A657" s="2" t="s">
        <v>21</v>
      </c>
      <c r="B657" s="2">
        <v>2</v>
      </c>
      <c r="C657" s="3" t="s">
        <v>33</v>
      </c>
      <c r="D657" s="3" t="s">
        <v>33</v>
      </c>
      <c r="E657" s="3" t="s">
        <v>33</v>
      </c>
      <c r="F657" s="3" t="s">
        <v>33</v>
      </c>
      <c r="G657" s="2"/>
      <c r="H657" s="2"/>
      <c r="I657" s="2">
        <v>66.768699999999995</v>
      </c>
      <c r="J657" s="2">
        <v>143</v>
      </c>
      <c r="K657" s="2">
        <v>67.906999999999996</v>
      </c>
      <c r="L657" s="2">
        <v>84</v>
      </c>
      <c r="M657" s="2">
        <v>111.7826</v>
      </c>
      <c r="N657" s="2">
        <v>18</v>
      </c>
      <c r="O657" s="2">
        <v>116.1609</v>
      </c>
      <c r="P657" s="2">
        <v>6</v>
      </c>
      <c r="Q657" s="2">
        <v>88.862499999999997</v>
      </c>
      <c r="R657" s="2">
        <v>2</v>
      </c>
      <c r="S657" s="2">
        <v>89.882800000000003</v>
      </c>
      <c r="T657" s="2">
        <v>9</v>
      </c>
      <c r="U657" s="2">
        <v>0.95023500000000005</v>
      </c>
      <c r="V657" s="2">
        <v>3</v>
      </c>
      <c r="W657" s="2">
        <v>2012</v>
      </c>
    </row>
    <row r="658" spans="1:23" ht="12.3" x14ac:dyDescent="0.4">
      <c r="A658" s="2" t="s">
        <v>35</v>
      </c>
      <c r="B658" s="2">
        <v>2</v>
      </c>
      <c r="C658" s="3" t="s">
        <v>33</v>
      </c>
      <c r="D658" s="3" t="s">
        <v>33</v>
      </c>
      <c r="E658" s="3" t="s">
        <v>33</v>
      </c>
      <c r="F658" s="3" t="s">
        <v>33</v>
      </c>
      <c r="G658" s="3" t="s">
        <v>33</v>
      </c>
      <c r="H658" s="2"/>
      <c r="I658" s="2">
        <v>67.616500000000002</v>
      </c>
      <c r="J658" s="2">
        <v>102</v>
      </c>
      <c r="K658" s="2">
        <v>67.718999999999994</v>
      </c>
      <c r="L658" s="2">
        <v>93</v>
      </c>
      <c r="M658" s="2">
        <v>110.6377</v>
      </c>
      <c r="N658" s="2">
        <v>23</v>
      </c>
      <c r="O658" s="2">
        <v>113.60339999999999</v>
      </c>
      <c r="P658" s="2">
        <v>15</v>
      </c>
      <c r="Q658" s="2">
        <v>91.061599999999999</v>
      </c>
      <c r="R658" s="2">
        <v>14</v>
      </c>
      <c r="S658" s="2">
        <v>89.513999999999996</v>
      </c>
      <c r="T658" s="2">
        <v>7</v>
      </c>
      <c r="U658" s="2">
        <v>0.939384</v>
      </c>
      <c r="V658" s="2">
        <v>4</v>
      </c>
      <c r="W658" s="2">
        <v>2012</v>
      </c>
    </row>
    <row r="659" spans="1:23" ht="12.3" x14ac:dyDescent="0.4">
      <c r="A659" s="2" t="s">
        <v>168</v>
      </c>
      <c r="B659" s="2">
        <v>1</v>
      </c>
      <c r="C659" s="3" t="s">
        <v>33</v>
      </c>
      <c r="D659" s="3" t="s">
        <v>33</v>
      </c>
      <c r="E659" s="3" t="s">
        <v>33</v>
      </c>
      <c r="F659" s="2"/>
      <c r="G659" s="2"/>
      <c r="H659" s="2"/>
      <c r="I659" s="2">
        <v>72.926500000000004</v>
      </c>
      <c r="J659" s="2">
        <v>8</v>
      </c>
      <c r="K659" s="2">
        <v>72.232900000000001</v>
      </c>
      <c r="L659" s="2">
        <v>9</v>
      </c>
      <c r="M659" s="2">
        <v>112.15179999999999</v>
      </c>
      <c r="N659" s="2">
        <v>15</v>
      </c>
      <c r="O659" s="2">
        <v>115.7779</v>
      </c>
      <c r="P659" s="2">
        <v>7</v>
      </c>
      <c r="Q659" s="2">
        <v>91.999499999999998</v>
      </c>
      <c r="R659" s="2">
        <v>21</v>
      </c>
      <c r="S659" s="2">
        <v>91.440200000000004</v>
      </c>
      <c r="T659" s="2">
        <v>15</v>
      </c>
      <c r="U659" s="2">
        <v>0.93784000000000001</v>
      </c>
      <c r="V659" s="2">
        <v>5</v>
      </c>
      <c r="W659" s="2">
        <v>2012</v>
      </c>
    </row>
    <row r="660" spans="1:23" ht="12.3" x14ac:dyDescent="0.4">
      <c r="A660" s="2" t="s">
        <v>73</v>
      </c>
      <c r="B660" s="2">
        <v>2</v>
      </c>
      <c r="C660" s="2"/>
      <c r="D660" s="2"/>
      <c r="E660" s="2"/>
      <c r="F660" s="2"/>
      <c r="G660" s="2"/>
      <c r="H660" s="2"/>
      <c r="I660" s="2">
        <v>66.465299999999999</v>
      </c>
      <c r="J660" s="2">
        <v>155</v>
      </c>
      <c r="K660" s="2">
        <v>66.300799999999995</v>
      </c>
      <c r="L660" s="2">
        <v>150</v>
      </c>
      <c r="M660" s="2">
        <v>120.50579999999999</v>
      </c>
      <c r="N660" s="2">
        <v>1</v>
      </c>
      <c r="O660" s="2">
        <v>123.2176</v>
      </c>
      <c r="P660" s="2">
        <v>1</v>
      </c>
      <c r="Q660" s="2">
        <v>98.398300000000006</v>
      </c>
      <c r="R660" s="2">
        <v>109</v>
      </c>
      <c r="S660" s="2">
        <v>98.032399999999996</v>
      </c>
      <c r="T660" s="2">
        <v>107</v>
      </c>
      <c r="U660" s="2">
        <v>0.93273700000000004</v>
      </c>
      <c r="V660" s="2">
        <v>6</v>
      </c>
      <c r="W660" s="2">
        <v>2012</v>
      </c>
    </row>
    <row r="661" spans="1:23" ht="12.3" x14ac:dyDescent="0.4">
      <c r="A661" s="2" t="s">
        <v>23</v>
      </c>
      <c r="B661" s="2">
        <v>1</v>
      </c>
      <c r="C661" s="3" t="s">
        <v>33</v>
      </c>
      <c r="D661" s="3" t="s">
        <v>33</v>
      </c>
      <c r="E661" s="3" t="s">
        <v>33</v>
      </c>
      <c r="F661" s="2"/>
      <c r="G661" s="2"/>
      <c r="H661" s="2"/>
      <c r="I661" s="2">
        <v>65.864599999999996</v>
      </c>
      <c r="J661" s="2">
        <v>190</v>
      </c>
      <c r="K661" s="2">
        <v>65.889899999999997</v>
      </c>
      <c r="L661" s="2">
        <v>180</v>
      </c>
      <c r="M661" s="2">
        <v>112.80670000000001</v>
      </c>
      <c r="N661" s="2">
        <v>11</v>
      </c>
      <c r="O661" s="2">
        <v>113.5377</v>
      </c>
      <c r="P661" s="2">
        <v>16</v>
      </c>
      <c r="Q661" s="2">
        <v>91.852000000000004</v>
      </c>
      <c r="R661" s="2">
        <v>20</v>
      </c>
      <c r="S661" s="2">
        <v>90.527900000000002</v>
      </c>
      <c r="T661" s="2">
        <v>12</v>
      </c>
      <c r="U661" s="2">
        <v>0.93115000000000003</v>
      </c>
      <c r="V661" s="2">
        <v>7</v>
      </c>
      <c r="W661" s="2">
        <v>2012</v>
      </c>
    </row>
    <row r="662" spans="1:23" ht="12.3" x14ac:dyDescent="0.4">
      <c r="A662" s="2" t="s">
        <v>71</v>
      </c>
      <c r="B662" s="2">
        <v>8</v>
      </c>
      <c r="C662" s="2"/>
      <c r="D662" s="2"/>
      <c r="E662" s="2"/>
      <c r="F662" s="2"/>
      <c r="G662" s="2"/>
      <c r="H662" s="2"/>
      <c r="I662" s="2">
        <v>67.518100000000004</v>
      </c>
      <c r="J662" s="2">
        <v>109</v>
      </c>
      <c r="K662" s="2">
        <v>68.317899999999995</v>
      </c>
      <c r="L662" s="2">
        <v>68</v>
      </c>
      <c r="M662" s="2">
        <v>110.1803</v>
      </c>
      <c r="N662" s="2">
        <v>26</v>
      </c>
      <c r="O662" s="2">
        <v>113.1039</v>
      </c>
      <c r="P662" s="2">
        <v>18</v>
      </c>
      <c r="Q662" s="2">
        <v>92.051900000000003</v>
      </c>
      <c r="R662" s="2">
        <v>22</v>
      </c>
      <c r="S662" s="2">
        <v>91.730999999999995</v>
      </c>
      <c r="T662" s="2">
        <v>16</v>
      </c>
      <c r="U662" s="2">
        <v>0.91748300000000005</v>
      </c>
      <c r="V662" s="2">
        <v>8</v>
      </c>
      <c r="W662" s="2">
        <v>2012</v>
      </c>
    </row>
    <row r="663" spans="1:23" ht="12.3" x14ac:dyDescent="0.4">
      <c r="A663" s="2" t="s">
        <v>192</v>
      </c>
      <c r="B663" s="2">
        <v>5</v>
      </c>
      <c r="C663" s="2"/>
      <c r="D663" s="2"/>
      <c r="E663" s="2"/>
      <c r="F663" s="2"/>
      <c r="G663" s="2"/>
      <c r="H663" s="2"/>
      <c r="I663" s="2">
        <v>66.927400000000006</v>
      </c>
      <c r="J663" s="2">
        <v>134</v>
      </c>
      <c r="K663" s="2">
        <v>67.008799999999994</v>
      </c>
      <c r="L663" s="2">
        <v>122</v>
      </c>
      <c r="M663" s="2">
        <v>113.6251</v>
      </c>
      <c r="N663" s="2">
        <v>9</v>
      </c>
      <c r="O663" s="2">
        <v>115.3159</v>
      </c>
      <c r="P663" s="2">
        <v>8</v>
      </c>
      <c r="Q663" s="2">
        <v>92.6357</v>
      </c>
      <c r="R663" s="2">
        <v>26</v>
      </c>
      <c r="S663" s="2">
        <v>94.075599999999994</v>
      </c>
      <c r="T663" s="2">
        <v>39</v>
      </c>
      <c r="U663" s="2">
        <v>0.91222700000000001</v>
      </c>
      <c r="V663" s="2">
        <v>9</v>
      </c>
      <c r="W663" s="2">
        <v>2012</v>
      </c>
    </row>
    <row r="664" spans="1:23" ht="12.3" x14ac:dyDescent="0.4">
      <c r="A664" s="2" t="s">
        <v>76</v>
      </c>
      <c r="B664" s="2">
        <v>4</v>
      </c>
      <c r="C664" s="3" t="s">
        <v>33</v>
      </c>
      <c r="D664" s="3" t="s">
        <v>33</v>
      </c>
      <c r="E664" s="2"/>
      <c r="F664" s="2"/>
      <c r="G664" s="2"/>
      <c r="H664" s="2"/>
      <c r="I664" s="2">
        <v>58.965699999999998</v>
      </c>
      <c r="J664" s="2">
        <v>345</v>
      </c>
      <c r="K664" s="2">
        <v>58.963700000000003</v>
      </c>
      <c r="L664" s="2">
        <v>344</v>
      </c>
      <c r="M664" s="2">
        <v>107.6313</v>
      </c>
      <c r="N664" s="2">
        <v>50</v>
      </c>
      <c r="O664" s="2">
        <v>109.6301</v>
      </c>
      <c r="P664" s="2">
        <v>35</v>
      </c>
      <c r="Q664" s="2">
        <v>88.8797</v>
      </c>
      <c r="R664" s="2">
        <v>3</v>
      </c>
      <c r="S664" s="2">
        <v>89.724299999999999</v>
      </c>
      <c r="T664" s="2">
        <v>8</v>
      </c>
      <c r="U664" s="2">
        <v>0.90922899999999995</v>
      </c>
      <c r="V664" s="2">
        <v>10</v>
      </c>
      <c r="W664" s="2">
        <v>2012</v>
      </c>
    </row>
    <row r="665" spans="1:23" ht="12.3" x14ac:dyDescent="0.4">
      <c r="A665" s="2" t="s">
        <v>158</v>
      </c>
      <c r="B665" s="2">
        <v>3</v>
      </c>
      <c r="C665" s="3" t="s">
        <v>33</v>
      </c>
      <c r="D665" s="3" t="s">
        <v>33</v>
      </c>
      <c r="E665" s="3" t="s">
        <v>33</v>
      </c>
      <c r="F665" s="2"/>
      <c r="G665" s="2"/>
      <c r="H665" s="2"/>
      <c r="I665" s="2">
        <v>67.136399999999995</v>
      </c>
      <c r="J665" s="2">
        <v>121</v>
      </c>
      <c r="K665" s="2">
        <v>66.466300000000004</v>
      </c>
      <c r="L665" s="2">
        <v>145</v>
      </c>
      <c r="M665" s="2">
        <v>110.1153</v>
      </c>
      <c r="N665" s="2">
        <v>27</v>
      </c>
      <c r="O665" s="2">
        <v>114.86360000000001</v>
      </c>
      <c r="P665" s="2">
        <v>11</v>
      </c>
      <c r="Q665" s="2">
        <v>96.799899999999994</v>
      </c>
      <c r="R665" s="2">
        <v>75</v>
      </c>
      <c r="S665" s="2">
        <v>94.637799999999999</v>
      </c>
      <c r="T665" s="2">
        <v>47</v>
      </c>
      <c r="U665" s="2">
        <v>0.90268499999999996</v>
      </c>
      <c r="V665" s="2">
        <v>11</v>
      </c>
      <c r="W665" s="2">
        <v>2012</v>
      </c>
    </row>
    <row r="666" spans="1:23" ht="12.3" x14ac:dyDescent="0.4">
      <c r="A666" s="2" t="s">
        <v>40</v>
      </c>
      <c r="B666" s="2">
        <v>4</v>
      </c>
      <c r="C666" s="3" t="s">
        <v>33</v>
      </c>
      <c r="D666" s="3" t="s">
        <v>33</v>
      </c>
      <c r="E666" s="2"/>
      <c r="F666" s="2"/>
      <c r="G666" s="2"/>
      <c r="H666" s="2"/>
      <c r="I666" s="2">
        <v>66.999200000000002</v>
      </c>
      <c r="J666" s="2">
        <v>129</v>
      </c>
      <c r="K666" s="2">
        <v>67.507400000000004</v>
      </c>
      <c r="L666" s="2">
        <v>104</v>
      </c>
      <c r="M666" s="2">
        <v>115.0583</v>
      </c>
      <c r="N666" s="2">
        <v>7</v>
      </c>
      <c r="O666" s="2">
        <v>117.8019</v>
      </c>
      <c r="P666" s="2">
        <v>4</v>
      </c>
      <c r="Q666" s="2">
        <v>98.185299999999998</v>
      </c>
      <c r="R666" s="2">
        <v>103</v>
      </c>
      <c r="S666" s="2">
        <v>97.164699999999996</v>
      </c>
      <c r="T666" s="2">
        <v>83</v>
      </c>
      <c r="U666" s="2">
        <v>0.90157699999999996</v>
      </c>
      <c r="V666" s="2">
        <v>12</v>
      </c>
      <c r="W666" s="2">
        <v>2012</v>
      </c>
    </row>
    <row r="667" spans="1:23" ht="12.3" x14ac:dyDescent="0.4">
      <c r="A667" s="2" t="s">
        <v>111</v>
      </c>
      <c r="B667" s="2">
        <v>5</v>
      </c>
      <c r="C667" s="3" t="s">
        <v>33</v>
      </c>
      <c r="D667" s="2"/>
      <c r="E667" s="2"/>
      <c r="F667" s="2"/>
      <c r="G667" s="2"/>
      <c r="H667" s="2"/>
      <c r="I667" s="2">
        <v>65.832599999999999</v>
      </c>
      <c r="J667" s="2">
        <v>192</v>
      </c>
      <c r="K667" s="2">
        <v>65.5869</v>
      </c>
      <c r="L667" s="2">
        <v>196</v>
      </c>
      <c r="M667" s="2">
        <v>109.6189</v>
      </c>
      <c r="N667" s="2">
        <v>32</v>
      </c>
      <c r="O667" s="2">
        <v>113.3553</v>
      </c>
      <c r="P667" s="2">
        <v>17</v>
      </c>
      <c r="Q667" s="2">
        <v>97.488200000000006</v>
      </c>
      <c r="R667" s="2">
        <v>88</v>
      </c>
      <c r="S667" s="2">
        <v>93.839200000000005</v>
      </c>
      <c r="T667" s="2">
        <v>33</v>
      </c>
      <c r="U667" s="2">
        <v>0.897787</v>
      </c>
      <c r="V667" s="2">
        <v>13</v>
      </c>
      <c r="W667" s="2">
        <v>2012</v>
      </c>
    </row>
    <row r="668" spans="1:23" ht="12.3" x14ac:dyDescent="0.4">
      <c r="A668" s="2" t="s">
        <v>116</v>
      </c>
      <c r="B668" s="2">
        <v>9</v>
      </c>
      <c r="C668" s="3" t="s">
        <v>33</v>
      </c>
      <c r="D668" s="2"/>
      <c r="E668" s="2"/>
      <c r="F668" s="2"/>
      <c r="G668" s="2"/>
      <c r="H668" s="2"/>
      <c r="I668" s="2">
        <v>63.272199999999998</v>
      </c>
      <c r="J668" s="2">
        <v>293</v>
      </c>
      <c r="K668" s="2">
        <v>62.837499999999999</v>
      </c>
      <c r="L668" s="2">
        <v>303</v>
      </c>
      <c r="M668" s="2">
        <v>109.19459999999999</v>
      </c>
      <c r="N668" s="2">
        <v>35</v>
      </c>
      <c r="O668" s="2">
        <v>109.18729999999999</v>
      </c>
      <c r="P668" s="2">
        <v>41</v>
      </c>
      <c r="Q668" s="2">
        <v>89.926000000000002</v>
      </c>
      <c r="R668" s="2">
        <v>9</v>
      </c>
      <c r="S668" s="2">
        <v>90.936700000000002</v>
      </c>
      <c r="T668" s="2">
        <v>13</v>
      </c>
      <c r="U668" s="2">
        <v>0.89122900000000005</v>
      </c>
      <c r="V668" s="2">
        <v>14</v>
      </c>
      <c r="W668" s="2">
        <v>2012</v>
      </c>
    </row>
    <row r="669" spans="1:23" ht="12.3" x14ac:dyDescent="0.4">
      <c r="A669" s="2" t="s">
        <v>62</v>
      </c>
      <c r="B669" s="2">
        <v>3</v>
      </c>
      <c r="C669" s="3" t="s">
        <v>33</v>
      </c>
      <c r="D669" s="2"/>
      <c r="E669" s="2"/>
      <c r="F669" s="2"/>
      <c r="G669" s="2"/>
      <c r="H669" s="2"/>
      <c r="I669" s="2">
        <v>63.630499999999998</v>
      </c>
      <c r="J669" s="2">
        <v>281</v>
      </c>
      <c r="K669" s="2">
        <v>63.254600000000003</v>
      </c>
      <c r="L669" s="2">
        <v>294</v>
      </c>
      <c r="M669" s="2">
        <v>105.8721</v>
      </c>
      <c r="N669" s="2">
        <v>79</v>
      </c>
      <c r="O669" s="2">
        <v>108.2437</v>
      </c>
      <c r="P669" s="2">
        <v>52</v>
      </c>
      <c r="Q669" s="2">
        <v>91.401399999999995</v>
      </c>
      <c r="R669" s="2">
        <v>16</v>
      </c>
      <c r="S669" s="2">
        <v>90.226600000000005</v>
      </c>
      <c r="T669" s="2">
        <v>10</v>
      </c>
      <c r="U669" s="2">
        <v>0.890289</v>
      </c>
      <c r="V669" s="2">
        <v>15</v>
      </c>
      <c r="W669" s="2">
        <v>2012</v>
      </c>
    </row>
    <row r="670" spans="1:23" ht="12.3" x14ac:dyDescent="0.4">
      <c r="A670" s="2" t="s">
        <v>32</v>
      </c>
      <c r="B670" s="2">
        <v>2</v>
      </c>
      <c r="C670" s="2"/>
      <c r="D670" s="2"/>
      <c r="E670" s="2"/>
      <c r="F670" s="2"/>
      <c r="G670" s="2"/>
      <c r="H670" s="2"/>
      <c r="I670" s="2">
        <v>68.288200000000003</v>
      </c>
      <c r="J670" s="2">
        <v>74</v>
      </c>
      <c r="K670" s="2">
        <v>67.581800000000001</v>
      </c>
      <c r="L670" s="2">
        <v>100</v>
      </c>
      <c r="M670" s="2">
        <v>112.61660000000001</v>
      </c>
      <c r="N670" s="2">
        <v>12</v>
      </c>
      <c r="O670" s="2">
        <v>115.14190000000001</v>
      </c>
      <c r="P670" s="2">
        <v>9</v>
      </c>
      <c r="Q670" s="2">
        <v>99.596500000000006</v>
      </c>
      <c r="R670" s="2">
        <v>143</v>
      </c>
      <c r="S670" s="2">
        <v>96.386899999999997</v>
      </c>
      <c r="T670" s="2">
        <v>72</v>
      </c>
      <c r="U670" s="2">
        <v>0.88540399999999997</v>
      </c>
      <c r="V670" s="2">
        <v>16</v>
      </c>
      <c r="W670" s="2">
        <v>2012</v>
      </c>
    </row>
    <row r="671" spans="1:23" ht="12.3" x14ac:dyDescent="0.4">
      <c r="A671" s="2" t="s">
        <v>115</v>
      </c>
      <c r="B671" s="2">
        <v>5</v>
      </c>
      <c r="C671" s="3" t="s">
        <v>33</v>
      </c>
      <c r="D671" s="2"/>
      <c r="E671" s="2"/>
      <c r="F671" s="2"/>
      <c r="G671" s="2"/>
      <c r="H671" s="2"/>
      <c r="I671" s="2">
        <v>66.386499999999998</v>
      </c>
      <c r="J671" s="2">
        <v>161</v>
      </c>
      <c r="K671" s="2">
        <v>66.707099999999997</v>
      </c>
      <c r="L671" s="2">
        <v>136</v>
      </c>
      <c r="M671" s="2">
        <v>108.81</v>
      </c>
      <c r="N671" s="2">
        <v>41</v>
      </c>
      <c r="O671" s="2">
        <v>108.72320000000001</v>
      </c>
      <c r="P671" s="2">
        <v>46</v>
      </c>
      <c r="Q671" s="2">
        <v>89.635900000000007</v>
      </c>
      <c r="R671" s="2">
        <v>6</v>
      </c>
      <c r="S671" s="2">
        <v>91.095299999999995</v>
      </c>
      <c r="T671" s="2">
        <v>14</v>
      </c>
      <c r="U671" s="2">
        <v>0.884355</v>
      </c>
      <c r="V671" s="2">
        <v>17</v>
      </c>
      <c r="W671" s="2">
        <v>2012</v>
      </c>
    </row>
    <row r="672" spans="1:23" ht="12.3" x14ac:dyDescent="0.4">
      <c r="A672" s="2" t="s">
        <v>39</v>
      </c>
      <c r="B672" s="2">
        <v>3</v>
      </c>
      <c r="C672" s="3" t="s">
        <v>33</v>
      </c>
      <c r="D672" s="3" t="s">
        <v>33</v>
      </c>
      <c r="E672" s="2"/>
      <c r="F672" s="2"/>
      <c r="G672" s="2"/>
      <c r="H672" s="2"/>
      <c r="I672" s="2">
        <v>70.675399999999996</v>
      </c>
      <c r="J672" s="2">
        <v>25</v>
      </c>
      <c r="K672" s="2">
        <v>71.380099999999999</v>
      </c>
      <c r="L672" s="2">
        <v>15</v>
      </c>
      <c r="M672" s="2">
        <v>107.28830000000001</v>
      </c>
      <c r="N672" s="2">
        <v>58</v>
      </c>
      <c r="O672" s="2">
        <v>109.9601</v>
      </c>
      <c r="P672" s="2">
        <v>29</v>
      </c>
      <c r="Q672" s="2">
        <v>93.815399999999997</v>
      </c>
      <c r="R672" s="2">
        <v>37</v>
      </c>
      <c r="S672" s="2">
        <v>92.522599999999997</v>
      </c>
      <c r="T672" s="2">
        <v>20</v>
      </c>
      <c r="U672" s="2">
        <v>0.87928099999999998</v>
      </c>
      <c r="V672" s="2">
        <v>18</v>
      </c>
      <c r="W672" s="2">
        <v>2012</v>
      </c>
    </row>
    <row r="673" spans="1:23" ht="12.3" x14ac:dyDescent="0.4">
      <c r="A673" s="2" t="s">
        <v>37</v>
      </c>
      <c r="B673" s="2">
        <v>7</v>
      </c>
      <c r="C673" s="3" t="s">
        <v>33</v>
      </c>
      <c r="D673" s="3" t="s">
        <v>33</v>
      </c>
      <c r="E673" s="3" t="s">
        <v>33</v>
      </c>
      <c r="F673" s="2"/>
      <c r="G673" s="2"/>
      <c r="H673" s="2"/>
      <c r="I673" s="2">
        <v>65.099599999999995</v>
      </c>
      <c r="J673" s="2">
        <v>223</v>
      </c>
      <c r="K673" s="2">
        <v>64.867599999999996</v>
      </c>
      <c r="L673" s="2">
        <v>234</v>
      </c>
      <c r="M673" s="2">
        <v>115.67310000000001</v>
      </c>
      <c r="N673" s="2">
        <v>6</v>
      </c>
      <c r="O673" s="2">
        <v>118.5885</v>
      </c>
      <c r="P673" s="2">
        <v>3</v>
      </c>
      <c r="Q673" s="2">
        <v>100.7488</v>
      </c>
      <c r="R673" s="2">
        <v>170</v>
      </c>
      <c r="S673" s="2">
        <v>100.08329999999999</v>
      </c>
      <c r="T673" s="2">
        <v>146</v>
      </c>
      <c r="U673" s="2">
        <v>0.87556100000000003</v>
      </c>
      <c r="V673" s="2">
        <v>19</v>
      </c>
      <c r="W673" s="2">
        <v>2012</v>
      </c>
    </row>
    <row r="674" spans="1:23" ht="12.3" x14ac:dyDescent="0.4">
      <c r="A674" s="2" t="s">
        <v>86</v>
      </c>
      <c r="B674" s="2">
        <v>4</v>
      </c>
      <c r="C674" s="3" t="s">
        <v>33</v>
      </c>
      <c r="D674" s="3" t="s">
        <v>33</v>
      </c>
      <c r="E674" s="3" t="s">
        <v>33</v>
      </c>
      <c r="F674" s="3" t="s">
        <v>33</v>
      </c>
      <c r="G674" s="2"/>
      <c r="H674" s="2"/>
      <c r="I674" s="2">
        <v>67.836600000000004</v>
      </c>
      <c r="J674" s="2">
        <v>91</v>
      </c>
      <c r="K674" s="2">
        <v>67.644300000000001</v>
      </c>
      <c r="L674" s="2">
        <v>97</v>
      </c>
      <c r="M674" s="2">
        <v>99.940799999999996</v>
      </c>
      <c r="N674" s="2">
        <v>188</v>
      </c>
      <c r="O674" s="2">
        <v>102.45229999999999</v>
      </c>
      <c r="P674" s="2">
        <v>139</v>
      </c>
      <c r="Q674" s="2">
        <v>89.026600000000002</v>
      </c>
      <c r="R674" s="2">
        <v>4</v>
      </c>
      <c r="S674" s="2">
        <v>86.516400000000004</v>
      </c>
      <c r="T674" s="2">
        <v>1</v>
      </c>
      <c r="U674" s="2">
        <v>0.87481600000000004</v>
      </c>
      <c r="V674" s="2">
        <v>20</v>
      </c>
      <c r="W674" s="2">
        <v>2012</v>
      </c>
    </row>
    <row r="675" spans="1:23" ht="12.3" x14ac:dyDescent="0.4">
      <c r="A675" s="2" t="s">
        <v>148</v>
      </c>
      <c r="B675" s="2">
        <v>8</v>
      </c>
      <c r="C675" s="3" t="s">
        <v>33</v>
      </c>
      <c r="D675" s="2"/>
      <c r="E675" s="2"/>
      <c r="F675" s="2"/>
      <c r="G675" s="2"/>
      <c r="H675" s="2"/>
      <c r="I675" s="2">
        <v>67.371899999999997</v>
      </c>
      <c r="J675" s="2">
        <v>113</v>
      </c>
      <c r="K675" s="2">
        <v>67.217500000000001</v>
      </c>
      <c r="L675" s="2">
        <v>113</v>
      </c>
      <c r="M675" s="2">
        <v>104.8916</v>
      </c>
      <c r="N675" s="2">
        <v>98</v>
      </c>
      <c r="O675" s="2">
        <v>108.6262</v>
      </c>
      <c r="P675" s="2">
        <v>50</v>
      </c>
      <c r="Q675" s="2">
        <v>93.613600000000005</v>
      </c>
      <c r="R675" s="2">
        <v>35</v>
      </c>
      <c r="S675" s="2">
        <v>91.874600000000001</v>
      </c>
      <c r="T675" s="2">
        <v>17</v>
      </c>
      <c r="U675" s="2">
        <v>0.87281799999999998</v>
      </c>
      <c r="V675" s="2">
        <v>21</v>
      </c>
      <c r="W675" s="2">
        <v>2012</v>
      </c>
    </row>
    <row r="676" spans="1:23" ht="12.3" x14ac:dyDescent="0.4">
      <c r="A676" s="2" t="s">
        <v>20</v>
      </c>
      <c r="B676" s="2">
        <v>3</v>
      </c>
      <c r="C676" s="3" t="s">
        <v>33</v>
      </c>
      <c r="D676" s="2"/>
      <c r="E676" s="2"/>
      <c r="F676" s="2"/>
      <c r="G676" s="2"/>
      <c r="H676" s="2"/>
      <c r="I676" s="2">
        <v>67.796499999999995</v>
      </c>
      <c r="J676" s="2">
        <v>94</v>
      </c>
      <c r="K676" s="2">
        <v>67.657399999999996</v>
      </c>
      <c r="L676" s="2">
        <v>96</v>
      </c>
      <c r="M676" s="2">
        <v>102.1193</v>
      </c>
      <c r="N676" s="2">
        <v>149</v>
      </c>
      <c r="O676" s="2">
        <v>106.69589999999999</v>
      </c>
      <c r="P676" s="2">
        <v>72</v>
      </c>
      <c r="Q676" s="2">
        <v>91.799199999999999</v>
      </c>
      <c r="R676" s="2">
        <v>18</v>
      </c>
      <c r="S676" s="2">
        <v>90.330500000000001</v>
      </c>
      <c r="T676" s="2">
        <v>11</v>
      </c>
      <c r="U676" s="2">
        <v>0.87156100000000003</v>
      </c>
      <c r="V676" s="2">
        <v>22</v>
      </c>
      <c r="W676" s="2">
        <v>2012</v>
      </c>
    </row>
    <row r="677" spans="1:23" ht="12.3" x14ac:dyDescent="0.4">
      <c r="A677" s="2" t="s">
        <v>154</v>
      </c>
      <c r="B677" s="2">
        <v>4</v>
      </c>
      <c r="C677" s="2"/>
      <c r="D677" s="2"/>
      <c r="E677" s="2"/>
      <c r="F677" s="2"/>
      <c r="G677" s="2"/>
      <c r="H677" s="2"/>
      <c r="I677" s="2">
        <v>61.420400000000001</v>
      </c>
      <c r="J677" s="2">
        <v>328</v>
      </c>
      <c r="K677" s="2">
        <v>61.382800000000003</v>
      </c>
      <c r="L677" s="2">
        <v>326</v>
      </c>
      <c r="M677" s="2">
        <v>107.44799999999999</v>
      </c>
      <c r="N677" s="2">
        <v>55</v>
      </c>
      <c r="O677" s="2">
        <v>111.7586</v>
      </c>
      <c r="P677" s="2">
        <v>23</v>
      </c>
      <c r="Q677" s="2">
        <v>100.20359999999999</v>
      </c>
      <c r="R677" s="2">
        <v>156</v>
      </c>
      <c r="S677" s="2">
        <v>95.213800000000006</v>
      </c>
      <c r="T677" s="2">
        <v>55</v>
      </c>
      <c r="U677" s="2">
        <v>0.86324199999999995</v>
      </c>
      <c r="V677" s="2">
        <v>23</v>
      </c>
      <c r="W677" s="2">
        <v>2012</v>
      </c>
    </row>
    <row r="678" spans="1:23" ht="12.3" x14ac:dyDescent="0.4">
      <c r="A678" s="2" t="s">
        <v>87</v>
      </c>
      <c r="B678" s="2">
        <v>10</v>
      </c>
      <c r="C678" s="2"/>
      <c r="D678" s="2"/>
      <c r="E678" s="2"/>
      <c r="F678" s="2"/>
      <c r="G678" s="2"/>
      <c r="H678" s="2"/>
      <c r="I678" s="2">
        <v>60.991300000000003</v>
      </c>
      <c r="J678" s="2">
        <v>333</v>
      </c>
      <c r="K678" s="2">
        <v>60.427900000000001</v>
      </c>
      <c r="L678" s="2">
        <v>339</v>
      </c>
      <c r="M678" s="2">
        <v>102.8552</v>
      </c>
      <c r="N678" s="2">
        <v>133</v>
      </c>
      <c r="O678" s="2">
        <v>103.51009999999999</v>
      </c>
      <c r="P678" s="2">
        <v>121</v>
      </c>
      <c r="Q678" s="2">
        <v>87.612499999999997</v>
      </c>
      <c r="R678" s="2">
        <v>1</v>
      </c>
      <c r="S678" s="2">
        <v>88.729299999999995</v>
      </c>
      <c r="T678" s="2">
        <v>3</v>
      </c>
      <c r="U678" s="2">
        <v>0.85469399999999995</v>
      </c>
      <c r="V678" s="2">
        <v>24</v>
      </c>
      <c r="W678" s="2">
        <v>2012</v>
      </c>
    </row>
    <row r="679" spans="1:23" ht="12.3" x14ac:dyDescent="0.4">
      <c r="A679" s="2" t="s">
        <v>47</v>
      </c>
      <c r="B679" s="2">
        <v>7</v>
      </c>
      <c r="C679" s="3" t="s">
        <v>33</v>
      </c>
      <c r="D679" s="2"/>
      <c r="E679" s="2"/>
      <c r="F679" s="2"/>
      <c r="G679" s="2"/>
      <c r="H679" s="2"/>
      <c r="I679" s="2">
        <v>66.878399999999999</v>
      </c>
      <c r="J679" s="2">
        <v>138</v>
      </c>
      <c r="K679" s="2">
        <v>65.924000000000007</v>
      </c>
      <c r="L679" s="2">
        <v>176</v>
      </c>
      <c r="M679" s="2">
        <v>110.6649</v>
      </c>
      <c r="N679" s="2">
        <v>22</v>
      </c>
      <c r="O679" s="2">
        <v>109.6611</v>
      </c>
      <c r="P679" s="2">
        <v>32</v>
      </c>
      <c r="Q679" s="2">
        <v>94.435299999999998</v>
      </c>
      <c r="R679" s="2">
        <v>44</v>
      </c>
      <c r="S679" s="2">
        <v>94.050399999999996</v>
      </c>
      <c r="T679" s="2">
        <v>37</v>
      </c>
      <c r="U679" s="2">
        <v>0.85395799999999999</v>
      </c>
      <c r="V679" s="2">
        <v>25</v>
      </c>
      <c r="W679" s="2">
        <v>2012</v>
      </c>
    </row>
    <row r="680" spans="1:23" ht="12.3" x14ac:dyDescent="0.4">
      <c r="A680" s="2" t="s">
        <v>146</v>
      </c>
      <c r="B680" s="2">
        <v>8</v>
      </c>
      <c r="C680" s="3" t="s">
        <v>33</v>
      </c>
      <c r="D680" s="2"/>
      <c r="E680" s="2"/>
      <c r="F680" s="2"/>
      <c r="G680" s="2"/>
      <c r="H680" s="2"/>
      <c r="I680" s="2">
        <v>67.623000000000005</v>
      </c>
      <c r="J680" s="2">
        <v>99</v>
      </c>
      <c r="K680" s="2">
        <v>67.298699999999997</v>
      </c>
      <c r="L680" s="2">
        <v>110</v>
      </c>
      <c r="M680" s="2">
        <v>108.2958</v>
      </c>
      <c r="N680" s="2">
        <v>43</v>
      </c>
      <c r="O680" s="2">
        <v>110.18040000000001</v>
      </c>
      <c r="P680" s="2">
        <v>28</v>
      </c>
      <c r="Q680" s="2">
        <v>98.741500000000002</v>
      </c>
      <c r="R680" s="2">
        <v>120</v>
      </c>
      <c r="S680" s="2">
        <v>94.775599999999997</v>
      </c>
      <c r="T680" s="2">
        <v>50</v>
      </c>
      <c r="U680" s="2">
        <v>0.849665</v>
      </c>
      <c r="V680" s="2">
        <v>26</v>
      </c>
      <c r="W680" s="2">
        <v>2012</v>
      </c>
    </row>
    <row r="681" spans="1:23" ht="12.3" x14ac:dyDescent="0.4">
      <c r="A681" s="2" t="s">
        <v>49</v>
      </c>
      <c r="B681" s="2">
        <v>9</v>
      </c>
      <c r="C681" s="2"/>
      <c r="D681" s="2"/>
      <c r="E681" s="2"/>
      <c r="F681" s="2"/>
      <c r="G681" s="2"/>
      <c r="H681" s="2"/>
      <c r="I681" s="2">
        <v>63.344799999999999</v>
      </c>
      <c r="J681" s="2">
        <v>290</v>
      </c>
      <c r="K681" s="2">
        <v>63.413200000000003</v>
      </c>
      <c r="L681" s="2">
        <v>290</v>
      </c>
      <c r="M681" s="2">
        <v>101.7572</v>
      </c>
      <c r="N681" s="2">
        <v>159</v>
      </c>
      <c r="O681" s="2">
        <v>103.1698</v>
      </c>
      <c r="P681" s="2">
        <v>130</v>
      </c>
      <c r="Q681" s="2">
        <v>91.271100000000004</v>
      </c>
      <c r="R681" s="2">
        <v>15</v>
      </c>
      <c r="S681" s="2">
        <v>89.130499999999998</v>
      </c>
      <c r="T681" s="2">
        <v>4</v>
      </c>
      <c r="U681" s="2">
        <v>0.84319100000000002</v>
      </c>
      <c r="V681" s="2">
        <v>27</v>
      </c>
      <c r="W681" s="2">
        <v>2012</v>
      </c>
    </row>
    <row r="682" spans="1:23" ht="12.3" x14ac:dyDescent="0.4">
      <c r="A682" s="2" t="s">
        <v>188</v>
      </c>
      <c r="B682" s="2">
        <v>12</v>
      </c>
      <c r="C682" s="2"/>
      <c r="D682" s="2"/>
      <c r="E682" s="2"/>
      <c r="F682" s="2"/>
      <c r="G682" s="2"/>
      <c r="H682" s="2"/>
      <c r="I682" s="2">
        <v>67.520399999999995</v>
      </c>
      <c r="J682" s="2">
        <v>108</v>
      </c>
      <c r="K682" s="2">
        <v>67.317499999999995</v>
      </c>
      <c r="L682" s="2">
        <v>109</v>
      </c>
      <c r="M682" s="2">
        <v>109.32599999999999</v>
      </c>
      <c r="N682" s="2">
        <v>34</v>
      </c>
      <c r="O682" s="2">
        <v>109.1621</v>
      </c>
      <c r="P682" s="2">
        <v>42</v>
      </c>
      <c r="Q682" s="2">
        <v>95.209800000000001</v>
      </c>
      <c r="R682" s="2">
        <v>54</v>
      </c>
      <c r="S682" s="2">
        <v>94.413700000000006</v>
      </c>
      <c r="T682" s="2">
        <v>44</v>
      </c>
      <c r="U682" s="2">
        <v>0.84146799999999999</v>
      </c>
      <c r="V682" s="2">
        <v>28</v>
      </c>
      <c r="W682" s="2">
        <v>2012</v>
      </c>
    </row>
    <row r="683" spans="1:23" ht="12.3" x14ac:dyDescent="0.4">
      <c r="A683" s="2" t="s">
        <v>67</v>
      </c>
      <c r="B683" s="2">
        <v>11</v>
      </c>
      <c r="C683" s="2"/>
      <c r="D683" s="2"/>
      <c r="E683" s="2"/>
      <c r="F683" s="2"/>
      <c r="G683" s="2"/>
      <c r="H683" s="2"/>
      <c r="I683" s="2">
        <v>66.9636</v>
      </c>
      <c r="J683" s="2">
        <v>131</v>
      </c>
      <c r="K683" s="2">
        <v>65.994900000000001</v>
      </c>
      <c r="L683" s="2">
        <v>171</v>
      </c>
      <c r="M683" s="2">
        <v>108.17230000000001</v>
      </c>
      <c r="N683" s="2">
        <v>45</v>
      </c>
      <c r="O683" s="2">
        <v>111.3908</v>
      </c>
      <c r="P683" s="2">
        <v>26</v>
      </c>
      <c r="Q683" s="2">
        <v>98.885300000000001</v>
      </c>
      <c r="R683" s="2">
        <v>123</v>
      </c>
      <c r="S683" s="2">
        <v>96.347200000000001</v>
      </c>
      <c r="T683" s="2">
        <v>71</v>
      </c>
      <c r="U683" s="2">
        <v>0.84137399999999996</v>
      </c>
      <c r="V683" s="2">
        <v>29</v>
      </c>
      <c r="W683" s="2">
        <v>2012</v>
      </c>
    </row>
    <row r="684" spans="1:23" ht="12.3" x14ac:dyDescent="0.4">
      <c r="A684" s="2" t="s">
        <v>244</v>
      </c>
      <c r="B684" s="2">
        <v>14</v>
      </c>
      <c r="C684" s="2"/>
      <c r="D684" s="2"/>
      <c r="E684" s="2"/>
      <c r="F684" s="2"/>
      <c r="G684" s="2"/>
      <c r="H684" s="2"/>
      <c r="I684" s="2">
        <v>68.949799999999996</v>
      </c>
      <c r="J684" s="2">
        <v>50</v>
      </c>
      <c r="K684" s="2">
        <v>68.453900000000004</v>
      </c>
      <c r="L684" s="2">
        <v>64</v>
      </c>
      <c r="M684" s="2">
        <v>117.67270000000001</v>
      </c>
      <c r="N684" s="2">
        <v>2</v>
      </c>
      <c r="O684" s="2">
        <v>114.14319999999999</v>
      </c>
      <c r="P684" s="2">
        <v>13</v>
      </c>
      <c r="Q684" s="2">
        <v>96.848600000000005</v>
      </c>
      <c r="R684" s="2">
        <v>76</v>
      </c>
      <c r="S684" s="2">
        <v>98.941400000000002</v>
      </c>
      <c r="T684" s="2">
        <v>126</v>
      </c>
      <c r="U684" s="2">
        <v>0.83803000000000005</v>
      </c>
      <c r="V684" s="2">
        <v>30</v>
      </c>
      <c r="W684" s="2">
        <v>2012</v>
      </c>
    </row>
    <row r="685" spans="1:23" ht="12.3" x14ac:dyDescent="0.4">
      <c r="A685" s="2" t="s">
        <v>181</v>
      </c>
      <c r="B685" s="2">
        <v>6</v>
      </c>
      <c r="C685" s="3" t="s">
        <v>33</v>
      </c>
      <c r="D685" s="2"/>
      <c r="E685" s="2"/>
      <c r="F685" s="2"/>
      <c r="G685" s="2"/>
      <c r="H685" s="2"/>
      <c r="I685" s="2">
        <v>66.222499999999997</v>
      </c>
      <c r="J685" s="2">
        <v>172</v>
      </c>
      <c r="K685" s="2">
        <v>66.082300000000004</v>
      </c>
      <c r="L685" s="2">
        <v>164</v>
      </c>
      <c r="M685" s="2">
        <v>111.221</v>
      </c>
      <c r="N685" s="2">
        <v>21</v>
      </c>
      <c r="O685" s="2">
        <v>107.9331</v>
      </c>
      <c r="P685" s="2">
        <v>57</v>
      </c>
      <c r="Q685" s="2">
        <v>93.220500000000001</v>
      </c>
      <c r="R685" s="2">
        <v>30</v>
      </c>
      <c r="S685" s="2">
        <v>93.606499999999997</v>
      </c>
      <c r="T685" s="2">
        <v>30</v>
      </c>
      <c r="U685" s="2">
        <v>0.83722600000000003</v>
      </c>
      <c r="V685" s="2">
        <v>31</v>
      </c>
      <c r="W685" s="2">
        <v>2012</v>
      </c>
    </row>
    <row r="686" spans="1:23" ht="12.3" x14ac:dyDescent="0.4">
      <c r="A686" s="2" t="s">
        <v>34</v>
      </c>
      <c r="B686" s="2">
        <v>6</v>
      </c>
      <c r="C686" s="3" t="s">
        <v>33</v>
      </c>
      <c r="D686" s="3" t="s">
        <v>33</v>
      </c>
      <c r="E686" s="2"/>
      <c r="F686" s="2"/>
      <c r="G686" s="2"/>
      <c r="H686" s="2"/>
      <c r="I686" s="2">
        <v>64.048599999999993</v>
      </c>
      <c r="J686" s="2">
        <v>275</v>
      </c>
      <c r="K686" s="2">
        <v>63.737200000000001</v>
      </c>
      <c r="L686" s="2">
        <v>281</v>
      </c>
      <c r="M686" s="2">
        <v>105.0352</v>
      </c>
      <c r="N686" s="2">
        <v>96</v>
      </c>
      <c r="O686" s="2">
        <v>107.64919999999999</v>
      </c>
      <c r="P686" s="2">
        <v>59</v>
      </c>
      <c r="Q686" s="2">
        <v>94.356999999999999</v>
      </c>
      <c r="R686" s="2">
        <v>42</v>
      </c>
      <c r="S686" s="2">
        <v>93.372299999999996</v>
      </c>
      <c r="T686" s="2">
        <v>27</v>
      </c>
      <c r="U686" s="2">
        <v>0.83702500000000002</v>
      </c>
      <c r="V686" s="2">
        <v>32</v>
      </c>
      <c r="W686" s="2">
        <v>2012</v>
      </c>
    </row>
    <row r="687" spans="1:23" ht="12.3" x14ac:dyDescent="0.4">
      <c r="A687" s="2" t="s">
        <v>121</v>
      </c>
      <c r="B687" s="2">
        <v>10</v>
      </c>
      <c r="C687" s="3" t="s">
        <v>33</v>
      </c>
      <c r="D687" s="2"/>
      <c r="E687" s="2"/>
      <c r="F687" s="2"/>
      <c r="G687" s="2"/>
      <c r="H687" s="2"/>
      <c r="I687" s="2">
        <v>64.807599999999994</v>
      </c>
      <c r="J687" s="2">
        <v>238</v>
      </c>
      <c r="K687" s="2">
        <v>65.447100000000006</v>
      </c>
      <c r="L687" s="2">
        <v>202</v>
      </c>
      <c r="M687" s="2">
        <v>111.36799999999999</v>
      </c>
      <c r="N687" s="2">
        <v>20</v>
      </c>
      <c r="O687" s="2">
        <v>114.9153</v>
      </c>
      <c r="P687" s="2">
        <v>10</v>
      </c>
      <c r="Q687" s="2">
        <v>101.87949999999999</v>
      </c>
      <c r="R687" s="2">
        <v>194</v>
      </c>
      <c r="S687" s="2">
        <v>99.754099999999994</v>
      </c>
      <c r="T687" s="2">
        <v>140</v>
      </c>
      <c r="U687" s="2">
        <v>0.83577199999999996</v>
      </c>
      <c r="V687" s="2">
        <v>33</v>
      </c>
      <c r="W687" s="2">
        <v>2012</v>
      </c>
    </row>
    <row r="688" spans="1:23" ht="12.3" x14ac:dyDescent="0.4">
      <c r="A688" s="2" t="s">
        <v>88</v>
      </c>
      <c r="B688" s="2">
        <v>5</v>
      </c>
      <c r="C688" s="2"/>
      <c r="D688" s="2"/>
      <c r="E688" s="2"/>
      <c r="F688" s="2"/>
      <c r="G688" s="2"/>
      <c r="H688" s="2"/>
      <c r="I688" s="2">
        <v>67.942300000000003</v>
      </c>
      <c r="J688" s="2">
        <v>83</v>
      </c>
      <c r="K688" s="2">
        <v>66.950900000000004</v>
      </c>
      <c r="L688" s="2">
        <v>126</v>
      </c>
      <c r="M688" s="2">
        <v>109.9401</v>
      </c>
      <c r="N688" s="2">
        <v>29</v>
      </c>
      <c r="O688" s="2">
        <v>112.4097</v>
      </c>
      <c r="P688" s="2">
        <v>21</v>
      </c>
      <c r="Q688" s="2">
        <v>100.7389</v>
      </c>
      <c r="R688" s="2">
        <v>169</v>
      </c>
      <c r="S688" s="2">
        <v>97.833500000000001</v>
      </c>
      <c r="T688" s="2">
        <v>100</v>
      </c>
      <c r="U688" s="2">
        <v>0.83162100000000005</v>
      </c>
      <c r="V688" s="2">
        <v>34</v>
      </c>
      <c r="W688" s="2">
        <v>2012</v>
      </c>
    </row>
    <row r="689" spans="1:23" ht="12.3" x14ac:dyDescent="0.4">
      <c r="A689" s="2" t="s">
        <v>255</v>
      </c>
      <c r="B689" s="2">
        <v>12</v>
      </c>
      <c r="C689" s="2"/>
      <c r="D689" s="2"/>
      <c r="E689" s="2"/>
      <c r="F689" s="2"/>
      <c r="G689" s="2"/>
      <c r="H689" s="2"/>
      <c r="I689" s="2">
        <v>60.792000000000002</v>
      </c>
      <c r="J689" s="2">
        <v>337</v>
      </c>
      <c r="K689" s="2">
        <v>61.1614</v>
      </c>
      <c r="L689" s="2">
        <v>329</v>
      </c>
      <c r="M689" s="2">
        <v>106.5193</v>
      </c>
      <c r="N689" s="2">
        <v>68</v>
      </c>
      <c r="O689" s="2">
        <v>106.8588</v>
      </c>
      <c r="P689" s="2">
        <v>69</v>
      </c>
      <c r="Q689" s="2">
        <v>89.941900000000004</v>
      </c>
      <c r="R689" s="2">
        <v>10</v>
      </c>
      <c r="S689" s="2">
        <v>93.030299999999997</v>
      </c>
      <c r="T689" s="2">
        <v>22</v>
      </c>
      <c r="U689" s="2">
        <v>0.83113700000000001</v>
      </c>
      <c r="V689" s="2">
        <v>35</v>
      </c>
      <c r="W689" s="2">
        <v>2012</v>
      </c>
    </row>
    <row r="690" spans="1:23" ht="12.3" x14ac:dyDescent="0.4">
      <c r="A690" s="2" t="s">
        <v>109</v>
      </c>
      <c r="B690" s="2">
        <v>6</v>
      </c>
      <c r="C690" s="2"/>
      <c r="D690" s="2"/>
      <c r="E690" s="2"/>
      <c r="F690" s="2"/>
      <c r="G690" s="2"/>
      <c r="H690" s="2"/>
      <c r="I690" s="2">
        <v>68.980599999999995</v>
      </c>
      <c r="J690" s="2">
        <v>49</v>
      </c>
      <c r="K690" s="2">
        <v>69.725200000000001</v>
      </c>
      <c r="L690" s="2">
        <v>30</v>
      </c>
      <c r="M690" s="2">
        <v>107.48180000000001</v>
      </c>
      <c r="N690" s="2">
        <v>54</v>
      </c>
      <c r="O690" s="2">
        <v>106.8185</v>
      </c>
      <c r="P690" s="2">
        <v>71</v>
      </c>
      <c r="Q690" s="2">
        <v>94.639600000000002</v>
      </c>
      <c r="R690" s="2">
        <v>45</v>
      </c>
      <c r="S690" s="2">
        <v>93.001800000000003</v>
      </c>
      <c r="T690" s="2">
        <v>21</v>
      </c>
      <c r="U690" s="2">
        <v>0.83102200000000004</v>
      </c>
      <c r="V690" s="2">
        <v>36</v>
      </c>
      <c r="W690" s="2">
        <v>2012</v>
      </c>
    </row>
    <row r="691" spans="1:23" ht="12.3" x14ac:dyDescent="0.4">
      <c r="A691" s="2" t="s">
        <v>57</v>
      </c>
      <c r="B691" s="2">
        <v>12</v>
      </c>
      <c r="C691" s="2"/>
      <c r="D691" s="2"/>
      <c r="E691" s="2"/>
      <c r="F691" s="2"/>
      <c r="G691" s="2"/>
      <c r="H691" s="2"/>
      <c r="I691" s="2">
        <v>66.589399999999998</v>
      </c>
      <c r="J691" s="2">
        <v>150</v>
      </c>
      <c r="K691" s="2">
        <v>67.2119</v>
      </c>
      <c r="L691" s="2">
        <v>114</v>
      </c>
      <c r="M691" s="2">
        <v>107.8545</v>
      </c>
      <c r="N691" s="2">
        <v>47</v>
      </c>
      <c r="O691" s="2">
        <v>108.8378</v>
      </c>
      <c r="P691" s="2">
        <v>45</v>
      </c>
      <c r="Q691" s="2">
        <v>92.4816</v>
      </c>
      <c r="R691" s="2">
        <v>25</v>
      </c>
      <c r="S691" s="2">
        <v>94.772400000000005</v>
      </c>
      <c r="T691" s="2">
        <v>49</v>
      </c>
      <c r="U691" s="2">
        <v>0.83080900000000002</v>
      </c>
      <c r="V691" s="2">
        <v>37</v>
      </c>
      <c r="W691" s="2">
        <v>2012</v>
      </c>
    </row>
    <row r="692" spans="1:23" ht="12.3" x14ac:dyDescent="0.4">
      <c r="A692" s="2" t="s">
        <v>90</v>
      </c>
      <c r="B692" s="2">
        <v>8</v>
      </c>
      <c r="C692" s="3" t="s">
        <v>33</v>
      </c>
      <c r="D692" s="2"/>
      <c r="E692" s="2"/>
      <c r="F692" s="2"/>
      <c r="G692" s="2"/>
      <c r="H692" s="2"/>
      <c r="I692" s="2">
        <v>67.535300000000007</v>
      </c>
      <c r="J692" s="2">
        <v>106</v>
      </c>
      <c r="K692" s="2">
        <v>67.036799999999999</v>
      </c>
      <c r="L692" s="2">
        <v>120</v>
      </c>
      <c r="M692" s="2">
        <v>117.3257</v>
      </c>
      <c r="N692" s="2">
        <v>3</v>
      </c>
      <c r="O692" s="2">
        <v>117.5104</v>
      </c>
      <c r="P692" s="2">
        <v>5</v>
      </c>
      <c r="Q692" s="2">
        <v>102.3886</v>
      </c>
      <c r="R692" s="2">
        <v>201</v>
      </c>
      <c r="S692" s="2">
        <v>102.413</v>
      </c>
      <c r="T692" s="2">
        <v>195</v>
      </c>
      <c r="U692" s="2">
        <v>0.829403</v>
      </c>
      <c r="V692" s="2">
        <v>38</v>
      </c>
      <c r="W692" s="2">
        <v>2012</v>
      </c>
    </row>
    <row r="693" spans="1:23" ht="12.3" x14ac:dyDescent="0.4">
      <c r="A693" s="2" t="s">
        <v>54</v>
      </c>
      <c r="B693" s="2">
        <v>9</v>
      </c>
      <c r="C693" s="2"/>
      <c r="D693" s="2"/>
      <c r="E693" s="2"/>
      <c r="F693" s="2"/>
      <c r="G693" s="2"/>
      <c r="H693" s="2"/>
      <c r="I693" s="2">
        <v>64.173400000000001</v>
      </c>
      <c r="J693" s="2">
        <v>273</v>
      </c>
      <c r="K693" s="2">
        <v>63.941099999999999</v>
      </c>
      <c r="L693" s="2">
        <v>273</v>
      </c>
      <c r="M693" s="2">
        <v>106.0234</v>
      </c>
      <c r="N693" s="2">
        <v>77</v>
      </c>
      <c r="O693" s="2">
        <v>109.0886</v>
      </c>
      <c r="P693" s="2">
        <v>43</v>
      </c>
      <c r="Q693" s="2">
        <v>98.967799999999997</v>
      </c>
      <c r="R693" s="2">
        <v>127</v>
      </c>
      <c r="S693" s="2">
        <v>95.779899999999998</v>
      </c>
      <c r="T693" s="2">
        <v>61</v>
      </c>
      <c r="U693" s="2">
        <v>0.81701100000000004</v>
      </c>
      <c r="V693" s="2">
        <v>41</v>
      </c>
      <c r="W693" s="2">
        <v>2012</v>
      </c>
    </row>
    <row r="694" spans="1:23" ht="12.3" x14ac:dyDescent="0.4">
      <c r="A694" s="2" t="s">
        <v>56</v>
      </c>
      <c r="B694" s="2">
        <v>7</v>
      </c>
      <c r="C694" s="2"/>
      <c r="D694" s="2"/>
      <c r="E694" s="2"/>
      <c r="F694" s="2"/>
      <c r="G694" s="2"/>
      <c r="H694" s="2"/>
      <c r="I694" s="2">
        <v>61.853000000000002</v>
      </c>
      <c r="J694" s="2">
        <v>324</v>
      </c>
      <c r="K694" s="2">
        <v>61.328499999999998</v>
      </c>
      <c r="L694" s="2">
        <v>327</v>
      </c>
      <c r="M694" s="2">
        <v>105.7932</v>
      </c>
      <c r="N694" s="2">
        <v>82</v>
      </c>
      <c r="O694" s="2">
        <v>107.71299999999999</v>
      </c>
      <c r="P694" s="2">
        <v>58</v>
      </c>
      <c r="Q694" s="2">
        <v>98.037099999999995</v>
      </c>
      <c r="R694" s="2">
        <v>100</v>
      </c>
      <c r="S694" s="2">
        <v>94.888499999999993</v>
      </c>
      <c r="T694" s="2">
        <v>51</v>
      </c>
      <c r="U694" s="2">
        <v>0.81120099999999995</v>
      </c>
      <c r="V694" s="2">
        <v>42</v>
      </c>
      <c r="W694" s="2">
        <v>2012</v>
      </c>
    </row>
    <row r="695" spans="1:23" ht="12.3" x14ac:dyDescent="0.4">
      <c r="A695" s="2" t="s">
        <v>262</v>
      </c>
      <c r="B695" s="2">
        <v>7</v>
      </c>
      <c r="C695" s="2"/>
      <c r="D695" s="2"/>
      <c r="E695" s="2"/>
      <c r="F695" s="2"/>
      <c r="G695" s="2"/>
      <c r="H695" s="2"/>
      <c r="I695" s="2">
        <v>64.491100000000003</v>
      </c>
      <c r="J695" s="2">
        <v>250</v>
      </c>
      <c r="K695" s="2">
        <v>64.027100000000004</v>
      </c>
      <c r="L695" s="2">
        <v>270</v>
      </c>
      <c r="M695" s="2">
        <v>113.5955</v>
      </c>
      <c r="N695" s="2">
        <v>10</v>
      </c>
      <c r="O695" s="2">
        <v>112.8068</v>
      </c>
      <c r="P695" s="2">
        <v>20</v>
      </c>
      <c r="Q695" s="2">
        <v>97.141999999999996</v>
      </c>
      <c r="R695" s="2">
        <v>82</v>
      </c>
      <c r="S695" s="2">
        <v>99.446100000000001</v>
      </c>
      <c r="T695" s="2">
        <v>135</v>
      </c>
      <c r="U695" s="2">
        <v>0.80995200000000001</v>
      </c>
      <c r="V695" s="2">
        <v>43</v>
      </c>
      <c r="W695" s="2">
        <v>2012</v>
      </c>
    </row>
    <row r="696" spans="1:23" ht="12.3" x14ac:dyDescent="0.4">
      <c r="A696" s="2" t="s">
        <v>137</v>
      </c>
      <c r="B696" s="2">
        <v>12</v>
      </c>
      <c r="C696" s="3" t="s">
        <v>33</v>
      </c>
      <c r="D696" s="2"/>
      <c r="E696" s="2"/>
      <c r="F696" s="2"/>
      <c r="G696" s="2"/>
      <c r="H696" s="2"/>
      <c r="I696" s="2">
        <v>65.1751</v>
      </c>
      <c r="J696" s="2">
        <v>218</v>
      </c>
      <c r="K696" s="2">
        <v>66.358599999999996</v>
      </c>
      <c r="L696" s="2">
        <v>147</v>
      </c>
      <c r="M696" s="2">
        <v>104.1292</v>
      </c>
      <c r="N696" s="2">
        <v>110</v>
      </c>
      <c r="O696" s="2">
        <v>105.6999</v>
      </c>
      <c r="P696" s="2">
        <v>84</v>
      </c>
      <c r="Q696" s="2">
        <v>90.847300000000004</v>
      </c>
      <c r="R696" s="2">
        <v>12</v>
      </c>
      <c r="S696" s="2">
        <v>93.357799999999997</v>
      </c>
      <c r="T696" s="2">
        <v>26</v>
      </c>
      <c r="U696" s="2">
        <v>0.80657299999999998</v>
      </c>
      <c r="V696" s="2">
        <v>44</v>
      </c>
      <c r="W696" s="2">
        <v>2012</v>
      </c>
    </row>
    <row r="697" spans="1:23" ht="12.3" x14ac:dyDescent="0.4">
      <c r="A697" s="2" t="s">
        <v>229</v>
      </c>
      <c r="B697" s="2">
        <v>10</v>
      </c>
      <c r="C697" s="2"/>
      <c r="D697" s="2"/>
      <c r="E697" s="2"/>
      <c r="F697" s="2"/>
      <c r="G697" s="2"/>
      <c r="H697" s="2"/>
      <c r="I697" s="2">
        <v>65.250900000000001</v>
      </c>
      <c r="J697" s="2">
        <v>215</v>
      </c>
      <c r="K697" s="2">
        <v>64.912599999999998</v>
      </c>
      <c r="L697" s="2">
        <v>228</v>
      </c>
      <c r="M697" s="2">
        <v>106.45650000000001</v>
      </c>
      <c r="N697" s="2">
        <v>69</v>
      </c>
      <c r="O697" s="2">
        <v>109.5359</v>
      </c>
      <c r="P697" s="2">
        <v>37</v>
      </c>
      <c r="Q697" s="2">
        <v>99.449600000000004</v>
      </c>
      <c r="R697" s="2">
        <v>137</v>
      </c>
      <c r="S697" s="2">
        <v>97.072699999999998</v>
      </c>
      <c r="T697" s="2">
        <v>82</v>
      </c>
      <c r="U697" s="2">
        <v>0.80044999999999999</v>
      </c>
      <c r="V697" s="2">
        <v>45</v>
      </c>
      <c r="W697" s="2">
        <v>2012</v>
      </c>
    </row>
    <row r="698" spans="1:23" ht="12.3" x14ac:dyDescent="0.4">
      <c r="A698" s="2" t="s">
        <v>97</v>
      </c>
      <c r="B698" s="2">
        <v>6</v>
      </c>
      <c r="C698" s="2"/>
      <c r="D698" s="2"/>
      <c r="E698" s="2"/>
      <c r="F698" s="2"/>
      <c r="G698" s="2"/>
      <c r="H698" s="2"/>
      <c r="I698" s="2">
        <v>66.7547</v>
      </c>
      <c r="J698" s="2">
        <v>145</v>
      </c>
      <c r="K698" s="2">
        <v>66.705799999999996</v>
      </c>
      <c r="L698" s="2">
        <v>137</v>
      </c>
      <c r="M698" s="2">
        <v>103.8913</v>
      </c>
      <c r="N698" s="2">
        <v>115</v>
      </c>
      <c r="O698" s="2">
        <v>105.3074</v>
      </c>
      <c r="P698" s="2">
        <v>92</v>
      </c>
      <c r="Q698" s="2">
        <v>94.889600000000002</v>
      </c>
      <c r="R698" s="2">
        <v>49</v>
      </c>
      <c r="S698" s="2">
        <v>93.882099999999994</v>
      </c>
      <c r="T698" s="2">
        <v>34</v>
      </c>
      <c r="U698" s="2">
        <v>0.78929899999999997</v>
      </c>
      <c r="V698" s="2">
        <v>46</v>
      </c>
      <c r="W698" s="2">
        <v>2012</v>
      </c>
    </row>
    <row r="699" spans="1:23" ht="12.3" x14ac:dyDescent="0.4">
      <c r="A699" s="2" t="s">
        <v>55</v>
      </c>
      <c r="B699" s="2">
        <v>11</v>
      </c>
      <c r="C699" s="3" t="s">
        <v>33</v>
      </c>
      <c r="D699" s="3" t="s">
        <v>33</v>
      </c>
      <c r="E699" s="2"/>
      <c r="F699" s="2"/>
      <c r="G699" s="2"/>
      <c r="H699" s="2"/>
      <c r="I699" s="2">
        <v>67.999399999999994</v>
      </c>
      <c r="J699" s="2">
        <v>81</v>
      </c>
      <c r="K699" s="2">
        <v>68.107799999999997</v>
      </c>
      <c r="L699" s="2">
        <v>80</v>
      </c>
      <c r="M699" s="2">
        <v>107.7067</v>
      </c>
      <c r="N699" s="2">
        <v>49</v>
      </c>
      <c r="O699" s="2">
        <v>109.67570000000001</v>
      </c>
      <c r="P699" s="2">
        <v>31</v>
      </c>
      <c r="Q699" s="2">
        <v>99.628100000000003</v>
      </c>
      <c r="R699" s="2">
        <v>144</v>
      </c>
      <c r="S699" s="2">
        <v>98.019599999999997</v>
      </c>
      <c r="T699" s="2">
        <v>106</v>
      </c>
      <c r="U699" s="2">
        <v>0.78451000000000004</v>
      </c>
      <c r="V699" s="2">
        <v>49</v>
      </c>
      <c r="W699" s="2">
        <v>2012</v>
      </c>
    </row>
    <row r="700" spans="1:23" ht="12.3" x14ac:dyDescent="0.4">
      <c r="A700" s="2" t="s">
        <v>106</v>
      </c>
      <c r="B700" s="2">
        <v>14</v>
      </c>
      <c r="C700" s="2"/>
      <c r="D700" s="2"/>
      <c r="E700" s="2"/>
      <c r="F700" s="2"/>
      <c r="G700" s="2"/>
      <c r="H700" s="2"/>
      <c r="I700" s="2">
        <v>65.037800000000004</v>
      </c>
      <c r="J700" s="2">
        <v>228</v>
      </c>
      <c r="K700" s="2">
        <v>64.166300000000007</v>
      </c>
      <c r="L700" s="2">
        <v>261</v>
      </c>
      <c r="M700" s="2">
        <v>107.3471</v>
      </c>
      <c r="N700" s="2">
        <v>57</v>
      </c>
      <c r="O700" s="2">
        <v>108.7195</v>
      </c>
      <c r="P700" s="2">
        <v>47</v>
      </c>
      <c r="Q700" s="2">
        <v>98.656899999999993</v>
      </c>
      <c r="R700" s="2">
        <v>119</v>
      </c>
      <c r="S700" s="2">
        <v>97.498199999999997</v>
      </c>
      <c r="T700" s="2">
        <v>93</v>
      </c>
      <c r="U700" s="2">
        <v>0.77778000000000003</v>
      </c>
      <c r="V700" s="2">
        <v>50</v>
      </c>
      <c r="W700" s="2">
        <v>2012</v>
      </c>
    </row>
    <row r="701" spans="1:23" ht="12.3" x14ac:dyDescent="0.4">
      <c r="A701" s="2" t="s">
        <v>103</v>
      </c>
      <c r="B701" s="2">
        <v>12</v>
      </c>
      <c r="C701" s="3" t="s">
        <v>33</v>
      </c>
      <c r="D701" s="2"/>
      <c r="E701" s="2"/>
      <c r="F701" s="2"/>
      <c r="G701" s="2"/>
      <c r="H701" s="2"/>
      <c r="I701" s="2">
        <v>59.781999999999996</v>
      </c>
      <c r="J701" s="2">
        <v>342</v>
      </c>
      <c r="K701" s="2">
        <v>59.849800000000002</v>
      </c>
      <c r="L701" s="2">
        <v>342</v>
      </c>
      <c r="M701" s="2">
        <v>97.666600000000003</v>
      </c>
      <c r="N701" s="2">
        <v>240</v>
      </c>
      <c r="O701" s="2">
        <v>99.433000000000007</v>
      </c>
      <c r="P701" s="2">
        <v>208</v>
      </c>
      <c r="Q701" s="2">
        <v>95.072299999999998</v>
      </c>
      <c r="R701" s="2">
        <v>52</v>
      </c>
      <c r="S701" s="2">
        <v>89.369900000000001</v>
      </c>
      <c r="T701" s="2">
        <v>6</v>
      </c>
      <c r="U701" s="2">
        <v>0.77330299999999996</v>
      </c>
      <c r="V701" s="2">
        <v>52</v>
      </c>
      <c r="W701" s="2">
        <v>2012</v>
      </c>
    </row>
    <row r="702" spans="1:23" ht="12.3" x14ac:dyDescent="0.4">
      <c r="A702" s="2" t="s">
        <v>50</v>
      </c>
      <c r="B702" s="2">
        <v>10</v>
      </c>
      <c r="C702" s="2"/>
      <c r="D702" s="2"/>
      <c r="E702" s="2"/>
      <c r="F702" s="2"/>
      <c r="G702" s="2"/>
      <c r="H702" s="2"/>
      <c r="I702" s="2">
        <v>67.698400000000007</v>
      </c>
      <c r="J702" s="2">
        <v>98</v>
      </c>
      <c r="K702" s="2">
        <v>67.575299999999999</v>
      </c>
      <c r="L702" s="2">
        <v>101</v>
      </c>
      <c r="M702" s="2">
        <v>103.35080000000001</v>
      </c>
      <c r="N702" s="2">
        <v>122</v>
      </c>
      <c r="O702" s="2">
        <v>105.8775</v>
      </c>
      <c r="P702" s="2">
        <v>81</v>
      </c>
      <c r="Q702" s="2">
        <v>98.516800000000003</v>
      </c>
      <c r="R702" s="2">
        <v>113</v>
      </c>
      <c r="S702" s="2">
        <v>95.396500000000003</v>
      </c>
      <c r="T702" s="2">
        <v>59</v>
      </c>
      <c r="U702" s="2">
        <v>0.76830699999999996</v>
      </c>
      <c r="V702" s="2">
        <v>55</v>
      </c>
      <c r="W702" s="2">
        <v>2012</v>
      </c>
    </row>
    <row r="703" spans="1:23" ht="12.3" x14ac:dyDescent="0.4">
      <c r="A703" s="2" t="s">
        <v>118</v>
      </c>
      <c r="B703" s="2">
        <v>13</v>
      </c>
      <c r="C703" s="2"/>
      <c r="D703" s="2"/>
      <c r="E703" s="2"/>
      <c r="F703" s="2"/>
      <c r="G703" s="2"/>
      <c r="H703" s="2"/>
      <c r="I703" s="2">
        <v>70.774500000000003</v>
      </c>
      <c r="J703" s="2">
        <v>21</v>
      </c>
      <c r="K703" s="2">
        <v>70.852900000000005</v>
      </c>
      <c r="L703" s="2">
        <v>19</v>
      </c>
      <c r="M703" s="2">
        <v>108.89709999999999</v>
      </c>
      <c r="N703" s="2">
        <v>38</v>
      </c>
      <c r="O703" s="2">
        <v>106.6245</v>
      </c>
      <c r="P703" s="2">
        <v>73</v>
      </c>
      <c r="Q703" s="2">
        <v>95.885999999999996</v>
      </c>
      <c r="R703" s="2">
        <v>63</v>
      </c>
      <c r="S703" s="2">
        <v>96.213399999999993</v>
      </c>
      <c r="T703" s="2">
        <v>69</v>
      </c>
      <c r="U703" s="2">
        <v>0.76522800000000002</v>
      </c>
      <c r="V703" s="2">
        <v>56</v>
      </c>
      <c r="W703" s="2">
        <v>2012</v>
      </c>
    </row>
    <row r="704" spans="1:23" ht="12.3" x14ac:dyDescent="0.4">
      <c r="A704" s="2" t="s">
        <v>241</v>
      </c>
      <c r="B704" s="2">
        <v>14</v>
      </c>
      <c r="C704" s="2"/>
      <c r="D704" s="2"/>
      <c r="E704" s="2"/>
      <c r="F704" s="2"/>
      <c r="G704" s="2"/>
      <c r="H704" s="2"/>
      <c r="I704" s="2">
        <v>71.166399999999996</v>
      </c>
      <c r="J704" s="2">
        <v>18</v>
      </c>
      <c r="K704" s="2">
        <v>70.546800000000005</v>
      </c>
      <c r="L704" s="2">
        <v>22</v>
      </c>
      <c r="M704" s="2">
        <v>115.69880000000001</v>
      </c>
      <c r="N704" s="2">
        <v>5</v>
      </c>
      <c r="O704" s="2">
        <v>114.25790000000001</v>
      </c>
      <c r="P704" s="2">
        <v>12</v>
      </c>
      <c r="Q704" s="2">
        <v>100.6866</v>
      </c>
      <c r="R704" s="2">
        <v>167</v>
      </c>
      <c r="S704" s="2">
        <v>103.18210000000001</v>
      </c>
      <c r="T704" s="2">
        <v>213</v>
      </c>
      <c r="U704" s="2">
        <v>0.76361000000000001</v>
      </c>
      <c r="V704" s="2">
        <v>57</v>
      </c>
      <c r="W704" s="2">
        <v>2012</v>
      </c>
    </row>
    <row r="705" spans="1:23" ht="12.3" x14ac:dyDescent="0.4">
      <c r="A705" s="2" t="s">
        <v>151</v>
      </c>
      <c r="B705" s="2">
        <v>13</v>
      </c>
      <c r="C705" s="3" t="s">
        <v>33</v>
      </c>
      <c r="D705" s="3" t="s">
        <v>33</v>
      </c>
      <c r="E705" s="2"/>
      <c r="F705" s="2"/>
      <c r="G705" s="2"/>
      <c r="H705" s="2"/>
      <c r="I705" s="2">
        <v>67.107699999999994</v>
      </c>
      <c r="J705" s="2">
        <v>123</v>
      </c>
      <c r="K705" s="2">
        <v>67.1738</v>
      </c>
      <c r="L705" s="2">
        <v>115</v>
      </c>
      <c r="M705" s="2">
        <v>104.36839999999999</v>
      </c>
      <c r="N705" s="2">
        <v>106</v>
      </c>
      <c r="O705" s="2">
        <v>104.4235</v>
      </c>
      <c r="P705" s="2">
        <v>106</v>
      </c>
      <c r="Q705" s="2">
        <v>93.230500000000006</v>
      </c>
      <c r="R705" s="2">
        <v>31</v>
      </c>
      <c r="S705" s="2">
        <v>94.395200000000003</v>
      </c>
      <c r="T705" s="2">
        <v>43</v>
      </c>
      <c r="U705" s="2">
        <v>0.76153099999999996</v>
      </c>
      <c r="V705" s="2">
        <v>58</v>
      </c>
      <c r="W705" s="2">
        <v>2012</v>
      </c>
    </row>
    <row r="706" spans="1:23" ht="12.3" x14ac:dyDescent="0.4">
      <c r="A706" s="2" t="s">
        <v>96</v>
      </c>
      <c r="B706" s="2">
        <v>14</v>
      </c>
      <c r="C706" s="2"/>
      <c r="D706" s="2"/>
      <c r="E706" s="2"/>
      <c r="F706" s="2"/>
      <c r="G706" s="2"/>
      <c r="H706" s="2"/>
      <c r="I706" s="2">
        <v>72.506900000000002</v>
      </c>
      <c r="J706" s="2">
        <v>9</v>
      </c>
      <c r="K706" s="2">
        <v>73.224000000000004</v>
      </c>
      <c r="L706" s="2">
        <v>5</v>
      </c>
      <c r="M706" s="2">
        <v>108.0408</v>
      </c>
      <c r="N706" s="2">
        <v>46</v>
      </c>
      <c r="O706" s="2">
        <v>103.62050000000001</v>
      </c>
      <c r="P706" s="2">
        <v>120</v>
      </c>
      <c r="Q706" s="2">
        <v>93.218900000000005</v>
      </c>
      <c r="R706" s="2">
        <v>29</v>
      </c>
      <c r="S706" s="2">
        <v>93.7577</v>
      </c>
      <c r="T706" s="2">
        <v>31</v>
      </c>
      <c r="U706" s="2">
        <v>0.75955499999999998</v>
      </c>
      <c r="V706" s="2">
        <v>61</v>
      </c>
      <c r="W706" s="2">
        <v>2012</v>
      </c>
    </row>
    <row r="707" spans="1:23" ht="12.3" x14ac:dyDescent="0.4">
      <c r="A707" s="2" t="s">
        <v>362</v>
      </c>
      <c r="B707" s="2">
        <v>14</v>
      </c>
      <c r="C707" s="2"/>
      <c r="D707" s="2"/>
      <c r="E707" s="2"/>
      <c r="F707" s="2"/>
      <c r="G707" s="2"/>
      <c r="H707" s="2"/>
      <c r="I707" s="2">
        <v>65.957400000000007</v>
      </c>
      <c r="J707" s="2">
        <v>185</v>
      </c>
      <c r="K707" s="2">
        <v>65.679400000000001</v>
      </c>
      <c r="L707" s="2">
        <v>190</v>
      </c>
      <c r="M707" s="2">
        <v>114.633</v>
      </c>
      <c r="N707" s="2">
        <v>8</v>
      </c>
      <c r="O707" s="2">
        <v>111.4897</v>
      </c>
      <c r="P707" s="2">
        <v>25</v>
      </c>
      <c r="Q707" s="2">
        <v>99.777900000000002</v>
      </c>
      <c r="R707" s="2">
        <v>148</v>
      </c>
      <c r="S707" s="2">
        <v>101.008</v>
      </c>
      <c r="T707" s="2">
        <v>162</v>
      </c>
      <c r="U707" s="2">
        <v>0.75683800000000001</v>
      </c>
      <c r="V707" s="2">
        <v>62</v>
      </c>
      <c r="W707" s="2">
        <v>2012</v>
      </c>
    </row>
    <row r="708" spans="1:23" ht="12.3" x14ac:dyDescent="0.4">
      <c r="A708" s="2" t="s">
        <v>175</v>
      </c>
      <c r="B708" s="2">
        <v>9</v>
      </c>
      <c r="C708" s="2"/>
      <c r="D708" s="2"/>
      <c r="E708" s="2"/>
      <c r="F708" s="2"/>
      <c r="G708" s="2"/>
      <c r="H708" s="2"/>
      <c r="I708" s="2">
        <v>64.409899999999993</v>
      </c>
      <c r="J708" s="2">
        <v>260</v>
      </c>
      <c r="K708" s="2">
        <v>64.934600000000003</v>
      </c>
      <c r="L708" s="2">
        <v>225</v>
      </c>
      <c r="M708" s="2">
        <v>107.11499999999999</v>
      </c>
      <c r="N708" s="2">
        <v>60</v>
      </c>
      <c r="O708" s="2">
        <v>109.2343</v>
      </c>
      <c r="P708" s="2">
        <v>40</v>
      </c>
      <c r="Q708" s="2">
        <v>99.995500000000007</v>
      </c>
      <c r="R708" s="2">
        <v>149</v>
      </c>
      <c r="S708" s="2">
        <v>99.2821</v>
      </c>
      <c r="T708" s="2">
        <v>134</v>
      </c>
      <c r="U708" s="2">
        <v>0.749996</v>
      </c>
      <c r="V708" s="2">
        <v>65</v>
      </c>
      <c r="W708" s="2">
        <v>2012</v>
      </c>
    </row>
    <row r="709" spans="1:23" ht="12.3" x14ac:dyDescent="0.4">
      <c r="A709" s="2" t="s">
        <v>134</v>
      </c>
      <c r="B709" s="2">
        <v>13</v>
      </c>
      <c r="C709" s="2"/>
      <c r="D709" s="2"/>
      <c r="E709" s="2"/>
      <c r="F709" s="2"/>
      <c r="G709" s="2"/>
      <c r="H709" s="2"/>
      <c r="I709" s="2">
        <v>68.455100000000002</v>
      </c>
      <c r="J709" s="2">
        <v>66</v>
      </c>
      <c r="K709" s="2">
        <v>68.133799999999994</v>
      </c>
      <c r="L709" s="2">
        <v>79</v>
      </c>
      <c r="M709" s="2">
        <v>112.3976</v>
      </c>
      <c r="N709" s="2">
        <v>13</v>
      </c>
      <c r="O709" s="2">
        <v>109.65949999999999</v>
      </c>
      <c r="P709" s="2">
        <v>33</v>
      </c>
      <c r="Q709" s="2">
        <v>98.186999999999998</v>
      </c>
      <c r="R709" s="2">
        <v>104</v>
      </c>
      <c r="S709" s="2">
        <v>100.167</v>
      </c>
      <c r="T709" s="2">
        <v>148</v>
      </c>
      <c r="U709" s="2">
        <v>0.73908600000000002</v>
      </c>
      <c r="V709" s="2">
        <v>69</v>
      </c>
      <c r="W709" s="2">
        <v>2012</v>
      </c>
    </row>
    <row r="710" spans="1:23" ht="12.3" x14ac:dyDescent="0.4">
      <c r="A710" s="2" t="s">
        <v>326</v>
      </c>
      <c r="B710" s="2">
        <v>15</v>
      </c>
      <c r="C710" s="2"/>
      <c r="D710" s="2"/>
      <c r="E710" s="2"/>
      <c r="F710" s="2"/>
      <c r="G710" s="2"/>
      <c r="H710" s="2"/>
      <c r="I710" s="2">
        <v>68.317300000000003</v>
      </c>
      <c r="J710" s="2">
        <v>72</v>
      </c>
      <c r="K710" s="2">
        <v>68.608800000000002</v>
      </c>
      <c r="L710" s="2">
        <v>56</v>
      </c>
      <c r="M710" s="2">
        <v>110.0147</v>
      </c>
      <c r="N710" s="2">
        <v>28</v>
      </c>
      <c r="O710" s="2">
        <v>107.3817</v>
      </c>
      <c r="P710" s="2">
        <v>62</v>
      </c>
      <c r="Q710" s="2">
        <v>94.782899999999998</v>
      </c>
      <c r="R710" s="2">
        <v>48</v>
      </c>
      <c r="S710" s="2">
        <v>98.193100000000001</v>
      </c>
      <c r="T710" s="2">
        <v>109</v>
      </c>
      <c r="U710" s="2">
        <v>0.73666600000000004</v>
      </c>
      <c r="V710" s="2">
        <v>72</v>
      </c>
      <c r="W710" s="2">
        <v>2012</v>
      </c>
    </row>
    <row r="711" spans="1:23" ht="12.3" x14ac:dyDescent="0.4">
      <c r="A711" s="2" t="s">
        <v>157</v>
      </c>
      <c r="B711" s="2">
        <v>11</v>
      </c>
      <c r="C711" s="2"/>
      <c r="D711" s="2"/>
      <c r="E711" s="2"/>
      <c r="F711" s="2"/>
      <c r="G711" s="2"/>
      <c r="H711" s="2"/>
      <c r="I711" s="2">
        <v>64.468000000000004</v>
      </c>
      <c r="J711" s="2">
        <v>255</v>
      </c>
      <c r="K711" s="2">
        <v>64.772000000000006</v>
      </c>
      <c r="L711" s="2">
        <v>241</v>
      </c>
      <c r="M711" s="2">
        <v>108.88549999999999</v>
      </c>
      <c r="N711" s="2">
        <v>39</v>
      </c>
      <c r="O711" s="2">
        <v>111.5288</v>
      </c>
      <c r="P711" s="2">
        <v>24</v>
      </c>
      <c r="Q711" s="2">
        <v>104.9198</v>
      </c>
      <c r="R711" s="2">
        <v>262</v>
      </c>
      <c r="S711" s="2">
        <v>102.41070000000001</v>
      </c>
      <c r="T711" s="2">
        <v>194</v>
      </c>
      <c r="U711" s="2">
        <v>0.72727799999999998</v>
      </c>
      <c r="V711" s="2">
        <v>75</v>
      </c>
      <c r="W711" s="2">
        <v>2012</v>
      </c>
    </row>
    <row r="712" spans="1:23" ht="12.3" x14ac:dyDescent="0.4">
      <c r="A712" s="2" t="s">
        <v>234</v>
      </c>
      <c r="B712" s="2">
        <v>13</v>
      </c>
      <c r="C712" s="2"/>
      <c r="D712" s="2"/>
      <c r="E712" s="2"/>
      <c r="F712" s="2"/>
      <c r="G712" s="2"/>
      <c r="H712" s="2"/>
      <c r="I712" s="2">
        <v>66.360699999999994</v>
      </c>
      <c r="J712" s="2">
        <v>164</v>
      </c>
      <c r="K712" s="2">
        <v>65.628500000000003</v>
      </c>
      <c r="L712" s="2">
        <v>193</v>
      </c>
      <c r="M712" s="2">
        <v>106.8279</v>
      </c>
      <c r="N712" s="2">
        <v>62</v>
      </c>
      <c r="O712" s="2">
        <v>101.84350000000001</v>
      </c>
      <c r="P712" s="2">
        <v>151</v>
      </c>
      <c r="Q712" s="2">
        <v>93.354600000000005</v>
      </c>
      <c r="R712" s="2">
        <v>32</v>
      </c>
      <c r="S712" s="2">
        <v>94.484499999999997</v>
      </c>
      <c r="T712" s="2">
        <v>46</v>
      </c>
      <c r="U712" s="2">
        <v>0.70318700000000001</v>
      </c>
      <c r="V712" s="2">
        <v>81</v>
      </c>
      <c r="W712" s="2">
        <v>2012</v>
      </c>
    </row>
    <row r="713" spans="1:23" ht="12.3" x14ac:dyDescent="0.4">
      <c r="A713" s="2" t="s">
        <v>129</v>
      </c>
      <c r="B713" s="2">
        <v>11</v>
      </c>
      <c r="C713" s="3" t="s">
        <v>33</v>
      </c>
      <c r="D713" s="2"/>
      <c r="E713" s="2"/>
      <c r="F713" s="2"/>
      <c r="G713" s="2"/>
      <c r="H713" s="2"/>
      <c r="I713" s="2">
        <v>65.243200000000002</v>
      </c>
      <c r="J713" s="2">
        <v>216</v>
      </c>
      <c r="K713" s="2">
        <v>65.574299999999994</v>
      </c>
      <c r="L713" s="2">
        <v>197</v>
      </c>
      <c r="M713" s="2">
        <v>101.20959999999999</v>
      </c>
      <c r="N713" s="2">
        <v>169</v>
      </c>
      <c r="O713" s="2">
        <v>102.13160000000001</v>
      </c>
      <c r="P713" s="2">
        <v>146</v>
      </c>
      <c r="Q713" s="2">
        <v>96.7881</v>
      </c>
      <c r="R713" s="2">
        <v>74</v>
      </c>
      <c r="S713" s="2">
        <v>94.980099999999993</v>
      </c>
      <c r="T713" s="2">
        <v>53</v>
      </c>
      <c r="U713" s="2">
        <v>0.69737700000000002</v>
      </c>
      <c r="V713" s="2">
        <v>87</v>
      </c>
      <c r="W713" s="2">
        <v>2012</v>
      </c>
    </row>
    <row r="714" spans="1:23" ht="12.3" x14ac:dyDescent="0.4">
      <c r="A714" s="2" t="s">
        <v>266</v>
      </c>
      <c r="B714" s="2">
        <v>16</v>
      </c>
      <c r="C714" s="2"/>
      <c r="D714" s="2"/>
      <c r="E714" s="2"/>
      <c r="F714" s="2"/>
      <c r="G714" s="2"/>
      <c r="H714" s="2"/>
      <c r="I714" s="2">
        <v>68.553600000000003</v>
      </c>
      <c r="J714" s="2">
        <v>62</v>
      </c>
      <c r="K714" s="2">
        <v>67.026300000000006</v>
      </c>
      <c r="L714" s="2">
        <v>121</v>
      </c>
      <c r="M714" s="2">
        <v>105.6296</v>
      </c>
      <c r="N714" s="2">
        <v>85</v>
      </c>
      <c r="O714" s="2">
        <v>105.5522</v>
      </c>
      <c r="P714" s="2">
        <v>86</v>
      </c>
      <c r="Q714" s="2">
        <v>95.410899999999998</v>
      </c>
      <c r="R714" s="2">
        <v>55</v>
      </c>
      <c r="S714" s="2">
        <v>98.787400000000005</v>
      </c>
      <c r="T714" s="2">
        <v>122</v>
      </c>
      <c r="U714" s="2">
        <v>0.68172500000000003</v>
      </c>
      <c r="V714" s="2">
        <v>98</v>
      </c>
      <c r="W714" s="2">
        <v>2012</v>
      </c>
    </row>
    <row r="715" spans="1:23" ht="12.3" x14ac:dyDescent="0.4">
      <c r="A715" s="2" t="s">
        <v>132</v>
      </c>
      <c r="B715" s="2">
        <v>15</v>
      </c>
      <c r="C715" s="2"/>
      <c r="D715" s="2"/>
      <c r="E715" s="2"/>
      <c r="F715" s="2"/>
      <c r="G715" s="2"/>
      <c r="H715" s="2"/>
      <c r="I715" s="2">
        <v>66.800399999999996</v>
      </c>
      <c r="J715" s="2">
        <v>140</v>
      </c>
      <c r="K715" s="2">
        <v>68.207800000000006</v>
      </c>
      <c r="L715" s="2">
        <v>73</v>
      </c>
      <c r="M715" s="2">
        <v>105.69289999999999</v>
      </c>
      <c r="N715" s="2">
        <v>84</v>
      </c>
      <c r="O715" s="2">
        <v>107.17400000000001</v>
      </c>
      <c r="P715" s="2">
        <v>64</v>
      </c>
      <c r="Q715" s="2">
        <v>101.07559999999999</v>
      </c>
      <c r="R715" s="2">
        <v>175</v>
      </c>
      <c r="S715" s="2">
        <v>101.1803</v>
      </c>
      <c r="T715" s="2">
        <v>166</v>
      </c>
      <c r="U715" s="2">
        <v>0.65966999999999998</v>
      </c>
      <c r="V715" s="2">
        <v>107</v>
      </c>
      <c r="W715" s="2">
        <v>2012</v>
      </c>
    </row>
    <row r="716" spans="1:23" ht="12.3" x14ac:dyDescent="0.4">
      <c r="A716" s="2" t="s">
        <v>220</v>
      </c>
      <c r="B716" s="2">
        <v>16</v>
      </c>
      <c r="C716" s="2"/>
      <c r="D716" s="2"/>
      <c r="E716" s="2"/>
      <c r="F716" s="2"/>
      <c r="G716" s="2"/>
      <c r="H716" s="2"/>
      <c r="I716" s="2">
        <v>63.268700000000003</v>
      </c>
      <c r="J716" s="2">
        <v>295</v>
      </c>
      <c r="K716" s="2">
        <v>63.640300000000003</v>
      </c>
      <c r="L716" s="2">
        <v>282</v>
      </c>
      <c r="M716" s="2">
        <v>105.0145</v>
      </c>
      <c r="N716" s="2">
        <v>97</v>
      </c>
      <c r="O716" s="2">
        <v>101.35769999999999</v>
      </c>
      <c r="P716" s="2">
        <v>164</v>
      </c>
      <c r="Q716" s="2">
        <v>94.652500000000003</v>
      </c>
      <c r="R716" s="2">
        <v>47</v>
      </c>
      <c r="S716" s="2">
        <v>97.380399999999995</v>
      </c>
      <c r="T716" s="2">
        <v>90</v>
      </c>
      <c r="U716" s="2">
        <v>0.61309899999999995</v>
      </c>
      <c r="V716" s="2">
        <v>121</v>
      </c>
      <c r="W716" s="2">
        <v>2012</v>
      </c>
    </row>
    <row r="717" spans="1:23" ht="12.3" x14ac:dyDescent="0.4">
      <c r="A717" s="2" t="s">
        <v>281</v>
      </c>
      <c r="B717" s="2">
        <v>16</v>
      </c>
      <c r="C717" s="2"/>
      <c r="D717" s="2"/>
      <c r="E717" s="2"/>
      <c r="F717" s="2"/>
      <c r="G717" s="2"/>
      <c r="H717" s="2"/>
      <c r="I717" s="2">
        <v>70.191299999999998</v>
      </c>
      <c r="J717" s="2">
        <v>31</v>
      </c>
      <c r="K717" s="2">
        <v>69.466700000000003</v>
      </c>
      <c r="L717" s="2">
        <v>35</v>
      </c>
      <c r="M717" s="2">
        <v>111.4371</v>
      </c>
      <c r="N717" s="2">
        <v>19</v>
      </c>
      <c r="O717" s="2">
        <v>107.1992</v>
      </c>
      <c r="P717" s="2">
        <v>63</v>
      </c>
      <c r="Q717" s="2">
        <v>102.30589999999999</v>
      </c>
      <c r="R717" s="2">
        <v>200</v>
      </c>
      <c r="S717" s="2">
        <v>103.1621</v>
      </c>
      <c r="T717" s="2">
        <v>212</v>
      </c>
      <c r="U717" s="2">
        <v>0.60860400000000003</v>
      </c>
      <c r="V717" s="2">
        <v>122</v>
      </c>
      <c r="W717" s="2">
        <v>2012</v>
      </c>
    </row>
    <row r="718" spans="1:23" ht="12.3" x14ac:dyDescent="0.4">
      <c r="A718" s="2" t="s">
        <v>340</v>
      </c>
      <c r="B718" s="2">
        <v>15</v>
      </c>
      <c r="C718" s="2"/>
      <c r="D718" s="2"/>
      <c r="E718" s="2"/>
      <c r="F718" s="2"/>
      <c r="G718" s="2"/>
      <c r="H718" s="2"/>
      <c r="I718" s="2">
        <v>65.218000000000004</v>
      </c>
      <c r="J718" s="2">
        <v>217</v>
      </c>
      <c r="K718" s="2">
        <v>64.148899999999998</v>
      </c>
      <c r="L718" s="2">
        <v>262</v>
      </c>
      <c r="M718" s="2">
        <v>103.69289999999999</v>
      </c>
      <c r="N718" s="2">
        <v>117</v>
      </c>
      <c r="O718" s="2">
        <v>102.19240000000001</v>
      </c>
      <c r="P718" s="2">
        <v>144</v>
      </c>
      <c r="Q718" s="2">
        <v>97.623000000000005</v>
      </c>
      <c r="R718" s="2">
        <v>90</v>
      </c>
      <c r="S718" s="2">
        <v>98.6083</v>
      </c>
      <c r="T718" s="2">
        <v>117</v>
      </c>
      <c r="U718" s="2">
        <v>0.60122500000000001</v>
      </c>
      <c r="V718" s="2">
        <v>128</v>
      </c>
      <c r="W718" s="2">
        <v>2012</v>
      </c>
    </row>
    <row r="719" spans="1:23" ht="12.3" x14ac:dyDescent="0.4">
      <c r="A719" s="2" t="s">
        <v>343</v>
      </c>
      <c r="B719" s="2">
        <v>16</v>
      </c>
      <c r="C719" s="2"/>
      <c r="D719" s="2"/>
      <c r="E719" s="2"/>
      <c r="F719" s="2"/>
      <c r="G719" s="2"/>
      <c r="H719" s="2"/>
      <c r="I719" s="2">
        <v>74.972700000000003</v>
      </c>
      <c r="J719" s="2">
        <v>2</v>
      </c>
      <c r="K719" s="2">
        <v>74.442800000000005</v>
      </c>
      <c r="L719" s="2">
        <v>2</v>
      </c>
      <c r="M719" s="2">
        <v>108.8421</v>
      </c>
      <c r="N719" s="2">
        <v>40</v>
      </c>
      <c r="O719" s="2">
        <v>106.8891</v>
      </c>
      <c r="P719" s="2">
        <v>68</v>
      </c>
      <c r="Q719" s="2">
        <v>102.68559999999999</v>
      </c>
      <c r="R719" s="2">
        <v>210</v>
      </c>
      <c r="S719" s="2">
        <v>106.5365</v>
      </c>
      <c r="T719" s="2">
        <v>277</v>
      </c>
      <c r="U719" s="2">
        <v>0.50949999999999995</v>
      </c>
      <c r="V719" s="2">
        <v>161</v>
      </c>
      <c r="W719" s="2">
        <v>2012</v>
      </c>
    </row>
    <row r="720" spans="1:23" ht="12.3" x14ac:dyDescent="0.4">
      <c r="A720" s="2" t="s">
        <v>320</v>
      </c>
      <c r="B720" s="2">
        <v>15</v>
      </c>
      <c r="C720" s="3" t="s">
        <v>33</v>
      </c>
      <c r="D720" s="2"/>
      <c r="E720" s="2"/>
      <c r="F720" s="2"/>
      <c r="G720" s="2"/>
      <c r="H720" s="2"/>
      <c r="I720" s="2">
        <v>68.635000000000005</v>
      </c>
      <c r="J720" s="2">
        <v>57</v>
      </c>
      <c r="K720" s="2">
        <v>67.735500000000002</v>
      </c>
      <c r="L720" s="2">
        <v>92</v>
      </c>
      <c r="M720" s="2">
        <v>100.4777</v>
      </c>
      <c r="N720" s="2">
        <v>178</v>
      </c>
      <c r="O720" s="2">
        <v>98.803200000000004</v>
      </c>
      <c r="P720" s="2">
        <v>217</v>
      </c>
      <c r="Q720" s="2">
        <v>96.478800000000007</v>
      </c>
      <c r="R720" s="2">
        <v>70</v>
      </c>
      <c r="S720" s="2">
        <v>101.0852</v>
      </c>
      <c r="T720" s="2">
        <v>163</v>
      </c>
      <c r="U720" s="2">
        <v>0.434728</v>
      </c>
      <c r="V720" s="2">
        <v>188</v>
      </c>
      <c r="W720" s="2">
        <v>2012</v>
      </c>
    </row>
    <row r="721" spans="1:23" ht="12.3" x14ac:dyDescent="0.4">
      <c r="A721" s="2" t="s">
        <v>68</v>
      </c>
      <c r="B721" s="2">
        <v>16</v>
      </c>
      <c r="C721" s="2"/>
      <c r="D721" s="2"/>
      <c r="E721" s="2"/>
      <c r="F721" s="2"/>
      <c r="G721" s="2"/>
      <c r="H721" s="2"/>
      <c r="I721" s="2">
        <v>68.222099999999998</v>
      </c>
      <c r="J721" s="2">
        <v>77</v>
      </c>
      <c r="K721" s="2">
        <v>68.706400000000002</v>
      </c>
      <c r="L721" s="2">
        <v>53</v>
      </c>
      <c r="M721" s="2">
        <v>94.913600000000002</v>
      </c>
      <c r="N721" s="2">
        <v>282</v>
      </c>
      <c r="O721" s="2">
        <v>97.150300000000001</v>
      </c>
      <c r="P721" s="2">
        <v>247</v>
      </c>
      <c r="Q721" s="2">
        <v>99.162599999999998</v>
      </c>
      <c r="R721" s="2">
        <v>131</v>
      </c>
      <c r="S721" s="2">
        <v>99.748400000000004</v>
      </c>
      <c r="T721" s="2">
        <v>139</v>
      </c>
      <c r="U721" s="2">
        <v>0.42469899999999999</v>
      </c>
      <c r="V721" s="2">
        <v>192</v>
      </c>
      <c r="W721" s="2">
        <v>2012</v>
      </c>
    </row>
    <row r="722" spans="1:23" ht="12.3" x14ac:dyDescent="0.4">
      <c r="A722" s="2" t="s">
        <v>299</v>
      </c>
      <c r="B722" s="2">
        <v>16</v>
      </c>
      <c r="C722" s="2"/>
      <c r="D722" s="2"/>
      <c r="E722" s="2"/>
      <c r="F722" s="2"/>
      <c r="G722" s="2"/>
      <c r="H722" s="2"/>
      <c r="I722" s="2">
        <v>69.792299999999997</v>
      </c>
      <c r="J722" s="2">
        <v>36</v>
      </c>
      <c r="K722" s="2">
        <v>69.7714</v>
      </c>
      <c r="L722" s="2">
        <v>29</v>
      </c>
      <c r="M722" s="2">
        <v>97.946700000000007</v>
      </c>
      <c r="N722" s="2">
        <v>234</v>
      </c>
      <c r="O722" s="2">
        <v>97.327799999999996</v>
      </c>
      <c r="P722" s="2">
        <v>243</v>
      </c>
      <c r="Q722" s="2">
        <v>98.540300000000002</v>
      </c>
      <c r="R722" s="2">
        <v>114</v>
      </c>
      <c r="S722" s="2">
        <v>103.547</v>
      </c>
      <c r="T722" s="2">
        <v>222</v>
      </c>
      <c r="U722" s="2">
        <v>0.32908500000000002</v>
      </c>
      <c r="V722" s="2">
        <v>235</v>
      </c>
      <c r="W722" s="2">
        <v>2012</v>
      </c>
    </row>
    <row r="723" spans="1:23" ht="12.3" x14ac:dyDescent="0.4">
      <c r="A723" s="2" t="s">
        <v>86</v>
      </c>
      <c r="B723" s="2">
        <v>1</v>
      </c>
      <c r="C723" s="3" t="s">
        <v>33</v>
      </c>
      <c r="D723" s="3" t="s">
        <v>33</v>
      </c>
      <c r="E723" s="3" t="s">
        <v>33</v>
      </c>
      <c r="F723" s="3" t="s">
        <v>33</v>
      </c>
      <c r="G723" s="3" t="s">
        <v>33</v>
      </c>
      <c r="H723" s="3" t="s">
        <v>33</v>
      </c>
      <c r="I723" s="2">
        <v>66.668000000000006</v>
      </c>
      <c r="J723" s="2">
        <v>138</v>
      </c>
      <c r="K723" s="2">
        <v>67.232900000000001</v>
      </c>
      <c r="L723" s="2">
        <v>112</v>
      </c>
      <c r="M723" s="2">
        <v>108.6223</v>
      </c>
      <c r="N723" s="2">
        <v>31</v>
      </c>
      <c r="O723" s="2">
        <v>112.1925</v>
      </c>
      <c r="P723" s="2">
        <v>18</v>
      </c>
      <c r="Q723" s="2">
        <v>85.264399999999995</v>
      </c>
      <c r="R723" s="2">
        <v>2</v>
      </c>
      <c r="S723" s="2">
        <v>83.799400000000006</v>
      </c>
      <c r="T723" s="2">
        <v>1</v>
      </c>
      <c r="U723" s="2">
        <v>0.96628700000000001</v>
      </c>
      <c r="V723" s="2">
        <v>1</v>
      </c>
      <c r="W723" s="2">
        <v>2013</v>
      </c>
    </row>
    <row r="724" spans="1:23" ht="12.3" x14ac:dyDescent="0.4">
      <c r="A724" s="2" t="s">
        <v>37</v>
      </c>
      <c r="B724" s="2">
        <v>3</v>
      </c>
      <c r="C724" s="3" t="s">
        <v>33</v>
      </c>
      <c r="D724" s="3" t="s">
        <v>33</v>
      </c>
      <c r="E724" s="3" t="s">
        <v>33</v>
      </c>
      <c r="F724" s="2"/>
      <c r="G724" s="2"/>
      <c r="H724" s="2"/>
      <c r="I724" s="2">
        <v>62.645800000000001</v>
      </c>
      <c r="J724" s="2">
        <v>300</v>
      </c>
      <c r="K724" s="2">
        <v>62.492699999999999</v>
      </c>
      <c r="L724" s="2">
        <v>299</v>
      </c>
      <c r="M724" s="2">
        <v>114.4507</v>
      </c>
      <c r="N724" s="2">
        <v>8</v>
      </c>
      <c r="O724" s="2">
        <v>113.9367</v>
      </c>
      <c r="P724" s="2">
        <v>9</v>
      </c>
      <c r="Q724" s="2">
        <v>85.6828</v>
      </c>
      <c r="R724" s="2">
        <v>3</v>
      </c>
      <c r="S724" s="2">
        <v>87.155100000000004</v>
      </c>
      <c r="T724" s="2">
        <v>4</v>
      </c>
      <c r="U724" s="2">
        <v>0.95612200000000003</v>
      </c>
      <c r="V724" s="2">
        <v>2</v>
      </c>
      <c r="W724" s="2">
        <v>2013</v>
      </c>
    </row>
    <row r="725" spans="1:23" ht="12.3" x14ac:dyDescent="0.4">
      <c r="A725" s="2" t="s">
        <v>47</v>
      </c>
      <c r="B725" s="2">
        <v>1</v>
      </c>
      <c r="C725" s="3" t="s">
        <v>33</v>
      </c>
      <c r="D725" s="2"/>
      <c r="E725" s="2"/>
      <c r="F725" s="2"/>
      <c r="G725" s="2"/>
      <c r="H725" s="2"/>
      <c r="I725" s="2">
        <v>65.064099999999996</v>
      </c>
      <c r="J725" s="2">
        <v>215</v>
      </c>
      <c r="K725" s="2">
        <v>64.624300000000005</v>
      </c>
      <c r="L725" s="2">
        <v>231</v>
      </c>
      <c r="M725" s="2">
        <v>117.92</v>
      </c>
      <c r="N725" s="2">
        <v>1</v>
      </c>
      <c r="O725" s="2">
        <v>118.3677</v>
      </c>
      <c r="P725" s="2">
        <v>2</v>
      </c>
      <c r="Q725" s="2">
        <v>91.5809</v>
      </c>
      <c r="R725" s="2">
        <v>21</v>
      </c>
      <c r="S725" s="2">
        <v>91.925600000000003</v>
      </c>
      <c r="T725" s="2">
        <v>26</v>
      </c>
      <c r="U725" s="2">
        <v>0.94821100000000003</v>
      </c>
      <c r="V725" s="2">
        <v>3</v>
      </c>
      <c r="W725" s="2">
        <v>2013</v>
      </c>
    </row>
    <row r="726" spans="1:23" ht="12.3" x14ac:dyDescent="0.4">
      <c r="A726" s="2" t="s">
        <v>40</v>
      </c>
      <c r="B726" s="2">
        <v>1</v>
      </c>
      <c r="C726" s="3" t="s">
        <v>33</v>
      </c>
      <c r="D726" s="3" t="s">
        <v>33</v>
      </c>
      <c r="E726" s="2"/>
      <c r="F726" s="2"/>
      <c r="G726" s="2"/>
      <c r="H726" s="2"/>
      <c r="I726" s="2">
        <v>67.518900000000002</v>
      </c>
      <c r="J726" s="2">
        <v>101</v>
      </c>
      <c r="K726" s="2">
        <v>67.794700000000006</v>
      </c>
      <c r="L726" s="2">
        <v>86</v>
      </c>
      <c r="M726" s="2">
        <v>117.4251</v>
      </c>
      <c r="N726" s="2">
        <v>2</v>
      </c>
      <c r="O726" s="2">
        <v>120.4208</v>
      </c>
      <c r="P726" s="2">
        <v>1</v>
      </c>
      <c r="Q726" s="2">
        <v>92.293199999999999</v>
      </c>
      <c r="R726" s="2">
        <v>30</v>
      </c>
      <c r="S726" s="2">
        <v>94.176900000000003</v>
      </c>
      <c r="T726" s="2">
        <v>44</v>
      </c>
      <c r="U726" s="2">
        <v>0.94411199999999995</v>
      </c>
      <c r="V726" s="2">
        <v>4</v>
      </c>
      <c r="W726" s="2">
        <v>2013</v>
      </c>
    </row>
    <row r="727" spans="1:23" ht="12.3" x14ac:dyDescent="0.4">
      <c r="A727" s="2" t="s">
        <v>21</v>
      </c>
      <c r="B727" s="2">
        <v>2</v>
      </c>
      <c r="C727" s="3" t="s">
        <v>33</v>
      </c>
      <c r="D727" s="3" t="s">
        <v>33</v>
      </c>
      <c r="E727" s="3" t="s">
        <v>33</v>
      </c>
      <c r="F727" s="2"/>
      <c r="G727" s="2"/>
      <c r="H727" s="2"/>
      <c r="I727" s="2">
        <v>63.558799999999998</v>
      </c>
      <c r="J727" s="2">
        <v>275</v>
      </c>
      <c r="K727" s="2">
        <v>64.305999999999997</v>
      </c>
      <c r="L727" s="2">
        <v>248</v>
      </c>
      <c r="M727" s="2">
        <v>108.62179999999999</v>
      </c>
      <c r="N727" s="2">
        <v>32</v>
      </c>
      <c r="O727" s="2">
        <v>111.7563</v>
      </c>
      <c r="P727" s="2">
        <v>21</v>
      </c>
      <c r="Q727" s="2">
        <v>91.190299999999993</v>
      </c>
      <c r="R727" s="2">
        <v>16</v>
      </c>
      <c r="S727" s="2">
        <v>89.258799999999994</v>
      </c>
      <c r="T727" s="2">
        <v>10</v>
      </c>
      <c r="U727" s="2">
        <v>0.92988899999999997</v>
      </c>
      <c r="V727" s="2">
        <v>5</v>
      </c>
      <c r="W727" s="2">
        <v>2013</v>
      </c>
    </row>
    <row r="728" spans="1:23" ht="12.3" x14ac:dyDescent="0.4">
      <c r="A728" s="2" t="s">
        <v>32</v>
      </c>
      <c r="B728" s="2">
        <v>2</v>
      </c>
      <c r="C728" s="3" t="s">
        <v>33</v>
      </c>
      <c r="D728" s="3" t="s">
        <v>33</v>
      </c>
      <c r="E728" s="3" t="s">
        <v>33</v>
      </c>
      <c r="F728" s="2"/>
      <c r="G728" s="2"/>
      <c r="H728" s="2"/>
      <c r="I728" s="2">
        <v>68.660200000000003</v>
      </c>
      <c r="J728" s="2">
        <v>68</v>
      </c>
      <c r="K728" s="2">
        <v>67.914400000000001</v>
      </c>
      <c r="L728" s="2">
        <v>81</v>
      </c>
      <c r="M728" s="2">
        <v>114.4513</v>
      </c>
      <c r="N728" s="2">
        <v>7</v>
      </c>
      <c r="O728" s="2">
        <v>117.2188</v>
      </c>
      <c r="P728" s="2">
        <v>4</v>
      </c>
      <c r="Q728" s="2">
        <v>95.1267</v>
      </c>
      <c r="R728" s="2">
        <v>59</v>
      </c>
      <c r="S728" s="2">
        <v>93.706400000000002</v>
      </c>
      <c r="T728" s="2">
        <v>39</v>
      </c>
      <c r="U728" s="2">
        <v>0.92920700000000001</v>
      </c>
      <c r="V728" s="2">
        <v>6</v>
      </c>
      <c r="W728" s="2">
        <v>2013</v>
      </c>
    </row>
    <row r="729" spans="1:23" ht="12.3" x14ac:dyDescent="0.4">
      <c r="A729" s="2" t="s">
        <v>35</v>
      </c>
      <c r="B729" s="2">
        <v>1</v>
      </c>
      <c r="C729" s="3" t="s">
        <v>33</v>
      </c>
      <c r="D729" s="3" t="s">
        <v>33</v>
      </c>
      <c r="E729" s="2"/>
      <c r="F729" s="2"/>
      <c r="G729" s="2"/>
      <c r="H729" s="2"/>
      <c r="I729" s="2">
        <v>67.635999999999996</v>
      </c>
      <c r="J729" s="2">
        <v>95</v>
      </c>
      <c r="K729" s="2">
        <v>67.702699999999993</v>
      </c>
      <c r="L729" s="2">
        <v>91</v>
      </c>
      <c r="M729" s="2">
        <v>109.6229</v>
      </c>
      <c r="N729" s="2">
        <v>24</v>
      </c>
      <c r="O729" s="2">
        <v>110.3897</v>
      </c>
      <c r="P729" s="2">
        <v>34</v>
      </c>
      <c r="Q729" s="2">
        <v>89.302999999999997</v>
      </c>
      <c r="R729" s="2">
        <v>9</v>
      </c>
      <c r="S729" s="2">
        <v>88.356099999999998</v>
      </c>
      <c r="T729" s="2">
        <v>6</v>
      </c>
      <c r="U729" s="2">
        <v>0.92826799999999998</v>
      </c>
      <c r="V729" s="2">
        <v>7</v>
      </c>
      <c r="W729" s="2">
        <v>2013</v>
      </c>
    </row>
    <row r="730" spans="1:23" ht="12.3" x14ac:dyDescent="0.4">
      <c r="A730" s="2" t="s">
        <v>46</v>
      </c>
      <c r="B730" s="2">
        <v>8</v>
      </c>
      <c r="C730" s="2"/>
      <c r="D730" s="2"/>
      <c r="E730" s="2"/>
      <c r="F730" s="2"/>
      <c r="G730" s="2"/>
      <c r="H730" s="2"/>
      <c r="I730" s="2">
        <v>60.202500000000001</v>
      </c>
      <c r="J730" s="2">
        <v>342</v>
      </c>
      <c r="K730" s="2">
        <v>60.187199999999997</v>
      </c>
      <c r="L730" s="2">
        <v>339</v>
      </c>
      <c r="M730" s="2">
        <v>114.7007</v>
      </c>
      <c r="N730" s="2">
        <v>6</v>
      </c>
      <c r="O730" s="2">
        <v>113.6168</v>
      </c>
      <c r="P730" s="2">
        <v>10</v>
      </c>
      <c r="Q730" s="2">
        <v>91.251000000000005</v>
      </c>
      <c r="R730" s="2">
        <v>17</v>
      </c>
      <c r="S730" s="2">
        <v>90.956900000000005</v>
      </c>
      <c r="T730" s="2">
        <v>18</v>
      </c>
      <c r="U730" s="2">
        <v>0.928118</v>
      </c>
      <c r="V730" s="2">
        <v>8</v>
      </c>
      <c r="W730" s="2">
        <v>2013</v>
      </c>
    </row>
    <row r="731" spans="1:23" ht="12.3" x14ac:dyDescent="0.4">
      <c r="A731" s="2" t="s">
        <v>62</v>
      </c>
      <c r="B731" s="2">
        <v>2</v>
      </c>
      <c r="C731" s="2"/>
      <c r="D731" s="2"/>
      <c r="E731" s="2"/>
      <c r="F731" s="2"/>
      <c r="G731" s="2"/>
      <c r="H731" s="2"/>
      <c r="I731" s="2">
        <v>62.041600000000003</v>
      </c>
      <c r="J731" s="2">
        <v>311</v>
      </c>
      <c r="K731" s="2">
        <v>61.879100000000001</v>
      </c>
      <c r="L731" s="2">
        <v>313</v>
      </c>
      <c r="M731" s="2">
        <v>102.31489999999999</v>
      </c>
      <c r="N731" s="2">
        <v>140</v>
      </c>
      <c r="O731" s="2">
        <v>105.971</v>
      </c>
      <c r="P731" s="2">
        <v>74</v>
      </c>
      <c r="Q731" s="2">
        <v>88.490600000000001</v>
      </c>
      <c r="R731" s="2">
        <v>6</v>
      </c>
      <c r="S731" s="2">
        <v>85.314400000000006</v>
      </c>
      <c r="T731" s="2">
        <v>2</v>
      </c>
      <c r="U731" s="2">
        <v>0.923682</v>
      </c>
      <c r="V731" s="2">
        <v>9</v>
      </c>
      <c r="W731" s="2">
        <v>2013</v>
      </c>
    </row>
    <row r="732" spans="1:23" ht="12.3" x14ac:dyDescent="0.4">
      <c r="A732" s="2" t="s">
        <v>58</v>
      </c>
      <c r="B732" s="2">
        <v>3</v>
      </c>
      <c r="C732" s="3" t="s">
        <v>33</v>
      </c>
      <c r="D732" s="3" t="s">
        <v>33</v>
      </c>
      <c r="E732" s="2"/>
      <c r="F732" s="2"/>
      <c r="G732" s="2"/>
      <c r="H732" s="2"/>
      <c r="I732" s="2">
        <v>64.110500000000002</v>
      </c>
      <c r="J732" s="2">
        <v>251</v>
      </c>
      <c r="K732" s="2">
        <v>64.399900000000002</v>
      </c>
      <c r="L732" s="2">
        <v>244</v>
      </c>
      <c r="M732" s="2">
        <v>105.28189999999999</v>
      </c>
      <c r="N732" s="2">
        <v>87</v>
      </c>
      <c r="O732" s="2">
        <v>110.50660000000001</v>
      </c>
      <c r="P732" s="2">
        <v>32</v>
      </c>
      <c r="Q732" s="2">
        <v>92.829899999999995</v>
      </c>
      <c r="R732" s="2">
        <v>35</v>
      </c>
      <c r="S732" s="2">
        <v>89.680199999999999</v>
      </c>
      <c r="T732" s="2">
        <v>12</v>
      </c>
      <c r="U732" s="2">
        <v>0.91694200000000003</v>
      </c>
      <c r="V732" s="2">
        <v>10</v>
      </c>
      <c r="W732" s="2">
        <v>2013</v>
      </c>
    </row>
    <row r="733" spans="1:23" ht="12.3" x14ac:dyDescent="0.4">
      <c r="A733" s="2" t="s">
        <v>154</v>
      </c>
      <c r="B733" s="2">
        <v>4</v>
      </c>
      <c r="C733" s="3" t="s">
        <v>33</v>
      </c>
      <c r="D733" s="3" t="s">
        <v>33</v>
      </c>
      <c r="E733" s="3" t="s">
        <v>33</v>
      </c>
      <c r="F733" s="3" t="s">
        <v>33</v>
      </c>
      <c r="G733" s="3" t="s">
        <v>33</v>
      </c>
      <c r="H733" s="2"/>
      <c r="I733" s="2">
        <v>63.828800000000001</v>
      </c>
      <c r="J733" s="2">
        <v>266</v>
      </c>
      <c r="K733" s="2">
        <v>64.980900000000005</v>
      </c>
      <c r="L733" s="2">
        <v>215</v>
      </c>
      <c r="M733" s="2">
        <v>115.60250000000001</v>
      </c>
      <c r="N733" s="2">
        <v>4</v>
      </c>
      <c r="O733" s="2">
        <v>118.0446</v>
      </c>
      <c r="P733" s="2">
        <v>3</v>
      </c>
      <c r="Q733" s="2">
        <v>97.597300000000004</v>
      </c>
      <c r="R733" s="2">
        <v>100</v>
      </c>
      <c r="S733" s="2">
        <v>96.465000000000003</v>
      </c>
      <c r="T733" s="2">
        <v>84</v>
      </c>
      <c r="U733" s="2">
        <v>0.91065300000000005</v>
      </c>
      <c r="V733" s="2">
        <v>11</v>
      </c>
      <c r="W733" s="2">
        <v>2013</v>
      </c>
    </row>
    <row r="734" spans="1:23" ht="12.3" x14ac:dyDescent="0.4">
      <c r="A734" s="2" t="s">
        <v>115</v>
      </c>
      <c r="B734" s="2">
        <v>3</v>
      </c>
      <c r="C734" s="2"/>
      <c r="D734" s="2"/>
      <c r="E734" s="2"/>
      <c r="F734" s="2"/>
      <c r="G734" s="2"/>
      <c r="H734" s="2"/>
      <c r="I734" s="2">
        <v>64.753699999999995</v>
      </c>
      <c r="J734" s="2">
        <v>228</v>
      </c>
      <c r="K734" s="2">
        <v>64.845699999999994</v>
      </c>
      <c r="L734" s="2">
        <v>220</v>
      </c>
      <c r="M734" s="2">
        <v>103.4442</v>
      </c>
      <c r="N734" s="2">
        <v>116</v>
      </c>
      <c r="O734" s="2">
        <v>108.9021</v>
      </c>
      <c r="P734" s="2">
        <v>43</v>
      </c>
      <c r="Q734" s="2">
        <v>92.597999999999999</v>
      </c>
      <c r="R734" s="2">
        <v>33</v>
      </c>
      <c r="S734" s="2">
        <v>89.253699999999995</v>
      </c>
      <c r="T734" s="2">
        <v>9</v>
      </c>
      <c r="U734" s="2">
        <v>0.90788800000000003</v>
      </c>
      <c r="V734" s="2">
        <v>12</v>
      </c>
      <c r="W734" s="2">
        <v>2013</v>
      </c>
    </row>
    <row r="735" spans="1:23" ht="12.3" x14ac:dyDescent="0.4">
      <c r="A735" s="2" t="s">
        <v>76</v>
      </c>
      <c r="B735" s="2">
        <v>5</v>
      </c>
      <c r="C735" s="2"/>
      <c r="D735" s="2"/>
      <c r="E735" s="2"/>
      <c r="F735" s="2"/>
      <c r="G735" s="2"/>
      <c r="H735" s="2"/>
      <c r="I735" s="2">
        <v>61.407600000000002</v>
      </c>
      <c r="J735" s="2">
        <v>327</v>
      </c>
      <c r="K735" s="2">
        <v>61.951599999999999</v>
      </c>
      <c r="L735" s="2">
        <v>310</v>
      </c>
      <c r="M735" s="2">
        <v>105.0175</v>
      </c>
      <c r="N735" s="2">
        <v>91</v>
      </c>
      <c r="O735" s="2">
        <v>104.9075</v>
      </c>
      <c r="P735" s="2">
        <v>94</v>
      </c>
      <c r="Q735" s="2">
        <v>89.877099999999999</v>
      </c>
      <c r="R735" s="2">
        <v>11</v>
      </c>
      <c r="S735" s="2">
        <v>86.222999999999999</v>
      </c>
      <c r="T735" s="2">
        <v>3</v>
      </c>
      <c r="U735" s="2">
        <v>0.90513600000000005</v>
      </c>
      <c r="V735" s="2">
        <v>13</v>
      </c>
      <c r="W735" s="2">
        <v>2013</v>
      </c>
    </row>
    <row r="736" spans="1:23" ht="12.3" x14ac:dyDescent="0.4">
      <c r="A736" s="2" t="s">
        <v>60</v>
      </c>
      <c r="B736" s="2">
        <v>2</v>
      </c>
      <c r="C736" s="3" t="s">
        <v>33</v>
      </c>
      <c r="D736" s="3" t="s">
        <v>33</v>
      </c>
      <c r="E736" s="2"/>
      <c r="F736" s="2"/>
      <c r="G736" s="2"/>
      <c r="H736" s="2"/>
      <c r="I736" s="2">
        <v>64.337800000000001</v>
      </c>
      <c r="J736" s="2">
        <v>241</v>
      </c>
      <c r="K736" s="2">
        <v>63.254399999999997</v>
      </c>
      <c r="L736" s="2">
        <v>282</v>
      </c>
      <c r="M736" s="2">
        <v>108.20869999999999</v>
      </c>
      <c r="N736" s="2">
        <v>37</v>
      </c>
      <c r="O736" s="2">
        <v>111.20359999999999</v>
      </c>
      <c r="P736" s="2">
        <v>26</v>
      </c>
      <c r="Q736" s="2">
        <v>93.923699999999997</v>
      </c>
      <c r="R736" s="2">
        <v>41</v>
      </c>
      <c r="S736" s="2">
        <v>91.599000000000004</v>
      </c>
      <c r="T736" s="2">
        <v>23</v>
      </c>
      <c r="U736" s="2">
        <v>0.90294099999999999</v>
      </c>
      <c r="V736" s="2">
        <v>14</v>
      </c>
      <c r="W736" s="2">
        <v>2013</v>
      </c>
    </row>
    <row r="737" spans="1:23" ht="12.3" x14ac:dyDescent="0.4">
      <c r="A737" s="2" t="s">
        <v>23</v>
      </c>
      <c r="B737" s="2">
        <v>4</v>
      </c>
      <c r="C737" s="3" t="s">
        <v>33</v>
      </c>
      <c r="D737" s="3" t="s">
        <v>33</v>
      </c>
      <c r="E737" s="3" t="s">
        <v>33</v>
      </c>
      <c r="F737" s="3" t="s">
        <v>33</v>
      </c>
      <c r="G737" s="2"/>
      <c r="H737" s="2"/>
      <c r="I737" s="2">
        <v>65.621300000000005</v>
      </c>
      <c r="J737" s="2">
        <v>189</v>
      </c>
      <c r="K737" s="2">
        <v>64.518799999999999</v>
      </c>
      <c r="L737" s="2">
        <v>235</v>
      </c>
      <c r="M737" s="2">
        <v>107.71420000000001</v>
      </c>
      <c r="N737" s="2">
        <v>42</v>
      </c>
      <c r="O737" s="2">
        <v>113.0001</v>
      </c>
      <c r="P737" s="2">
        <v>12</v>
      </c>
      <c r="Q737" s="2">
        <v>92.013599999999997</v>
      </c>
      <c r="R737" s="2">
        <v>25</v>
      </c>
      <c r="S737" s="2">
        <v>93.122500000000002</v>
      </c>
      <c r="T737" s="2">
        <v>36</v>
      </c>
      <c r="U737" s="2">
        <v>0.90246599999999999</v>
      </c>
      <c r="V737" s="2">
        <v>15</v>
      </c>
      <c r="W737" s="2">
        <v>2013</v>
      </c>
    </row>
    <row r="738" spans="1:23" ht="12.3" x14ac:dyDescent="0.4">
      <c r="A738" s="2" t="s">
        <v>116</v>
      </c>
      <c r="B738" s="2">
        <v>4</v>
      </c>
      <c r="C738" s="3" t="s">
        <v>33</v>
      </c>
      <c r="D738" s="2"/>
      <c r="E738" s="2"/>
      <c r="F738" s="2"/>
      <c r="G738" s="2"/>
      <c r="H738" s="2"/>
      <c r="I738" s="2">
        <v>64.612499999999997</v>
      </c>
      <c r="J738" s="2">
        <v>233</v>
      </c>
      <c r="K738" s="2">
        <v>65.117800000000003</v>
      </c>
      <c r="L738" s="2">
        <v>207</v>
      </c>
      <c r="M738" s="2">
        <v>106.0539</v>
      </c>
      <c r="N738" s="2">
        <v>73</v>
      </c>
      <c r="O738" s="2">
        <v>106.3669</v>
      </c>
      <c r="P738" s="2">
        <v>69</v>
      </c>
      <c r="Q738" s="2">
        <v>89.410399999999996</v>
      </c>
      <c r="R738" s="2">
        <v>10</v>
      </c>
      <c r="S738" s="2">
        <v>87.958500000000001</v>
      </c>
      <c r="T738" s="2">
        <v>5</v>
      </c>
      <c r="U738" s="2">
        <v>0.89892499999999997</v>
      </c>
      <c r="V738" s="2">
        <v>16</v>
      </c>
      <c r="W738" s="2">
        <v>2013</v>
      </c>
    </row>
    <row r="739" spans="1:23" ht="12.3" x14ac:dyDescent="0.4">
      <c r="A739" s="2" t="s">
        <v>90</v>
      </c>
      <c r="B739" s="2">
        <v>7</v>
      </c>
      <c r="C739" s="3" t="s">
        <v>33</v>
      </c>
      <c r="D739" s="2"/>
      <c r="E739" s="2"/>
      <c r="F739" s="2"/>
      <c r="G739" s="2"/>
      <c r="H739" s="2"/>
      <c r="I739" s="2">
        <v>65.093400000000003</v>
      </c>
      <c r="J739" s="2">
        <v>213</v>
      </c>
      <c r="K739" s="2">
        <v>64.997399999999999</v>
      </c>
      <c r="L739" s="2">
        <v>213</v>
      </c>
      <c r="M739" s="2">
        <v>115.80500000000001</v>
      </c>
      <c r="N739" s="2">
        <v>3</v>
      </c>
      <c r="O739" s="2">
        <v>116.5534</v>
      </c>
      <c r="P739" s="2">
        <v>6</v>
      </c>
      <c r="Q739" s="2">
        <v>97.019900000000007</v>
      </c>
      <c r="R739" s="2">
        <v>87</v>
      </c>
      <c r="S739" s="2">
        <v>97.229299999999995</v>
      </c>
      <c r="T739" s="2">
        <v>98</v>
      </c>
      <c r="U739" s="2">
        <v>0.88940600000000003</v>
      </c>
      <c r="V739" s="2">
        <v>17</v>
      </c>
      <c r="W739" s="2">
        <v>2013</v>
      </c>
    </row>
    <row r="740" spans="1:23" ht="12.3" x14ac:dyDescent="0.4">
      <c r="A740" s="2" t="s">
        <v>72</v>
      </c>
      <c r="B740" s="2">
        <v>5</v>
      </c>
      <c r="C740" s="2"/>
      <c r="D740" s="2"/>
      <c r="E740" s="2"/>
      <c r="F740" s="2"/>
      <c r="G740" s="2"/>
      <c r="H740" s="2"/>
      <c r="I740" s="2">
        <v>67.301400000000001</v>
      </c>
      <c r="J740" s="2">
        <v>111</v>
      </c>
      <c r="K740" s="2">
        <v>67.6554</v>
      </c>
      <c r="L740" s="2">
        <v>94</v>
      </c>
      <c r="M740" s="2">
        <v>105.7822</v>
      </c>
      <c r="N740" s="2">
        <v>77</v>
      </c>
      <c r="O740" s="2">
        <v>107.66370000000001</v>
      </c>
      <c r="P740" s="2">
        <v>55</v>
      </c>
      <c r="Q740" s="2">
        <v>91.588700000000003</v>
      </c>
      <c r="R740" s="2">
        <v>22</v>
      </c>
      <c r="S740" s="2">
        <v>90.312200000000004</v>
      </c>
      <c r="T740" s="2">
        <v>16</v>
      </c>
      <c r="U740" s="2">
        <v>0.88298600000000005</v>
      </c>
      <c r="V740" s="2">
        <v>18</v>
      </c>
      <c r="W740" s="2">
        <v>2013</v>
      </c>
    </row>
    <row r="741" spans="1:23" ht="12.3" x14ac:dyDescent="0.4">
      <c r="A741" s="2" t="s">
        <v>39</v>
      </c>
      <c r="B741" s="2">
        <v>3</v>
      </c>
      <c r="C741" s="3" t="s">
        <v>33</v>
      </c>
      <c r="D741" s="3" t="s">
        <v>33</v>
      </c>
      <c r="E741" s="3" t="s">
        <v>33</v>
      </c>
      <c r="F741" s="2"/>
      <c r="G741" s="2"/>
      <c r="H741" s="2"/>
      <c r="I741" s="2">
        <v>63.733199999999997</v>
      </c>
      <c r="J741" s="2">
        <v>271</v>
      </c>
      <c r="K741" s="2">
        <v>64.944500000000005</v>
      </c>
      <c r="L741" s="2">
        <v>217</v>
      </c>
      <c r="M741" s="2">
        <v>106.2915</v>
      </c>
      <c r="N741" s="2">
        <v>69</v>
      </c>
      <c r="O741" s="2">
        <v>112.1973</v>
      </c>
      <c r="P741" s="2">
        <v>17</v>
      </c>
      <c r="Q741" s="2">
        <v>96.963399999999993</v>
      </c>
      <c r="R741" s="2">
        <v>85</v>
      </c>
      <c r="S741" s="2">
        <v>94.3506</v>
      </c>
      <c r="T741" s="2">
        <v>45</v>
      </c>
      <c r="U741" s="2">
        <v>0.87998299999999996</v>
      </c>
      <c r="V741" s="2">
        <v>19</v>
      </c>
      <c r="W741" s="2">
        <v>2013</v>
      </c>
    </row>
    <row r="742" spans="1:23" ht="12.3" x14ac:dyDescent="0.4">
      <c r="A742" s="2" t="s">
        <v>157</v>
      </c>
      <c r="B742" s="2">
        <v>8</v>
      </c>
      <c r="C742" s="3" t="s">
        <v>33</v>
      </c>
      <c r="D742" s="2"/>
      <c r="E742" s="2"/>
      <c r="F742" s="2"/>
      <c r="G742" s="2"/>
      <c r="H742" s="2"/>
      <c r="I742" s="2">
        <v>64.034199999999998</v>
      </c>
      <c r="J742" s="2">
        <v>256</v>
      </c>
      <c r="K742" s="2">
        <v>64.991600000000005</v>
      </c>
      <c r="L742" s="2">
        <v>214</v>
      </c>
      <c r="M742" s="2">
        <v>112.5949</v>
      </c>
      <c r="N742" s="2">
        <v>10</v>
      </c>
      <c r="O742" s="2">
        <v>116.8317</v>
      </c>
      <c r="P742" s="2">
        <v>5</v>
      </c>
      <c r="Q742" s="2">
        <v>98.687600000000003</v>
      </c>
      <c r="R742" s="2">
        <v>136</v>
      </c>
      <c r="S742" s="2">
        <v>98.522400000000005</v>
      </c>
      <c r="T742" s="2">
        <v>119</v>
      </c>
      <c r="U742" s="2">
        <v>0.87655300000000003</v>
      </c>
      <c r="V742" s="2">
        <v>20</v>
      </c>
      <c r="W742" s="2">
        <v>2013</v>
      </c>
    </row>
    <row r="743" spans="1:23" ht="12.3" x14ac:dyDescent="0.4">
      <c r="A743" s="2" t="s">
        <v>148</v>
      </c>
      <c r="B743" s="2">
        <v>4</v>
      </c>
      <c r="C743" s="2"/>
      <c r="D743" s="2"/>
      <c r="E743" s="2"/>
      <c r="F743" s="2"/>
      <c r="G743" s="2"/>
      <c r="H743" s="2"/>
      <c r="I743" s="2">
        <v>63.688600000000001</v>
      </c>
      <c r="J743" s="2">
        <v>272</v>
      </c>
      <c r="K743" s="2">
        <v>62.7742</v>
      </c>
      <c r="L743" s="2">
        <v>293</v>
      </c>
      <c r="M743" s="2">
        <v>107.8689</v>
      </c>
      <c r="N743" s="2">
        <v>38</v>
      </c>
      <c r="O743" s="2">
        <v>112.351</v>
      </c>
      <c r="P743" s="2">
        <v>16</v>
      </c>
      <c r="Q743" s="2">
        <v>96.643600000000006</v>
      </c>
      <c r="R743" s="2">
        <v>82</v>
      </c>
      <c r="S743" s="2">
        <v>94.763499999999993</v>
      </c>
      <c r="T743" s="2">
        <v>54</v>
      </c>
      <c r="U743" s="2">
        <v>0.87629400000000002</v>
      </c>
      <c r="V743" s="2">
        <v>21</v>
      </c>
      <c r="W743" s="2">
        <v>2013</v>
      </c>
    </row>
    <row r="744" spans="1:23" ht="12.3" x14ac:dyDescent="0.4">
      <c r="A744" s="2" t="s">
        <v>43</v>
      </c>
      <c r="B744" s="2">
        <v>6</v>
      </c>
      <c r="C744" s="3" t="s">
        <v>33</v>
      </c>
      <c r="D744" s="3" t="s">
        <v>33</v>
      </c>
      <c r="E744" s="2"/>
      <c r="F744" s="2"/>
      <c r="G744" s="2"/>
      <c r="H744" s="2"/>
      <c r="I744" s="2">
        <v>67.035700000000006</v>
      </c>
      <c r="J744" s="2">
        <v>123</v>
      </c>
      <c r="K744" s="2">
        <v>66.9529</v>
      </c>
      <c r="L744" s="2">
        <v>123</v>
      </c>
      <c r="M744" s="2">
        <v>108.9482</v>
      </c>
      <c r="N744" s="2">
        <v>28</v>
      </c>
      <c r="O744" s="2">
        <v>111.8518</v>
      </c>
      <c r="P744" s="2">
        <v>19</v>
      </c>
      <c r="Q744" s="2">
        <v>94.747200000000007</v>
      </c>
      <c r="R744" s="2">
        <v>53</v>
      </c>
      <c r="S744" s="2">
        <v>94.458600000000004</v>
      </c>
      <c r="T744" s="2">
        <v>49</v>
      </c>
      <c r="U744" s="2">
        <v>0.87475199999999997</v>
      </c>
      <c r="V744" s="2">
        <v>22</v>
      </c>
      <c r="W744" s="2">
        <v>2013</v>
      </c>
    </row>
    <row r="745" spans="1:23" ht="12.3" x14ac:dyDescent="0.4">
      <c r="A745" s="2" t="s">
        <v>73</v>
      </c>
      <c r="B745" s="2">
        <v>9</v>
      </c>
      <c r="C745" s="2"/>
      <c r="D745" s="2"/>
      <c r="E745" s="2"/>
      <c r="F745" s="2"/>
      <c r="G745" s="2"/>
      <c r="H745" s="2"/>
      <c r="I745" s="2">
        <v>68.204999999999998</v>
      </c>
      <c r="J745" s="2">
        <v>81</v>
      </c>
      <c r="K745" s="2">
        <v>67.415300000000002</v>
      </c>
      <c r="L745" s="2">
        <v>103</v>
      </c>
      <c r="M745" s="2">
        <v>111.01439999999999</v>
      </c>
      <c r="N745" s="2">
        <v>20</v>
      </c>
      <c r="O745" s="2">
        <v>112.3819</v>
      </c>
      <c r="P745" s="2">
        <v>15</v>
      </c>
      <c r="Q745" s="2">
        <v>96.079700000000003</v>
      </c>
      <c r="R745" s="2">
        <v>73</v>
      </c>
      <c r="S745" s="2">
        <v>95.164599999999993</v>
      </c>
      <c r="T745" s="2">
        <v>64</v>
      </c>
      <c r="U745" s="2">
        <v>0.871286</v>
      </c>
      <c r="V745" s="2">
        <v>23</v>
      </c>
      <c r="W745" s="2">
        <v>2013</v>
      </c>
    </row>
    <row r="746" spans="1:23" ht="12.3" x14ac:dyDescent="0.4">
      <c r="A746" s="2" t="s">
        <v>97</v>
      </c>
      <c r="B746" s="2">
        <v>7</v>
      </c>
      <c r="C746" s="3" t="s">
        <v>33</v>
      </c>
      <c r="D746" s="2"/>
      <c r="E746" s="2"/>
      <c r="F746" s="2"/>
      <c r="G746" s="2"/>
      <c r="H746" s="2"/>
      <c r="I746" s="2">
        <v>66.385300000000001</v>
      </c>
      <c r="J746" s="2">
        <v>153</v>
      </c>
      <c r="K746" s="2">
        <v>66.836699999999993</v>
      </c>
      <c r="L746" s="2">
        <v>126</v>
      </c>
      <c r="M746" s="2">
        <v>102.5206</v>
      </c>
      <c r="N746" s="2">
        <v>133</v>
      </c>
      <c r="O746" s="2">
        <v>104.77370000000001</v>
      </c>
      <c r="P746" s="2">
        <v>97</v>
      </c>
      <c r="Q746" s="2">
        <v>91.876499999999993</v>
      </c>
      <c r="R746" s="2">
        <v>23</v>
      </c>
      <c r="S746" s="2">
        <v>88.876300000000001</v>
      </c>
      <c r="T746" s="2">
        <v>7</v>
      </c>
      <c r="U746" s="2">
        <v>0.86902999999999997</v>
      </c>
      <c r="V746" s="2">
        <v>24</v>
      </c>
      <c r="W746" s="2">
        <v>2013</v>
      </c>
    </row>
    <row r="747" spans="1:23" ht="12.3" x14ac:dyDescent="0.4">
      <c r="A747" s="2" t="s">
        <v>71</v>
      </c>
      <c r="B747" s="2">
        <v>6</v>
      </c>
      <c r="C747" s="3" t="s">
        <v>33</v>
      </c>
      <c r="D747" s="2"/>
      <c r="E747" s="2"/>
      <c r="F747" s="2"/>
      <c r="G747" s="2"/>
      <c r="H747" s="2"/>
      <c r="I747" s="2">
        <v>69.816400000000002</v>
      </c>
      <c r="J747" s="2">
        <v>31</v>
      </c>
      <c r="K747" s="2">
        <v>69.665999999999997</v>
      </c>
      <c r="L747" s="2">
        <v>28</v>
      </c>
      <c r="M747" s="2">
        <v>107.77970000000001</v>
      </c>
      <c r="N747" s="2">
        <v>41</v>
      </c>
      <c r="O747" s="2">
        <v>107.0489</v>
      </c>
      <c r="P747" s="2">
        <v>61</v>
      </c>
      <c r="Q747" s="2">
        <v>92.528899999999993</v>
      </c>
      <c r="R747" s="2">
        <v>32</v>
      </c>
      <c r="S747" s="2">
        <v>90.975899999999996</v>
      </c>
      <c r="T747" s="2">
        <v>19</v>
      </c>
      <c r="U747" s="2">
        <v>0.86656699999999998</v>
      </c>
      <c r="V747" s="2">
        <v>25</v>
      </c>
      <c r="W747" s="2">
        <v>2013</v>
      </c>
    </row>
    <row r="748" spans="1:23" ht="12.3" x14ac:dyDescent="0.4">
      <c r="A748" s="2" t="s">
        <v>137</v>
      </c>
      <c r="B748" s="2">
        <v>5</v>
      </c>
      <c r="C748" s="3" t="s">
        <v>33</v>
      </c>
      <c r="D748" s="2"/>
      <c r="E748" s="2"/>
      <c r="F748" s="2"/>
      <c r="G748" s="2"/>
      <c r="H748" s="2"/>
      <c r="I748" s="2">
        <v>68.803799999999995</v>
      </c>
      <c r="J748" s="2">
        <v>62</v>
      </c>
      <c r="K748" s="2">
        <v>68.423199999999994</v>
      </c>
      <c r="L748" s="2">
        <v>63</v>
      </c>
      <c r="M748" s="2">
        <v>111.348</v>
      </c>
      <c r="N748" s="2">
        <v>19</v>
      </c>
      <c r="O748" s="2">
        <v>111.49420000000001</v>
      </c>
      <c r="P748" s="2">
        <v>23</v>
      </c>
      <c r="Q748" s="2">
        <v>94.093000000000004</v>
      </c>
      <c r="R748" s="2">
        <v>42</v>
      </c>
      <c r="S748" s="2">
        <v>94.857100000000003</v>
      </c>
      <c r="T748" s="2">
        <v>57</v>
      </c>
      <c r="U748" s="2">
        <v>0.86511199999999999</v>
      </c>
      <c r="V748" s="2">
        <v>26</v>
      </c>
      <c r="W748" s="2">
        <v>2013</v>
      </c>
    </row>
    <row r="749" spans="1:23" ht="12.3" x14ac:dyDescent="0.4">
      <c r="A749" s="2" t="s">
        <v>262</v>
      </c>
      <c r="B749" s="2">
        <v>11</v>
      </c>
      <c r="C749" s="2"/>
      <c r="D749" s="2"/>
      <c r="E749" s="2"/>
      <c r="F749" s="2"/>
      <c r="G749" s="2"/>
      <c r="H749" s="2"/>
      <c r="I749" s="2">
        <v>64.517399999999995</v>
      </c>
      <c r="J749" s="2">
        <v>237</v>
      </c>
      <c r="K749" s="2">
        <v>64.808899999999994</v>
      </c>
      <c r="L749" s="2">
        <v>223</v>
      </c>
      <c r="M749" s="2">
        <v>115.5519</v>
      </c>
      <c r="N749" s="2">
        <v>5</v>
      </c>
      <c r="O749" s="2">
        <v>113.3361</v>
      </c>
      <c r="P749" s="2">
        <v>11</v>
      </c>
      <c r="Q749" s="2">
        <v>98.0809</v>
      </c>
      <c r="R749" s="2">
        <v>115</v>
      </c>
      <c r="S749" s="2">
        <v>96.688900000000004</v>
      </c>
      <c r="T749" s="2">
        <v>88</v>
      </c>
      <c r="U749" s="2">
        <v>0.86138899999999996</v>
      </c>
      <c r="V749" s="2">
        <v>27</v>
      </c>
      <c r="W749" s="2">
        <v>2013</v>
      </c>
    </row>
    <row r="750" spans="1:23" ht="12.3" x14ac:dyDescent="0.4">
      <c r="A750" s="2" t="s">
        <v>56</v>
      </c>
      <c r="B750" s="2">
        <v>7</v>
      </c>
      <c r="C750" s="2"/>
      <c r="D750" s="2"/>
      <c r="E750" s="2"/>
      <c r="F750" s="2"/>
      <c r="G750" s="2"/>
      <c r="H750" s="2"/>
      <c r="I750" s="2">
        <v>61.932600000000001</v>
      </c>
      <c r="J750" s="2">
        <v>314</v>
      </c>
      <c r="K750" s="2">
        <v>61.559600000000003</v>
      </c>
      <c r="L750" s="2">
        <v>320</v>
      </c>
      <c r="M750" s="2">
        <v>110.3295</v>
      </c>
      <c r="N750" s="2">
        <v>22</v>
      </c>
      <c r="O750" s="2">
        <v>112.95699999999999</v>
      </c>
      <c r="P750" s="2">
        <v>13</v>
      </c>
      <c r="Q750" s="2">
        <v>99.173400000000001</v>
      </c>
      <c r="R750" s="2">
        <v>143</v>
      </c>
      <c r="S750" s="2">
        <v>96.5989</v>
      </c>
      <c r="T750" s="2">
        <v>87</v>
      </c>
      <c r="U750" s="2">
        <v>0.85803399999999996</v>
      </c>
      <c r="V750" s="2">
        <v>28</v>
      </c>
      <c r="W750" s="2">
        <v>2013</v>
      </c>
    </row>
    <row r="751" spans="1:23" ht="12.3" x14ac:dyDescent="0.4">
      <c r="A751" s="2" t="s">
        <v>168</v>
      </c>
      <c r="B751" s="2">
        <v>8</v>
      </c>
      <c r="C751" s="3" t="s">
        <v>33</v>
      </c>
      <c r="D751" s="2"/>
      <c r="E751" s="2"/>
      <c r="F751" s="2"/>
      <c r="G751" s="2"/>
      <c r="H751" s="2"/>
      <c r="I751" s="2">
        <v>71.533000000000001</v>
      </c>
      <c r="J751" s="2">
        <v>6</v>
      </c>
      <c r="K751" s="2">
        <v>70.614999999999995</v>
      </c>
      <c r="L751" s="2">
        <v>16</v>
      </c>
      <c r="M751" s="2">
        <v>106.1302</v>
      </c>
      <c r="N751" s="2">
        <v>71</v>
      </c>
      <c r="O751" s="2">
        <v>111.35299999999999</v>
      </c>
      <c r="P751" s="2">
        <v>25</v>
      </c>
      <c r="Q751" s="2">
        <v>96.849900000000005</v>
      </c>
      <c r="R751" s="2">
        <v>84</v>
      </c>
      <c r="S751" s="2">
        <v>95.372500000000002</v>
      </c>
      <c r="T751" s="2">
        <v>68</v>
      </c>
      <c r="U751" s="2">
        <v>0.85588500000000001</v>
      </c>
      <c r="V751" s="2">
        <v>29</v>
      </c>
      <c r="W751" s="2">
        <v>2013</v>
      </c>
    </row>
    <row r="752" spans="1:23" ht="12.3" x14ac:dyDescent="0.4">
      <c r="A752" s="2" t="s">
        <v>55</v>
      </c>
      <c r="B752" s="2">
        <v>8</v>
      </c>
      <c r="C752" s="2"/>
      <c r="D752" s="2"/>
      <c r="E752" s="2"/>
      <c r="F752" s="2"/>
      <c r="G752" s="2"/>
      <c r="H752" s="2"/>
      <c r="I752" s="2">
        <v>68.692999999999998</v>
      </c>
      <c r="J752" s="2">
        <v>66</v>
      </c>
      <c r="K752" s="2">
        <v>68.151799999999994</v>
      </c>
      <c r="L752" s="2">
        <v>74</v>
      </c>
      <c r="M752" s="2">
        <v>112.277</v>
      </c>
      <c r="N752" s="2">
        <v>14</v>
      </c>
      <c r="O752" s="2">
        <v>114.0926</v>
      </c>
      <c r="P752" s="2">
        <v>8</v>
      </c>
      <c r="Q752" s="2">
        <v>101.67359999999999</v>
      </c>
      <c r="R752" s="2">
        <v>191</v>
      </c>
      <c r="S752" s="2">
        <v>98.010400000000004</v>
      </c>
      <c r="T752" s="2">
        <v>110</v>
      </c>
      <c r="U752" s="2">
        <v>0.851607</v>
      </c>
      <c r="V752" s="2">
        <v>30</v>
      </c>
      <c r="W752" s="2">
        <v>2013</v>
      </c>
    </row>
    <row r="753" spans="1:23" ht="12.3" x14ac:dyDescent="0.4">
      <c r="A753" s="2" t="s">
        <v>109</v>
      </c>
      <c r="B753" s="2">
        <v>5</v>
      </c>
      <c r="C753" s="2"/>
      <c r="D753" s="2"/>
      <c r="E753" s="2"/>
      <c r="F753" s="2"/>
      <c r="G753" s="2"/>
      <c r="H753" s="2"/>
      <c r="I753" s="2">
        <v>68.944500000000005</v>
      </c>
      <c r="J753" s="2">
        <v>51</v>
      </c>
      <c r="K753" s="2">
        <v>68.770200000000003</v>
      </c>
      <c r="L753" s="2">
        <v>53</v>
      </c>
      <c r="M753" s="2">
        <v>102.6943</v>
      </c>
      <c r="N753" s="2">
        <v>128</v>
      </c>
      <c r="O753" s="2">
        <v>103.9361</v>
      </c>
      <c r="P753" s="2">
        <v>113</v>
      </c>
      <c r="Q753" s="2">
        <v>92.055400000000006</v>
      </c>
      <c r="R753" s="2">
        <v>27</v>
      </c>
      <c r="S753" s="2">
        <v>89.317700000000002</v>
      </c>
      <c r="T753" s="2">
        <v>11</v>
      </c>
      <c r="U753" s="2">
        <v>0.85108300000000003</v>
      </c>
      <c r="V753" s="2">
        <v>31</v>
      </c>
      <c r="W753" s="2">
        <v>2013</v>
      </c>
    </row>
    <row r="754" spans="1:23" ht="12.3" x14ac:dyDescent="0.4">
      <c r="A754" s="2" t="s">
        <v>75</v>
      </c>
      <c r="B754" s="2">
        <v>11</v>
      </c>
      <c r="C754" s="3" t="s">
        <v>33</v>
      </c>
      <c r="D754" s="2"/>
      <c r="E754" s="2"/>
      <c r="F754" s="2"/>
      <c r="G754" s="2"/>
      <c r="H754" s="2"/>
      <c r="I754" s="2">
        <v>63.1783</v>
      </c>
      <c r="J754" s="2">
        <v>289</v>
      </c>
      <c r="K754" s="2">
        <v>63.0456</v>
      </c>
      <c r="L754" s="2">
        <v>288</v>
      </c>
      <c r="M754" s="2">
        <v>107.6562</v>
      </c>
      <c r="N754" s="2">
        <v>44</v>
      </c>
      <c r="O754" s="2">
        <v>110.6366</v>
      </c>
      <c r="P754" s="2">
        <v>31</v>
      </c>
      <c r="Q754" s="2">
        <v>97.274000000000001</v>
      </c>
      <c r="R754" s="2">
        <v>95</v>
      </c>
      <c r="S754" s="2">
        <v>95.184200000000004</v>
      </c>
      <c r="T754" s="2">
        <v>65</v>
      </c>
      <c r="U754" s="2">
        <v>0.84941500000000003</v>
      </c>
      <c r="V754" s="2">
        <v>32</v>
      </c>
      <c r="W754" s="2">
        <v>2013</v>
      </c>
    </row>
    <row r="755" spans="1:23" ht="12.3" x14ac:dyDescent="0.4">
      <c r="A755" s="2" t="s">
        <v>146</v>
      </c>
      <c r="B755" s="2">
        <v>10</v>
      </c>
      <c r="C755" s="3" t="s">
        <v>33</v>
      </c>
      <c r="D755" s="2"/>
      <c r="E755" s="2"/>
      <c r="F755" s="2"/>
      <c r="G755" s="2"/>
      <c r="H755" s="2"/>
      <c r="I755" s="2">
        <v>70.2898</v>
      </c>
      <c r="J755" s="2">
        <v>25</v>
      </c>
      <c r="K755" s="2">
        <v>69.328900000000004</v>
      </c>
      <c r="L755" s="2">
        <v>34</v>
      </c>
      <c r="M755" s="2">
        <v>111.8972</v>
      </c>
      <c r="N755" s="2">
        <v>16</v>
      </c>
      <c r="O755" s="2">
        <v>115.6354</v>
      </c>
      <c r="P755" s="2">
        <v>7</v>
      </c>
      <c r="Q755" s="2">
        <v>99.802000000000007</v>
      </c>
      <c r="R755" s="2">
        <v>152</v>
      </c>
      <c r="S755" s="2">
        <v>100.0209</v>
      </c>
      <c r="T755" s="2">
        <v>148</v>
      </c>
      <c r="U755" s="2">
        <v>0.84133899999999995</v>
      </c>
      <c r="V755" s="2">
        <v>34</v>
      </c>
      <c r="W755" s="2">
        <v>2013</v>
      </c>
    </row>
    <row r="756" spans="1:23" ht="12.3" x14ac:dyDescent="0.4">
      <c r="A756" s="2" t="s">
        <v>192</v>
      </c>
      <c r="B756" s="2">
        <v>9</v>
      </c>
      <c r="C756" s="3" t="s">
        <v>33</v>
      </c>
      <c r="D756" s="3" t="s">
        <v>33</v>
      </c>
      <c r="E756" s="3" t="s">
        <v>33</v>
      </c>
      <c r="F756" s="3" t="s">
        <v>33</v>
      </c>
      <c r="G756" s="3"/>
      <c r="H756" s="2"/>
      <c r="I756" s="2">
        <v>64.769499999999994</v>
      </c>
      <c r="J756" s="2">
        <v>226</v>
      </c>
      <c r="K756" s="2">
        <v>64.558999999999997</v>
      </c>
      <c r="L756" s="2">
        <v>233</v>
      </c>
      <c r="M756" s="2">
        <v>107.13930000000001</v>
      </c>
      <c r="N756" s="2">
        <v>53</v>
      </c>
      <c r="O756" s="2">
        <v>107.2784</v>
      </c>
      <c r="P756" s="2">
        <v>59</v>
      </c>
      <c r="Q756" s="2">
        <v>93.690299999999993</v>
      </c>
      <c r="R756" s="2">
        <v>39</v>
      </c>
      <c r="S756" s="2">
        <v>92.891499999999994</v>
      </c>
      <c r="T756" s="2">
        <v>34</v>
      </c>
      <c r="U756" s="2">
        <v>0.83969400000000005</v>
      </c>
      <c r="V756" s="2">
        <v>35</v>
      </c>
      <c r="W756" s="2">
        <v>2013</v>
      </c>
    </row>
    <row r="757" spans="1:23" ht="12.3" x14ac:dyDescent="0.4">
      <c r="A757" s="2" t="s">
        <v>51</v>
      </c>
      <c r="B757" s="2">
        <v>12</v>
      </c>
      <c r="C757" s="3" t="s">
        <v>33</v>
      </c>
      <c r="D757" s="2"/>
      <c r="E757" s="2"/>
      <c r="F757" s="2"/>
      <c r="G757" s="2"/>
      <c r="H757" s="2"/>
      <c r="I757" s="2">
        <v>70.938699999999997</v>
      </c>
      <c r="J757" s="2">
        <v>14</v>
      </c>
      <c r="K757" s="2">
        <v>70.771900000000002</v>
      </c>
      <c r="L757" s="2">
        <v>12</v>
      </c>
      <c r="M757" s="2">
        <v>108.4528</v>
      </c>
      <c r="N757" s="2">
        <v>35</v>
      </c>
      <c r="O757" s="2">
        <v>110.43049999999999</v>
      </c>
      <c r="P757" s="2">
        <v>33</v>
      </c>
      <c r="Q757" s="2">
        <v>94.122500000000002</v>
      </c>
      <c r="R757" s="2">
        <v>43</v>
      </c>
      <c r="S757" s="2">
        <v>95.956199999999995</v>
      </c>
      <c r="T757" s="2">
        <v>77</v>
      </c>
      <c r="U757" s="2">
        <v>0.83419900000000002</v>
      </c>
      <c r="V757" s="2">
        <v>37</v>
      </c>
      <c r="W757" s="2">
        <v>2013</v>
      </c>
    </row>
    <row r="758" spans="1:23" ht="12.3" x14ac:dyDescent="0.4">
      <c r="A758" s="2" t="s">
        <v>34</v>
      </c>
      <c r="B758" s="2">
        <v>10</v>
      </c>
      <c r="C758" s="2"/>
      <c r="D758" s="2"/>
      <c r="E758" s="2"/>
      <c r="F758" s="2"/>
      <c r="G758" s="2"/>
      <c r="H758" s="2"/>
      <c r="I758" s="2">
        <v>65.024900000000002</v>
      </c>
      <c r="J758" s="2">
        <v>216</v>
      </c>
      <c r="K758" s="2">
        <v>64.290499999999994</v>
      </c>
      <c r="L758" s="2">
        <v>250</v>
      </c>
      <c r="M758" s="2">
        <v>100.7256</v>
      </c>
      <c r="N758" s="2">
        <v>171</v>
      </c>
      <c r="O758" s="2">
        <v>103.2159</v>
      </c>
      <c r="P758" s="2">
        <v>130</v>
      </c>
      <c r="Q758" s="2">
        <v>90.708600000000004</v>
      </c>
      <c r="R758" s="2">
        <v>15</v>
      </c>
      <c r="S758" s="2">
        <v>89.848799999999997</v>
      </c>
      <c r="T758" s="2">
        <v>13</v>
      </c>
      <c r="U758" s="2">
        <v>0.83131699999999997</v>
      </c>
      <c r="V758" s="2">
        <v>39</v>
      </c>
      <c r="W758" s="2">
        <v>2013</v>
      </c>
    </row>
    <row r="759" spans="1:23" ht="12.3" x14ac:dyDescent="0.4">
      <c r="A759" s="2" t="s">
        <v>228</v>
      </c>
      <c r="B759" s="2">
        <v>11</v>
      </c>
      <c r="C759" s="2"/>
      <c r="D759" s="2"/>
      <c r="E759" s="2"/>
      <c r="F759" s="2"/>
      <c r="G759" s="2"/>
      <c r="H759" s="2"/>
      <c r="I759" s="2">
        <v>65.809299999999993</v>
      </c>
      <c r="J759" s="2">
        <v>183</v>
      </c>
      <c r="K759" s="2">
        <v>65.082800000000006</v>
      </c>
      <c r="L759" s="2">
        <v>210</v>
      </c>
      <c r="M759" s="2">
        <v>107.4502</v>
      </c>
      <c r="N759" s="2">
        <v>47</v>
      </c>
      <c r="O759" s="2">
        <v>104.2118</v>
      </c>
      <c r="P759" s="2">
        <v>106</v>
      </c>
      <c r="Q759" s="2">
        <v>87.394599999999997</v>
      </c>
      <c r="R759" s="2">
        <v>5</v>
      </c>
      <c r="S759" s="2">
        <v>90.932100000000005</v>
      </c>
      <c r="T759" s="2">
        <v>17</v>
      </c>
      <c r="U759" s="2">
        <v>0.82743900000000004</v>
      </c>
      <c r="V759" s="2">
        <v>40</v>
      </c>
      <c r="W759" s="2">
        <v>2013</v>
      </c>
    </row>
    <row r="760" spans="1:23" ht="12.3" x14ac:dyDescent="0.4">
      <c r="A760" s="2" t="s">
        <v>212</v>
      </c>
      <c r="B760" s="2">
        <v>13</v>
      </c>
      <c r="C760" s="2"/>
      <c r="D760" s="2"/>
      <c r="E760" s="2"/>
      <c r="F760" s="2"/>
      <c r="G760" s="2"/>
      <c r="H760" s="2"/>
      <c r="I760" s="2">
        <v>66.293499999999995</v>
      </c>
      <c r="J760" s="2">
        <v>159</v>
      </c>
      <c r="K760" s="2">
        <v>66.363100000000003</v>
      </c>
      <c r="L760" s="2">
        <v>153</v>
      </c>
      <c r="M760" s="2">
        <v>107.06619999999999</v>
      </c>
      <c r="N760" s="2">
        <v>54</v>
      </c>
      <c r="O760" s="2">
        <v>111.3948</v>
      </c>
      <c r="P760" s="2">
        <v>24</v>
      </c>
      <c r="Q760" s="2">
        <v>100.0296</v>
      </c>
      <c r="R760" s="2">
        <v>155</v>
      </c>
      <c r="S760" s="2">
        <v>97.304199999999994</v>
      </c>
      <c r="T760" s="2">
        <v>100</v>
      </c>
      <c r="U760" s="2">
        <v>0.82567000000000002</v>
      </c>
      <c r="V760" s="2">
        <v>41</v>
      </c>
      <c r="W760" s="2">
        <v>2013</v>
      </c>
    </row>
    <row r="761" spans="1:23" ht="12.3" x14ac:dyDescent="0.4">
      <c r="A761" s="2" t="s">
        <v>18</v>
      </c>
      <c r="B761" s="2">
        <v>6</v>
      </c>
      <c r="C761" s="3" t="s">
        <v>33</v>
      </c>
      <c r="D761" s="2"/>
      <c r="E761" s="2"/>
      <c r="F761" s="2"/>
      <c r="G761" s="2"/>
      <c r="H761" s="2"/>
      <c r="I761" s="2">
        <v>64.573099999999997</v>
      </c>
      <c r="J761" s="2">
        <v>234</v>
      </c>
      <c r="K761" s="2">
        <v>64.419799999999995</v>
      </c>
      <c r="L761" s="2">
        <v>242</v>
      </c>
      <c r="M761" s="2">
        <v>105.58499999999999</v>
      </c>
      <c r="N761" s="2">
        <v>79</v>
      </c>
      <c r="O761" s="2">
        <v>107.7735</v>
      </c>
      <c r="P761" s="2">
        <v>54</v>
      </c>
      <c r="Q761" s="2">
        <v>97.834900000000005</v>
      </c>
      <c r="R761" s="2">
        <v>108</v>
      </c>
      <c r="S761" s="2">
        <v>94.360299999999995</v>
      </c>
      <c r="T761" s="2">
        <v>46</v>
      </c>
      <c r="U761" s="2">
        <v>0.82178300000000004</v>
      </c>
      <c r="V761" s="2">
        <v>43</v>
      </c>
      <c r="W761" s="2">
        <v>2013</v>
      </c>
    </row>
    <row r="762" spans="1:23" ht="12.3" x14ac:dyDescent="0.4">
      <c r="A762" s="2" t="s">
        <v>41</v>
      </c>
      <c r="B762" s="2">
        <v>12</v>
      </c>
      <c r="C762" s="3" t="s">
        <v>33</v>
      </c>
      <c r="D762" s="3" t="s">
        <v>33</v>
      </c>
      <c r="E762" s="2"/>
      <c r="F762" s="2"/>
      <c r="G762" s="2"/>
      <c r="H762" s="2"/>
      <c r="I762" s="2">
        <v>68.858900000000006</v>
      </c>
      <c r="J762" s="2">
        <v>58</v>
      </c>
      <c r="K762" s="2">
        <v>68.899900000000002</v>
      </c>
      <c r="L762" s="2">
        <v>46</v>
      </c>
      <c r="M762" s="2">
        <v>102.319</v>
      </c>
      <c r="N762" s="2">
        <v>139</v>
      </c>
      <c r="O762" s="2">
        <v>102.9085</v>
      </c>
      <c r="P762" s="2">
        <v>132</v>
      </c>
      <c r="Q762" s="2">
        <v>90.329700000000003</v>
      </c>
      <c r="R762" s="2">
        <v>13</v>
      </c>
      <c r="S762" s="2">
        <v>90.257300000000001</v>
      </c>
      <c r="T762" s="2">
        <v>15</v>
      </c>
      <c r="U762" s="2">
        <v>0.81884199999999996</v>
      </c>
      <c r="V762" s="2">
        <v>44</v>
      </c>
      <c r="W762" s="2">
        <v>2013</v>
      </c>
    </row>
    <row r="763" spans="1:23" ht="12.3" x14ac:dyDescent="0.4">
      <c r="A763" s="2" t="s">
        <v>244</v>
      </c>
      <c r="B763" s="2">
        <v>11</v>
      </c>
      <c r="C763" s="2"/>
      <c r="D763" s="2"/>
      <c r="E763" s="2"/>
      <c r="F763" s="2"/>
      <c r="G763" s="2"/>
      <c r="H763" s="2"/>
      <c r="I763" s="2">
        <v>68.227099999999993</v>
      </c>
      <c r="J763" s="2">
        <v>79</v>
      </c>
      <c r="K763" s="2">
        <v>67.317999999999998</v>
      </c>
      <c r="L763" s="2">
        <v>107</v>
      </c>
      <c r="M763" s="2">
        <v>112.44970000000001</v>
      </c>
      <c r="N763" s="2">
        <v>11</v>
      </c>
      <c r="O763" s="2">
        <v>108.77200000000001</v>
      </c>
      <c r="P763" s="2">
        <v>45</v>
      </c>
      <c r="Q763" s="2">
        <v>94.444699999999997</v>
      </c>
      <c r="R763" s="2">
        <v>49</v>
      </c>
      <c r="S763" s="2">
        <v>95.517600000000002</v>
      </c>
      <c r="T763" s="2">
        <v>71</v>
      </c>
      <c r="U763" s="2">
        <v>0.81672999999999996</v>
      </c>
      <c r="V763" s="2">
        <v>46</v>
      </c>
      <c r="W763" s="2">
        <v>2013</v>
      </c>
    </row>
    <row r="764" spans="1:23" ht="12.3" x14ac:dyDescent="0.4">
      <c r="A764" s="2" t="s">
        <v>65</v>
      </c>
      <c r="B764" s="2">
        <v>6</v>
      </c>
      <c r="C764" s="2"/>
      <c r="D764" s="2"/>
      <c r="E764" s="2"/>
      <c r="F764" s="2"/>
      <c r="G764" s="2"/>
      <c r="H764" s="2"/>
      <c r="I764" s="2">
        <v>69.538899999999998</v>
      </c>
      <c r="J764" s="2">
        <v>37</v>
      </c>
      <c r="K764" s="2">
        <v>69.321899999999999</v>
      </c>
      <c r="L764" s="2">
        <v>35</v>
      </c>
      <c r="M764" s="2">
        <v>105.8964</v>
      </c>
      <c r="N764" s="2">
        <v>75</v>
      </c>
      <c r="O764" s="2">
        <v>108.45350000000001</v>
      </c>
      <c r="P764" s="2">
        <v>48</v>
      </c>
      <c r="Q764" s="2">
        <v>97.799899999999994</v>
      </c>
      <c r="R764" s="2">
        <v>106</v>
      </c>
      <c r="S764" s="2">
        <v>95.399799999999999</v>
      </c>
      <c r="T764" s="2">
        <v>69</v>
      </c>
      <c r="U764" s="2">
        <v>0.81378899999999998</v>
      </c>
      <c r="V764" s="2">
        <v>47</v>
      </c>
      <c r="W764" s="2">
        <v>2013</v>
      </c>
    </row>
    <row r="765" spans="1:23" ht="12.3" x14ac:dyDescent="0.4">
      <c r="A765" s="2" t="s">
        <v>289</v>
      </c>
      <c r="B765" s="2">
        <v>11</v>
      </c>
      <c r="C765" s="2"/>
      <c r="D765" s="2"/>
      <c r="E765" s="2"/>
      <c r="F765" s="2"/>
      <c r="G765" s="2"/>
      <c r="H765" s="2"/>
      <c r="I765" s="2">
        <v>62.507399999999997</v>
      </c>
      <c r="J765" s="2">
        <v>303</v>
      </c>
      <c r="K765" s="2">
        <v>63.210900000000002</v>
      </c>
      <c r="L765" s="2">
        <v>285</v>
      </c>
      <c r="M765" s="2">
        <v>107.66500000000001</v>
      </c>
      <c r="N765" s="2">
        <v>43</v>
      </c>
      <c r="O765" s="2">
        <v>105.3449</v>
      </c>
      <c r="P765" s="2">
        <v>84</v>
      </c>
      <c r="Q765" s="2">
        <v>92.264300000000006</v>
      </c>
      <c r="R765" s="2">
        <v>29</v>
      </c>
      <c r="S765" s="2">
        <v>92.672600000000003</v>
      </c>
      <c r="T765" s="2">
        <v>32</v>
      </c>
      <c r="U765" s="2">
        <v>0.81365100000000001</v>
      </c>
      <c r="V765" s="2">
        <v>48</v>
      </c>
      <c r="W765" s="2">
        <v>2013</v>
      </c>
    </row>
    <row r="766" spans="1:23" ht="12.3" x14ac:dyDescent="0.4">
      <c r="A766" s="2" t="s">
        <v>44</v>
      </c>
      <c r="B766" s="2">
        <v>7</v>
      </c>
      <c r="C766" s="3" t="s">
        <v>33</v>
      </c>
      <c r="D766" s="2"/>
      <c r="E766" s="2"/>
      <c r="F766" s="2"/>
      <c r="G766" s="2"/>
      <c r="H766" s="2"/>
      <c r="I766" s="2">
        <v>65.616200000000006</v>
      </c>
      <c r="J766" s="2">
        <v>190</v>
      </c>
      <c r="K766" s="2">
        <v>65.989599999999996</v>
      </c>
      <c r="L766" s="2">
        <v>166</v>
      </c>
      <c r="M766" s="2">
        <v>104.0076</v>
      </c>
      <c r="N766" s="2">
        <v>103</v>
      </c>
      <c r="O766" s="2">
        <v>107.5025</v>
      </c>
      <c r="P766" s="2">
        <v>57</v>
      </c>
      <c r="Q766" s="2">
        <v>99.375299999999996</v>
      </c>
      <c r="R766" s="2">
        <v>147</v>
      </c>
      <c r="S766" s="2">
        <v>94.662000000000006</v>
      </c>
      <c r="T766" s="2">
        <v>53</v>
      </c>
      <c r="U766" s="2">
        <v>0.81196199999999996</v>
      </c>
      <c r="V766" s="2">
        <v>49</v>
      </c>
      <c r="W766" s="2">
        <v>2013</v>
      </c>
    </row>
    <row r="767" spans="1:23" ht="12.3" x14ac:dyDescent="0.4">
      <c r="A767" s="2" t="s">
        <v>38</v>
      </c>
      <c r="B767" s="2">
        <v>10</v>
      </c>
      <c r="C767" s="2"/>
      <c r="D767" s="2"/>
      <c r="E767" s="2"/>
      <c r="F767" s="2"/>
      <c r="G767" s="2"/>
      <c r="H767" s="2"/>
      <c r="I767" s="2">
        <v>66.770899999999997</v>
      </c>
      <c r="J767" s="2">
        <v>134</v>
      </c>
      <c r="K767" s="2">
        <v>66.814499999999995</v>
      </c>
      <c r="L767" s="2">
        <v>129</v>
      </c>
      <c r="M767" s="2">
        <v>105.52889999999999</v>
      </c>
      <c r="N767" s="2">
        <v>81</v>
      </c>
      <c r="O767" s="2">
        <v>109.8045</v>
      </c>
      <c r="P767" s="2">
        <v>36</v>
      </c>
      <c r="Q767" s="2">
        <v>98.341099999999997</v>
      </c>
      <c r="R767" s="2">
        <v>124</v>
      </c>
      <c r="S767" s="2">
        <v>96.762699999999995</v>
      </c>
      <c r="T767" s="2">
        <v>90</v>
      </c>
      <c r="U767" s="2">
        <v>0.81062100000000004</v>
      </c>
      <c r="V767" s="2">
        <v>50</v>
      </c>
      <c r="W767" s="2">
        <v>2013</v>
      </c>
    </row>
    <row r="768" spans="1:23" ht="12.3" x14ac:dyDescent="0.4">
      <c r="A768" s="2" t="s">
        <v>78</v>
      </c>
      <c r="B768" s="2">
        <v>9</v>
      </c>
      <c r="C768" s="2"/>
      <c r="D768" s="2"/>
      <c r="E768" s="2"/>
      <c r="F768" s="2"/>
      <c r="G768" s="2"/>
      <c r="H768" s="2"/>
      <c r="I768" s="2">
        <v>66.939599999999999</v>
      </c>
      <c r="J768" s="2">
        <v>126</v>
      </c>
      <c r="K768" s="2">
        <v>67.676299999999998</v>
      </c>
      <c r="L768" s="2">
        <v>93</v>
      </c>
      <c r="M768" s="2">
        <v>98.729600000000005</v>
      </c>
      <c r="N768" s="2">
        <v>213</v>
      </c>
      <c r="O768" s="2">
        <v>103.59139999999999</v>
      </c>
      <c r="P768" s="2">
        <v>121</v>
      </c>
      <c r="Q768" s="2">
        <v>95.161199999999994</v>
      </c>
      <c r="R768" s="2">
        <v>60</v>
      </c>
      <c r="S768" s="2">
        <v>91.355099999999993</v>
      </c>
      <c r="T768" s="2">
        <v>21</v>
      </c>
      <c r="U768" s="2">
        <v>0.80931200000000003</v>
      </c>
      <c r="V768" s="2">
        <v>51</v>
      </c>
      <c r="W768" s="2">
        <v>2013</v>
      </c>
    </row>
    <row r="769" spans="1:23" ht="12.3" x14ac:dyDescent="0.4">
      <c r="A769" s="2" t="s">
        <v>129</v>
      </c>
      <c r="B769" s="2">
        <v>10</v>
      </c>
      <c r="C769" s="2"/>
      <c r="D769" s="2"/>
      <c r="E769" s="2"/>
      <c r="F769" s="2"/>
      <c r="G769" s="2"/>
      <c r="H769" s="2"/>
      <c r="I769" s="2">
        <v>65.714699999999993</v>
      </c>
      <c r="J769" s="2">
        <v>186</v>
      </c>
      <c r="K769" s="2">
        <v>64.976600000000005</v>
      </c>
      <c r="L769" s="2">
        <v>216</v>
      </c>
      <c r="M769" s="2">
        <v>101.7469</v>
      </c>
      <c r="N769" s="2">
        <v>154</v>
      </c>
      <c r="O769" s="2">
        <v>104.03449999999999</v>
      </c>
      <c r="P769" s="2">
        <v>112</v>
      </c>
      <c r="Q769" s="2">
        <v>95.493700000000004</v>
      </c>
      <c r="R769" s="2">
        <v>62</v>
      </c>
      <c r="S769" s="2">
        <v>91.778300000000002</v>
      </c>
      <c r="T769" s="2">
        <v>25</v>
      </c>
      <c r="U769" s="2">
        <v>0.80868499999999999</v>
      </c>
      <c r="V769" s="2">
        <v>52</v>
      </c>
      <c r="W769" s="2">
        <v>2013</v>
      </c>
    </row>
    <row r="770" spans="1:23" ht="12.3" x14ac:dyDescent="0.4">
      <c r="A770" s="2" t="s">
        <v>256</v>
      </c>
      <c r="B770" s="2">
        <v>12</v>
      </c>
      <c r="C770" s="2"/>
      <c r="D770" s="2"/>
      <c r="E770" s="2"/>
      <c r="F770" s="2"/>
      <c r="G770" s="2"/>
      <c r="H770" s="2"/>
      <c r="I770" s="2">
        <v>66.381200000000007</v>
      </c>
      <c r="J770" s="2">
        <v>154</v>
      </c>
      <c r="K770" s="2">
        <v>66.623800000000003</v>
      </c>
      <c r="L770" s="2">
        <v>135</v>
      </c>
      <c r="M770" s="2">
        <v>106.6609</v>
      </c>
      <c r="N770" s="2">
        <v>62</v>
      </c>
      <c r="O770" s="2">
        <v>105.1566</v>
      </c>
      <c r="P770" s="2">
        <v>87</v>
      </c>
      <c r="Q770" s="2">
        <v>92.332300000000004</v>
      </c>
      <c r="R770" s="2">
        <v>31</v>
      </c>
      <c r="S770" s="2">
        <v>92.875900000000001</v>
      </c>
      <c r="T770" s="2">
        <v>33</v>
      </c>
      <c r="U770" s="2">
        <v>0.806612</v>
      </c>
      <c r="V770" s="2">
        <v>53</v>
      </c>
      <c r="W770" s="2">
        <v>2013</v>
      </c>
    </row>
    <row r="771" spans="1:23" ht="12.3" x14ac:dyDescent="0.4">
      <c r="A771" s="2" t="s">
        <v>169</v>
      </c>
      <c r="B771" s="2">
        <v>13</v>
      </c>
      <c r="C771" s="3" t="s">
        <v>33</v>
      </c>
      <c r="D771" s="3" t="s">
        <v>33</v>
      </c>
      <c r="E771" s="2"/>
      <c r="F771" s="2"/>
      <c r="G771" s="2"/>
      <c r="H771" s="2"/>
      <c r="I771" s="2">
        <v>67.051900000000003</v>
      </c>
      <c r="J771" s="2">
        <v>122</v>
      </c>
      <c r="K771" s="2">
        <v>66.489199999999997</v>
      </c>
      <c r="L771" s="2">
        <v>141</v>
      </c>
      <c r="M771" s="2">
        <v>107.3454</v>
      </c>
      <c r="N771" s="2">
        <v>51</v>
      </c>
      <c r="O771" s="2">
        <v>107.9554</v>
      </c>
      <c r="P771" s="2">
        <v>52</v>
      </c>
      <c r="Q771" s="2">
        <v>97.857100000000003</v>
      </c>
      <c r="R771" s="2">
        <v>110</v>
      </c>
      <c r="S771" s="2">
        <v>96.515500000000003</v>
      </c>
      <c r="T771" s="2">
        <v>86</v>
      </c>
      <c r="U771" s="2">
        <v>0.78383800000000003</v>
      </c>
      <c r="V771" s="2">
        <v>57</v>
      </c>
      <c r="W771" s="2">
        <v>2013</v>
      </c>
    </row>
    <row r="772" spans="1:23" ht="12.3" x14ac:dyDescent="0.4">
      <c r="A772" s="2" t="s">
        <v>88</v>
      </c>
      <c r="B772" s="2">
        <v>9</v>
      </c>
      <c r="C772" s="3" t="s">
        <v>33</v>
      </c>
      <c r="D772" s="2"/>
      <c r="E772" s="2"/>
      <c r="F772" s="2"/>
      <c r="G772" s="2"/>
      <c r="H772" s="2"/>
      <c r="I772" s="2">
        <v>67.862499999999997</v>
      </c>
      <c r="J772" s="2">
        <v>90</v>
      </c>
      <c r="K772" s="2">
        <v>67.017799999999994</v>
      </c>
      <c r="L772" s="2">
        <v>120</v>
      </c>
      <c r="M772" s="2">
        <v>107.0557</v>
      </c>
      <c r="N772" s="2">
        <v>55</v>
      </c>
      <c r="O772" s="2">
        <v>110.16540000000001</v>
      </c>
      <c r="P772" s="2">
        <v>35</v>
      </c>
      <c r="Q772" s="2">
        <v>100.22499999999999</v>
      </c>
      <c r="R772" s="2">
        <v>158</v>
      </c>
      <c r="S772" s="2">
        <v>99.000500000000002</v>
      </c>
      <c r="T772" s="2">
        <v>129</v>
      </c>
      <c r="U772" s="2">
        <v>0.77361999999999997</v>
      </c>
      <c r="V772" s="2">
        <v>59</v>
      </c>
      <c r="W772" s="2">
        <v>2013</v>
      </c>
    </row>
    <row r="773" spans="1:23" ht="12.3" x14ac:dyDescent="0.4">
      <c r="A773" s="2" t="s">
        <v>57</v>
      </c>
      <c r="B773" s="2">
        <v>12</v>
      </c>
      <c r="C773" s="3" t="s">
        <v>33</v>
      </c>
      <c r="D773" s="2"/>
      <c r="E773" s="2"/>
      <c r="F773" s="2"/>
      <c r="G773" s="2"/>
      <c r="H773" s="2"/>
      <c r="I773" s="2">
        <v>66.351799999999997</v>
      </c>
      <c r="J773" s="2">
        <v>156</v>
      </c>
      <c r="K773" s="2">
        <v>65.881699999999995</v>
      </c>
      <c r="L773" s="2">
        <v>175</v>
      </c>
      <c r="M773" s="2">
        <v>101.4592</v>
      </c>
      <c r="N773" s="2">
        <v>161</v>
      </c>
      <c r="O773" s="2">
        <v>104.48</v>
      </c>
      <c r="P773" s="2">
        <v>102</v>
      </c>
      <c r="Q773" s="2">
        <v>96.589100000000002</v>
      </c>
      <c r="R773" s="2">
        <v>79</v>
      </c>
      <c r="S773" s="2">
        <v>93.914100000000005</v>
      </c>
      <c r="T773" s="2">
        <v>42</v>
      </c>
      <c r="U773" s="2">
        <v>0.77312999999999998</v>
      </c>
      <c r="V773" s="2">
        <v>60</v>
      </c>
      <c r="W773" s="2">
        <v>2013</v>
      </c>
    </row>
    <row r="774" spans="1:23" ht="12.3" x14ac:dyDescent="0.4">
      <c r="A774" s="2" t="s">
        <v>74</v>
      </c>
      <c r="B774" s="2">
        <v>14</v>
      </c>
      <c r="C774" s="2"/>
      <c r="D774" s="2"/>
      <c r="E774" s="2"/>
      <c r="F774" s="2"/>
      <c r="G774" s="2"/>
      <c r="H774" s="2"/>
      <c r="I774" s="2">
        <v>65.0779</v>
      </c>
      <c r="J774" s="2">
        <v>214</v>
      </c>
      <c r="K774" s="2">
        <v>65.926400000000001</v>
      </c>
      <c r="L774" s="2">
        <v>170</v>
      </c>
      <c r="M774" s="2">
        <v>109.3647</v>
      </c>
      <c r="N774" s="2">
        <v>27</v>
      </c>
      <c r="O774" s="2">
        <v>109.6939</v>
      </c>
      <c r="P774" s="2">
        <v>37</v>
      </c>
      <c r="Q774" s="2">
        <v>95.505300000000005</v>
      </c>
      <c r="R774" s="2">
        <v>63</v>
      </c>
      <c r="S774" s="2">
        <v>98.748900000000006</v>
      </c>
      <c r="T774" s="2">
        <v>126</v>
      </c>
      <c r="U774" s="2">
        <v>0.77008799999999999</v>
      </c>
      <c r="V774" s="2">
        <v>61</v>
      </c>
      <c r="W774" s="2">
        <v>2013</v>
      </c>
    </row>
    <row r="775" spans="1:23" ht="12.3" x14ac:dyDescent="0.4">
      <c r="A775" s="2" t="s">
        <v>134</v>
      </c>
      <c r="B775" s="2">
        <v>14</v>
      </c>
      <c r="C775" s="2"/>
      <c r="D775" s="2"/>
      <c r="E775" s="2"/>
      <c r="F775" s="2"/>
      <c r="G775" s="2"/>
      <c r="H775" s="2"/>
      <c r="I775" s="2">
        <v>64.570300000000003</v>
      </c>
      <c r="J775" s="2">
        <v>235</v>
      </c>
      <c r="K775" s="2">
        <v>65.201400000000007</v>
      </c>
      <c r="L775" s="2">
        <v>205</v>
      </c>
      <c r="M775" s="2">
        <v>112.7877</v>
      </c>
      <c r="N775" s="2">
        <v>9</v>
      </c>
      <c r="O775" s="2">
        <v>111.00790000000001</v>
      </c>
      <c r="P775" s="2">
        <v>28</v>
      </c>
      <c r="Q775" s="2">
        <v>95.8001</v>
      </c>
      <c r="R775" s="2">
        <v>67</v>
      </c>
      <c r="S775" s="2">
        <v>100.73569999999999</v>
      </c>
      <c r="T775" s="2">
        <v>164</v>
      </c>
      <c r="U775" s="2">
        <v>0.75336700000000001</v>
      </c>
      <c r="V775" s="2">
        <v>65</v>
      </c>
      <c r="W775" s="2">
        <v>2013</v>
      </c>
    </row>
    <row r="776" spans="1:23" ht="12.3" x14ac:dyDescent="0.4">
      <c r="A776" s="2" t="s">
        <v>118</v>
      </c>
      <c r="B776" s="2">
        <v>13</v>
      </c>
      <c r="C776" s="2"/>
      <c r="D776" s="2"/>
      <c r="E776" s="2"/>
      <c r="F776" s="2"/>
      <c r="G776" s="2"/>
      <c r="H776" s="2"/>
      <c r="I776" s="2">
        <v>65.263499999999993</v>
      </c>
      <c r="J776" s="2">
        <v>204</v>
      </c>
      <c r="K776" s="2">
        <v>65.110600000000005</v>
      </c>
      <c r="L776" s="2">
        <v>208</v>
      </c>
      <c r="M776" s="2">
        <v>103.3711</v>
      </c>
      <c r="N776" s="2">
        <v>118</v>
      </c>
      <c r="O776" s="2">
        <v>103.28660000000001</v>
      </c>
      <c r="P776" s="2">
        <v>126</v>
      </c>
      <c r="Q776" s="2">
        <v>95.627799999999993</v>
      </c>
      <c r="R776" s="2">
        <v>65</v>
      </c>
      <c r="S776" s="2">
        <v>94.922799999999995</v>
      </c>
      <c r="T776" s="2">
        <v>59</v>
      </c>
      <c r="U776" s="2">
        <v>0.72533800000000004</v>
      </c>
      <c r="V776" s="2">
        <v>74</v>
      </c>
      <c r="W776" s="2">
        <v>2013</v>
      </c>
    </row>
    <row r="777" spans="1:23" ht="12.3" x14ac:dyDescent="0.4">
      <c r="A777" s="2" t="s">
        <v>241</v>
      </c>
      <c r="B777" s="2">
        <v>15</v>
      </c>
      <c r="C777" s="2"/>
      <c r="D777" s="2"/>
      <c r="E777" s="2"/>
      <c r="F777" s="2"/>
      <c r="G777" s="2"/>
      <c r="H777" s="2"/>
      <c r="I777" s="2">
        <v>70.231099999999998</v>
      </c>
      <c r="J777" s="2">
        <v>26</v>
      </c>
      <c r="K777" s="2">
        <v>70.605500000000006</v>
      </c>
      <c r="L777" s="2">
        <v>17</v>
      </c>
      <c r="M777" s="2">
        <v>112.0595</v>
      </c>
      <c r="N777" s="2">
        <v>15</v>
      </c>
      <c r="O777" s="2">
        <v>112.7653</v>
      </c>
      <c r="P777" s="2">
        <v>14</v>
      </c>
      <c r="Q777" s="2">
        <v>104.87350000000001</v>
      </c>
      <c r="R777" s="2">
        <v>266</v>
      </c>
      <c r="S777" s="2">
        <v>105.4032</v>
      </c>
      <c r="T777" s="2">
        <v>263</v>
      </c>
      <c r="U777" s="2">
        <v>0.68491000000000002</v>
      </c>
      <c r="V777" s="2">
        <v>89</v>
      </c>
      <c r="W777" s="2">
        <v>2013</v>
      </c>
    </row>
    <row r="778" spans="1:23" ht="12.3" x14ac:dyDescent="0.4">
      <c r="A778" s="2" t="s">
        <v>362</v>
      </c>
      <c r="B778" s="2">
        <v>13</v>
      </c>
      <c r="C778" s="2"/>
      <c r="D778" s="2"/>
      <c r="E778" s="2"/>
      <c r="F778" s="2"/>
      <c r="G778" s="2"/>
      <c r="H778" s="2"/>
      <c r="I778" s="2">
        <v>63.785800000000002</v>
      </c>
      <c r="J778" s="2">
        <v>267</v>
      </c>
      <c r="K778" s="2">
        <v>64.112799999999993</v>
      </c>
      <c r="L778" s="2">
        <v>258</v>
      </c>
      <c r="M778" s="2">
        <v>112.4359</v>
      </c>
      <c r="N778" s="2">
        <v>12</v>
      </c>
      <c r="O778" s="2">
        <v>111.1901</v>
      </c>
      <c r="P778" s="2">
        <v>27</v>
      </c>
      <c r="Q778" s="2">
        <v>102.55289999999999</v>
      </c>
      <c r="R778" s="2">
        <v>211</v>
      </c>
      <c r="S778" s="2">
        <v>104.0986</v>
      </c>
      <c r="T778" s="2">
        <v>242</v>
      </c>
      <c r="U778" s="2">
        <v>0.680894</v>
      </c>
      <c r="V778" s="2">
        <v>91</v>
      </c>
      <c r="W778" s="2">
        <v>2013</v>
      </c>
    </row>
    <row r="779" spans="1:23" ht="12.3" x14ac:dyDescent="0.4">
      <c r="A779" s="2" t="s">
        <v>255</v>
      </c>
      <c r="B779" s="2">
        <v>14</v>
      </c>
      <c r="C779" s="3" t="s">
        <v>33</v>
      </c>
      <c r="D779" s="2"/>
      <c r="E779" s="2"/>
      <c r="F779" s="2"/>
      <c r="G779" s="2"/>
      <c r="H779" s="2"/>
      <c r="I779" s="2">
        <v>63.860999999999997</v>
      </c>
      <c r="J779" s="2">
        <v>265</v>
      </c>
      <c r="K779" s="2">
        <v>64.396699999999996</v>
      </c>
      <c r="L779" s="2">
        <v>245</v>
      </c>
      <c r="M779" s="2">
        <v>106.62350000000001</v>
      </c>
      <c r="N779" s="2">
        <v>65</v>
      </c>
      <c r="O779" s="2">
        <v>106.119</v>
      </c>
      <c r="P779" s="2">
        <v>72</v>
      </c>
      <c r="Q779" s="2">
        <v>99.3506</v>
      </c>
      <c r="R779" s="2">
        <v>145</v>
      </c>
      <c r="S779" s="2">
        <v>99.987099999999998</v>
      </c>
      <c r="T779" s="2">
        <v>147</v>
      </c>
      <c r="U779" s="2">
        <v>0.66474</v>
      </c>
      <c r="V779" s="2">
        <v>97</v>
      </c>
      <c r="W779" s="2">
        <v>2013</v>
      </c>
    </row>
    <row r="780" spans="1:23" ht="12.3" x14ac:dyDescent="0.4">
      <c r="A780" s="2" t="s">
        <v>126</v>
      </c>
      <c r="B780" s="2">
        <v>15</v>
      </c>
      <c r="C780" s="2"/>
      <c r="D780" s="2"/>
      <c r="E780" s="2"/>
      <c r="F780" s="2"/>
      <c r="G780" s="2"/>
      <c r="H780" s="2"/>
      <c r="I780" s="2">
        <v>63.195399999999999</v>
      </c>
      <c r="J780" s="2">
        <v>287</v>
      </c>
      <c r="K780" s="2">
        <v>63.2361</v>
      </c>
      <c r="L780" s="2">
        <v>283</v>
      </c>
      <c r="M780" s="2">
        <v>105.76949999999999</v>
      </c>
      <c r="N780" s="2">
        <v>78</v>
      </c>
      <c r="O780" s="2">
        <v>104.839</v>
      </c>
      <c r="P780" s="2">
        <v>96</v>
      </c>
      <c r="Q780" s="2">
        <v>102.67189999999999</v>
      </c>
      <c r="R780" s="2">
        <v>213</v>
      </c>
      <c r="S780" s="2">
        <v>100.2427</v>
      </c>
      <c r="T780" s="2">
        <v>154</v>
      </c>
      <c r="U780" s="2">
        <v>0.62610900000000003</v>
      </c>
      <c r="V780" s="2">
        <v>111</v>
      </c>
      <c r="W780" s="2">
        <v>2013</v>
      </c>
    </row>
    <row r="781" spans="1:23" ht="12.3" x14ac:dyDescent="0.4">
      <c r="A781" s="2" t="s">
        <v>234</v>
      </c>
      <c r="B781" s="2">
        <v>13</v>
      </c>
      <c r="C781" s="2"/>
      <c r="D781" s="2"/>
      <c r="E781" s="2"/>
      <c r="F781" s="2"/>
      <c r="G781" s="2"/>
      <c r="H781" s="2"/>
      <c r="I781" s="2">
        <v>63.773600000000002</v>
      </c>
      <c r="J781" s="2">
        <v>268</v>
      </c>
      <c r="K781" s="2">
        <v>63.840899999999998</v>
      </c>
      <c r="L781" s="2">
        <v>266</v>
      </c>
      <c r="M781" s="2">
        <v>108.5586</v>
      </c>
      <c r="N781" s="2">
        <v>34</v>
      </c>
      <c r="O781" s="2">
        <v>103.8571</v>
      </c>
      <c r="P781" s="2">
        <v>114</v>
      </c>
      <c r="Q781" s="2">
        <v>100.8193</v>
      </c>
      <c r="R781" s="2">
        <v>170</v>
      </c>
      <c r="S781" s="2">
        <v>100.7899</v>
      </c>
      <c r="T781" s="2">
        <v>166</v>
      </c>
      <c r="U781" s="2">
        <v>0.585341</v>
      </c>
      <c r="V781" s="2">
        <v>127</v>
      </c>
      <c r="W781" s="2">
        <v>2013</v>
      </c>
    </row>
    <row r="782" spans="1:23" ht="12.3" x14ac:dyDescent="0.4">
      <c r="A782" s="2" t="s">
        <v>369</v>
      </c>
      <c r="B782" s="2">
        <v>15</v>
      </c>
      <c r="C782" s="3" t="s">
        <v>33</v>
      </c>
      <c r="D782" s="3" t="s">
        <v>33</v>
      </c>
      <c r="E782" s="2"/>
      <c r="F782" s="2"/>
      <c r="G782" s="2"/>
      <c r="H782" s="2"/>
      <c r="I782" s="2">
        <v>69.197299999999998</v>
      </c>
      <c r="J782" s="2">
        <v>45</v>
      </c>
      <c r="K782" s="2">
        <v>68.687100000000001</v>
      </c>
      <c r="L782" s="2">
        <v>54</v>
      </c>
      <c r="M782" s="2">
        <v>103.5861</v>
      </c>
      <c r="N782" s="2">
        <v>110</v>
      </c>
      <c r="O782" s="2">
        <v>102.1036</v>
      </c>
      <c r="P782" s="2">
        <v>145</v>
      </c>
      <c r="Q782" s="2">
        <v>95.832499999999996</v>
      </c>
      <c r="R782" s="2">
        <v>69</v>
      </c>
      <c r="S782" s="2">
        <v>99.472300000000004</v>
      </c>
      <c r="T782" s="2">
        <v>137</v>
      </c>
      <c r="U782" s="2">
        <v>0.57450400000000001</v>
      </c>
      <c r="V782" s="2">
        <v>131</v>
      </c>
      <c r="W782" s="2">
        <v>2013</v>
      </c>
    </row>
    <row r="783" spans="1:23" ht="12.3" x14ac:dyDescent="0.4">
      <c r="A783" s="2" t="s">
        <v>259</v>
      </c>
      <c r="B783" s="2">
        <v>14</v>
      </c>
      <c r="C783" s="2"/>
      <c r="D783" s="2"/>
      <c r="E783" s="2"/>
      <c r="F783" s="2"/>
      <c r="G783" s="2"/>
      <c r="H783" s="2"/>
      <c r="I783" s="2">
        <v>73.539400000000001</v>
      </c>
      <c r="J783" s="2">
        <v>1</v>
      </c>
      <c r="K783" s="2">
        <v>72.896699999999996</v>
      </c>
      <c r="L783" s="2">
        <v>1</v>
      </c>
      <c r="M783" s="2">
        <v>105.92319999999999</v>
      </c>
      <c r="N783" s="2">
        <v>74</v>
      </c>
      <c r="O783" s="2">
        <v>105.7153</v>
      </c>
      <c r="P783" s="2">
        <v>78</v>
      </c>
      <c r="Q783" s="2">
        <v>98.618499999999997</v>
      </c>
      <c r="R783" s="2">
        <v>133</v>
      </c>
      <c r="S783" s="2">
        <v>103.1156</v>
      </c>
      <c r="T783" s="2">
        <v>214</v>
      </c>
      <c r="U783" s="2">
        <v>0.57109799999999999</v>
      </c>
      <c r="V783" s="2">
        <v>134</v>
      </c>
      <c r="W783" s="2">
        <v>2013</v>
      </c>
    </row>
    <row r="784" spans="1:23" ht="12.3" x14ac:dyDescent="0.4">
      <c r="A784" s="2" t="s">
        <v>339</v>
      </c>
      <c r="B784" s="2">
        <v>15</v>
      </c>
      <c r="C784" s="2"/>
      <c r="D784" s="2"/>
      <c r="E784" s="2"/>
      <c r="F784" s="2"/>
      <c r="G784" s="2"/>
      <c r="H784" s="2"/>
      <c r="I784" s="2">
        <v>62.784399999999998</v>
      </c>
      <c r="J784" s="2">
        <v>299</v>
      </c>
      <c r="K784" s="2">
        <v>63.126199999999997</v>
      </c>
      <c r="L784" s="2">
        <v>287</v>
      </c>
      <c r="M784" s="2">
        <v>102.0149</v>
      </c>
      <c r="N784" s="2">
        <v>147</v>
      </c>
      <c r="O784" s="2">
        <v>100.0872</v>
      </c>
      <c r="P784" s="2">
        <v>185</v>
      </c>
      <c r="Q784" s="2">
        <v>95.779399999999995</v>
      </c>
      <c r="R784" s="2">
        <v>66</v>
      </c>
      <c r="S784" s="2">
        <v>98.314300000000003</v>
      </c>
      <c r="T784" s="2">
        <v>115</v>
      </c>
      <c r="U784" s="2">
        <v>0.551203</v>
      </c>
      <c r="V784" s="2">
        <v>142</v>
      </c>
      <c r="W784" s="2">
        <v>2013</v>
      </c>
    </row>
    <row r="785" spans="1:23" ht="12.3" x14ac:dyDescent="0.4">
      <c r="A785" s="2" t="s">
        <v>338</v>
      </c>
      <c r="B785" s="2">
        <v>16</v>
      </c>
      <c r="C785" s="2"/>
      <c r="D785" s="2"/>
      <c r="E785" s="2"/>
      <c r="F785" s="2"/>
      <c r="G785" s="2"/>
      <c r="H785" s="2"/>
      <c r="I785" s="2">
        <v>65.389700000000005</v>
      </c>
      <c r="J785" s="2">
        <v>197</v>
      </c>
      <c r="K785" s="2">
        <v>64.886600000000001</v>
      </c>
      <c r="L785" s="2">
        <v>219</v>
      </c>
      <c r="M785" s="2">
        <v>101.7422</v>
      </c>
      <c r="N785" s="2">
        <v>155</v>
      </c>
      <c r="O785" s="2">
        <v>96.258499999999998</v>
      </c>
      <c r="P785" s="2">
        <v>253</v>
      </c>
      <c r="Q785" s="2">
        <v>89.014799999999994</v>
      </c>
      <c r="R785" s="2">
        <v>7</v>
      </c>
      <c r="S785" s="2">
        <v>96.880799999999994</v>
      </c>
      <c r="T785" s="2">
        <v>91</v>
      </c>
      <c r="U785" s="2">
        <v>0.48148299999999999</v>
      </c>
      <c r="V785" s="2">
        <v>170</v>
      </c>
      <c r="W785" s="2">
        <v>2013</v>
      </c>
    </row>
    <row r="786" spans="1:23" ht="12.3" x14ac:dyDescent="0.4">
      <c r="A786" s="2" t="s">
        <v>343</v>
      </c>
      <c r="B786" s="2">
        <v>16</v>
      </c>
      <c r="C786" s="2"/>
      <c r="D786" s="2"/>
      <c r="E786" s="2"/>
      <c r="F786" s="2"/>
      <c r="G786" s="2"/>
      <c r="H786" s="2"/>
      <c r="I786" s="2">
        <v>70.312799999999996</v>
      </c>
      <c r="J786" s="2">
        <v>24</v>
      </c>
      <c r="K786" s="2">
        <v>69.648899999999998</v>
      </c>
      <c r="L786" s="2">
        <v>29</v>
      </c>
      <c r="M786" s="2">
        <v>112.36409999999999</v>
      </c>
      <c r="N786" s="2">
        <v>13</v>
      </c>
      <c r="O786" s="2">
        <v>109.61150000000001</v>
      </c>
      <c r="P786" s="2">
        <v>39</v>
      </c>
      <c r="Q786" s="2">
        <v>107.89400000000001</v>
      </c>
      <c r="R786" s="2">
        <v>317</v>
      </c>
      <c r="S786" s="2">
        <v>110.50830000000001</v>
      </c>
      <c r="T786" s="2">
        <v>325</v>
      </c>
      <c r="U786" s="2">
        <v>0.47658899999999998</v>
      </c>
      <c r="V786" s="2">
        <v>172</v>
      </c>
      <c r="W786" s="2">
        <v>2013</v>
      </c>
    </row>
    <row r="787" spans="1:23" ht="12.3" x14ac:dyDescent="0.4">
      <c r="A787" s="2" t="s">
        <v>200</v>
      </c>
      <c r="B787" s="2">
        <v>16</v>
      </c>
      <c r="C787" s="2"/>
      <c r="D787" s="2"/>
      <c r="E787" s="2"/>
      <c r="F787" s="2"/>
      <c r="G787" s="2"/>
      <c r="H787" s="2"/>
      <c r="I787" s="2">
        <v>64.328999999999994</v>
      </c>
      <c r="J787" s="2">
        <v>242</v>
      </c>
      <c r="K787" s="2">
        <v>64.4803</v>
      </c>
      <c r="L787" s="2">
        <v>239</v>
      </c>
      <c r="M787" s="2">
        <v>100.4855</v>
      </c>
      <c r="N787" s="2">
        <v>176</v>
      </c>
      <c r="O787" s="2">
        <v>97.496600000000001</v>
      </c>
      <c r="P787" s="2">
        <v>236</v>
      </c>
      <c r="Q787" s="2">
        <v>98.979200000000006</v>
      </c>
      <c r="R787" s="2">
        <v>138</v>
      </c>
      <c r="S787" s="2">
        <v>98.770499999999998</v>
      </c>
      <c r="T787" s="2">
        <v>127</v>
      </c>
      <c r="U787" s="2">
        <v>0.46274500000000002</v>
      </c>
      <c r="V787" s="2">
        <v>184</v>
      </c>
      <c r="W787" s="2">
        <v>2013</v>
      </c>
    </row>
    <row r="788" spans="1:23" ht="12.3" x14ac:dyDescent="0.4">
      <c r="A788" s="2" t="s">
        <v>68</v>
      </c>
      <c r="B788" s="2">
        <v>16</v>
      </c>
      <c r="C788" s="2"/>
      <c r="D788" s="2"/>
      <c r="E788" s="2"/>
      <c r="F788" s="2"/>
      <c r="G788" s="2"/>
      <c r="H788" s="2"/>
      <c r="I788" s="2">
        <v>66.854699999999994</v>
      </c>
      <c r="J788" s="2">
        <v>129</v>
      </c>
      <c r="K788" s="2">
        <v>65.674400000000006</v>
      </c>
      <c r="L788" s="2">
        <v>182</v>
      </c>
      <c r="M788" s="2">
        <v>100.071</v>
      </c>
      <c r="N788" s="2">
        <v>181</v>
      </c>
      <c r="O788" s="2">
        <v>100.47620000000001</v>
      </c>
      <c r="P788" s="2">
        <v>178</v>
      </c>
      <c r="Q788" s="2">
        <v>99.092600000000004</v>
      </c>
      <c r="R788" s="2">
        <v>142</v>
      </c>
      <c r="S788" s="2">
        <v>101.946</v>
      </c>
      <c r="T788" s="2">
        <v>193</v>
      </c>
      <c r="U788" s="2">
        <v>0.458345</v>
      </c>
      <c r="V788" s="2">
        <v>187</v>
      </c>
      <c r="W788" s="2">
        <v>2013</v>
      </c>
    </row>
    <row r="789" spans="1:23" ht="12.3" x14ac:dyDescent="0.4">
      <c r="A789" s="2" t="s">
        <v>296</v>
      </c>
      <c r="B789" s="2">
        <v>16</v>
      </c>
      <c r="C789" s="2"/>
      <c r="D789" s="2"/>
      <c r="E789" s="2"/>
      <c r="F789" s="2"/>
      <c r="G789" s="2"/>
      <c r="H789" s="2"/>
      <c r="I789" s="2">
        <v>66.788399999999996</v>
      </c>
      <c r="J789" s="2">
        <v>131</v>
      </c>
      <c r="K789" s="2">
        <v>66.834199999999996</v>
      </c>
      <c r="L789" s="2">
        <v>127</v>
      </c>
      <c r="M789" s="2">
        <v>92.000100000000003</v>
      </c>
      <c r="N789" s="2">
        <v>313</v>
      </c>
      <c r="O789" s="2">
        <v>91.118799999999993</v>
      </c>
      <c r="P789" s="2">
        <v>318</v>
      </c>
      <c r="Q789" s="2">
        <v>91.288200000000003</v>
      </c>
      <c r="R789" s="2">
        <v>19</v>
      </c>
      <c r="S789" s="2">
        <v>95.227800000000002</v>
      </c>
      <c r="T789" s="2">
        <v>66</v>
      </c>
      <c r="U789" s="2">
        <v>0.37583899999999998</v>
      </c>
      <c r="V789" s="2">
        <v>219</v>
      </c>
      <c r="W789" s="2">
        <v>2013</v>
      </c>
    </row>
    <row r="790" spans="1:23" ht="12.3" x14ac:dyDescent="0.4">
      <c r="A790" s="2" t="s">
        <v>346</v>
      </c>
      <c r="B790" s="2">
        <v>16</v>
      </c>
      <c r="C790" s="2"/>
      <c r="D790" s="2"/>
      <c r="E790" s="2"/>
      <c r="F790" s="2"/>
      <c r="G790" s="2"/>
      <c r="H790" s="2"/>
      <c r="I790" s="2">
        <v>66.046000000000006</v>
      </c>
      <c r="J790" s="2">
        <v>170</v>
      </c>
      <c r="K790" s="2">
        <v>65.912099999999995</v>
      </c>
      <c r="L790" s="2">
        <v>171</v>
      </c>
      <c r="M790" s="2">
        <v>100.69329999999999</v>
      </c>
      <c r="N790" s="2">
        <v>172</v>
      </c>
      <c r="O790" s="2">
        <v>100.9509</v>
      </c>
      <c r="P790" s="2">
        <v>167</v>
      </c>
      <c r="Q790" s="2">
        <v>105.9028</v>
      </c>
      <c r="R790" s="2">
        <v>282</v>
      </c>
      <c r="S790" s="2">
        <v>108.9177</v>
      </c>
      <c r="T790" s="2">
        <v>313</v>
      </c>
      <c r="U790" s="2">
        <v>0.29452400000000001</v>
      </c>
      <c r="V790" s="2">
        <v>256</v>
      </c>
      <c r="W790" s="2">
        <v>2013</v>
      </c>
    </row>
    <row r="791" spans="1:23" ht="12.3" x14ac:dyDescent="0.4">
      <c r="A791" s="2" t="s">
        <v>43</v>
      </c>
      <c r="B791" s="2">
        <v>1</v>
      </c>
      <c r="C791" s="3" t="s">
        <v>33</v>
      </c>
      <c r="D791" s="3" t="s">
        <v>33</v>
      </c>
      <c r="E791" s="3" t="s">
        <v>33</v>
      </c>
      <c r="F791" s="2"/>
      <c r="G791" s="2"/>
      <c r="H791" s="2"/>
      <c r="I791" s="2">
        <v>64.520899999999997</v>
      </c>
      <c r="J791" s="2">
        <v>275</v>
      </c>
      <c r="K791" s="2">
        <v>64.381100000000004</v>
      </c>
      <c r="L791" s="2">
        <v>273</v>
      </c>
      <c r="M791" s="2">
        <v>112.26730000000001</v>
      </c>
      <c r="N791" s="2">
        <v>37</v>
      </c>
      <c r="O791" s="2">
        <v>113.1181</v>
      </c>
      <c r="P791" s="2">
        <v>35</v>
      </c>
      <c r="Q791" s="2">
        <v>88.812899999999999</v>
      </c>
      <c r="R791" s="2">
        <v>2</v>
      </c>
      <c r="S791" s="2">
        <v>86.900400000000005</v>
      </c>
      <c r="T791" s="2">
        <v>1</v>
      </c>
      <c r="U791" s="2">
        <v>0.95400799999999997</v>
      </c>
      <c r="V791" s="2">
        <v>1</v>
      </c>
      <c r="W791" s="2">
        <v>2014</v>
      </c>
    </row>
    <row r="792" spans="1:23" ht="12.3" x14ac:dyDescent="0.4">
      <c r="A792" s="2" t="s">
        <v>86</v>
      </c>
      <c r="B792" s="2">
        <v>4</v>
      </c>
      <c r="C792" s="3" t="s">
        <v>33</v>
      </c>
      <c r="D792" s="3" t="s">
        <v>33</v>
      </c>
      <c r="E792" s="2"/>
      <c r="F792" s="2"/>
      <c r="G792" s="2"/>
      <c r="H792" s="2"/>
      <c r="I792" s="2">
        <v>69.148899999999998</v>
      </c>
      <c r="J792" s="2">
        <v>63</v>
      </c>
      <c r="K792" s="2">
        <v>68.9392</v>
      </c>
      <c r="L792" s="2">
        <v>58</v>
      </c>
      <c r="M792" s="2">
        <v>118.6927</v>
      </c>
      <c r="N792" s="2">
        <v>3</v>
      </c>
      <c r="O792" s="2">
        <v>117.3621</v>
      </c>
      <c r="P792" s="2">
        <v>10</v>
      </c>
      <c r="Q792" s="2">
        <v>88.088899999999995</v>
      </c>
      <c r="R792" s="2">
        <v>1</v>
      </c>
      <c r="S792" s="2">
        <v>90.595500000000001</v>
      </c>
      <c r="T792" s="2">
        <v>6</v>
      </c>
      <c r="U792" s="2">
        <v>0.951519</v>
      </c>
      <c r="V792" s="2">
        <v>2</v>
      </c>
      <c r="W792" s="2">
        <v>2014</v>
      </c>
    </row>
    <row r="793" spans="1:23" ht="12.3" x14ac:dyDescent="0.4">
      <c r="A793" s="2" t="s">
        <v>37</v>
      </c>
      <c r="B793" s="2">
        <v>1</v>
      </c>
      <c r="C793" s="3" t="s">
        <v>33</v>
      </c>
      <c r="D793" s="3" t="s">
        <v>33</v>
      </c>
      <c r="E793" s="3" t="s">
        <v>33</v>
      </c>
      <c r="F793" s="3" t="s">
        <v>33</v>
      </c>
      <c r="G793" s="2"/>
      <c r="H793" s="2"/>
      <c r="I793" s="2">
        <v>63.069400000000002</v>
      </c>
      <c r="J793" s="2">
        <v>325</v>
      </c>
      <c r="K793" s="2">
        <v>63.179600000000001</v>
      </c>
      <c r="L793" s="2">
        <v>316</v>
      </c>
      <c r="M793" s="2">
        <v>111.6412</v>
      </c>
      <c r="N793" s="2">
        <v>46</v>
      </c>
      <c r="O793" s="2">
        <v>115.753</v>
      </c>
      <c r="P793" s="2">
        <v>17</v>
      </c>
      <c r="Q793" s="2">
        <v>91.525800000000004</v>
      </c>
      <c r="R793" s="2">
        <v>10</v>
      </c>
      <c r="S793" s="2">
        <v>89.994299999999996</v>
      </c>
      <c r="T793" s="2">
        <v>5</v>
      </c>
      <c r="U793" s="2">
        <v>0.94758399999999998</v>
      </c>
      <c r="V793" s="2">
        <v>3</v>
      </c>
      <c r="W793" s="2">
        <v>2014</v>
      </c>
    </row>
    <row r="794" spans="1:23" ht="12.3" x14ac:dyDescent="0.4">
      <c r="A794" s="2" t="s">
        <v>87</v>
      </c>
      <c r="B794" s="2">
        <v>1</v>
      </c>
      <c r="C794" s="3" t="s">
        <v>33</v>
      </c>
      <c r="D794" s="3" t="s">
        <v>33</v>
      </c>
      <c r="E794" s="2"/>
      <c r="F794" s="2"/>
      <c r="G794" s="2"/>
      <c r="H794" s="2"/>
      <c r="I794" s="2">
        <v>60.501100000000001</v>
      </c>
      <c r="J794" s="2">
        <v>346</v>
      </c>
      <c r="K794" s="2">
        <v>60.966299999999997</v>
      </c>
      <c r="L794" s="2">
        <v>345</v>
      </c>
      <c r="M794" s="2">
        <v>108.67140000000001</v>
      </c>
      <c r="N794" s="2">
        <v>80</v>
      </c>
      <c r="O794" s="2">
        <v>113.9682</v>
      </c>
      <c r="P794" s="2">
        <v>25</v>
      </c>
      <c r="Q794" s="2">
        <v>91.097399999999993</v>
      </c>
      <c r="R794" s="2">
        <v>6</v>
      </c>
      <c r="S794" s="2">
        <v>89.458100000000002</v>
      </c>
      <c r="T794" s="2">
        <v>3</v>
      </c>
      <c r="U794" s="2">
        <v>0.94184400000000001</v>
      </c>
      <c r="V794" s="2">
        <v>4</v>
      </c>
      <c r="W794" s="2">
        <v>2014</v>
      </c>
    </row>
    <row r="795" spans="1:23" ht="12.3" x14ac:dyDescent="0.4">
      <c r="A795" s="2" t="s">
        <v>192</v>
      </c>
      <c r="B795" s="2">
        <v>1</v>
      </c>
      <c r="C795" s="3" t="s">
        <v>33</v>
      </c>
      <c r="D795" s="2"/>
      <c r="E795" s="2"/>
      <c r="F795" s="2"/>
      <c r="G795" s="2"/>
      <c r="H795" s="2"/>
      <c r="I795" s="2">
        <v>64.4923</v>
      </c>
      <c r="J795" s="2">
        <v>276</v>
      </c>
      <c r="K795" s="2">
        <v>65.020200000000003</v>
      </c>
      <c r="L795" s="2">
        <v>245</v>
      </c>
      <c r="M795" s="2">
        <v>115.962</v>
      </c>
      <c r="N795" s="2">
        <v>9</v>
      </c>
      <c r="O795" s="2">
        <v>117.733</v>
      </c>
      <c r="P795" s="2">
        <v>8</v>
      </c>
      <c r="Q795" s="2">
        <v>92.409400000000005</v>
      </c>
      <c r="R795" s="2">
        <v>12</v>
      </c>
      <c r="S795" s="2">
        <v>92.69</v>
      </c>
      <c r="T795" s="2">
        <v>10</v>
      </c>
      <c r="U795" s="2">
        <v>0.93993199999999999</v>
      </c>
      <c r="V795" s="2">
        <v>5</v>
      </c>
      <c r="W795" s="2">
        <v>2014</v>
      </c>
    </row>
    <row r="796" spans="1:23" ht="12.3" x14ac:dyDescent="0.4">
      <c r="A796" s="2" t="s">
        <v>78</v>
      </c>
      <c r="B796" s="2">
        <v>2</v>
      </c>
      <c r="C796" s="3" t="s">
        <v>33</v>
      </c>
      <c r="D796" s="2"/>
      <c r="E796" s="2"/>
      <c r="F796" s="2"/>
      <c r="G796" s="2"/>
      <c r="H796" s="2"/>
      <c r="I796" s="2">
        <v>67.5107</v>
      </c>
      <c r="J796" s="2">
        <v>125</v>
      </c>
      <c r="K796" s="2">
        <v>67.148399999999995</v>
      </c>
      <c r="L796" s="2">
        <v>132</v>
      </c>
      <c r="M796" s="2">
        <v>114.1827</v>
      </c>
      <c r="N796" s="2">
        <v>18</v>
      </c>
      <c r="O796" s="2">
        <v>115.84480000000001</v>
      </c>
      <c r="P796" s="2">
        <v>16</v>
      </c>
      <c r="Q796" s="2">
        <v>96.731800000000007</v>
      </c>
      <c r="R796" s="2">
        <v>27</v>
      </c>
      <c r="S796" s="2">
        <v>93.724900000000005</v>
      </c>
      <c r="T796" s="2">
        <v>14</v>
      </c>
      <c r="U796" s="2">
        <v>0.91958399999999996</v>
      </c>
      <c r="V796" s="2">
        <v>6</v>
      </c>
      <c r="W796" s="2">
        <v>2014</v>
      </c>
    </row>
    <row r="797" spans="1:23" ht="12.3" x14ac:dyDescent="0.4">
      <c r="A797" s="2" t="s">
        <v>32</v>
      </c>
      <c r="B797" s="2">
        <v>3</v>
      </c>
      <c r="C797" s="2"/>
      <c r="D797" s="2"/>
      <c r="E797" s="2"/>
      <c r="F797" s="2"/>
      <c r="G797" s="2"/>
      <c r="H797" s="2"/>
      <c r="I797" s="2">
        <v>65.403999999999996</v>
      </c>
      <c r="J797" s="2">
        <v>230</v>
      </c>
      <c r="K797" s="2">
        <v>66.016099999999994</v>
      </c>
      <c r="L797" s="2">
        <v>196</v>
      </c>
      <c r="M797" s="2">
        <v>119.9164</v>
      </c>
      <c r="N797" s="2">
        <v>2</v>
      </c>
      <c r="O797" s="2">
        <v>124.3884</v>
      </c>
      <c r="P797" s="2">
        <v>2</v>
      </c>
      <c r="Q797" s="2">
        <v>102.42910000000001</v>
      </c>
      <c r="R797" s="2">
        <v>111</v>
      </c>
      <c r="S797" s="2">
        <v>101.43259999999999</v>
      </c>
      <c r="T797" s="2">
        <v>102</v>
      </c>
      <c r="U797" s="2">
        <v>0.91262900000000002</v>
      </c>
      <c r="V797" s="2">
        <v>7</v>
      </c>
      <c r="W797" s="2">
        <v>2014</v>
      </c>
    </row>
    <row r="798" spans="1:23" ht="12.3" x14ac:dyDescent="0.4">
      <c r="A798" s="2" t="s">
        <v>90</v>
      </c>
      <c r="B798" s="2">
        <v>3</v>
      </c>
      <c r="C798" s="3" t="s">
        <v>33</v>
      </c>
      <c r="D798" s="2"/>
      <c r="E798" s="2"/>
      <c r="F798" s="2"/>
      <c r="G798" s="2"/>
      <c r="H798" s="2"/>
      <c r="I798" s="2">
        <v>65.492800000000003</v>
      </c>
      <c r="J798" s="2">
        <v>226</v>
      </c>
      <c r="K798" s="2">
        <v>65.133499999999998</v>
      </c>
      <c r="L798" s="2">
        <v>241</v>
      </c>
      <c r="M798" s="2">
        <v>121.4365</v>
      </c>
      <c r="N798" s="2">
        <v>1</v>
      </c>
      <c r="O798" s="2">
        <v>125.6888</v>
      </c>
      <c r="P798" s="2">
        <v>1</v>
      </c>
      <c r="Q798" s="2">
        <v>103.33499999999999</v>
      </c>
      <c r="R798" s="2">
        <v>131</v>
      </c>
      <c r="S798" s="2">
        <v>102.5492</v>
      </c>
      <c r="T798" s="2">
        <v>126</v>
      </c>
      <c r="U798" s="2">
        <v>0.91212499999999996</v>
      </c>
      <c r="V798" s="2">
        <v>8</v>
      </c>
      <c r="W798" s="2">
        <v>2014</v>
      </c>
    </row>
    <row r="799" spans="1:23" ht="12.3" x14ac:dyDescent="0.4">
      <c r="A799" s="2" t="s">
        <v>35</v>
      </c>
      <c r="B799" s="2">
        <v>2</v>
      </c>
      <c r="C799" s="3" t="s">
        <v>33</v>
      </c>
      <c r="D799" s="2"/>
      <c r="E799" s="2"/>
      <c r="F799" s="2"/>
      <c r="G799" s="2"/>
      <c r="H799" s="2"/>
      <c r="I799" s="2">
        <v>68.748699999999999</v>
      </c>
      <c r="J799" s="2">
        <v>73</v>
      </c>
      <c r="K799" s="2">
        <v>68.212999999999994</v>
      </c>
      <c r="L799" s="2">
        <v>81</v>
      </c>
      <c r="M799" s="2">
        <v>115.1071</v>
      </c>
      <c r="N799" s="2">
        <v>13</v>
      </c>
      <c r="O799" s="2">
        <v>118.5993</v>
      </c>
      <c r="P799" s="2">
        <v>6</v>
      </c>
      <c r="Q799" s="2">
        <v>101.6079</v>
      </c>
      <c r="R799" s="2">
        <v>100</v>
      </c>
      <c r="S799" s="2">
        <v>96.899000000000001</v>
      </c>
      <c r="T799" s="2">
        <v>45</v>
      </c>
      <c r="U799" s="2">
        <v>0.91083999999999998</v>
      </c>
      <c r="V799" s="2">
        <v>9</v>
      </c>
      <c r="W799" s="2">
        <v>2014</v>
      </c>
    </row>
    <row r="800" spans="1:23" ht="12.3" x14ac:dyDescent="0.4">
      <c r="A800" s="2" t="s">
        <v>58</v>
      </c>
      <c r="B800" s="2">
        <v>4</v>
      </c>
      <c r="C800" s="3" t="s">
        <v>33</v>
      </c>
      <c r="D800" s="3" t="s">
        <v>33</v>
      </c>
      <c r="E800" s="3" t="s">
        <v>33</v>
      </c>
      <c r="F800" s="2"/>
      <c r="G800" s="2"/>
      <c r="H800" s="2"/>
      <c r="I800" s="2">
        <v>66.066999999999993</v>
      </c>
      <c r="J800" s="2">
        <v>200</v>
      </c>
      <c r="K800" s="2">
        <v>65.619100000000003</v>
      </c>
      <c r="L800" s="2">
        <v>214</v>
      </c>
      <c r="M800" s="2">
        <v>113.38639999999999</v>
      </c>
      <c r="N800" s="2">
        <v>24</v>
      </c>
      <c r="O800" s="2">
        <v>117.2647</v>
      </c>
      <c r="P800" s="2">
        <v>11</v>
      </c>
      <c r="Q800" s="2">
        <v>97.999300000000005</v>
      </c>
      <c r="R800" s="2">
        <v>45</v>
      </c>
      <c r="S800" s="2">
        <v>96.511899999999997</v>
      </c>
      <c r="T800" s="2">
        <v>39</v>
      </c>
      <c r="U800" s="2">
        <v>0.90376900000000004</v>
      </c>
      <c r="V800" s="2">
        <v>10</v>
      </c>
      <c r="W800" s="2">
        <v>2014</v>
      </c>
    </row>
    <row r="801" spans="1:23" ht="12.3" x14ac:dyDescent="0.4">
      <c r="A801" s="2" t="s">
        <v>76</v>
      </c>
      <c r="B801" s="2">
        <v>2</v>
      </c>
      <c r="C801" s="3" t="s">
        <v>33</v>
      </c>
      <c r="D801" s="3" t="s">
        <v>33</v>
      </c>
      <c r="E801" s="3" t="s">
        <v>33</v>
      </c>
      <c r="F801" s="3" t="s">
        <v>33</v>
      </c>
      <c r="G801" s="2"/>
      <c r="H801" s="2"/>
      <c r="I801" s="2">
        <v>63.820099999999996</v>
      </c>
      <c r="J801" s="2">
        <v>297</v>
      </c>
      <c r="K801" s="2">
        <v>64.356099999999998</v>
      </c>
      <c r="L801" s="2">
        <v>275</v>
      </c>
      <c r="M801" s="2">
        <v>115.2419</v>
      </c>
      <c r="N801" s="2">
        <v>12</v>
      </c>
      <c r="O801" s="2">
        <v>119.4575</v>
      </c>
      <c r="P801" s="2">
        <v>5</v>
      </c>
      <c r="Q801" s="2">
        <v>101.0851</v>
      </c>
      <c r="R801" s="2">
        <v>96</v>
      </c>
      <c r="S801" s="2">
        <v>98.677599999999998</v>
      </c>
      <c r="T801" s="2">
        <v>59</v>
      </c>
      <c r="U801" s="2">
        <v>0.90004099999999998</v>
      </c>
      <c r="V801" s="2">
        <v>11</v>
      </c>
      <c r="W801" s="2">
        <v>2014</v>
      </c>
    </row>
    <row r="802" spans="1:23" ht="12.3" x14ac:dyDescent="0.4">
      <c r="A802" s="2" t="s">
        <v>137</v>
      </c>
      <c r="B802" s="2">
        <v>5</v>
      </c>
      <c r="C802" s="2"/>
      <c r="D802" s="2"/>
      <c r="E802" s="2"/>
      <c r="F802" s="2"/>
      <c r="G802" s="2"/>
      <c r="H802" s="2"/>
      <c r="I802" s="2">
        <v>70.567099999999996</v>
      </c>
      <c r="J802" s="2">
        <v>27</v>
      </c>
      <c r="K802" s="2">
        <v>70.643799999999999</v>
      </c>
      <c r="L802" s="2">
        <v>21</v>
      </c>
      <c r="M802" s="2">
        <v>105.33540000000001</v>
      </c>
      <c r="N802" s="2">
        <v>161</v>
      </c>
      <c r="O802" s="2">
        <v>107.895</v>
      </c>
      <c r="P802" s="2">
        <v>106</v>
      </c>
      <c r="Q802" s="2">
        <v>90.850499999999997</v>
      </c>
      <c r="R802" s="2">
        <v>4</v>
      </c>
      <c r="S802" s="2">
        <v>89.366100000000003</v>
      </c>
      <c r="T802" s="2">
        <v>2</v>
      </c>
      <c r="U802" s="2">
        <v>0.89722800000000003</v>
      </c>
      <c r="V802" s="2">
        <v>12</v>
      </c>
      <c r="W802" s="2">
        <v>2014</v>
      </c>
    </row>
    <row r="803" spans="1:23" ht="12.3" x14ac:dyDescent="0.4">
      <c r="A803" s="2" t="s">
        <v>81</v>
      </c>
      <c r="B803" s="2">
        <v>11</v>
      </c>
      <c r="C803" s="3" t="s">
        <v>33</v>
      </c>
      <c r="D803" s="3" t="s">
        <v>33</v>
      </c>
      <c r="E803" s="2"/>
      <c r="F803" s="2"/>
      <c r="G803" s="2"/>
      <c r="H803" s="2"/>
      <c r="I803" s="2">
        <v>62.935000000000002</v>
      </c>
      <c r="J803" s="2">
        <v>328</v>
      </c>
      <c r="K803" s="2">
        <v>63.313400000000001</v>
      </c>
      <c r="L803" s="2">
        <v>312</v>
      </c>
      <c r="M803" s="2">
        <v>111.6884</v>
      </c>
      <c r="N803" s="2">
        <v>44</v>
      </c>
      <c r="O803" s="2">
        <v>113.5177</v>
      </c>
      <c r="P803" s="2">
        <v>29</v>
      </c>
      <c r="Q803" s="2">
        <v>97.049499999999995</v>
      </c>
      <c r="R803" s="2">
        <v>31</v>
      </c>
      <c r="S803" s="2">
        <v>94.061199999999999</v>
      </c>
      <c r="T803" s="2">
        <v>16</v>
      </c>
      <c r="U803" s="2">
        <v>0.89680000000000004</v>
      </c>
      <c r="V803" s="2">
        <v>13</v>
      </c>
      <c r="W803" s="2">
        <v>2014</v>
      </c>
    </row>
    <row r="804" spans="1:23" ht="12.3" x14ac:dyDescent="0.4">
      <c r="A804" s="2" t="s">
        <v>154</v>
      </c>
      <c r="B804" s="2">
        <v>2</v>
      </c>
      <c r="C804" s="3" t="s">
        <v>33</v>
      </c>
      <c r="D804" s="3" t="s">
        <v>33</v>
      </c>
      <c r="E804" s="3" t="s">
        <v>33</v>
      </c>
      <c r="F804" s="2"/>
      <c r="G804" s="2"/>
      <c r="H804" s="2"/>
      <c r="I804" s="2">
        <v>63.059399999999997</v>
      </c>
      <c r="J804" s="2">
        <v>326</v>
      </c>
      <c r="K804" s="2">
        <v>62.821100000000001</v>
      </c>
      <c r="L804" s="2">
        <v>327</v>
      </c>
      <c r="M804" s="2">
        <v>117.1425</v>
      </c>
      <c r="N804" s="2">
        <v>5</v>
      </c>
      <c r="O804" s="2">
        <v>122.2637</v>
      </c>
      <c r="P804" s="2">
        <v>3</v>
      </c>
      <c r="Q804" s="2">
        <v>103.02379999999999</v>
      </c>
      <c r="R804" s="2">
        <v>121</v>
      </c>
      <c r="S804" s="2">
        <v>101.6228</v>
      </c>
      <c r="T804" s="2">
        <v>104</v>
      </c>
      <c r="U804" s="2">
        <v>0.89345200000000002</v>
      </c>
      <c r="V804" s="2">
        <v>14</v>
      </c>
      <c r="W804" s="2">
        <v>2014</v>
      </c>
    </row>
    <row r="805" spans="1:23" ht="12.3" x14ac:dyDescent="0.4">
      <c r="A805" s="2" t="s">
        <v>23</v>
      </c>
      <c r="B805" s="2">
        <v>3</v>
      </c>
      <c r="C805" s="3" t="s">
        <v>33</v>
      </c>
      <c r="D805" s="2"/>
      <c r="E805" s="2"/>
      <c r="F805" s="2"/>
      <c r="G805" s="2"/>
      <c r="H805" s="2"/>
      <c r="I805" s="2">
        <v>60.447099999999999</v>
      </c>
      <c r="J805" s="2">
        <v>347</v>
      </c>
      <c r="K805" s="2">
        <v>61.332099999999997</v>
      </c>
      <c r="L805" s="2">
        <v>343</v>
      </c>
      <c r="M805" s="2">
        <v>111.7167</v>
      </c>
      <c r="N805" s="2">
        <v>43</v>
      </c>
      <c r="O805" s="2">
        <v>113.22410000000001</v>
      </c>
      <c r="P805" s="2">
        <v>34</v>
      </c>
      <c r="Q805" s="2">
        <v>97.7423</v>
      </c>
      <c r="R805" s="2">
        <v>41</v>
      </c>
      <c r="S805" s="2">
        <v>94.1875</v>
      </c>
      <c r="T805" s="2">
        <v>18</v>
      </c>
      <c r="U805" s="2">
        <v>0.89253800000000005</v>
      </c>
      <c r="V805" s="2">
        <v>15</v>
      </c>
      <c r="W805" s="2">
        <v>2014</v>
      </c>
    </row>
    <row r="806" spans="1:23" ht="12.3" x14ac:dyDescent="0.4">
      <c r="A806" s="2" t="s">
        <v>65</v>
      </c>
      <c r="B806" s="2">
        <v>4</v>
      </c>
      <c r="C806" s="3" t="s">
        <v>33</v>
      </c>
      <c r="D806" s="3" t="s">
        <v>33</v>
      </c>
      <c r="E806" s="2"/>
      <c r="F806" s="2"/>
      <c r="G806" s="2"/>
      <c r="H806" s="2"/>
      <c r="I806" s="2">
        <v>70.405100000000004</v>
      </c>
      <c r="J806" s="2">
        <v>34</v>
      </c>
      <c r="K806" s="2">
        <v>70.0548</v>
      </c>
      <c r="L806" s="2">
        <v>32</v>
      </c>
      <c r="M806" s="2">
        <v>115.4258</v>
      </c>
      <c r="N806" s="2">
        <v>11</v>
      </c>
      <c r="O806" s="2">
        <v>116.7863</v>
      </c>
      <c r="P806" s="2">
        <v>14</v>
      </c>
      <c r="Q806" s="2">
        <v>99.958799999999997</v>
      </c>
      <c r="R806" s="2">
        <v>74</v>
      </c>
      <c r="S806" s="2">
        <v>97.504599999999996</v>
      </c>
      <c r="T806" s="2">
        <v>49</v>
      </c>
      <c r="U806" s="2">
        <v>0.88846199999999997</v>
      </c>
      <c r="V806" s="2">
        <v>16</v>
      </c>
      <c r="W806" s="2">
        <v>2014</v>
      </c>
    </row>
    <row r="807" spans="1:23" ht="12.3" x14ac:dyDescent="0.4">
      <c r="A807" s="2" t="s">
        <v>45</v>
      </c>
      <c r="B807" s="2">
        <v>8</v>
      </c>
      <c r="C807" s="3" t="s">
        <v>33</v>
      </c>
      <c r="D807" s="3" t="s">
        <v>33</v>
      </c>
      <c r="E807" s="3" t="s">
        <v>33</v>
      </c>
      <c r="F807" s="3" t="s">
        <v>33</v>
      </c>
      <c r="G807" s="3" t="s">
        <v>33</v>
      </c>
      <c r="H807" s="2"/>
      <c r="I807" s="2">
        <v>66.825299999999999</v>
      </c>
      <c r="J807" s="2">
        <v>156</v>
      </c>
      <c r="K807" s="2">
        <v>66.044499999999999</v>
      </c>
      <c r="L807" s="2">
        <v>195</v>
      </c>
      <c r="M807" s="2">
        <v>112.29989999999999</v>
      </c>
      <c r="N807" s="2">
        <v>36</v>
      </c>
      <c r="O807" s="2">
        <v>114.94280000000001</v>
      </c>
      <c r="P807" s="2">
        <v>19</v>
      </c>
      <c r="Q807" s="2">
        <v>98.739199999999997</v>
      </c>
      <c r="R807" s="2">
        <v>57</v>
      </c>
      <c r="S807" s="2">
        <v>96.303100000000001</v>
      </c>
      <c r="T807" s="2">
        <v>35</v>
      </c>
      <c r="U807" s="2">
        <v>0.88439699999999999</v>
      </c>
      <c r="V807" s="2">
        <v>17</v>
      </c>
      <c r="W807" s="2">
        <v>2014</v>
      </c>
    </row>
    <row r="808" spans="1:23" ht="12.3" x14ac:dyDescent="0.4">
      <c r="A808" s="2" t="s">
        <v>46</v>
      </c>
      <c r="B808" s="2">
        <v>9</v>
      </c>
      <c r="C808" s="3" t="s">
        <v>33</v>
      </c>
      <c r="D808" s="2"/>
      <c r="E808" s="2"/>
      <c r="F808" s="2"/>
      <c r="G808" s="2"/>
      <c r="H808" s="2"/>
      <c r="I808" s="2">
        <v>62.901899999999998</v>
      </c>
      <c r="J808" s="2">
        <v>329</v>
      </c>
      <c r="K808" s="2">
        <v>63.969499999999996</v>
      </c>
      <c r="L808" s="2">
        <v>291</v>
      </c>
      <c r="M808" s="2">
        <v>112.8605</v>
      </c>
      <c r="N808" s="2">
        <v>28</v>
      </c>
      <c r="O808" s="2">
        <v>115.09099999999999</v>
      </c>
      <c r="P808" s="2">
        <v>18</v>
      </c>
      <c r="Q808" s="2">
        <v>97.504499999999993</v>
      </c>
      <c r="R808" s="2">
        <v>38</v>
      </c>
      <c r="S808" s="2">
        <v>96.455200000000005</v>
      </c>
      <c r="T808" s="2">
        <v>37</v>
      </c>
      <c r="U808" s="2">
        <v>0.88405599999999995</v>
      </c>
      <c r="V808" s="2">
        <v>18</v>
      </c>
      <c r="W808" s="2">
        <v>2014</v>
      </c>
    </row>
    <row r="809" spans="1:23" ht="12.3" x14ac:dyDescent="0.4">
      <c r="A809" s="2" t="s">
        <v>21</v>
      </c>
      <c r="B809" s="2">
        <v>6</v>
      </c>
      <c r="C809" s="2"/>
      <c r="D809" s="2"/>
      <c r="E809" s="2"/>
      <c r="F809" s="2"/>
      <c r="G809" s="2"/>
      <c r="H809" s="2"/>
      <c r="I809" s="2">
        <v>65.025199999999998</v>
      </c>
      <c r="J809" s="2">
        <v>249</v>
      </c>
      <c r="K809" s="2">
        <v>65.403000000000006</v>
      </c>
      <c r="L809" s="2">
        <v>224</v>
      </c>
      <c r="M809" s="2">
        <v>106.6784</v>
      </c>
      <c r="N809" s="2">
        <v>128</v>
      </c>
      <c r="O809" s="2">
        <v>107.1348</v>
      </c>
      <c r="P809" s="2">
        <v>122</v>
      </c>
      <c r="Q809" s="2">
        <v>91.108099999999993</v>
      </c>
      <c r="R809" s="2">
        <v>8</v>
      </c>
      <c r="S809" s="2">
        <v>89.884600000000006</v>
      </c>
      <c r="T809" s="2">
        <v>4</v>
      </c>
      <c r="U809" s="2">
        <v>0.88277300000000003</v>
      </c>
      <c r="V809" s="2">
        <v>19</v>
      </c>
      <c r="W809" s="2">
        <v>2014</v>
      </c>
    </row>
    <row r="810" spans="1:23" ht="12.3" x14ac:dyDescent="0.4">
      <c r="A810" s="2" t="s">
        <v>47</v>
      </c>
      <c r="B810" s="2">
        <v>8</v>
      </c>
      <c r="C810" s="3" t="s">
        <v>33</v>
      </c>
      <c r="D810" s="2"/>
      <c r="E810" s="2"/>
      <c r="F810" s="2"/>
      <c r="G810" s="2"/>
      <c r="H810" s="2"/>
      <c r="I810" s="2">
        <v>66.503</v>
      </c>
      <c r="J810" s="2">
        <v>171</v>
      </c>
      <c r="K810" s="2">
        <v>66.134699999999995</v>
      </c>
      <c r="L810" s="2">
        <v>189</v>
      </c>
      <c r="M810" s="2">
        <v>113.90479999999999</v>
      </c>
      <c r="N810" s="2">
        <v>20</v>
      </c>
      <c r="O810" s="2">
        <v>111.4871</v>
      </c>
      <c r="P810" s="2">
        <v>49</v>
      </c>
      <c r="Q810" s="2">
        <v>97.0929</v>
      </c>
      <c r="R810" s="2">
        <v>32</v>
      </c>
      <c r="S810" s="2">
        <v>93.718900000000005</v>
      </c>
      <c r="T810" s="2">
        <v>13</v>
      </c>
      <c r="U810" s="2">
        <v>0.88043000000000005</v>
      </c>
      <c r="V810" s="2">
        <v>20</v>
      </c>
      <c r="W810" s="2">
        <v>2014</v>
      </c>
    </row>
    <row r="811" spans="1:23" ht="12.3" x14ac:dyDescent="0.4">
      <c r="A811" s="2" t="s">
        <v>97</v>
      </c>
      <c r="B811" s="2">
        <v>4</v>
      </c>
      <c r="C811" s="3" t="s">
        <v>33</v>
      </c>
      <c r="D811" s="3" t="s">
        <v>33</v>
      </c>
      <c r="E811" s="2"/>
      <c r="F811" s="2"/>
      <c r="G811" s="2"/>
      <c r="H811" s="2"/>
      <c r="I811" s="2">
        <v>63.668100000000003</v>
      </c>
      <c r="J811" s="2">
        <v>302</v>
      </c>
      <c r="K811" s="2">
        <v>64.057699999999997</v>
      </c>
      <c r="L811" s="2">
        <v>285</v>
      </c>
      <c r="M811" s="2">
        <v>106.9316</v>
      </c>
      <c r="N811" s="2">
        <v>122</v>
      </c>
      <c r="O811" s="2">
        <v>108.01560000000001</v>
      </c>
      <c r="P811" s="2">
        <v>103</v>
      </c>
      <c r="Q811" s="2">
        <v>90.8125</v>
      </c>
      <c r="R811" s="2">
        <v>3</v>
      </c>
      <c r="S811" s="2">
        <v>90.926500000000004</v>
      </c>
      <c r="T811" s="2">
        <v>7</v>
      </c>
      <c r="U811" s="2">
        <v>0.87874200000000002</v>
      </c>
      <c r="V811" s="2">
        <v>21</v>
      </c>
      <c r="W811" s="2">
        <v>2014</v>
      </c>
    </row>
    <row r="812" spans="1:23" ht="12.3" x14ac:dyDescent="0.4">
      <c r="A812" s="2" t="s">
        <v>72</v>
      </c>
      <c r="B812" s="2">
        <v>9</v>
      </c>
      <c r="C812" s="2"/>
      <c r="D812" s="2"/>
      <c r="E812" s="2"/>
      <c r="F812" s="2"/>
      <c r="G812" s="2"/>
      <c r="H812" s="2"/>
      <c r="I812" s="2">
        <v>69.436199999999999</v>
      </c>
      <c r="J812" s="2">
        <v>51</v>
      </c>
      <c r="K812" s="2">
        <v>68.496499999999997</v>
      </c>
      <c r="L812" s="2">
        <v>72</v>
      </c>
      <c r="M812" s="2">
        <v>113.29519999999999</v>
      </c>
      <c r="N812" s="2">
        <v>26</v>
      </c>
      <c r="O812" s="2">
        <v>113.9907</v>
      </c>
      <c r="P812" s="2">
        <v>24</v>
      </c>
      <c r="Q812" s="2">
        <v>97.392399999999995</v>
      </c>
      <c r="R812" s="2">
        <v>36</v>
      </c>
      <c r="S812" s="2">
        <v>96.0137</v>
      </c>
      <c r="T812" s="2">
        <v>29</v>
      </c>
      <c r="U812" s="2">
        <v>0.87800800000000001</v>
      </c>
      <c r="V812" s="2">
        <v>22</v>
      </c>
      <c r="W812" s="2">
        <v>2014</v>
      </c>
    </row>
    <row r="813" spans="1:23" ht="12.3" x14ac:dyDescent="0.4">
      <c r="A813" s="2" t="s">
        <v>146</v>
      </c>
      <c r="B813" s="2">
        <v>3</v>
      </c>
      <c r="C813" s="3" t="s">
        <v>33</v>
      </c>
      <c r="D813" s="3" t="s">
        <v>33</v>
      </c>
      <c r="E813" s="2"/>
      <c r="F813" s="2"/>
      <c r="G813" s="2"/>
      <c r="H813" s="2"/>
      <c r="I813" s="2">
        <v>71.953000000000003</v>
      </c>
      <c r="J813" s="2">
        <v>12</v>
      </c>
      <c r="K813" s="2">
        <v>71.661100000000005</v>
      </c>
      <c r="L813" s="2">
        <v>13</v>
      </c>
      <c r="M813" s="2">
        <v>113.4576</v>
      </c>
      <c r="N813" s="2">
        <v>23</v>
      </c>
      <c r="O813" s="2">
        <v>115.92189999999999</v>
      </c>
      <c r="P813" s="2">
        <v>15</v>
      </c>
      <c r="Q813" s="2">
        <v>100.9743</v>
      </c>
      <c r="R813" s="2">
        <v>92</v>
      </c>
      <c r="S813" s="2">
        <v>97.816299999999998</v>
      </c>
      <c r="T813" s="2">
        <v>54</v>
      </c>
      <c r="U813" s="2">
        <v>0.87577300000000002</v>
      </c>
      <c r="V813" s="2">
        <v>23</v>
      </c>
      <c r="W813" s="2">
        <v>2014</v>
      </c>
    </row>
    <row r="814" spans="1:23" ht="12.3" x14ac:dyDescent="0.4">
      <c r="A814" s="2" t="s">
        <v>34</v>
      </c>
      <c r="B814" s="2">
        <v>5</v>
      </c>
      <c r="C814" s="2"/>
      <c r="D814" s="2"/>
      <c r="E814" s="2"/>
      <c r="F814" s="2"/>
      <c r="G814" s="2"/>
      <c r="H814" s="2"/>
      <c r="I814" s="2">
        <v>63.7057</v>
      </c>
      <c r="J814" s="2">
        <v>299</v>
      </c>
      <c r="K814" s="2">
        <v>63.159100000000002</v>
      </c>
      <c r="L814" s="2">
        <v>317</v>
      </c>
      <c r="M814" s="2">
        <v>107.3402</v>
      </c>
      <c r="N814" s="2">
        <v>107</v>
      </c>
      <c r="O814" s="2">
        <v>107.85639999999999</v>
      </c>
      <c r="P814" s="2">
        <v>109</v>
      </c>
      <c r="Q814" s="2">
        <v>91.921099999999996</v>
      </c>
      <c r="R814" s="2">
        <v>11</v>
      </c>
      <c r="S814" s="2">
        <v>91.418999999999997</v>
      </c>
      <c r="T814" s="2">
        <v>9</v>
      </c>
      <c r="U814" s="2">
        <v>0.870062</v>
      </c>
      <c r="V814" s="2">
        <v>24</v>
      </c>
      <c r="W814" s="2">
        <v>2014</v>
      </c>
    </row>
    <row r="815" spans="1:23" ht="12.3" x14ac:dyDescent="0.4">
      <c r="A815" s="2" t="s">
        <v>54</v>
      </c>
      <c r="B815" s="2">
        <v>7</v>
      </c>
      <c r="C815" s="3" t="s">
        <v>33</v>
      </c>
      <c r="D815" s="3" t="s">
        <v>33</v>
      </c>
      <c r="E815" s="3" t="s">
        <v>33</v>
      </c>
      <c r="F815" s="3" t="s">
        <v>33</v>
      </c>
      <c r="G815" s="3" t="s">
        <v>33</v>
      </c>
      <c r="H815" s="3" t="s">
        <v>33</v>
      </c>
      <c r="I815" s="2">
        <v>65.922899999999998</v>
      </c>
      <c r="J815" s="2">
        <v>207</v>
      </c>
      <c r="K815" s="2">
        <v>64.978899999999996</v>
      </c>
      <c r="L815" s="2">
        <v>247</v>
      </c>
      <c r="M815" s="2">
        <v>108.26909999999999</v>
      </c>
      <c r="N815" s="2">
        <v>85</v>
      </c>
      <c r="O815" s="2">
        <v>109.4778</v>
      </c>
      <c r="P815" s="2">
        <v>80</v>
      </c>
      <c r="Q815" s="2">
        <v>95.464399999999998</v>
      </c>
      <c r="R815" s="2">
        <v>20</v>
      </c>
      <c r="S815" s="2">
        <v>92.881500000000003</v>
      </c>
      <c r="T815" s="2">
        <v>11</v>
      </c>
      <c r="U815" s="2">
        <v>0.86882000000000004</v>
      </c>
      <c r="V815" s="2">
        <v>25</v>
      </c>
      <c r="W815" s="2">
        <v>2014</v>
      </c>
    </row>
    <row r="816" spans="1:23" ht="12.3" x14ac:dyDescent="0.4">
      <c r="A816" s="2" t="s">
        <v>168</v>
      </c>
      <c r="B816" s="2">
        <v>6</v>
      </c>
      <c r="C816" s="3" t="s">
        <v>33</v>
      </c>
      <c r="D816" s="2"/>
      <c r="E816" s="2"/>
      <c r="F816" s="2"/>
      <c r="G816" s="2"/>
      <c r="H816" s="2"/>
      <c r="I816" s="2">
        <v>69.974000000000004</v>
      </c>
      <c r="J816" s="2">
        <v>44</v>
      </c>
      <c r="K816" s="2">
        <v>70.942499999999995</v>
      </c>
      <c r="L816" s="2">
        <v>18</v>
      </c>
      <c r="M816" s="2">
        <v>107.95959999999999</v>
      </c>
      <c r="N816" s="2">
        <v>93</v>
      </c>
      <c r="O816" s="2">
        <v>111.0116</v>
      </c>
      <c r="P816" s="2">
        <v>58</v>
      </c>
      <c r="Q816" s="2">
        <v>97.887600000000006</v>
      </c>
      <c r="R816" s="2">
        <v>44</v>
      </c>
      <c r="S816" s="2">
        <v>94.489000000000004</v>
      </c>
      <c r="T816" s="2">
        <v>22</v>
      </c>
      <c r="U816" s="2">
        <v>0.86450800000000005</v>
      </c>
      <c r="V816" s="2">
        <v>26</v>
      </c>
      <c r="W816" s="2">
        <v>2014</v>
      </c>
    </row>
    <row r="817" spans="1:23" ht="12.3" x14ac:dyDescent="0.4">
      <c r="A817" s="2" t="s">
        <v>84</v>
      </c>
      <c r="B817" s="2">
        <v>11</v>
      </c>
      <c r="C817" s="2"/>
      <c r="D817" s="2"/>
      <c r="E817" s="2"/>
      <c r="F817" s="2"/>
      <c r="G817" s="2"/>
      <c r="H817" s="2"/>
      <c r="I817" s="2">
        <v>70.221599999999995</v>
      </c>
      <c r="J817" s="2">
        <v>37</v>
      </c>
      <c r="K817" s="2">
        <v>70.866399999999999</v>
      </c>
      <c r="L817" s="2">
        <v>19</v>
      </c>
      <c r="M817" s="2">
        <v>115.63160000000001</v>
      </c>
      <c r="N817" s="2">
        <v>10</v>
      </c>
      <c r="O817" s="2">
        <v>120.1418</v>
      </c>
      <c r="P817" s="2">
        <v>4</v>
      </c>
      <c r="Q817" s="2">
        <v>98.996600000000001</v>
      </c>
      <c r="R817" s="2">
        <v>60</v>
      </c>
      <c r="S817" s="2">
        <v>102.5341</v>
      </c>
      <c r="T817" s="2">
        <v>125</v>
      </c>
      <c r="U817" s="2">
        <v>0.86086399999999996</v>
      </c>
      <c r="V817" s="2">
        <v>27</v>
      </c>
      <c r="W817" s="2">
        <v>2014</v>
      </c>
    </row>
    <row r="818" spans="1:23" ht="12.3" x14ac:dyDescent="0.4">
      <c r="A818" s="2" t="s">
        <v>115</v>
      </c>
      <c r="B818" s="2">
        <v>7</v>
      </c>
      <c r="C818" s="2"/>
      <c r="D818" s="2"/>
      <c r="E818" s="2"/>
      <c r="F818" s="2"/>
      <c r="G818" s="2"/>
      <c r="H818" s="2"/>
      <c r="I818" s="2">
        <v>65.650199999999998</v>
      </c>
      <c r="J818" s="2">
        <v>219</v>
      </c>
      <c r="K818" s="2">
        <v>66.096400000000003</v>
      </c>
      <c r="L818" s="2">
        <v>192</v>
      </c>
      <c r="M818" s="2">
        <v>111.7988</v>
      </c>
      <c r="N818" s="2">
        <v>41</v>
      </c>
      <c r="O818" s="2">
        <v>112.7491</v>
      </c>
      <c r="P818" s="2">
        <v>38</v>
      </c>
      <c r="Q818" s="2">
        <v>99.343299999999999</v>
      </c>
      <c r="R818" s="2">
        <v>66</v>
      </c>
      <c r="S818" s="2">
        <v>96.492099999999994</v>
      </c>
      <c r="T818" s="2">
        <v>38</v>
      </c>
      <c r="U818" s="2">
        <v>0.85699999999999998</v>
      </c>
      <c r="V818" s="2">
        <v>28</v>
      </c>
      <c r="W818" s="2">
        <v>2014</v>
      </c>
    </row>
    <row r="819" spans="1:23" ht="12.3" x14ac:dyDescent="0.4">
      <c r="A819" s="2" t="s">
        <v>38</v>
      </c>
      <c r="B819" s="2">
        <v>5</v>
      </c>
      <c r="C819" s="2"/>
      <c r="D819" s="2"/>
      <c r="E819" s="2"/>
      <c r="F819" s="2"/>
      <c r="G819" s="2"/>
      <c r="H819" s="2"/>
      <c r="I819" s="2">
        <v>71.957599999999999</v>
      </c>
      <c r="J819" s="2">
        <v>11</v>
      </c>
      <c r="K819" s="2">
        <v>71.284300000000002</v>
      </c>
      <c r="L819" s="2">
        <v>17</v>
      </c>
      <c r="M819" s="2">
        <v>113.35290000000001</v>
      </c>
      <c r="N819" s="2">
        <v>25</v>
      </c>
      <c r="O819" s="2">
        <v>116.88290000000001</v>
      </c>
      <c r="P819" s="2">
        <v>13</v>
      </c>
      <c r="Q819" s="2">
        <v>104.5585</v>
      </c>
      <c r="R819" s="2">
        <v>165</v>
      </c>
      <c r="S819" s="2">
        <v>100.25360000000001</v>
      </c>
      <c r="T819" s="2">
        <v>81</v>
      </c>
      <c r="U819" s="2">
        <v>0.853823</v>
      </c>
      <c r="V819" s="2">
        <v>29</v>
      </c>
      <c r="W819" s="2">
        <v>2014</v>
      </c>
    </row>
    <row r="820" spans="1:23" ht="12.3" x14ac:dyDescent="0.4">
      <c r="A820" s="2" t="s">
        <v>41</v>
      </c>
      <c r="B820" s="2">
        <v>7</v>
      </c>
      <c r="C820" s="3" t="s">
        <v>33</v>
      </c>
      <c r="D820" s="2"/>
      <c r="E820" s="2"/>
      <c r="F820" s="2"/>
      <c r="G820" s="2"/>
      <c r="H820" s="2"/>
      <c r="I820" s="2">
        <v>69.992800000000003</v>
      </c>
      <c r="J820" s="2">
        <v>43</v>
      </c>
      <c r="K820" s="2">
        <v>68.8245</v>
      </c>
      <c r="L820" s="2">
        <v>63</v>
      </c>
      <c r="M820" s="2">
        <v>114.70569999999999</v>
      </c>
      <c r="N820" s="2">
        <v>15</v>
      </c>
      <c r="O820" s="2">
        <v>117.12269999999999</v>
      </c>
      <c r="P820" s="2">
        <v>12</v>
      </c>
      <c r="Q820" s="2">
        <v>103.3085</v>
      </c>
      <c r="R820" s="2">
        <v>130</v>
      </c>
      <c r="S820" s="2">
        <v>100.56059999999999</v>
      </c>
      <c r="T820" s="2">
        <v>90</v>
      </c>
      <c r="U820" s="2">
        <v>0.85236900000000004</v>
      </c>
      <c r="V820" s="2">
        <v>30</v>
      </c>
      <c r="W820" s="2">
        <v>2014</v>
      </c>
    </row>
    <row r="821" spans="1:23" ht="12.3" x14ac:dyDescent="0.4">
      <c r="A821" s="2" t="s">
        <v>158</v>
      </c>
      <c r="B821" s="2">
        <v>6</v>
      </c>
      <c r="C821" s="3" t="s">
        <v>33</v>
      </c>
      <c r="D821" s="3" t="s">
        <v>33</v>
      </c>
      <c r="E821" s="2"/>
      <c r="F821" s="2"/>
      <c r="G821" s="2"/>
      <c r="H821" s="2"/>
      <c r="I821" s="2">
        <v>63.902799999999999</v>
      </c>
      <c r="J821" s="2">
        <v>293</v>
      </c>
      <c r="K821" s="2">
        <v>62.571599999999997</v>
      </c>
      <c r="L821" s="2">
        <v>331</v>
      </c>
      <c r="M821" s="2">
        <v>114.1024</v>
      </c>
      <c r="N821" s="2">
        <v>19</v>
      </c>
      <c r="O821" s="2">
        <v>118.569</v>
      </c>
      <c r="P821" s="2">
        <v>7</v>
      </c>
      <c r="Q821" s="2">
        <v>105.6855</v>
      </c>
      <c r="R821" s="2">
        <v>195</v>
      </c>
      <c r="S821" s="2">
        <v>102.0226</v>
      </c>
      <c r="T821" s="2">
        <v>114</v>
      </c>
      <c r="U821" s="2">
        <v>0.84921500000000005</v>
      </c>
      <c r="V821" s="2">
        <v>31</v>
      </c>
      <c r="W821" s="2">
        <v>2014</v>
      </c>
    </row>
    <row r="822" spans="1:23" ht="12.3" x14ac:dyDescent="0.4">
      <c r="A822" s="2" t="s">
        <v>255</v>
      </c>
      <c r="B822" s="2">
        <v>12</v>
      </c>
      <c r="C822" s="3" t="s">
        <v>33</v>
      </c>
      <c r="D822" s="2"/>
      <c r="E822" s="2"/>
      <c r="F822" s="2"/>
      <c r="G822" s="2"/>
      <c r="H822" s="2"/>
      <c r="I822" s="2">
        <v>64.55</v>
      </c>
      <c r="J822" s="2">
        <v>273</v>
      </c>
      <c r="K822" s="2">
        <v>65.094999999999999</v>
      </c>
      <c r="L822" s="2">
        <v>242</v>
      </c>
      <c r="M822" s="2">
        <v>111.8338</v>
      </c>
      <c r="N822" s="2">
        <v>39</v>
      </c>
      <c r="O822" s="2">
        <v>111.1981</v>
      </c>
      <c r="P822" s="2">
        <v>55</v>
      </c>
      <c r="Q822" s="2">
        <v>92.823300000000003</v>
      </c>
      <c r="R822" s="2">
        <v>13</v>
      </c>
      <c r="S822" s="2">
        <v>96.254199999999997</v>
      </c>
      <c r="T822" s="2">
        <v>33</v>
      </c>
      <c r="U822" s="2">
        <v>0.84019600000000005</v>
      </c>
      <c r="V822" s="2">
        <v>33</v>
      </c>
      <c r="W822" s="2">
        <v>2014</v>
      </c>
    </row>
    <row r="823" spans="1:23" ht="12.3" x14ac:dyDescent="0.4">
      <c r="A823" s="2" t="s">
        <v>116</v>
      </c>
      <c r="B823" s="2">
        <v>5</v>
      </c>
      <c r="C823" s="3" t="s">
        <v>33</v>
      </c>
      <c r="D823" s="2"/>
      <c r="E823" s="2"/>
      <c r="F823" s="2"/>
      <c r="G823" s="2"/>
      <c r="H823" s="2"/>
      <c r="I823" s="2">
        <v>67.358000000000004</v>
      </c>
      <c r="J823" s="2">
        <v>132</v>
      </c>
      <c r="K823" s="2">
        <v>67.186700000000002</v>
      </c>
      <c r="L823" s="2">
        <v>130</v>
      </c>
      <c r="M823" s="2">
        <v>103.02809999999999</v>
      </c>
      <c r="N823" s="2">
        <v>208</v>
      </c>
      <c r="O823" s="2">
        <v>104.6245</v>
      </c>
      <c r="P823" s="2">
        <v>175</v>
      </c>
      <c r="Q823" s="2">
        <v>91.100200000000001</v>
      </c>
      <c r="R823" s="2">
        <v>7</v>
      </c>
      <c r="S823" s="2">
        <v>91.224299999999999</v>
      </c>
      <c r="T823" s="2">
        <v>8</v>
      </c>
      <c r="U823" s="2">
        <v>0.82865900000000003</v>
      </c>
      <c r="V823" s="2">
        <v>34</v>
      </c>
      <c r="W823" s="2">
        <v>2014</v>
      </c>
    </row>
    <row r="824" spans="1:23" ht="12.3" x14ac:dyDescent="0.4">
      <c r="A824" s="2" t="s">
        <v>52</v>
      </c>
      <c r="B824" s="2">
        <v>10</v>
      </c>
      <c r="C824" s="3" t="s">
        <v>33</v>
      </c>
      <c r="D824" s="3" t="s">
        <v>33</v>
      </c>
      <c r="E824" s="2"/>
      <c r="F824" s="2"/>
      <c r="G824" s="2"/>
      <c r="H824" s="2"/>
      <c r="I824" s="2">
        <v>67.0989</v>
      </c>
      <c r="J824" s="2">
        <v>144</v>
      </c>
      <c r="K824" s="2">
        <v>66.475999999999999</v>
      </c>
      <c r="L824" s="2">
        <v>167</v>
      </c>
      <c r="M824" s="2">
        <v>108.9756</v>
      </c>
      <c r="N824" s="2">
        <v>74</v>
      </c>
      <c r="O824" s="2">
        <v>112.48099999999999</v>
      </c>
      <c r="P824" s="2">
        <v>39</v>
      </c>
      <c r="Q824" s="2">
        <v>101.7299</v>
      </c>
      <c r="R824" s="2">
        <v>103</v>
      </c>
      <c r="S824" s="2">
        <v>98.693600000000004</v>
      </c>
      <c r="T824" s="2">
        <v>60</v>
      </c>
      <c r="U824" s="2">
        <v>0.81813899999999995</v>
      </c>
      <c r="V824" s="2">
        <v>37</v>
      </c>
      <c r="W824" s="2">
        <v>2014</v>
      </c>
    </row>
    <row r="825" spans="1:23" ht="12.3" x14ac:dyDescent="0.4">
      <c r="A825" s="2" t="s">
        <v>67</v>
      </c>
      <c r="B825" s="2">
        <v>7</v>
      </c>
      <c r="C825" s="3" t="s">
        <v>33</v>
      </c>
      <c r="D825" s="2"/>
      <c r="E825" s="2"/>
      <c r="F825" s="2"/>
      <c r="G825" s="2"/>
      <c r="H825" s="2"/>
      <c r="I825" s="2">
        <v>69.421800000000005</v>
      </c>
      <c r="J825" s="2">
        <v>52</v>
      </c>
      <c r="K825" s="2">
        <v>68.166300000000007</v>
      </c>
      <c r="L825" s="2">
        <v>83</v>
      </c>
      <c r="M825" s="2">
        <v>106.3702</v>
      </c>
      <c r="N825" s="2">
        <v>134</v>
      </c>
      <c r="O825" s="2">
        <v>109.49890000000001</v>
      </c>
      <c r="P825" s="2">
        <v>78</v>
      </c>
      <c r="Q825" s="2">
        <v>100.59829999999999</v>
      </c>
      <c r="R825" s="2">
        <v>85</v>
      </c>
      <c r="S825" s="2">
        <v>96.326899999999995</v>
      </c>
      <c r="T825" s="2">
        <v>36</v>
      </c>
      <c r="U825" s="2">
        <v>0.81365399999999999</v>
      </c>
      <c r="V825" s="2">
        <v>39</v>
      </c>
      <c r="W825" s="2">
        <v>2014</v>
      </c>
    </row>
    <row r="826" spans="1:23" ht="12.3" x14ac:dyDescent="0.4">
      <c r="A826" s="2" t="s">
        <v>120</v>
      </c>
      <c r="B826" s="2">
        <v>11</v>
      </c>
      <c r="C826" s="2"/>
      <c r="D826" s="2"/>
      <c r="E826" s="2"/>
      <c r="F826" s="2"/>
      <c r="G826" s="2"/>
      <c r="H826" s="2"/>
      <c r="I826" s="2">
        <v>64.903899999999993</v>
      </c>
      <c r="J826" s="2">
        <v>252</v>
      </c>
      <c r="K826" s="2">
        <v>64.921099999999996</v>
      </c>
      <c r="L826" s="2">
        <v>251</v>
      </c>
      <c r="M826" s="2">
        <v>109.0643</v>
      </c>
      <c r="N826" s="2">
        <v>73</v>
      </c>
      <c r="O826" s="2">
        <v>114.267</v>
      </c>
      <c r="P826" s="2">
        <v>22</v>
      </c>
      <c r="Q826" s="2">
        <v>103.5057</v>
      </c>
      <c r="R826" s="2">
        <v>139</v>
      </c>
      <c r="S826" s="2">
        <v>100.631</v>
      </c>
      <c r="T826" s="2">
        <v>92</v>
      </c>
      <c r="U826" s="2">
        <v>0.81174599999999997</v>
      </c>
      <c r="V826" s="2">
        <v>40</v>
      </c>
      <c r="W826" s="2">
        <v>2014</v>
      </c>
    </row>
    <row r="827" spans="1:23" ht="12.3" x14ac:dyDescent="0.4">
      <c r="A827" s="2" t="s">
        <v>50</v>
      </c>
      <c r="B827" s="2">
        <v>12</v>
      </c>
      <c r="C827" s="2"/>
      <c r="D827" s="2"/>
      <c r="E827" s="2"/>
      <c r="F827" s="2"/>
      <c r="G827" s="2"/>
      <c r="H827" s="2"/>
      <c r="I827" s="2">
        <v>65.754900000000006</v>
      </c>
      <c r="J827" s="2">
        <v>212</v>
      </c>
      <c r="K827" s="2">
        <v>65.830500000000001</v>
      </c>
      <c r="L827" s="2">
        <v>204</v>
      </c>
      <c r="M827" s="2">
        <v>109.08669999999999</v>
      </c>
      <c r="N827" s="2">
        <v>72</v>
      </c>
      <c r="O827" s="2">
        <v>112.79389999999999</v>
      </c>
      <c r="P827" s="2">
        <v>37</v>
      </c>
      <c r="Q827" s="2">
        <v>102.8081</v>
      </c>
      <c r="R827" s="2">
        <v>117</v>
      </c>
      <c r="S827" s="2">
        <v>99.576599999999999</v>
      </c>
      <c r="T827" s="2">
        <v>69</v>
      </c>
      <c r="U827" s="2">
        <v>0.80741499999999999</v>
      </c>
      <c r="V827" s="2">
        <v>42</v>
      </c>
      <c r="W827" s="2">
        <v>2014</v>
      </c>
    </row>
    <row r="828" spans="1:23" ht="12.3" x14ac:dyDescent="0.4">
      <c r="A828" s="2" t="s">
        <v>148</v>
      </c>
      <c r="B828" s="2">
        <v>9</v>
      </c>
      <c r="C828" s="2"/>
      <c r="D828" s="2"/>
      <c r="E828" s="2"/>
      <c r="F828" s="2"/>
      <c r="G828" s="2"/>
      <c r="H828" s="2"/>
      <c r="I828" s="2">
        <v>65.726600000000005</v>
      </c>
      <c r="J828" s="2">
        <v>216</v>
      </c>
      <c r="K828" s="2">
        <v>65.354100000000003</v>
      </c>
      <c r="L828" s="2">
        <v>230</v>
      </c>
      <c r="M828" s="2">
        <v>105.0928</v>
      </c>
      <c r="N828" s="2">
        <v>167</v>
      </c>
      <c r="O828" s="2">
        <v>107.9999</v>
      </c>
      <c r="P828" s="2">
        <v>104</v>
      </c>
      <c r="Q828" s="2">
        <v>98.371499999999997</v>
      </c>
      <c r="R828" s="2">
        <v>50</v>
      </c>
      <c r="S828" s="2">
        <v>95.519800000000004</v>
      </c>
      <c r="T828" s="2">
        <v>25</v>
      </c>
      <c r="U828" s="2">
        <v>0.80410700000000002</v>
      </c>
      <c r="V828" s="2">
        <v>44</v>
      </c>
      <c r="W828" s="2">
        <v>2014</v>
      </c>
    </row>
    <row r="829" spans="1:23" ht="12.3" x14ac:dyDescent="0.4">
      <c r="A829" s="2" t="s">
        <v>71</v>
      </c>
      <c r="B829" s="2">
        <v>8</v>
      </c>
      <c r="C829" s="3" t="s">
        <v>33</v>
      </c>
      <c r="D829" s="2"/>
      <c r="E829" s="2"/>
      <c r="F829" s="2"/>
      <c r="G829" s="2"/>
      <c r="H829" s="2"/>
      <c r="I829" s="2">
        <v>70.584299999999999</v>
      </c>
      <c r="J829" s="2">
        <v>26</v>
      </c>
      <c r="K829" s="2">
        <v>69.403700000000001</v>
      </c>
      <c r="L829" s="2">
        <v>50</v>
      </c>
      <c r="M829" s="2">
        <v>107.8849</v>
      </c>
      <c r="N829" s="2">
        <v>94</v>
      </c>
      <c r="O829" s="2">
        <v>110.429</v>
      </c>
      <c r="P829" s="2">
        <v>66</v>
      </c>
      <c r="Q829" s="2">
        <v>98.781300000000002</v>
      </c>
      <c r="R829" s="2">
        <v>59</v>
      </c>
      <c r="S829" s="2">
        <v>97.782700000000006</v>
      </c>
      <c r="T829" s="2">
        <v>53</v>
      </c>
      <c r="U829" s="2">
        <v>0.80197399999999996</v>
      </c>
      <c r="V829" s="2">
        <v>45</v>
      </c>
      <c r="W829" s="2">
        <v>2014</v>
      </c>
    </row>
    <row r="830" spans="1:23" ht="12.3" x14ac:dyDescent="0.4">
      <c r="A830" s="2" t="s">
        <v>232</v>
      </c>
      <c r="B830" s="2">
        <v>9</v>
      </c>
      <c r="C830" s="2"/>
      <c r="D830" s="2"/>
      <c r="E830" s="2"/>
      <c r="F830" s="2"/>
      <c r="G830" s="2"/>
      <c r="H830" s="2"/>
      <c r="I830" s="2">
        <v>68.220200000000006</v>
      </c>
      <c r="J830" s="2">
        <v>101</v>
      </c>
      <c r="K830" s="2">
        <v>67.334100000000007</v>
      </c>
      <c r="L830" s="2">
        <v>121</v>
      </c>
      <c r="M830" s="2">
        <v>107.2343</v>
      </c>
      <c r="N830" s="2">
        <v>110</v>
      </c>
      <c r="O830" s="2">
        <v>109.3604</v>
      </c>
      <c r="P830" s="2">
        <v>81</v>
      </c>
      <c r="Q830" s="2">
        <v>97.760900000000007</v>
      </c>
      <c r="R830" s="2">
        <v>42</v>
      </c>
      <c r="S830" s="2">
        <v>96.850099999999998</v>
      </c>
      <c r="T830" s="2">
        <v>44</v>
      </c>
      <c r="U830" s="2">
        <v>0.80171700000000001</v>
      </c>
      <c r="V830" s="2">
        <v>46</v>
      </c>
      <c r="W830" s="2">
        <v>2014</v>
      </c>
    </row>
    <row r="831" spans="1:23" ht="12.3" x14ac:dyDescent="0.4">
      <c r="A831" s="2" t="s">
        <v>99</v>
      </c>
      <c r="B831" s="2">
        <v>10</v>
      </c>
      <c r="C831" s="2"/>
      <c r="D831" s="2"/>
      <c r="E831" s="2"/>
      <c r="F831" s="2"/>
      <c r="G831" s="2"/>
      <c r="H831" s="2"/>
      <c r="I831" s="2">
        <v>69.012600000000006</v>
      </c>
      <c r="J831" s="2">
        <v>68</v>
      </c>
      <c r="K831" s="2">
        <v>69.271799999999999</v>
      </c>
      <c r="L831" s="2">
        <v>53</v>
      </c>
      <c r="M831" s="2">
        <v>107.01909999999999</v>
      </c>
      <c r="N831" s="2">
        <v>119</v>
      </c>
      <c r="O831" s="2">
        <v>108.3383</v>
      </c>
      <c r="P831" s="2">
        <v>97</v>
      </c>
      <c r="Q831" s="2">
        <v>98.0732</v>
      </c>
      <c r="R831" s="2">
        <v>47</v>
      </c>
      <c r="S831" s="2">
        <v>95.988799999999998</v>
      </c>
      <c r="T831" s="2">
        <v>27</v>
      </c>
      <c r="U831" s="2">
        <v>0.80088099999999995</v>
      </c>
      <c r="V831" s="2">
        <v>47</v>
      </c>
      <c r="W831" s="2">
        <v>2014</v>
      </c>
    </row>
    <row r="832" spans="1:23" ht="12.3" x14ac:dyDescent="0.4">
      <c r="A832" s="2" t="s">
        <v>136</v>
      </c>
      <c r="B832" s="2">
        <v>11</v>
      </c>
      <c r="C832" s="2"/>
      <c r="D832" s="2"/>
      <c r="E832" s="2"/>
      <c r="F832" s="2"/>
      <c r="G832" s="2"/>
      <c r="H832" s="2"/>
      <c r="I832" s="2">
        <v>65.2851</v>
      </c>
      <c r="J832" s="2">
        <v>236</v>
      </c>
      <c r="K832" s="2">
        <v>66.154700000000005</v>
      </c>
      <c r="L832" s="2">
        <v>188</v>
      </c>
      <c r="M832" s="2">
        <v>102.4522</v>
      </c>
      <c r="N832" s="2">
        <v>221</v>
      </c>
      <c r="O832" s="2">
        <v>108.20010000000001</v>
      </c>
      <c r="P832" s="2">
        <v>99</v>
      </c>
      <c r="Q832" s="2">
        <v>99.193600000000004</v>
      </c>
      <c r="R832" s="2">
        <v>64</v>
      </c>
      <c r="S832" s="2">
        <v>96.030100000000004</v>
      </c>
      <c r="T832" s="2">
        <v>30</v>
      </c>
      <c r="U832" s="2">
        <v>0.797732</v>
      </c>
      <c r="V832" s="2">
        <v>48</v>
      </c>
      <c r="W832" s="2">
        <v>2014</v>
      </c>
    </row>
    <row r="833" spans="1:23" ht="12.3" x14ac:dyDescent="0.4">
      <c r="A833" s="2" t="s">
        <v>91</v>
      </c>
      <c r="B833" s="2">
        <v>10</v>
      </c>
      <c r="C833" s="2"/>
      <c r="D833" s="2"/>
      <c r="E833" s="2"/>
      <c r="F833" s="2"/>
      <c r="G833" s="2"/>
      <c r="H833" s="2"/>
      <c r="I833" s="2">
        <v>66.108000000000004</v>
      </c>
      <c r="J833" s="2">
        <v>194</v>
      </c>
      <c r="K833" s="2">
        <v>65.716700000000003</v>
      </c>
      <c r="L833" s="2">
        <v>209</v>
      </c>
      <c r="M833" s="2">
        <v>107.72969999999999</v>
      </c>
      <c r="N833" s="2">
        <v>97</v>
      </c>
      <c r="O833" s="2">
        <v>110.32299999999999</v>
      </c>
      <c r="P833" s="2">
        <v>68</v>
      </c>
      <c r="Q833" s="2">
        <v>101.02979999999999</v>
      </c>
      <c r="R833" s="2">
        <v>94</v>
      </c>
      <c r="S833" s="2">
        <v>98.136499999999998</v>
      </c>
      <c r="T833" s="2">
        <v>55</v>
      </c>
      <c r="U833" s="2">
        <v>0.79349400000000003</v>
      </c>
      <c r="V833" s="2">
        <v>49</v>
      </c>
      <c r="W833" s="2">
        <v>2014</v>
      </c>
    </row>
    <row r="834" spans="1:23" ht="12.3" x14ac:dyDescent="0.4">
      <c r="A834" s="2" t="s">
        <v>96</v>
      </c>
      <c r="B834" s="2">
        <v>10</v>
      </c>
      <c r="C834" s="2"/>
      <c r="D834" s="2"/>
      <c r="E834" s="2"/>
      <c r="F834" s="2"/>
      <c r="G834" s="2"/>
      <c r="H834" s="2"/>
      <c r="I834" s="2">
        <v>73.511499999999998</v>
      </c>
      <c r="J834" s="2">
        <v>6</v>
      </c>
      <c r="K834" s="2">
        <v>72.194900000000004</v>
      </c>
      <c r="L834" s="2">
        <v>8</v>
      </c>
      <c r="M834" s="2">
        <v>112.5551</v>
      </c>
      <c r="N834" s="2">
        <v>32</v>
      </c>
      <c r="O834" s="2">
        <v>113.7187</v>
      </c>
      <c r="P834" s="2">
        <v>27</v>
      </c>
      <c r="Q834" s="2">
        <v>103.54170000000001</v>
      </c>
      <c r="R834" s="2">
        <v>140</v>
      </c>
      <c r="S834" s="2">
        <v>101.2405</v>
      </c>
      <c r="T834" s="2">
        <v>100</v>
      </c>
      <c r="U834" s="2">
        <v>0.79193500000000006</v>
      </c>
      <c r="V834" s="2">
        <v>50</v>
      </c>
      <c r="W834" s="2">
        <v>2014</v>
      </c>
    </row>
    <row r="835" spans="1:23" ht="12.3" x14ac:dyDescent="0.4">
      <c r="A835" s="2" t="s">
        <v>155</v>
      </c>
      <c r="B835" s="2">
        <v>6</v>
      </c>
      <c r="C835" s="2"/>
      <c r="D835" s="2"/>
      <c r="E835" s="2"/>
      <c r="F835" s="2"/>
      <c r="G835" s="2"/>
      <c r="H835" s="2"/>
      <c r="I835" s="2">
        <v>71.696399999999997</v>
      </c>
      <c r="J835" s="2">
        <v>15</v>
      </c>
      <c r="K835" s="2">
        <v>71.607100000000003</v>
      </c>
      <c r="L835" s="2">
        <v>14</v>
      </c>
      <c r="M835" s="2">
        <v>105.68380000000001</v>
      </c>
      <c r="N835" s="2">
        <v>155</v>
      </c>
      <c r="O835" s="2">
        <v>108.3801</v>
      </c>
      <c r="P835" s="2">
        <v>94</v>
      </c>
      <c r="Q835" s="2">
        <v>98.097700000000003</v>
      </c>
      <c r="R835" s="2">
        <v>48</v>
      </c>
      <c r="S835" s="2">
        <v>96.788899999999998</v>
      </c>
      <c r="T835" s="2">
        <v>43</v>
      </c>
      <c r="U835" s="2">
        <v>0.785968</v>
      </c>
      <c r="V835" s="2">
        <v>52</v>
      </c>
      <c r="W835" s="2">
        <v>2014</v>
      </c>
    </row>
    <row r="836" spans="1:23" ht="12.3" x14ac:dyDescent="0.4">
      <c r="A836" s="2" t="s">
        <v>64</v>
      </c>
      <c r="B836" s="2">
        <v>11</v>
      </c>
      <c r="C836" s="3" t="s">
        <v>33</v>
      </c>
      <c r="D836" s="3" t="s">
        <v>33</v>
      </c>
      <c r="E836" s="3" t="s">
        <v>33</v>
      </c>
      <c r="F836" s="2"/>
      <c r="G836" s="2"/>
      <c r="H836" s="2"/>
      <c r="I836" s="2">
        <v>65.725399999999993</v>
      </c>
      <c r="J836" s="2">
        <v>217</v>
      </c>
      <c r="K836" s="2">
        <v>65.236699999999999</v>
      </c>
      <c r="L836" s="2">
        <v>236</v>
      </c>
      <c r="M836" s="2">
        <v>110.7795</v>
      </c>
      <c r="N836" s="2">
        <v>51</v>
      </c>
      <c r="O836" s="2">
        <v>113.3938</v>
      </c>
      <c r="P836" s="2">
        <v>30</v>
      </c>
      <c r="Q836" s="2">
        <v>101.9537</v>
      </c>
      <c r="R836" s="2">
        <v>105</v>
      </c>
      <c r="S836" s="2">
        <v>101.3973</v>
      </c>
      <c r="T836" s="2">
        <v>101</v>
      </c>
      <c r="U836" s="2">
        <v>0.78345799999999999</v>
      </c>
      <c r="V836" s="2">
        <v>53</v>
      </c>
      <c r="W836" s="2">
        <v>2014</v>
      </c>
    </row>
    <row r="837" spans="1:23" ht="12.3" x14ac:dyDescent="0.4">
      <c r="A837" s="2" t="s">
        <v>360</v>
      </c>
      <c r="B837" s="2">
        <v>12</v>
      </c>
      <c r="C837" s="3" t="s">
        <v>33</v>
      </c>
      <c r="D837" s="2"/>
      <c r="E837" s="2"/>
      <c r="F837" s="2"/>
      <c r="G837" s="2"/>
      <c r="H837" s="2"/>
      <c r="I837" s="2">
        <v>64.088399999999993</v>
      </c>
      <c r="J837" s="2">
        <v>289</v>
      </c>
      <c r="K837" s="2">
        <v>64.244500000000002</v>
      </c>
      <c r="L837" s="2">
        <v>278</v>
      </c>
      <c r="M837" s="2">
        <v>116.8623</v>
      </c>
      <c r="N837" s="2">
        <v>6</v>
      </c>
      <c r="O837" s="2">
        <v>114.6785</v>
      </c>
      <c r="P837" s="2">
        <v>20</v>
      </c>
      <c r="Q837" s="2">
        <v>105.22029999999999</v>
      </c>
      <c r="R837" s="2">
        <v>183</v>
      </c>
      <c r="S837" s="2">
        <v>103.1756</v>
      </c>
      <c r="T837" s="2">
        <v>140</v>
      </c>
      <c r="U837" s="2">
        <v>0.77127900000000005</v>
      </c>
      <c r="V837" s="2">
        <v>55</v>
      </c>
      <c r="W837" s="2">
        <v>2014</v>
      </c>
    </row>
    <row r="838" spans="1:23" ht="12.3" x14ac:dyDescent="0.4">
      <c r="A838" s="2" t="s">
        <v>282</v>
      </c>
      <c r="B838" s="2">
        <v>12</v>
      </c>
      <c r="C838" s="3" t="s">
        <v>33</v>
      </c>
      <c r="D838" s="2"/>
      <c r="E838" s="2"/>
      <c r="F838" s="2"/>
      <c r="G838" s="2"/>
      <c r="H838" s="2"/>
      <c r="I838" s="2">
        <v>65.1297</v>
      </c>
      <c r="J838" s="2">
        <v>244</v>
      </c>
      <c r="K838" s="2">
        <v>63.607199999999999</v>
      </c>
      <c r="L838" s="2">
        <v>304</v>
      </c>
      <c r="M838" s="2">
        <v>116.0776</v>
      </c>
      <c r="N838" s="2">
        <v>8</v>
      </c>
      <c r="O838" s="2">
        <v>111.6118</v>
      </c>
      <c r="P838" s="2">
        <v>47</v>
      </c>
      <c r="Q838" s="2">
        <v>96.742800000000003</v>
      </c>
      <c r="R838" s="2">
        <v>28</v>
      </c>
      <c r="S838" s="2">
        <v>100.76139999999999</v>
      </c>
      <c r="T838" s="2">
        <v>95</v>
      </c>
      <c r="U838" s="2">
        <v>0.76424999999999998</v>
      </c>
      <c r="V838" s="2">
        <v>59</v>
      </c>
      <c r="W838" s="2">
        <v>2014</v>
      </c>
    </row>
    <row r="839" spans="1:23" ht="12.3" x14ac:dyDescent="0.4">
      <c r="A839" s="2" t="s">
        <v>129</v>
      </c>
      <c r="B839" s="2">
        <v>8</v>
      </c>
      <c r="C839" s="2"/>
      <c r="D839" s="2"/>
      <c r="E839" s="2"/>
      <c r="F839" s="2"/>
      <c r="G839" s="2"/>
      <c r="H839" s="2"/>
      <c r="I839" s="2">
        <v>67.252700000000004</v>
      </c>
      <c r="J839" s="2">
        <v>136</v>
      </c>
      <c r="K839" s="2">
        <v>66.445599999999999</v>
      </c>
      <c r="L839" s="2">
        <v>171</v>
      </c>
      <c r="M839" s="2">
        <v>103.7381</v>
      </c>
      <c r="N839" s="2">
        <v>196</v>
      </c>
      <c r="O839" s="2">
        <v>105.8999</v>
      </c>
      <c r="P839" s="2">
        <v>141</v>
      </c>
      <c r="Q839" s="2">
        <v>100.1348</v>
      </c>
      <c r="R839" s="2">
        <v>79</v>
      </c>
      <c r="S839" s="2">
        <v>96.240799999999993</v>
      </c>
      <c r="T839" s="2">
        <v>32</v>
      </c>
      <c r="U839" s="2">
        <v>0.75023600000000001</v>
      </c>
      <c r="V839" s="2">
        <v>64</v>
      </c>
      <c r="W839" s="2">
        <v>2014</v>
      </c>
    </row>
    <row r="840" spans="1:23" ht="12.3" x14ac:dyDescent="0.4">
      <c r="A840" s="2" t="s">
        <v>55</v>
      </c>
      <c r="B840" s="2">
        <v>12</v>
      </c>
      <c r="C840" s="2"/>
      <c r="D840" s="2"/>
      <c r="E840" s="2"/>
      <c r="F840" s="2"/>
      <c r="G840" s="2"/>
      <c r="H840" s="2"/>
      <c r="I840" s="2">
        <v>64.783500000000004</v>
      </c>
      <c r="J840" s="2">
        <v>258</v>
      </c>
      <c r="K840" s="2">
        <v>66.093900000000005</v>
      </c>
      <c r="L840" s="2">
        <v>193</v>
      </c>
      <c r="M840" s="2">
        <v>108.169</v>
      </c>
      <c r="N840" s="2">
        <v>88</v>
      </c>
      <c r="O840" s="2">
        <v>113.5673</v>
      </c>
      <c r="P840" s="2">
        <v>28</v>
      </c>
      <c r="Q840" s="2">
        <v>106.2332</v>
      </c>
      <c r="R840" s="2">
        <v>211</v>
      </c>
      <c r="S840" s="2">
        <v>103.4021</v>
      </c>
      <c r="T840" s="2">
        <v>144</v>
      </c>
      <c r="U840" s="2">
        <v>0.74618399999999996</v>
      </c>
      <c r="V840" s="2">
        <v>66</v>
      </c>
      <c r="W840" s="2">
        <v>2014</v>
      </c>
    </row>
    <row r="841" spans="1:23" ht="12.3" x14ac:dyDescent="0.4">
      <c r="A841" s="2" t="s">
        <v>139</v>
      </c>
      <c r="B841" s="2">
        <v>13</v>
      </c>
      <c r="C841" s="2"/>
      <c r="D841" s="2"/>
      <c r="E841" s="2"/>
      <c r="F841" s="2"/>
      <c r="G841" s="2"/>
      <c r="H841" s="2"/>
      <c r="I841" s="2">
        <v>70.364400000000003</v>
      </c>
      <c r="J841" s="2">
        <v>35</v>
      </c>
      <c r="K841" s="2">
        <v>69.528899999999993</v>
      </c>
      <c r="L841" s="2">
        <v>44</v>
      </c>
      <c r="M841" s="2">
        <v>107.5398</v>
      </c>
      <c r="N841" s="2">
        <v>103</v>
      </c>
      <c r="O841" s="2">
        <v>106.01430000000001</v>
      </c>
      <c r="P841" s="2">
        <v>139</v>
      </c>
      <c r="Q841" s="2">
        <v>97.279399999999995</v>
      </c>
      <c r="R841" s="2">
        <v>34</v>
      </c>
      <c r="S841" s="2">
        <v>96.653700000000001</v>
      </c>
      <c r="T841" s="2">
        <v>42</v>
      </c>
      <c r="U841" s="2">
        <v>0.74327500000000002</v>
      </c>
      <c r="V841" s="2">
        <v>67</v>
      </c>
      <c r="W841" s="2">
        <v>2014</v>
      </c>
    </row>
    <row r="842" spans="1:23" ht="12.3" x14ac:dyDescent="0.4">
      <c r="A842" s="2" t="s">
        <v>69</v>
      </c>
      <c r="B842" s="2">
        <v>13</v>
      </c>
      <c r="C842" s="2"/>
      <c r="D842" s="2"/>
      <c r="E842" s="2"/>
      <c r="F842" s="2"/>
      <c r="G842" s="2"/>
      <c r="H842" s="2"/>
      <c r="I842" s="2">
        <v>68.751599999999996</v>
      </c>
      <c r="J842" s="2">
        <v>72</v>
      </c>
      <c r="K842" s="2">
        <v>68.467799999999997</v>
      </c>
      <c r="L842" s="2">
        <v>73</v>
      </c>
      <c r="M842" s="2">
        <v>105.6648</v>
      </c>
      <c r="N842" s="2">
        <v>156</v>
      </c>
      <c r="O842" s="2">
        <v>105.2906</v>
      </c>
      <c r="P842" s="2">
        <v>162</v>
      </c>
      <c r="Q842" s="2">
        <v>96.901899999999998</v>
      </c>
      <c r="R842" s="2">
        <v>29</v>
      </c>
      <c r="S842" s="2">
        <v>96.005300000000005</v>
      </c>
      <c r="T842" s="2">
        <v>28</v>
      </c>
      <c r="U842" s="2">
        <v>0.74301399999999995</v>
      </c>
      <c r="V842" s="2">
        <v>68</v>
      </c>
      <c r="W842" s="2">
        <v>2014</v>
      </c>
    </row>
    <row r="843" spans="1:23" ht="12.3" x14ac:dyDescent="0.4">
      <c r="A843" s="2" t="s">
        <v>118</v>
      </c>
      <c r="B843" s="2">
        <v>13</v>
      </c>
      <c r="C843" s="2"/>
      <c r="D843" s="2"/>
      <c r="E843" s="2"/>
      <c r="F843" s="2"/>
      <c r="G843" s="2"/>
      <c r="H843" s="2"/>
      <c r="I843" s="2">
        <v>66.914199999999994</v>
      </c>
      <c r="J843" s="2">
        <v>152</v>
      </c>
      <c r="K843" s="2">
        <v>66.460099999999997</v>
      </c>
      <c r="L843" s="2">
        <v>170</v>
      </c>
      <c r="M843" s="2">
        <v>113.90260000000001</v>
      </c>
      <c r="N843" s="2">
        <v>21</v>
      </c>
      <c r="O843" s="2">
        <v>112.07340000000001</v>
      </c>
      <c r="P843" s="2">
        <v>42</v>
      </c>
      <c r="Q843" s="2">
        <v>100.00960000000001</v>
      </c>
      <c r="R843" s="2">
        <v>77</v>
      </c>
      <c r="S843" s="2">
        <v>102.6728</v>
      </c>
      <c r="T843" s="2">
        <v>129</v>
      </c>
      <c r="U843" s="2">
        <v>0.73252700000000004</v>
      </c>
      <c r="V843" s="2">
        <v>71</v>
      </c>
      <c r="W843" s="2">
        <v>2014</v>
      </c>
    </row>
    <row r="844" spans="1:23" ht="12.3" x14ac:dyDescent="0.4">
      <c r="A844" s="2" t="s">
        <v>371</v>
      </c>
      <c r="B844" s="2">
        <v>14</v>
      </c>
      <c r="C844" s="2"/>
      <c r="D844" s="2"/>
      <c r="E844" s="2"/>
      <c r="F844" s="2"/>
      <c r="G844" s="2"/>
      <c r="H844" s="2"/>
      <c r="I844" s="2">
        <v>64.286000000000001</v>
      </c>
      <c r="J844" s="2">
        <v>280</v>
      </c>
      <c r="K844" s="2">
        <v>64.249899999999997</v>
      </c>
      <c r="L844" s="2">
        <v>277</v>
      </c>
      <c r="M844" s="2">
        <v>110.8021</v>
      </c>
      <c r="N844" s="2">
        <v>50</v>
      </c>
      <c r="O844" s="2">
        <v>107.4579</v>
      </c>
      <c r="P844" s="2">
        <v>117</v>
      </c>
      <c r="Q844" s="2">
        <v>91.150300000000001</v>
      </c>
      <c r="R844" s="2">
        <v>9</v>
      </c>
      <c r="S844" s="2">
        <v>99.037400000000005</v>
      </c>
      <c r="T844" s="2">
        <v>63</v>
      </c>
      <c r="U844" s="2">
        <v>0.71877899999999995</v>
      </c>
      <c r="V844" s="2">
        <v>78</v>
      </c>
      <c r="W844" s="2">
        <v>2014</v>
      </c>
    </row>
    <row r="845" spans="1:23" ht="12.3" x14ac:dyDescent="0.4">
      <c r="A845" s="2" t="s">
        <v>226</v>
      </c>
      <c r="B845" s="2">
        <v>15</v>
      </c>
      <c r="C845" s="2"/>
      <c r="D845" s="2"/>
      <c r="E845" s="2"/>
      <c r="F845" s="2"/>
      <c r="G845" s="2"/>
      <c r="H845" s="2"/>
      <c r="I845" s="2">
        <v>60.779000000000003</v>
      </c>
      <c r="J845" s="2">
        <v>343</v>
      </c>
      <c r="K845" s="2">
        <v>61.406500000000001</v>
      </c>
      <c r="L845" s="2">
        <v>342</v>
      </c>
      <c r="M845" s="2">
        <v>104.9603</v>
      </c>
      <c r="N845" s="2">
        <v>169</v>
      </c>
      <c r="O845" s="2">
        <v>103.1066</v>
      </c>
      <c r="P845" s="2">
        <v>199</v>
      </c>
      <c r="Q845" s="2">
        <v>96.497900000000001</v>
      </c>
      <c r="R845" s="2">
        <v>25</v>
      </c>
      <c r="S845" s="2">
        <v>97.296000000000006</v>
      </c>
      <c r="T845" s="2">
        <v>46</v>
      </c>
      <c r="U845" s="2">
        <v>0.66084600000000004</v>
      </c>
      <c r="V845" s="2">
        <v>98</v>
      </c>
      <c r="W845" s="2">
        <v>2014</v>
      </c>
    </row>
    <row r="846" spans="1:23" ht="12.3" x14ac:dyDescent="0.4">
      <c r="A846" s="2" t="s">
        <v>318</v>
      </c>
      <c r="B846" s="2">
        <v>14</v>
      </c>
      <c r="C846" s="3" t="s">
        <v>33</v>
      </c>
      <c r="D846" s="2"/>
      <c r="E846" s="2"/>
      <c r="F846" s="2"/>
      <c r="G846" s="2"/>
      <c r="H846" s="2"/>
      <c r="I846" s="2">
        <v>65.979799999999997</v>
      </c>
      <c r="J846" s="2">
        <v>203</v>
      </c>
      <c r="K846" s="2">
        <v>65.008300000000006</v>
      </c>
      <c r="L846" s="2">
        <v>246</v>
      </c>
      <c r="M846" s="2">
        <v>113.1045</v>
      </c>
      <c r="N846" s="2">
        <v>27</v>
      </c>
      <c r="O846" s="2">
        <v>107.54340000000001</v>
      </c>
      <c r="P846" s="2">
        <v>116</v>
      </c>
      <c r="Q846" s="2">
        <v>97.877099999999999</v>
      </c>
      <c r="R846" s="2">
        <v>43</v>
      </c>
      <c r="S846" s="2">
        <v>101.5988</v>
      </c>
      <c r="T846" s="2">
        <v>103</v>
      </c>
      <c r="U846" s="2">
        <v>0.65789399999999998</v>
      </c>
      <c r="V846" s="2">
        <v>99</v>
      </c>
      <c r="W846" s="2">
        <v>2014</v>
      </c>
    </row>
    <row r="847" spans="1:23" ht="12.3" x14ac:dyDescent="0.4">
      <c r="A847" s="2" t="s">
        <v>174</v>
      </c>
      <c r="B847" s="2">
        <v>13</v>
      </c>
      <c r="C847" s="2"/>
      <c r="D847" s="2"/>
      <c r="E847" s="2"/>
      <c r="F847" s="2"/>
      <c r="G847" s="2"/>
      <c r="H847" s="2"/>
      <c r="I847" s="2">
        <v>70.8446</v>
      </c>
      <c r="J847" s="2">
        <v>25</v>
      </c>
      <c r="K847" s="2">
        <v>72.144199999999998</v>
      </c>
      <c r="L847" s="2">
        <v>10</v>
      </c>
      <c r="M847" s="2">
        <v>111.7659</v>
      </c>
      <c r="N847" s="2">
        <v>42</v>
      </c>
      <c r="O847" s="2">
        <v>110.90470000000001</v>
      </c>
      <c r="P847" s="2">
        <v>60</v>
      </c>
      <c r="Q847" s="2">
        <v>105.6623</v>
      </c>
      <c r="R847" s="2">
        <v>194</v>
      </c>
      <c r="S847" s="2">
        <v>105.6262</v>
      </c>
      <c r="T847" s="2">
        <v>192</v>
      </c>
      <c r="U847" s="2">
        <v>0.63663800000000004</v>
      </c>
      <c r="V847" s="2">
        <v>105</v>
      </c>
      <c r="W847" s="2">
        <v>2014</v>
      </c>
    </row>
    <row r="848" spans="1:23" ht="12.3" x14ac:dyDescent="0.4">
      <c r="A848" s="2" t="s">
        <v>162</v>
      </c>
      <c r="B848" s="2">
        <v>14</v>
      </c>
      <c r="C848" s="2"/>
      <c r="D848" s="2"/>
      <c r="E848" s="2"/>
      <c r="F848" s="2"/>
      <c r="G848" s="2"/>
      <c r="H848" s="2"/>
      <c r="I848" s="2">
        <v>66.6096</v>
      </c>
      <c r="J848" s="2">
        <v>165</v>
      </c>
      <c r="K848" s="2">
        <v>66.876199999999997</v>
      </c>
      <c r="L848" s="2">
        <v>144</v>
      </c>
      <c r="M848" s="2">
        <v>106.31789999999999</v>
      </c>
      <c r="N848" s="2">
        <v>136</v>
      </c>
      <c r="O848" s="2">
        <v>106.6874</v>
      </c>
      <c r="P848" s="2">
        <v>128</v>
      </c>
      <c r="Q848" s="2">
        <v>100.5727</v>
      </c>
      <c r="R848" s="2">
        <v>84</v>
      </c>
      <c r="S848" s="2">
        <v>102.3065</v>
      </c>
      <c r="T848" s="2">
        <v>118</v>
      </c>
      <c r="U848" s="2">
        <v>0.61826599999999998</v>
      </c>
      <c r="V848" s="2">
        <v>113</v>
      </c>
      <c r="W848" s="2">
        <v>2014</v>
      </c>
    </row>
    <row r="849" spans="1:23" ht="12.3" x14ac:dyDescent="0.4">
      <c r="A849" s="2" t="s">
        <v>117</v>
      </c>
      <c r="B849" s="2">
        <v>14</v>
      </c>
      <c r="C849" s="2"/>
      <c r="D849" s="2"/>
      <c r="E849" s="2"/>
      <c r="F849" s="2"/>
      <c r="G849" s="2"/>
      <c r="H849" s="2"/>
      <c r="I849" s="2">
        <v>70.989800000000002</v>
      </c>
      <c r="J849" s="2">
        <v>21</v>
      </c>
      <c r="K849" s="2">
        <v>69.887100000000004</v>
      </c>
      <c r="L849" s="2">
        <v>36</v>
      </c>
      <c r="M849" s="2">
        <v>110.0513</v>
      </c>
      <c r="N849" s="2">
        <v>60</v>
      </c>
      <c r="O849" s="2">
        <v>109.87130000000001</v>
      </c>
      <c r="P849" s="2">
        <v>74</v>
      </c>
      <c r="Q849" s="2">
        <v>104.9101</v>
      </c>
      <c r="R849" s="2">
        <v>175</v>
      </c>
      <c r="S849" s="2">
        <v>105.6575</v>
      </c>
      <c r="T849" s="2">
        <v>193</v>
      </c>
      <c r="U849" s="2">
        <v>0.61057499999999998</v>
      </c>
      <c r="V849" s="2">
        <v>115</v>
      </c>
      <c r="W849" s="2">
        <v>2014</v>
      </c>
    </row>
    <row r="850" spans="1:23" ht="12.3" x14ac:dyDescent="0.4">
      <c r="A850" s="2" t="s">
        <v>324</v>
      </c>
      <c r="B850" s="2">
        <v>15</v>
      </c>
      <c r="C850" s="2"/>
      <c r="D850" s="2"/>
      <c r="E850" s="2"/>
      <c r="F850" s="2"/>
      <c r="G850" s="2"/>
      <c r="H850" s="2"/>
      <c r="I850" s="2">
        <v>67.117900000000006</v>
      </c>
      <c r="J850" s="2">
        <v>142</v>
      </c>
      <c r="K850" s="2">
        <v>66.121300000000005</v>
      </c>
      <c r="L850" s="2">
        <v>190</v>
      </c>
      <c r="M850" s="2">
        <v>114.8933</v>
      </c>
      <c r="N850" s="2">
        <v>14</v>
      </c>
      <c r="O850" s="2">
        <v>111.3351</v>
      </c>
      <c r="P850" s="2">
        <v>53</v>
      </c>
      <c r="Q850" s="2">
        <v>106.8502</v>
      </c>
      <c r="R850" s="2">
        <v>224</v>
      </c>
      <c r="S850" s="2">
        <v>108.3447</v>
      </c>
      <c r="T850" s="2">
        <v>240</v>
      </c>
      <c r="U850" s="2">
        <v>0.57764400000000005</v>
      </c>
      <c r="V850" s="2">
        <v>129</v>
      </c>
      <c r="W850" s="2">
        <v>2014</v>
      </c>
    </row>
    <row r="851" spans="1:23" ht="12.3" x14ac:dyDescent="0.4">
      <c r="A851" s="2" t="s">
        <v>122</v>
      </c>
      <c r="B851" s="2">
        <v>15</v>
      </c>
      <c r="C851" s="2"/>
      <c r="D851" s="2"/>
      <c r="E851" s="2"/>
      <c r="F851" s="2"/>
      <c r="G851" s="2"/>
      <c r="H851" s="2"/>
      <c r="I851" s="2">
        <v>67.593299999999999</v>
      </c>
      <c r="J851" s="2">
        <v>123</v>
      </c>
      <c r="K851" s="2">
        <v>67.499600000000001</v>
      </c>
      <c r="L851" s="2">
        <v>112</v>
      </c>
      <c r="M851" s="2">
        <v>103.1606</v>
      </c>
      <c r="N851" s="2">
        <v>207</v>
      </c>
      <c r="O851" s="2">
        <v>104.51090000000001</v>
      </c>
      <c r="P851" s="2">
        <v>177</v>
      </c>
      <c r="Q851" s="2">
        <v>103.8617</v>
      </c>
      <c r="R851" s="2">
        <v>147</v>
      </c>
      <c r="S851" s="2">
        <v>104.90940000000001</v>
      </c>
      <c r="T851" s="2">
        <v>172</v>
      </c>
      <c r="U851" s="2">
        <v>0.48905900000000002</v>
      </c>
      <c r="V851" s="2">
        <v>163</v>
      </c>
      <c r="W851" s="2">
        <v>2014</v>
      </c>
    </row>
    <row r="852" spans="1:23" ht="12.3" x14ac:dyDescent="0.4">
      <c r="A852" s="2" t="s">
        <v>170</v>
      </c>
      <c r="B852" s="2">
        <v>16</v>
      </c>
      <c r="C852" s="2"/>
      <c r="D852" s="2"/>
      <c r="E852" s="2"/>
      <c r="F852" s="2"/>
      <c r="G852" s="2"/>
      <c r="H852" s="2"/>
      <c r="I852" s="2">
        <v>63.997999999999998</v>
      </c>
      <c r="J852" s="2">
        <v>291</v>
      </c>
      <c r="K852" s="2">
        <v>64.382499999999993</v>
      </c>
      <c r="L852" s="2">
        <v>272</v>
      </c>
      <c r="M852" s="2">
        <v>110.6741</v>
      </c>
      <c r="N852" s="2">
        <v>54</v>
      </c>
      <c r="O852" s="2">
        <v>105.6284</v>
      </c>
      <c r="P852" s="2">
        <v>150</v>
      </c>
      <c r="Q852" s="2">
        <v>105.0247</v>
      </c>
      <c r="R852" s="2">
        <v>179</v>
      </c>
      <c r="S852" s="2">
        <v>106.4341</v>
      </c>
      <c r="T852" s="2">
        <v>207</v>
      </c>
      <c r="U852" s="2">
        <v>0.47816999999999998</v>
      </c>
      <c r="V852" s="2">
        <v>169</v>
      </c>
      <c r="W852" s="2">
        <v>2014</v>
      </c>
    </row>
    <row r="853" spans="1:23" ht="12.3" x14ac:dyDescent="0.4">
      <c r="A853" s="2" t="s">
        <v>189</v>
      </c>
      <c r="B853" s="2">
        <v>16</v>
      </c>
      <c r="C853" s="2"/>
      <c r="D853" s="2"/>
      <c r="E853" s="2"/>
      <c r="F853" s="2"/>
      <c r="G853" s="2"/>
      <c r="H853" s="2"/>
      <c r="I853" s="2">
        <v>60.651200000000003</v>
      </c>
      <c r="J853" s="2">
        <v>344</v>
      </c>
      <c r="K853" s="2">
        <v>60.156500000000001</v>
      </c>
      <c r="L853" s="2">
        <v>347</v>
      </c>
      <c r="M853" s="2">
        <v>102.5043</v>
      </c>
      <c r="N853" s="2">
        <v>218</v>
      </c>
      <c r="O853" s="2">
        <v>103.2247</v>
      </c>
      <c r="P853" s="2">
        <v>197</v>
      </c>
      <c r="Q853" s="2">
        <v>106.56010000000001</v>
      </c>
      <c r="R853" s="2">
        <v>219</v>
      </c>
      <c r="S853" s="2">
        <v>104.3188</v>
      </c>
      <c r="T853" s="2">
        <v>164</v>
      </c>
      <c r="U853" s="2">
        <v>0.46972599999999998</v>
      </c>
      <c r="V853" s="2">
        <v>173</v>
      </c>
      <c r="W853" s="2">
        <v>2014</v>
      </c>
    </row>
    <row r="854" spans="1:23" ht="12.3" x14ac:dyDescent="0.4">
      <c r="A854" s="2" t="s">
        <v>339</v>
      </c>
      <c r="B854" s="2">
        <v>16</v>
      </c>
      <c r="C854" s="2"/>
      <c r="D854" s="2"/>
      <c r="E854" s="2"/>
      <c r="F854" s="2"/>
      <c r="G854" s="2"/>
      <c r="H854" s="2"/>
      <c r="I854" s="2">
        <v>63.094900000000003</v>
      </c>
      <c r="J854" s="2">
        <v>323</v>
      </c>
      <c r="K854" s="2">
        <v>63.242800000000003</v>
      </c>
      <c r="L854" s="2">
        <v>313</v>
      </c>
      <c r="M854" s="2">
        <v>103.5767</v>
      </c>
      <c r="N854" s="2">
        <v>202</v>
      </c>
      <c r="O854" s="2">
        <v>101.87</v>
      </c>
      <c r="P854" s="2">
        <v>225</v>
      </c>
      <c r="Q854" s="2">
        <v>100.2026</v>
      </c>
      <c r="R854" s="2">
        <v>80</v>
      </c>
      <c r="S854" s="2">
        <v>103.36960000000001</v>
      </c>
      <c r="T854" s="2">
        <v>143</v>
      </c>
      <c r="U854" s="2">
        <v>0.45808300000000002</v>
      </c>
      <c r="V854" s="2">
        <v>177</v>
      </c>
      <c r="W854" s="2">
        <v>2014</v>
      </c>
    </row>
    <row r="855" spans="1:23" ht="12.3" x14ac:dyDescent="0.4">
      <c r="A855" s="2" t="s">
        <v>279</v>
      </c>
      <c r="B855" s="2">
        <v>15</v>
      </c>
      <c r="C855" s="2"/>
      <c r="D855" s="2"/>
      <c r="E855" s="2"/>
      <c r="F855" s="2"/>
      <c r="G855" s="2"/>
      <c r="H855" s="2"/>
      <c r="I855" s="2">
        <v>62.455500000000001</v>
      </c>
      <c r="J855" s="2">
        <v>338</v>
      </c>
      <c r="K855" s="2">
        <v>61.979500000000002</v>
      </c>
      <c r="L855" s="2">
        <v>339</v>
      </c>
      <c r="M855" s="2">
        <v>104.57810000000001</v>
      </c>
      <c r="N855" s="2">
        <v>174</v>
      </c>
      <c r="O855" s="2">
        <v>100.9265</v>
      </c>
      <c r="P855" s="2">
        <v>238</v>
      </c>
      <c r="Q855" s="2">
        <v>100.94499999999999</v>
      </c>
      <c r="R855" s="2">
        <v>91</v>
      </c>
      <c r="S855" s="2">
        <v>102.7681</v>
      </c>
      <c r="T855" s="2">
        <v>131</v>
      </c>
      <c r="U855" s="2">
        <v>0.44820100000000002</v>
      </c>
      <c r="V855" s="2">
        <v>184</v>
      </c>
      <c r="W855" s="2">
        <v>2014</v>
      </c>
    </row>
    <row r="856" spans="1:23" ht="12.3" x14ac:dyDescent="0.4">
      <c r="A856" s="2" t="s">
        <v>349</v>
      </c>
      <c r="B856" s="2">
        <v>16</v>
      </c>
      <c r="C856" s="2"/>
      <c r="D856" s="2"/>
      <c r="E856" s="2"/>
      <c r="F856" s="2"/>
      <c r="G856" s="2"/>
      <c r="H856" s="2"/>
      <c r="I856" s="2">
        <v>70.174999999999997</v>
      </c>
      <c r="J856" s="2">
        <v>38</v>
      </c>
      <c r="K856" s="2">
        <v>70.066699999999997</v>
      </c>
      <c r="L856" s="2">
        <v>31</v>
      </c>
      <c r="M856" s="2">
        <v>108.13930000000001</v>
      </c>
      <c r="N856" s="2">
        <v>90</v>
      </c>
      <c r="O856" s="2">
        <v>108.3479</v>
      </c>
      <c r="P856" s="2">
        <v>95</v>
      </c>
      <c r="Q856" s="2">
        <v>110.2093</v>
      </c>
      <c r="R856" s="2">
        <v>300</v>
      </c>
      <c r="S856" s="2">
        <v>110.67829999999999</v>
      </c>
      <c r="T856" s="2">
        <v>287</v>
      </c>
      <c r="U856" s="2">
        <v>0.43912400000000001</v>
      </c>
      <c r="V856" s="2">
        <v>190</v>
      </c>
      <c r="W856" s="2">
        <v>2014</v>
      </c>
    </row>
    <row r="857" spans="1:23" ht="12.3" x14ac:dyDescent="0.4">
      <c r="A857" s="2" t="s">
        <v>334</v>
      </c>
      <c r="B857" s="2">
        <v>16</v>
      </c>
      <c r="C857" s="2"/>
      <c r="D857" s="2"/>
      <c r="E857" s="2"/>
      <c r="F857" s="2"/>
      <c r="G857" s="2"/>
      <c r="H857" s="2"/>
      <c r="I857" s="2">
        <v>68.456299999999999</v>
      </c>
      <c r="J857" s="2">
        <v>86</v>
      </c>
      <c r="K857" s="2">
        <v>67.183000000000007</v>
      </c>
      <c r="L857" s="2">
        <v>131</v>
      </c>
      <c r="M857" s="2">
        <v>102.06659999999999</v>
      </c>
      <c r="N857" s="2">
        <v>230</v>
      </c>
      <c r="O857" s="2">
        <v>97.3108</v>
      </c>
      <c r="P857" s="2">
        <v>298</v>
      </c>
      <c r="Q857" s="2">
        <v>99.711200000000005</v>
      </c>
      <c r="R857" s="2">
        <v>71</v>
      </c>
      <c r="S857" s="2">
        <v>102.49039999999999</v>
      </c>
      <c r="T857" s="2">
        <v>124</v>
      </c>
      <c r="U857" s="2">
        <v>0.35517199999999999</v>
      </c>
      <c r="V857" s="2">
        <v>232</v>
      </c>
      <c r="W857" s="2">
        <v>2014</v>
      </c>
    </row>
    <row r="858" spans="1:23" ht="12.3" x14ac:dyDescent="0.4">
      <c r="A858" s="2" t="s">
        <v>325</v>
      </c>
      <c r="B858" s="2">
        <v>16</v>
      </c>
      <c r="C858" s="2"/>
      <c r="D858" s="2"/>
      <c r="E858" s="2"/>
      <c r="F858" s="2"/>
      <c r="G858" s="2"/>
      <c r="H858" s="2"/>
      <c r="I858" s="2">
        <v>67.824399999999997</v>
      </c>
      <c r="J858" s="2">
        <v>112</v>
      </c>
      <c r="K858" s="2">
        <v>67.375200000000007</v>
      </c>
      <c r="L858" s="2">
        <v>116</v>
      </c>
      <c r="M858" s="2">
        <v>109.18770000000001</v>
      </c>
      <c r="N858" s="2">
        <v>69</v>
      </c>
      <c r="O858" s="2">
        <v>106.1519</v>
      </c>
      <c r="P858" s="2">
        <v>135</v>
      </c>
      <c r="Q858" s="2">
        <v>106.0762</v>
      </c>
      <c r="R858" s="2">
        <v>207</v>
      </c>
      <c r="S858" s="2">
        <v>112.1348</v>
      </c>
      <c r="T858" s="2">
        <v>316</v>
      </c>
      <c r="U858" s="2">
        <v>0.347385</v>
      </c>
      <c r="V858" s="2">
        <v>237</v>
      </c>
      <c r="W858" s="2">
        <v>2014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E18"/>
  <sheetViews>
    <sheetView showGridLines="0" workbookViewId="0"/>
  </sheetViews>
  <sheetFormatPr defaultColWidth="14.44140625" defaultRowHeight="15.75" customHeight="1" x14ac:dyDescent="0.4"/>
  <sheetData>
    <row r="1" spans="1:5" ht="15.75" customHeight="1" x14ac:dyDescent="0.4">
      <c r="B1" t="s">
        <v>394</v>
      </c>
      <c r="C1" t="s">
        <v>395</v>
      </c>
      <c r="D1" t="s">
        <v>396</v>
      </c>
      <c r="E1" t="s">
        <v>397</v>
      </c>
    </row>
    <row r="2" spans="1:5" ht="15.75" customHeight="1" x14ac:dyDescent="0.4">
      <c r="A2">
        <v>1</v>
      </c>
      <c r="B2" s="13">
        <v>0.94417105769230791</v>
      </c>
      <c r="C2" s="13">
        <v>0.94406499999999993</v>
      </c>
      <c r="D2" s="14">
        <v>3.7115384615384617</v>
      </c>
      <c r="E2" s="14">
        <v>3</v>
      </c>
    </row>
    <row r="3" spans="1:5" ht="15.75" customHeight="1" x14ac:dyDescent="0.4">
      <c r="A3">
        <v>2</v>
      </c>
      <c r="B3" s="13">
        <v>0.91829561538461557</v>
      </c>
      <c r="C3" s="13">
        <v>0.92344000000000004</v>
      </c>
      <c r="D3" s="14">
        <v>8.8076923076923084</v>
      </c>
      <c r="E3" s="14">
        <v>8</v>
      </c>
    </row>
    <row r="4" spans="1:5" ht="15.75" customHeight="1" x14ac:dyDescent="0.4">
      <c r="A4">
        <v>3</v>
      </c>
      <c r="B4" s="13">
        <v>0.89888448076923089</v>
      </c>
      <c r="C4" s="13">
        <v>0.90269350000000004</v>
      </c>
      <c r="D4" s="14">
        <v>14.711538461538462</v>
      </c>
      <c r="E4" s="14">
        <v>13</v>
      </c>
    </row>
    <row r="5" spans="1:5" ht="15.75" customHeight="1" x14ac:dyDescent="0.4">
      <c r="A5">
        <v>4</v>
      </c>
      <c r="B5" s="13">
        <v>0.89047334615384643</v>
      </c>
      <c r="C5" s="13">
        <v>0.89987850000000003</v>
      </c>
      <c r="D5" s="14">
        <v>16.98076923076923</v>
      </c>
      <c r="E5" s="14">
        <v>14.5</v>
      </c>
    </row>
    <row r="6" spans="1:5" ht="15.75" customHeight="1" x14ac:dyDescent="0.4">
      <c r="A6">
        <v>5</v>
      </c>
      <c r="B6" s="13">
        <v>0.87568584615384626</v>
      </c>
      <c r="C6" s="13">
        <v>0.87771749999999993</v>
      </c>
      <c r="D6" s="14">
        <v>21.384615384615383</v>
      </c>
      <c r="E6" s="14">
        <v>21</v>
      </c>
    </row>
    <row r="7" spans="1:5" ht="15.75" customHeight="1" x14ac:dyDescent="0.4">
      <c r="A7">
        <v>6</v>
      </c>
      <c r="B7" s="13">
        <v>0.85891450000000014</v>
      </c>
      <c r="C7" s="13">
        <v>0.86038250000000005</v>
      </c>
      <c r="D7" s="14">
        <v>26.71153846153846</v>
      </c>
      <c r="E7" s="14">
        <v>25</v>
      </c>
    </row>
    <row r="8" spans="1:5" ht="15.75" customHeight="1" x14ac:dyDescent="0.4">
      <c r="A8">
        <v>7</v>
      </c>
      <c r="B8" s="13">
        <v>0.84378440384615394</v>
      </c>
      <c r="C8" s="13">
        <v>0.85110949999999996</v>
      </c>
      <c r="D8" s="14">
        <v>32.17307692307692</v>
      </c>
      <c r="E8" s="14">
        <v>28.5</v>
      </c>
    </row>
    <row r="9" spans="1:5" ht="15.75" customHeight="1" x14ac:dyDescent="0.4">
      <c r="A9">
        <v>8</v>
      </c>
      <c r="B9" s="13">
        <v>0.84177967307692303</v>
      </c>
      <c r="C9" s="13">
        <v>0.84182049999999997</v>
      </c>
      <c r="D9" s="14">
        <v>32.192307692307693</v>
      </c>
      <c r="E9" s="14">
        <v>31.5</v>
      </c>
    </row>
    <row r="10" spans="1:5" ht="15.75" customHeight="1" x14ac:dyDescent="0.4">
      <c r="A10">
        <v>9</v>
      </c>
      <c r="B10" s="13">
        <v>0.82593417307692307</v>
      </c>
      <c r="C10" s="13">
        <v>0.82224050000000004</v>
      </c>
      <c r="D10" s="14">
        <v>37.92307692307692</v>
      </c>
      <c r="E10" s="14">
        <v>39</v>
      </c>
    </row>
    <row r="11" spans="1:5" ht="15.75" customHeight="1" x14ac:dyDescent="0.4">
      <c r="A11">
        <v>10</v>
      </c>
      <c r="B11" s="13">
        <v>0.82085473076923055</v>
      </c>
      <c r="C11" s="13">
        <v>0.81827749999999999</v>
      </c>
      <c r="D11" s="14">
        <v>40.519230769230766</v>
      </c>
      <c r="E11" s="14">
        <v>38.5</v>
      </c>
    </row>
    <row r="12" spans="1:5" ht="15.75" customHeight="1" x14ac:dyDescent="0.4">
      <c r="A12">
        <v>11</v>
      </c>
      <c r="B12" s="13">
        <v>0.8014269090909093</v>
      </c>
      <c r="C12" s="13">
        <v>0.80964999999999998</v>
      </c>
      <c r="D12" s="14">
        <v>47.509090909090908</v>
      </c>
      <c r="E12" s="14">
        <v>46</v>
      </c>
    </row>
    <row r="13" spans="1:5" ht="15.75" customHeight="1" x14ac:dyDescent="0.4">
      <c r="A13">
        <v>12</v>
      </c>
      <c r="B13" s="13">
        <v>0.79154358181818163</v>
      </c>
      <c r="C13" s="13">
        <v>0.80657299999999998</v>
      </c>
      <c r="D13" s="14">
        <v>50.436363636363637</v>
      </c>
      <c r="E13" s="14">
        <v>45</v>
      </c>
    </row>
    <row r="14" spans="1:5" ht="15.75" customHeight="1" x14ac:dyDescent="0.4">
      <c r="A14">
        <v>13</v>
      </c>
      <c r="B14" s="13">
        <v>0.73381349056603784</v>
      </c>
      <c r="C14" s="13">
        <v>0.74301399999999995</v>
      </c>
      <c r="D14" s="14">
        <v>71.698113207547166</v>
      </c>
      <c r="E14" s="14">
        <v>69</v>
      </c>
    </row>
    <row r="15" spans="1:5" ht="15.75" customHeight="1" x14ac:dyDescent="0.4">
      <c r="A15">
        <v>14</v>
      </c>
      <c r="B15" s="13">
        <v>0.68698633962264133</v>
      </c>
      <c r="C15" s="13">
        <v>0.68337000000000003</v>
      </c>
      <c r="D15" s="14">
        <v>88.452830188679243</v>
      </c>
      <c r="E15" s="14">
        <v>90</v>
      </c>
    </row>
    <row r="16" spans="1:5" ht="15.75" customHeight="1" x14ac:dyDescent="0.4">
      <c r="A16">
        <v>15</v>
      </c>
      <c r="B16" s="13">
        <v>0.55702492307692308</v>
      </c>
      <c r="C16" s="13">
        <v>0.56701449999999998</v>
      </c>
      <c r="D16" s="14">
        <v>137.86538461538461</v>
      </c>
      <c r="E16" s="14">
        <v>133.5</v>
      </c>
    </row>
    <row r="17" spans="1:5" ht="15.75" customHeight="1" x14ac:dyDescent="0.4">
      <c r="A17">
        <v>16</v>
      </c>
      <c r="B17" s="13">
        <v>0.42521713043478254</v>
      </c>
      <c r="C17" s="13">
        <v>0.438614</v>
      </c>
      <c r="D17" s="14">
        <v>192.97101449275362</v>
      </c>
      <c r="E17" s="14">
        <v>185</v>
      </c>
    </row>
    <row r="18" spans="1:5" ht="15.75" customHeight="1" x14ac:dyDescent="0.4">
      <c r="A18" t="s">
        <v>398</v>
      </c>
      <c r="B18" s="13">
        <v>0.78716160210035058</v>
      </c>
      <c r="C18" s="13">
        <v>0.83203400000000005</v>
      </c>
      <c r="D18" s="14">
        <v>54.358226371061846</v>
      </c>
      <c r="E18">
        <v>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K32"/>
  <sheetViews>
    <sheetView showGridLines="0" workbookViewId="0"/>
  </sheetViews>
  <sheetFormatPr defaultColWidth="14.44140625" defaultRowHeight="15.75" customHeight="1" x14ac:dyDescent="0.4"/>
  <cols>
    <col min="3" max="3" width="5.44140625" customWidth="1"/>
    <col min="4" max="4" width="15.27734375" customWidth="1"/>
    <col min="5" max="5" width="5" customWidth="1"/>
    <col min="6" max="6" width="18.71875" customWidth="1"/>
    <col min="7" max="7" width="7.71875" customWidth="1"/>
    <col min="8" max="8" width="20.71875" customWidth="1"/>
    <col min="9" max="9" width="8.27734375" customWidth="1"/>
    <col min="10" max="10" width="21.109375" customWidth="1"/>
  </cols>
  <sheetData>
    <row r="1" spans="1:11" ht="15.75" customHeight="1" x14ac:dyDescent="0.4">
      <c r="A1" s="67" t="s">
        <v>27</v>
      </c>
      <c r="B1" s="68" t="s">
        <v>33</v>
      </c>
    </row>
    <row r="3" spans="1:11" ht="15.75" customHeight="1" x14ac:dyDescent="0.4">
      <c r="A3" s="51"/>
      <c r="B3" s="51"/>
      <c r="C3" s="51" t="s">
        <v>399</v>
      </c>
      <c r="D3" s="52" t="s">
        <v>396</v>
      </c>
      <c r="E3" s="52" t="s">
        <v>394</v>
      </c>
      <c r="F3" s="52" t="s">
        <v>400</v>
      </c>
      <c r="G3" s="52" t="s">
        <v>401</v>
      </c>
      <c r="H3" s="52" t="s">
        <v>402</v>
      </c>
      <c r="I3" s="52" t="s">
        <v>403</v>
      </c>
      <c r="J3" s="52" t="s">
        <v>404</v>
      </c>
      <c r="K3" s="53" t="s">
        <v>405</v>
      </c>
    </row>
    <row r="4" spans="1:11" ht="15.75" customHeight="1" x14ac:dyDescent="0.4">
      <c r="A4" s="51" t="s">
        <v>43</v>
      </c>
      <c r="B4" s="51">
        <v>12</v>
      </c>
      <c r="C4" s="54">
        <v>2009</v>
      </c>
      <c r="D4" s="55">
        <v>38</v>
      </c>
      <c r="E4" s="55">
        <v>0.82972999999999997</v>
      </c>
      <c r="F4" s="55">
        <v>7</v>
      </c>
      <c r="G4" s="55">
        <v>116.26260000000001</v>
      </c>
      <c r="H4" s="55">
        <v>165</v>
      </c>
      <c r="I4" s="55">
        <v>101.3051</v>
      </c>
      <c r="J4" s="55">
        <v>208</v>
      </c>
      <c r="K4" s="56">
        <v>65.537499999999994</v>
      </c>
    </row>
    <row r="5" spans="1:11" ht="15.75" customHeight="1" x14ac:dyDescent="0.4">
      <c r="A5" s="51" t="s">
        <v>245</v>
      </c>
      <c r="B5" s="51">
        <v>13</v>
      </c>
      <c r="C5" s="54">
        <v>2006</v>
      </c>
      <c r="D5" s="55">
        <v>23</v>
      </c>
      <c r="E5" s="55">
        <v>0.849194</v>
      </c>
      <c r="F5" s="55">
        <v>105</v>
      </c>
      <c r="G5" s="55">
        <v>104.9757</v>
      </c>
      <c r="H5" s="55">
        <v>7</v>
      </c>
      <c r="I5" s="55">
        <v>90.327600000000004</v>
      </c>
      <c r="J5" s="55">
        <v>39</v>
      </c>
      <c r="K5" s="56">
        <v>71.121399999999994</v>
      </c>
    </row>
    <row r="6" spans="1:11" ht="15.75" customHeight="1" x14ac:dyDescent="0.4">
      <c r="A6" s="51" t="s">
        <v>18</v>
      </c>
      <c r="B6" s="51">
        <v>12</v>
      </c>
      <c r="C6" s="54">
        <v>2003</v>
      </c>
      <c r="D6" s="55">
        <v>42</v>
      </c>
      <c r="E6" s="55">
        <v>0.80610899999999996</v>
      </c>
      <c r="F6" s="55">
        <v>13</v>
      </c>
      <c r="G6" s="55">
        <v>113.1309</v>
      </c>
      <c r="H6" s="55">
        <v>135</v>
      </c>
      <c r="I6" s="55">
        <v>99.946899999999999</v>
      </c>
      <c r="J6" s="55">
        <v>325</v>
      </c>
      <c r="K6" s="56">
        <v>59.948099999999997</v>
      </c>
    </row>
    <row r="7" spans="1:11" ht="15.75" customHeight="1" x14ac:dyDescent="0.4">
      <c r="A7" s="51" t="s">
        <v>333</v>
      </c>
      <c r="B7" s="51">
        <v>12</v>
      </c>
      <c r="C7" s="54">
        <v>2010</v>
      </c>
      <c r="D7" s="55">
        <v>60</v>
      </c>
      <c r="E7" s="55">
        <v>0.78253099999999998</v>
      </c>
      <c r="F7" s="55">
        <v>16</v>
      </c>
      <c r="G7" s="55">
        <v>114.0527</v>
      </c>
      <c r="H7" s="55">
        <v>178</v>
      </c>
      <c r="I7" s="55">
        <v>102.03489999999999</v>
      </c>
      <c r="J7" s="55">
        <v>240</v>
      </c>
      <c r="K7" s="56">
        <v>65.781700000000001</v>
      </c>
    </row>
    <row r="8" spans="1:11" ht="15.75" customHeight="1" x14ac:dyDescent="0.4">
      <c r="A8" s="51" t="s">
        <v>134</v>
      </c>
      <c r="B8" s="51">
        <v>10</v>
      </c>
      <c r="C8" s="54">
        <v>2008</v>
      </c>
      <c r="D8" s="55">
        <v>13</v>
      </c>
      <c r="E8" s="55">
        <v>0.90645299999999995</v>
      </c>
      <c r="F8" s="55">
        <v>23</v>
      </c>
      <c r="G8" s="55">
        <v>112.67610000000001</v>
      </c>
      <c r="H8" s="55">
        <v>19</v>
      </c>
      <c r="I8" s="55">
        <v>92.483599999999996</v>
      </c>
      <c r="J8" s="55">
        <v>116</v>
      </c>
      <c r="K8" s="56">
        <v>68.271500000000003</v>
      </c>
    </row>
    <row r="9" spans="1:11" ht="15.75" customHeight="1" x14ac:dyDescent="0.4">
      <c r="A9" s="51" t="s">
        <v>64</v>
      </c>
      <c r="B9" s="51">
        <v>11</v>
      </c>
      <c r="C9" s="54">
        <v>2014</v>
      </c>
      <c r="D9" s="55">
        <v>53</v>
      </c>
      <c r="E9" s="55">
        <v>0.78345799999999999</v>
      </c>
      <c r="F9" s="55">
        <v>30</v>
      </c>
      <c r="G9" s="55">
        <v>113.3938</v>
      </c>
      <c r="H9" s="55">
        <v>101</v>
      </c>
      <c r="I9" s="55">
        <v>101.3973</v>
      </c>
      <c r="J9" s="55">
        <v>236</v>
      </c>
      <c r="K9" s="56">
        <v>65.236699999999999</v>
      </c>
    </row>
    <row r="10" spans="1:11" ht="15.75" customHeight="1" x14ac:dyDescent="0.4">
      <c r="A10" s="51" t="s">
        <v>369</v>
      </c>
      <c r="B10" s="51">
        <v>15</v>
      </c>
      <c r="C10" s="54">
        <v>2013</v>
      </c>
      <c r="D10" s="55">
        <v>131</v>
      </c>
      <c r="E10" s="55">
        <v>0.57450400000000001</v>
      </c>
      <c r="F10" s="55">
        <v>145</v>
      </c>
      <c r="G10" s="55">
        <v>102.1036</v>
      </c>
      <c r="H10" s="55">
        <v>137</v>
      </c>
      <c r="I10" s="55">
        <v>99.472300000000004</v>
      </c>
      <c r="J10" s="55">
        <v>54</v>
      </c>
      <c r="K10" s="56">
        <v>68.687100000000001</v>
      </c>
    </row>
    <row r="11" spans="1:11" ht="15.75" customHeight="1" x14ac:dyDescent="0.4">
      <c r="A11" s="51" t="s">
        <v>20</v>
      </c>
      <c r="B11" s="51">
        <v>10</v>
      </c>
      <c r="C11" s="54">
        <v>2011</v>
      </c>
      <c r="D11" s="55">
        <v>42</v>
      </c>
      <c r="E11" s="55">
        <v>0.81841600000000003</v>
      </c>
      <c r="F11" s="55">
        <v>183</v>
      </c>
      <c r="G11" s="55">
        <v>100.986</v>
      </c>
      <c r="H11" s="55">
        <v>2</v>
      </c>
      <c r="I11" s="55">
        <v>88.593199999999996</v>
      </c>
      <c r="J11" s="55">
        <v>57</v>
      </c>
      <c r="K11" s="56">
        <v>69.047399999999996</v>
      </c>
    </row>
    <row r="12" spans="1:11" ht="15.75" customHeight="1" x14ac:dyDescent="0.4">
      <c r="A12" s="51" t="s">
        <v>147</v>
      </c>
      <c r="B12" s="51">
        <v>11</v>
      </c>
      <c r="C12" s="54">
        <v>2006</v>
      </c>
      <c r="D12" s="55">
        <v>22</v>
      </c>
      <c r="E12" s="55">
        <v>0.84944200000000003</v>
      </c>
      <c r="F12" s="55">
        <v>78</v>
      </c>
      <c r="G12" s="55">
        <v>106.43989999999999</v>
      </c>
      <c r="H12" s="55">
        <v>12</v>
      </c>
      <c r="I12" s="55">
        <v>91.572000000000003</v>
      </c>
      <c r="J12" s="55">
        <v>276</v>
      </c>
      <c r="K12" s="56">
        <v>64.037499999999994</v>
      </c>
    </row>
    <row r="13" spans="1:11" ht="15.75" customHeight="1" x14ac:dyDescent="0.4">
      <c r="A13" s="51" t="s">
        <v>53</v>
      </c>
      <c r="B13" s="51">
        <v>10</v>
      </c>
      <c r="C13" s="54">
        <v>2002</v>
      </c>
      <c r="D13" s="55">
        <v>24</v>
      </c>
      <c r="E13" s="55">
        <v>0.87199800000000005</v>
      </c>
      <c r="F13" s="55">
        <v>14</v>
      </c>
      <c r="G13" s="55">
        <v>113.6686</v>
      </c>
      <c r="H13" s="55">
        <v>60</v>
      </c>
      <c r="I13" s="55">
        <v>96.200999999999993</v>
      </c>
      <c r="J13" s="55">
        <v>279</v>
      </c>
      <c r="K13" s="56">
        <v>66.165800000000004</v>
      </c>
    </row>
    <row r="14" spans="1:11" ht="15.75" customHeight="1" x14ac:dyDescent="0.4">
      <c r="A14" s="51" t="s">
        <v>169</v>
      </c>
      <c r="B14" s="51">
        <v>13</v>
      </c>
      <c r="C14" s="54">
        <v>2013</v>
      </c>
      <c r="D14" s="55">
        <v>57</v>
      </c>
      <c r="E14" s="55">
        <v>0.78383800000000003</v>
      </c>
      <c r="F14" s="55">
        <v>52</v>
      </c>
      <c r="G14" s="55">
        <v>107.9554</v>
      </c>
      <c r="H14" s="55">
        <v>86</v>
      </c>
      <c r="I14" s="55">
        <v>96.515500000000003</v>
      </c>
      <c r="J14" s="55">
        <v>141</v>
      </c>
      <c r="K14" s="56">
        <v>66.489199999999997</v>
      </c>
    </row>
    <row r="15" spans="1:11" ht="15.75" customHeight="1" x14ac:dyDescent="0.4">
      <c r="A15" s="51" t="s">
        <v>39</v>
      </c>
      <c r="B15" s="51">
        <v>11</v>
      </c>
      <c r="C15" s="54">
        <v>2011</v>
      </c>
      <c r="D15" s="55">
        <v>29</v>
      </c>
      <c r="E15" s="55">
        <v>0.85072099999999995</v>
      </c>
      <c r="F15" s="55">
        <v>16</v>
      </c>
      <c r="G15" s="55">
        <v>113.99460000000001</v>
      </c>
      <c r="H15" s="55">
        <v>86</v>
      </c>
      <c r="I15" s="55">
        <v>97.985799999999998</v>
      </c>
      <c r="J15" s="55">
        <v>114</v>
      </c>
      <c r="K15" s="56">
        <v>67.697999999999993</v>
      </c>
    </row>
    <row r="16" spans="1:11" ht="15.75" customHeight="1" x14ac:dyDescent="0.4">
      <c r="A16" s="51" t="s">
        <v>122</v>
      </c>
      <c r="B16" s="51">
        <v>12</v>
      </c>
      <c r="C16" s="54">
        <v>2005</v>
      </c>
      <c r="D16" s="55">
        <v>44</v>
      </c>
      <c r="E16" s="55">
        <v>0.78469500000000003</v>
      </c>
      <c r="F16" s="55">
        <v>80</v>
      </c>
      <c r="G16" s="55">
        <v>106.187</v>
      </c>
      <c r="H16" s="55">
        <v>39</v>
      </c>
      <c r="I16" s="55">
        <v>94.892600000000002</v>
      </c>
      <c r="J16" s="55">
        <v>49</v>
      </c>
      <c r="K16" s="56">
        <v>70.499099999999999</v>
      </c>
    </row>
    <row r="17" spans="1:11" ht="15.75" customHeight="1" x14ac:dyDescent="0.4">
      <c r="A17" s="51" t="s">
        <v>73</v>
      </c>
      <c r="B17" s="51">
        <v>12</v>
      </c>
      <c r="C17" s="54">
        <v>2002</v>
      </c>
      <c r="D17" s="55">
        <v>45</v>
      </c>
      <c r="E17" s="55">
        <v>0.808674</v>
      </c>
      <c r="F17" s="55">
        <v>19</v>
      </c>
      <c r="G17" s="55">
        <v>112.3241</v>
      </c>
      <c r="H17" s="55">
        <v>115</v>
      </c>
      <c r="I17" s="55">
        <v>99.091899999999995</v>
      </c>
      <c r="J17" s="55">
        <v>127</v>
      </c>
      <c r="K17" s="56">
        <v>70.588899999999995</v>
      </c>
    </row>
    <row r="18" spans="1:11" ht="15.75" customHeight="1" x14ac:dyDescent="0.4">
      <c r="A18" s="51" t="s">
        <v>145</v>
      </c>
      <c r="B18" s="51">
        <v>10</v>
      </c>
      <c r="C18" s="54">
        <v>2004</v>
      </c>
      <c r="D18" s="55">
        <v>21</v>
      </c>
      <c r="E18" s="55">
        <v>0.87383100000000002</v>
      </c>
      <c r="F18" s="55">
        <v>44</v>
      </c>
      <c r="G18" s="55">
        <v>109.3536</v>
      </c>
      <c r="H18" s="55">
        <v>17</v>
      </c>
      <c r="I18" s="55">
        <v>92.416200000000003</v>
      </c>
      <c r="J18" s="55">
        <v>76</v>
      </c>
      <c r="K18" s="56">
        <v>70.038600000000002</v>
      </c>
    </row>
    <row r="19" spans="1:11" ht="15.75" customHeight="1" x14ac:dyDescent="0.4">
      <c r="A19" s="51" t="s">
        <v>55</v>
      </c>
      <c r="B19" s="51">
        <v>10</v>
      </c>
      <c r="C19" s="54">
        <v>2005</v>
      </c>
      <c r="D19" s="55">
        <v>23</v>
      </c>
      <c r="E19" s="55">
        <v>0.87021099999999996</v>
      </c>
      <c r="F19" s="55">
        <v>15</v>
      </c>
      <c r="G19" s="55">
        <v>114.1657</v>
      </c>
      <c r="H19" s="55">
        <v>66</v>
      </c>
      <c r="I19" s="55">
        <v>96.755600000000001</v>
      </c>
      <c r="J19" s="55">
        <v>295</v>
      </c>
      <c r="K19" s="56">
        <v>63.6252</v>
      </c>
    </row>
    <row r="20" spans="1:11" ht="15.75" customHeight="1" x14ac:dyDescent="0.4">
      <c r="A20" s="57"/>
      <c r="B20" s="58">
        <v>11</v>
      </c>
      <c r="C20" s="59">
        <v>2012</v>
      </c>
      <c r="D20" s="60">
        <v>49</v>
      </c>
      <c r="E20" s="60">
        <v>0.78451000000000004</v>
      </c>
      <c r="F20" s="60">
        <v>31</v>
      </c>
      <c r="G20" s="60">
        <v>109.67570000000001</v>
      </c>
      <c r="H20" s="60">
        <v>106</v>
      </c>
      <c r="I20" s="60">
        <v>98.019599999999997</v>
      </c>
      <c r="J20" s="60">
        <v>80</v>
      </c>
      <c r="K20" s="61">
        <v>68.107799999999997</v>
      </c>
    </row>
    <row r="21" spans="1:11" ht="15.75" customHeight="1" x14ac:dyDescent="0.4">
      <c r="A21" s="51" t="s">
        <v>151</v>
      </c>
      <c r="B21" s="51">
        <v>13</v>
      </c>
      <c r="C21" s="54">
        <v>2012</v>
      </c>
      <c r="D21" s="55">
        <v>58</v>
      </c>
      <c r="E21" s="55">
        <v>0.76153099999999996</v>
      </c>
      <c r="F21" s="55">
        <v>106</v>
      </c>
      <c r="G21" s="55">
        <v>104.4235</v>
      </c>
      <c r="H21" s="55">
        <v>43</v>
      </c>
      <c r="I21" s="55">
        <v>94.395200000000003</v>
      </c>
      <c r="J21" s="55">
        <v>115</v>
      </c>
      <c r="K21" s="56">
        <v>67.1738</v>
      </c>
    </row>
    <row r="22" spans="1:11" ht="15.75" customHeight="1" x14ac:dyDescent="0.4">
      <c r="A22" s="51" t="s">
        <v>41</v>
      </c>
      <c r="B22" s="51">
        <v>12</v>
      </c>
      <c r="C22" s="54">
        <v>2013</v>
      </c>
      <c r="D22" s="55">
        <v>44</v>
      </c>
      <c r="E22" s="55">
        <v>0.81884199999999996</v>
      </c>
      <c r="F22" s="55">
        <v>132</v>
      </c>
      <c r="G22" s="55">
        <v>102.9085</v>
      </c>
      <c r="H22" s="55">
        <v>15</v>
      </c>
      <c r="I22" s="55">
        <v>90.257300000000001</v>
      </c>
      <c r="J22" s="55">
        <v>46</v>
      </c>
      <c r="K22" s="56">
        <v>68.899900000000002</v>
      </c>
    </row>
    <row r="23" spans="1:11" ht="15.75" customHeight="1" x14ac:dyDescent="0.4">
      <c r="A23" s="51" t="s">
        <v>100</v>
      </c>
      <c r="B23" s="51">
        <v>12</v>
      </c>
      <c r="C23" s="54">
        <v>2011</v>
      </c>
      <c r="D23" s="55">
        <v>35</v>
      </c>
      <c r="E23" s="55">
        <v>0.83161799999999997</v>
      </c>
      <c r="F23" s="55">
        <v>44</v>
      </c>
      <c r="G23" s="55">
        <v>109.8189</v>
      </c>
      <c r="H23" s="55">
        <v>50</v>
      </c>
      <c r="I23" s="55">
        <v>95.578800000000001</v>
      </c>
      <c r="J23" s="55">
        <v>300</v>
      </c>
      <c r="K23" s="56">
        <v>63.799900000000001</v>
      </c>
    </row>
    <row r="24" spans="1:11" ht="15.75" customHeight="1" x14ac:dyDescent="0.4">
      <c r="A24" s="51" t="s">
        <v>262</v>
      </c>
      <c r="B24" s="51">
        <v>10</v>
      </c>
      <c r="C24" s="54">
        <v>2010</v>
      </c>
      <c r="D24" s="55">
        <v>29</v>
      </c>
      <c r="E24" s="55">
        <v>0.86377999999999999</v>
      </c>
      <c r="F24" s="55">
        <v>14</v>
      </c>
      <c r="G24" s="55">
        <v>114.38039999999999</v>
      </c>
      <c r="H24" s="55">
        <v>85</v>
      </c>
      <c r="I24" s="55">
        <v>97.408799999999999</v>
      </c>
      <c r="J24" s="55">
        <v>135</v>
      </c>
      <c r="K24" s="56">
        <v>67.988299999999995</v>
      </c>
    </row>
    <row r="25" spans="1:11" ht="15.75" customHeight="1" x14ac:dyDescent="0.4">
      <c r="A25" s="51" t="s">
        <v>82</v>
      </c>
      <c r="B25" s="51">
        <v>11</v>
      </c>
      <c r="C25" s="54">
        <v>2002</v>
      </c>
      <c r="D25" s="55">
        <v>54</v>
      </c>
      <c r="E25" s="55">
        <v>0.77590000000000003</v>
      </c>
      <c r="F25" s="55">
        <v>86</v>
      </c>
      <c r="G25" s="55">
        <v>105.45699999999999</v>
      </c>
      <c r="H25" s="55">
        <v>38</v>
      </c>
      <c r="I25" s="55">
        <v>94.661600000000007</v>
      </c>
      <c r="J25" s="55">
        <v>50</v>
      </c>
      <c r="K25" s="56">
        <v>73.073499999999996</v>
      </c>
    </row>
    <row r="26" spans="1:11" ht="15.75" customHeight="1" x14ac:dyDescent="0.4">
      <c r="A26" s="51" t="s">
        <v>52</v>
      </c>
      <c r="B26" s="51">
        <v>10</v>
      </c>
      <c r="C26" s="54">
        <v>2014</v>
      </c>
      <c r="D26" s="55">
        <v>37</v>
      </c>
      <c r="E26" s="55">
        <v>0.81813899999999995</v>
      </c>
      <c r="F26" s="55">
        <v>39</v>
      </c>
      <c r="G26" s="55">
        <v>112.48099999999999</v>
      </c>
      <c r="H26" s="55">
        <v>60</v>
      </c>
      <c r="I26" s="55">
        <v>98.693600000000004</v>
      </c>
      <c r="J26" s="55">
        <v>167</v>
      </c>
      <c r="K26" s="56">
        <v>66.475999999999999</v>
      </c>
    </row>
    <row r="27" spans="1:11" ht="15.75" customHeight="1" x14ac:dyDescent="0.4">
      <c r="A27" s="51" t="s">
        <v>81</v>
      </c>
      <c r="B27" s="51">
        <v>11</v>
      </c>
      <c r="C27" s="54">
        <v>2014</v>
      </c>
      <c r="D27" s="55">
        <v>13</v>
      </c>
      <c r="E27" s="55">
        <v>0.89680000000000004</v>
      </c>
      <c r="F27" s="55">
        <v>29</v>
      </c>
      <c r="G27" s="55">
        <v>113.5177</v>
      </c>
      <c r="H27" s="55">
        <v>16</v>
      </c>
      <c r="I27" s="55">
        <v>94.061199999999999</v>
      </c>
      <c r="J27" s="55">
        <v>312</v>
      </c>
      <c r="K27" s="56">
        <v>63.313400000000001</v>
      </c>
    </row>
    <row r="28" spans="1:11" ht="15.75" customHeight="1" x14ac:dyDescent="0.4">
      <c r="A28" s="51" t="s">
        <v>137</v>
      </c>
      <c r="B28" s="51">
        <v>11</v>
      </c>
      <c r="C28" s="54">
        <v>2011</v>
      </c>
      <c r="D28" s="55">
        <v>78</v>
      </c>
      <c r="E28" s="55">
        <v>0.70762899999999995</v>
      </c>
      <c r="F28" s="55">
        <v>53</v>
      </c>
      <c r="G28" s="55">
        <v>109.1301</v>
      </c>
      <c r="H28" s="55">
        <v>145</v>
      </c>
      <c r="I28" s="55">
        <v>101.0565</v>
      </c>
      <c r="J28" s="55">
        <v>177</v>
      </c>
      <c r="K28" s="56">
        <v>66.498699999999999</v>
      </c>
    </row>
    <row r="29" spans="1:11" ht="12.3" x14ac:dyDescent="0.4">
      <c r="A29" s="51" t="s">
        <v>78</v>
      </c>
      <c r="B29" s="51">
        <v>12</v>
      </c>
      <c r="C29" s="54">
        <v>2008</v>
      </c>
      <c r="D29" s="55">
        <v>54</v>
      </c>
      <c r="E29" s="55">
        <v>0.78155399999999997</v>
      </c>
      <c r="F29" s="55">
        <v>91</v>
      </c>
      <c r="G29" s="55">
        <v>106.6808</v>
      </c>
      <c r="H29" s="55">
        <v>44</v>
      </c>
      <c r="I29" s="55">
        <v>95.487399999999994</v>
      </c>
      <c r="J29" s="55">
        <v>90</v>
      </c>
      <c r="K29" s="56">
        <v>69.017200000000003</v>
      </c>
    </row>
    <row r="30" spans="1:11" ht="12.3" x14ac:dyDescent="0.4">
      <c r="A30" s="51" t="s">
        <v>131</v>
      </c>
      <c r="B30" s="51">
        <v>11</v>
      </c>
      <c r="C30" s="54">
        <v>2010</v>
      </c>
      <c r="D30" s="55">
        <v>44</v>
      </c>
      <c r="E30" s="55">
        <v>0.83450599999999997</v>
      </c>
      <c r="F30" s="55">
        <v>45</v>
      </c>
      <c r="G30" s="55">
        <v>109.5266</v>
      </c>
      <c r="H30" s="55">
        <v>55</v>
      </c>
      <c r="I30" s="55">
        <v>95.1524</v>
      </c>
      <c r="J30" s="55">
        <v>10</v>
      </c>
      <c r="K30" s="56">
        <v>73.210300000000004</v>
      </c>
    </row>
    <row r="31" spans="1:11" ht="12.3" x14ac:dyDescent="0.4">
      <c r="A31" s="51" t="s">
        <v>68</v>
      </c>
      <c r="B31" s="51">
        <v>12</v>
      </c>
      <c r="C31" s="54">
        <v>2008</v>
      </c>
      <c r="D31" s="55">
        <v>39</v>
      </c>
      <c r="E31" s="55">
        <v>0.81999200000000005</v>
      </c>
      <c r="F31" s="55">
        <v>54</v>
      </c>
      <c r="G31" s="55">
        <v>109.4072</v>
      </c>
      <c r="H31" s="55">
        <v>51</v>
      </c>
      <c r="I31" s="55">
        <v>95.892200000000003</v>
      </c>
      <c r="J31" s="55">
        <v>95</v>
      </c>
      <c r="K31" s="56">
        <v>68.941500000000005</v>
      </c>
    </row>
    <row r="32" spans="1:11" ht="12.3" x14ac:dyDescent="0.4">
      <c r="A32" s="62" t="s">
        <v>398</v>
      </c>
      <c r="B32" s="63"/>
      <c r="C32" s="64">
        <v>56247</v>
      </c>
      <c r="D32" s="65">
        <v>42.892857142857146</v>
      </c>
      <c r="E32" s="65">
        <v>0.81209307142857123</v>
      </c>
      <c r="F32" s="65">
        <v>55.857142857142854</v>
      </c>
      <c r="G32" s="65">
        <v>109.60991785714286</v>
      </c>
      <c r="H32" s="65">
        <v>69.035714285714292</v>
      </c>
      <c r="I32" s="65">
        <v>96.130575000000007</v>
      </c>
      <c r="J32" s="65">
        <v>150.32142857142858</v>
      </c>
      <c r="K32" s="66">
        <v>67.47407142857142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L34"/>
  <sheetViews>
    <sheetView workbookViewId="0"/>
  </sheetViews>
  <sheetFormatPr defaultColWidth="14.44140625" defaultRowHeight="15.75" customHeight="1" x14ac:dyDescent="0.4"/>
  <cols>
    <col min="1" max="1" width="16" customWidth="1"/>
    <col min="2" max="2" width="5.109375" customWidth="1"/>
    <col min="3" max="3" width="5.27734375" customWidth="1"/>
    <col min="4" max="4" width="11.109375" customWidth="1"/>
    <col min="5" max="5" width="6.71875" customWidth="1"/>
    <col min="6" max="6" width="10.71875" customWidth="1"/>
    <col min="7" max="7" width="6.44140625" customWidth="1"/>
    <col min="8" max="8" width="10.5546875" customWidth="1"/>
    <col min="9" max="9" width="6.27734375" customWidth="1"/>
    <col min="10" max="10" width="13.83203125" customWidth="1"/>
    <col min="11" max="11" width="9.44140625" customWidth="1"/>
    <col min="12" max="12" width="6.44140625" customWidth="1"/>
  </cols>
  <sheetData>
    <row r="1" spans="1:12" ht="15.75" customHeight="1" x14ac:dyDescent="0.4">
      <c r="A1" s="1" t="s">
        <v>406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customHeight="1" x14ac:dyDescent="0.4">
      <c r="A2" s="2" t="s">
        <v>407</v>
      </c>
      <c r="B2" s="2" t="s">
        <v>2</v>
      </c>
      <c r="C2" s="2" t="s">
        <v>390</v>
      </c>
      <c r="D2" s="2" t="s">
        <v>3</v>
      </c>
      <c r="E2" s="2" t="s">
        <v>16</v>
      </c>
      <c r="F2" s="2" t="s">
        <v>11</v>
      </c>
      <c r="G2" s="2" t="s">
        <v>10</v>
      </c>
      <c r="H2" s="2" t="s">
        <v>15</v>
      </c>
      <c r="I2" s="2" t="s">
        <v>14</v>
      </c>
      <c r="J2" s="2" t="s">
        <v>7</v>
      </c>
      <c r="K2" s="2" t="s">
        <v>6</v>
      </c>
      <c r="L2" s="2" t="s">
        <v>391</v>
      </c>
    </row>
    <row r="3" spans="1:12" ht="15.75" customHeight="1" x14ac:dyDescent="0.4">
      <c r="A3" t="s">
        <v>43</v>
      </c>
      <c r="B3">
        <v>2009</v>
      </c>
      <c r="C3">
        <v>12</v>
      </c>
      <c r="D3">
        <v>38</v>
      </c>
      <c r="E3" s="16">
        <v>0.82972999999999997</v>
      </c>
      <c r="F3">
        <v>7</v>
      </c>
      <c r="G3" s="14">
        <v>116.26260000000001</v>
      </c>
      <c r="H3">
        <v>165</v>
      </c>
      <c r="I3" s="14">
        <v>101.3051</v>
      </c>
      <c r="J3">
        <v>208</v>
      </c>
      <c r="K3" s="14">
        <v>65.537499999999994</v>
      </c>
      <c r="L3" s="14">
        <f t="shared" ref="L3:L30" si="0">G3-I3</f>
        <v>14.95750000000001</v>
      </c>
    </row>
    <row r="4" spans="1:12" ht="15.75" customHeight="1" x14ac:dyDescent="0.4">
      <c r="A4" t="s">
        <v>245</v>
      </c>
      <c r="B4">
        <v>2006</v>
      </c>
      <c r="C4">
        <v>13</v>
      </c>
      <c r="D4">
        <v>23</v>
      </c>
      <c r="E4" s="16">
        <v>0.849194</v>
      </c>
      <c r="F4">
        <v>105</v>
      </c>
      <c r="G4" s="14">
        <v>104.9757</v>
      </c>
      <c r="H4">
        <v>7</v>
      </c>
      <c r="I4" s="14">
        <v>90.327600000000004</v>
      </c>
      <c r="J4">
        <v>39</v>
      </c>
      <c r="K4" s="14">
        <v>71.121399999999994</v>
      </c>
      <c r="L4" s="14">
        <f t="shared" si="0"/>
        <v>14.648099999999999</v>
      </c>
    </row>
    <row r="5" spans="1:12" ht="15.75" customHeight="1" x14ac:dyDescent="0.4">
      <c r="A5" t="s">
        <v>18</v>
      </c>
      <c r="B5">
        <v>2003</v>
      </c>
      <c r="C5">
        <v>12</v>
      </c>
      <c r="D5">
        <v>42</v>
      </c>
      <c r="E5" s="16">
        <v>0.80610899999999996</v>
      </c>
      <c r="F5">
        <v>13</v>
      </c>
      <c r="G5" s="14">
        <v>113.1309</v>
      </c>
      <c r="H5">
        <v>135</v>
      </c>
      <c r="I5" s="14">
        <v>99.946899999999999</v>
      </c>
      <c r="J5">
        <v>325</v>
      </c>
      <c r="K5" s="14">
        <v>59.948099999999997</v>
      </c>
      <c r="L5" s="14">
        <f t="shared" si="0"/>
        <v>13.183999999999997</v>
      </c>
    </row>
    <row r="6" spans="1:12" ht="15.75" customHeight="1" x14ac:dyDescent="0.4">
      <c r="A6" t="s">
        <v>333</v>
      </c>
      <c r="B6">
        <v>2010</v>
      </c>
      <c r="C6">
        <v>12</v>
      </c>
      <c r="D6">
        <v>60</v>
      </c>
      <c r="E6" s="16">
        <v>0.78253099999999998</v>
      </c>
      <c r="F6">
        <v>16</v>
      </c>
      <c r="G6" s="14">
        <v>114.0527</v>
      </c>
      <c r="H6">
        <v>178</v>
      </c>
      <c r="I6" s="14">
        <v>102.03489999999999</v>
      </c>
      <c r="J6">
        <v>240</v>
      </c>
      <c r="K6" s="14">
        <v>65.781700000000001</v>
      </c>
      <c r="L6" s="14">
        <f t="shared" si="0"/>
        <v>12.017800000000008</v>
      </c>
    </row>
    <row r="7" spans="1:12" ht="15.75" customHeight="1" x14ac:dyDescent="0.4">
      <c r="A7" t="s">
        <v>134</v>
      </c>
      <c r="B7">
        <v>2008</v>
      </c>
      <c r="C7">
        <v>10</v>
      </c>
      <c r="D7">
        <v>13</v>
      </c>
      <c r="E7" s="16">
        <v>0.90645299999999995</v>
      </c>
      <c r="F7">
        <v>23</v>
      </c>
      <c r="G7" s="14">
        <v>112.67610000000001</v>
      </c>
      <c r="H7">
        <v>19</v>
      </c>
      <c r="I7" s="14">
        <v>92.483599999999996</v>
      </c>
      <c r="J7">
        <v>116</v>
      </c>
      <c r="K7" s="14">
        <v>68.271500000000003</v>
      </c>
      <c r="L7" s="14">
        <f t="shared" si="0"/>
        <v>20.19250000000001</v>
      </c>
    </row>
    <row r="8" spans="1:12" ht="15.75" customHeight="1" x14ac:dyDescent="0.4">
      <c r="A8" t="s">
        <v>64</v>
      </c>
      <c r="B8">
        <v>2014</v>
      </c>
      <c r="C8">
        <v>11</v>
      </c>
      <c r="D8">
        <v>53</v>
      </c>
      <c r="E8" s="16">
        <v>0.78345799999999999</v>
      </c>
      <c r="F8">
        <v>30</v>
      </c>
      <c r="G8" s="14">
        <v>113.3938</v>
      </c>
      <c r="H8">
        <v>101</v>
      </c>
      <c r="I8" s="14">
        <v>101.3973</v>
      </c>
      <c r="J8">
        <v>236</v>
      </c>
      <c r="K8" s="14">
        <v>65.236699999999999</v>
      </c>
      <c r="L8" s="14">
        <f t="shared" si="0"/>
        <v>11.996499999999997</v>
      </c>
    </row>
    <row r="9" spans="1:12" ht="15.75" customHeight="1" x14ac:dyDescent="0.4">
      <c r="A9" t="s">
        <v>369</v>
      </c>
      <c r="B9">
        <v>2013</v>
      </c>
      <c r="C9">
        <v>15</v>
      </c>
      <c r="D9">
        <v>131</v>
      </c>
      <c r="E9" s="16">
        <v>0.57450400000000001</v>
      </c>
      <c r="F9">
        <v>145</v>
      </c>
      <c r="G9" s="14">
        <v>102.1036</v>
      </c>
      <c r="H9">
        <v>137</v>
      </c>
      <c r="I9" s="14">
        <v>99.472300000000004</v>
      </c>
      <c r="J9">
        <v>54</v>
      </c>
      <c r="K9" s="14">
        <v>68.687100000000001</v>
      </c>
      <c r="L9" s="17">
        <f t="shared" si="0"/>
        <v>2.631299999999996</v>
      </c>
    </row>
    <row r="10" spans="1:12" ht="15.75" customHeight="1" x14ac:dyDescent="0.4">
      <c r="A10" t="s">
        <v>20</v>
      </c>
      <c r="B10">
        <v>2011</v>
      </c>
      <c r="C10">
        <v>10</v>
      </c>
      <c r="D10">
        <v>42</v>
      </c>
      <c r="E10" s="16">
        <v>0.81841600000000003</v>
      </c>
      <c r="F10">
        <v>183</v>
      </c>
      <c r="G10" s="14">
        <v>100.986</v>
      </c>
      <c r="H10">
        <v>2</v>
      </c>
      <c r="I10" s="14">
        <v>88.593199999999996</v>
      </c>
      <c r="J10">
        <v>57</v>
      </c>
      <c r="K10" s="14">
        <v>69.047399999999996</v>
      </c>
      <c r="L10" s="14">
        <f t="shared" si="0"/>
        <v>12.392800000000008</v>
      </c>
    </row>
    <row r="11" spans="1:12" ht="15.75" customHeight="1" x14ac:dyDescent="0.4">
      <c r="A11" t="s">
        <v>147</v>
      </c>
      <c r="B11">
        <v>2006</v>
      </c>
      <c r="C11">
        <v>11</v>
      </c>
      <c r="D11">
        <v>22</v>
      </c>
      <c r="E11" s="16">
        <v>0.84944200000000003</v>
      </c>
      <c r="F11">
        <v>78</v>
      </c>
      <c r="G11" s="14">
        <v>106.43989999999999</v>
      </c>
      <c r="H11">
        <v>12</v>
      </c>
      <c r="I11" s="14">
        <v>91.572000000000003</v>
      </c>
      <c r="J11">
        <v>276</v>
      </c>
      <c r="K11" s="14">
        <v>64.037499999999994</v>
      </c>
      <c r="L11" s="14">
        <f t="shared" si="0"/>
        <v>14.867899999999992</v>
      </c>
    </row>
    <row r="12" spans="1:12" ht="15.75" customHeight="1" x14ac:dyDescent="0.4">
      <c r="A12" t="s">
        <v>53</v>
      </c>
      <c r="B12">
        <v>2002</v>
      </c>
      <c r="C12">
        <v>10</v>
      </c>
      <c r="D12">
        <v>24</v>
      </c>
      <c r="E12" s="16">
        <v>0.87199800000000005</v>
      </c>
      <c r="F12">
        <v>14</v>
      </c>
      <c r="G12" s="14">
        <v>113.6686</v>
      </c>
      <c r="H12">
        <v>60</v>
      </c>
      <c r="I12" s="14">
        <v>96.200999999999993</v>
      </c>
      <c r="J12">
        <v>279</v>
      </c>
      <c r="K12" s="14">
        <v>66.165800000000004</v>
      </c>
      <c r="L12" s="14">
        <f t="shared" si="0"/>
        <v>17.467600000000004</v>
      </c>
    </row>
    <row r="13" spans="1:12" ht="15.75" customHeight="1" x14ac:dyDescent="0.4">
      <c r="A13" t="s">
        <v>169</v>
      </c>
      <c r="B13">
        <v>2013</v>
      </c>
      <c r="C13">
        <v>13</v>
      </c>
      <c r="D13">
        <v>57</v>
      </c>
      <c r="E13" s="16">
        <v>0.78383800000000003</v>
      </c>
      <c r="F13">
        <v>52</v>
      </c>
      <c r="G13" s="14">
        <v>107.9554</v>
      </c>
      <c r="H13">
        <v>86</v>
      </c>
      <c r="I13" s="14">
        <v>96.515500000000003</v>
      </c>
      <c r="J13">
        <v>141</v>
      </c>
      <c r="K13" s="14">
        <v>66.489199999999997</v>
      </c>
      <c r="L13" s="14">
        <f t="shared" si="0"/>
        <v>11.439899999999994</v>
      </c>
    </row>
    <row r="14" spans="1:12" ht="15.75" customHeight="1" x14ac:dyDescent="0.4">
      <c r="A14" t="s">
        <v>39</v>
      </c>
      <c r="B14">
        <v>2011</v>
      </c>
      <c r="C14">
        <v>11</v>
      </c>
      <c r="D14">
        <v>29</v>
      </c>
      <c r="E14" s="16">
        <v>0.85072099999999995</v>
      </c>
      <c r="F14">
        <v>16</v>
      </c>
      <c r="G14" s="14">
        <v>113.99460000000001</v>
      </c>
      <c r="H14">
        <v>86</v>
      </c>
      <c r="I14" s="14">
        <v>97.985799999999998</v>
      </c>
      <c r="J14">
        <v>114</v>
      </c>
      <c r="K14" s="14">
        <v>67.697999999999993</v>
      </c>
      <c r="L14" s="14">
        <f t="shared" si="0"/>
        <v>16.008800000000008</v>
      </c>
    </row>
    <row r="15" spans="1:12" ht="15.75" customHeight="1" x14ac:dyDescent="0.4">
      <c r="A15" t="s">
        <v>122</v>
      </c>
      <c r="B15">
        <v>2005</v>
      </c>
      <c r="C15">
        <v>12</v>
      </c>
      <c r="D15">
        <v>44</v>
      </c>
      <c r="E15" s="16">
        <v>0.78469500000000003</v>
      </c>
      <c r="F15">
        <v>80</v>
      </c>
      <c r="G15" s="14">
        <v>106.187</v>
      </c>
      <c r="H15">
        <v>39</v>
      </c>
      <c r="I15" s="14">
        <v>94.892600000000002</v>
      </c>
      <c r="J15">
        <v>49</v>
      </c>
      <c r="K15" s="14">
        <v>70.499099999999999</v>
      </c>
      <c r="L15" s="14">
        <f t="shared" si="0"/>
        <v>11.294399999999996</v>
      </c>
    </row>
    <row r="16" spans="1:12" ht="15.75" customHeight="1" x14ac:dyDescent="0.4">
      <c r="A16" t="s">
        <v>73</v>
      </c>
      <c r="B16">
        <v>2002</v>
      </c>
      <c r="C16">
        <v>12</v>
      </c>
      <c r="D16">
        <v>45</v>
      </c>
      <c r="E16" s="16">
        <v>0.808674</v>
      </c>
      <c r="F16">
        <v>19</v>
      </c>
      <c r="G16" s="14">
        <v>112.3241</v>
      </c>
      <c r="H16">
        <v>115</v>
      </c>
      <c r="I16" s="14">
        <v>99.091899999999995</v>
      </c>
      <c r="J16">
        <v>127</v>
      </c>
      <c r="K16" s="14">
        <v>70.588899999999995</v>
      </c>
      <c r="L16" s="14">
        <f t="shared" si="0"/>
        <v>13.232200000000006</v>
      </c>
    </row>
    <row r="17" spans="1:12" ht="15.75" customHeight="1" x14ac:dyDescent="0.4">
      <c r="A17" t="s">
        <v>145</v>
      </c>
      <c r="B17">
        <v>2004</v>
      </c>
      <c r="C17">
        <v>10</v>
      </c>
      <c r="D17">
        <v>21</v>
      </c>
      <c r="E17" s="16">
        <v>0.87383100000000002</v>
      </c>
      <c r="F17">
        <v>44</v>
      </c>
      <c r="G17" s="14">
        <v>109.3536</v>
      </c>
      <c r="H17">
        <v>17</v>
      </c>
      <c r="I17" s="14">
        <v>92.416200000000003</v>
      </c>
      <c r="J17">
        <v>76</v>
      </c>
      <c r="K17" s="14">
        <v>70.038600000000002</v>
      </c>
      <c r="L17" s="14">
        <f t="shared" si="0"/>
        <v>16.937399999999997</v>
      </c>
    </row>
    <row r="18" spans="1:12" ht="15.75" customHeight="1" x14ac:dyDescent="0.4">
      <c r="A18" t="s">
        <v>55</v>
      </c>
      <c r="B18">
        <v>2005</v>
      </c>
      <c r="C18">
        <v>10</v>
      </c>
      <c r="D18">
        <v>23</v>
      </c>
      <c r="E18" s="16">
        <v>0.87021099999999996</v>
      </c>
      <c r="F18">
        <v>15</v>
      </c>
      <c r="G18" s="14">
        <v>114.1657</v>
      </c>
      <c r="H18">
        <v>66</v>
      </c>
      <c r="I18" s="14">
        <v>96.755600000000001</v>
      </c>
      <c r="J18">
        <v>295</v>
      </c>
      <c r="K18" s="14">
        <v>63.6252</v>
      </c>
      <c r="L18" s="14">
        <f t="shared" si="0"/>
        <v>17.4101</v>
      </c>
    </row>
    <row r="19" spans="1:12" ht="15.75" customHeight="1" x14ac:dyDescent="0.4">
      <c r="A19" t="s">
        <v>55</v>
      </c>
      <c r="B19">
        <v>2012</v>
      </c>
      <c r="C19">
        <v>11</v>
      </c>
      <c r="D19">
        <v>49</v>
      </c>
      <c r="E19" s="16">
        <v>0.78451000000000004</v>
      </c>
      <c r="F19">
        <v>31</v>
      </c>
      <c r="G19" s="14">
        <v>109.67570000000001</v>
      </c>
      <c r="H19">
        <v>106</v>
      </c>
      <c r="I19" s="14">
        <v>98.019599999999997</v>
      </c>
      <c r="J19">
        <v>80</v>
      </c>
      <c r="K19" s="14">
        <v>68.107799999999997</v>
      </c>
      <c r="L19" s="14">
        <f t="shared" si="0"/>
        <v>11.656100000000009</v>
      </c>
    </row>
    <row r="20" spans="1:12" ht="15.75" customHeight="1" x14ac:dyDescent="0.4">
      <c r="A20" t="s">
        <v>151</v>
      </c>
      <c r="B20">
        <v>2012</v>
      </c>
      <c r="C20">
        <v>13</v>
      </c>
      <c r="D20">
        <v>58</v>
      </c>
      <c r="E20" s="16">
        <v>0.76153099999999996</v>
      </c>
      <c r="F20">
        <v>106</v>
      </c>
      <c r="G20" s="14">
        <v>104.4235</v>
      </c>
      <c r="H20">
        <v>43</v>
      </c>
      <c r="I20" s="14">
        <v>94.395200000000003</v>
      </c>
      <c r="J20">
        <v>115</v>
      </c>
      <c r="K20" s="14">
        <v>67.1738</v>
      </c>
      <c r="L20" s="14">
        <f t="shared" si="0"/>
        <v>10.028300000000002</v>
      </c>
    </row>
    <row r="21" spans="1:12" ht="15.75" customHeight="1" x14ac:dyDescent="0.4">
      <c r="A21" t="s">
        <v>41</v>
      </c>
      <c r="B21">
        <v>2013</v>
      </c>
      <c r="C21">
        <v>12</v>
      </c>
      <c r="D21">
        <v>44</v>
      </c>
      <c r="E21" s="16">
        <v>0.81884199999999996</v>
      </c>
      <c r="F21">
        <v>132</v>
      </c>
      <c r="G21" s="14">
        <v>102.9085</v>
      </c>
      <c r="H21">
        <v>15</v>
      </c>
      <c r="I21" s="14">
        <v>90.257300000000001</v>
      </c>
      <c r="J21">
        <v>46</v>
      </c>
      <c r="K21" s="14">
        <v>68.899900000000002</v>
      </c>
      <c r="L21" s="14">
        <f t="shared" si="0"/>
        <v>12.651200000000003</v>
      </c>
    </row>
    <row r="22" spans="1:12" ht="15.75" customHeight="1" x14ac:dyDescent="0.4">
      <c r="A22" t="s">
        <v>100</v>
      </c>
      <c r="B22">
        <v>2011</v>
      </c>
      <c r="C22">
        <v>12</v>
      </c>
      <c r="D22">
        <v>35</v>
      </c>
      <c r="E22" s="16">
        <v>0.83161799999999997</v>
      </c>
      <c r="F22">
        <v>44</v>
      </c>
      <c r="G22" s="14">
        <v>109.8189</v>
      </c>
      <c r="H22">
        <v>50</v>
      </c>
      <c r="I22" s="14">
        <v>95.578800000000001</v>
      </c>
      <c r="J22">
        <v>300</v>
      </c>
      <c r="K22" s="14">
        <v>63.799900000000001</v>
      </c>
      <c r="L22" s="14">
        <f t="shared" si="0"/>
        <v>14.240099999999998</v>
      </c>
    </row>
    <row r="23" spans="1:12" ht="15.75" customHeight="1" x14ac:dyDescent="0.4">
      <c r="A23" t="s">
        <v>262</v>
      </c>
      <c r="B23">
        <v>2010</v>
      </c>
      <c r="C23">
        <v>10</v>
      </c>
      <c r="D23">
        <v>29</v>
      </c>
      <c r="E23" s="16">
        <v>0.86377999999999999</v>
      </c>
      <c r="F23">
        <v>14</v>
      </c>
      <c r="G23" s="14">
        <v>114.38039999999999</v>
      </c>
      <c r="H23">
        <v>85</v>
      </c>
      <c r="I23" s="14">
        <v>97.408799999999999</v>
      </c>
      <c r="J23">
        <v>135</v>
      </c>
      <c r="K23" s="14">
        <v>67.988299999999995</v>
      </c>
      <c r="L23" s="14">
        <f t="shared" si="0"/>
        <v>16.971599999999995</v>
      </c>
    </row>
    <row r="24" spans="1:12" ht="15.75" customHeight="1" x14ac:dyDescent="0.4">
      <c r="A24" t="s">
        <v>82</v>
      </c>
      <c r="B24">
        <v>2002</v>
      </c>
      <c r="C24">
        <v>11</v>
      </c>
      <c r="D24">
        <v>54</v>
      </c>
      <c r="E24" s="16">
        <v>0.77590000000000003</v>
      </c>
      <c r="F24">
        <v>86</v>
      </c>
      <c r="G24" s="14">
        <v>105.45699999999999</v>
      </c>
      <c r="H24">
        <v>38</v>
      </c>
      <c r="I24" s="14">
        <v>94.661600000000007</v>
      </c>
      <c r="J24">
        <v>50</v>
      </c>
      <c r="K24" s="14">
        <v>73.073499999999996</v>
      </c>
      <c r="L24" s="14">
        <f t="shared" si="0"/>
        <v>10.795399999999987</v>
      </c>
    </row>
    <row r="25" spans="1:12" ht="15.75" customHeight="1" x14ac:dyDescent="0.4">
      <c r="A25" t="s">
        <v>52</v>
      </c>
      <c r="B25">
        <v>2014</v>
      </c>
      <c r="C25">
        <v>10</v>
      </c>
      <c r="D25">
        <v>37</v>
      </c>
      <c r="E25" s="16">
        <v>0.81813899999999995</v>
      </c>
      <c r="F25">
        <v>39</v>
      </c>
      <c r="G25" s="14">
        <v>112.48099999999999</v>
      </c>
      <c r="H25">
        <v>60</v>
      </c>
      <c r="I25" s="14">
        <v>98.693600000000004</v>
      </c>
      <c r="J25">
        <v>167</v>
      </c>
      <c r="K25" s="14">
        <v>66.475999999999999</v>
      </c>
      <c r="L25" s="14">
        <f t="shared" si="0"/>
        <v>13.787399999999991</v>
      </c>
    </row>
    <row r="26" spans="1:12" ht="15.75" customHeight="1" x14ac:dyDescent="0.4">
      <c r="A26" t="s">
        <v>81</v>
      </c>
      <c r="B26">
        <v>2014</v>
      </c>
      <c r="C26">
        <v>11</v>
      </c>
      <c r="D26">
        <v>13</v>
      </c>
      <c r="E26" s="16">
        <v>0.89680000000000004</v>
      </c>
      <c r="F26">
        <v>29</v>
      </c>
      <c r="G26" s="14">
        <v>113.5177</v>
      </c>
      <c r="H26">
        <v>16</v>
      </c>
      <c r="I26" s="14">
        <v>94.061199999999999</v>
      </c>
      <c r="J26">
        <v>312</v>
      </c>
      <c r="K26" s="14">
        <v>63.313400000000001</v>
      </c>
      <c r="L26" s="14">
        <f t="shared" si="0"/>
        <v>19.456500000000005</v>
      </c>
    </row>
    <row r="27" spans="1:12" ht="15.75" customHeight="1" x14ac:dyDescent="0.4">
      <c r="A27" t="s">
        <v>137</v>
      </c>
      <c r="B27">
        <v>2011</v>
      </c>
      <c r="C27">
        <v>11</v>
      </c>
      <c r="D27">
        <v>78</v>
      </c>
      <c r="E27" s="16">
        <v>0.70762899999999995</v>
      </c>
      <c r="F27">
        <v>53</v>
      </c>
      <c r="G27" s="14">
        <v>109.1301</v>
      </c>
      <c r="H27">
        <v>145</v>
      </c>
      <c r="I27" s="14">
        <v>101.0565</v>
      </c>
      <c r="J27">
        <v>177</v>
      </c>
      <c r="K27" s="14">
        <v>66.498699999999999</v>
      </c>
      <c r="L27" s="17">
        <f t="shared" si="0"/>
        <v>8.073599999999999</v>
      </c>
    </row>
    <row r="28" spans="1:12" ht="15.75" customHeight="1" x14ac:dyDescent="0.4">
      <c r="A28" t="s">
        <v>78</v>
      </c>
      <c r="B28">
        <v>2008</v>
      </c>
      <c r="C28">
        <v>12</v>
      </c>
      <c r="D28">
        <v>54</v>
      </c>
      <c r="E28" s="16">
        <v>0.78155399999999997</v>
      </c>
      <c r="F28">
        <v>91</v>
      </c>
      <c r="G28" s="14">
        <v>106.6808</v>
      </c>
      <c r="H28">
        <v>44</v>
      </c>
      <c r="I28" s="14">
        <v>95.487399999999994</v>
      </c>
      <c r="J28">
        <v>90</v>
      </c>
      <c r="K28" s="14">
        <v>69.017200000000003</v>
      </c>
      <c r="L28" s="14">
        <f t="shared" si="0"/>
        <v>11.193400000000011</v>
      </c>
    </row>
    <row r="29" spans="1:12" ht="12.3" x14ac:dyDescent="0.4">
      <c r="A29" t="s">
        <v>131</v>
      </c>
      <c r="B29">
        <v>2010</v>
      </c>
      <c r="C29">
        <v>11</v>
      </c>
      <c r="D29">
        <v>44</v>
      </c>
      <c r="E29" s="16">
        <v>0.83450599999999997</v>
      </c>
      <c r="F29">
        <v>45</v>
      </c>
      <c r="G29" s="14">
        <v>109.5266</v>
      </c>
      <c r="H29">
        <v>55</v>
      </c>
      <c r="I29" s="14">
        <v>95.1524</v>
      </c>
      <c r="J29">
        <v>10</v>
      </c>
      <c r="K29" s="14">
        <v>73.210300000000004</v>
      </c>
      <c r="L29" s="14">
        <f t="shared" si="0"/>
        <v>14.374200000000002</v>
      </c>
    </row>
    <row r="30" spans="1:12" ht="12.3" x14ac:dyDescent="0.4">
      <c r="A30" t="s">
        <v>68</v>
      </c>
      <c r="B30">
        <v>2008</v>
      </c>
      <c r="C30">
        <v>12</v>
      </c>
      <c r="D30">
        <v>39</v>
      </c>
      <c r="E30" s="16">
        <v>0.81999200000000005</v>
      </c>
      <c r="F30">
        <v>54</v>
      </c>
      <c r="G30" s="14">
        <v>109.4072</v>
      </c>
      <c r="H30">
        <v>51</v>
      </c>
      <c r="I30" s="14">
        <v>95.892200000000003</v>
      </c>
      <c r="J30">
        <v>95</v>
      </c>
      <c r="K30" s="14">
        <v>68.941500000000005</v>
      </c>
      <c r="L30" s="14">
        <f t="shared" si="0"/>
        <v>13.515000000000001</v>
      </c>
    </row>
    <row r="31" spans="1:12" ht="12.3" x14ac:dyDescent="0.4">
      <c r="A31" s="18" t="s">
        <v>408</v>
      </c>
      <c r="B31" s="18"/>
      <c r="C31" s="18">
        <f t="shared" ref="C31:L31" si="1">MIN(C3:C30)</f>
        <v>10</v>
      </c>
      <c r="D31" s="18">
        <f t="shared" si="1"/>
        <v>13</v>
      </c>
      <c r="E31" s="19">
        <f t="shared" si="1"/>
        <v>0.57450400000000001</v>
      </c>
      <c r="F31" s="18">
        <f t="shared" si="1"/>
        <v>7</v>
      </c>
      <c r="G31" s="20">
        <f t="shared" si="1"/>
        <v>100.986</v>
      </c>
      <c r="H31" s="18">
        <f t="shared" si="1"/>
        <v>2</v>
      </c>
      <c r="I31" s="20">
        <f t="shared" si="1"/>
        <v>88.593199999999996</v>
      </c>
      <c r="J31" s="18">
        <f t="shared" si="1"/>
        <v>10</v>
      </c>
      <c r="K31" s="20">
        <f t="shared" si="1"/>
        <v>59.948099999999997</v>
      </c>
      <c r="L31" s="20">
        <f t="shared" si="1"/>
        <v>2.631299999999996</v>
      </c>
    </row>
    <row r="32" spans="1:12" ht="12.3" x14ac:dyDescent="0.4">
      <c r="A32" s="2" t="s">
        <v>409</v>
      </c>
      <c r="B32" s="2"/>
      <c r="C32" s="2">
        <f t="shared" ref="C32:L32" si="2">MAX(C3:C30)</f>
        <v>15</v>
      </c>
      <c r="D32" s="2">
        <f t="shared" si="2"/>
        <v>131</v>
      </c>
      <c r="E32" s="21">
        <f t="shared" si="2"/>
        <v>0.90645299999999995</v>
      </c>
      <c r="F32" s="2">
        <f t="shared" si="2"/>
        <v>183</v>
      </c>
      <c r="G32" s="10">
        <f t="shared" si="2"/>
        <v>116.26260000000001</v>
      </c>
      <c r="H32" s="2">
        <f t="shared" si="2"/>
        <v>178</v>
      </c>
      <c r="I32" s="10">
        <f t="shared" si="2"/>
        <v>102.03489999999999</v>
      </c>
      <c r="J32" s="2">
        <f t="shared" si="2"/>
        <v>325</v>
      </c>
      <c r="K32" s="10">
        <f t="shared" si="2"/>
        <v>73.210300000000004</v>
      </c>
      <c r="L32" s="10">
        <f t="shared" si="2"/>
        <v>20.19250000000001</v>
      </c>
    </row>
    <row r="33" spans="1:12" ht="12.3" x14ac:dyDescent="0.4">
      <c r="A33" s="1" t="s">
        <v>410</v>
      </c>
      <c r="B33" s="22"/>
      <c r="C33" s="23">
        <f t="shared" ref="C33:L33" si="3">AVERAGE(C3:C30)</f>
        <v>11.428571428571429</v>
      </c>
      <c r="D33" s="23">
        <f t="shared" si="3"/>
        <v>42.892857142857146</v>
      </c>
      <c r="E33" s="24">
        <f t="shared" si="3"/>
        <v>0.81209307142857123</v>
      </c>
      <c r="F33" s="23">
        <f t="shared" si="3"/>
        <v>55.857142857142854</v>
      </c>
      <c r="G33" s="23">
        <f t="shared" si="3"/>
        <v>109.60991785714286</v>
      </c>
      <c r="H33" s="23">
        <f t="shared" si="3"/>
        <v>69.035714285714292</v>
      </c>
      <c r="I33" s="23">
        <f t="shared" si="3"/>
        <v>96.130575000000007</v>
      </c>
      <c r="J33" s="23">
        <f t="shared" si="3"/>
        <v>150.32142857142858</v>
      </c>
      <c r="K33" s="23">
        <f t="shared" si="3"/>
        <v>67.47407142857142</v>
      </c>
      <c r="L33" s="17">
        <f t="shared" si="3"/>
        <v>13.479342857142854</v>
      </c>
    </row>
    <row r="34" spans="1:12" ht="12.3" x14ac:dyDescent="0.4">
      <c r="A34" s="2" t="s">
        <v>411</v>
      </c>
      <c r="C34">
        <f t="shared" ref="C34:L34" si="4">MEDIAN(C3:C30)</f>
        <v>11</v>
      </c>
      <c r="D34">
        <f t="shared" si="4"/>
        <v>42</v>
      </c>
      <c r="E34" s="16">
        <f t="shared" si="4"/>
        <v>0.81862900000000005</v>
      </c>
      <c r="F34">
        <f t="shared" si="4"/>
        <v>44</v>
      </c>
      <c r="G34" s="14">
        <f t="shared" si="4"/>
        <v>109.60115</v>
      </c>
      <c r="H34">
        <f t="shared" si="4"/>
        <v>57.5</v>
      </c>
      <c r="I34" s="14">
        <f t="shared" si="4"/>
        <v>96.046599999999998</v>
      </c>
      <c r="J34">
        <f t="shared" si="4"/>
        <v>121.5</v>
      </c>
      <c r="K34" s="14">
        <f t="shared" si="4"/>
        <v>67.843149999999994</v>
      </c>
      <c r="L34" s="14">
        <f t="shared" si="4"/>
        <v>13.373600000000003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J27"/>
  <sheetViews>
    <sheetView workbookViewId="0"/>
  </sheetViews>
  <sheetFormatPr defaultColWidth="14.44140625" defaultRowHeight="15.75" customHeight="1" x14ac:dyDescent="0.4"/>
  <cols>
    <col min="1" max="1" width="17.71875" customWidth="1"/>
    <col min="2" max="2" width="3" customWidth="1"/>
    <col min="3" max="3" width="7.71875" customWidth="1"/>
    <col min="4" max="4" width="11.109375" customWidth="1"/>
    <col min="5" max="5" width="9.44140625" customWidth="1"/>
    <col min="6" max="6" width="13.83203125" customWidth="1"/>
    <col min="7" max="7" width="8.71875" customWidth="1"/>
    <col min="8" max="8" width="8" customWidth="1"/>
    <col min="9" max="9" width="8.71875" customWidth="1"/>
    <col min="10" max="10" width="10.71875" customWidth="1"/>
    <col min="11" max="11" width="8.71875" customWidth="1"/>
    <col min="12" max="12" width="7.83203125" customWidth="1"/>
    <col min="13" max="13" width="8.71875" customWidth="1"/>
    <col min="14" max="14" width="10.5546875" customWidth="1"/>
    <col min="15" max="15" width="8.71875" customWidth="1"/>
    <col min="16" max="16" width="11.109375" customWidth="1"/>
    <col min="20" max="20" width="15.71875" customWidth="1"/>
    <col min="21" max="21" width="3" customWidth="1"/>
    <col min="22" max="22" width="7.71875" customWidth="1"/>
    <col min="23" max="23" width="11.109375" customWidth="1"/>
    <col min="24" max="24" width="9.44140625" customWidth="1"/>
    <col min="25" max="25" width="13.83203125" customWidth="1"/>
    <col min="26" max="26" width="8.71875" customWidth="1"/>
    <col min="27" max="27" width="8" customWidth="1"/>
    <col min="28" max="28" width="8.71875" customWidth="1"/>
    <col min="29" max="29" width="10.71875" customWidth="1"/>
    <col min="30" max="30" width="8.71875" customWidth="1"/>
    <col min="31" max="31" width="7.83203125" customWidth="1"/>
    <col min="32" max="32" width="8.71875" customWidth="1"/>
    <col min="33" max="33" width="10.5546875" customWidth="1"/>
    <col min="34" max="34" width="8.71875" customWidth="1"/>
    <col min="35" max="35" width="11.109375" customWidth="1"/>
    <col min="36" max="36" width="6.44140625" customWidth="1"/>
  </cols>
  <sheetData>
    <row r="1" spans="1:36" ht="15.75" customHeight="1" x14ac:dyDescent="0.4">
      <c r="A1" s="25" t="s">
        <v>1</v>
      </c>
      <c r="B1" s="25" t="s">
        <v>25</v>
      </c>
      <c r="C1" s="25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5" t="s">
        <v>14</v>
      </c>
      <c r="N1" s="25" t="s">
        <v>15</v>
      </c>
      <c r="O1" s="25" t="s">
        <v>16</v>
      </c>
      <c r="P1" s="25" t="s">
        <v>3</v>
      </c>
      <c r="Q1" s="2" t="s">
        <v>391</v>
      </c>
      <c r="S1" s="1" t="s">
        <v>412</v>
      </c>
    </row>
    <row r="2" spans="1:36" ht="15.75" customHeight="1" x14ac:dyDescent="0.4">
      <c r="A2" s="25" t="s">
        <v>67</v>
      </c>
      <c r="B2" s="25">
        <v>11</v>
      </c>
      <c r="C2" s="25">
        <v>63.084699999999998</v>
      </c>
      <c r="D2" s="25">
        <v>269</v>
      </c>
      <c r="E2" s="25">
        <v>62.279299999999999</v>
      </c>
      <c r="F2" s="25">
        <v>294</v>
      </c>
      <c r="G2" s="25">
        <v>106.4896</v>
      </c>
      <c r="H2" s="25">
        <v>77</v>
      </c>
      <c r="I2" s="25">
        <v>110.2882</v>
      </c>
      <c r="J2" s="25">
        <v>42</v>
      </c>
      <c r="K2" s="25">
        <v>94.586500000000001</v>
      </c>
      <c r="L2" s="25">
        <v>28</v>
      </c>
      <c r="M2" s="25">
        <v>93.307100000000005</v>
      </c>
      <c r="N2" s="25">
        <v>19</v>
      </c>
      <c r="O2" s="25">
        <v>0.87245200000000001</v>
      </c>
      <c r="P2" s="25">
        <v>20</v>
      </c>
      <c r="Q2" s="14">
        <f t="shared" ref="Q2:Q27" si="0">I2-M2</f>
        <v>16.981099999999998</v>
      </c>
      <c r="T2" s="26" t="s">
        <v>1</v>
      </c>
      <c r="U2" s="26" t="s">
        <v>25</v>
      </c>
      <c r="V2" s="26" t="s">
        <v>4</v>
      </c>
      <c r="W2" s="26" t="s">
        <v>5</v>
      </c>
      <c r="X2" s="26" t="s">
        <v>6</v>
      </c>
      <c r="Y2" s="26" t="s">
        <v>7</v>
      </c>
      <c r="Z2" s="26" t="s">
        <v>8</v>
      </c>
      <c r="AA2" s="26" t="s">
        <v>9</v>
      </c>
      <c r="AB2" s="26" t="s">
        <v>10</v>
      </c>
      <c r="AC2" s="26" t="s">
        <v>11</v>
      </c>
      <c r="AD2" s="26" t="s">
        <v>12</v>
      </c>
      <c r="AE2" s="26" t="s">
        <v>13</v>
      </c>
      <c r="AF2" s="26" t="s">
        <v>14</v>
      </c>
      <c r="AG2" s="26" t="s">
        <v>15</v>
      </c>
      <c r="AH2" s="26" t="s">
        <v>16</v>
      </c>
      <c r="AI2" s="26" t="s">
        <v>3</v>
      </c>
      <c r="AJ2" s="1" t="s">
        <v>391</v>
      </c>
    </row>
    <row r="3" spans="1:36" ht="15.75" customHeight="1" x14ac:dyDescent="0.4">
      <c r="A3" s="25" t="s">
        <v>21</v>
      </c>
      <c r="B3" s="25">
        <v>10</v>
      </c>
      <c r="C3" s="25">
        <v>66.177800000000005</v>
      </c>
      <c r="D3" s="25">
        <v>108</v>
      </c>
      <c r="E3" s="25">
        <v>66.353399999999993</v>
      </c>
      <c r="F3" s="25">
        <v>96</v>
      </c>
      <c r="G3" s="25">
        <v>113.80029999999999</v>
      </c>
      <c r="H3" s="25">
        <v>14</v>
      </c>
      <c r="I3" s="25">
        <v>111.6073</v>
      </c>
      <c r="J3" s="25">
        <v>29</v>
      </c>
      <c r="K3" s="25">
        <v>94.655000000000001</v>
      </c>
      <c r="L3" s="25">
        <v>31</v>
      </c>
      <c r="M3" s="25">
        <v>94.745500000000007</v>
      </c>
      <c r="N3" s="25">
        <v>40</v>
      </c>
      <c r="O3" s="25">
        <v>0.86802500000000005</v>
      </c>
      <c r="P3" s="25">
        <v>21</v>
      </c>
      <c r="Q3" s="14">
        <f t="shared" si="0"/>
        <v>16.861799999999988</v>
      </c>
      <c r="S3" s="27">
        <v>1</v>
      </c>
      <c r="T3" s="28" t="str">
        <f ca="1">IFERROR(__xludf.DUMMYFUNCTION("filter(A1:Q27,I1:I27&gt;='Cinderella clean'!G31,M1:M27&lt;='Cinderella clean'!I32,Q1:Q27&gt;='Cinderella clean'!L27)"),"Texas")</f>
        <v>Texas</v>
      </c>
      <c r="U3" s="28">
        <f ca="1">IFERROR(__xludf.DUMMYFUNCTION("""COMPUTED_VALUE"""),11)</f>
        <v>11</v>
      </c>
      <c r="V3" s="28">
        <f ca="1">IFERROR(__xludf.DUMMYFUNCTION("""COMPUTED_VALUE"""),63.0847)</f>
        <v>63.084699999999998</v>
      </c>
      <c r="W3" s="28">
        <f ca="1">IFERROR(__xludf.DUMMYFUNCTION("""COMPUTED_VALUE"""),269)</f>
        <v>269</v>
      </c>
      <c r="X3" s="28">
        <f ca="1">IFERROR(__xludf.DUMMYFUNCTION("""COMPUTED_VALUE"""),62.2793)</f>
        <v>62.279299999999999</v>
      </c>
      <c r="Y3" s="28">
        <f ca="1">IFERROR(__xludf.DUMMYFUNCTION("""COMPUTED_VALUE"""),294)</f>
        <v>294</v>
      </c>
      <c r="Z3" s="28">
        <f ca="1">IFERROR(__xludf.DUMMYFUNCTION("""COMPUTED_VALUE"""),106.4896)</f>
        <v>106.4896</v>
      </c>
      <c r="AA3" s="28">
        <f ca="1">IFERROR(__xludf.DUMMYFUNCTION("""COMPUTED_VALUE"""),77)</f>
        <v>77</v>
      </c>
      <c r="AB3" s="28">
        <f ca="1">IFERROR(__xludf.DUMMYFUNCTION("""COMPUTED_VALUE"""),110.2882)</f>
        <v>110.2882</v>
      </c>
      <c r="AC3" s="28">
        <f ca="1">IFERROR(__xludf.DUMMYFUNCTION("""COMPUTED_VALUE"""),42)</f>
        <v>42</v>
      </c>
      <c r="AD3" s="28">
        <f ca="1">IFERROR(__xludf.DUMMYFUNCTION("""COMPUTED_VALUE"""),94.5865)</f>
        <v>94.586500000000001</v>
      </c>
      <c r="AE3" s="28">
        <f ca="1">IFERROR(__xludf.DUMMYFUNCTION("""COMPUTED_VALUE"""),28)</f>
        <v>28</v>
      </c>
      <c r="AF3" s="28">
        <f ca="1">IFERROR(__xludf.DUMMYFUNCTION("""COMPUTED_VALUE"""),93.3071)</f>
        <v>93.307100000000005</v>
      </c>
      <c r="AG3" s="28">
        <f ca="1">IFERROR(__xludf.DUMMYFUNCTION("""COMPUTED_VALUE"""),19)</f>
        <v>19</v>
      </c>
      <c r="AH3" s="28">
        <f ca="1">IFERROR(__xludf.DUMMYFUNCTION("""COMPUTED_VALUE"""),0.872452)</f>
        <v>0.87245200000000001</v>
      </c>
      <c r="AI3" s="28">
        <f ca="1">IFERROR(__xludf.DUMMYFUNCTION("""COMPUTED_VALUE"""),20)</f>
        <v>20</v>
      </c>
      <c r="AJ3" s="29">
        <f ca="1">IFERROR(__xludf.DUMMYFUNCTION("""COMPUTED_VALUE"""),16.9810999999999)</f>
        <v>16.981099999999898</v>
      </c>
    </row>
    <row r="4" spans="1:36" ht="15.75" customHeight="1" x14ac:dyDescent="0.4">
      <c r="A4" s="25" t="s">
        <v>96</v>
      </c>
      <c r="B4" s="25">
        <v>11</v>
      </c>
      <c r="C4" s="25">
        <v>69.656400000000005</v>
      </c>
      <c r="D4" s="25">
        <v>14</v>
      </c>
      <c r="E4" s="25">
        <v>70.376199999999997</v>
      </c>
      <c r="F4" s="25">
        <v>6</v>
      </c>
      <c r="G4" s="25">
        <v>116.02849999999999</v>
      </c>
      <c r="H4" s="25">
        <v>7</v>
      </c>
      <c r="I4" s="25">
        <v>116.7226</v>
      </c>
      <c r="J4" s="25">
        <v>9</v>
      </c>
      <c r="K4" s="25">
        <v>102.9773</v>
      </c>
      <c r="L4" s="25">
        <v>187</v>
      </c>
      <c r="M4" s="25">
        <v>101.07859999999999</v>
      </c>
      <c r="N4" s="25">
        <v>139</v>
      </c>
      <c r="O4" s="25">
        <v>0.83954799999999996</v>
      </c>
      <c r="P4" s="25">
        <v>31</v>
      </c>
      <c r="Q4" s="14">
        <f t="shared" si="0"/>
        <v>15.644000000000005</v>
      </c>
      <c r="S4">
        <f t="shared" ref="S4:S14" si="1">S3+1</f>
        <v>2</v>
      </c>
      <c r="T4" t="str">
        <f ca="1">IFERROR(__xludf.DUMMYFUNCTION("""COMPUTED_VALUE"""),"Ohio St.")</f>
        <v>Ohio St.</v>
      </c>
      <c r="U4">
        <f ca="1">IFERROR(__xludf.DUMMYFUNCTION("""COMPUTED_VALUE"""),10)</f>
        <v>10</v>
      </c>
      <c r="V4">
        <f ca="1">IFERROR(__xludf.DUMMYFUNCTION("""COMPUTED_VALUE"""),66.1778)</f>
        <v>66.177800000000005</v>
      </c>
      <c r="W4">
        <f ca="1">IFERROR(__xludf.DUMMYFUNCTION("""COMPUTED_VALUE"""),108)</f>
        <v>108</v>
      </c>
      <c r="X4">
        <f ca="1">IFERROR(__xludf.DUMMYFUNCTION("""COMPUTED_VALUE"""),66.3534)</f>
        <v>66.353399999999993</v>
      </c>
      <c r="Y4">
        <f ca="1">IFERROR(__xludf.DUMMYFUNCTION("""COMPUTED_VALUE"""),96)</f>
        <v>96</v>
      </c>
      <c r="Z4">
        <f ca="1">IFERROR(__xludf.DUMMYFUNCTION("""COMPUTED_VALUE"""),113.8003)</f>
        <v>113.80029999999999</v>
      </c>
      <c r="AA4">
        <f ca="1">IFERROR(__xludf.DUMMYFUNCTION("""COMPUTED_VALUE"""),14)</f>
        <v>14</v>
      </c>
      <c r="AB4">
        <f ca="1">IFERROR(__xludf.DUMMYFUNCTION("""COMPUTED_VALUE"""),111.6073)</f>
        <v>111.6073</v>
      </c>
      <c r="AC4">
        <f ca="1">IFERROR(__xludf.DUMMYFUNCTION("""COMPUTED_VALUE"""),29)</f>
        <v>29</v>
      </c>
      <c r="AD4">
        <f ca="1">IFERROR(__xludf.DUMMYFUNCTION("""COMPUTED_VALUE"""),94.655)</f>
        <v>94.655000000000001</v>
      </c>
      <c r="AE4">
        <f ca="1">IFERROR(__xludf.DUMMYFUNCTION("""COMPUTED_VALUE"""),31)</f>
        <v>31</v>
      </c>
      <c r="AF4">
        <f ca="1">IFERROR(__xludf.DUMMYFUNCTION("""COMPUTED_VALUE"""),94.7455)</f>
        <v>94.745500000000007</v>
      </c>
      <c r="AG4">
        <f ca="1">IFERROR(__xludf.DUMMYFUNCTION("""COMPUTED_VALUE"""),40)</f>
        <v>40</v>
      </c>
      <c r="AH4">
        <f ca="1">IFERROR(__xludf.DUMMYFUNCTION("""COMPUTED_VALUE"""),0.868025)</f>
        <v>0.86802500000000005</v>
      </c>
      <c r="AI4">
        <f ca="1">IFERROR(__xludf.DUMMYFUNCTION("""COMPUTED_VALUE"""),21)</f>
        <v>21</v>
      </c>
      <c r="AJ4" s="14">
        <f ca="1">IFERROR(__xludf.DUMMYFUNCTION("""COMPUTED_VALUE"""),16.8617999999999)</f>
        <v>16.861799999999899</v>
      </c>
    </row>
    <row r="5" spans="1:36" ht="15.75" customHeight="1" x14ac:dyDescent="0.4">
      <c r="A5" s="25" t="s">
        <v>134</v>
      </c>
      <c r="B5" s="25">
        <v>10</v>
      </c>
      <c r="C5" s="25">
        <v>67.252700000000004</v>
      </c>
      <c r="D5" s="25">
        <v>69</v>
      </c>
      <c r="E5" s="25">
        <v>67.004800000000003</v>
      </c>
      <c r="F5" s="25">
        <v>68</v>
      </c>
      <c r="G5" s="25">
        <v>117.1584</v>
      </c>
      <c r="H5" s="25">
        <v>5</v>
      </c>
      <c r="I5" s="25">
        <v>118.4924</v>
      </c>
      <c r="J5" s="25">
        <v>8</v>
      </c>
      <c r="K5" s="25">
        <v>102.4216</v>
      </c>
      <c r="L5" s="25">
        <v>179</v>
      </c>
      <c r="M5" s="25">
        <v>103.107</v>
      </c>
      <c r="N5" s="25">
        <v>181</v>
      </c>
      <c r="O5" s="25">
        <v>0.83194000000000001</v>
      </c>
      <c r="P5" s="25">
        <v>32</v>
      </c>
      <c r="Q5" s="14">
        <f t="shared" si="0"/>
        <v>15.385400000000004</v>
      </c>
      <c r="S5" s="27">
        <f t="shared" si="1"/>
        <v>3</v>
      </c>
      <c r="T5" s="28" t="str">
        <f ca="1">IFERROR(__xludf.DUMMYFUNCTION("""COMPUTED_VALUE"""),"BYU")</f>
        <v>BYU</v>
      </c>
      <c r="U5" s="28">
        <f ca="1">IFERROR(__xludf.DUMMYFUNCTION("""COMPUTED_VALUE"""),11)</f>
        <v>11</v>
      </c>
      <c r="V5" s="28">
        <f ca="1">IFERROR(__xludf.DUMMYFUNCTION("""COMPUTED_VALUE"""),69.6564)</f>
        <v>69.656400000000005</v>
      </c>
      <c r="W5" s="28">
        <f ca="1">IFERROR(__xludf.DUMMYFUNCTION("""COMPUTED_VALUE"""),14)</f>
        <v>14</v>
      </c>
      <c r="X5" s="28">
        <f ca="1">IFERROR(__xludf.DUMMYFUNCTION("""COMPUTED_VALUE"""),70.3762)</f>
        <v>70.376199999999997</v>
      </c>
      <c r="Y5" s="28">
        <f ca="1">IFERROR(__xludf.DUMMYFUNCTION("""COMPUTED_VALUE"""),6)</f>
        <v>6</v>
      </c>
      <c r="Z5" s="28">
        <f ca="1">IFERROR(__xludf.DUMMYFUNCTION("""COMPUTED_VALUE"""),116.0285)</f>
        <v>116.02849999999999</v>
      </c>
      <c r="AA5" s="28">
        <f ca="1">IFERROR(__xludf.DUMMYFUNCTION("""COMPUTED_VALUE"""),7)</f>
        <v>7</v>
      </c>
      <c r="AB5" s="28">
        <f ca="1">IFERROR(__xludf.DUMMYFUNCTION("""COMPUTED_VALUE"""),116.7226)</f>
        <v>116.7226</v>
      </c>
      <c r="AC5" s="28">
        <f ca="1">IFERROR(__xludf.DUMMYFUNCTION("""COMPUTED_VALUE"""),9)</f>
        <v>9</v>
      </c>
      <c r="AD5" s="28">
        <f ca="1">IFERROR(__xludf.DUMMYFUNCTION("""COMPUTED_VALUE"""),102.9773)</f>
        <v>102.9773</v>
      </c>
      <c r="AE5" s="28">
        <f ca="1">IFERROR(__xludf.DUMMYFUNCTION("""COMPUTED_VALUE"""),187)</f>
        <v>187</v>
      </c>
      <c r="AF5" s="28">
        <f ca="1">IFERROR(__xludf.DUMMYFUNCTION("""COMPUTED_VALUE"""),101.0786)</f>
        <v>101.07859999999999</v>
      </c>
      <c r="AG5" s="28">
        <f ca="1">IFERROR(__xludf.DUMMYFUNCTION("""COMPUTED_VALUE"""),139)</f>
        <v>139</v>
      </c>
      <c r="AH5" s="28">
        <f ca="1">IFERROR(__xludf.DUMMYFUNCTION("""COMPUTED_VALUE"""),0.839548)</f>
        <v>0.83954799999999996</v>
      </c>
      <c r="AI5" s="28">
        <f ca="1">IFERROR(__xludf.DUMMYFUNCTION("""COMPUTED_VALUE"""),31)</f>
        <v>31</v>
      </c>
      <c r="AJ5" s="29">
        <f ca="1">IFERROR(__xludf.DUMMYFUNCTION("""COMPUTED_VALUE"""),15.644)</f>
        <v>15.644</v>
      </c>
    </row>
    <row r="6" spans="1:36" ht="15.75" customHeight="1" x14ac:dyDescent="0.4">
      <c r="A6" s="25" t="s">
        <v>282</v>
      </c>
      <c r="B6" s="25">
        <v>12</v>
      </c>
      <c r="C6" s="25">
        <v>67.862300000000005</v>
      </c>
      <c r="D6" s="25">
        <v>47</v>
      </c>
      <c r="E6" s="25">
        <v>66.766599999999997</v>
      </c>
      <c r="F6" s="25">
        <v>75</v>
      </c>
      <c r="G6" s="25">
        <v>115.7403</v>
      </c>
      <c r="H6" s="25">
        <v>10</v>
      </c>
      <c r="I6" s="25">
        <v>112.9876</v>
      </c>
      <c r="J6" s="25">
        <v>19</v>
      </c>
      <c r="K6" s="25">
        <v>96.518699999999995</v>
      </c>
      <c r="L6" s="25">
        <v>57</v>
      </c>
      <c r="M6" s="25">
        <v>99.130899999999997</v>
      </c>
      <c r="N6" s="25">
        <v>103</v>
      </c>
      <c r="O6" s="25">
        <v>0.81826299999999996</v>
      </c>
      <c r="P6" s="25">
        <v>35</v>
      </c>
      <c r="Q6" s="14">
        <f t="shared" si="0"/>
        <v>13.856700000000004</v>
      </c>
      <c r="S6">
        <f t="shared" si="1"/>
        <v>4</v>
      </c>
      <c r="T6" t="str">
        <f ca="1">IFERROR(__xludf.DUMMYFUNCTION("""COMPUTED_VALUE"""),"Stephen F. Austin")</f>
        <v>Stephen F. Austin</v>
      </c>
      <c r="U6">
        <f ca="1">IFERROR(__xludf.DUMMYFUNCTION("""COMPUTED_VALUE"""),12)</f>
        <v>12</v>
      </c>
      <c r="V6">
        <f ca="1">IFERROR(__xludf.DUMMYFUNCTION("""COMPUTED_VALUE"""),67.8623)</f>
        <v>67.862300000000005</v>
      </c>
      <c r="W6">
        <f ca="1">IFERROR(__xludf.DUMMYFUNCTION("""COMPUTED_VALUE"""),47)</f>
        <v>47</v>
      </c>
      <c r="X6">
        <f ca="1">IFERROR(__xludf.DUMMYFUNCTION("""COMPUTED_VALUE"""),66.7666)</f>
        <v>66.766599999999997</v>
      </c>
      <c r="Y6">
        <f ca="1">IFERROR(__xludf.DUMMYFUNCTION("""COMPUTED_VALUE"""),75)</f>
        <v>75</v>
      </c>
      <c r="Z6">
        <f ca="1">IFERROR(__xludf.DUMMYFUNCTION("""COMPUTED_VALUE"""),115.7403)</f>
        <v>115.7403</v>
      </c>
      <c r="AA6">
        <f ca="1">IFERROR(__xludf.DUMMYFUNCTION("""COMPUTED_VALUE"""),10)</f>
        <v>10</v>
      </c>
      <c r="AB6">
        <f ca="1">IFERROR(__xludf.DUMMYFUNCTION("""COMPUTED_VALUE"""),112.9876)</f>
        <v>112.9876</v>
      </c>
      <c r="AC6">
        <f ca="1">IFERROR(__xludf.DUMMYFUNCTION("""COMPUTED_VALUE"""),19)</f>
        <v>19</v>
      </c>
      <c r="AD6">
        <f ca="1">IFERROR(__xludf.DUMMYFUNCTION("""COMPUTED_VALUE"""),96.5187)</f>
        <v>96.518699999999995</v>
      </c>
      <c r="AE6">
        <f ca="1">IFERROR(__xludf.DUMMYFUNCTION("""COMPUTED_VALUE"""),57)</f>
        <v>57</v>
      </c>
      <c r="AF6">
        <f ca="1">IFERROR(__xludf.DUMMYFUNCTION("""COMPUTED_VALUE"""),99.1309)</f>
        <v>99.130899999999997</v>
      </c>
      <c r="AG6">
        <f ca="1">IFERROR(__xludf.DUMMYFUNCTION("""COMPUTED_VALUE"""),103)</f>
        <v>103</v>
      </c>
      <c r="AH6">
        <f ca="1">IFERROR(__xludf.DUMMYFUNCTION("""COMPUTED_VALUE"""),0.818263)</f>
        <v>0.81826299999999996</v>
      </c>
      <c r="AI6">
        <f ca="1">IFERROR(__xludf.DUMMYFUNCTION("""COMPUTED_VALUE"""),35)</f>
        <v>35</v>
      </c>
      <c r="AJ6" s="14">
        <f ca="1">IFERROR(__xludf.DUMMYFUNCTION("""COMPUTED_VALUE"""),13.8567)</f>
        <v>13.8567</v>
      </c>
    </row>
    <row r="7" spans="1:36" ht="15.75" customHeight="1" x14ac:dyDescent="0.4">
      <c r="A7" s="25" t="s">
        <v>19</v>
      </c>
      <c r="B7" s="25">
        <v>10</v>
      </c>
      <c r="C7" s="25">
        <v>64.773700000000005</v>
      </c>
      <c r="D7" s="25">
        <v>173</v>
      </c>
      <c r="E7" s="25">
        <v>64.1785</v>
      </c>
      <c r="F7" s="25">
        <v>201</v>
      </c>
      <c r="G7" s="25">
        <v>103.2958</v>
      </c>
      <c r="H7" s="25">
        <v>144</v>
      </c>
      <c r="I7" s="25">
        <v>107.01519999999999</v>
      </c>
      <c r="J7" s="25">
        <v>74</v>
      </c>
      <c r="K7" s="25">
        <v>96.905600000000007</v>
      </c>
      <c r="L7" s="25">
        <v>67</v>
      </c>
      <c r="M7" s="25">
        <v>93.9191</v>
      </c>
      <c r="N7" s="25">
        <v>28</v>
      </c>
      <c r="O7" s="25">
        <v>0.81775100000000001</v>
      </c>
      <c r="P7" s="25">
        <v>36</v>
      </c>
      <c r="Q7" s="14">
        <f t="shared" si="0"/>
        <v>13.096099999999993</v>
      </c>
      <c r="S7" s="27">
        <f t="shared" si="1"/>
        <v>5</v>
      </c>
      <c r="T7" s="28" t="str">
        <f ca="1">IFERROR(__xludf.DUMMYFUNCTION("""COMPUTED_VALUE"""),"Georgia")</f>
        <v>Georgia</v>
      </c>
      <c r="U7" s="28">
        <f ca="1">IFERROR(__xludf.DUMMYFUNCTION("""COMPUTED_VALUE"""),10)</f>
        <v>10</v>
      </c>
      <c r="V7" s="28">
        <f ca="1">IFERROR(__xludf.DUMMYFUNCTION("""COMPUTED_VALUE"""),64.7737)</f>
        <v>64.773700000000005</v>
      </c>
      <c r="W7" s="28">
        <f ca="1">IFERROR(__xludf.DUMMYFUNCTION("""COMPUTED_VALUE"""),173)</f>
        <v>173</v>
      </c>
      <c r="X7" s="28">
        <f ca="1">IFERROR(__xludf.DUMMYFUNCTION("""COMPUTED_VALUE"""),64.1785)</f>
        <v>64.1785</v>
      </c>
      <c r="Y7" s="28">
        <f ca="1">IFERROR(__xludf.DUMMYFUNCTION("""COMPUTED_VALUE"""),201)</f>
        <v>201</v>
      </c>
      <c r="Z7" s="28">
        <f ca="1">IFERROR(__xludf.DUMMYFUNCTION("""COMPUTED_VALUE"""),103.2958)</f>
        <v>103.2958</v>
      </c>
      <c r="AA7" s="28">
        <f ca="1">IFERROR(__xludf.DUMMYFUNCTION("""COMPUTED_VALUE"""),144)</f>
        <v>144</v>
      </c>
      <c r="AB7" s="28">
        <f ca="1">IFERROR(__xludf.DUMMYFUNCTION("""COMPUTED_VALUE"""),107.0152)</f>
        <v>107.01519999999999</v>
      </c>
      <c r="AC7" s="28">
        <f ca="1">IFERROR(__xludf.DUMMYFUNCTION("""COMPUTED_VALUE"""),74)</f>
        <v>74</v>
      </c>
      <c r="AD7" s="28">
        <f ca="1">IFERROR(__xludf.DUMMYFUNCTION("""COMPUTED_VALUE"""),96.9056)</f>
        <v>96.905600000000007</v>
      </c>
      <c r="AE7" s="28">
        <f ca="1">IFERROR(__xludf.DUMMYFUNCTION("""COMPUTED_VALUE"""),67)</f>
        <v>67</v>
      </c>
      <c r="AF7" s="28">
        <f ca="1">IFERROR(__xludf.DUMMYFUNCTION("""COMPUTED_VALUE"""),93.9191)</f>
        <v>93.9191</v>
      </c>
      <c r="AG7" s="28">
        <f ca="1">IFERROR(__xludf.DUMMYFUNCTION("""COMPUTED_VALUE"""),28)</f>
        <v>28</v>
      </c>
      <c r="AH7" s="28">
        <f ca="1">IFERROR(__xludf.DUMMYFUNCTION("""COMPUTED_VALUE"""),0.817751)</f>
        <v>0.81775100000000001</v>
      </c>
      <c r="AI7" s="28">
        <f ca="1">IFERROR(__xludf.DUMMYFUNCTION("""COMPUTED_VALUE"""),36)</f>
        <v>36</v>
      </c>
      <c r="AJ7" s="29">
        <f ca="1">IFERROR(__xludf.DUMMYFUNCTION("""COMPUTED_VALUE"""),13.0960999999999)</f>
        <v>13.0960999999999</v>
      </c>
    </row>
    <row r="8" spans="1:36" ht="15.75" customHeight="1" x14ac:dyDescent="0.4">
      <c r="A8" s="25" t="s">
        <v>212</v>
      </c>
      <c r="B8" s="25">
        <v>11</v>
      </c>
      <c r="C8" s="25">
        <v>62.3307</v>
      </c>
      <c r="D8" s="25">
        <v>295</v>
      </c>
      <c r="E8" s="25">
        <v>63.736899999999999</v>
      </c>
      <c r="F8" s="25">
        <v>232</v>
      </c>
      <c r="G8" s="25">
        <v>109.92400000000001</v>
      </c>
      <c r="H8" s="25">
        <v>34</v>
      </c>
      <c r="I8" s="25">
        <v>109.42149999999999</v>
      </c>
      <c r="J8" s="25">
        <v>48</v>
      </c>
      <c r="K8" s="25">
        <v>95.963899999999995</v>
      </c>
      <c r="L8" s="25">
        <v>45</v>
      </c>
      <c r="M8" s="25">
        <v>96.506699999999995</v>
      </c>
      <c r="N8" s="25">
        <v>64</v>
      </c>
      <c r="O8" s="25">
        <v>0.80912499999999998</v>
      </c>
      <c r="P8" s="25">
        <v>39</v>
      </c>
      <c r="Q8" s="14">
        <f t="shared" si="0"/>
        <v>12.9148</v>
      </c>
      <c r="S8">
        <f t="shared" si="1"/>
        <v>6</v>
      </c>
      <c r="T8" t="str">
        <f ca="1">IFERROR(__xludf.DUMMYFUNCTION("""COMPUTED_VALUE"""),"Boise St.")</f>
        <v>Boise St.</v>
      </c>
      <c r="U8">
        <f ca="1">IFERROR(__xludf.DUMMYFUNCTION("""COMPUTED_VALUE"""),11)</f>
        <v>11</v>
      </c>
      <c r="V8">
        <f ca="1">IFERROR(__xludf.DUMMYFUNCTION("""COMPUTED_VALUE"""),62.3307)</f>
        <v>62.3307</v>
      </c>
      <c r="W8">
        <f ca="1">IFERROR(__xludf.DUMMYFUNCTION("""COMPUTED_VALUE"""),295)</f>
        <v>295</v>
      </c>
      <c r="X8">
        <f ca="1">IFERROR(__xludf.DUMMYFUNCTION("""COMPUTED_VALUE"""),63.7369)</f>
        <v>63.736899999999999</v>
      </c>
      <c r="Y8">
        <f ca="1">IFERROR(__xludf.DUMMYFUNCTION("""COMPUTED_VALUE"""),232)</f>
        <v>232</v>
      </c>
      <c r="Z8">
        <f ca="1">IFERROR(__xludf.DUMMYFUNCTION("""COMPUTED_VALUE"""),109.924)</f>
        <v>109.92400000000001</v>
      </c>
      <c r="AA8">
        <f ca="1">IFERROR(__xludf.DUMMYFUNCTION("""COMPUTED_VALUE"""),34)</f>
        <v>34</v>
      </c>
      <c r="AB8">
        <f ca="1">IFERROR(__xludf.DUMMYFUNCTION("""COMPUTED_VALUE"""),109.4215)</f>
        <v>109.42149999999999</v>
      </c>
      <c r="AC8">
        <f ca="1">IFERROR(__xludf.DUMMYFUNCTION("""COMPUTED_VALUE"""),48)</f>
        <v>48</v>
      </c>
      <c r="AD8">
        <f ca="1">IFERROR(__xludf.DUMMYFUNCTION("""COMPUTED_VALUE"""),95.9639)</f>
        <v>95.963899999999995</v>
      </c>
      <c r="AE8">
        <f ca="1">IFERROR(__xludf.DUMMYFUNCTION("""COMPUTED_VALUE"""),45)</f>
        <v>45</v>
      </c>
      <c r="AF8">
        <f ca="1">IFERROR(__xludf.DUMMYFUNCTION("""COMPUTED_VALUE"""),96.5067)</f>
        <v>96.506699999999995</v>
      </c>
      <c r="AG8">
        <f ca="1">IFERROR(__xludf.DUMMYFUNCTION("""COMPUTED_VALUE"""),64)</f>
        <v>64</v>
      </c>
      <c r="AH8">
        <f ca="1">IFERROR(__xludf.DUMMYFUNCTION("""COMPUTED_VALUE"""),0.809125)</f>
        <v>0.80912499999999998</v>
      </c>
      <c r="AI8">
        <f ca="1">IFERROR(__xludf.DUMMYFUNCTION("""COMPUTED_VALUE"""),39)</f>
        <v>39</v>
      </c>
      <c r="AJ8" s="14">
        <f ca="1">IFERROR(__xludf.DUMMYFUNCTION("""COMPUTED_VALUE"""),12.9148)</f>
        <v>12.9148</v>
      </c>
    </row>
    <row r="9" spans="1:36" ht="15.75" customHeight="1" x14ac:dyDescent="0.4">
      <c r="A9" s="25" t="s">
        <v>64</v>
      </c>
      <c r="B9" s="25">
        <v>11</v>
      </c>
      <c r="C9" s="25">
        <v>64.366</v>
      </c>
      <c r="D9" s="25">
        <v>199</v>
      </c>
      <c r="E9" s="25">
        <v>63.979500000000002</v>
      </c>
      <c r="F9" s="25">
        <v>214</v>
      </c>
      <c r="G9" s="25">
        <v>105.5587</v>
      </c>
      <c r="H9" s="25">
        <v>93</v>
      </c>
      <c r="I9" s="25">
        <v>107.1481</v>
      </c>
      <c r="J9" s="25">
        <v>73</v>
      </c>
      <c r="K9" s="25">
        <v>94.128699999999995</v>
      </c>
      <c r="L9" s="25">
        <v>24</v>
      </c>
      <c r="M9" s="25">
        <v>94.681200000000004</v>
      </c>
      <c r="N9" s="25">
        <v>38</v>
      </c>
      <c r="O9" s="25">
        <v>0.80573099999999998</v>
      </c>
      <c r="P9" s="25">
        <v>40</v>
      </c>
      <c r="Q9" s="14">
        <f t="shared" si="0"/>
        <v>12.466899999999995</v>
      </c>
      <c r="S9" s="27">
        <f t="shared" si="1"/>
        <v>7</v>
      </c>
      <c r="T9" s="28" t="str">
        <f ca="1">IFERROR(__xludf.DUMMYFUNCTION("""COMPUTED_VALUE"""),"Dayton")</f>
        <v>Dayton</v>
      </c>
      <c r="U9" s="28">
        <f ca="1">IFERROR(__xludf.DUMMYFUNCTION("""COMPUTED_VALUE"""),11)</f>
        <v>11</v>
      </c>
      <c r="V9" s="28">
        <f ca="1">IFERROR(__xludf.DUMMYFUNCTION("""COMPUTED_VALUE"""),64.366)</f>
        <v>64.366</v>
      </c>
      <c r="W9" s="28">
        <f ca="1">IFERROR(__xludf.DUMMYFUNCTION("""COMPUTED_VALUE"""),199)</f>
        <v>199</v>
      </c>
      <c r="X9" s="28">
        <f ca="1">IFERROR(__xludf.DUMMYFUNCTION("""COMPUTED_VALUE"""),63.9795)</f>
        <v>63.979500000000002</v>
      </c>
      <c r="Y9" s="28">
        <f ca="1">IFERROR(__xludf.DUMMYFUNCTION("""COMPUTED_VALUE"""),214)</f>
        <v>214</v>
      </c>
      <c r="Z9" s="28">
        <f ca="1">IFERROR(__xludf.DUMMYFUNCTION("""COMPUTED_VALUE"""),105.5587)</f>
        <v>105.5587</v>
      </c>
      <c r="AA9" s="28">
        <f ca="1">IFERROR(__xludf.DUMMYFUNCTION("""COMPUTED_VALUE"""),93)</f>
        <v>93</v>
      </c>
      <c r="AB9" s="28">
        <f ca="1">IFERROR(__xludf.DUMMYFUNCTION("""COMPUTED_VALUE"""),107.1481)</f>
        <v>107.1481</v>
      </c>
      <c r="AC9" s="28">
        <f ca="1">IFERROR(__xludf.DUMMYFUNCTION("""COMPUTED_VALUE"""),73)</f>
        <v>73</v>
      </c>
      <c r="AD9" s="28">
        <f ca="1">IFERROR(__xludf.DUMMYFUNCTION("""COMPUTED_VALUE"""),94.1287)</f>
        <v>94.128699999999995</v>
      </c>
      <c r="AE9" s="28">
        <f ca="1">IFERROR(__xludf.DUMMYFUNCTION("""COMPUTED_VALUE"""),24)</f>
        <v>24</v>
      </c>
      <c r="AF9" s="28">
        <f ca="1">IFERROR(__xludf.DUMMYFUNCTION("""COMPUTED_VALUE"""),94.6812)</f>
        <v>94.681200000000004</v>
      </c>
      <c r="AG9" s="28">
        <f ca="1">IFERROR(__xludf.DUMMYFUNCTION("""COMPUTED_VALUE"""),38)</f>
        <v>38</v>
      </c>
      <c r="AH9" s="28">
        <f ca="1">IFERROR(__xludf.DUMMYFUNCTION("""COMPUTED_VALUE"""),0.805731)</f>
        <v>0.80573099999999998</v>
      </c>
      <c r="AI9" s="28">
        <f ca="1">IFERROR(__xludf.DUMMYFUNCTION("""COMPUTED_VALUE"""),40)</f>
        <v>40</v>
      </c>
      <c r="AJ9" s="29">
        <f ca="1">IFERROR(__xludf.DUMMYFUNCTION("""COMPUTED_VALUE"""),12.4668999999999)</f>
        <v>12.4668999999999</v>
      </c>
    </row>
    <row r="10" spans="1:36" ht="15.75" customHeight="1" x14ac:dyDescent="0.4">
      <c r="A10" s="25" t="s">
        <v>65</v>
      </c>
      <c r="B10" s="25">
        <v>11</v>
      </c>
      <c r="C10" s="25">
        <v>67.521600000000007</v>
      </c>
      <c r="D10" s="25">
        <v>60</v>
      </c>
      <c r="E10" s="25">
        <v>66.040800000000004</v>
      </c>
      <c r="F10" s="25">
        <v>111</v>
      </c>
      <c r="G10" s="25">
        <v>105.51690000000001</v>
      </c>
      <c r="H10" s="25">
        <v>95</v>
      </c>
      <c r="I10" s="25">
        <v>110.1957</v>
      </c>
      <c r="J10" s="25">
        <v>45</v>
      </c>
      <c r="K10" s="25">
        <v>100.3759</v>
      </c>
      <c r="L10" s="25">
        <v>132</v>
      </c>
      <c r="M10" s="25">
        <v>97.382400000000004</v>
      </c>
      <c r="N10" s="25">
        <v>76</v>
      </c>
      <c r="O10" s="25">
        <v>0.80557999999999996</v>
      </c>
      <c r="P10" s="25">
        <v>41</v>
      </c>
      <c r="Q10" s="14">
        <f t="shared" si="0"/>
        <v>12.813299999999998</v>
      </c>
      <c r="S10">
        <f t="shared" si="1"/>
        <v>8</v>
      </c>
      <c r="T10" t="str">
        <f ca="1">IFERROR(__xludf.DUMMYFUNCTION("""COMPUTED_VALUE"""),"UCLA")</f>
        <v>UCLA</v>
      </c>
      <c r="U10">
        <f ca="1">IFERROR(__xludf.DUMMYFUNCTION("""COMPUTED_VALUE"""),11)</f>
        <v>11</v>
      </c>
      <c r="V10">
        <f ca="1">IFERROR(__xludf.DUMMYFUNCTION("""COMPUTED_VALUE"""),67.5216)</f>
        <v>67.521600000000007</v>
      </c>
      <c r="W10">
        <f ca="1">IFERROR(__xludf.DUMMYFUNCTION("""COMPUTED_VALUE"""),60)</f>
        <v>60</v>
      </c>
      <c r="X10">
        <f ca="1">IFERROR(__xludf.DUMMYFUNCTION("""COMPUTED_VALUE"""),66.0408)</f>
        <v>66.040800000000004</v>
      </c>
      <c r="Y10">
        <f ca="1">IFERROR(__xludf.DUMMYFUNCTION("""COMPUTED_VALUE"""),111)</f>
        <v>111</v>
      </c>
      <c r="Z10">
        <f ca="1">IFERROR(__xludf.DUMMYFUNCTION("""COMPUTED_VALUE"""),105.5169)</f>
        <v>105.51690000000001</v>
      </c>
      <c r="AA10">
        <f ca="1">IFERROR(__xludf.DUMMYFUNCTION("""COMPUTED_VALUE"""),95)</f>
        <v>95</v>
      </c>
      <c r="AB10">
        <f ca="1">IFERROR(__xludf.DUMMYFUNCTION("""COMPUTED_VALUE"""),110.1957)</f>
        <v>110.1957</v>
      </c>
      <c r="AC10">
        <f ca="1">IFERROR(__xludf.DUMMYFUNCTION("""COMPUTED_VALUE"""),45)</f>
        <v>45</v>
      </c>
      <c r="AD10">
        <f ca="1">IFERROR(__xludf.DUMMYFUNCTION("""COMPUTED_VALUE"""),100.3759)</f>
        <v>100.3759</v>
      </c>
      <c r="AE10">
        <f ca="1">IFERROR(__xludf.DUMMYFUNCTION("""COMPUTED_VALUE"""),132)</f>
        <v>132</v>
      </c>
      <c r="AF10">
        <f ca="1">IFERROR(__xludf.DUMMYFUNCTION("""COMPUTED_VALUE"""),97.3824)</f>
        <v>97.382400000000004</v>
      </c>
      <c r="AG10">
        <f ca="1">IFERROR(__xludf.DUMMYFUNCTION("""COMPUTED_VALUE"""),76)</f>
        <v>76</v>
      </c>
      <c r="AH10">
        <f ca="1">IFERROR(__xludf.DUMMYFUNCTION("""COMPUTED_VALUE"""),0.80558)</f>
        <v>0.80557999999999996</v>
      </c>
      <c r="AI10">
        <f ca="1">IFERROR(__xludf.DUMMYFUNCTION("""COMPUTED_VALUE"""),41)</f>
        <v>41</v>
      </c>
      <c r="AJ10" s="14">
        <f ca="1">IFERROR(__xludf.DUMMYFUNCTION("""COMPUTED_VALUE"""),12.8132999999999)</f>
        <v>12.8132999999999</v>
      </c>
    </row>
    <row r="11" spans="1:36" ht="15.75" customHeight="1" x14ac:dyDescent="0.4">
      <c r="A11" s="25" t="s">
        <v>51</v>
      </c>
      <c r="B11" s="25">
        <v>11</v>
      </c>
      <c r="C11" s="25">
        <v>66.566199999999995</v>
      </c>
      <c r="D11" s="25">
        <v>92</v>
      </c>
      <c r="E11" s="25">
        <v>66.4054</v>
      </c>
      <c r="F11" s="25">
        <v>94</v>
      </c>
      <c r="G11" s="25">
        <v>108.54</v>
      </c>
      <c r="H11" s="25">
        <v>50</v>
      </c>
      <c r="I11" s="25">
        <v>112.9358</v>
      </c>
      <c r="J11" s="25">
        <v>22</v>
      </c>
      <c r="K11" s="25">
        <v>100.5981</v>
      </c>
      <c r="L11" s="25">
        <v>137</v>
      </c>
      <c r="M11" s="25">
        <v>100.13460000000001</v>
      </c>
      <c r="N11" s="25">
        <v>125</v>
      </c>
      <c r="O11" s="25">
        <v>0.79955399999999999</v>
      </c>
      <c r="P11" s="25">
        <v>44</v>
      </c>
      <c r="Q11" s="14">
        <f t="shared" si="0"/>
        <v>12.801199999999994</v>
      </c>
      <c r="S11" s="27">
        <f t="shared" si="1"/>
        <v>9</v>
      </c>
      <c r="T11" s="28" t="str">
        <f ca="1">IFERROR(__xludf.DUMMYFUNCTION("""COMPUTED_VALUE"""),"Mississippi")</f>
        <v>Mississippi</v>
      </c>
      <c r="U11" s="28">
        <f ca="1">IFERROR(__xludf.DUMMYFUNCTION("""COMPUTED_VALUE"""),11)</f>
        <v>11</v>
      </c>
      <c r="V11" s="28">
        <f ca="1">IFERROR(__xludf.DUMMYFUNCTION("""COMPUTED_VALUE"""),66.5662)</f>
        <v>66.566199999999995</v>
      </c>
      <c r="W11" s="28">
        <f ca="1">IFERROR(__xludf.DUMMYFUNCTION("""COMPUTED_VALUE"""),92)</f>
        <v>92</v>
      </c>
      <c r="X11" s="28">
        <f ca="1">IFERROR(__xludf.DUMMYFUNCTION("""COMPUTED_VALUE"""),66.4054)</f>
        <v>66.4054</v>
      </c>
      <c r="Y11" s="28">
        <f ca="1">IFERROR(__xludf.DUMMYFUNCTION("""COMPUTED_VALUE"""),94)</f>
        <v>94</v>
      </c>
      <c r="Z11" s="28">
        <f ca="1">IFERROR(__xludf.DUMMYFUNCTION("""COMPUTED_VALUE"""),108.54)</f>
        <v>108.54</v>
      </c>
      <c r="AA11" s="28">
        <f ca="1">IFERROR(__xludf.DUMMYFUNCTION("""COMPUTED_VALUE"""),50)</f>
        <v>50</v>
      </c>
      <c r="AB11" s="28">
        <f ca="1">IFERROR(__xludf.DUMMYFUNCTION("""COMPUTED_VALUE"""),112.9358)</f>
        <v>112.9358</v>
      </c>
      <c r="AC11" s="28">
        <f ca="1">IFERROR(__xludf.DUMMYFUNCTION("""COMPUTED_VALUE"""),22)</f>
        <v>22</v>
      </c>
      <c r="AD11" s="28">
        <f ca="1">IFERROR(__xludf.DUMMYFUNCTION("""COMPUTED_VALUE"""),100.5981)</f>
        <v>100.5981</v>
      </c>
      <c r="AE11" s="28">
        <f ca="1">IFERROR(__xludf.DUMMYFUNCTION("""COMPUTED_VALUE"""),137)</f>
        <v>137</v>
      </c>
      <c r="AF11" s="28">
        <f ca="1">IFERROR(__xludf.DUMMYFUNCTION("""COMPUTED_VALUE"""),100.1346)</f>
        <v>100.13460000000001</v>
      </c>
      <c r="AG11" s="28">
        <f ca="1">IFERROR(__xludf.DUMMYFUNCTION("""COMPUTED_VALUE"""),125)</f>
        <v>125</v>
      </c>
      <c r="AH11" s="28">
        <f ca="1">IFERROR(__xludf.DUMMYFUNCTION("""COMPUTED_VALUE"""),0.799554)</f>
        <v>0.79955399999999999</v>
      </c>
      <c r="AI11" s="28">
        <f ca="1">IFERROR(__xludf.DUMMYFUNCTION("""COMPUTED_VALUE"""),44)</f>
        <v>44</v>
      </c>
      <c r="AJ11" s="29">
        <f ca="1">IFERROR(__xludf.DUMMYFUNCTION("""COMPUTED_VALUE"""),12.8011999999999)</f>
        <v>12.8011999999999</v>
      </c>
    </row>
    <row r="12" spans="1:36" ht="15.75" customHeight="1" x14ac:dyDescent="0.4">
      <c r="A12" s="25" t="s">
        <v>40</v>
      </c>
      <c r="B12" s="25">
        <v>10</v>
      </c>
      <c r="C12" s="25">
        <v>66.840699999999998</v>
      </c>
      <c r="D12" s="25">
        <v>80</v>
      </c>
      <c r="E12" s="25">
        <v>66.5749</v>
      </c>
      <c r="F12" s="25">
        <v>84</v>
      </c>
      <c r="G12" s="25">
        <v>115.3436</v>
      </c>
      <c r="H12" s="25">
        <v>12</v>
      </c>
      <c r="I12" s="25">
        <v>116.60550000000001</v>
      </c>
      <c r="J12" s="25">
        <v>10</v>
      </c>
      <c r="K12" s="25">
        <v>106.7491</v>
      </c>
      <c r="L12" s="25">
        <v>279</v>
      </c>
      <c r="M12" s="25">
        <v>104.6528</v>
      </c>
      <c r="N12" s="25">
        <v>216</v>
      </c>
      <c r="O12" s="25">
        <v>0.77620900000000004</v>
      </c>
      <c r="P12" s="25">
        <v>53</v>
      </c>
      <c r="Q12" s="14">
        <f t="shared" si="0"/>
        <v>11.952700000000007</v>
      </c>
      <c r="S12">
        <f t="shared" si="1"/>
        <v>10</v>
      </c>
      <c r="T12" t="str">
        <f ca="1">IFERROR(__xludf.DUMMYFUNCTION("""COMPUTED_VALUE"""),"Buffalo")</f>
        <v>Buffalo</v>
      </c>
      <c r="U12">
        <f ca="1">IFERROR(__xludf.DUMMYFUNCTION("""COMPUTED_VALUE"""),12)</f>
        <v>12</v>
      </c>
      <c r="V12">
        <f ca="1">IFERROR(__xludf.DUMMYFUNCTION("""COMPUTED_VALUE"""),68.8703)</f>
        <v>68.8703</v>
      </c>
      <c r="W12">
        <f ca="1">IFERROR(__xludf.DUMMYFUNCTION("""COMPUTED_VALUE"""),24)</f>
        <v>24</v>
      </c>
      <c r="X12">
        <f ca="1">IFERROR(__xludf.DUMMYFUNCTION("""COMPUTED_VALUE"""),69.2589)</f>
        <v>69.258899999999997</v>
      </c>
      <c r="Y12">
        <f ca="1">IFERROR(__xludf.DUMMYFUNCTION("""COMPUTED_VALUE"""),20)</f>
        <v>20</v>
      </c>
      <c r="Z12">
        <f ca="1">IFERROR(__xludf.DUMMYFUNCTION("""COMPUTED_VALUE"""),108.9585)</f>
        <v>108.9585</v>
      </c>
      <c r="AA12">
        <f ca="1">IFERROR(__xludf.DUMMYFUNCTION("""COMPUTED_VALUE"""),45)</f>
        <v>45</v>
      </c>
      <c r="AB12">
        <f ca="1">IFERROR(__xludf.DUMMYFUNCTION("""COMPUTED_VALUE"""),109.7511)</f>
        <v>109.75109999999999</v>
      </c>
      <c r="AC12">
        <f ca="1">IFERROR(__xludf.DUMMYFUNCTION("""COMPUTED_VALUE"""),47)</f>
        <v>47</v>
      </c>
      <c r="AD12">
        <f ca="1">IFERROR(__xludf.DUMMYFUNCTION("""COMPUTED_VALUE"""),99.2914)</f>
        <v>99.291399999999996</v>
      </c>
      <c r="AE12">
        <f ca="1">IFERROR(__xludf.DUMMYFUNCTION("""COMPUTED_VALUE"""),113)</f>
        <v>113</v>
      </c>
      <c r="AF12">
        <f ca="1">IFERROR(__xludf.DUMMYFUNCTION("""COMPUTED_VALUE"""),98.515)</f>
        <v>98.515000000000001</v>
      </c>
      <c r="AG12">
        <f ca="1">IFERROR(__xludf.DUMMYFUNCTION("""COMPUTED_VALUE"""),94)</f>
        <v>94</v>
      </c>
      <c r="AH12">
        <f ca="1">IFERROR(__xludf.DUMMYFUNCTION("""COMPUTED_VALUE"""),0.775923)</f>
        <v>0.77592300000000003</v>
      </c>
      <c r="AI12">
        <f ca="1">IFERROR(__xludf.DUMMYFUNCTION("""COMPUTED_VALUE"""),54)</f>
        <v>54</v>
      </c>
      <c r="AJ12" s="14">
        <f ca="1">IFERROR(__xludf.DUMMYFUNCTION("""COMPUTED_VALUE"""),11.2360999999999)</f>
        <v>11.236099999999899</v>
      </c>
    </row>
    <row r="13" spans="1:36" ht="15.75" customHeight="1" x14ac:dyDescent="0.4">
      <c r="A13" s="25" t="s">
        <v>213</v>
      </c>
      <c r="B13" s="25">
        <v>12</v>
      </c>
      <c r="C13" s="25">
        <v>68.8703</v>
      </c>
      <c r="D13" s="25">
        <v>24</v>
      </c>
      <c r="E13" s="25">
        <v>69.258899999999997</v>
      </c>
      <c r="F13" s="25">
        <v>20</v>
      </c>
      <c r="G13" s="25">
        <v>108.9585</v>
      </c>
      <c r="H13" s="25">
        <v>45</v>
      </c>
      <c r="I13" s="25">
        <v>109.75109999999999</v>
      </c>
      <c r="J13" s="25">
        <v>47</v>
      </c>
      <c r="K13" s="25">
        <v>99.291399999999996</v>
      </c>
      <c r="L13" s="25">
        <v>113</v>
      </c>
      <c r="M13" s="25">
        <v>98.515000000000001</v>
      </c>
      <c r="N13" s="25">
        <v>94</v>
      </c>
      <c r="O13" s="25">
        <v>0.77592300000000003</v>
      </c>
      <c r="P13" s="25">
        <v>54</v>
      </c>
      <c r="Q13" s="14">
        <f t="shared" si="0"/>
        <v>11.236099999999993</v>
      </c>
      <c r="S13" s="27">
        <f t="shared" si="1"/>
        <v>11</v>
      </c>
      <c r="T13" s="28" t="str">
        <f ca="1">IFERROR(__xludf.DUMMYFUNCTION("""COMPUTED_VALUE"""),"Valparaiso")</f>
        <v>Valparaiso</v>
      </c>
      <c r="U13" s="28">
        <f ca="1">IFERROR(__xludf.DUMMYFUNCTION("""COMPUTED_VALUE"""),13)</f>
        <v>13</v>
      </c>
      <c r="V13" s="28">
        <f ca="1">IFERROR(__xludf.DUMMYFUNCTION("""COMPUTED_VALUE"""),63.183)</f>
        <v>63.183</v>
      </c>
      <c r="W13" s="28">
        <f ca="1">IFERROR(__xludf.DUMMYFUNCTION("""COMPUTED_VALUE"""),264)</f>
        <v>264</v>
      </c>
      <c r="X13" s="28">
        <f ca="1">IFERROR(__xludf.DUMMYFUNCTION("""COMPUTED_VALUE"""),62.7558)</f>
        <v>62.755800000000001</v>
      </c>
      <c r="Y13" s="28">
        <f ca="1">IFERROR(__xludf.DUMMYFUNCTION("""COMPUTED_VALUE"""),275)</f>
        <v>275</v>
      </c>
      <c r="Z13" s="28">
        <f ca="1">IFERROR(__xludf.DUMMYFUNCTION("""COMPUTED_VALUE"""),107.5521)</f>
        <v>107.5521</v>
      </c>
      <c r="AA13" s="28">
        <f ca="1">IFERROR(__xludf.DUMMYFUNCTION("""COMPUTED_VALUE"""),58)</f>
        <v>58</v>
      </c>
      <c r="AB13" s="28">
        <f ca="1">IFERROR(__xludf.DUMMYFUNCTION("""COMPUTED_VALUE"""),103.7859)</f>
        <v>103.7859</v>
      </c>
      <c r="AC13" s="28">
        <f ca="1">IFERROR(__xludf.DUMMYFUNCTION("""COMPUTED_VALUE"""),129)</f>
        <v>129</v>
      </c>
      <c r="AD13" s="28">
        <f ca="1">IFERROR(__xludf.DUMMYFUNCTION("""COMPUTED_VALUE"""),93.9359)</f>
        <v>93.935900000000004</v>
      </c>
      <c r="AE13" s="28">
        <f ca="1">IFERROR(__xludf.DUMMYFUNCTION("""COMPUTED_VALUE"""),23)</f>
        <v>23</v>
      </c>
      <c r="AF13" s="28">
        <f ca="1">IFERROR(__xludf.DUMMYFUNCTION("""COMPUTED_VALUE"""),94.3339)</f>
        <v>94.3339</v>
      </c>
      <c r="AG13" s="28">
        <f ca="1">IFERROR(__xludf.DUMMYFUNCTION("""COMPUTED_VALUE"""),31)</f>
        <v>31</v>
      </c>
      <c r="AH13" s="28">
        <f ca="1">IFERROR(__xludf.DUMMYFUNCTION("""COMPUTED_VALUE"""),0.74991)</f>
        <v>0.74990999999999997</v>
      </c>
      <c r="AI13" s="28">
        <f ca="1">IFERROR(__xludf.DUMMYFUNCTION("""COMPUTED_VALUE"""),63)</f>
        <v>63</v>
      </c>
      <c r="AJ13" s="29">
        <f ca="1">IFERROR(__xludf.DUMMYFUNCTION("""COMPUTED_VALUE"""),9.45199999999999)</f>
        <v>9.4519999999999893</v>
      </c>
    </row>
    <row r="14" spans="1:36" ht="15.75" customHeight="1" x14ac:dyDescent="0.4">
      <c r="A14" s="25" t="s">
        <v>74</v>
      </c>
      <c r="B14" s="25">
        <v>13</v>
      </c>
      <c r="C14" s="25">
        <v>63.183</v>
      </c>
      <c r="D14" s="25">
        <v>264</v>
      </c>
      <c r="E14" s="25">
        <v>62.755800000000001</v>
      </c>
      <c r="F14" s="25">
        <v>275</v>
      </c>
      <c r="G14" s="25">
        <v>107.5521</v>
      </c>
      <c r="H14" s="25">
        <v>58</v>
      </c>
      <c r="I14" s="25">
        <v>103.7859</v>
      </c>
      <c r="J14" s="25">
        <v>129</v>
      </c>
      <c r="K14" s="25">
        <v>93.935900000000004</v>
      </c>
      <c r="L14" s="25">
        <v>23</v>
      </c>
      <c r="M14" s="25">
        <v>94.3339</v>
      </c>
      <c r="N14" s="25">
        <v>31</v>
      </c>
      <c r="O14" s="25">
        <v>0.74990999999999997</v>
      </c>
      <c r="P14" s="25">
        <v>63</v>
      </c>
      <c r="Q14" s="14">
        <f t="shared" si="0"/>
        <v>9.4519999999999982</v>
      </c>
      <c r="S14">
        <f t="shared" si="1"/>
        <v>12</v>
      </c>
      <c r="T14" t="str">
        <f ca="1">IFERROR(__xludf.DUMMYFUNCTION("""COMPUTED_VALUE"""),"Georgia St.")</f>
        <v>Georgia St.</v>
      </c>
      <c r="U14">
        <f ca="1">IFERROR(__xludf.DUMMYFUNCTION("""COMPUTED_VALUE"""),14)</f>
        <v>14</v>
      </c>
      <c r="V14">
        <f ca="1">IFERROR(__xludf.DUMMYFUNCTION("""COMPUTED_VALUE"""),64.3168)</f>
        <v>64.316800000000001</v>
      </c>
      <c r="W14">
        <f ca="1">IFERROR(__xludf.DUMMYFUNCTION("""COMPUTED_VALUE"""),203)</f>
        <v>203</v>
      </c>
      <c r="X14">
        <f ca="1">IFERROR(__xludf.DUMMYFUNCTION("""COMPUTED_VALUE"""),63.2972)</f>
        <v>63.297199999999997</v>
      </c>
      <c r="Y14">
        <f ca="1">IFERROR(__xludf.DUMMYFUNCTION("""COMPUTED_VALUE"""),258)</f>
        <v>258</v>
      </c>
      <c r="Z14">
        <f ca="1">IFERROR(__xludf.DUMMYFUNCTION("""COMPUTED_VALUE"""),108.6194)</f>
        <v>108.6194</v>
      </c>
      <c r="AA14">
        <f ca="1">IFERROR(__xludf.DUMMYFUNCTION("""COMPUTED_VALUE"""),48)</f>
        <v>48</v>
      </c>
      <c r="AB14">
        <f ca="1">IFERROR(__xludf.DUMMYFUNCTION("""COMPUTED_VALUE"""),108.4051)</f>
        <v>108.4051</v>
      </c>
      <c r="AC14">
        <f ca="1">IFERROR(__xludf.DUMMYFUNCTION("""COMPUTED_VALUE"""),58)</f>
        <v>58</v>
      </c>
      <c r="AD14">
        <f ca="1">IFERROR(__xludf.DUMMYFUNCTION("""COMPUTED_VALUE"""),95.7833)</f>
        <v>95.783299999999997</v>
      </c>
      <c r="AE14">
        <f ca="1">IFERROR(__xludf.DUMMYFUNCTION("""COMPUTED_VALUE"""),43)</f>
        <v>43</v>
      </c>
      <c r="AF14">
        <f ca="1">IFERROR(__xludf.DUMMYFUNCTION("""COMPUTED_VALUE"""),99.228)</f>
        <v>99.227999999999994</v>
      </c>
      <c r="AG14">
        <f ca="1">IFERROR(__xludf.DUMMYFUNCTION("""COMPUTED_VALUE"""),106)</f>
        <v>106</v>
      </c>
      <c r="AH14">
        <f ca="1">IFERROR(__xludf.DUMMYFUNCTION("""COMPUTED_VALUE"""),0.734432)</f>
        <v>0.73443199999999997</v>
      </c>
      <c r="AI14">
        <f ca="1">IFERROR(__xludf.DUMMYFUNCTION("""COMPUTED_VALUE"""),71)</f>
        <v>71</v>
      </c>
      <c r="AJ14" s="14">
        <f ca="1">IFERROR(__xludf.DUMMYFUNCTION("""COMPUTED_VALUE"""),9.17710000000001)</f>
        <v>9.17710000000001</v>
      </c>
    </row>
    <row r="15" spans="1:36" ht="15.75" customHeight="1" x14ac:dyDescent="0.4">
      <c r="A15" s="25" t="s">
        <v>152</v>
      </c>
      <c r="B15" s="25">
        <v>14</v>
      </c>
      <c r="C15" s="25">
        <v>64.316800000000001</v>
      </c>
      <c r="D15" s="25">
        <v>203</v>
      </c>
      <c r="E15" s="25">
        <v>63.297199999999997</v>
      </c>
      <c r="F15" s="25">
        <v>258</v>
      </c>
      <c r="G15" s="25">
        <v>108.6194</v>
      </c>
      <c r="H15" s="25">
        <v>48</v>
      </c>
      <c r="I15" s="25">
        <v>108.4051</v>
      </c>
      <c r="J15" s="25">
        <v>58</v>
      </c>
      <c r="K15" s="25">
        <v>95.783299999999997</v>
      </c>
      <c r="L15" s="25">
        <v>43</v>
      </c>
      <c r="M15" s="25">
        <v>99.227999999999994</v>
      </c>
      <c r="N15" s="25">
        <v>106</v>
      </c>
      <c r="O15" s="25">
        <v>0.73443199999999997</v>
      </c>
      <c r="P15" s="25">
        <v>71</v>
      </c>
      <c r="Q15" s="14">
        <f t="shared" si="0"/>
        <v>9.17710000000001</v>
      </c>
      <c r="S15" s="1" t="s">
        <v>413</v>
      </c>
    </row>
    <row r="16" spans="1:36" ht="15.75" customHeight="1" x14ac:dyDescent="0.4">
      <c r="A16" s="25" t="s">
        <v>255</v>
      </c>
      <c r="B16" s="25">
        <v>13</v>
      </c>
      <c r="C16" s="25">
        <v>61.022599999999997</v>
      </c>
      <c r="D16" s="25">
        <v>326</v>
      </c>
      <c r="E16" s="25">
        <v>61.493699999999997</v>
      </c>
      <c r="F16" s="25">
        <v>317</v>
      </c>
      <c r="G16" s="25">
        <v>101.7488</v>
      </c>
      <c r="H16" s="25">
        <v>181</v>
      </c>
      <c r="I16" s="25">
        <v>102.02209999999999</v>
      </c>
      <c r="J16" s="25">
        <v>170</v>
      </c>
      <c r="K16" s="25">
        <v>93.631200000000007</v>
      </c>
      <c r="L16" s="25">
        <v>20</v>
      </c>
      <c r="M16" s="25">
        <v>94.544600000000003</v>
      </c>
      <c r="N16" s="25">
        <v>34</v>
      </c>
      <c r="O16" s="25">
        <v>0.70585900000000001</v>
      </c>
      <c r="P16" s="25">
        <v>78</v>
      </c>
      <c r="Q16" s="14">
        <f t="shared" si="0"/>
        <v>7.477499999999992</v>
      </c>
      <c r="S16" s="27">
        <f>1</f>
        <v>1</v>
      </c>
      <c r="T16" s="28" t="str">
        <f ca="1">IFERROR(__xludf.DUMMYFUNCTION("filter(A1:Q27,I1:I27&gt;='Cinderella clean'!G31,M1:M27&lt;='Cinderella clean'!I32,Q1:Q27&gt;='Cinderella clean'!L33)"),"Texas")</f>
        <v>Texas</v>
      </c>
      <c r="U16" s="28">
        <f ca="1">IFERROR(__xludf.DUMMYFUNCTION("""COMPUTED_VALUE"""),11)</f>
        <v>11</v>
      </c>
      <c r="V16" s="28">
        <f ca="1">IFERROR(__xludf.DUMMYFUNCTION("""COMPUTED_VALUE"""),63.0847)</f>
        <v>63.084699999999998</v>
      </c>
      <c r="W16" s="28">
        <f ca="1">IFERROR(__xludf.DUMMYFUNCTION("""COMPUTED_VALUE"""),269)</f>
        <v>269</v>
      </c>
      <c r="X16" s="28">
        <f ca="1">IFERROR(__xludf.DUMMYFUNCTION("""COMPUTED_VALUE"""),62.2793)</f>
        <v>62.279299999999999</v>
      </c>
      <c r="Y16" s="28">
        <f ca="1">IFERROR(__xludf.DUMMYFUNCTION("""COMPUTED_VALUE"""),294)</f>
        <v>294</v>
      </c>
      <c r="Z16" s="28">
        <f ca="1">IFERROR(__xludf.DUMMYFUNCTION("""COMPUTED_VALUE"""),106.4896)</f>
        <v>106.4896</v>
      </c>
      <c r="AA16" s="28">
        <f ca="1">IFERROR(__xludf.DUMMYFUNCTION("""COMPUTED_VALUE"""),77)</f>
        <v>77</v>
      </c>
      <c r="AB16" s="28">
        <f ca="1">IFERROR(__xludf.DUMMYFUNCTION("""COMPUTED_VALUE"""),110.2882)</f>
        <v>110.2882</v>
      </c>
      <c r="AC16" s="28">
        <f ca="1">IFERROR(__xludf.DUMMYFUNCTION("""COMPUTED_VALUE"""),42)</f>
        <v>42</v>
      </c>
      <c r="AD16" s="28">
        <f ca="1">IFERROR(__xludf.DUMMYFUNCTION("""COMPUTED_VALUE"""),94.5865)</f>
        <v>94.586500000000001</v>
      </c>
      <c r="AE16" s="28">
        <f ca="1">IFERROR(__xludf.DUMMYFUNCTION("""COMPUTED_VALUE"""),28)</f>
        <v>28</v>
      </c>
      <c r="AF16" s="28">
        <f ca="1">IFERROR(__xludf.DUMMYFUNCTION("""COMPUTED_VALUE"""),93.3071)</f>
        <v>93.307100000000005</v>
      </c>
      <c r="AG16" s="28">
        <f ca="1">IFERROR(__xludf.DUMMYFUNCTION("""COMPUTED_VALUE"""),19)</f>
        <v>19</v>
      </c>
      <c r="AH16" s="28">
        <f ca="1">IFERROR(__xludf.DUMMYFUNCTION("""COMPUTED_VALUE"""),0.872452)</f>
        <v>0.87245200000000001</v>
      </c>
      <c r="AI16" s="28">
        <f ca="1">IFERROR(__xludf.DUMMYFUNCTION("""COMPUTED_VALUE"""),20)</f>
        <v>20</v>
      </c>
      <c r="AJ16" s="29">
        <f ca="1">IFERROR(__xludf.DUMMYFUNCTION("""COMPUTED_VALUE"""),16.9810999999999)</f>
        <v>16.981099999999898</v>
      </c>
    </row>
    <row r="17" spans="1:36" ht="15.75" customHeight="1" x14ac:dyDescent="0.4">
      <c r="A17" s="25" t="s">
        <v>118</v>
      </c>
      <c r="B17" s="25">
        <v>15</v>
      </c>
      <c r="C17" s="25">
        <v>62.7971</v>
      </c>
      <c r="D17" s="25">
        <v>281</v>
      </c>
      <c r="E17" s="25">
        <v>63.728200000000001</v>
      </c>
      <c r="F17" s="25">
        <v>233</v>
      </c>
      <c r="G17" s="25">
        <v>107.3347</v>
      </c>
      <c r="H17" s="25">
        <v>61</v>
      </c>
      <c r="I17" s="25">
        <v>104.06180000000001</v>
      </c>
      <c r="J17" s="25">
        <v>120</v>
      </c>
      <c r="K17" s="25">
        <v>94.170599999999993</v>
      </c>
      <c r="L17" s="25">
        <v>25</v>
      </c>
      <c r="M17" s="25">
        <v>97.947000000000003</v>
      </c>
      <c r="N17" s="25">
        <v>87</v>
      </c>
      <c r="O17" s="25">
        <v>0.66739300000000001</v>
      </c>
      <c r="P17" s="25">
        <v>88</v>
      </c>
      <c r="Q17" s="14">
        <f t="shared" si="0"/>
        <v>6.1148000000000025</v>
      </c>
      <c r="S17">
        <f t="shared" ref="S17:S19" si="2">S16+1</f>
        <v>2</v>
      </c>
      <c r="T17" t="str">
        <f ca="1">IFERROR(__xludf.DUMMYFUNCTION("""COMPUTED_VALUE"""),"Ohio St.")</f>
        <v>Ohio St.</v>
      </c>
      <c r="U17">
        <f ca="1">IFERROR(__xludf.DUMMYFUNCTION("""COMPUTED_VALUE"""),10)</f>
        <v>10</v>
      </c>
      <c r="V17">
        <f ca="1">IFERROR(__xludf.DUMMYFUNCTION("""COMPUTED_VALUE"""),66.1778)</f>
        <v>66.177800000000005</v>
      </c>
      <c r="W17">
        <f ca="1">IFERROR(__xludf.DUMMYFUNCTION("""COMPUTED_VALUE"""),108)</f>
        <v>108</v>
      </c>
      <c r="X17">
        <f ca="1">IFERROR(__xludf.DUMMYFUNCTION("""COMPUTED_VALUE"""),66.3534)</f>
        <v>66.353399999999993</v>
      </c>
      <c r="Y17">
        <f ca="1">IFERROR(__xludf.DUMMYFUNCTION("""COMPUTED_VALUE"""),96)</f>
        <v>96</v>
      </c>
      <c r="Z17">
        <f ca="1">IFERROR(__xludf.DUMMYFUNCTION("""COMPUTED_VALUE"""),113.8003)</f>
        <v>113.80029999999999</v>
      </c>
      <c r="AA17">
        <f ca="1">IFERROR(__xludf.DUMMYFUNCTION("""COMPUTED_VALUE"""),14)</f>
        <v>14</v>
      </c>
      <c r="AB17">
        <f ca="1">IFERROR(__xludf.DUMMYFUNCTION("""COMPUTED_VALUE"""),111.6073)</f>
        <v>111.6073</v>
      </c>
      <c r="AC17">
        <f ca="1">IFERROR(__xludf.DUMMYFUNCTION("""COMPUTED_VALUE"""),29)</f>
        <v>29</v>
      </c>
      <c r="AD17">
        <f ca="1">IFERROR(__xludf.DUMMYFUNCTION("""COMPUTED_VALUE"""),94.655)</f>
        <v>94.655000000000001</v>
      </c>
      <c r="AE17">
        <f ca="1">IFERROR(__xludf.DUMMYFUNCTION("""COMPUTED_VALUE"""),31)</f>
        <v>31</v>
      </c>
      <c r="AF17">
        <f ca="1">IFERROR(__xludf.DUMMYFUNCTION("""COMPUTED_VALUE"""),94.7455)</f>
        <v>94.745500000000007</v>
      </c>
      <c r="AG17">
        <f ca="1">IFERROR(__xludf.DUMMYFUNCTION("""COMPUTED_VALUE"""),40)</f>
        <v>40</v>
      </c>
      <c r="AH17">
        <f ca="1">IFERROR(__xludf.DUMMYFUNCTION("""COMPUTED_VALUE"""),0.868025)</f>
        <v>0.86802500000000005</v>
      </c>
      <c r="AI17">
        <f ca="1">IFERROR(__xludf.DUMMYFUNCTION("""COMPUTED_VALUE"""),21)</f>
        <v>21</v>
      </c>
      <c r="AJ17" s="14">
        <f ca="1">IFERROR(__xludf.DUMMYFUNCTION("""COMPUTED_VALUE"""),16.8617999999999)</f>
        <v>16.861799999999899</v>
      </c>
    </row>
    <row r="18" spans="1:36" ht="15.75" customHeight="1" x14ac:dyDescent="0.4">
      <c r="A18" s="25" t="s">
        <v>279</v>
      </c>
      <c r="B18" s="25">
        <v>12</v>
      </c>
      <c r="C18" s="25">
        <v>62.146500000000003</v>
      </c>
      <c r="D18" s="25">
        <v>300</v>
      </c>
      <c r="E18" s="25">
        <v>61.510899999999999</v>
      </c>
      <c r="F18" s="25">
        <v>316</v>
      </c>
      <c r="G18" s="25">
        <v>106.367</v>
      </c>
      <c r="H18" s="25">
        <v>79</v>
      </c>
      <c r="I18" s="25">
        <v>103.3306</v>
      </c>
      <c r="J18" s="25">
        <v>143</v>
      </c>
      <c r="K18" s="25">
        <v>96.729200000000006</v>
      </c>
      <c r="L18" s="25">
        <v>64</v>
      </c>
      <c r="M18" s="25">
        <v>97.473799999999997</v>
      </c>
      <c r="N18" s="25">
        <v>78</v>
      </c>
      <c r="O18" s="25">
        <v>0.66173300000000002</v>
      </c>
      <c r="P18" s="25">
        <v>90</v>
      </c>
      <c r="Q18" s="14">
        <f t="shared" si="0"/>
        <v>5.8568000000000069</v>
      </c>
      <c r="S18" s="27">
        <f t="shared" si="2"/>
        <v>3</v>
      </c>
      <c r="T18" s="28" t="str">
        <f ca="1">IFERROR(__xludf.DUMMYFUNCTION("""COMPUTED_VALUE"""),"BYU")</f>
        <v>BYU</v>
      </c>
      <c r="U18" s="28">
        <f ca="1">IFERROR(__xludf.DUMMYFUNCTION("""COMPUTED_VALUE"""),11)</f>
        <v>11</v>
      </c>
      <c r="V18" s="28">
        <f ca="1">IFERROR(__xludf.DUMMYFUNCTION("""COMPUTED_VALUE"""),69.6564)</f>
        <v>69.656400000000005</v>
      </c>
      <c r="W18" s="28">
        <f ca="1">IFERROR(__xludf.DUMMYFUNCTION("""COMPUTED_VALUE"""),14)</f>
        <v>14</v>
      </c>
      <c r="X18" s="28">
        <f ca="1">IFERROR(__xludf.DUMMYFUNCTION("""COMPUTED_VALUE"""),70.3762)</f>
        <v>70.376199999999997</v>
      </c>
      <c r="Y18" s="28">
        <f ca="1">IFERROR(__xludf.DUMMYFUNCTION("""COMPUTED_VALUE"""),6)</f>
        <v>6</v>
      </c>
      <c r="Z18" s="28">
        <f ca="1">IFERROR(__xludf.DUMMYFUNCTION("""COMPUTED_VALUE"""),116.0285)</f>
        <v>116.02849999999999</v>
      </c>
      <c r="AA18" s="28">
        <f ca="1">IFERROR(__xludf.DUMMYFUNCTION("""COMPUTED_VALUE"""),7)</f>
        <v>7</v>
      </c>
      <c r="AB18" s="28">
        <f ca="1">IFERROR(__xludf.DUMMYFUNCTION("""COMPUTED_VALUE"""),116.7226)</f>
        <v>116.7226</v>
      </c>
      <c r="AC18" s="28">
        <f ca="1">IFERROR(__xludf.DUMMYFUNCTION("""COMPUTED_VALUE"""),9)</f>
        <v>9</v>
      </c>
      <c r="AD18" s="28">
        <f ca="1">IFERROR(__xludf.DUMMYFUNCTION("""COMPUTED_VALUE"""),102.9773)</f>
        <v>102.9773</v>
      </c>
      <c r="AE18" s="28">
        <f ca="1">IFERROR(__xludf.DUMMYFUNCTION("""COMPUTED_VALUE"""),187)</f>
        <v>187</v>
      </c>
      <c r="AF18" s="28">
        <f ca="1">IFERROR(__xludf.DUMMYFUNCTION("""COMPUTED_VALUE"""),101.0786)</f>
        <v>101.07859999999999</v>
      </c>
      <c r="AG18" s="28">
        <f ca="1">IFERROR(__xludf.DUMMYFUNCTION("""COMPUTED_VALUE"""),139)</f>
        <v>139</v>
      </c>
      <c r="AH18" s="28">
        <f ca="1">IFERROR(__xludf.DUMMYFUNCTION("""COMPUTED_VALUE"""),0.839548)</f>
        <v>0.83954799999999996</v>
      </c>
      <c r="AI18" s="28">
        <f ca="1">IFERROR(__xludf.DUMMYFUNCTION("""COMPUTED_VALUE"""),31)</f>
        <v>31</v>
      </c>
      <c r="AJ18" s="29">
        <f ca="1">IFERROR(__xludf.DUMMYFUNCTION("""COMPUTED_VALUE"""),15.644)</f>
        <v>15.644</v>
      </c>
    </row>
    <row r="19" spans="1:36" ht="15.75" customHeight="1" x14ac:dyDescent="0.4">
      <c r="A19" s="25" t="s">
        <v>110</v>
      </c>
      <c r="B19" s="25">
        <v>13</v>
      </c>
      <c r="C19" s="25">
        <v>64.040499999999994</v>
      </c>
      <c r="D19" s="25">
        <v>221</v>
      </c>
      <c r="E19" s="25">
        <v>63.725900000000003</v>
      </c>
      <c r="F19" s="25">
        <v>234</v>
      </c>
      <c r="G19" s="25">
        <v>103.69370000000001</v>
      </c>
      <c r="H19" s="25">
        <v>133</v>
      </c>
      <c r="I19" s="25">
        <v>103.9436</v>
      </c>
      <c r="J19" s="25">
        <v>123</v>
      </c>
      <c r="K19" s="25">
        <v>98.204400000000007</v>
      </c>
      <c r="L19" s="25">
        <v>90</v>
      </c>
      <c r="M19" s="25">
        <v>98.272199999999998</v>
      </c>
      <c r="N19" s="25">
        <v>92</v>
      </c>
      <c r="O19" s="25">
        <v>0.65593599999999996</v>
      </c>
      <c r="P19" s="25">
        <v>94</v>
      </c>
      <c r="Q19" s="14">
        <f t="shared" si="0"/>
        <v>5.6714000000000055</v>
      </c>
      <c r="S19">
        <f t="shared" si="2"/>
        <v>4</v>
      </c>
      <c r="T19" t="str">
        <f ca="1">IFERROR(__xludf.DUMMYFUNCTION("""COMPUTED_VALUE"""),"Stephen F. Austin")</f>
        <v>Stephen F. Austin</v>
      </c>
      <c r="U19">
        <f ca="1">IFERROR(__xludf.DUMMYFUNCTION("""COMPUTED_VALUE"""),12)</f>
        <v>12</v>
      </c>
      <c r="V19">
        <f ca="1">IFERROR(__xludf.DUMMYFUNCTION("""COMPUTED_VALUE"""),67.8623)</f>
        <v>67.862300000000005</v>
      </c>
      <c r="W19">
        <f ca="1">IFERROR(__xludf.DUMMYFUNCTION("""COMPUTED_VALUE"""),47)</f>
        <v>47</v>
      </c>
      <c r="X19">
        <f ca="1">IFERROR(__xludf.DUMMYFUNCTION("""COMPUTED_VALUE"""),66.7666)</f>
        <v>66.766599999999997</v>
      </c>
      <c r="Y19">
        <f ca="1">IFERROR(__xludf.DUMMYFUNCTION("""COMPUTED_VALUE"""),75)</f>
        <v>75</v>
      </c>
      <c r="Z19">
        <f ca="1">IFERROR(__xludf.DUMMYFUNCTION("""COMPUTED_VALUE"""),115.7403)</f>
        <v>115.7403</v>
      </c>
      <c r="AA19">
        <f ca="1">IFERROR(__xludf.DUMMYFUNCTION("""COMPUTED_VALUE"""),10)</f>
        <v>10</v>
      </c>
      <c r="AB19">
        <f ca="1">IFERROR(__xludf.DUMMYFUNCTION("""COMPUTED_VALUE"""),112.9876)</f>
        <v>112.9876</v>
      </c>
      <c r="AC19">
        <f ca="1">IFERROR(__xludf.DUMMYFUNCTION("""COMPUTED_VALUE"""),19)</f>
        <v>19</v>
      </c>
      <c r="AD19">
        <f ca="1">IFERROR(__xludf.DUMMYFUNCTION("""COMPUTED_VALUE"""),96.5187)</f>
        <v>96.518699999999995</v>
      </c>
      <c r="AE19">
        <f ca="1">IFERROR(__xludf.DUMMYFUNCTION("""COMPUTED_VALUE"""),57)</f>
        <v>57</v>
      </c>
      <c r="AF19">
        <f ca="1">IFERROR(__xludf.DUMMYFUNCTION("""COMPUTED_VALUE"""),99.1309)</f>
        <v>99.130899999999997</v>
      </c>
      <c r="AG19">
        <f ca="1">IFERROR(__xludf.DUMMYFUNCTION("""COMPUTED_VALUE"""),103)</f>
        <v>103</v>
      </c>
      <c r="AH19">
        <f ca="1">IFERROR(__xludf.DUMMYFUNCTION("""COMPUTED_VALUE"""),0.818263)</f>
        <v>0.81826299999999996</v>
      </c>
      <c r="AI19">
        <f ca="1">IFERROR(__xludf.DUMMYFUNCTION("""COMPUTED_VALUE"""),35)</f>
        <v>35</v>
      </c>
      <c r="AJ19" s="14">
        <f ca="1">IFERROR(__xludf.DUMMYFUNCTION("""COMPUTED_VALUE"""),13.8567)</f>
        <v>13.8567</v>
      </c>
    </row>
    <row r="20" spans="1:36" ht="15.75" customHeight="1" x14ac:dyDescent="0.4">
      <c r="A20" s="25" t="s">
        <v>93</v>
      </c>
      <c r="B20" s="25">
        <v>12</v>
      </c>
      <c r="C20" s="25">
        <v>58.364800000000002</v>
      </c>
      <c r="D20" s="25">
        <v>348</v>
      </c>
      <c r="E20" s="25">
        <v>59.237099999999998</v>
      </c>
      <c r="F20" s="25">
        <v>344</v>
      </c>
      <c r="G20" s="25">
        <v>103.1922</v>
      </c>
      <c r="H20" s="25">
        <v>147</v>
      </c>
      <c r="I20" s="25">
        <v>101.8455</v>
      </c>
      <c r="J20" s="25">
        <v>175</v>
      </c>
      <c r="K20" s="25">
        <v>95.343900000000005</v>
      </c>
      <c r="L20" s="25">
        <v>37</v>
      </c>
      <c r="M20" s="25">
        <v>96.974800000000002</v>
      </c>
      <c r="N20" s="25">
        <v>67</v>
      </c>
      <c r="O20" s="25">
        <v>0.63727699999999998</v>
      </c>
      <c r="P20" s="25">
        <v>102</v>
      </c>
      <c r="Q20" s="14">
        <f t="shared" si="0"/>
        <v>4.8706999999999994</v>
      </c>
    </row>
    <row r="21" spans="1:36" ht="15.75" customHeight="1" x14ac:dyDescent="0.4">
      <c r="A21" s="25" t="s">
        <v>308</v>
      </c>
      <c r="B21" s="25">
        <v>14</v>
      </c>
      <c r="C21" s="25">
        <v>63.4818</v>
      </c>
      <c r="D21" s="25">
        <v>251</v>
      </c>
      <c r="E21" s="25">
        <v>63.667000000000002</v>
      </c>
      <c r="F21" s="25">
        <v>239</v>
      </c>
      <c r="G21" s="25">
        <v>107.29640000000001</v>
      </c>
      <c r="H21" s="25">
        <v>63</v>
      </c>
      <c r="I21" s="25">
        <v>105.9911</v>
      </c>
      <c r="J21" s="25">
        <v>90</v>
      </c>
      <c r="K21" s="25">
        <v>101.1421</v>
      </c>
      <c r="L21" s="25">
        <v>151</v>
      </c>
      <c r="M21" s="25">
        <v>102.3937</v>
      </c>
      <c r="N21" s="25">
        <v>171</v>
      </c>
      <c r="O21" s="25">
        <v>0.59798799999999996</v>
      </c>
      <c r="P21" s="25">
        <v>120</v>
      </c>
      <c r="Q21" s="14">
        <f t="shared" si="0"/>
        <v>3.5974000000000075</v>
      </c>
    </row>
    <row r="22" spans="1:36" ht="15.75" customHeight="1" x14ac:dyDescent="0.4">
      <c r="A22" s="25" t="s">
        <v>128</v>
      </c>
      <c r="B22" s="25">
        <v>14</v>
      </c>
      <c r="C22" s="25">
        <v>65.496200000000002</v>
      </c>
      <c r="D22" s="25">
        <v>142</v>
      </c>
      <c r="E22" s="25">
        <v>64.950299999999999</v>
      </c>
      <c r="F22" s="25">
        <v>159</v>
      </c>
      <c r="G22" s="25">
        <v>101.1444</v>
      </c>
      <c r="H22" s="25">
        <v>192</v>
      </c>
      <c r="I22" s="25">
        <v>103.7809</v>
      </c>
      <c r="J22" s="25">
        <v>130</v>
      </c>
      <c r="K22" s="25">
        <v>99.581400000000002</v>
      </c>
      <c r="L22" s="25">
        <v>116</v>
      </c>
      <c r="M22" s="25">
        <v>100.26009999999999</v>
      </c>
      <c r="N22" s="25">
        <v>130</v>
      </c>
      <c r="O22" s="25">
        <v>0.597943</v>
      </c>
      <c r="P22" s="25">
        <v>121</v>
      </c>
      <c r="Q22" s="14">
        <f t="shared" si="0"/>
        <v>3.5208000000000084</v>
      </c>
    </row>
    <row r="23" spans="1:36" ht="15.75" customHeight="1" x14ac:dyDescent="0.4">
      <c r="A23" s="25" t="s">
        <v>339</v>
      </c>
      <c r="B23" s="25">
        <v>14</v>
      </c>
      <c r="C23" s="25">
        <v>61.230899999999998</v>
      </c>
      <c r="D23" s="25">
        <v>321</v>
      </c>
      <c r="E23" s="25">
        <v>61.329700000000003</v>
      </c>
      <c r="F23" s="25">
        <v>320</v>
      </c>
      <c r="G23" s="25">
        <v>106.7968</v>
      </c>
      <c r="H23" s="25">
        <v>67</v>
      </c>
      <c r="I23" s="25">
        <v>104.2175</v>
      </c>
      <c r="J23" s="25">
        <v>117</v>
      </c>
      <c r="K23" s="25">
        <v>98.084199999999996</v>
      </c>
      <c r="L23" s="25">
        <v>86</v>
      </c>
      <c r="M23" s="25">
        <v>101.7462</v>
      </c>
      <c r="N23" s="25">
        <v>155</v>
      </c>
      <c r="O23" s="25">
        <v>0.56856200000000001</v>
      </c>
      <c r="P23" s="25">
        <v>131</v>
      </c>
      <c r="Q23" s="14">
        <f t="shared" si="0"/>
        <v>2.4712999999999994</v>
      </c>
    </row>
    <row r="24" spans="1:36" ht="15.75" customHeight="1" x14ac:dyDescent="0.4">
      <c r="A24" s="25" t="s">
        <v>187</v>
      </c>
      <c r="B24" s="25">
        <v>13</v>
      </c>
      <c r="C24" s="25">
        <v>68.415199999999999</v>
      </c>
      <c r="D24" s="25">
        <v>33</v>
      </c>
      <c r="E24" s="25">
        <v>68.779499999999999</v>
      </c>
      <c r="F24" s="25">
        <v>24</v>
      </c>
      <c r="G24" s="25">
        <v>114.81950000000001</v>
      </c>
      <c r="H24" s="25">
        <v>13</v>
      </c>
      <c r="I24" s="25">
        <v>110.0324</v>
      </c>
      <c r="J24" s="25">
        <v>46</v>
      </c>
      <c r="K24" s="25">
        <v>107.6451</v>
      </c>
      <c r="L24" s="25">
        <v>296</v>
      </c>
      <c r="M24" s="25">
        <v>107.68</v>
      </c>
      <c r="N24" s="25">
        <v>279</v>
      </c>
      <c r="O24" s="25">
        <v>0.56181300000000001</v>
      </c>
      <c r="P24" s="25">
        <v>136</v>
      </c>
      <c r="Q24" s="14">
        <f t="shared" si="0"/>
        <v>2.3523999999999887</v>
      </c>
    </row>
    <row r="25" spans="1:36" ht="15.75" customHeight="1" x14ac:dyDescent="0.4">
      <c r="A25" s="25" t="s">
        <v>244</v>
      </c>
      <c r="B25" s="25">
        <v>15</v>
      </c>
      <c r="C25" s="25">
        <v>67.383899999999997</v>
      </c>
      <c r="D25" s="25">
        <v>65</v>
      </c>
      <c r="E25" s="25">
        <v>67.092399999999998</v>
      </c>
      <c r="F25" s="25">
        <v>63</v>
      </c>
      <c r="G25" s="25">
        <v>109.27070000000001</v>
      </c>
      <c r="H25" s="25">
        <v>41</v>
      </c>
      <c r="I25" s="25">
        <v>107.8516</v>
      </c>
      <c r="J25" s="25">
        <v>64</v>
      </c>
      <c r="K25" s="25">
        <v>104.0763</v>
      </c>
      <c r="L25" s="25">
        <v>215</v>
      </c>
      <c r="M25" s="25">
        <v>106.4962</v>
      </c>
      <c r="N25" s="25">
        <v>259</v>
      </c>
      <c r="O25" s="25">
        <v>0.53629599999999999</v>
      </c>
      <c r="P25" s="25">
        <v>149</v>
      </c>
      <c r="Q25" s="14">
        <f t="shared" si="0"/>
        <v>1.355400000000003</v>
      </c>
    </row>
    <row r="26" spans="1:36" ht="15.75" customHeight="1" x14ac:dyDescent="0.4">
      <c r="A26" s="25" t="s">
        <v>360</v>
      </c>
      <c r="B26" s="25">
        <v>15</v>
      </c>
      <c r="C26" s="25">
        <v>61.424900000000001</v>
      </c>
      <c r="D26" s="25">
        <v>317</v>
      </c>
      <c r="E26" s="25">
        <v>61.176299999999998</v>
      </c>
      <c r="F26" s="25">
        <v>321</v>
      </c>
      <c r="G26" s="25">
        <v>103.55240000000001</v>
      </c>
      <c r="H26" s="25">
        <v>137</v>
      </c>
      <c r="I26" s="25">
        <v>100.9777</v>
      </c>
      <c r="J26" s="25">
        <v>194</v>
      </c>
      <c r="K26" s="25">
        <v>98.960700000000003</v>
      </c>
      <c r="L26" s="25">
        <v>105</v>
      </c>
      <c r="M26" s="25">
        <v>100.07470000000001</v>
      </c>
      <c r="N26" s="25">
        <v>124</v>
      </c>
      <c r="O26" s="25">
        <v>0.52580099999999996</v>
      </c>
      <c r="P26" s="25">
        <v>151</v>
      </c>
      <c r="Q26" s="14">
        <f t="shared" si="0"/>
        <v>0.90299999999999159</v>
      </c>
    </row>
    <row r="27" spans="1:36" ht="15.75" customHeight="1" x14ac:dyDescent="0.4">
      <c r="A27" s="25" t="s">
        <v>325</v>
      </c>
      <c r="B27" s="25">
        <v>15</v>
      </c>
      <c r="C27" s="25">
        <v>64.5565</v>
      </c>
      <c r="D27" s="25">
        <v>191</v>
      </c>
      <c r="E27" s="25">
        <v>63.928699999999999</v>
      </c>
      <c r="F27" s="25">
        <v>221</v>
      </c>
      <c r="G27" s="25">
        <v>103.3623</v>
      </c>
      <c r="H27" s="25">
        <v>142</v>
      </c>
      <c r="I27" s="25">
        <v>101.67319999999999</v>
      </c>
      <c r="J27" s="25">
        <v>177</v>
      </c>
      <c r="K27" s="25">
        <v>102.42140000000001</v>
      </c>
      <c r="L27" s="25">
        <v>178</v>
      </c>
      <c r="M27" s="25">
        <v>104.902</v>
      </c>
      <c r="N27" s="25">
        <v>220</v>
      </c>
      <c r="O27" s="25">
        <v>0.41107300000000002</v>
      </c>
      <c r="P27" s="25">
        <v>207</v>
      </c>
      <c r="Q27" s="14">
        <f t="shared" si="0"/>
        <v>-3.2288000000000068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L1000"/>
  <sheetViews>
    <sheetView showGridLines="0" workbookViewId="0"/>
  </sheetViews>
  <sheetFormatPr defaultColWidth="14.44140625" defaultRowHeight="15.75" customHeight="1" x14ac:dyDescent="0.4"/>
  <cols>
    <col min="3" max="3" width="19.5546875" customWidth="1"/>
    <col min="4" max="4" width="15.27734375" customWidth="1"/>
    <col min="5" max="5" width="19.44140625" customWidth="1"/>
    <col min="6" max="6" width="15.109375" customWidth="1"/>
    <col min="7" max="7" width="22.71875" customWidth="1"/>
    <col min="8" max="8" width="18.27734375" customWidth="1"/>
  </cols>
  <sheetData>
    <row r="1" spans="1:12" ht="15.75" customHeight="1" x14ac:dyDescent="0.4">
      <c r="A1" s="67" t="s">
        <v>29</v>
      </c>
      <c r="B1" s="68" t="s">
        <v>33</v>
      </c>
    </row>
    <row r="3" spans="1:12" ht="15.75" customHeight="1" x14ac:dyDescent="0.4">
      <c r="A3" s="51"/>
      <c r="B3" s="51"/>
      <c r="C3" s="51" t="s">
        <v>414</v>
      </c>
      <c r="D3" s="52" t="s">
        <v>396</v>
      </c>
      <c r="E3" s="52" t="s">
        <v>394</v>
      </c>
      <c r="F3" s="52" t="s">
        <v>400</v>
      </c>
      <c r="G3" s="52" t="s">
        <v>401</v>
      </c>
      <c r="H3" s="52" t="s">
        <v>402</v>
      </c>
      <c r="I3" s="52" t="s">
        <v>403</v>
      </c>
      <c r="J3" s="52" t="s">
        <v>404</v>
      </c>
      <c r="K3" s="52" t="s">
        <v>405</v>
      </c>
      <c r="L3" s="53" t="s">
        <v>415</v>
      </c>
    </row>
    <row r="4" spans="1:12" ht="15.75" customHeight="1" x14ac:dyDescent="0.4">
      <c r="A4" s="51" t="s">
        <v>18</v>
      </c>
      <c r="B4" s="51">
        <v>5</v>
      </c>
      <c r="C4" s="54">
        <v>2010</v>
      </c>
      <c r="D4" s="55">
        <v>16</v>
      </c>
      <c r="E4" s="55">
        <v>0.89681200000000005</v>
      </c>
      <c r="F4" s="55">
        <v>55</v>
      </c>
      <c r="G4" s="55">
        <v>108.1695</v>
      </c>
      <c r="H4" s="55">
        <v>8</v>
      </c>
      <c r="I4" s="55">
        <v>89.628600000000006</v>
      </c>
      <c r="J4" s="55">
        <v>269</v>
      </c>
      <c r="K4" s="55">
        <v>65.161699999999996</v>
      </c>
      <c r="L4" s="56">
        <v>5</v>
      </c>
    </row>
    <row r="5" spans="1:12" ht="15.75" customHeight="1" x14ac:dyDescent="0.4">
      <c r="A5" s="57"/>
      <c r="B5" s="58">
        <v>8</v>
      </c>
      <c r="C5" s="59">
        <v>2011</v>
      </c>
      <c r="D5" s="60">
        <v>45</v>
      </c>
      <c r="E5" s="60">
        <v>0.80815400000000004</v>
      </c>
      <c r="F5" s="60">
        <v>37</v>
      </c>
      <c r="G5" s="60">
        <v>110.4816</v>
      </c>
      <c r="H5" s="60">
        <v>77</v>
      </c>
      <c r="I5" s="60">
        <v>97.494900000000001</v>
      </c>
      <c r="J5" s="60">
        <v>276</v>
      </c>
      <c r="K5" s="60">
        <v>64.418700000000001</v>
      </c>
      <c r="L5" s="61">
        <v>8</v>
      </c>
    </row>
    <row r="6" spans="1:12" ht="15.75" customHeight="1" x14ac:dyDescent="0.4">
      <c r="A6" s="51" t="s">
        <v>54</v>
      </c>
      <c r="B6" s="51">
        <v>1</v>
      </c>
      <c r="C6" s="54">
        <v>2009</v>
      </c>
      <c r="D6" s="55">
        <v>3</v>
      </c>
      <c r="E6" s="55">
        <v>0.94574599999999998</v>
      </c>
      <c r="F6" s="55">
        <v>28</v>
      </c>
      <c r="G6" s="55">
        <v>112.2406</v>
      </c>
      <c r="H6" s="55">
        <v>3</v>
      </c>
      <c r="I6" s="55">
        <v>87.540099999999995</v>
      </c>
      <c r="J6" s="55">
        <v>127</v>
      </c>
      <c r="K6" s="55">
        <v>67.359300000000005</v>
      </c>
      <c r="L6" s="56">
        <v>1</v>
      </c>
    </row>
    <row r="7" spans="1:12" ht="15.75" customHeight="1" x14ac:dyDescent="0.4">
      <c r="A7" s="57"/>
      <c r="B7" s="58">
        <v>2</v>
      </c>
      <c r="C7" s="59">
        <v>2004</v>
      </c>
      <c r="D7" s="60">
        <v>5</v>
      </c>
      <c r="E7" s="60">
        <v>0.93455100000000002</v>
      </c>
      <c r="F7" s="60">
        <v>14</v>
      </c>
      <c r="G7" s="60">
        <v>113.6357</v>
      </c>
      <c r="H7" s="60">
        <v>8</v>
      </c>
      <c r="I7" s="60">
        <v>90.179100000000005</v>
      </c>
      <c r="J7" s="60">
        <v>73</v>
      </c>
      <c r="K7" s="60">
        <v>70.080500000000001</v>
      </c>
      <c r="L7" s="61">
        <v>2</v>
      </c>
    </row>
    <row r="8" spans="1:12" ht="15.75" customHeight="1" x14ac:dyDescent="0.4">
      <c r="A8" s="57"/>
      <c r="B8" s="58">
        <v>3</v>
      </c>
      <c r="C8" s="59">
        <v>2011</v>
      </c>
      <c r="D8" s="60">
        <v>13</v>
      </c>
      <c r="E8" s="60">
        <v>0.90211799999999998</v>
      </c>
      <c r="F8" s="60">
        <v>17</v>
      </c>
      <c r="G8" s="60">
        <v>113.8185</v>
      </c>
      <c r="H8" s="60">
        <v>30</v>
      </c>
      <c r="I8" s="60">
        <v>93.8292</v>
      </c>
      <c r="J8" s="60">
        <v>193</v>
      </c>
      <c r="K8" s="60">
        <v>66.264799999999994</v>
      </c>
      <c r="L8" s="61">
        <v>3</v>
      </c>
    </row>
    <row r="9" spans="1:12" ht="15.75" customHeight="1" x14ac:dyDescent="0.4">
      <c r="A9" s="57"/>
      <c r="B9" s="58">
        <v>7</v>
      </c>
      <c r="C9" s="59">
        <v>2014</v>
      </c>
      <c r="D9" s="60">
        <v>25</v>
      </c>
      <c r="E9" s="60">
        <v>0.86882000000000004</v>
      </c>
      <c r="F9" s="60">
        <v>80</v>
      </c>
      <c r="G9" s="60">
        <v>109.4778</v>
      </c>
      <c r="H9" s="60">
        <v>11</v>
      </c>
      <c r="I9" s="60">
        <v>92.881500000000003</v>
      </c>
      <c r="J9" s="60">
        <v>247</v>
      </c>
      <c r="K9" s="60">
        <v>64.978899999999996</v>
      </c>
      <c r="L9" s="61">
        <v>7</v>
      </c>
    </row>
    <row r="10" spans="1:12" ht="15.75" customHeight="1" x14ac:dyDescent="0.4">
      <c r="A10" s="51" t="s">
        <v>32</v>
      </c>
      <c r="B10" s="51">
        <v>1</v>
      </c>
      <c r="C10" s="54">
        <v>2007</v>
      </c>
      <c r="D10" s="55">
        <v>1.5</v>
      </c>
      <c r="E10" s="55">
        <v>0.95772400000000002</v>
      </c>
      <c r="F10" s="55">
        <v>5</v>
      </c>
      <c r="G10" s="55">
        <v>117.30074999999999</v>
      </c>
      <c r="H10" s="55">
        <v>5.5</v>
      </c>
      <c r="I10" s="55">
        <v>89.425299999999993</v>
      </c>
      <c r="J10" s="55">
        <v>152.5</v>
      </c>
      <c r="K10" s="55">
        <v>67.977649999999997</v>
      </c>
      <c r="L10" s="56">
        <v>1</v>
      </c>
    </row>
    <row r="11" spans="1:12" ht="15.75" customHeight="1" x14ac:dyDescent="0.4">
      <c r="A11" s="51" t="s">
        <v>37</v>
      </c>
      <c r="B11" s="51">
        <v>1</v>
      </c>
      <c r="C11" s="54">
        <v>2010.5</v>
      </c>
      <c r="D11" s="55">
        <v>4</v>
      </c>
      <c r="E11" s="55">
        <v>0.94548900000000002</v>
      </c>
      <c r="F11" s="55">
        <v>10</v>
      </c>
      <c r="G11" s="55">
        <v>117.06819999999999</v>
      </c>
      <c r="H11" s="55">
        <v>11.5</v>
      </c>
      <c r="I11" s="55">
        <v>91.343400000000003</v>
      </c>
      <c r="J11" s="55">
        <v>247</v>
      </c>
      <c r="K11" s="55">
        <v>64.780799999999999</v>
      </c>
      <c r="L11" s="56">
        <v>1</v>
      </c>
    </row>
    <row r="12" spans="1:12" ht="15.75" customHeight="1" x14ac:dyDescent="0.4">
      <c r="A12" s="57"/>
      <c r="B12" s="58">
        <v>3</v>
      </c>
      <c r="C12" s="59">
        <v>2006</v>
      </c>
      <c r="D12" s="60">
        <v>7</v>
      </c>
      <c r="E12" s="60">
        <v>0.91981000000000002</v>
      </c>
      <c r="F12" s="60">
        <v>14</v>
      </c>
      <c r="G12" s="60">
        <v>113.8817</v>
      </c>
      <c r="H12" s="60">
        <v>18</v>
      </c>
      <c r="I12" s="60">
        <v>92.112099999999998</v>
      </c>
      <c r="J12" s="60">
        <v>97</v>
      </c>
      <c r="K12" s="60">
        <v>68.694500000000005</v>
      </c>
      <c r="L12" s="61">
        <v>3</v>
      </c>
    </row>
    <row r="13" spans="1:12" ht="15.75" customHeight="1" x14ac:dyDescent="0.4">
      <c r="A13" s="51" t="s">
        <v>147</v>
      </c>
      <c r="B13" s="51">
        <v>11</v>
      </c>
      <c r="C13" s="54">
        <v>2006</v>
      </c>
      <c r="D13" s="55">
        <v>22</v>
      </c>
      <c r="E13" s="55">
        <v>0.84944200000000003</v>
      </c>
      <c r="F13" s="55">
        <v>78</v>
      </c>
      <c r="G13" s="55">
        <v>106.43989999999999</v>
      </c>
      <c r="H13" s="55">
        <v>12</v>
      </c>
      <c r="I13" s="55">
        <v>91.572000000000003</v>
      </c>
      <c r="J13" s="55">
        <v>276</v>
      </c>
      <c r="K13" s="55">
        <v>64.037499999999994</v>
      </c>
      <c r="L13" s="56">
        <v>11</v>
      </c>
    </row>
    <row r="14" spans="1:12" ht="15.75" customHeight="1" x14ac:dyDescent="0.4">
      <c r="A14" s="51" t="s">
        <v>62</v>
      </c>
      <c r="B14" s="51">
        <v>2</v>
      </c>
      <c r="C14" s="54">
        <v>2007</v>
      </c>
      <c r="D14" s="55">
        <v>4</v>
      </c>
      <c r="E14" s="55">
        <v>0.94601000000000002</v>
      </c>
      <c r="F14" s="55">
        <v>2</v>
      </c>
      <c r="G14" s="55">
        <v>118.5962</v>
      </c>
      <c r="H14" s="55">
        <v>14</v>
      </c>
      <c r="I14" s="55">
        <v>92.455600000000004</v>
      </c>
      <c r="J14" s="55">
        <v>327</v>
      </c>
      <c r="K14" s="55">
        <v>60.222299999999997</v>
      </c>
      <c r="L14" s="56">
        <v>2</v>
      </c>
    </row>
    <row r="15" spans="1:12" ht="15.75" customHeight="1" x14ac:dyDescent="0.4">
      <c r="A15" s="51" t="s">
        <v>92</v>
      </c>
      <c r="B15" s="51">
        <v>3</v>
      </c>
      <c r="C15" s="54">
        <v>2004</v>
      </c>
      <c r="D15" s="55">
        <v>9</v>
      </c>
      <c r="E15" s="55">
        <v>0.92294100000000001</v>
      </c>
      <c r="F15" s="55">
        <v>20</v>
      </c>
      <c r="G15" s="55">
        <v>112.3931</v>
      </c>
      <c r="H15" s="55">
        <v>11</v>
      </c>
      <c r="I15" s="55">
        <v>90.567099999999996</v>
      </c>
      <c r="J15" s="55">
        <v>41</v>
      </c>
      <c r="K15" s="55">
        <v>71.158100000000005</v>
      </c>
      <c r="L15" s="56">
        <v>3</v>
      </c>
    </row>
    <row r="16" spans="1:12" ht="15.75" customHeight="1" x14ac:dyDescent="0.4">
      <c r="A16" s="51" t="s">
        <v>44</v>
      </c>
      <c r="B16" s="51">
        <v>1</v>
      </c>
      <c r="C16" s="54">
        <v>2005</v>
      </c>
      <c r="D16" s="55">
        <v>1</v>
      </c>
      <c r="E16" s="55">
        <v>0.97141699999999997</v>
      </c>
      <c r="F16" s="55">
        <v>2</v>
      </c>
      <c r="G16" s="55">
        <v>120.2137</v>
      </c>
      <c r="H16" s="55">
        <v>3</v>
      </c>
      <c r="I16" s="55">
        <v>88.470299999999995</v>
      </c>
      <c r="J16" s="55">
        <v>212</v>
      </c>
      <c r="K16" s="55">
        <v>66.158000000000001</v>
      </c>
      <c r="L16" s="56">
        <v>1</v>
      </c>
    </row>
    <row r="17" spans="1:12" ht="15.75" customHeight="1" x14ac:dyDescent="0.4">
      <c r="A17" s="51" t="s">
        <v>40</v>
      </c>
      <c r="B17" s="51">
        <v>5</v>
      </c>
      <c r="C17" s="54">
        <v>2002</v>
      </c>
      <c r="D17" s="55">
        <v>8</v>
      </c>
      <c r="E17" s="55">
        <v>0.90696900000000003</v>
      </c>
      <c r="F17" s="55">
        <v>38</v>
      </c>
      <c r="G17" s="55">
        <v>109.61360000000001</v>
      </c>
      <c r="H17" s="55">
        <v>6</v>
      </c>
      <c r="I17" s="55">
        <v>89.922399999999996</v>
      </c>
      <c r="J17" s="55">
        <v>269</v>
      </c>
      <c r="K17" s="55">
        <v>66.573899999999995</v>
      </c>
      <c r="L17" s="56">
        <v>5</v>
      </c>
    </row>
    <row r="18" spans="1:12" ht="15.75" customHeight="1" x14ac:dyDescent="0.4">
      <c r="A18" s="51" t="s">
        <v>35</v>
      </c>
      <c r="B18" s="51">
        <v>1</v>
      </c>
      <c r="C18" s="54">
        <v>2005</v>
      </c>
      <c r="D18" s="55">
        <v>2</v>
      </c>
      <c r="E18" s="55">
        <v>0.9541925</v>
      </c>
      <c r="F18" s="55">
        <v>5</v>
      </c>
      <c r="G18" s="55">
        <v>117.95035</v>
      </c>
      <c r="H18" s="55">
        <v>8</v>
      </c>
      <c r="I18" s="55">
        <v>90.165750000000003</v>
      </c>
      <c r="J18" s="55">
        <v>50.5</v>
      </c>
      <c r="K18" s="55">
        <v>74.009950000000003</v>
      </c>
      <c r="L18" s="56">
        <v>1</v>
      </c>
    </row>
    <row r="19" spans="1:12" ht="15.75" customHeight="1" x14ac:dyDescent="0.4">
      <c r="A19" s="57"/>
      <c r="B19" s="58">
        <v>2</v>
      </c>
      <c r="C19" s="59">
        <v>2007.5</v>
      </c>
      <c r="D19" s="60">
        <v>4</v>
      </c>
      <c r="E19" s="60">
        <v>0.93863350000000001</v>
      </c>
      <c r="F19" s="60">
        <v>17</v>
      </c>
      <c r="G19" s="60">
        <v>112.66865</v>
      </c>
      <c r="H19" s="60">
        <v>5.5</v>
      </c>
      <c r="I19" s="60">
        <v>88.877350000000007</v>
      </c>
      <c r="J19" s="60">
        <v>55.5</v>
      </c>
      <c r="K19" s="60">
        <v>70.722350000000006</v>
      </c>
      <c r="L19" s="61">
        <v>2</v>
      </c>
    </row>
    <row r="20" spans="1:12" ht="15.75" customHeight="1" x14ac:dyDescent="0.4">
      <c r="A20" s="51" t="s">
        <v>45</v>
      </c>
      <c r="B20" s="51">
        <v>1</v>
      </c>
      <c r="C20" s="54">
        <v>2012</v>
      </c>
      <c r="D20" s="55">
        <v>1</v>
      </c>
      <c r="E20" s="55">
        <v>0.96340700000000001</v>
      </c>
      <c r="F20" s="55">
        <v>2</v>
      </c>
      <c r="G20" s="55">
        <v>118.6576</v>
      </c>
      <c r="H20" s="55">
        <v>5</v>
      </c>
      <c r="I20" s="55">
        <v>89.285499999999999</v>
      </c>
      <c r="J20" s="55">
        <v>191</v>
      </c>
      <c r="K20" s="55">
        <v>65.673500000000004</v>
      </c>
      <c r="L20" s="56">
        <v>1</v>
      </c>
    </row>
    <row r="21" spans="1:12" ht="15.75" customHeight="1" x14ac:dyDescent="0.4">
      <c r="A21" s="57"/>
      <c r="B21" s="58">
        <v>4</v>
      </c>
      <c r="C21" s="59">
        <v>2011</v>
      </c>
      <c r="D21" s="60">
        <v>7</v>
      </c>
      <c r="E21" s="60">
        <v>0.92643799999999998</v>
      </c>
      <c r="F21" s="60">
        <v>8</v>
      </c>
      <c r="G21" s="60">
        <v>116.2402</v>
      </c>
      <c r="H21" s="60">
        <v>27</v>
      </c>
      <c r="I21" s="60">
        <v>93.258799999999994</v>
      </c>
      <c r="J21" s="60">
        <v>164</v>
      </c>
      <c r="K21" s="60">
        <v>66.775800000000004</v>
      </c>
      <c r="L21" s="61">
        <v>4</v>
      </c>
    </row>
    <row r="22" spans="1:12" ht="15.75" customHeight="1" x14ac:dyDescent="0.4">
      <c r="A22" s="57"/>
      <c r="B22" s="58">
        <v>8</v>
      </c>
      <c r="C22" s="59">
        <v>2014</v>
      </c>
      <c r="D22" s="60">
        <v>17</v>
      </c>
      <c r="E22" s="60">
        <v>0.88439699999999999</v>
      </c>
      <c r="F22" s="60">
        <v>19</v>
      </c>
      <c r="G22" s="60">
        <v>114.94280000000001</v>
      </c>
      <c r="H22" s="60">
        <v>35</v>
      </c>
      <c r="I22" s="60">
        <v>96.303100000000001</v>
      </c>
      <c r="J22" s="60">
        <v>195</v>
      </c>
      <c r="K22" s="60">
        <v>66.044499999999999</v>
      </c>
      <c r="L22" s="61">
        <v>8</v>
      </c>
    </row>
    <row r="23" spans="1:12" ht="15.75" customHeight="1" x14ac:dyDescent="0.4">
      <c r="A23" s="51" t="s">
        <v>86</v>
      </c>
      <c r="B23" s="51">
        <v>1</v>
      </c>
      <c r="C23" s="54">
        <v>2013</v>
      </c>
      <c r="D23" s="55">
        <v>1</v>
      </c>
      <c r="E23" s="55">
        <v>0.96628700000000001</v>
      </c>
      <c r="F23" s="55">
        <v>18</v>
      </c>
      <c r="G23" s="55">
        <v>112.1925</v>
      </c>
      <c r="H23" s="55">
        <v>1</v>
      </c>
      <c r="I23" s="55">
        <v>83.799400000000006</v>
      </c>
      <c r="J23" s="55">
        <v>112</v>
      </c>
      <c r="K23" s="55">
        <v>67.232900000000001</v>
      </c>
      <c r="L23" s="56">
        <v>1</v>
      </c>
    </row>
    <row r="24" spans="1:12" ht="15.75" customHeight="1" x14ac:dyDescent="0.4">
      <c r="A24" s="57"/>
      <c r="B24" s="58">
        <v>4</v>
      </c>
      <c r="C24" s="59">
        <v>2008.5</v>
      </c>
      <c r="D24" s="60">
        <v>16.5</v>
      </c>
      <c r="E24" s="60">
        <v>0.88939999999999997</v>
      </c>
      <c r="F24" s="60">
        <v>79.5</v>
      </c>
      <c r="G24" s="60">
        <v>107.92415</v>
      </c>
      <c r="H24" s="60">
        <v>11.5</v>
      </c>
      <c r="I24" s="60">
        <v>89.912100000000009</v>
      </c>
      <c r="J24" s="60">
        <v>81.5</v>
      </c>
      <c r="K24" s="60">
        <v>68.727599999999995</v>
      </c>
      <c r="L24" s="61">
        <v>4</v>
      </c>
    </row>
    <row r="25" spans="1:12" ht="15.75" customHeight="1" x14ac:dyDescent="0.4">
      <c r="A25" s="51" t="s">
        <v>85</v>
      </c>
      <c r="B25" s="51">
        <v>4</v>
      </c>
      <c r="C25" s="54">
        <v>2006</v>
      </c>
      <c r="D25" s="55">
        <v>14</v>
      </c>
      <c r="E25" s="55">
        <v>0.88981299999999997</v>
      </c>
      <c r="F25" s="55">
        <v>33</v>
      </c>
      <c r="G25" s="55">
        <v>110.5226</v>
      </c>
      <c r="H25" s="55">
        <v>19</v>
      </c>
      <c r="I25" s="55">
        <v>92.165199999999999</v>
      </c>
      <c r="J25" s="55">
        <v>89</v>
      </c>
      <c r="K25" s="55">
        <v>69.048599999999993</v>
      </c>
      <c r="L25" s="56">
        <v>4</v>
      </c>
    </row>
    <row r="26" spans="1:12" ht="15.75" customHeight="1" x14ac:dyDescent="0.4">
      <c r="A26" s="51" t="s">
        <v>39</v>
      </c>
      <c r="B26" s="51">
        <v>3</v>
      </c>
      <c r="C26" s="54">
        <v>2003</v>
      </c>
      <c r="D26" s="55">
        <v>15</v>
      </c>
      <c r="E26" s="55">
        <v>0.89126000000000005</v>
      </c>
      <c r="F26" s="55">
        <v>4</v>
      </c>
      <c r="G26" s="55">
        <v>116.5789</v>
      </c>
      <c r="H26" s="55">
        <v>79</v>
      </c>
      <c r="I26" s="55">
        <v>97.090199999999996</v>
      </c>
      <c r="J26" s="55">
        <v>216</v>
      </c>
      <c r="K26" s="55">
        <v>67.360500000000002</v>
      </c>
      <c r="L26" s="56">
        <v>3</v>
      </c>
    </row>
    <row r="27" spans="1:12" ht="15.75" customHeight="1" x14ac:dyDescent="0.4">
      <c r="A27" s="51" t="s">
        <v>36</v>
      </c>
      <c r="B27" s="51">
        <v>1</v>
      </c>
      <c r="C27" s="54">
        <v>2002</v>
      </c>
      <c r="D27" s="55">
        <v>4</v>
      </c>
      <c r="E27" s="55">
        <v>0.93981800000000004</v>
      </c>
      <c r="F27" s="55">
        <v>4</v>
      </c>
      <c r="G27" s="55">
        <v>116.2551</v>
      </c>
      <c r="H27" s="55">
        <v>14</v>
      </c>
      <c r="I27" s="55">
        <v>91.542400000000001</v>
      </c>
      <c r="J27" s="55">
        <v>12</v>
      </c>
      <c r="K27" s="55">
        <v>75.418000000000006</v>
      </c>
      <c r="L27" s="56">
        <v>1</v>
      </c>
    </row>
    <row r="28" spans="1:12" ht="15.75" customHeight="1" x14ac:dyDescent="0.4">
      <c r="A28" s="51" t="s">
        <v>71</v>
      </c>
      <c r="B28" s="51">
        <v>1</v>
      </c>
      <c r="C28" s="54">
        <v>2008</v>
      </c>
      <c r="D28" s="55">
        <v>2</v>
      </c>
      <c r="E28" s="55">
        <v>0.95485900000000001</v>
      </c>
      <c r="F28" s="55">
        <v>30</v>
      </c>
      <c r="G28" s="55">
        <v>111.949</v>
      </c>
      <c r="H28" s="55">
        <v>1</v>
      </c>
      <c r="I28" s="55">
        <v>85.855999999999995</v>
      </c>
      <c r="J28" s="55">
        <v>74</v>
      </c>
      <c r="K28" s="55">
        <v>69.744600000000005</v>
      </c>
      <c r="L28" s="56">
        <v>1</v>
      </c>
    </row>
    <row r="29" spans="1:12" ht="12.3" x14ac:dyDescent="0.4">
      <c r="A29" s="51" t="s">
        <v>154</v>
      </c>
      <c r="B29" s="51">
        <v>4</v>
      </c>
      <c r="C29" s="54">
        <v>2013</v>
      </c>
      <c r="D29" s="55">
        <v>11</v>
      </c>
      <c r="E29" s="55">
        <v>0.91065300000000005</v>
      </c>
      <c r="F29" s="55">
        <v>3</v>
      </c>
      <c r="G29" s="55">
        <v>118.0446</v>
      </c>
      <c r="H29" s="55">
        <v>84</v>
      </c>
      <c r="I29" s="55">
        <v>96.465000000000003</v>
      </c>
      <c r="J29" s="55">
        <v>215</v>
      </c>
      <c r="K29" s="55">
        <v>64.980900000000005</v>
      </c>
      <c r="L29" s="56">
        <v>4</v>
      </c>
    </row>
    <row r="30" spans="1:12" ht="12.3" x14ac:dyDescent="0.4">
      <c r="A30" s="51" t="s">
        <v>58</v>
      </c>
      <c r="B30" s="51">
        <v>2</v>
      </c>
      <c r="C30" s="54">
        <v>2009</v>
      </c>
      <c r="D30" s="55">
        <v>10</v>
      </c>
      <c r="E30" s="55">
        <v>0.91061599999999998</v>
      </c>
      <c r="F30" s="55">
        <v>35</v>
      </c>
      <c r="G30" s="55">
        <v>110.8623</v>
      </c>
      <c r="H30" s="55">
        <v>9</v>
      </c>
      <c r="I30" s="55">
        <v>90.599400000000003</v>
      </c>
      <c r="J30" s="55">
        <v>114</v>
      </c>
      <c r="K30" s="55">
        <v>67.654899999999998</v>
      </c>
      <c r="L30" s="56">
        <v>2</v>
      </c>
    </row>
    <row r="31" spans="1:12" ht="12.3" x14ac:dyDescent="0.4">
      <c r="A31" s="57"/>
      <c r="B31" s="58">
        <v>5</v>
      </c>
      <c r="C31" s="59">
        <v>2007.5</v>
      </c>
      <c r="D31" s="60">
        <v>13</v>
      </c>
      <c r="E31" s="60">
        <v>0.90460549999999995</v>
      </c>
      <c r="F31" s="60">
        <v>26.5</v>
      </c>
      <c r="G31" s="60">
        <v>113.7938</v>
      </c>
      <c r="H31" s="60">
        <v>28</v>
      </c>
      <c r="I31" s="60">
        <v>93.197299999999998</v>
      </c>
      <c r="J31" s="60">
        <v>176.5</v>
      </c>
      <c r="K31" s="60">
        <v>67.094650000000001</v>
      </c>
      <c r="L31" s="61">
        <v>5</v>
      </c>
    </row>
    <row r="32" spans="1:12" ht="12.3" x14ac:dyDescent="0.4">
      <c r="A32" s="51" t="s">
        <v>168</v>
      </c>
      <c r="B32" s="51">
        <v>1</v>
      </c>
      <c r="C32" s="54">
        <v>2007.3333333333333</v>
      </c>
      <c r="D32" s="55">
        <v>3.6666666666666665</v>
      </c>
      <c r="E32" s="55">
        <v>0.94780599999999993</v>
      </c>
      <c r="F32" s="55">
        <v>2.3333333333333335</v>
      </c>
      <c r="G32" s="55">
        <v>120.02076666666666</v>
      </c>
      <c r="H32" s="55">
        <v>27</v>
      </c>
      <c r="I32" s="55">
        <v>93.210300000000004</v>
      </c>
      <c r="J32" s="55">
        <v>6.333333333333333</v>
      </c>
      <c r="K32" s="55">
        <v>74.38966666666667</v>
      </c>
      <c r="L32" s="56">
        <v>1</v>
      </c>
    </row>
    <row r="33" spans="1:12" ht="12.3" x14ac:dyDescent="0.4">
      <c r="A33" s="51" t="s">
        <v>21</v>
      </c>
      <c r="B33" s="51">
        <v>1</v>
      </c>
      <c r="C33" s="54">
        <v>2007</v>
      </c>
      <c r="D33" s="55">
        <v>2</v>
      </c>
      <c r="E33" s="55">
        <v>0.95310099999999998</v>
      </c>
      <c r="F33" s="55">
        <v>7</v>
      </c>
      <c r="G33" s="55">
        <v>116.5324</v>
      </c>
      <c r="H33" s="55">
        <v>5</v>
      </c>
      <c r="I33" s="55">
        <v>89.683000000000007</v>
      </c>
      <c r="J33" s="55">
        <v>218</v>
      </c>
      <c r="K33" s="55">
        <v>65.392200000000003</v>
      </c>
      <c r="L33" s="56">
        <v>1</v>
      </c>
    </row>
    <row r="34" spans="1:12" ht="12.3" x14ac:dyDescent="0.4">
      <c r="A34" s="57"/>
      <c r="B34" s="58">
        <v>2</v>
      </c>
      <c r="C34" s="59">
        <v>2012</v>
      </c>
      <c r="D34" s="60">
        <v>3</v>
      </c>
      <c r="E34" s="60">
        <v>0.95023500000000005</v>
      </c>
      <c r="F34" s="60">
        <v>6</v>
      </c>
      <c r="G34" s="60">
        <v>116.1609</v>
      </c>
      <c r="H34" s="60">
        <v>9</v>
      </c>
      <c r="I34" s="60">
        <v>89.882800000000003</v>
      </c>
      <c r="J34" s="60">
        <v>84</v>
      </c>
      <c r="K34" s="60">
        <v>67.906999999999996</v>
      </c>
      <c r="L34" s="61">
        <v>2</v>
      </c>
    </row>
    <row r="35" spans="1:12" ht="12.3" x14ac:dyDescent="0.4">
      <c r="A35" s="51" t="s">
        <v>38</v>
      </c>
      <c r="B35" s="51">
        <v>2</v>
      </c>
      <c r="C35" s="54">
        <v>2002</v>
      </c>
      <c r="D35" s="55">
        <v>6</v>
      </c>
      <c r="E35" s="55">
        <v>0.926647</v>
      </c>
      <c r="F35" s="55">
        <v>31</v>
      </c>
      <c r="G35" s="55">
        <v>110.4555</v>
      </c>
      <c r="H35" s="55">
        <v>4</v>
      </c>
      <c r="I35" s="55">
        <v>88.594099999999997</v>
      </c>
      <c r="J35" s="55">
        <v>212</v>
      </c>
      <c r="K35" s="55">
        <v>68.484399999999994</v>
      </c>
      <c r="L35" s="56">
        <v>2</v>
      </c>
    </row>
    <row r="36" spans="1:12" ht="12.3" x14ac:dyDescent="0.4">
      <c r="A36" s="51" t="s">
        <v>72</v>
      </c>
      <c r="B36" s="51">
        <v>2</v>
      </c>
      <c r="C36" s="54">
        <v>2004</v>
      </c>
      <c r="D36" s="55">
        <v>8</v>
      </c>
      <c r="E36" s="55">
        <v>0.92350600000000005</v>
      </c>
      <c r="F36" s="55">
        <v>7</v>
      </c>
      <c r="G36" s="55">
        <v>115.703</v>
      </c>
      <c r="H36" s="55">
        <v>24</v>
      </c>
      <c r="I36" s="55">
        <v>93.169600000000003</v>
      </c>
      <c r="J36" s="55">
        <v>190</v>
      </c>
      <c r="K36" s="55">
        <v>67.096100000000007</v>
      </c>
      <c r="L36" s="56">
        <v>2</v>
      </c>
    </row>
    <row r="37" spans="1:12" ht="12.3" x14ac:dyDescent="0.4">
      <c r="A37" s="51" t="s">
        <v>23</v>
      </c>
      <c r="B37" s="51">
        <v>3</v>
      </c>
      <c r="C37" s="54">
        <v>2003</v>
      </c>
      <c r="D37" s="55">
        <v>20</v>
      </c>
      <c r="E37" s="55">
        <v>0.88222900000000004</v>
      </c>
      <c r="F37" s="55">
        <v>16</v>
      </c>
      <c r="G37" s="55">
        <v>112.28660000000001</v>
      </c>
      <c r="H37" s="55">
        <v>38</v>
      </c>
      <c r="I37" s="55">
        <v>94.249899999999997</v>
      </c>
      <c r="J37" s="55">
        <v>51</v>
      </c>
      <c r="K37" s="55">
        <v>71.695099999999996</v>
      </c>
      <c r="L37" s="56">
        <v>3</v>
      </c>
    </row>
    <row r="38" spans="1:12" ht="12.3" x14ac:dyDescent="0.4">
      <c r="A38" s="57"/>
      <c r="B38" s="58">
        <v>4</v>
      </c>
      <c r="C38" s="59">
        <v>2013</v>
      </c>
      <c r="D38" s="60">
        <v>15</v>
      </c>
      <c r="E38" s="60">
        <v>0.90246599999999999</v>
      </c>
      <c r="F38" s="60">
        <v>12</v>
      </c>
      <c r="G38" s="60">
        <v>113.0001</v>
      </c>
      <c r="H38" s="60">
        <v>36</v>
      </c>
      <c r="I38" s="60">
        <v>93.122500000000002</v>
      </c>
      <c r="J38" s="60">
        <v>235</v>
      </c>
      <c r="K38" s="60">
        <v>64.518799999999999</v>
      </c>
      <c r="L38" s="61">
        <v>4</v>
      </c>
    </row>
    <row r="39" spans="1:12" ht="12.3" x14ac:dyDescent="0.4">
      <c r="A39" s="51" t="s">
        <v>67</v>
      </c>
      <c r="B39" s="51">
        <v>1</v>
      </c>
      <c r="C39" s="54">
        <v>2003</v>
      </c>
      <c r="D39" s="55">
        <v>8</v>
      </c>
      <c r="E39" s="55">
        <v>0.91625100000000004</v>
      </c>
      <c r="F39" s="55">
        <v>2</v>
      </c>
      <c r="G39" s="55">
        <v>118.7559</v>
      </c>
      <c r="H39" s="55">
        <v>67</v>
      </c>
      <c r="I39" s="55">
        <v>96.450500000000005</v>
      </c>
      <c r="J39" s="55">
        <v>74</v>
      </c>
      <c r="K39" s="55">
        <v>70.774199999999993</v>
      </c>
      <c r="L39" s="56">
        <v>1</v>
      </c>
    </row>
    <row r="40" spans="1:12" ht="12.3" x14ac:dyDescent="0.4">
      <c r="A40" s="51" t="s">
        <v>65</v>
      </c>
      <c r="B40" s="51">
        <v>1</v>
      </c>
      <c r="C40" s="54">
        <v>2008</v>
      </c>
      <c r="D40" s="55">
        <v>3</v>
      </c>
      <c r="E40" s="55">
        <v>0.95323599999999997</v>
      </c>
      <c r="F40" s="55">
        <v>6</v>
      </c>
      <c r="G40" s="55">
        <v>116.1109</v>
      </c>
      <c r="H40" s="55">
        <v>4</v>
      </c>
      <c r="I40" s="55">
        <v>89.335099999999997</v>
      </c>
      <c r="J40" s="55">
        <v>216</v>
      </c>
      <c r="K40" s="55">
        <v>65.5595</v>
      </c>
      <c r="L40" s="56">
        <v>1</v>
      </c>
    </row>
    <row r="41" spans="1:12" ht="12.3" x14ac:dyDescent="0.4">
      <c r="A41" s="57"/>
      <c r="B41" s="58">
        <v>2</v>
      </c>
      <c r="C41" s="59">
        <v>2006.5</v>
      </c>
      <c r="D41" s="60">
        <v>8.5</v>
      </c>
      <c r="E41" s="60">
        <v>0.91576600000000008</v>
      </c>
      <c r="F41" s="60">
        <v>23.5</v>
      </c>
      <c r="G41" s="60">
        <v>112.687</v>
      </c>
      <c r="H41" s="60">
        <v>11.5</v>
      </c>
      <c r="I41" s="60">
        <v>91.571600000000004</v>
      </c>
      <c r="J41" s="60">
        <v>283</v>
      </c>
      <c r="K41" s="60">
        <v>63.592250000000007</v>
      </c>
      <c r="L41" s="61">
        <v>2</v>
      </c>
    </row>
    <row r="42" spans="1:12" ht="12.3" x14ac:dyDescent="0.4">
      <c r="A42" s="51" t="s">
        <v>137</v>
      </c>
      <c r="B42" s="51">
        <v>11</v>
      </c>
      <c r="C42" s="54">
        <v>2011</v>
      </c>
      <c r="D42" s="55">
        <v>78</v>
      </c>
      <c r="E42" s="55">
        <v>0.70762899999999995</v>
      </c>
      <c r="F42" s="55">
        <v>53</v>
      </c>
      <c r="G42" s="55">
        <v>109.1301</v>
      </c>
      <c r="H42" s="55">
        <v>145</v>
      </c>
      <c r="I42" s="55">
        <v>101.0565</v>
      </c>
      <c r="J42" s="55">
        <v>177</v>
      </c>
      <c r="K42" s="55">
        <v>66.498699999999999</v>
      </c>
      <c r="L42" s="56">
        <v>11</v>
      </c>
    </row>
    <row r="43" spans="1:12" ht="12.3" x14ac:dyDescent="0.4">
      <c r="A43" s="51" t="s">
        <v>78</v>
      </c>
      <c r="B43" s="51">
        <v>3</v>
      </c>
      <c r="C43" s="54">
        <v>2009</v>
      </c>
      <c r="D43" s="55">
        <v>18</v>
      </c>
      <c r="E43" s="55">
        <v>0.902702</v>
      </c>
      <c r="F43" s="55">
        <v>30</v>
      </c>
      <c r="G43" s="55">
        <v>111.9937</v>
      </c>
      <c r="H43" s="55">
        <v>17</v>
      </c>
      <c r="I43" s="55">
        <v>92.271699999999996</v>
      </c>
      <c r="J43" s="55">
        <v>86</v>
      </c>
      <c r="K43" s="55">
        <v>68.4696</v>
      </c>
      <c r="L43" s="56">
        <v>3</v>
      </c>
    </row>
    <row r="44" spans="1:12" ht="12.3" x14ac:dyDescent="0.4">
      <c r="A44" s="51" t="s">
        <v>229</v>
      </c>
      <c r="B44" s="51">
        <v>2</v>
      </c>
      <c r="C44" s="54">
        <v>2010</v>
      </c>
      <c r="D44" s="55">
        <v>5</v>
      </c>
      <c r="E44" s="55">
        <v>0.92717499999999997</v>
      </c>
      <c r="F44" s="55">
        <v>9</v>
      </c>
      <c r="G44" s="55">
        <v>115.8246</v>
      </c>
      <c r="H44" s="55">
        <v>31</v>
      </c>
      <c r="I44" s="55">
        <v>92.837599999999995</v>
      </c>
      <c r="J44" s="55">
        <v>312</v>
      </c>
      <c r="K44" s="55">
        <v>63.412999999999997</v>
      </c>
      <c r="L44" s="56">
        <v>2</v>
      </c>
    </row>
    <row r="45" spans="1:12" ht="12.3" x14ac:dyDescent="0.4">
      <c r="A45" s="51" t="s">
        <v>192</v>
      </c>
      <c r="B45" s="51">
        <v>9</v>
      </c>
      <c r="C45" s="54">
        <v>2013</v>
      </c>
      <c r="D45" s="55">
        <v>35</v>
      </c>
      <c r="E45" s="55">
        <v>0.83969400000000005</v>
      </c>
      <c r="F45" s="55">
        <v>59</v>
      </c>
      <c r="G45" s="55">
        <v>107.2784</v>
      </c>
      <c r="H45" s="55">
        <v>34</v>
      </c>
      <c r="I45" s="55">
        <v>92.891499999999994</v>
      </c>
      <c r="J45" s="55">
        <v>233</v>
      </c>
      <c r="K45" s="55">
        <v>64.558999999999997</v>
      </c>
      <c r="L45" s="56">
        <v>9</v>
      </c>
    </row>
    <row r="46" spans="1:12" ht="12.3" x14ac:dyDescent="0.4">
      <c r="A46" s="51" t="s">
        <v>76</v>
      </c>
      <c r="B46" s="51">
        <v>2</v>
      </c>
      <c r="C46" s="54">
        <v>2014</v>
      </c>
      <c r="D46" s="55">
        <v>11</v>
      </c>
      <c r="E46" s="55">
        <v>0.90004099999999998</v>
      </c>
      <c r="F46" s="55">
        <v>5</v>
      </c>
      <c r="G46" s="55">
        <v>119.4575</v>
      </c>
      <c r="H46" s="55">
        <v>59</v>
      </c>
      <c r="I46" s="55">
        <v>98.677599999999998</v>
      </c>
      <c r="J46" s="55">
        <v>275</v>
      </c>
      <c r="K46" s="55">
        <v>64.356099999999998</v>
      </c>
      <c r="L46" s="56">
        <v>2</v>
      </c>
    </row>
    <row r="47" spans="1:12" ht="12.3" x14ac:dyDescent="0.4">
      <c r="A47" s="62" t="s">
        <v>398</v>
      </c>
      <c r="B47" s="63"/>
      <c r="C47" s="64">
        <v>2008</v>
      </c>
      <c r="D47" s="65">
        <v>10.807692307692308</v>
      </c>
      <c r="E47" s="65">
        <v>0.91635171153846151</v>
      </c>
      <c r="F47" s="65">
        <v>21.615384615384617</v>
      </c>
      <c r="G47" s="65">
        <v>114.16817692307697</v>
      </c>
      <c r="H47" s="65">
        <v>22.923076923076923</v>
      </c>
      <c r="I47" s="65">
        <v>91.804938461538441</v>
      </c>
      <c r="J47" s="65">
        <v>158.92307692307693</v>
      </c>
      <c r="K47" s="65">
        <v>67.706646153846151</v>
      </c>
      <c r="L47" s="66">
        <v>3.0384615384615383</v>
      </c>
    </row>
    <row r="48" spans="1:12" ht="12.3" x14ac:dyDescent="0.4">
      <c r="D48" s="15"/>
      <c r="F48" s="15"/>
      <c r="G48" s="14"/>
      <c r="H48" s="15"/>
    </row>
    <row r="49" spans="4:8" ht="12.3" x14ac:dyDescent="0.4">
      <c r="D49" s="15"/>
      <c r="F49" s="15"/>
      <c r="G49" s="14"/>
      <c r="H49" s="15"/>
    </row>
    <row r="50" spans="4:8" ht="12.3" x14ac:dyDescent="0.4">
      <c r="D50" s="15"/>
      <c r="F50" s="15"/>
      <c r="G50" s="14"/>
      <c r="H50" s="15"/>
    </row>
    <row r="51" spans="4:8" ht="12.3" x14ac:dyDescent="0.4">
      <c r="D51" s="15"/>
      <c r="F51" s="15"/>
      <c r="G51" s="14"/>
      <c r="H51" s="15"/>
    </row>
    <row r="52" spans="4:8" ht="12.3" x14ac:dyDescent="0.4">
      <c r="D52" s="15"/>
      <c r="F52" s="15"/>
      <c r="G52" s="14"/>
      <c r="H52" s="15"/>
    </row>
    <row r="53" spans="4:8" ht="12.3" x14ac:dyDescent="0.4">
      <c r="D53" s="15"/>
      <c r="F53" s="15"/>
      <c r="G53" s="14"/>
      <c r="H53" s="15"/>
    </row>
    <row r="54" spans="4:8" ht="12.3" x14ac:dyDescent="0.4">
      <c r="D54" s="15"/>
      <c r="F54" s="15"/>
      <c r="G54" s="14"/>
      <c r="H54" s="15"/>
    </row>
    <row r="55" spans="4:8" ht="12.3" x14ac:dyDescent="0.4">
      <c r="D55" s="15"/>
      <c r="F55" s="15"/>
      <c r="G55" s="14"/>
      <c r="H55" s="15"/>
    </row>
    <row r="56" spans="4:8" ht="12.3" x14ac:dyDescent="0.4">
      <c r="D56" s="15"/>
      <c r="F56" s="15"/>
      <c r="G56" s="14"/>
      <c r="H56" s="15"/>
    </row>
    <row r="57" spans="4:8" ht="12.3" x14ac:dyDescent="0.4">
      <c r="D57" s="15"/>
      <c r="F57" s="15"/>
      <c r="G57" s="14"/>
      <c r="H57" s="15"/>
    </row>
    <row r="58" spans="4:8" ht="12.3" x14ac:dyDescent="0.4">
      <c r="D58" s="15"/>
      <c r="F58" s="15"/>
      <c r="G58" s="14"/>
      <c r="H58" s="15"/>
    </row>
    <row r="59" spans="4:8" ht="12.3" x14ac:dyDescent="0.4">
      <c r="D59" s="15"/>
      <c r="F59" s="15"/>
      <c r="G59" s="14"/>
      <c r="H59" s="15"/>
    </row>
    <row r="60" spans="4:8" ht="12.3" x14ac:dyDescent="0.4">
      <c r="D60" s="15"/>
      <c r="F60" s="15"/>
      <c r="G60" s="14"/>
      <c r="H60" s="15"/>
    </row>
    <row r="61" spans="4:8" ht="12.3" x14ac:dyDescent="0.4">
      <c r="D61" s="15"/>
      <c r="F61" s="15"/>
      <c r="G61" s="14"/>
      <c r="H61" s="15"/>
    </row>
    <row r="62" spans="4:8" ht="12.3" x14ac:dyDescent="0.4">
      <c r="D62" s="15"/>
      <c r="F62" s="15"/>
      <c r="G62" s="14"/>
      <c r="H62" s="15"/>
    </row>
    <row r="63" spans="4:8" ht="12.3" x14ac:dyDescent="0.4">
      <c r="D63" s="15"/>
      <c r="F63" s="15"/>
      <c r="G63" s="14"/>
      <c r="H63" s="15"/>
    </row>
    <row r="64" spans="4:8" ht="12.3" x14ac:dyDescent="0.4">
      <c r="D64" s="15"/>
      <c r="F64" s="15"/>
      <c r="G64" s="14"/>
      <c r="H64" s="15"/>
    </row>
    <row r="65" spans="4:8" ht="12.3" x14ac:dyDescent="0.4">
      <c r="D65" s="15"/>
      <c r="F65" s="15"/>
      <c r="G65" s="14"/>
      <c r="H65" s="15"/>
    </row>
    <row r="66" spans="4:8" ht="12.3" x14ac:dyDescent="0.4">
      <c r="D66" s="15"/>
      <c r="F66" s="15"/>
      <c r="G66" s="14"/>
      <c r="H66" s="15"/>
    </row>
    <row r="67" spans="4:8" ht="12.3" x14ac:dyDescent="0.4">
      <c r="D67" s="15"/>
      <c r="F67" s="15"/>
      <c r="G67" s="14"/>
      <c r="H67" s="15"/>
    </row>
    <row r="68" spans="4:8" ht="12.3" x14ac:dyDescent="0.4">
      <c r="D68" s="15"/>
      <c r="F68" s="15"/>
      <c r="G68" s="14"/>
      <c r="H68" s="15"/>
    </row>
    <row r="69" spans="4:8" ht="12.3" x14ac:dyDescent="0.4">
      <c r="D69" s="15"/>
      <c r="F69" s="15"/>
      <c r="G69" s="14"/>
      <c r="H69" s="15"/>
    </row>
    <row r="70" spans="4:8" ht="12.3" x14ac:dyDescent="0.4">
      <c r="D70" s="15"/>
      <c r="F70" s="15"/>
      <c r="G70" s="14"/>
      <c r="H70" s="15"/>
    </row>
    <row r="71" spans="4:8" ht="12.3" x14ac:dyDescent="0.4">
      <c r="D71" s="15"/>
      <c r="F71" s="15"/>
      <c r="G71" s="14"/>
      <c r="H71" s="15"/>
    </row>
    <row r="72" spans="4:8" ht="12.3" x14ac:dyDescent="0.4">
      <c r="D72" s="15"/>
      <c r="F72" s="15"/>
      <c r="G72" s="14"/>
      <c r="H72" s="15"/>
    </row>
    <row r="73" spans="4:8" ht="12.3" x14ac:dyDescent="0.4">
      <c r="D73" s="15"/>
      <c r="F73" s="15"/>
      <c r="G73" s="14"/>
      <c r="H73" s="15"/>
    </row>
    <row r="74" spans="4:8" ht="12.3" x14ac:dyDescent="0.4">
      <c r="D74" s="15"/>
      <c r="F74" s="15"/>
      <c r="G74" s="14"/>
      <c r="H74" s="15"/>
    </row>
    <row r="75" spans="4:8" ht="12.3" x14ac:dyDescent="0.4">
      <c r="D75" s="15"/>
      <c r="F75" s="15"/>
      <c r="G75" s="14"/>
      <c r="H75" s="15"/>
    </row>
    <row r="76" spans="4:8" ht="12.3" x14ac:dyDescent="0.4">
      <c r="D76" s="15"/>
      <c r="F76" s="15"/>
      <c r="G76" s="14"/>
      <c r="H76" s="15"/>
    </row>
    <row r="77" spans="4:8" ht="12.3" x14ac:dyDescent="0.4">
      <c r="D77" s="15"/>
      <c r="F77" s="15"/>
      <c r="G77" s="14"/>
      <c r="H77" s="15"/>
    </row>
    <row r="78" spans="4:8" ht="12.3" x14ac:dyDescent="0.4">
      <c r="D78" s="15"/>
      <c r="F78" s="15"/>
      <c r="G78" s="14"/>
      <c r="H78" s="15"/>
    </row>
    <row r="79" spans="4:8" ht="12.3" x14ac:dyDescent="0.4">
      <c r="D79" s="15"/>
      <c r="F79" s="15"/>
      <c r="G79" s="14"/>
      <c r="H79" s="15"/>
    </row>
    <row r="80" spans="4:8" ht="12.3" x14ac:dyDescent="0.4">
      <c r="D80" s="15"/>
      <c r="F80" s="15"/>
      <c r="G80" s="14"/>
      <c r="H80" s="15"/>
    </row>
    <row r="81" spans="4:8" ht="12.3" x14ac:dyDescent="0.4">
      <c r="D81" s="15"/>
      <c r="F81" s="15"/>
      <c r="G81" s="14"/>
      <c r="H81" s="15"/>
    </row>
    <row r="82" spans="4:8" ht="12.3" x14ac:dyDescent="0.4">
      <c r="D82" s="15"/>
      <c r="F82" s="15"/>
      <c r="G82" s="14"/>
      <c r="H82" s="15"/>
    </row>
    <row r="83" spans="4:8" ht="12.3" x14ac:dyDescent="0.4">
      <c r="D83" s="15"/>
      <c r="F83" s="15"/>
      <c r="G83" s="14"/>
      <c r="H83" s="15"/>
    </row>
    <row r="84" spans="4:8" ht="12.3" x14ac:dyDescent="0.4">
      <c r="D84" s="15"/>
      <c r="F84" s="15"/>
      <c r="G84" s="14"/>
      <c r="H84" s="15"/>
    </row>
    <row r="85" spans="4:8" ht="12.3" x14ac:dyDescent="0.4">
      <c r="D85" s="15"/>
      <c r="F85" s="15"/>
      <c r="G85" s="14"/>
      <c r="H85" s="15"/>
    </row>
    <row r="86" spans="4:8" ht="12.3" x14ac:dyDescent="0.4">
      <c r="D86" s="15"/>
      <c r="F86" s="15"/>
      <c r="G86" s="14"/>
      <c r="H86" s="15"/>
    </row>
    <row r="87" spans="4:8" ht="12.3" x14ac:dyDescent="0.4">
      <c r="D87" s="15"/>
      <c r="F87" s="15"/>
      <c r="G87" s="14"/>
      <c r="H87" s="15"/>
    </row>
    <row r="88" spans="4:8" ht="12.3" x14ac:dyDescent="0.4">
      <c r="D88" s="15"/>
      <c r="F88" s="15"/>
      <c r="G88" s="14"/>
      <c r="H88" s="15"/>
    </row>
    <row r="89" spans="4:8" ht="12.3" x14ac:dyDescent="0.4">
      <c r="D89" s="15"/>
      <c r="F89" s="15"/>
      <c r="G89" s="14"/>
      <c r="H89" s="15"/>
    </row>
    <row r="90" spans="4:8" ht="12.3" x14ac:dyDescent="0.4">
      <c r="D90" s="15"/>
      <c r="F90" s="15"/>
      <c r="G90" s="14"/>
      <c r="H90" s="15"/>
    </row>
    <row r="91" spans="4:8" ht="12.3" x14ac:dyDescent="0.4">
      <c r="D91" s="15"/>
      <c r="F91" s="15"/>
      <c r="G91" s="14"/>
      <c r="H91" s="15"/>
    </row>
    <row r="92" spans="4:8" ht="12.3" x14ac:dyDescent="0.4">
      <c r="D92" s="15"/>
      <c r="F92" s="15"/>
      <c r="G92" s="14"/>
      <c r="H92" s="15"/>
    </row>
    <row r="93" spans="4:8" ht="12.3" x14ac:dyDescent="0.4">
      <c r="D93" s="15"/>
      <c r="F93" s="15"/>
      <c r="G93" s="14"/>
      <c r="H93" s="15"/>
    </row>
    <row r="94" spans="4:8" ht="12.3" x14ac:dyDescent="0.4">
      <c r="D94" s="15"/>
      <c r="F94" s="15"/>
      <c r="G94" s="14"/>
      <c r="H94" s="15"/>
    </row>
    <row r="95" spans="4:8" ht="12.3" x14ac:dyDescent="0.4">
      <c r="D95" s="15"/>
      <c r="F95" s="15"/>
      <c r="G95" s="14"/>
      <c r="H95" s="15"/>
    </row>
    <row r="96" spans="4:8" ht="12.3" x14ac:dyDescent="0.4">
      <c r="D96" s="15"/>
      <c r="F96" s="15"/>
      <c r="G96" s="14"/>
      <c r="H96" s="15"/>
    </row>
    <row r="97" spans="4:8" ht="12.3" x14ac:dyDescent="0.4">
      <c r="D97" s="15"/>
      <c r="F97" s="15"/>
      <c r="G97" s="14"/>
      <c r="H97" s="15"/>
    </row>
    <row r="98" spans="4:8" ht="12.3" x14ac:dyDescent="0.4">
      <c r="D98" s="15"/>
      <c r="F98" s="15"/>
      <c r="G98" s="14"/>
      <c r="H98" s="15"/>
    </row>
    <row r="99" spans="4:8" ht="12.3" x14ac:dyDescent="0.4">
      <c r="D99" s="15"/>
      <c r="F99" s="15"/>
      <c r="G99" s="14"/>
      <c r="H99" s="15"/>
    </row>
    <row r="100" spans="4:8" ht="12.3" x14ac:dyDescent="0.4">
      <c r="D100" s="15"/>
      <c r="F100" s="15"/>
      <c r="G100" s="14"/>
      <c r="H100" s="15"/>
    </row>
    <row r="101" spans="4:8" ht="12.3" x14ac:dyDescent="0.4">
      <c r="D101" s="15"/>
      <c r="F101" s="15"/>
      <c r="G101" s="14"/>
      <c r="H101" s="15"/>
    </row>
    <row r="102" spans="4:8" ht="12.3" x14ac:dyDescent="0.4">
      <c r="D102" s="15"/>
      <c r="F102" s="15"/>
      <c r="G102" s="14"/>
      <c r="H102" s="15"/>
    </row>
    <row r="103" spans="4:8" ht="12.3" x14ac:dyDescent="0.4">
      <c r="D103" s="15"/>
      <c r="F103" s="15"/>
      <c r="G103" s="14"/>
      <c r="H103" s="15"/>
    </row>
    <row r="104" spans="4:8" ht="12.3" x14ac:dyDescent="0.4">
      <c r="D104" s="15"/>
      <c r="F104" s="15"/>
      <c r="G104" s="14"/>
      <c r="H104" s="15"/>
    </row>
    <row r="105" spans="4:8" ht="12.3" x14ac:dyDescent="0.4">
      <c r="D105" s="15"/>
      <c r="F105" s="15"/>
      <c r="G105" s="14"/>
      <c r="H105" s="15"/>
    </row>
    <row r="106" spans="4:8" ht="12.3" x14ac:dyDescent="0.4">
      <c r="D106" s="15"/>
      <c r="F106" s="15"/>
      <c r="G106" s="14"/>
      <c r="H106" s="15"/>
    </row>
    <row r="107" spans="4:8" ht="12.3" x14ac:dyDescent="0.4">
      <c r="D107" s="15"/>
      <c r="F107" s="15"/>
      <c r="G107" s="14"/>
      <c r="H107" s="15"/>
    </row>
    <row r="108" spans="4:8" ht="12.3" x14ac:dyDescent="0.4">
      <c r="D108" s="15"/>
      <c r="F108" s="15"/>
      <c r="G108" s="14"/>
      <c r="H108" s="15"/>
    </row>
    <row r="109" spans="4:8" ht="12.3" x14ac:dyDescent="0.4">
      <c r="D109" s="15"/>
      <c r="F109" s="15"/>
      <c r="G109" s="14"/>
      <c r="H109" s="15"/>
    </row>
    <row r="110" spans="4:8" ht="12.3" x14ac:dyDescent="0.4">
      <c r="D110" s="15"/>
      <c r="F110" s="15"/>
      <c r="G110" s="14"/>
      <c r="H110" s="15"/>
    </row>
    <row r="111" spans="4:8" ht="12.3" x14ac:dyDescent="0.4">
      <c r="D111" s="15"/>
      <c r="F111" s="15"/>
      <c r="G111" s="14"/>
      <c r="H111" s="15"/>
    </row>
    <row r="112" spans="4:8" ht="12.3" x14ac:dyDescent="0.4">
      <c r="D112" s="15"/>
      <c r="F112" s="15"/>
      <c r="G112" s="14"/>
      <c r="H112" s="15"/>
    </row>
    <row r="113" spans="4:8" ht="12.3" x14ac:dyDescent="0.4">
      <c r="D113" s="15"/>
      <c r="F113" s="15"/>
      <c r="G113" s="14"/>
      <c r="H113" s="15"/>
    </row>
    <row r="114" spans="4:8" ht="12.3" x14ac:dyDescent="0.4">
      <c r="D114" s="15"/>
      <c r="F114" s="15"/>
      <c r="G114" s="14"/>
      <c r="H114" s="15"/>
    </row>
    <row r="115" spans="4:8" ht="12.3" x14ac:dyDescent="0.4">
      <c r="D115" s="15"/>
      <c r="F115" s="15"/>
      <c r="G115" s="14"/>
      <c r="H115" s="15"/>
    </row>
    <row r="116" spans="4:8" ht="12.3" x14ac:dyDescent="0.4">
      <c r="D116" s="15"/>
      <c r="F116" s="15"/>
      <c r="G116" s="14"/>
      <c r="H116" s="15"/>
    </row>
    <row r="117" spans="4:8" ht="12.3" x14ac:dyDescent="0.4">
      <c r="D117" s="15"/>
      <c r="F117" s="15"/>
      <c r="G117" s="14"/>
      <c r="H117" s="15"/>
    </row>
    <row r="118" spans="4:8" ht="12.3" x14ac:dyDescent="0.4">
      <c r="D118" s="15"/>
      <c r="F118" s="15"/>
      <c r="G118" s="14"/>
      <c r="H118" s="15"/>
    </row>
    <row r="119" spans="4:8" ht="12.3" x14ac:dyDescent="0.4">
      <c r="D119" s="15"/>
      <c r="F119" s="15"/>
      <c r="G119" s="14"/>
      <c r="H119" s="15"/>
    </row>
    <row r="120" spans="4:8" ht="12.3" x14ac:dyDescent="0.4">
      <c r="D120" s="15"/>
      <c r="F120" s="15"/>
      <c r="G120" s="14"/>
      <c r="H120" s="15"/>
    </row>
    <row r="121" spans="4:8" ht="12.3" x14ac:dyDescent="0.4">
      <c r="D121" s="15"/>
      <c r="F121" s="15"/>
      <c r="G121" s="14"/>
      <c r="H121" s="15"/>
    </row>
    <row r="122" spans="4:8" ht="12.3" x14ac:dyDescent="0.4">
      <c r="D122" s="15"/>
      <c r="F122" s="15"/>
      <c r="G122" s="14"/>
      <c r="H122" s="15"/>
    </row>
    <row r="123" spans="4:8" ht="12.3" x14ac:dyDescent="0.4">
      <c r="D123" s="15"/>
      <c r="F123" s="15"/>
      <c r="G123" s="14"/>
      <c r="H123" s="15"/>
    </row>
    <row r="124" spans="4:8" ht="12.3" x14ac:dyDescent="0.4">
      <c r="D124" s="15"/>
      <c r="F124" s="15"/>
      <c r="G124" s="14"/>
      <c r="H124" s="15"/>
    </row>
    <row r="125" spans="4:8" ht="12.3" x14ac:dyDescent="0.4">
      <c r="D125" s="15"/>
      <c r="F125" s="15"/>
      <c r="G125" s="14"/>
      <c r="H125" s="15"/>
    </row>
    <row r="126" spans="4:8" ht="12.3" x14ac:dyDescent="0.4">
      <c r="D126" s="15"/>
      <c r="F126" s="15"/>
      <c r="G126" s="14"/>
      <c r="H126" s="15"/>
    </row>
    <row r="127" spans="4:8" ht="12.3" x14ac:dyDescent="0.4">
      <c r="D127" s="15"/>
      <c r="F127" s="15"/>
      <c r="G127" s="14"/>
      <c r="H127" s="15"/>
    </row>
    <row r="128" spans="4:8" ht="12.3" x14ac:dyDescent="0.4">
      <c r="D128" s="15"/>
      <c r="F128" s="15"/>
      <c r="G128" s="14"/>
      <c r="H128" s="15"/>
    </row>
    <row r="129" spans="4:8" ht="12.3" x14ac:dyDescent="0.4">
      <c r="D129" s="15"/>
      <c r="F129" s="15"/>
      <c r="G129" s="14"/>
      <c r="H129" s="15"/>
    </row>
    <row r="130" spans="4:8" ht="12.3" x14ac:dyDescent="0.4">
      <c r="D130" s="15"/>
      <c r="F130" s="15"/>
      <c r="G130" s="14"/>
      <c r="H130" s="15"/>
    </row>
    <row r="131" spans="4:8" ht="12.3" x14ac:dyDescent="0.4">
      <c r="D131" s="15"/>
      <c r="F131" s="15"/>
      <c r="G131" s="14"/>
      <c r="H131" s="15"/>
    </row>
    <row r="132" spans="4:8" ht="12.3" x14ac:dyDescent="0.4">
      <c r="D132" s="15"/>
      <c r="F132" s="15"/>
      <c r="G132" s="14"/>
      <c r="H132" s="15"/>
    </row>
    <row r="133" spans="4:8" ht="12.3" x14ac:dyDescent="0.4">
      <c r="D133" s="15"/>
      <c r="F133" s="15"/>
      <c r="G133" s="14"/>
      <c r="H133" s="15"/>
    </row>
    <row r="134" spans="4:8" ht="12.3" x14ac:dyDescent="0.4">
      <c r="D134" s="15"/>
      <c r="F134" s="15"/>
      <c r="G134" s="14"/>
      <c r="H134" s="15"/>
    </row>
    <row r="135" spans="4:8" ht="12.3" x14ac:dyDescent="0.4">
      <c r="D135" s="15"/>
      <c r="F135" s="15"/>
      <c r="G135" s="14"/>
      <c r="H135" s="15"/>
    </row>
    <row r="136" spans="4:8" ht="12.3" x14ac:dyDescent="0.4">
      <c r="D136" s="15"/>
      <c r="F136" s="15"/>
      <c r="G136" s="14"/>
      <c r="H136" s="15"/>
    </row>
    <row r="137" spans="4:8" ht="12.3" x14ac:dyDescent="0.4">
      <c r="D137" s="15"/>
      <c r="F137" s="15"/>
      <c r="G137" s="14"/>
      <c r="H137" s="15"/>
    </row>
    <row r="138" spans="4:8" ht="12.3" x14ac:dyDescent="0.4">
      <c r="D138" s="15"/>
      <c r="F138" s="15"/>
      <c r="G138" s="14"/>
      <c r="H138" s="15"/>
    </row>
    <row r="139" spans="4:8" ht="12.3" x14ac:dyDescent="0.4">
      <c r="D139" s="15"/>
      <c r="F139" s="15"/>
      <c r="G139" s="14"/>
      <c r="H139" s="15"/>
    </row>
    <row r="140" spans="4:8" ht="12.3" x14ac:dyDescent="0.4">
      <c r="D140" s="15"/>
      <c r="F140" s="15"/>
      <c r="G140" s="14"/>
      <c r="H140" s="15"/>
    </row>
    <row r="141" spans="4:8" ht="12.3" x14ac:dyDescent="0.4">
      <c r="D141" s="15"/>
      <c r="F141" s="15"/>
      <c r="G141" s="14"/>
      <c r="H141" s="15"/>
    </row>
    <row r="142" spans="4:8" ht="12.3" x14ac:dyDescent="0.4">
      <c r="D142" s="15"/>
      <c r="F142" s="15"/>
      <c r="G142" s="14"/>
      <c r="H142" s="15"/>
    </row>
    <row r="143" spans="4:8" ht="12.3" x14ac:dyDescent="0.4">
      <c r="D143" s="15"/>
      <c r="F143" s="15"/>
      <c r="G143" s="14"/>
      <c r="H143" s="15"/>
    </row>
    <row r="144" spans="4:8" ht="12.3" x14ac:dyDescent="0.4">
      <c r="D144" s="15"/>
      <c r="F144" s="15"/>
      <c r="G144" s="14"/>
      <c r="H144" s="15"/>
    </row>
    <row r="145" spans="4:8" ht="12.3" x14ac:dyDescent="0.4">
      <c r="D145" s="15"/>
      <c r="F145" s="15"/>
      <c r="G145" s="14"/>
      <c r="H145" s="15"/>
    </row>
    <row r="146" spans="4:8" ht="12.3" x14ac:dyDescent="0.4">
      <c r="D146" s="15"/>
      <c r="F146" s="15"/>
      <c r="G146" s="14"/>
      <c r="H146" s="15"/>
    </row>
    <row r="147" spans="4:8" ht="12.3" x14ac:dyDescent="0.4">
      <c r="D147" s="15"/>
      <c r="F147" s="15"/>
      <c r="G147" s="14"/>
      <c r="H147" s="15"/>
    </row>
    <row r="148" spans="4:8" ht="12.3" x14ac:dyDescent="0.4">
      <c r="D148" s="15"/>
      <c r="F148" s="15"/>
      <c r="G148" s="14"/>
      <c r="H148" s="15"/>
    </row>
    <row r="149" spans="4:8" ht="12.3" x14ac:dyDescent="0.4">
      <c r="D149" s="15"/>
      <c r="F149" s="15"/>
      <c r="G149" s="14"/>
      <c r="H149" s="15"/>
    </row>
    <row r="150" spans="4:8" ht="12.3" x14ac:dyDescent="0.4">
      <c r="D150" s="15"/>
      <c r="F150" s="15"/>
      <c r="G150" s="14"/>
      <c r="H150" s="15"/>
    </row>
    <row r="151" spans="4:8" ht="12.3" x14ac:dyDescent="0.4">
      <c r="D151" s="15"/>
      <c r="F151" s="15"/>
      <c r="G151" s="14"/>
      <c r="H151" s="15"/>
    </row>
    <row r="152" spans="4:8" ht="12.3" x14ac:dyDescent="0.4">
      <c r="D152" s="15"/>
      <c r="F152" s="15"/>
      <c r="G152" s="14"/>
      <c r="H152" s="15"/>
    </row>
    <row r="153" spans="4:8" ht="12.3" x14ac:dyDescent="0.4">
      <c r="D153" s="15"/>
      <c r="F153" s="15"/>
      <c r="G153" s="14"/>
      <c r="H153" s="15"/>
    </row>
    <row r="154" spans="4:8" ht="12.3" x14ac:dyDescent="0.4">
      <c r="D154" s="15"/>
      <c r="F154" s="15"/>
      <c r="G154" s="14"/>
      <c r="H154" s="15"/>
    </row>
    <row r="155" spans="4:8" ht="12.3" x14ac:dyDescent="0.4">
      <c r="D155" s="15"/>
      <c r="F155" s="15"/>
      <c r="G155" s="14"/>
      <c r="H155" s="15"/>
    </row>
    <row r="156" spans="4:8" ht="12.3" x14ac:dyDescent="0.4">
      <c r="D156" s="15"/>
      <c r="F156" s="15"/>
      <c r="G156" s="14"/>
      <c r="H156" s="15"/>
    </row>
    <row r="157" spans="4:8" ht="12.3" x14ac:dyDescent="0.4">
      <c r="D157" s="15"/>
      <c r="F157" s="15"/>
      <c r="G157" s="14"/>
      <c r="H157" s="15"/>
    </row>
    <row r="158" spans="4:8" ht="12.3" x14ac:dyDescent="0.4">
      <c r="D158" s="15"/>
      <c r="F158" s="15"/>
      <c r="G158" s="14"/>
      <c r="H158" s="15"/>
    </row>
    <row r="159" spans="4:8" ht="12.3" x14ac:dyDescent="0.4">
      <c r="D159" s="15"/>
      <c r="F159" s="15"/>
      <c r="G159" s="14"/>
      <c r="H159" s="15"/>
    </row>
    <row r="160" spans="4:8" ht="12.3" x14ac:dyDescent="0.4">
      <c r="D160" s="15"/>
      <c r="F160" s="15"/>
      <c r="G160" s="14"/>
      <c r="H160" s="15"/>
    </row>
    <row r="161" spans="4:8" ht="12.3" x14ac:dyDescent="0.4">
      <c r="D161" s="15"/>
      <c r="F161" s="15"/>
      <c r="G161" s="14"/>
      <c r="H161" s="15"/>
    </row>
    <row r="162" spans="4:8" ht="12.3" x14ac:dyDescent="0.4">
      <c r="D162" s="15"/>
      <c r="F162" s="15"/>
      <c r="G162" s="14"/>
      <c r="H162" s="15"/>
    </row>
    <row r="163" spans="4:8" ht="12.3" x14ac:dyDescent="0.4">
      <c r="D163" s="15"/>
      <c r="F163" s="15"/>
      <c r="G163" s="14"/>
      <c r="H163" s="15"/>
    </row>
    <row r="164" spans="4:8" ht="12.3" x14ac:dyDescent="0.4">
      <c r="D164" s="15"/>
      <c r="F164" s="15"/>
      <c r="G164" s="14"/>
      <c r="H164" s="15"/>
    </row>
    <row r="165" spans="4:8" ht="12.3" x14ac:dyDescent="0.4">
      <c r="D165" s="15"/>
      <c r="F165" s="15"/>
      <c r="G165" s="14"/>
      <c r="H165" s="15"/>
    </row>
    <row r="166" spans="4:8" ht="12.3" x14ac:dyDescent="0.4">
      <c r="D166" s="15"/>
      <c r="F166" s="15"/>
      <c r="G166" s="14"/>
      <c r="H166" s="15"/>
    </row>
    <row r="167" spans="4:8" ht="12.3" x14ac:dyDescent="0.4">
      <c r="D167" s="15"/>
      <c r="F167" s="15"/>
      <c r="G167" s="14"/>
      <c r="H167" s="15"/>
    </row>
    <row r="168" spans="4:8" ht="12.3" x14ac:dyDescent="0.4">
      <c r="D168" s="15"/>
      <c r="F168" s="15"/>
      <c r="G168" s="14"/>
      <c r="H168" s="15"/>
    </row>
    <row r="169" spans="4:8" ht="12.3" x14ac:dyDescent="0.4">
      <c r="D169" s="15"/>
      <c r="F169" s="15"/>
      <c r="G169" s="14"/>
      <c r="H169" s="15"/>
    </row>
    <row r="170" spans="4:8" ht="12.3" x14ac:dyDescent="0.4">
      <c r="D170" s="15"/>
      <c r="F170" s="15"/>
      <c r="G170" s="14"/>
      <c r="H170" s="15"/>
    </row>
    <row r="171" spans="4:8" ht="12.3" x14ac:dyDescent="0.4">
      <c r="D171" s="15"/>
      <c r="F171" s="15"/>
      <c r="G171" s="14"/>
      <c r="H171" s="15"/>
    </row>
    <row r="172" spans="4:8" ht="12.3" x14ac:dyDescent="0.4">
      <c r="D172" s="15"/>
      <c r="F172" s="15"/>
      <c r="G172" s="14"/>
      <c r="H172" s="15"/>
    </row>
    <row r="173" spans="4:8" ht="12.3" x14ac:dyDescent="0.4">
      <c r="D173" s="15"/>
      <c r="F173" s="15"/>
      <c r="G173" s="14"/>
      <c r="H173" s="15"/>
    </row>
    <row r="174" spans="4:8" ht="12.3" x14ac:dyDescent="0.4">
      <c r="D174" s="15"/>
      <c r="F174" s="15"/>
      <c r="G174" s="14"/>
      <c r="H174" s="15"/>
    </row>
    <row r="175" spans="4:8" ht="12.3" x14ac:dyDescent="0.4">
      <c r="D175" s="15"/>
      <c r="F175" s="15"/>
      <c r="G175" s="14"/>
      <c r="H175" s="15"/>
    </row>
    <row r="176" spans="4:8" ht="12.3" x14ac:dyDescent="0.4">
      <c r="D176" s="15"/>
      <c r="F176" s="15"/>
      <c r="G176" s="14"/>
      <c r="H176" s="15"/>
    </row>
    <row r="177" spans="4:8" ht="12.3" x14ac:dyDescent="0.4">
      <c r="D177" s="15"/>
      <c r="F177" s="15"/>
      <c r="G177" s="14"/>
      <c r="H177" s="15"/>
    </row>
    <row r="178" spans="4:8" ht="12.3" x14ac:dyDescent="0.4">
      <c r="D178" s="15"/>
      <c r="F178" s="15"/>
      <c r="G178" s="14"/>
      <c r="H178" s="15"/>
    </row>
    <row r="179" spans="4:8" ht="12.3" x14ac:dyDescent="0.4">
      <c r="D179" s="15"/>
      <c r="F179" s="15"/>
      <c r="G179" s="14"/>
      <c r="H179" s="15"/>
    </row>
    <row r="180" spans="4:8" ht="12.3" x14ac:dyDescent="0.4">
      <c r="D180" s="15"/>
      <c r="F180" s="15"/>
      <c r="G180" s="14"/>
      <c r="H180" s="15"/>
    </row>
    <row r="181" spans="4:8" ht="12.3" x14ac:dyDescent="0.4">
      <c r="D181" s="15"/>
      <c r="F181" s="15"/>
      <c r="G181" s="14"/>
      <c r="H181" s="15"/>
    </row>
    <row r="182" spans="4:8" ht="12.3" x14ac:dyDescent="0.4">
      <c r="D182" s="15"/>
      <c r="F182" s="15"/>
      <c r="G182" s="14"/>
      <c r="H182" s="15"/>
    </row>
    <row r="183" spans="4:8" ht="12.3" x14ac:dyDescent="0.4">
      <c r="D183" s="15"/>
      <c r="F183" s="15"/>
      <c r="G183" s="14"/>
      <c r="H183" s="15"/>
    </row>
    <row r="184" spans="4:8" ht="12.3" x14ac:dyDescent="0.4">
      <c r="D184" s="15"/>
      <c r="F184" s="15"/>
      <c r="G184" s="14"/>
      <c r="H184" s="15"/>
    </row>
    <row r="185" spans="4:8" ht="12.3" x14ac:dyDescent="0.4">
      <c r="D185" s="15"/>
      <c r="F185" s="15"/>
      <c r="G185" s="14"/>
      <c r="H185" s="15"/>
    </row>
    <row r="186" spans="4:8" ht="12.3" x14ac:dyDescent="0.4">
      <c r="D186" s="15"/>
      <c r="F186" s="15"/>
      <c r="G186" s="14"/>
      <c r="H186" s="15"/>
    </row>
    <row r="187" spans="4:8" ht="12.3" x14ac:dyDescent="0.4">
      <c r="D187" s="15"/>
      <c r="F187" s="15"/>
      <c r="G187" s="14"/>
      <c r="H187" s="15"/>
    </row>
    <row r="188" spans="4:8" ht="12.3" x14ac:dyDescent="0.4">
      <c r="D188" s="15"/>
      <c r="F188" s="15"/>
      <c r="G188" s="14"/>
      <c r="H188" s="15"/>
    </row>
    <row r="189" spans="4:8" ht="12.3" x14ac:dyDescent="0.4">
      <c r="D189" s="15"/>
      <c r="F189" s="15"/>
      <c r="G189" s="14"/>
      <c r="H189" s="15"/>
    </row>
    <row r="190" spans="4:8" ht="12.3" x14ac:dyDescent="0.4">
      <c r="D190" s="15"/>
      <c r="F190" s="15"/>
      <c r="G190" s="14"/>
      <c r="H190" s="15"/>
    </row>
    <row r="191" spans="4:8" ht="12.3" x14ac:dyDescent="0.4">
      <c r="D191" s="15"/>
      <c r="F191" s="15"/>
      <c r="G191" s="14"/>
      <c r="H191" s="15"/>
    </row>
    <row r="192" spans="4:8" ht="12.3" x14ac:dyDescent="0.4">
      <c r="D192" s="15"/>
      <c r="F192" s="15"/>
      <c r="G192" s="14"/>
      <c r="H192" s="15"/>
    </row>
    <row r="193" spans="4:8" ht="12.3" x14ac:dyDescent="0.4">
      <c r="D193" s="15"/>
      <c r="F193" s="15"/>
      <c r="G193" s="14"/>
      <c r="H193" s="15"/>
    </row>
    <row r="194" spans="4:8" ht="12.3" x14ac:dyDescent="0.4">
      <c r="D194" s="15"/>
      <c r="F194" s="15"/>
      <c r="G194" s="14"/>
      <c r="H194" s="15"/>
    </row>
    <row r="195" spans="4:8" ht="12.3" x14ac:dyDescent="0.4">
      <c r="D195" s="15"/>
      <c r="F195" s="15"/>
      <c r="G195" s="14"/>
      <c r="H195" s="15"/>
    </row>
    <row r="196" spans="4:8" ht="12.3" x14ac:dyDescent="0.4">
      <c r="D196" s="15"/>
      <c r="F196" s="15"/>
      <c r="G196" s="14"/>
      <c r="H196" s="15"/>
    </row>
    <row r="197" spans="4:8" ht="12.3" x14ac:dyDescent="0.4">
      <c r="D197" s="15"/>
      <c r="F197" s="15"/>
      <c r="G197" s="14"/>
      <c r="H197" s="15"/>
    </row>
    <row r="198" spans="4:8" ht="12.3" x14ac:dyDescent="0.4">
      <c r="D198" s="15"/>
      <c r="F198" s="15"/>
      <c r="G198" s="14"/>
      <c r="H198" s="15"/>
    </row>
    <row r="199" spans="4:8" ht="12.3" x14ac:dyDescent="0.4">
      <c r="D199" s="15"/>
      <c r="F199" s="15"/>
      <c r="G199" s="14"/>
      <c r="H199" s="15"/>
    </row>
    <row r="200" spans="4:8" ht="12.3" x14ac:dyDescent="0.4">
      <c r="D200" s="15"/>
      <c r="F200" s="15"/>
      <c r="G200" s="14"/>
      <c r="H200" s="15"/>
    </row>
    <row r="201" spans="4:8" ht="12.3" x14ac:dyDescent="0.4">
      <c r="D201" s="15"/>
      <c r="F201" s="15"/>
      <c r="G201" s="14"/>
      <c r="H201" s="15"/>
    </row>
    <row r="202" spans="4:8" ht="12.3" x14ac:dyDescent="0.4">
      <c r="D202" s="15"/>
      <c r="F202" s="15"/>
      <c r="G202" s="14"/>
      <c r="H202" s="15"/>
    </row>
    <row r="203" spans="4:8" ht="12.3" x14ac:dyDescent="0.4">
      <c r="D203" s="15"/>
      <c r="F203" s="15"/>
      <c r="G203" s="14"/>
      <c r="H203" s="15"/>
    </row>
    <row r="204" spans="4:8" ht="12.3" x14ac:dyDescent="0.4">
      <c r="D204" s="15"/>
      <c r="F204" s="15"/>
      <c r="G204" s="14"/>
      <c r="H204" s="15"/>
    </row>
    <row r="205" spans="4:8" ht="12.3" x14ac:dyDescent="0.4">
      <c r="D205" s="15"/>
      <c r="F205" s="15"/>
      <c r="G205" s="14"/>
      <c r="H205" s="15"/>
    </row>
    <row r="206" spans="4:8" ht="12.3" x14ac:dyDescent="0.4">
      <c r="D206" s="15"/>
      <c r="F206" s="15"/>
      <c r="G206" s="14"/>
      <c r="H206" s="15"/>
    </row>
    <row r="207" spans="4:8" ht="12.3" x14ac:dyDescent="0.4">
      <c r="D207" s="15"/>
      <c r="F207" s="15"/>
      <c r="G207" s="14"/>
      <c r="H207" s="15"/>
    </row>
    <row r="208" spans="4:8" ht="12.3" x14ac:dyDescent="0.4">
      <c r="D208" s="15"/>
      <c r="F208" s="15"/>
      <c r="G208" s="14"/>
      <c r="H208" s="15"/>
    </row>
    <row r="209" spans="4:8" ht="12.3" x14ac:dyDescent="0.4">
      <c r="D209" s="15"/>
      <c r="F209" s="15"/>
      <c r="G209" s="14"/>
      <c r="H209" s="15"/>
    </row>
    <row r="210" spans="4:8" ht="12.3" x14ac:dyDescent="0.4">
      <c r="D210" s="15"/>
      <c r="F210" s="15"/>
      <c r="G210" s="14"/>
      <c r="H210" s="15"/>
    </row>
    <row r="211" spans="4:8" ht="12.3" x14ac:dyDescent="0.4">
      <c r="D211" s="15"/>
      <c r="F211" s="15"/>
      <c r="G211" s="14"/>
      <c r="H211" s="15"/>
    </row>
    <row r="212" spans="4:8" ht="12.3" x14ac:dyDescent="0.4">
      <c r="D212" s="15"/>
      <c r="F212" s="15"/>
      <c r="G212" s="14"/>
      <c r="H212" s="15"/>
    </row>
    <row r="213" spans="4:8" ht="12.3" x14ac:dyDescent="0.4">
      <c r="D213" s="15"/>
      <c r="F213" s="15"/>
      <c r="G213" s="14"/>
      <c r="H213" s="15"/>
    </row>
    <row r="214" spans="4:8" ht="12.3" x14ac:dyDescent="0.4">
      <c r="D214" s="15"/>
      <c r="F214" s="15"/>
      <c r="G214" s="14"/>
      <c r="H214" s="15"/>
    </row>
    <row r="215" spans="4:8" ht="12.3" x14ac:dyDescent="0.4">
      <c r="D215" s="15"/>
      <c r="F215" s="15"/>
      <c r="G215" s="14"/>
      <c r="H215" s="15"/>
    </row>
    <row r="216" spans="4:8" ht="12.3" x14ac:dyDescent="0.4">
      <c r="D216" s="15"/>
      <c r="F216" s="15"/>
      <c r="G216" s="14"/>
      <c r="H216" s="15"/>
    </row>
    <row r="217" spans="4:8" ht="12.3" x14ac:dyDescent="0.4">
      <c r="D217" s="15"/>
      <c r="F217" s="15"/>
      <c r="G217" s="14"/>
      <c r="H217" s="15"/>
    </row>
    <row r="218" spans="4:8" ht="12.3" x14ac:dyDescent="0.4">
      <c r="D218" s="15"/>
      <c r="F218" s="15"/>
      <c r="G218" s="14"/>
      <c r="H218" s="15"/>
    </row>
    <row r="219" spans="4:8" ht="12.3" x14ac:dyDescent="0.4">
      <c r="D219" s="15"/>
      <c r="F219" s="15"/>
      <c r="G219" s="14"/>
      <c r="H219" s="15"/>
    </row>
    <row r="220" spans="4:8" ht="12.3" x14ac:dyDescent="0.4">
      <c r="D220" s="15"/>
      <c r="F220" s="15"/>
      <c r="G220" s="14"/>
      <c r="H220" s="15"/>
    </row>
    <row r="221" spans="4:8" ht="12.3" x14ac:dyDescent="0.4">
      <c r="D221" s="15"/>
      <c r="F221" s="15"/>
      <c r="G221" s="14"/>
      <c r="H221" s="15"/>
    </row>
    <row r="222" spans="4:8" ht="12.3" x14ac:dyDescent="0.4">
      <c r="D222" s="15"/>
      <c r="F222" s="15"/>
      <c r="G222" s="14"/>
      <c r="H222" s="15"/>
    </row>
    <row r="223" spans="4:8" ht="12.3" x14ac:dyDescent="0.4">
      <c r="D223" s="15"/>
      <c r="F223" s="15"/>
      <c r="G223" s="14"/>
      <c r="H223" s="15"/>
    </row>
    <row r="224" spans="4:8" ht="12.3" x14ac:dyDescent="0.4">
      <c r="D224" s="15"/>
      <c r="F224" s="15"/>
      <c r="G224" s="14"/>
      <c r="H224" s="15"/>
    </row>
    <row r="225" spans="4:8" ht="12.3" x14ac:dyDescent="0.4">
      <c r="D225" s="15"/>
      <c r="F225" s="15"/>
      <c r="G225" s="14"/>
      <c r="H225" s="15"/>
    </row>
    <row r="226" spans="4:8" ht="12.3" x14ac:dyDescent="0.4">
      <c r="D226" s="15"/>
      <c r="F226" s="15"/>
      <c r="G226" s="14"/>
      <c r="H226" s="15"/>
    </row>
    <row r="227" spans="4:8" ht="12.3" x14ac:dyDescent="0.4">
      <c r="D227" s="15"/>
      <c r="F227" s="15"/>
      <c r="G227" s="14"/>
      <c r="H227" s="15"/>
    </row>
    <row r="228" spans="4:8" ht="12.3" x14ac:dyDescent="0.4">
      <c r="D228" s="15"/>
      <c r="F228" s="15"/>
      <c r="G228" s="14"/>
      <c r="H228" s="15"/>
    </row>
    <row r="229" spans="4:8" ht="12.3" x14ac:dyDescent="0.4">
      <c r="D229" s="15"/>
      <c r="F229" s="15"/>
      <c r="G229" s="14"/>
      <c r="H229" s="15"/>
    </row>
    <row r="230" spans="4:8" ht="12.3" x14ac:dyDescent="0.4">
      <c r="D230" s="15"/>
      <c r="F230" s="15"/>
      <c r="G230" s="14"/>
      <c r="H230" s="15"/>
    </row>
    <row r="231" spans="4:8" ht="12.3" x14ac:dyDescent="0.4">
      <c r="D231" s="15"/>
      <c r="F231" s="15"/>
      <c r="G231" s="14"/>
      <c r="H231" s="15"/>
    </row>
    <row r="232" spans="4:8" ht="12.3" x14ac:dyDescent="0.4">
      <c r="D232" s="15"/>
      <c r="F232" s="15"/>
      <c r="G232" s="14"/>
      <c r="H232" s="15"/>
    </row>
    <row r="233" spans="4:8" ht="12.3" x14ac:dyDescent="0.4">
      <c r="D233" s="15"/>
      <c r="F233" s="15"/>
      <c r="G233" s="14"/>
      <c r="H233" s="15"/>
    </row>
    <row r="234" spans="4:8" ht="12.3" x14ac:dyDescent="0.4">
      <c r="D234" s="15"/>
      <c r="F234" s="15"/>
      <c r="G234" s="14"/>
      <c r="H234" s="15"/>
    </row>
    <row r="235" spans="4:8" ht="12.3" x14ac:dyDescent="0.4">
      <c r="D235" s="15"/>
      <c r="F235" s="15"/>
      <c r="G235" s="14"/>
      <c r="H235" s="15"/>
    </row>
    <row r="236" spans="4:8" ht="12.3" x14ac:dyDescent="0.4">
      <c r="D236" s="15"/>
      <c r="F236" s="15"/>
      <c r="G236" s="14"/>
      <c r="H236" s="15"/>
    </row>
    <row r="237" spans="4:8" ht="12.3" x14ac:dyDescent="0.4">
      <c r="D237" s="15"/>
      <c r="F237" s="15"/>
      <c r="G237" s="14"/>
      <c r="H237" s="15"/>
    </row>
    <row r="238" spans="4:8" ht="12.3" x14ac:dyDescent="0.4">
      <c r="D238" s="15"/>
      <c r="F238" s="15"/>
      <c r="G238" s="14"/>
      <c r="H238" s="15"/>
    </row>
    <row r="239" spans="4:8" ht="12.3" x14ac:dyDescent="0.4">
      <c r="D239" s="15"/>
      <c r="F239" s="15"/>
      <c r="G239" s="14"/>
      <c r="H239" s="15"/>
    </row>
    <row r="240" spans="4:8" ht="12.3" x14ac:dyDescent="0.4">
      <c r="D240" s="15"/>
      <c r="F240" s="15"/>
      <c r="G240" s="14"/>
      <c r="H240" s="15"/>
    </row>
    <row r="241" spans="4:8" ht="12.3" x14ac:dyDescent="0.4">
      <c r="D241" s="15"/>
      <c r="F241" s="15"/>
      <c r="G241" s="14"/>
      <c r="H241" s="15"/>
    </row>
    <row r="242" spans="4:8" ht="12.3" x14ac:dyDescent="0.4">
      <c r="D242" s="15"/>
      <c r="F242" s="15"/>
      <c r="G242" s="14"/>
      <c r="H242" s="15"/>
    </row>
    <row r="243" spans="4:8" ht="12.3" x14ac:dyDescent="0.4">
      <c r="D243" s="15"/>
      <c r="F243" s="15"/>
      <c r="G243" s="14"/>
      <c r="H243" s="15"/>
    </row>
    <row r="244" spans="4:8" ht="12.3" x14ac:dyDescent="0.4">
      <c r="D244" s="15"/>
      <c r="F244" s="15"/>
      <c r="G244" s="14"/>
      <c r="H244" s="15"/>
    </row>
    <row r="245" spans="4:8" ht="12.3" x14ac:dyDescent="0.4">
      <c r="D245" s="15"/>
      <c r="F245" s="15"/>
      <c r="G245" s="14"/>
      <c r="H245" s="15"/>
    </row>
    <row r="246" spans="4:8" ht="12.3" x14ac:dyDescent="0.4">
      <c r="D246" s="15"/>
      <c r="F246" s="15"/>
      <c r="G246" s="14"/>
      <c r="H246" s="15"/>
    </row>
    <row r="247" spans="4:8" ht="12.3" x14ac:dyDescent="0.4">
      <c r="D247" s="15"/>
      <c r="F247" s="15"/>
      <c r="G247" s="14"/>
      <c r="H247" s="15"/>
    </row>
    <row r="248" spans="4:8" ht="12.3" x14ac:dyDescent="0.4">
      <c r="D248" s="15"/>
      <c r="F248" s="15"/>
      <c r="G248" s="14"/>
      <c r="H248" s="15"/>
    </row>
    <row r="249" spans="4:8" ht="12.3" x14ac:dyDescent="0.4">
      <c r="D249" s="15"/>
      <c r="F249" s="15"/>
      <c r="G249" s="14"/>
      <c r="H249" s="15"/>
    </row>
    <row r="250" spans="4:8" ht="12.3" x14ac:dyDescent="0.4">
      <c r="D250" s="15"/>
      <c r="F250" s="15"/>
      <c r="G250" s="14"/>
      <c r="H250" s="15"/>
    </row>
    <row r="251" spans="4:8" ht="12.3" x14ac:dyDescent="0.4">
      <c r="D251" s="15"/>
      <c r="F251" s="15"/>
      <c r="G251" s="14"/>
      <c r="H251" s="15"/>
    </row>
    <row r="252" spans="4:8" ht="12.3" x14ac:dyDescent="0.4">
      <c r="D252" s="15"/>
      <c r="F252" s="15"/>
      <c r="G252" s="14"/>
      <c r="H252" s="15"/>
    </row>
    <row r="253" spans="4:8" ht="12.3" x14ac:dyDescent="0.4">
      <c r="D253" s="15"/>
      <c r="F253" s="15"/>
      <c r="G253" s="14"/>
      <c r="H253" s="15"/>
    </row>
    <row r="254" spans="4:8" ht="12.3" x14ac:dyDescent="0.4">
      <c r="D254" s="15"/>
      <c r="F254" s="15"/>
      <c r="G254" s="14"/>
      <c r="H254" s="15"/>
    </row>
    <row r="255" spans="4:8" ht="12.3" x14ac:dyDescent="0.4">
      <c r="D255" s="15"/>
      <c r="F255" s="15"/>
      <c r="G255" s="14"/>
      <c r="H255" s="15"/>
    </row>
    <row r="256" spans="4:8" ht="12.3" x14ac:dyDescent="0.4">
      <c r="D256" s="15"/>
      <c r="F256" s="15"/>
      <c r="G256" s="14"/>
      <c r="H256" s="15"/>
    </row>
    <row r="257" spans="4:8" ht="12.3" x14ac:dyDescent="0.4">
      <c r="D257" s="15"/>
      <c r="F257" s="15"/>
      <c r="G257" s="14"/>
      <c r="H257" s="15"/>
    </row>
    <row r="258" spans="4:8" ht="12.3" x14ac:dyDescent="0.4">
      <c r="D258" s="15"/>
      <c r="F258" s="15"/>
      <c r="G258" s="14"/>
      <c r="H258" s="15"/>
    </row>
    <row r="259" spans="4:8" ht="12.3" x14ac:dyDescent="0.4">
      <c r="D259" s="15"/>
      <c r="F259" s="15"/>
      <c r="G259" s="14"/>
      <c r="H259" s="15"/>
    </row>
    <row r="260" spans="4:8" ht="12.3" x14ac:dyDescent="0.4">
      <c r="D260" s="15"/>
      <c r="F260" s="15"/>
      <c r="G260" s="14"/>
      <c r="H260" s="15"/>
    </row>
    <row r="261" spans="4:8" ht="12.3" x14ac:dyDescent="0.4">
      <c r="D261" s="15"/>
      <c r="F261" s="15"/>
      <c r="G261" s="14"/>
      <c r="H261" s="15"/>
    </row>
    <row r="262" spans="4:8" ht="12.3" x14ac:dyDescent="0.4">
      <c r="D262" s="15"/>
      <c r="F262" s="15"/>
      <c r="G262" s="14"/>
      <c r="H262" s="15"/>
    </row>
    <row r="263" spans="4:8" ht="12.3" x14ac:dyDescent="0.4">
      <c r="D263" s="15"/>
      <c r="F263" s="15"/>
      <c r="G263" s="14"/>
      <c r="H263" s="15"/>
    </row>
    <row r="264" spans="4:8" ht="12.3" x14ac:dyDescent="0.4">
      <c r="D264" s="15"/>
      <c r="F264" s="15"/>
      <c r="G264" s="14"/>
      <c r="H264" s="15"/>
    </row>
    <row r="265" spans="4:8" ht="12.3" x14ac:dyDescent="0.4">
      <c r="D265" s="15"/>
      <c r="F265" s="15"/>
      <c r="G265" s="14"/>
      <c r="H265" s="15"/>
    </row>
    <row r="266" spans="4:8" ht="12.3" x14ac:dyDescent="0.4">
      <c r="D266" s="15"/>
      <c r="F266" s="15"/>
      <c r="G266" s="14"/>
      <c r="H266" s="15"/>
    </row>
    <row r="267" spans="4:8" ht="12.3" x14ac:dyDescent="0.4">
      <c r="D267" s="15"/>
      <c r="F267" s="15"/>
      <c r="G267" s="14"/>
      <c r="H267" s="15"/>
    </row>
    <row r="268" spans="4:8" ht="12.3" x14ac:dyDescent="0.4">
      <c r="D268" s="15"/>
      <c r="F268" s="15"/>
      <c r="G268" s="14"/>
      <c r="H268" s="15"/>
    </row>
    <row r="269" spans="4:8" ht="12.3" x14ac:dyDescent="0.4">
      <c r="D269" s="15"/>
      <c r="F269" s="15"/>
      <c r="G269" s="14"/>
      <c r="H269" s="15"/>
    </row>
    <row r="270" spans="4:8" ht="12.3" x14ac:dyDescent="0.4">
      <c r="D270" s="15"/>
      <c r="F270" s="15"/>
      <c r="G270" s="14"/>
      <c r="H270" s="15"/>
    </row>
    <row r="271" spans="4:8" ht="12.3" x14ac:dyDescent="0.4">
      <c r="D271" s="15"/>
      <c r="F271" s="15"/>
      <c r="G271" s="14"/>
      <c r="H271" s="15"/>
    </row>
    <row r="272" spans="4:8" ht="12.3" x14ac:dyDescent="0.4">
      <c r="D272" s="15"/>
      <c r="F272" s="15"/>
      <c r="G272" s="14"/>
      <c r="H272" s="15"/>
    </row>
    <row r="273" spans="4:8" ht="12.3" x14ac:dyDescent="0.4">
      <c r="D273" s="15"/>
      <c r="F273" s="15"/>
      <c r="G273" s="14"/>
      <c r="H273" s="15"/>
    </row>
    <row r="274" spans="4:8" ht="12.3" x14ac:dyDescent="0.4">
      <c r="D274" s="15"/>
      <c r="F274" s="15"/>
      <c r="G274" s="14"/>
      <c r="H274" s="15"/>
    </row>
    <row r="275" spans="4:8" ht="12.3" x14ac:dyDescent="0.4">
      <c r="D275" s="15"/>
      <c r="F275" s="15"/>
      <c r="G275" s="14"/>
      <c r="H275" s="15"/>
    </row>
    <row r="276" spans="4:8" ht="12.3" x14ac:dyDescent="0.4">
      <c r="D276" s="15"/>
      <c r="F276" s="15"/>
      <c r="G276" s="14"/>
      <c r="H276" s="15"/>
    </row>
    <row r="277" spans="4:8" ht="12.3" x14ac:dyDescent="0.4">
      <c r="D277" s="15"/>
      <c r="F277" s="15"/>
      <c r="G277" s="14"/>
      <c r="H277" s="15"/>
    </row>
    <row r="278" spans="4:8" ht="12.3" x14ac:dyDescent="0.4">
      <c r="D278" s="15"/>
      <c r="F278" s="15"/>
      <c r="G278" s="14"/>
      <c r="H278" s="15"/>
    </row>
    <row r="279" spans="4:8" ht="12.3" x14ac:dyDescent="0.4">
      <c r="D279" s="15"/>
      <c r="F279" s="15"/>
      <c r="G279" s="14"/>
      <c r="H279" s="15"/>
    </row>
    <row r="280" spans="4:8" ht="12.3" x14ac:dyDescent="0.4">
      <c r="D280" s="15"/>
      <c r="F280" s="15"/>
      <c r="G280" s="14"/>
      <c r="H280" s="15"/>
    </row>
    <row r="281" spans="4:8" ht="12.3" x14ac:dyDescent="0.4">
      <c r="D281" s="15"/>
      <c r="F281" s="15"/>
      <c r="G281" s="14"/>
      <c r="H281" s="15"/>
    </row>
    <row r="282" spans="4:8" ht="12.3" x14ac:dyDescent="0.4">
      <c r="D282" s="15"/>
      <c r="F282" s="15"/>
      <c r="G282" s="14"/>
      <c r="H282" s="15"/>
    </row>
    <row r="283" spans="4:8" ht="12.3" x14ac:dyDescent="0.4">
      <c r="D283" s="15"/>
      <c r="F283" s="15"/>
      <c r="G283" s="14"/>
      <c r="H283" s="15"/>
    </row>
    <row r="284" spans="4:8" ht="12.3" x14ac:dyDescent="0.4">
      <c r="D284" s="15"/>
      <c r="F284" s="15"/>
      <c r="G284" s="14"/>
      <c r="H284" s="15"/>
    </row>
    <row r="285" spans="4:8" ht="12.3" x14ac:dyDescent="0.4">
      <c r="D285" s="15"/>
      <c r="F285" s="15"/>
      <c r="G285" s="14"/>
      <c r="H285" s="15"/>
    </row>
    <row r="286" spans="4:8" ht="12.3" x14ac:dyDescent="0.4">
      <c r="D286" s="15"/>
      <c r="F286" s="15"/>
      <c r="G286" s="14"/>
      <c r="H286" s="15"/>
    </row>
    <row r="287" spans="4:8" ht="12.3" x14ac:dyDescent="0.4">
      <c r="D287" s="15"/>
      <c r="F287" s="15"/>
      <c r="G287" s="14"/>
      <c r="H287" s="15"/>
    </row>
    <row r="288" spans="4:8" ht="12.3" x14ac:dyDescent="0.4">
      <c r="D288" s="15"/>
      <c r="F288" s="15"/>
      <c r="G288" s="14"/>
      <c r="H288" s="15"/>
    </row>
    <row r="289" spans="4:8" ht="12.3" x14ac:dyDescent="0.4">
      <c r="D289" s="15"/>
      <c r="F289" s="15"/>
      <c r="G289" s="14"/>
      <c r="H289" s="15"/>
    </row>
    <row r="290" spans="4:8" ht="12.3" x14ac:dyDescent="0.4">
      <c r="D290" s="15"/>
      <c r="F290" s="15"/>
      <c r="G290" s="14"/>
      <c r="H290" s="15"/>
    </row>
    <row r="291" spans="4:8" ht="12.3" x14ac:dyDescent="0.4">
      <c r="D291" s="15"/>
      <c r="F291" s="15"/>
      <c r="G291" s="14"/>
      <c r="H291" s="15"/>
    </row>
    <row r="292" spans="4:8" ht="12.3" x14ac:dyDescent="0.4">
      <c r="D292" s="15"/>
      <c r="F292" s="15"/>
      <c r="G292" s="14"/>
      <c r="H292" s="15"/>
    </row>
    <row r="293" spans="4:8" ht="12.3" x14ac:dyDescent="0.4">
      <c r="D293" s="15"/>
      <c r="F293" s="15"/>
      <c r="G293" s="14"/>
      <c r="H293" s="15"/>
    </row>
    <row r="294" spans="4:8" ht="12.3" x14ac:dyDescent="0.4">
      <c r="D294" s="15"/>
      <c r="F294" s="15"/>
      <c r="G294" s="14"/>
      <c r="H294" s="15"/>
    </row>
    <row r="295" spans="4:8" ht="12.3" x14ac:dyDescent="0.4">
      <c r="D295" s="15"/>
      <c r="F295" s="15"/>
      <c r="G295" s="14"/>
      <c r="H295" s="15"/>
    </row>
    <row r="296" spans="4:8" ht="12.3" x14ac:dyDescent="0.4">
      <c r="D296" s="15"/>
      <c r="F296" s="15"/>
      <c r="G296" s="14"/>
      <c r="H296" s="15"/>
    </row>
    <row r="297" spans="4:8" ht="12.3" x14ac:dyDescent="0.4">
      <c r="D297" s="15"/>
      <c r="F297" s="15"/>
      <c r="G297" s="14"/>
      <c r="H297" s="15"/>
    </row>
    <row r="298" spans="4:8" ht="12.3" x14ac:dyDescent="0.4">
      <c r="D298" s="15"/>
      <c r="F298" s="15"/>
      <c r="G298" s="14"/>
      <c r="H298" s="15"/>
    </row>
    <row r="299" spans="4:8" ht="12.3" x14ac:dyDescent="0.4">
      <c r="D299" s="15"/>
      <c r="F299" s="15"/>
      <c r="G299" s="14"/>
      <c r="H299" s="15"/>
    </row>
    <row r="300" spans="4:8" ht="12.3" x14ac:dyDescent="0.4">
      <c r="D300" s="15"/>
      <c r="F300" s="15"/>
      <c r="G300" s="14"/>
      <c r="H300" s="15"/>
    </row>
    <row r="301" spans="4:8" ht="12.3" x14ac:dyDescent="0.4">
      <c r="D301" s="15"/>
      <c r="F301" s="15"/>
      <c r="G301" s="14"/>
      <c r="H301" s="15"/>
    </row>
    <row r="302" spans="4:8" ht="12.3" x14ac:dyDescent="0.4">
      <c r="D302" s="15"/>
      <c r="F302" s="15"/>
      <c r="G302" s="14"/>
      <c r="H302" s="15"/>
    </row>
    <row r="303" spans="4:8" ht="12.3" x14ac:dyDescent="0.4">
      <c r="D303" s="15"/>
      <c r="F303" s="15"/>
      <c r="G303" s="14"/>
      <c r="H303" s="15"/>
    </row>
    <row r="304" spans="4:8" ht="12.3" x14ac:dyDescent="0.4">
      <c r="D304" s="15"/>
      <c r="F304" s="15"/>
      <c r="G304" s="14"/>
      <c r="H304" s="15"/>
    </row>
    <row r="305" spans="4:8" ht="12.3" x14ac:dyDescent="0.4">
      <c r="D305" s="15"/>
      <c r="F305" s="15"/>
      <c r="G305" s="14"/>
      <c r="H305" s="15"/>
    </row>
    <row r="306" spans="4:8" ht="12.3" x14ac:dyDescent="0.4">
      <c r="D306" s="15"/>
      <c r="F306" s="15"/>
      <c r="G306" s="14"/>
      <c r="H306" s="15"/>
    </row>
    <row r="307" spans="4:8" ht="12.3" x14ac:dyDescent="0.4">
      <c r="D307" s="15"/>
      <c r="F307" s="15"/>
      <c r="G307" s="14"/>
      <c r="H307" s="15"/>
    </row>
    <row r="308" spans="4:8" ht="12.3" x14ac:dyDescent="0.4">
      <c r="D308" s="15"/>
      <c r="F308" s="15"/>
      <c r="G308" s="14"/>
      <c r="H308" s="15"/>
    </row>
    <row r="309" spans="4:8" ht="12.3" x14ac:dyDescent="0.4">
      <c r="D309" s="15"/>
      <c r="F309" s="15"/>
      <c r="G309" s="14"/>
      <c r="H309" s="15"/>
    </row>
    <row r="310" spans="4:8" ht="12.3" x14ac:dyDescent="0.4">
      <c r="D310" s="15"/>
      <c r="F310" s="15"/>
      <c r="G310" s="14"/>
      <c r="H310" s="15"/>
    </row>
    <row r="311" spans="4:8" ht="12.3" x14ac:dyDescent="0.4">
      <c r="D311" s="15"/>
      <c r="F311" s="15"/>
      <c r="G311" s="14"/>
      <c r="H311" s="15"/>
    </row>
    <row r="312" spans="4:8" ht="12.3" x14ac:dyDescent="0.4">
      <c r="D312" s="15"/>
      <c r="F312" s="15"/>
      <c r="G312" s="14"/>
      <c r="H312" s="15"/>
    </row>
    <row r="313" spans="4:8" ht="12.3" x14ac:dyDescent="0.4">
      <c r="D313" s="15"/>
      <c r="F313" s="15"/>
      <c r="G313" s="14"/>
      <c r="H313" s="15"/>
    </row>
    <row r="314" spans="4:8" ht="12.3" x14ac:dyDescent="0.4">
      <c r="D314" s="15"/>
      <c r="F314" s="15"/>
      <c r="G314" s="14"/>
      <c r="H314" s="15"/>
    </row>
    <row r="315" spans="4:8" ht="12.3" x14ac:dyDescent="0.4">
      <c r="D315" s="15"/>
      <c r="F315" s="15"/>
      <c r="G315" s="14"/>
      <c r="H315" s="15"/>
    </row>
    <row r="316" spans="4:8" ht="12.3" x14ac:dyDescent="0.4">
      <c r="D316" s="15"/>
      <c r="F316" s="15"/>
      <c r="G316" s="14"/>
      <c r="H316" s="15"/>
    </row>
    <row r="317" spans="4:8" ht="12.3" x14ac:dyDescent="0.4">
      <c r="D317" s="15"/>
      <c r="F317" s="15"/>
      <c r="G317" s="14"/>
      <c r="H317" s="15"/>
    </row>
    <row r="318" spans="4:8" ht="12.3" x14ac:dyDescent="0.4">
      <c r="D318" s="15"/>
      <c r="F318" s="15"/>
      <c r="G318" s="14"/>
      <c r="H318" s="15"/>
    </row>
    <row r="319" spans="4:8" ht="12.3" x14ac:dyDescent="0.4">
      <c r="D319" s="15"/>
      <c r="F319" s="15"/>
      <c r="G319" s="14"/>
      <c r="H319" s="15"/>
    </row>
    <row r="320" spans="4:8" ht="12.3" x14ac:dyDescent="0.4">
      <c r="D320" s="15"/>
      <c r="F320" s="15"/>
      <c r="G320" s="14"/>
      <c r="H320" s="15"/>
    </row>
    <row r="321" spans="4:8" ht="12.3" x14ac:dyDescent="0.4">
      <c r="D321" s="15"/>
      <c r="F321" s="15"/>
      <c r="G321" s="14"/>
      <c r="H321" s="15"/>
    </row>
    <row r="322" spans="4:8" ht="12.3" x14ac:dyDescent="0.4">
      <c r="D322" s="15"/>
      <c r="F322" s="15"/>
      <c r="G322" s="14"/>
      <c r="H322" s="15"/>
    </row>
    <row r="323" spans="4:8" ht="12.3" x14ac:dyDescent="0.4">
      <c r="D323" s="15"/>
      <c r="F323" s="15"/>
      <c r="G323" s="14"/>
      <c r="H323" s="15"/>
    </row>
    <row r="324" spans="4:8" ht="12.3" x14ac:dyDescent="0.4">
      <c r="D324" s="15"/>
      <c r="F324" s="15"/>
      <c r="G324" s="14"/>
      <c r="H324" s="15"/>
    </row>
    <row r="325" spans="4:8" ht="12.3" x14ac:dyDescent="0.4">
      <c r="D325" s="15"/>
      <c r="F325" s="15"/>
      <c r="G325" s="14"/>
      <c r="H325" s="15"/>
    </row>
    <row r="326" spans="4:8" ht="12.3" x14ac:dyDescent="0.4">
      <c r="D326" s="15"/>
      <c r="F326" s="15"/>
      <c r="G326" s="14"/>
      <c r="H326" s="15"/>
    </row>
    <row r="327" spans="4:8" ht="12.3" x14ac:dyDescent="0.4">
      <c r="D327" s="15"/>
      <c r="F327" s="15"/>
      <c r="G327" s="14"/>
      <c r="H327" s="15"/>
    </row>
    <row r="328" spans="4:8" ht="12.3" x14ac:dyDescent="0.4">
      <c r="D328" s="15"/>
      <c r="F328" s="15"/>
      <c r="G328" s="14"/>
      <c r="H328" s="15"/>
    </row>
    <row r="329" spans="4:8" ht="12.3" x14ac:dyDescent="0.4">
      <c r="D329" s="15"/>
      <c r="F329" s="15"/>
      <c r="G329" s="14"/>
      <c r="H329" s="15"/>
    </row>
    <row r="330" spans="4:8" ht="12.3" x14ac:dyDescent="0.4">
      <c r="D330" s="15"/>
      <c r="F330" s="15"/>
      <c r="G330" s="14"/>
      <c r="H330" s="15"/>
    </row>
    <row r="331" spans="4:8" ht="12.3" x14ac:dyDescent="0.4">
      <c r="D331" s="15"/>
      <c r="F331" s="15"/>
      <c r="G331" s="14"/>
      <c r="H331" s="15"/>
    </row>
    <row r="332" spans="4:8" ht="12.3" x14ac:dyDescent="0.4">
      <c r="D332" s="15"/>
      <c r="F332" s="15"/>
      <c r="G332" s="14"/>
      <c r="H332" s="15"/>
    </row>
    <row r="333" spans="4:8" ht="12.3" x14ac:dyDescent="0.4">
      <c r="D333" s="15"/>
      <c r="F333" s="15"/>
      <c r="G333" s="14"/>
      <c r="H333" s="15"/>
    </row>
    <row r="334" spans="4:8" ht="12.3" x14ac:dyDescent="0.4">
      <c r="D334" s="15"/>
      <c r="F334" s="15"/>
      <c r="G334" s="14"/>
      <c r="H334" s="15"/>
    </row>
    <row r="335" spans="4:8" ht="12.3" x14ac:dyDescent="0.4">
      <c r="D335" s="15"/>
      <c r="F335" s="15"/>
      <c r="G335" s="14"/>
      <c r="H335" s="15"/>
    </row>
    <row r="336" spans="4:8" ht="12.3" x14ac:dyDescent="0.4">
      <c r="D336" s="15"/>
      <c r="F336" s="15"/>
      <c r="G336" s="14"/>
      <c r="H336" s="15"/>
    </row>
    <row r="337" spans="4:8" ht="12.3" x14ac:dyDescent="0.4">
      <c r="D337" s="15"/>
      <c r="F337" s="15"/>
      <c r="G337" s="14"/>
      <c r="H337" s="15"/>
    </row>
    <row r="338" spans="4:8" ht="12.3" x14ac:dyDescent="0.4">
      <c r="D338" s="15"/>
      <c r="F338" s="15"/>
      <c r="G338" s="14"/>
      <c r="H338" s="15"/>
    </row>
    <row r="339" spans="4:8" ht="12.3" x14ac:dyDescent="0.4">
      <c r="D339" s="15"/>
      <c r="F339" s="15"/>
      <c r="G339" s="14"/>
      <c r="H339" s="15"/>
    </row>
    <row r="340" spans="4:8" ht="12.3" x14ac:dyDescent="0.4">
      <c r="D340" s="15"/>
      <c r="F340" s="15"/>
      <c r="G340" s="14"/>
      <c r="H340" s="15"/>
    </row>
    <row r="341" spans="4:8" ht="12.3" x14ac:dyDescent="0.4">
      <c r="D341" s="15"/>
      <c r="F341" s="15"/>
      <c r="G341" s="14"/>
      <c r="H341" s="15"/>
    </row>
    <row r="342" spans="4:8" ht="12.3" x14ac:dyDescent="0.4">
      <c r="D342" s="15"/>
      <c r="F342" s="15"/>
      <c r="G342" s="14"/>
      <c r="H342" s="15"/>
    </row>
    <row r="343" spans="4:8" ht="12.3" x14ac:dyDescent="0.4">
      <c r="D343" s="15"/>
      <c r="F343" s="15"/>
      <c r="G343" s="14"/>
      <c r="H343" s="15"/>
    </row>
    <row r="344" spans="4:8" ht="12.3" x14ac:dyDescent="0.4">
      <c r="D344" s="15"/>
      <c r="F344" s="15"/>
      <c r="G344" s="14"/>
      <c r="H344" s="15"/>
    </row>
    <row r="345" spans="4:8" ht="12.3" x14ac:dyDescent="0.4">
      <c r="D345" s="15"/>
      <c r="F345" s="15"/>
      <c r="G345" s="14"/>
      <c r="H345" s="15"/>
    </row>
    <row r="346" spans="4:8" ht="12.3" x14ac:dyDescent="0.4">
      <c r="D346" s="15"/>
      <c r="F346" s="15"/>
      <c r="G346" s="14"/>
      <c r="H346" s="15"/>
    </row>
    <row r="347" spans="4:8" ht="12.3" x14ac:dyDescent="0.4">
      <c r="D347" s="15"/>
      <c r="F347" s="15"/>
      <c r="G347" s="14"/>
      <c r="H347" s="15"/>
    </row>
    <row r="348" spans="4:8" ht="12.3" x14ac:dyDescent="0.4">
      <c r="D348" s="15"/>
      <c r="F348" s="15"/>
      <c r="G348" s="14"/>
      <c r="H348" s="15"/>
    </row>
    <row r="349" spans="4:8" ht="12.3" x14ac:dyDescent="0.4">
      <c r="D349" s="15"/>
      <c r="F349" s="15"/>
      <c r="G349" s="14"/>
      <c r="H349" s="15"/>
    </row>
    <row r="350" spans="4:8" ht="12.3" x14ac:dyDescent="0.4">
      <c r="D350" s="15"/>
      <c r="F350" s="15"/>
      <c r="G350" s="14"/>
      <c r="H350" s="15"/>
    </row>
    <row r="351" spans="4:8" ht="12.3" x14ac:dyDescent="0.4">
      <c r="D351" s="15"/>
      <c r="F351" s="15"/>
      <c r="G351" s="14"/>
      <c r="H351" s="15"/>
    </row>
    <row r="352" spans="4:8" ht="12.3" x14ac:dyDescent="0.4">
      <c r="D352" s="15"/>
      <c r="F352" s="15"/>
      <c r="G352" s="14"/>
      <c r="H352" s="15"/>
    </row>
    <row r="353" spans="4:8" ht="12.3" x14ac:dyDescent="0.4">
      <c r="D353" s="15"/>
      <c r="F353" s="15"/>
      <c r="G353" s="14"/>
      <c r="H353" s="15"/>
    </row>
    <row r="354" spans="4:8" ht="12.3" x14ac:dyDescent="0.4">
      <c r="D354" s="15"/>
      <c r="F354" s="15"/>
      <c r="G354" s="14"/>
      <c r="H354" s="15"/>
    </row>
    <row r="355" spans="4:8" ht="12.3" x14ac:dyDescent="0.4">
      <c r="D355" s="15"/>
      <c r="F355" s="15"/>
      <c r="G355" s="14"/>
      <c r="H355" s="15"/>
    </row>
    <row r="356" spans="4:8" ht="12.3" x14ac:dyDescent="0.4">
      <c r="D356" s="15"/>
      <c r="F356" s="15"/>
      <c r="G356" s="14"/>
      <c r="H356" s="15"/>
    </row>
    <row r="357" spans="4:8" ht="12.3" x14ac:dyDescent="0.4">
      <c r="D357" s="15"/>
      <c r="F357" s="15"/>
      <c r="G357" s="14"/>
      <c r="H357" s="15"/>
    </row>
    <row r="358" spans="4:8" ht="12.3" x14ac:dyDescent="0.4">
      <c r="D358" s="15"/>
      <c r="F358" s="15"/>
      <c r="G358" s="14"/>
      <c r="H358" s="15"/>
    </row>
    <row r="359" spans="4:8" ht="12.3" x14ac:dyDescent="0.4">
      <c r="D359" s="15"/>
      <c r="F359" s="15"/>
      <c r="G359" s="14"/>
      <c r="H359" s="15"/>
    </row>
    <row r="360" spans="4:8" ht="12.3" x14ac:dyDescent="0.4">
      <c r="D360" s="15"/>
      <c r="F360" s="15"/>
      <c r="G360" s="14"/>
      <c r="H360" s="15"/>
    </row>
    <row r="361" spans="4:8" ht="12.3" x14ac:dyDescent="0.4">
      <c r="D361" s="15"/>
      <c r="F361" s="15"/>
      <c r="G361" s="14"/>
      <c r="H361" s="15"/>
    </row>
    <row r="362" spans="4:8" ht="12.3" x14ac:dyDescent="0.4">
      <c r="D362" s="15"/>
      <c r="F362" s="15"/>
      <c r="G362" s="14"/>
      <c r="H362" s="15"/>
    </row>
    <row r="363" spans="4:8" ht="12.3" x14ac:dyDescent="0.4">
      <c r="D363" s="15"/>
      <c r="F363" s="15"/>
      <c r="G363" s="14"/>
      <c r="H363" s="15"/>
    </row>
    <row r="364" spans="4:8" ht="12.3" x14ac:dyDescent="0.4">
      <c r="D364" s="15"/>
      <c r="F364" s="15"/>
      <c r="G364" s="14"/>
      <c r="H364" s="15"/>
    </row>
    <row r="365" spans="4:8" ht="12.3" x14ac:dyDescent="0.4">
      <c r="D365" s="15"/>
      <c r="F365" s="15"/>
      <c r="G365" s="14"/>
      <c r="H365" s="15"/>
    </row>
    <row r="366" spans="4:8" ht="12.3" x14ac:dyDescent="0.4">
      <c r="D366" s="15"/>
      <c r="F366" s="15"/>
      <c r="G366" s="14"/>
      <c r="H366" s="15"/>
    </row>
    <row r="367" spans="4:8" ht="12.3" x14ac:dyDescent="0.4">
      <c r="D367" s="15"/>
      <c r="F367" s="15"/>
      <c r="G367" s="14"/>
      <c r="H367" s="15"/>
    </row>
    <row r="368" spans="4:8" ht="12.3" x14ac:dyDescent="0.4">
      <c r="D368" s="15"/>
      <c r="F368" s="15"/>
      <c r="G368" s="14"/>
      <c r="H368" s="15"/>
    </row>
    <row r="369" spans="4:8" ht="12.3" x14ac:dyDescent="0.4">
      <c r="D369" s="15"/>
      <c r="F369" s="15"/>
      <c r="G369" s="14"/>
      <c r="H369" s="15"/>
    </row>
    <row r="370" spans="4:8" ht="12.3" x14ac:dyDescent="0.4">
      <c r="D370" s="15"/>
      <c r="F370" s="15"/>
      <c r="G370" s="14"/>
      <c r="H370" s="15"/>
    </row>
    <row r="371" spans="4:8" ht="12.3" x14ac:dyDescent="0.4">
      <c r="D371" s="15"/>
      <c r="F371" s="15"/>
      <c r="G371" s="14"/>
      <c r="H371" s="15"/>
    </row>
    <row r="372" spans="4:8" ht="12.3" x14ac:dyDescent="0.4">
      <c r="D372" s="15"/>
      <c r="F372" s="15"/>
      <c r="G372" s="14"/>
      <c r="H372" s="15"/>
    </row>
    <row r="373" spans="4:8" ht="12.3" x14ac:dyDescent="0.4">
      <c r="D373" s="15"/>
      <c r="F373" s="15"/>
      <c r="G373" s="14"/>
      <c r="H373" s="15"/>
    </row>
    <row r="374" spans="4:8" ht="12.3" x14ac:dyDescent="0.4">
      <c r="D374" s="15"/>
      <c r="F374" s="15"/>
      <c r="G374" s="14"/>
      <c r="H374" s="15"/>
    </row>
    <row r="375" spans="4:8" ht="12.3" x14ac:dyDescent="0.4">
      <c r="D375" s="15"/>
      <c r="F375" s="15"/>
      <c r="G375" s="14"/>
      <c r="H375" s="15"/>
    </row>
    <row r="376" spans="4:8" ht="12.3" x14ac:dyDescent="0.4">
      <c r="D376" s="15"/>
      <c r="F376" s="15"/>
      <c r="G376" s="14"/>
      <c r="H376" s="15"/>
    </row>
    <row r="377" spans="4:8" ht="12.3" x14ac:dyDescent="0.4">
      <c r="D377" s="15"/>
      <c r="F377" s="15"/>
      <c r="G377" s="14"/>
      <c r="H377" s="15"/>
    </row>
    <row r="378" spans="4:8" ht="12.3" x14ac:dyDescent="0.4">
      <c r="D378" s="15"/>
      <c r="F378" s="15"/>
      <c r="G378" s="14"/>
      <c r="H378" s="15"/>
    </row>
    <row r="379" spans="4:8" ht="12.3" x14ac:dyDescent="0.4">
      <c r="D379" s="15"/>
      <c r="F379" s="15"/>
      <c r="G379" s="14"/>
      <c r="H379" s="15"/>
    </row>
    <row r="380" spans="4:8" ht="12.3" x14ac:dyDescent="0.4">
      <c r="D380" s="15"/>
      <c r="F380" s="15"/>
      <c r="G380" s="14"/>
      <c r="H380" s="15"/>
    </row>
    <row r="381" spans="4:8" ht="12.3" x14ac:dyDescent="0.4">
      <c r="D381" s="15"/>
      <c r="F381" s="15"/>
      <c r="G381" s="14"/>
      <c r="H381" s="15"/>
    </row>
    <row r="382" spans="4:8" ht="12.3" x14ac:dyDescent="0.4">
      <c r="D382" s="15"/>
      <c r="F382" s="15"/>
      <c r="G382" s="14"/>
      <c r="H382" s="15"/>
    </row>
    <row r="383" spans="4:8" ht="12.3" x14ac:dyDescent="0.4">
      <c r="D383" s="15"/>
      <c r="F383" s="15"/>
      <c r="G383" s="14"/>
      <c r="H383" s="15"/>
    </row>
    <row r="384" spans="4:8" ht="12.3" x14ac:dyDescent="0.4">
      <c r="D384" s="15"/>
      <c r="F384" s="15"/>
      <c r="G384" s="14"/>
      <c r="H384" s="15"/>
    </row>
    <row r="385" spans="4:8" ht="12.3" x14ac:dyDescent="0.4">
      <c r="D385" s="15"/>
      <c r="F385" s="15"/>
      <c r="G385" s="14"/>
      <c r="H385" s="15"/>
    </row>
    <row r="386" spans="4:8" ht="12.3" x14ac:dyDescent="0.4">
      <c r="D386" s="15"/>
      <c r="F386" s="15"/>
      <c r="G386" s="14"/>
      <c r="H386" s="15"/>
    </row>
    <row r="387" spans="4:8" ht="12.3" x14ac:dyDescent="0.4">
      <c r="D387" s="15"/>
      <c r="F387" s="15"/>
      <c r="G387" s="14"/>
      <c r="H387" s="15"/>
    </row>
    <row r="388" spans="4:8" ht="12.3" x14ac:dyDescent="0.4">
      <c r="D388" s="15"/>
      <c r="F388" s="15"/>
      <c r="G388" s="14"/>
      <c r="H388" s="15"/>
    </row>
    <row r="389" spans="4:8" ht="12.3" x14ac:dyDescent="0.4">
      <c r="D389" s="15"/>
      <c r="F389" s="15"/>
      <c r="G389" s="14"/>
      <c r="H389" s="15"/>
    </row>
    <row r="390" spans="4:8" ht="12.3" x14ac:dyDescent="0.4">
      <c r="D390" s="15"/>
      <c r="F390" s="15"/>
      <c r="G390" s="14"/>
      <c r="H390" s="15"/>
    </row>
    <row r="391" spans="4:8" ht="12.3" x14ac:dyDescent="0.4">
      <c r="D391" s="15"/>
      <c r="F391" s="15"/>
      <c r="G391" s="14"/>
      <c r="H391" s="15"/>
    </row>
    <row r="392" spans="4:8" ht="12.3" x14ac:dyDescent="0.4">
      <c r="D392" s="15"/>
      <c r="F392" s="15"/>
      <c r="G392" s="14"/>
      <c r="H392" s="15"/>
    </row>
    <row r="393" spans="4:8" ht="12.3" x14ac:dyDescent="0.4">
      <c r="D393" s="15"/>
      <c r="F393" s="15"/>
      <c r="G393" s="14"/>
      <c r="H393" s="15"/>
    </row>
    <row r="394" spans="4:8" ht="12.3" x14ac:dyDescent="0.4">
      <c r="D394" s="15"/>
      <c r="F394" s="15"/>
      <c r="G394" s="14"/>
      <c r="H394" s="15"/>
    </row>
    <row r="395" spans="4:8" ht="12.3" x14ac:dyDescent="0.4">
      <c r="D395" s="15"/>
      <c r="F395" s="15"/>
      <c r="G395" s="14"/>
      <c r="H395" s="15"/>
    </row>
    <row r="396" spans="4:8" ht="12.3" x14ac:dyDescent="0.4">
      <c r="D396" s="15"/>
      <c r="F396" s="15"/>
      <c r="G396" s="14"/>
      <c r="H396" s="15"/>
    </row>
    <row r="397" spans="4:8" ht="12.3" x14ac:dyDescent="0.4">
      <c r="D397" s="15"/>
      <c r="F397" s="15"/>
      <c r="G397" s="14"/>
      <c r="H397" s="15"/>
    </row>
    <row r="398" spans="4:8" ht="12.3" x14ac:dyDescent="0.4">
      <c r="D398" s="15"/>
      <c r="F398" s="15"/>
      <c r="G398" s="14"/>
      <c r="H398" s="15"/>
    </row>
    <row r="399" spans="4:8" ht="12.3" x14ac:dyDescent="0.4">
      <c r="D399" s="15"/>
      <c r="F399" s="15"/>
      <c r="G399" s="14"/>
      <c r="H399" s="15"/>
    </row>
    <row r="400" spans="4:8" ht="12.3" x14ac:dyDescent="0.4">
      <c r="D400" s="15"/>
      <c r="F400" s="15"/>
      <c r="G400" s="14"/>
      <c r="H400" s="15"/>
    </row>
    <row r="401" spans="4:8" ht="12.3" x14ac:dyDescent="0.4">
      <c r="D401" s="15"/>
      <c r="F401" s="15"/>
      <c r="G401" s="14"/>
      <c r="H401" s="15"/>
    </row>
    <row r="402" spans="4:8" ht="12.3" x14ac:dyDescent="0.4">
      <c r="D402" s="15"/>
      <c r="F402" s="15"/>
      <c r="G402" s="14"/>
      <c r="H402" s="15"/>
    </row>
    <row r="403" spans="4:8" ht="12.3" x14ac:dyDescent="0.4">
      <c r="D403" s="15"/>
      <c r="F403" s="15"/>
      <c r="G403" s="14"/>
      <c r="H403" s="15"/>
    </row>
    <row r="404" spans="4:8" ht="12.3" x14ac:dyDescent="0.4">
      <c r="D404" s="15"/>
      <c r="F404" s="15"/>
      <c r="G404" s="14"/>
      <c r="H404" s="15"/>
    </row>
    <row r="405" spans="4:8" ht="12.3" x14ac:dyDescent="0.4">
      <c r="D405" s="15"/>
      <c r="F405" s="15"/>
      <c r="G405" s="14"/>
      <c r="H405" s="15"/>
    </row>
    <row r="406" spans="4:8" ht="12.3" x14ac:dyDescent="0.4">
      <c r="D406" s="15"/>
      <c r="F406" s="15"/>
      <c r="G406" s="14"/>
      <c r="H406" s="15"/>
    </row>
    <row r="407" spans="4:8" ht="12.3" x14ac:dyDescent="0.4">
      <c r="D407" s="15"/>
      <c r="F407" s="15"/>
      <c r="G407" s="14"/>
      <c r="H407" s="15"/>
    </row>
    <row r="408" spans="4:8" ht="12.3" x14ac:dyDescent="0.4">
      <c r="D408" s="15"/>
      <c r="F408" s="15"/>
      <c r="G408" s="14"/>
      <c r="H408" s="15"/>
    </row>
    <row r="409" spans="4:8" ht="12.3" x14ac:dyDescent="0.4">
      <c r="D409" s="15"/>
      <c r="F409" s="15"/>
      <c r="G409" s="14"/>
      <c r="H409" s="15"/>
    </row>
    <row r="410" spans="4:8" ht="12.3" x14ac:dyDescent="0.4">
      <c r="D410" s="15"/>
      <c r="F410" s="15"/>
      <c r="G410" s="14"/>
      <c r="H410" s="15"/>
    </row>
    <row r="411" spans="4:8" ht="12.3" x14ac:dyDescent="0.4">
      <c r="D411" s="15"/>
      <c r="F411" s="15"/>
      <c r="G411" s="14"/>
      <c r="H411" s="15"/>
    </row>
    <row r="412" spans="4:8" ht="12.3" x14ac:dyDescent="0.4">
      <c r="D412" s="15"/>
      <c r="F412" s="15"/>
      <c r="G412" s="14"/>
      <c r="H412" s="15"/>
    </row>
    <row r="413" spans="4:8" ht="12.3" x14ac:dyDescent="0.4">
      <c r="D413" s="15"/>
      <c r="F413" s="15"/>
      <c r="G413" s="14"/>
      <c r="H413" s="15"/>
    </row>
    <row r="414" spans="4:8" ht="12.3" x14ac:dyDescent="0.4">
      <c r="D414" s="15"/>
      <c r="F414" s="15"/>
      <c r="G414" s="14"/>
      <c r="H414" s="15"/>
    </row>
    <row r="415" spans="4:8" ht="12.3" x14ac:dyDescent="0.4">
      <c r="D415" s="15"/>
      <c r="F415" s="15"/>
      <c r="G415" s="14"/>
      <c r="H415" s="15"/>
    </row>
    <row r="416" spans="4:8" ht="12.3" x14ac:dyDescent="0.4">
      <c r="D416" s="15"/>
      <c r="F416" s="15"/>
      <c r="G416" s="14"/>
      <c r="H416" s="15"/>
    </row>
    <row r="417" spans="4:8" ht="12.3" x14ac:dyDescent="0.4">
      <c r="D417" s="15"/>
      <c r="F417" s="15"/>
      <c r="G417" s="14"/>
      <c r="H417" s="15"/>
    </row>
    <row r="418" spans="4:8" ht="12.3" x14ac:dyDescent="0.4">
      <c r="D418" s="15"/>
      <c r="F418" s="15"/>
      <c r="G418" s="14"/>
      <c r="H418" s="15"/>
    </row>
    <row r="419" spans="4:8" ht="12.3" x14ac:dyDescent="0.4">
      <c r="D419" s="15"/>
      <c r="F419" s="15"/>
      <c r="G419" s="14"/>
      <c r="H419" s="15"/>
    </row>
    <row r="420" spans="4:8" ht="12.3" x14ac:dyDescent="0.4">
      <c r="D420" s="15"/>
      <c r="F420" s="15"/>
      <c r="G420" s="14"/>
      <c r="H420" s="15"/>
    </row>
    <row r="421" spans="4:8" ht="12.3" x14ac:dyDescent="0.4">
      <c r="D421" s="15"/>
      <c r="F421" s="15"/>
      <c r="G421" s="14"/>
      <c r="H421" s="15"/>
    </row>
    <row r="422" spans="4:8" ht="12.3" x14ac:dyDescent="0.4">
      <c r="D422" s="15"/>
      <c r="F422" s="15"/>
      <c r="G422" s="14"/>
      <c r="H422" s="15"/>
    </row>
    <row r="423" spans="4:8" ht="12.3" x14ac:dyDescent="0.4">
      <c r="D423" s="15"/>
      <c r="F423" s="15"/>
      <c r="G423" s="14"/>
      <c r="H423" s="15"/>
    </row>
    <row r="424" spans="4:8" ht="12.3" x14ac:dyDescent="0.4">
      <c r="D424" s="15"/>
      <c r="F424" s="15"/>
      <c r="G424" s="14"/>
      <c r="H424" s="15"/>
    </row>
    <row r="425" spans="4:8" ht="12.3" x14ac:dyDescent="0.4">
      <c r="D425" s="15"/>
      <c r="F425" s="15"/>
      <c r="G425" s="14"/>
      <c r="H425" s="15"/>
    </row>
    <row r="426" spans="4:8" ht="12.3" x14ac:dyDescent="0.4">
      <c r="D426" s="15"/>
      <c r="F426" s="15"/>
      <c r="G426" s="14"/>
      <c r="H426" s="15"/>
    </row>
    <row r="427" spans="4:8" ht="12.3" x14ac:dyDescent="0.4">
      <c r="D427" s="15"/>
      <c r="F427" s="15"/>
      <c r="G427" s="14"/>
      <c r="H427" s="15"/>
    </row>
    <row r="428" spans="4:8" ht="12.3" x14ac:dyDescent="0.4">
      <c r="D428" s="15"/>
      <c r="F428" s="15"/>
      <c r="G428" s="14"/>
      <c r="H428" s="15"/>
    </row>
    <row r="429" spans="4:8" ht="12.3" x14ac:dyDescent="0.4">
      <c r="D429" s="15"/>
      <c r="F429" s="15"/>
      <c r="G429" s="14"/>
      <c r="H429" s="15"/>
    </row>
    <row r="430" spans="4:8" ht="12.3" x14ac:dyDescent="0.4">
      <c r="D430" s="15"/>
      <c r="F430" s="15"/>
      <c r="G430" s="14"/>
      <c r="H430" s="15"/>
    </row>
    <row r="431" spans="4:8" ht="12.3" x14ac:dyDescent="0.4">
      <c r="D431" s="15"/>
      <c r="F431" s="15"/>
      <c r="G431" s="14"/>
      <c r="H431" s="15"/>
    </row>
    <row r="432" spans="4:8" ht="12.3" x14ac:dyDescent="0.4">
      <c r="D432" s="15"/>
      <c r="F432" s="15"/>
      <c r="G432" s="14"/>
      <c r="H432" s="15"/>
    </row>
    <row r="433" spans="4:8" ht="12.3" x14ac:dyDescent="0.4">
      <c r="D433" s="15"/>
      <c r="F433" s="15"/>
      <c r="G433" s="14"/>
      <c r="H433" s="15"/>
    </row>
    <row r="434" spans="4:8" ht="12.3" x14ac:dyDescent="0.4">
      <c r="D434" s="15"/>
      <c r="F434" s="15"/>
      <c r="G434" s="14"/>
      <c r="H434" s="15"/>
    </row>
    <row r="435" spans="4:8" ht="12.3" x14ac:dyDescent="0.4">
      <c r="D435" s="15"/>
      <c r="F435" s="15"/>
      <c r="G435" s="14"/>
      <c r="H435" s="15"/>
    </row>
    <row r="436" spans="4:8" ht="12.3" x14ac:dyDescent="0.4">
      <c r="D436" s="15"/>
      <c r="F436" s="15"/>
      <c r="G436" s="14"/>
      <c r="H436" s="15"/>
    </row>
    <row r="437" spans="4:8" ht="12.3" x14ac:dyDescent="0.4">
      <c r="D437" s="15"/>
      <c r="F437" s="15"/>
      <c r="G437" s="14"/>
      <c r="H437" s="15"/>
    </row>
    <row r="438" spans="4:8" ht="12.3" x14ac:dyDescent="0.4">
      <c r="D438" s="15"/>
      <c r="F438" s="15"/>
      <c r="G438" s="14"/>
      <c r="H438" s="15"/>
    </row>
    <row r="439" spans="4:8" ht="12.3" x14ac:dyDescent="0.4">
      <c r="D439" s="15"/>
      <c r="F439" s="15"/>
      <c r="G439" s="14"/>
      <c r="H439" s="15"/>
    </row>
    <row r="440" spans="4:8" ht="12.3" x14ac:dyDescent="0.4">
      <c r="D440" s="15"/>
      <c r="F440" s="15"/>
      <c r="G440" s="14"/>
      <c r="H440" s="15"/>
    </row>
    <row r="441" spans="4:8" ht="12.3" x14ac:dyDescent="0.4">
      <c r="D441" s="15"/>
      <c r="F441" s="15"/>
      <c r="G441" s="14"/>
      <c r="H441" s="15"/>
    </row>
    <row r="442" spans="4:8" ht="12.3" x14ac:dyDescent="0.4">
      <c r="D442" s="15"/>
      <c r="F442" s="15"/>
      <c r="G442" s="14"/>
      <c r="H442" s="15"/>
    </row>
    <row r="443" spans="4:8" ht="12.3" x14ac:dyDescent="0.4">
      <c r="D443" s="15"/>
      <c r="F443" s="15"/>
      <c r="G443" s="14"/>
      <c r="H443" s="15"/>
    </row>
    <row r="444" spans="4:8" ht="12.3" x14ac:dyDescent="0.4">
      <c r="D444" s="15"/>
      <c r="F444" s="15"/>
      <c r="G444" s="14"/>
      <c r="H444" s="15"/>
    </row>
    <row r="445" spans="4:8" ht="12.3" x14ac:dyDescent="0.4">
      <c r="D445" s="15"/>
      <c r="F445" s="15"/>
      <c r="G445" s="14"/>
      <c r="H445" s="15"/>
    </row>
    <row r="446" spans="4:8" ht="12.3" x14ac:dyDescent="0.4">
      <c r="D446" s="15"/>
      <c r="F446" s="15"/>
      <c r="G446" s="14"/>
      <c r="H446" s="15"/>
    </row>
    <row r="447" spans="4:8" ht="12.3" x14ac:dyDescent="0.4">
      <c r="D447" s="15"/>
      <c r="F447" s="15"/>
      <c r="G447" s="14"/>
      <c r="H447" s="15"/>
    </row>
    <row r="448" spans="4:8" ht="12.3" x14ac:dyDescent="0.4">
      <c r="D448" s="15"/>
      <c r="F448" s="15"/>
      <c r="G448" s="14"/>
      <c r="H448" s="15"/>
    </row>
    <row r="449" spans="4:8" ht="12.3" x14ac:dyDescent="0.4">
      <c r="D449" s="15"/>
      <c r="F449" s="15"/>
      <c r="G449" s="14"/>
      <c r="H449" s="15"/>
    </row>
    <row r="450" spans="4:8" ht="12.3" x14ac:dyDescent="0.4">
      <c r="D450" s="15"/>
      <c r="F450" s="15"/>
      <c r="G450" s="14"/>
      <c r="H450" s="15"/>
    </row>
    <row r="451" spans="4:8" ht="12.3" x14ac:dyDescent="0.4">
      <c r="D451" s="15"/>
      <c r="F451" s="15"/>
      <c r="G451" s="14"/>
      <c r="H451" s="15"/>
    </row>
    <row r="452" spans="4:8" ht="12.3" x14ac:dyDescent="0.4">
      <c r="D452" s="15"/>
      <c r="F452" s="15"/>
      <c r="G452" s="14"/>
      <c r="H452" s="15"/>
    </row>
    <row r="453" spans="4:8" ht="12.3" x14ac:dyDescent="0.4">
      <c r="D453" s="15"/>
      <c r="F453" s="15"/>
      <c r="G453" s="14"/>
      <c r="H453" s="15"/>
    </row>
    <row r="454" spans="4:8" ht="12.3" x14ac:dyDescent="0.4">
      <c r="D454" s="15"/>
      <c r="F454" s="15"/>
      <c r="G454" s="14"/>
      <c r="H454" s="15"/>
    </row>
    <row r="455" spans="4:8" ht="12.3" x14ac:dyDescent="0.4">
      <c r="D455" s="15"/>
      <c r="F455" s="15"/>
      <c r="G455" s="14"/>
      <c r="H455" s="15"/>
    </row>
    <row r="456" spans="4:8" ht="12.3" x14ac:dyDescent="0.4">
      <c r="D456" s="15"/>
      <c r="F456" s="15"/>
      <c r="G456" s="14"/>
      <c r="H456" s="15"/>
    </row>
    <row r="457" spans="4:8" ht="12.3" x14ac:dyDescent="0.4">
      <c r="D457" s="15"/>
      <c r="F457" s="15"/>
      <c r="G457" s="14"/>
      <c r="H457" s="15"/>
    </row>
    <row r="458" spans="4:8" ht="12.3" x14ac:dyDescent="0.4">
      <c r="D458" s="15"/>
      <c r="F458" s="15"/>
      <c r="G458" s="14"/>
      <c r="H458" s="15"/>
    </row>
    <row r="459" spans="4:8" ht="12.3" x14ac:dyDescent="0.4">
      <c r="D459" s="15"/>
      <c r="F459" s="15"/>
      <c r="G459" s="14"/>
      <c r="H459" s="15"/>
    </row>
    <row r="460" spans="4:8" ht="12.3" x14ac:dyDescent="0.4">
      <c r="D460" s="15"/>
      <c r="F460" s="15"/>
      <c r="G460" s="14"/>
      <c r="H460" s="15"/>
    </row>
    <row r="461" spans="4:8" ht="12.3" x14ac:dyDescent="0.4">
      <c r="D461" s="15"/>
      <c r="F461" s="15"/>
      <c r="G461" s="14"/>
      <c r="H461" s="15"/>
    </row>
    <row r="462" spans="4:8" ht="12.3" x14ac:dyDescent="0.4">
      <c r="D462" s="15"/>
      <c r="F462" s="15"/>
      <c r="G462" s="14"/>
      <c r="H462" s="15"/>
    </row>
    <row r="463" spans="4:8" ht="12.3" x14ac:dyDescent="0.4">
      <c r="D463" s="15"/>
      <c r="F463" s="15"/>
      <c r="G463" s="14"/>
      <c r="H463" s="15"/>
    </row>
    <row r="464" spans="4:8" ht="12.3" x14ac:dyDescent="0.4">
      <c r="D464" s="15"/>
      <c r="F464" s="15"/>
      <c r="G464" s="14"/>
      <c r="H464" s="15"/>
    </row>
    <row r="465" spans="4:8" ht="12.3" x14ac:dyDescent="0.4">
      <c r="D465" s="15"/>
      <c r="F465" s="15"/>
      <c r="G465" s="14"/>
      <c r="H465" s="15"/>
    </row>
    <row r="466" spans="4:8" ht="12.3" x14ac:dyDescent="0.4">
      <c r="D466" s="15"/>
      <c r="F466" s="15"/>
      <c r="G466" s="14"/>
      <c r="H466" s="15"/>
    </row>
    <row r="467" spans="4:8" ht="12.3" x14ac:dyDescent="0.4">
      <c r="D467" s="15"/>
      <c r="F467" s="15"/>
      <c r="G467" s="14"/>
      <c r="H467" s="15"/>
    </row>
    <row r="468" spans="4:8" ht="12.3" x14ac:dyDescent="0.4">
      <c r="D468" s="15"/>
      <c r="F468" s="15"/>
      <c r="G468" s="14"/>
      <c r="H468" s="15"/>
    </row>
    <row r="469" spans="4:8" ht="12.3" x14ac:dyDescent="0.4">
      <c r="D469" s="15"/>
      <c r="F469" s="15"/>
      <c r="G469" s="14"/>
      <c r="H469" s="15"/>
    </row>
    <row r="470" spans="4:8" ht="12.3" x14ac:dyDescent="0.4">
      <c r="D470" s="15"/>
      <c r="F470" s="15"/>
      <c r="G470" s="14"/>
      <c r="H470" s="15"/>
    </row>
    <row r="471" spans="4:8" ht="12.3" x14ac:dyDescent="0.4">
      <c r="D471" s="15"/>
      <c r="F471" s="15"/>
      <c r="G471" s="14"/>
      <c r="H471" s="15"/>
    </row>
    <row r="472" spans="4:8" ht="12.3" x14ac:dyDescent="0.4">
      <c r="D472" s="15"/>
      <c r="F472" s="15"/>
      <c r="G472" s="14"/>
      <c r="H472" s="15"/>
    </row>
    <row r="473" spans="4:8" ht="12.3" x14ac:dyDescent="0.4">
      <c r="D473" s="15"/>
      <c r="F473" s="15"/>
      <c r="G473" s="14"/>
      <c r="H473" s="15"/>
    </row>
    <row r="474" spans="4:8" ht="12.3" x14ac:dyDescent="0.4">
      <c r="D474" s="15"/>
      <c r="F474" s="15"/>
      <c r="G474" s="14"/>
      <c r="H474" s="15"/>
    </row>
    <row r="475" spans="4:8" ht="12.3" x14ac:dyDescent="0.4">
      <c r="D475" s="15"/>
      <c r="F475" s="15"/>
      <c r="G475" s="14"/>
      <c r="H475" s="15"/>
    </row>
    <row r="476" spans="4:8" ht="12.3" x14ac:dyDescent="0.4">
      <c r="D476" s="15"/>
      <c r="F476" s="15"/>
      <c r="G476" s="14"/>
      <c r="H476" s="15"/>
    </row>
    <row r="477" spans="4:8" ht="12.3" x14ac:dyDescent="0.4">
      <c r="D477" s="15"/>
      <c r="F477" s="15"/>
      <c r="G477" s="14"/>
      <c r="H477" s="15"/>
    </row>
    <row r="478" spans="4:8" ht="12.3" x14ac:dyDescent="0.4">
      <c r="D478" s="15"/>
      <c r="F478" s="15"/>
      <c r="G478" s="14"/>
      <c r="H478" s="15"/>
    </row>
    <row r="479" spans="4:8" ht="12.3" x14ac:dyDescent="0.4">
      <c r="D479" s="15"/>
      <c r="F479" s="15"/>
      <c r="G479" s="14"/>
      <c r="H479" s="15"/>
    </row>
    <row r="480" spans="4:8" ht="12.3" x14ac:dyDescent="0.4">
      <c r="D480" s="15"/>
      <c r="F480" s="15"/>
      <c r="G480" s="14"/>
      <c r="H480" s="15"/>
    </row>
    <row r="481" spans="4:8" ht="12.3" x14ac:dyDescent="0.4">
      <c r="D481" s="15"/>
      <c r="F481" s="15"/>
      <c r="G481" s="14"/>
      <c r="H481" s="15"/>
    </row>
    <row r="482" spans="4:8" ht="12.3" x14ac:dyDescent="0.4">
      <c r="D482" s="15"/>
      <c r="F482" s="15"/>
      <c r="G482" s="14"/>
      <c r="H482" s="15"/>
    </row>
    <row r="483" spans="4:8" ht="12.3" x14ac:dyDescent="0.4">
      <c r="D483" s="15"/>
      <c r="F483" s="15"/>
      <c r="G483" s="14"/>
      <c r="H483" s="15"/>
    </row>
    <row r="484" spans="4:8" ht="12.3" x14ac:dyDescent="0.4">
      <c r="D484" s="15"/>
      <c r="F484" s="15"/>
      <c r="G484" s="14"/>
      <c r="H484" s="15"/>
    </row>
    <row r="485" spans="4:8" ht="12.3" x14ac:dyDescent="0.4">
      <c r="D485" s="15"/>
      <c r="F485" s="15"/>
      <c r="G485" s="14"/>
      <c r="H485" s="15"/>
    </row>
    <row r="486" spans="4:8" ht="12.3" x14ac:dyDescent="0.4">
      <c r="D486" s="15"/>
      <c r="F486" s="15"/>
      <c r="G486" s="14"/>
      <c r="H486" s="15"/>
    </row>
    <row r="487" spans="4:8" ht="12.3" x14ac:dyDescent="0.4">
      <c r="D487" s="15"/>
      <c r="F487" s="15"/>
      <c r="G487" s="14"/>
      <c r="H487" s="15"/>
    </row>
    <row r="488" spans="4:8" ht="12.3" x14ac:dyDescent="0.4">
      <c r="D488" s="15"/>
      <c r="F488" s="15"/>
      <c r="G488" s="14"/>
      <c r="H488" s="15"/>
    </row>
    <row r="489" spans="4:8" ht="12.3" x14ac:dyDescent="0.4">
      <c r="D489" s="15"/>
      <c r="F489" s="15"/>
      <c r="G489" s="14"/>
      <c r="H489" s="15"/>
    </row>
    <row r="490" spans="4:8" ht="12.3" x14ac:dyDescent="0.4">
      <c r="D490" s="15"/>
      <c r="F490" s="15"/>
      <c r="G490" s="14"/>
      <c r="H490" s="15"/>
    </row>
    <row r="491" spans="4:8" ht="12.3" x14ac:dyDescent="0.4">
      <c r="D491" s="15"/>
      <c r="F491" s="15"/>
      <c r="G491" s="14"/>
      <c r="H491" s="15"/>
    </row>
    <row r="492" spans="4:8" ht="12.3" x14ac:dyDescent="0.4">
      <c r="D492" s="15"/>
      <c r="F492" s="15"/>
      <c r="G492" s="14"/>
      <c r="H492" s="15"/>
    </row>
    <row r="493" spans="4:8" ht="12.3" x14ac:dyDescent="0.4">
      <c r="D493" s="15"/>
      <c r="F493" s="15"/>
      <c r="G493" s="14"/>
      <c r="H493" s="15"/>
    </row>
    <row r="494" spans="4:8" ht="12.3" x14ac:dyDescent="0.4">
      <c r="D494" s="15"/>
      <c r="F494" s="15"/>
      <c r="G494" s="14"/>
      <c r="H494" s="15"/>
    </row>
    <row r="495" spans="4:8" ht="12.3" x14ac:dyDescent="0.4">
      <c r="D495" s="15"/>
      <c r="F495" s="15"/>
      <c r="G495" s="14"/>
      <c r="H495" s="15"/>
    </row>
    <row r="496" spans="4:8" ht="12.3" x14ac:dyDescent="0.4">
      <c r="D496" s="15"/>
      <c r="F496" s="15"/>
      <c r="G496" s="14"/>
      <c r="H496" s="15"/>
    </row>
    <row r="497" spans="4:8" ht="12.3" x14ac:dyDescent="0.4">
      <c r="D497" s="15"/>
      <c r="F497" s="15"/>
      <c r="G497" s="14"/>
      <c r="H497" s="15"/>
    </row>
    <row r="498" spans="4:8" ht="12.3" x14ac:dyDescent="0.4">
      <c r="D498" s="15"/>
      <c r="F498" s="15"/>
      <c r="G498" s="14"/>
      <c r="H498" s="15"/>
    </row>
    <row r="499" spans="4:8" ht="12.3" x14ac:dyDescent="0.4">
      <c r="D499" s="15"/>
      <c r="F499" s="15"/>
      <c r="G499" s="14"/>
      <c r="H499" s="15"/>
    </row>
    <row r="500" spans="4:8" ht="12.3" x14ac:dyDescent="0.4">
      <c r="D500" s="15"/>
      <c r="F500" s="15"/>
      <c r="G500" s="14"/>
      <c r="H500" s="15"/>
    </row>
    <row r="501" spans="4:8" ht="12.3" x14ac:dyDescent="0.4">
      <c r="D501" s="15"/>
      <c r="F501" s="15"/>
      <c r="G501" s="14"/>
      <c r="H501" s="15"/>
    </row>
    <row r="502" spans="4:8" ht="12.3" x14ac:dyDescent="0.4">
      <c r="D502" s="15"/>
      <c r="F502" s="15"/>
      <c r="G502" s="14"/>
      <c r="H502" s="15"/>
    </row>
    <row r="503" spans="4:8" ht="12.3" x14ac:dyDescent="0.4">
      <c r="D503" s="15"/>
      <c r="F503" s="15"/>
      <c r="G503" s="14"/>
      <c r="H503" s="15"/>
    </row>
    <row r="504" spans="4:8" ht="12.3" x14ac:dyDescent="0.4">
      <c r="D504" s="15"/>
      <c r="F504" s="15"/>
      <c r="G504" s="14"/>
      <c r="H504" s="15"/>
    </row>
    <row r="505" spans="4:8" ht="12.3" x14ac:dyDescent="0.4">
      <c r="D505" s="15"/>
      <c r="F505" s="15"/>
      <c r="G505" s="14"/>
      <c r="H505" s="15"/>
    </row>
    <row r="506" spans="4:8" ht="12.3" x14ac:dyDescent="0.4">
      <c r="D506" s="15"/>
      <c r="F506" s="15"/>
      <c r="G506" s="14"/>
      <c r="H506" s="15"/>
    </row>
    <row r="507" spans="4:8" ht="12.3" x14ac:dyDescent="0.4">
      <c r="D507" s="15"/>
      <c r="F507" s="15"/>
      <c r="G507" s="14"/>
      <c r="H507" s="15"/>
    </row>
    <row r="508" spans="4:8" ht="12.3" x14ac:dyDescent="0.4">
      <c r="D508" s="15"/>
      <c r="F508" s="15"/>
      <c r="G508" s="14"/>
      <c r="H508" s="15"/>
    </row>
    <row r="509" spans="4:8" ht="12.3" x14ac:dyDescent="0.4">
      <c r="D509" s="15"/>
      <c r="F509" s="15"/>
      <c r="G509" s="14"/>
      <c r="H509" s="15"/>
    </row>
    <row r="510" spans="4:8" ht="12.3" x14ac:dyDescent="0.4">
      <c r="D510" s="15"/>
      <c r="F510" s="15"/>
      <c r="G510" s="14"/>
      <c r="H510" s="15"/>
    </row>
    <row r="511" spans="4:8" ht="12.3" x14ac:dyDescent="0.4">
      <c r="D511" s="15"/>
      <c r="F511" s="15"/>
      <c r="G511" s="14"/>
      <c r="H511" s="15"/>
    </row>
    <row r="512" spans="4:8" ht="12.3" x14ac:dyDescent="0.4">
      <c r="D512" s="15"/>
      <c r="F512" s="15"/>
      <c r="G512" s="14"/>
      <c r="H512" s="15"/>
    </row>
    <row r="513" spans="4:8" ht="12.3" x14ac:dyDescent="0.4">
      <c r="D513" s="15"/>
      <c r="F513" s="15"/>
      <c r="G513" s="14"/>
      <c r="H513" s="15"/>
    </row>
    <row r="514" spans="4:8" ht="12.3" x14ac:dyDescent="0.4">
      <c r="D514" s="15"/>
      <c r="F514" s="15"/>
      <c r="G514" s="14"/>
      <c r="H514" s="15"/>
    </row>
    <row r="515" spans="4:8" ht="12.3" x14ac:dyDescent="0.4">
      <c r="D515" s="15"/>
      <c r="F515" s="15"/>
      <c r="G515" s="14"/>
      <c r="H515" s="15"/>
    </row>
    <row r="516" spans="4:8" ht="12.3" x14ac:dyDescent="0.4">
      <c r="D516" s="15"/>
      <c r="F516" s="15"/>
      <c r="G516" s="14"/>
      <c r="H516" s="15"/>
    </row>
    <row r="517" spans="4:8" ht="12.3" x14ac:dyDescent="0.4">
      <c r="D517" s="15"/>
      <c r="F517" s="15"/>
      <c r="G517" s="14"/>
      <c r="H517" s="15"/>
    </row>
    <row r="518" spans="4:8" ht="12.3" x14ac:dyDescent="0.4">
      <c r="D518" s="15"/>
      <c r="F518" s="15"/>
      <c r="G518" s="14"/>
      <c r="H518" s="15"/>
    </row>
    <row r="519" spans="4:8" ht="12.3" x14ac:dyDescent="0.4">
      <c r="D519" s="15"/>
      <c r="F519" s="15"/>
      <c r="G519" s="14"/>
      <c r="H519" s="15"/>
    </row>
    <row r="520" spans="4:8" ht="12.3" x14ac:dyDescent="0.4">
      <c r="D520" s="15"/>
      <c r="F520" s="15"/>
      <c r="G520" s="14"/>
      <c r="H520" s="15"/>
    </row>
    <row r="521" spans="4:8" ht="12.3" x14ac:dyDescent="0.4">
      <c r="D521" s="15"/>
      <c r="F521" s="15"/>
      <c r="G521" s="14"/>
      <c r="H521" s="15"/>
    </row>
    <row r="522" spans="4:8" ht="12.3" x14ac:dyDescent="0.4">
      <c r="D522" s="15"/>
      <c r="F522" s="15"/>
      <c r="G522" s="14"/>
      <c r="H522" s="15"/>
    </row>
    <row r="523" spans="4:8" ht="12.3" x14ac:dyDescent="0.4">
      <c r="D523" s="15"/>
      <c r="F523" s="15"/>
      <c r="G523" s="14"/>
      <c r="H523" s="15"/>
    </row>
    <row r="524" spans="4:8" ht="12.3" x14ac:dyDescent="0.4">
      <c r="D524" s="15"/>
      <c r="F524" s="15"/>
      <c r="G524" s="14"/>
      <c r="H524" s="15"/>
    </row>
    <row r="525" spans="4:8" ht="12.3" x14ac:dyDescent="0.4">
      <c r="D525" s="15"/>
      <c r="F525" s="15"/>
      <c r="G525" s="14"/>
      <c r="H525" s="15"/>
    </row>
    <row r="526" spans="4:8" ht="12.3" x14ac:dyDescent="0.4">
      <c r="D526" s="15"/>
      <c r="F526" s="15"/>
      <c r="G526" s="14"/>
      <c r="H526" s="15"/>
    </row>
    <row r="527" spans="4:8" ht="12.3" x14ac:dyDescent="0.4">
      <c r="D527" s="15"/>
      <c r="F527" s="15"/>
      <c r="G527" s="14"/>
      <c r="H527" s="15"/>
    </row>
    <row r="528" spans="4:8" ht="12.3" x14ac:dyDescent="0.4">
      <c r="D528" s="15"/>
      <c r="F528" s="15"/>
      <c r="G528" s="14"/>
      <c r="H528" s="15"/>
    </row>
    <row r="529" spans="4:8" ht="12.3" x14ac:dyDescent="0.4">
      <c r="D529" s="15"/>
      <c r="F529" s="15"/>
      <c r="G529" s="14"/>
      <c r="H529" s="15"/>
    </row>
    <row r="530" spans="4:8" ht="12.3" x14ac:dyDescent="0.4">
      <c r="D530" s="15"/>
      <c r="F530" s="15"/>
      <c r="G530" s="14"/>
      <c r="H530" s="15"/>
    </row>
    <row r="531" spans="4:8" ht="12.3" x14ac:dyDescent="0.4">
      <c r="D531" s="15"/>
      <c r="F531" s="15"/>
      <c r="G531" s="14"/>
      <c r="H531" s="15"/>
    </row>
    <row r="532" spans="4:8" ht="12.3" x14ac:dyDescent="0.4">
      <c r="D532" s="15"/>
      <c r="F532" s="15"/>
      <c r="G532" s="14"/>
      <c r="H532" s="15"/>
    </row>
    <row r="533" spans="4:8" ht="12.3" x14ac:dyDescent="0.4">
      <c r="D533" s="15"/>
      <c r="F533" s="15"/>
      <c r="G533" s="14"/>
      <c r="H533" s="15"/>
    </row>
    <row r="534" spans="4:8" ht="12.3" x14ac:dyDescent="0.4">
      <c r="D534" s="15"/>
      <c r="F534" s="15"/>
      <c r="G534" s="14"/>
      <c r="H534" s="15"/>
    </row>
    <row r="535" spans="4:8" ht="12.3" x14ac:dyDescent="0.4">
      <c r="D535" s="15"/>
      <c r="F535" s="15"/>
      <c r="G535" s="14"/>
      <c r="H535" s="15"/>
    </row>
    <row r="536" spans="4:8" ht="12.3" x14ac:dyDescent="0.4">
      <c r="D536" s="15"/>
      <c r="F536" s="15"/>
      <c r="G536" s="14"/>
      <c r="H536" s="15"/>
    </row>
    <row r="537" spans="4:8" ht="12.3" x14ac:dyDescent="0.4">
      <c r="D537" s="15"/>
      <c r="F537" s="15"/>
      <c r="G537" s="14"/>
      <c r="H537" s="15"/>
    </row>
    <row r="538" spans="4:8" ht="12.3" x14ac:dyDescent="0.4">
      <c r="D538" s="15"/>
      <c r="F538" s="15"/>
      <c r="G538" s="14"/>
      <c r="H538" s="15"/>
    </row>
    <row r="539" spans="4:8" ht="12.3" x14ac:dyDescent="0.4">
      <c r="D539" s="15"/>
      <c r="F539" s="15"/>
      <c r="G539" s="14"/>
      <c r="H539" s="15"/>
    </row>
    <row r="540" spans="4:8" ht="12.3" x14ac:dyDescent="0.4">
      <c r="D540" s="15"/>
      <c r="F540" s="15"/>
      <c r="G540" s="14"/>
      <c r="H540" s="15"/>
    </row>
    <row r="541" spans="4:8" ht="12.3" x14ac:dyDescent="0.4">
      <c r="D541" s="15"/>
      <c r="F541" s="15"/>
      <c r="G541" s="14"/>
      <c r="H541" s="15"/>
    </row>
    <row r="542" spans="4:8" ht="12.3" x14ac:dyDescent="0.4">
      <c r="D542" s="15"/>
      <c r="F542" s="15"/>
      <c r="G542" s="14"/>
      <c r="H542" s="15"/>
    </row>
    <row r="543" spans="4:8" ht="12.3" x14ac:dyDescent="0.4">
      <c r="D543" s="15"/>
      <c r="F543" s="15"/>
      <c r="G543" s="14"/>
      <c r="H543" s="15"/>
    </row>
    <row r="544" spans="4:8" ht="12.3" x14ac:dyDescent="0.4">
      <c r="D544" s="15"/>
      <c r="F544" s="15"/>
      <c r="G544" s="14"/>
      <c r="H544" s="15"/>
    </row>
    <row r="545" spans="4:8" ht="12.3" x14ac:dyDescent="0.4">
      <c r="D545" s="15"/>
      <c r="F545" s="15"/>
      <c r="G545" s="14"/>
      <c r="H545" s="15"/>
    </row>
    <row r="546" spans="4:8" ht="12.3" x14ac:dyDescent="0.4">
      <c r="D546" s="15"/>
      <c r="F546" s="15"/>
      <c r="G546" s="14"/>
      <c r="H546" s="15"/>
    </row>
    <row r="547" spans="4:8" ht="12.3" x14ac:dyDescent="0.4">
      <c r="D547" s="15"/>
      <c r="F547" s="15"/>
      <c r="G547" s="14"/>
      <c r="H547" s="15"/>
    </row>
    <row r="548" spans="4:8" ht="12.3" x14ac:dyDescent="0.4">
      <c r="D548" s="15"/>
      <c r="F548" s="15"/>
      <c r="G548" s="14"/>
      <c r="H548" s="15"/>
    </row>
    <row r="549" spans="4:8" ht="12.3" x14ac:dyDescent="0.4">
      <c r="D549" s="15"/>
      <c r="F549" s="15"/>
      <c r="G549" s="14"/>
      <c r="H549" s="15"/>
    </row>
    <row r="550" spans="4:8" ht="12.3" x14ac:dyDescent="0.4">
      <c r="D550" s="15"/>
      <c r="F550" s="15"/>
      <c r="G550" s="14"/>
      <c r="H550" s="15"/>
    </row>
    <row r="551" spans="4:8" ht="12.3" x14ac:dyDescent="0.4">
      <c r="D551" s="15"/>
      <c r="F551" s="15"/>
      <c r="G551" s="14"/>
      <c r="H551" s="15"/>
    </row>
    <row r="552" spans="4:8" ht="12.3" x14ac:dyDescent="0.4">
      <c r="D552" s="15"/>
      <c r="F552" s="15"/>
      <c r="G552" s="14"/>
      <c r="H552" s="15"/>
    </row>
    <row r="553" spans="4:8" ht="12.3" x14ac:dyDescent="0.4">
      <c r="D553" s="15"/>
      <c r="F553" s="15"/>
      <c r="G553" s="14"/>
      <c r="H553" s="15"/>
    </row>
    <row r="554" spans="4:8" ht="12.3" x14ac:dyDescent="0.4">
      <c r="D554" s="15"/>
      <c r="F554" s="15"/>
      <c r="G554" s="14"/>
      <c r="H554" s="15"/>
    </row>
    <row r="555" spans="4:8" ht="12.3" x14ac:dyDescent="0.4">
      <c r="D555" s="15"/>
      <c r="F555" s="15"/>
      <c r="G555" s="14"/>
      <c r="H555" s="15"/>
    </row>
    <row r="556" spans="4:8" ht="12.3" x14ac:dyDescent="0.4">
      <c r="D556" s="15"/>
      <c r="F556" s="15"/>
      <c r="G556" s="14"/>
      <c r="H556" s="15"/>
    </row>
    <row r="557" spans="4:8" ht="12.3" x14ac:dyDescent="0.4">
      <c r="D557" s="15"/>
      <c r="F557" s="15"/>
      <c r="G557" s="14"/>
      <c r="H557" s="15"/>
    </row>
    <row r="558" spans="4:8" ht="12.3" x14ac:dyDescent="0.4">
      <c r="D558" s="15"/>
      <c r="F558" s="15"/>
      <c r="G558" s="14"/>
      <c r="H558" s="15"/>
    </row>
    <row r="559" spans="4:8" ht="12.3" x14ac:dyDescent="0.4">
      <c r="D559" s="15"/>
      <c r="F559" s="15"/>
      <c r="G559" s="14"/>
      <c r="H559" s="15"/>
    </row>
    <row r="560" spans="4:8" ht="12.3" x14ac:dyDescent="0.4">
      <c r="D560" s="15"/>
      <c r="F560" s="15"/>
      <c r="G560" s="14"/>
      <c r="H560" s="15"/>
    </row>
    <row r="561" spans="4:8" ht="12.3" x14ac:dyDescent="0.4">
      <c r="D561" s="15"/>
      <c r="F561" s="15"/>
      <c r="G561" s="14"/>
      <c r="H561" s="15"/>
    </row>
    <row r="562" spans="4:8" ht="12.3" x14ac:dyDescent="0.4">
      <c r="D562" s="15"/>
      <c r="F562" s="15"/>
      <c r="G562" s="14"/>
      <c r="H562" s="15"/>
    </row>
    <row r="563" spans="4:8" ht="12.3" x14ac:dyDescent="0.4">
      <c r="D563" s="15"/>
      <c r="F563" s="15"/>
      <c r="G563" s="14"/>
      <c r="H563" s="15"/>
    </row>
    <row r="564" spans="4:8" ht="12.3" x14ac:dyDescent="0.4">
      <c r="D564" s="15"/>
      <c r="F564" s="15"/>
      <c r="G564" s="14"/>
      <c r="H564" s="15"/>
    </row>
    <row r="565" spans="4:8" ht="12.3" x14ac:dyDescent="0.4">
      <c r="D565" s="15"/>
      <c r="F565" s="15"/>
      <c r="G565" s="14"/>
      <c r="H565" s="15"/>
    </row>
    <row r="566" spans="4:8" ht="12.3" x14ac:dyDescent="0.4">
      <c r="D566" s="15"/>
      <c r="F566" s="15"/>
      <c r="G566" s="14"/>
      <c r="H566" s="15"/>
    </row>
    <row r="567" spans="4:8" ht="12.3" x14ac:dyDescent="0.4">
      <c r="D567" s="15"/>
      <c r="F567" s="15"/>
      <c r="G567" s="14"/>
      <c r="H567" s="15"/>
    </row>
    <row r="568" spans="4:8" ht="12.3" x14ac:dyDescent="0.4">
      <c r="D568" s="15"/>
      <c r="F568" s="15"/>
      <c r="G568" s="14"/>
      <c r="H568" s="15"/>
    </row>
    <row r="569" spans="4:8" ht="12.3" x14ac:dyDescent="0.4">
      <c r="D569" s="15"/>
      <c r="F569" s="15"/>
      <c r="G569" s="14"/>
      <c r="H569" s="15"/>
    </row>
    <row r="570" spans="4:8" ht="12.3" x14ac:dyDescent="0.4">
      <c r="D570" s="15"/>
      <c r="F570" s="15"/>
      <c r="G570" s="14"/>
      <c r="H570" s="15"/>
    </row>
    <row r="571" spans="4:8" ht="12.3" x14ac:dyDescent="0.4">
      <c r="D571" s="15"/>
      <c r="F571" s="15"/>
      <c r="G571" s="14"/>
      <c r="H571" s="15"/>
    </row>
    <row r="572" spans="4:8" ht="12.3" x14ac:dyDescent="0.4">
      <c r="D572" s="15"/>
      <c r="F572" s="15"/>
      <c r="G572" s="14"/>
      <c r="H572" s="15"/>
    </row>
    <row r="573" spans="4:8" ht="12.3" x14ac:dyDescent="0.4">
      <c r="D573" s="15"/>
      <c r="F573" s="15"/>
      <c r="G573" s="14"/>
      <c r="H573" s="15"/>
    </row>
    <row r="574" spans="4:8" ht="12.3" x14ac:dyDescent="0.4">
      <c r="D574" s="15"/>
      <c r="F574" s="15"/>
      <c r="G574" s="14"/>
      <c r="H574" s="15"/>
    </row>
    <row r="575" spans="4:8" ht="12.3" x14ac:dyDescent="0.4">
      <c r="D575" s="15"/>
      <c r="F575" s="15"/>
      <c r="G575" s="14"/>
      <c r="H575" s="15"/>
    </row>
    <row r="576" spans="4:8" ht="12.3" x14ac:dyDescent="0.4">
      <c r="D576" s="15"/>
      <c r="F576" s="15"/>
      <c r="G576" s="14"/>
      <c r="H576" s="15"/>
    </row>
    <row r="577" spans="4:8" ht="12.3" x14ac:dyDescent="0.4">
      <c r="D577" s="15"/>
      <c r="F577" s="15"/>
      <c r="G577" s="14"/>
      <c r="H577" s="15"/>
    </row>
    <row r="578" spans="4:8" ht="12.3" x14ac:dyDescent="0.4">
      <c r="D578" s="15"/>
      <c r="F578" s="15"/>
      <c r="G578" s="14"/>
      <c r="H578" s="15"/>
    </row>
    <row r="579" spans="4:8" ht="12.3" x14ac:dyDescent="0.4">
      <c r="D579" s="15"/>
      <c r="F579" s="15"/>
      <c r="G579" s="14"/>
      <c r="H579" s="15"/>
    </row>
    <row r="580" spans="4:8" ht="12.3" x14ac:dyDescent="0.4">
      <c r="D580" s="15"/>
      <c r="F580" s="15"/>
      <c r="G580" s="14"/>
      <c r="H580" s="15"/>
    </row>
    <row r="581" spans="4:8" ht="12.3" x14ac:dyDescent="0.4">
      <c r="D581" s="15"/>
      <c r="F581" s="15"/>
      <c r="G581" s="14"/>
      <c r="H581" s="15"/>
    </row>
    <row r="582" spans="4:8" ht="12.3" x14ac:dyDescent="0.4">
      <c r="D582" s="15"/>
      <c r="F582" s="15"/>
      <c r="G582" s="14"/>
      <c r="H582" s="15"/>
    </row>
    <row r="583" spans="4:8" ht="12.3" x14ac:dyDescent="0.4">
      <c r="D583" s="15"/>
      <c r="F583" s="15"/>
      <c r="G583" s="14"/>
      <c r="H583" s="15"/>
    </row>
    <row r="584" spans="4:8" ht="12.3" x14ac:dyDescent="0.4">
      <c r="D584" s="15"/>
      <c r="F584" s="15"/>
      <c r="G584" s="14"/>
      <c r="H584" s="15"/>
    </row>
    <row r="585" spans="4:8" ht="12.3" x14ac:dyDescent="0.4">
      <c r="D585" s="15"/>
      <c r="F585" s="15"/>
      <c r="G585" s="14"/>
      <c r="H585" s="15"/>
    </row>
    <row r="586" spans="4:8" ht="12.3" x14ac:dyDescent="0.4">
      <c r="D586" s="15"/>
      <c r="F586" s="15"/>
      <c r="G586" s="14"/>
      <c r="H586" s="15"/>
    </row>
    <row r="587" spans="4:8" ht="12.3" x14ac:dyDescent="0.4">
      <c r="D587" s="15"/>
      <c r="F587" s="15"/>
      <c r="G587" s="14"/>
      <c r="H587" s="15"/>
    </row>
    <row r="588" spans="4:8" ht="12.3" x14ac:dyDescent="0.4">
      <c r="D588" s="15"/>
      <c r="F588" s="15"/>
      <c r="G588" s="14"/>
      <c r="H588" s="15"/>
    </row>
    <row r="589" spans="4:8" ht="12.3" x14ac:dyDescent="0.4">
      <c r="D589" s="15"/>
      <c r="F589" s="15"/>
      <c r="G589" s="14"/>
      <c r="H589" s="15"/>
    </row>
    <row r="590" spans="4:8" ht="12.3" x14ac:dyDescent="0.4">
      <c r="D590" s="15"/>
      <c r="F590" s="15"/>
      <c r="G590" s="14"/>
      <c r="H590" s="15"/>
    </row>
    <row r="591" spans="4:8" ht="12.3" x14ac:dyDescent="0.4">
      <c r="D591" s="15"/>
      <c r="F591" s="15"/>
      <c r="G591" s="14"/>
      <c r="H591" s="15"/>
    </row>
    <row r="592" spans="4:8" ht="12.3" x14ac:dyDescent="0.4">
      <c r="D592" s="15"/>
      <c r="F592" s="15"/>
      <c r="G592" s="14"/>
      <c r="H592" s="15"/>
    </row>
    <row r="593" spans="4:8" ht="12.3" x14ac:dyDescent="0.4">
      <c r="D593" s="15"/>
      <c r="F593" s="15"/>
      <c r="G593" s="14"/>
      <c r="H593" s="15"/>
    </row>
    <row r="594" spans="4:8" ht="12.3" x14ac:dyDescent="0.4">
      <c r="D594" s="15"/>
      <c r="F594" s="15"/>
      <c r="G594" s="14"/>
      <c r="H594" s="15"/>
    </row>
    <row r="595" spans="4:8" ht="12.3" x14ac:dyDescent="0.4">
      <c r="D595" s="15"/>
      <c r="F595" s="15"/>
      <c r="G595" s="14"/>
      <c r="H595" s="15"/>
    </row>
    <row r="596" spans="4:8" ht="12.3" x14ac:dyDescent="0.4">
      <c r="D596" s="15"/>
      <c r="F596" s="15"/>
      <c r="G596" s="14"/>
      <c r="H596" s="15"/>
    </row>
    <row r="597" spans="4:8" ht="12.3" x14ac:dyDescent="0.4">
      <c r="D597" s="15"/>
      <c r="F597" s="15"/>
      <c r="G597" s="14"/>
      <c r="H597" s="15"/>
    </row>
    <row r="598" spans="4:8" ht="12.3" x14ac:dyDescent="0.4">
      <c r="D598" s="15"/>
      <c r="F598" s="15"/>
      <c r="G598" s="14"/>
      <c r="H598" s="15"/>
    </row>
    <row r="599" spans="4:8" ht="12.3" x14ac:dyDescent="0.4">
      <c r="D599" s="15"/>
      <c r="F599" s="15"/>
      <c r="G599" s="14"/>
      <c r="H599" s="15"/>
    </row>
    <row r="600" spans="4:8" ht="12.3" x14ac:dyDescent="0.4">
      <c r="D600" s="15"/>
      <c r="F600" s="15"/>
      <c r="G600" s="14"/>
      <c r="H600" s="15"/>
    </row>
    <row r="601" spans="4:8" ht="12.3" x14ac:dyDescent="0.4">
      <c r="D601" s="15"/>
      <c r="F601" s="15"/>
      <c r="G601" s="14"/>
      <c r="H601" s="15"/>
    </row>
    <row r="602" spans="4:8" ht="12.3" x14ac:dyDescent="0.4">
      <c r="D602" s="15"/>
      <c r="F602" s="15"/>
      <c r="G602" s="14"/>
      <c r="H602" s="15"/>
    </row>
    <row r="603" spans="4:8" ht="12.3" x14ac:dyDescent="0.4">
      <c r="D603" s="15"/>
      <c r="F603" s="15"/>
      <c r="G603" s="14"/>
      <c r="H603" s="15"/>
    </row>
    <row r="604" spans="4:8" ht="12.3" x14ac:dyDescent="0.4">
      <c r="D604" s="15"/>
      <c r="F604" s="15"/>
      <c r="G604" s="14"/>
      <c r="H604" s="15"/>
    </row>
    <row r="605" spans="4:8" ht="12.3" x14ac:dyDescent="0.4">
      <c r="D605" s="15"/>
      <c r="F605" s="15"/>
      <c r="G605" s="14"/>
      <c r="H605" s="15"/>
    </row>
    <row r="606" spans="4:8" ht="12.3" x14ac:dyDescent="0.4">
      <c r="D606" s="15"/>
      <c r="F606" s="15"/>
      <c r="G606" s="14"/>
      <c r="H606" s="15"/>
    </row>
    <row r="607" spans="4:8" ht="12.3" x14ac:dyDescent="0.4">
      <c r="D607" s="15"/>
      <c r="F607" s="15"/>
      <c r="G607" s="14"/>
      <c r="H607" s="15"/>
    </row>
    <row r="608" spans="4:8" ht="12.3" x14ac:dyDescent="0.4">
      <c r="D608" s="15"/>
      <c r="F608" s="15"/>
      <c r="G608" s="14"/>
      <c r="H608" s="15"/>
    </row>
    <row r="609" spans="4:8" ht="12.3" x14ac:dyDescent="0.4">
      <c r="D609" s="15"/>
      <c r="F609" s="15"/>
      <c r="G609" s="14"/>
      <c r="H609" s="15"/>
    </row>
    <row r="610" spans="4:8" ht="12.3" x14ac:dyDescent="0.4">
      <c r="D610" s="15"/>
      <c r="F610" s="15"/>
      <c r="G610" s="14"/>
      <c r="H610" s="15"/>
    </row>
    <row r="611" spans="4:8" ht="12.3" x14ac:dyDescent="0.4">
      <c r="D611" s="15"/>
      <c r="F611" s="15"/>
      <c r="G611" s="14"/>
      <c r="H611" s="15"/>
    </row>
    <row r="612" spans="4:8" ht="12.3" x14ac:dyDescent="0.4">
      <c r="D612" s="15"/>
      <c r="F612" s="15"/>
      <c r="G612" s="14"/>
      <c r="H612" s="15"/>
    </row>
    <row r="613" spans="4:8" ht="12.3" x14ac:dyDescent="0.4">
      <c r="D613" s="15"/>
      <c r="F613" s="15"/>
      <c r="G613" s="14"/>
      <c r="H613" s="15"/>
    </row>
    <row r="614" spans="4:8" ht="12.3" x14ac:dyDescent="0.4">
      <c r="D614" s="15"/>
      <c r="F614" s="15"/>
      <c r="G614" s="14"/>
      <c r="H614" s="15"/>
    </row>
    <row r="615" spans="4:8" ht="12.3" x14ac:dyDescent="0.4">
      <c r="D615" s="15"/>
      <c r="F615" s="15"/>
      <c r="G615" s="14"/>
      <c r="H615" s="15"/>
    </row>
    <row r="616" spans="4:8" ht="12.3" x14ac:dyDescent="0.4">
      <c r="D616" s="15"/>
      <c r="F616" s="15"/>
      <c r="G616" s="14"/>
      <c r="H616" s="15"/>
    </row>
    <row r="617" spans="4:8" ht="12.3" x14ac:dyDescent="0.4">
      <c r="D617" s="15"/>
      <c r="F617" s="15"/>
      <c r="G617" s="14"/>
      <c r="H617" s="15"/>
    </row>
    <row r="618" spans="4:8" ht="12.3" x14ac:dyDescent="0.4">
      <c r="D618" s="15"/>
      <c r="F618" s="15"/>
      <c r="G618" s="14"/>
      <c r="H618" s="15"/>
    </row>
    <row r="619" spans="4:8" ht="12.3" x14ac:dyDescent="0.4">
      <c r="D619" s="15"/>
      <c r="F619" s="15"/>
      <c r="G619" s="14"/>
      <c r="H619" s="15"/>
    </row>
    <row r="620" spans="4:8" ht="12.3" x14ac:dyDescent="0.4">
      <c r="D620" s="15"/>
      <c r="F620" s="15"/>
      <c r="G620" s="14"/>
      <c r="H620" s="15"/>
    </row>
    <row r="621" spans="4:8" ht="12.3" x14ac:dyDescent="0.4">
      <c r="D621" s="15"/>
      <c r="F621" s="15"/>
      <c r="G621" s="14"/>
      <c r="H621" s="15"/>
    </row>
    <row r="622" spans="4:8" ht="12.3" x14ac:dyDescent="0.4">
      <c r="D622" s="15"/>
      <c r="F622" s="15"/>
      <c r="G622" s="14"/>
      <c r="H622" s="15"/>
    </row>
    <row r="623" spans="4:8" ht="12.3" x14ac:dyDescent="0.4">
      <c r="D623" s="15"/>
      <c r="F623" s="15"/>
      <c r="G623" s="14"/>
      <c r="H623" s="15"/>
    </row>
    <row r="624" spans="4:8" ht="12.3" x14ac:dyDescent="0.4">
      <c r="D624" s="15"/>
      <c r="F624" s="15"/>
      <c r="G624" s="14"/>
      <c r="H624" s="15"/>
    </row>
    <row r="625" spans="4:8" ht="12.3" x14ac:dyDescent="0.4">
      <c r="D625" s="15"/>
      <c r="F625" s="15"/>
      <c r="G625" s="14"/>
      <c r="H625" s="15"/>
    </row>
    <row r="626" spans="4:8" ht="12.3" x14ac:dyDescent="0.4">
      <c r="D626" s="15"/>
      <c r="F626" s="15"/>
      <c r="G626" s="14"/>
      <c r="H626" s="15"/>
    </row>
    <row r="627" spans="4:8" ht="12.3" x14ac:dyDescent="0.4">
      <c r="D627" s="15"/>
      <c r="F627" s="15"/>
      <c r="G627" s="14"/>
      <c r="H627" s="15"/>
    </row>
    <row r="628" spans="4:8" ht="12.3" x14ac:dyDescent="0.4">
      <c r="D628" s="15"/>
      <c r="F628" s="15"/>
      <c r="G628" s="14"/>
      <c r="H628" s="15"/>
    </row>
    <row r="629" spans="4:8" ht="12.3" x14ac:dyDescent="0.4">
      <c r="D629" s="15"/>
      <c r="F629" s="15"/>
      <c r="G629" s="14"/>
      <c r="H629" s="15"/>
    </row>
    <row r="630" spans="4:8" ht="12.3" x14ac:dyDescent="0.4">
      <c r="D630" s="15"/>
      <c r="F630" s="15"/>
      <c r="G630" s="14"/>
      <c r="H630" s="15"/>
    </row>
    <row r="631" spans="4:8" ht="12.3" x14ac:dyDescent="0.4">
      <c r="D631" s="15"/>
      <c r="F631" s="15"/>
      <c r="G631" s="14"/>
      <c r="H631" s="15"/>
    </row>
    <row r="632" spans="4:8" ht="12.3" x14ac:dyDescent="0.4">
      <c r="D632" s="15"/>
      <c r="F632" s="15"/>
      <c r="G632" s="14"/>
      <c r="H632" s="15"/>
    </row>
    <row r="633" spans="4:8" ht="12.3" x14ac:dyDescent="0.4">
      <c r="D633" s="15"/>
      <c r="F633" s="15"/>
      <c r="G633" s="14"/>
      <c r="H633" s="15"/>
    </row>
    <row r="634" spans="4:8" ht="12.3" x14ac:dyDescent="0.4">
      <c r="D634" s="15"/>
      <c r="F634" s="15"/>
      <c r="G634" s="14"/>
      <c r="H634" s="15"/>
    </row>
    <row r="635" spans="4:8" ht="12.3" x14ac:dyDescent="0.4">
      <c r="D635" s="15"/>
      <c r="F635" s="15"/>
      <c r="G635" s="14"/>
      <c r="H635" s="15"/>
    </row>
    <row r="636" spans="4:8" ht="12.3" x14ac:dyDescent="0.4">
      <c r="D636" s="15"/>
      <c r="F636" s="15"/>
      <c r="G636" s="14"/>
      <c r="H636" s="15"/>
    </row>
    <row r="637" spans="4:8" ht="12.3" x14ac:dyDescent="0.4">
      <c r="D637" s="15"/>
      <c r="F637" s="15"/>
      <c r="G637" s="14"/>
      <c r="H637" s="15"/>
    </row>
    <row r="638" spans="4:8" ht="12.3" x14ac:dyDescent="0.4">
      <c r="D638" s="15"/>
      <c r="F638" s="15"/>
      <c r="G638" s="14"/>
      <c r="H638" s="15"/>
    </row>
    <row r="639" spans="4:8" ht="12.3" x14ac:dyDescent="0.4">
      <c r="D639" s="15"/>
      <c r="F639" s="15"/>
      <c r="G639" s="14"/>
      <c r="H639" s="15"/>
    </row>
    <row r="640" spans="4:8" ht="12.3" x14ac:dyDescent="0.4">
      <c r="D640" s="15"/>
      <c r="F640" s="15"/>
      <c r="G640" s="14"/>
      <c r="H640" s="15"/>
    </row>
    <row r="641" spans="4:8" ht="12.3" x14ac:dyDescent="0.4">
      <c r="D641" s="15"/>
      <c r="F641" s="15"/>
      <c r="G641" s="14"/>
      <c r="H641" s="15"/>
    </row>
    <row r="642" spans="4:8" ht="12.3" x14ac:dyDescent="0.4">
      <c r="D642" s="15"/>
      <c r="F642" s="15"/>
      <c r="G642" s="14"/>
      <c r="H642" s="15"/>
    </row>
    <row r="643" spans="4:8" ht="12.3" x14ac:dyDescent="0.4">
      <c r="D643" s="15"/>
      <c r="F643" s="15"/>
      <c r="G643" s="14"/>
      <c r="H643" s="15"/>
    </row>
    <row r="644" spans="4:8" ht="12.3" x14ac:dyDescent="0.4">
      <c r="D644" s="15"/>
      <c r="F644" s="15"/>
      <c r="G644" s="14"/>
      <c r="H644" s="15"/>
    </row>
    <row r="645" spans="4:8" ht="12.3" x14ac:dyDescent="0.4">
      <c r="D645" s="15"/>
      <c r="F645" s="15"/>
      <c r="G645" s="14"/>
      <c r="H645" s="15"/>
    </row>
    <row r="646" spans="4:8" ht="12.3" x14ac:dyDescent="0.4">
      <c r="D646" s="15"/>
      <c r="F646" s="15"/>
      <c r="G646" s="14"/>
      <c r="H646" s="15"/>
    </row>
    <row r="647" spans="4:8" ht="12.3" x14ac:dyDescent="0.4">
      <c r="D647" s="15"/>
      <c r="F647" s="15"/>
      <c r="G647" s="14"/>
      <c r="H647" s="15"/>
    </row>
    <row r="648" spans="4:8" ht="12.3" x14ac:dyDescent="0.4">
      <c r="D648" s="15"/>
      <c r="F648" s="15"/>
      <c r="G648" s="14"/>
      <c r="H648" s="15"/>
    </row>
    <row r="649" spans="4:8" ht="12.3" x14ac:dyDescent="0.4">
      <c r="D649" s="15"/>
      <c r="F649" s="15"/>
      <c r="G649" s="14"/>
      <c r="H649" s="15"/>
    </row>
    <row r="650" spans="4:8" ht="12.3" x14ac:dyDescent="0.4">
      <c r="D650" s="15"/>
      <c r="F650" s="15"/>
      <c r="G650" s="14"/>
      <c r="H650" s="15"/>
    </row>
    <row r="651" spans="4:8" ht="12.3" x14ac:dyDescent="0.4">
      <c r="D651" s="15"/>
      <c r="F651" s="15"/>
      <c r="G651" s="14"/>
      <c r="H651" s="15"/>
    </row>
    <row r="652" spans="4:8" ht="12.3" x14ac:dyDescent="0.4">
      <c r="D652" s="15"/>
      <c r="F652" s="15"/>
      <c r="G652" s="14"/>
      <c r="H652" s="15"/>
    </row>
    <row r="653" spans="4:8" ht="12.3" x14ac:dyDescent="0.4">
      <c r="D653" s="15"/>
      <c r="F653" s="15"/>
      <c r="G653" s="14"/>
      <c r="H653" s="15"/>
    </row>
    <row r="654" spans="4:8" ht="12.3" x14ac:dyDescent="0.4">
      <c r="D654" s="15"/>
      <c r="F654" s="15"/>
      <c r="G654" s="14"/>
      <c r="H654" s="15"/>
    </row>
    <row r="655" spans="4:8" ht="12.3" x14ac:dyDescent="0.4">
      <c r="D655" s="15"/>
      <c r="F655" s="15"/>
      <c r="G655" s="14"/>
      <c r="H655" s="15"/>
    </row>
    <row r="656" spans="4:8" ht="12.3" x14ac:dyDescent="0.4">
      <c r="D656" s="15"/>
      <c r="F656" s="15"/>
      <c r="G656" s="14"/>
      <c r="H656" s="15"/>
    </row>
    <row r="657" spans="4:8" ht="12.3" x14ac:dyDescent="0.4">
      <c r="D657" s="15"/>
      <c r="F657" s="15"/>
      <c r="G657" s="14"/>
      <c r="H657" s="15"/>
    </row>
    <row r="658" spans="4:8" ht="12.3" x14ac:dyDescent="0.4">
      <c r="D658" s="15"/>
      <c r="F658" s="15"/>
      <c r="G658" s="14"/>
      <c r="H658" s="15"/>
    </row>
    <row r="659" spans="4:8" ht="12.3" x14ac:dyDescent="0.4">
      <c r="D659" s="15"/>
      <c r="F659" s="15"/>
      <c r="G659" s="14"/>
      <c r="H659" s="15"/>
    </row>
    <row r="660" spans="4:8" ht="12.3" x14ac:dyDescent="0.4">
      <c r="D660" s="15"/>
      <c r="F660" s="15"/>
      <c r="G660" s="14"/>
      <c r="H660" s="15"/>
    </row>
    <row r="661" spans="4:8" ht="12.3" x14ac:dyDescent="0.4">
      <c r="D661" s="15"/>
      <c r="F661" s="15"/>
      <c r="G661" s="14"/>
      <c r="H661" s="15"/>
    </row>
    <row r="662" spans="4:8" ht="12.3" x14ac:dyDescent="0.4">
      <c r="D662" s="15"/>
      <c r="F662" s="15"/>
      <c r="G662" s="14"/>
      <c r="H662" s="15"/>
    </row>
    <row r="663" spans="4:8" ht="12.3" x14ac:dyDescent="0.4">
      <c r="D663" s="15"/>
      <c r="F663" s="15"/>
      <c r="G663" s="14"/>
      <c r="H663" s="15"/>
    </row>
    <row r="664" spans="4:8" ht="12.3" x14ac:dyDescent="0.4">
      <c r="D664" s="15"/>
      <c r="F664" s="15"/>
      <c r="G664" s="14"/>
      <c r="H664" s="15"/>
    </row>
    <row r="665" spans="4:8" ht="12.3" x14ac:dyDescent="0.4">
      <c r="D665" s="15"/>
      <c r="F665" s="15"/>
      <c r="G665" s="14"/>
      <c r="H665" s="15"/>
    </row>
    <row r="666" spans="4:8" ht="12.3" x14ac:dyDescent="0.4">
      <c r="D666" s="15"/>
      <c r="F666" s="15"/>
      <c r="G666" s="14"/>
      <c r="H666" s="15"/>
    </row>
    <row r="667" spans="4:8" ht="12.3" x14ac:dyDescent="0.4">
      <c r="D667" s="15"/>
      <c r="F667" s="15"/>
      <c r="G667" s="14"/>
      <c r="H667" s="15"/>
    </row>
    <row r="668" spans="4:8" ht="12.3" x14ac:dyDescent="0.4">
      <c r="D668" s="15"/>
      <c r="F668" s="15"/>
      <c r="G668" s="14"/>
      <c r="H668" s="15"/>
    </row>
    <row r="669" spans="4:8" ht="12.3" x14ac:dyDescent="0.4">
      <c r="D669" s="15"/>
      <c r="F669" s="15"/>
      <c r="G669" s="14"/>
      <c r="H669" s="15"/>
    </row>
    <row r="670" spans="4:8" ht="12.3" x14ac:dyDescent="0.4">
      <c r="D670" s="15"/>
      <c r="F670" s="15"/>
      <c r="G670" s="14"/>
      <c r="H670" s="15"/>
    </row>
    <row r="671" spans="4:8" ht="12.3" x14ac:dyDescent="0.4">
      <c r="D671" s="15"/>
      <c r="F671" s="15"/>
      <c r="G671" s="14"/>
      <c r="H671" s="15"/>
    </row>
    <row r="672" spans="4:8" ht="12.3" x14ac:dyDescent="0.4">
      <c r="D672" s="15"/>
      <c r="F672" s="15"/>
      <c r="G672" s="14"/>
      <c r="H672" s="15"/>
    </row>
    <row r="673" spans="4:8" ht="12.3" x14ac:dyDescent="0.4">
      <c r="D673" s="15"/>
      <c r="F673" s="15"/>
      <c r="G673" s="14"/>
      <c r="H673" s="15"/>
    </row>
    <row r="674" spans="4:8" ht="12.3" x14ac:dyDescent="0.4">
      <c r="D674" s="15"/>
      <c r="F674" s="15"/>
      <c r="G674" s="14"/>
      <c r="H674" s="15"/>
    </row>
    <row r="675" spans="4:8" ht="12.3" x14ac:dyDescent="0.4">
      <c r="D675" s="15"/>
      <c r="F675" s="15"/>
      <c r="G675" s="14"/>
      <c r="H675" s="15"/>
    </row>
    <row r="676" spans="4:8" ht="12.3" x14ac:dyDescent="0.4">
      <c r="D676" s="15"/>
      <c r="F676" s="15"/>
      <c r="G676" s="14"/>
      <c r="H676" s="15"/>
    </row>
    <row r="677" spans="4:8" ht="12.3" x14ac:dyDescent="0.4">
      <c r="D677" s="15"/>
      <c r="F677" s="15"/>
      <c r="G677" s="14"/>
      <c r="H677" s="15"/>
    </row>
    <row r="678" spans="4:8" ht="12.3" x14ac:dyDescent="0.4">
      <c r="D678" s="15"/>
      <c r="F678" s="15"/>
      <c r="G678" s="14"/>
      <c r="H678" s="15"/>
    </row>
    <row r="679" spans="4:8" ht="12.3" x14ac:dyDescent="0.4">
      <c r="D679" s="15"/>
      <c r="F679" s="15"/>
      <c r="G679" s="14"/>
      <c r="H679" s="15"/>
    </row>
    <row r="680" spans="4:8" ht="12.3" x14ac:dyDescent="0.4">
      <c r="D680" s="15"/>
      <c r="F680" s="15"/>
      <c r="G680" s="14"/>
      <c r="H680" s="15"/>
    </row>
    <row r="681" spans="4:8" ht="12.3" x14ac:dyDescent="0.4">
      <c r="D681" s="15"/>
      <c r="F681" s="15"/>
      <c r="G681" s="14"/>
      <c r="H681" s="15"/>
    </row>
    <row r="682" spans="4:8" ht="12.3" x14ac:dyDescent="0.4">
      <c r="D682" s="15"/>
      <c r="F682" s="15"/>
      <c r="G682" s="14"/>
      <c r="H682" s="15"/>
    </row>
    <row r="683" spans="4:8" ht="12.3" x14ac:dyDescent="0.4">
      <c r="D683" s="15"/>
      <c r="F683" s="15"/>
      <c r="G683" s="14"/>
      <c r="H683" s="15"/>
    </row>
    <row r="684" spans="4:8" ht="12.3" x14ac:dyDescent="0.4">
      <c r="D684" s="15"/>
      <c r="F684" s="15"/>
      <c r="G684" s="14"/>
      <c r="H684" s="15"/>
    </row>
    <row r="685" spans="4:8" ht="12.3" x14ac:dyDescent="0.4">
      <c r="D685" s="15"/>
      <c r="F685" s="15"/>
      <c r="G685" s="14"/>
      <c r="H685" s="15"/>
    </row>
    <row r="686" spans="4:8" ht="12.3" x14ac:dyDescent="0.4">
      <c r="D686" s="15"/>
      <c r="F686" s="15"/>
      <c r="G686" s="14"/>
      <c r="H686" s="15"/>
    </row>
    <row r="687" spans="4:8" ht="12.3" x14ac:dyDescent="0.4">
      <c r="D687" s="15"/>
      <c r="F687" s="15"/>
      <c r="G687" s="14"/>
      <c r="H687" s="15"/>
    </row>
    <row r="688" spans="4:8" ht="12.3" x14ac:dyDescent="0.4">
      <c r="D688" s="15"/>
      <c r="F688" s="15"/>
      <c r="G688" s="14"/>
      <c r="H688" s="15"/>
    </row>
    <row r="689" spans="4:8" ht="12.3" x14ac:dyDescent="0.4">
      <c r="D689" s="15"/>
      <c r="F689" s="15"/>
      <c r="G689" s="14"/>
      <c r="H689" s="15"/>
    </row>
    <row r="690" spans="4:8" ht="12.3" x14ac:dyDescent="0.4">
      <c r="D690" s="15"/>
      <c r="F690" s="15"/>
      <c r="G690" s="14"/>
      <c r="H690" s="15"/>
    </row>
    <row r="691" spans="4:8" ht="12.3" x14ac:dyDescent="0.4">
      <c r="D691" s="15"/>
      <c r="F691" s="15"/>
      <c r="G691" s="14"/>
      <c r="H691" s="15"/>
    </row>
    <row r="692" spans="4:8" ht="12.3" x14ac:dyDescent="0.4">
      <c r="D692" s="15"/>
      <c r="F692" s="15"/>
      <c r="G692" s="14"/>
      <c r="H692" s="15"/>
    </row>
    <row r="693" spans="4:8" ht="12.3" x14ac:dyDescent="0.4">
      <c r="D693" s="15"/>
      <c r="F693" s="15"/>
      <c r="G693" s="14"/>
      <c r="H693" s="15"/>
    </row>
    <row r="694" spans="4:8" ht="12.3" x14ac:dyDescent="0.4">
      <c r="D694" s="15"/>
      <c r="F694" s="15"/>
      <c r="G694" s="14"/>
      <c r="H694" s="15"/>
    </row>
    <row r="695" spans="4:8" ht="12.3" x14ac:dyDescent="0.4">
      <c r="D695" s="15"/>
      <c r="F695" s="15"/>
      <c r="G695" s="14"/>
      <c r="H695" s="15"/>
    </row>
    <row r="696" spans="4:8" ht="12.3" x14ac:dyDescent="0.4">
      <c r="D696" s="15"/>
      <c r="F696" s="15"/>
      <c r="G696" s="14"/>
      <c r="H696" s="15"/>
    </row>
    <row r="697" spans="4:8" ht="12.3" x14ac:dyDescent="0.4">
      <c r="D697" s="15"/>
      <c r="F697" s="15"/>
      <c r="G697" s="14"/>
      <c r="H697" s="15"/>
    </row>
    <row r="698" spans="4:8" ht="12.3" x14ac:dyDescent="0.4">
      <c r="D698" s="15"/>
      <c r="F698" s="15"/>
      <c r="G698" s="14"/>
      <c r="H698" s="15"/>
    </row>
    <row r="699" spans="4:8" ht="12.3" x14ac:dyDescent="0.4">
      <c r="D699" s="15"/>
      <c r="F699" s="15"/>
      <c r="G699" s="14"/>
      <c r="H699" s="15"/>
    </row>
    <row r="700" spans="4:8" ht="12.3" x14ac:dyDescent="0.4">
      <c r="D700" s="15"/>
      <c r="F700" s="15"/>
      <c r="G700" s="14"/>
      <c r="H700" s="15"/>
    </row>
    <row r="701" spans="4:8" ht="12.3" x14ac:dyDescent="0.4">
      <c r="D701" s="15"/>
      <c r="F701" s="15"/>
      <c r="G701" s="14"/>
      <c r="H701" s="15"/>
    </row>
    <row r="702" spans="4:8" ht="12.3" x14ac:dyDescent="0.4">
      <c r="D702" s="15"/>
      <c r="F702" s="15"/>
      <c r="G702" s="14"/>
      <c r="H702" s="15"/>
    </row>
    <row r="703" spans="4:8" ht="12.3" x14ac:dyDescent="0.4">
      <c r="D703" s="15"/>
      <c r="F703" s="15"/>
      <c r="G703" s="14"/>
      <c r="H703" s="15"/>
    </row>
    <row r="704" spans="4:8" ht="12.3" x14ac:dyDescent="0.4">
      <c r="D704" s="15"/>
      <c r="F704" s="15"/>
      <c r="G704" s="14"/>
      <c r="H704" s="15"/>
    </row>
    <row r="705" spans="4:8" ht="12.3" x14ac:dyDescent="0.4">
      <c r="D705" s="15"/>
      <c r="F705" s="15"/>
      <c r="G705" s="14"/>
      <c r="H705" s="15"/>
    </row>
    <row r="706" spans="4:8" ht="12.3" x14ac:dyDescent="0.4">
      <c r="D706" s="15"/>
      <c r="F706" s="15"/>
      <c r="G706" s="14"/>
      <c r="H706" s="15"/>
    </row>
    <row r="707" spans="4:8" ht="12.3" x14ac:dyDescent="0.4">
      <c r="D707" s="15"/>
      <c r="F707" s="15"/>
      <c r="G707" s="14"/>
      <c r="H707" s="15"/>
    </row>
    <row r="708" spans="4:8" ht="12.3" x14ac:dyDescent="0.4">
      <c r="D708" s="15"/>
      <c r="F708" s="15"/>
      <c r="G708" s="14"/>
      <c r="H708" s="15"/>
    </row>
    <row r="709" spans="4:8" ht="12.3" x14ac:dyDescent="0.4">
      <c r="D709" s="15"/>
      <c r="F709" s="15"/>
      <c r="G709" s="14"/>
      <c r="H709" s="15"/>
    </row>
    <row r="710" spans="4:8" ht="12.3" x14ac:dyDescent="0.4">
      <c r="D710" s="15"/>
      <c r="F710" s="15"/>
      <c r="G710" s="14"/>
      <c r="H710" s="15"/>
    </row>
    <row r="711" spans="4:8" ht="12.3" x14ac:dyDescent="0.4">
      <c r="D711" s="15"/>
      <c r="F711" s="15"/>
      <c r="G711" s="14"/>
      <c r="H711" s="15"/>
    </row>
    <row r="712" spans="4:8" ht="12.3" x14ac:dyDescent="0.4">
      <c r="D712" s="15"/>
      <c r="F712" s="15"/>
      <c r="G712" s="14"/>
      <c r="H712" s="15"/>
    </row>
    <row r="713" spans="4:8" ht="12.3" x14ac:dyDescent="0.4">
      <c r="D713" s="15"/>
      <c r="F713" s="15"/>
      <c r="G713" s="14"/>
      <c r="H713" s="15"/>
    </row>
    <row r="714" spans="4:8" ht="12.3" x14ac:dyDescent="0.4">
      <c r="D714" s="15"/>
      <c r="F714" s="15"/>
      <c r="G714" s="14"/>
      <c r="H714" s="15"/>
    </row>
    <row r="715" spans="4:8" ht="12.3" x14ac:dyDescent="0.4">
      <c r="D715" s="15"/>
      <c r="F715" s="15"/>
      <c r="G715" s="14"/>
      <c r="H715" s="15"/>
    </row>
    <row r="716" spans="4:8" ht="12.3" x14ac:dyDescent="0.4">
      <c r="D716" s="15"/>
      <c r="F716" s="15"/>
      <c r="G716" s="14"/>
      <c r="H716" s="15"/>
    </row>
    <row r="717" spans="4:8" ht="12.3" x14ac:dyDescent="0.4">
      <c r="D717" s="15"/>
      <c r="F717" s="15"/>
      <c r="G717" s="14"/>
      <c r="H717" s="15"/>
    </row>
    <row r="718" spans="4:8" ht="12.3" x14ac:dyDescent="0.4">
      <c r="D718" s="15"/>
      <c r="F718" s="15"/>
      <c r="G718" s="14"/>
      <c r="H718" s="15"/>
    </row>
    <row r="719" spans="4:8" ht="12.3" x14ac:dyDescent="0.4">
      <c r="D719" s="15"/>
      <c r="F719" s="15"/>
      <c r="G719" s="14"/>
      <c r="H719" s="15"/>
    </row>
    <row r="720" spans="4:8" ht="12.3" x14ac:dyDescent="0.4">
      <c r="D720" s="15"/>
      <c r="F720" s="15"/>
      <c r="G720" s="14"/>
      <c r="H720" s="15"/>
    </row>
    <row r="721" spans="4:8" ht="12.3" x14ac:dyDescent="0.4">
      <c r="D721" s="15"/>
      <c r="F721" s="15"/>
      <c r="G721" s="14"/>
      <c r="H721" s="15"/>
    </row>
    <row r="722" spans="4:8" ht="12.3" x14ac:dyDescent="0.4">
      <c r="D722" s="15"/>
      <c r="F722" s="15"/>
      <c r="G722" s="14"/>
      <c r="H722" s="15"/>
    </row>
    <row r="723" spans="4:8" ht="12.3" x14ac:dyDescent="0.4">
      <c r="D723" s="15"/>
      <c r="F723" s="15"/>
      <c r="G723" s="14"/>
      <c r="H723" s="15"/>
    </row>
    <row r="724" spans="4:8" ht="12.3" x14ac:dyDescent="0.4">
      <c r="D724" s="15"/>
      <c r="F724" s="15"/>
      <c r="G724" s="14"/>
      <c r="H724" s="15"/>
    </row>
    <row r="725" spans="4:8" ht="12.3" x14ac:dyDescent="0.4">
      <c r="D725" s="15"/>
      <c r="F725" s="15"/>
      <c r="G725" s="14"/>
      <c r="H725" s="15"/>
    </row>
    <row r="726" spans="4:8" ht="12.3" x14ac:dyDescent="0.4">
      <c r="D726" s="15"/>
      <c r="F726" s="15"/>
      <c r="G726" s="14"/>
      <c r="H726" s="15"/>
    </row>
    <row r="727" spans="4:8" ht="12.3" x14ac:dyDescent="0.4">
      <c r="D727" s="15"/>
      <c r="F727" s="15"/>
      <c r="G727" s="14"/>
      <c r="H727" s="15"/>
    </row>
    <row r="728" spans="4:8" ht="12.3" x14ac:dyDescent="0.4">
      <c r="D728" s="15"/>
      <c r="F728" s="15"/>
      <c r="G728" s="14"/>
      <c r="H728" s="15"/>
    </row>
    <row r="729" spans="4:8" ht="12.3" x14ac:dyDescent="0.4">
      <c r="D729" s="15"/>
      <c r="F729" s="15"/>
      <c r="G729" s="14"/>
      <c r="H729" s="15"/>
    </row>
    <row r="730" spans="4:8" ht="12.3" x14ac:dyDescent="0.4">
      <c r="D730" s="15"/>
      <c r="F730" s="15"/>
      <c r="G730" s="14"/>
      <c r="H730" s="15"/>
    </row>
    <row r="731" spans="4:8" ht="12.3" x14ac:dyDescent="0.4">
      <c r="D731" s="15"/>
      <c r="F731" s="15"/>
      <c r="G731" s="14"/>
      <c r="H731" s="15"/>
    </row>
    <row r="732" spans="4:8" ht="12.3" x14ac:dyDescent="0.4">
      <c r="D732" s="15"/>
      <c r="F732" s="15"/>
      <c r="G732" s="14"/>
      <c r="H732" s="15"/>
    </row>
    <row r="733" spans="4:8" ht="12.3" x14ac:dyDescent="0.4">
      <c r="D733" s="15"/>
      <c r="F733" s="15"/>
      <c r="G733" s="14"/>
      <c r="H733" s="15"/>
    </row>
    <row r="734" spans="4:8" ht="12.3" x14ac:dyDescent="0.4">
      <c r="D734" s="15"/>
      <c r="F734" s="15"/>
      <c r="G734" s="14"/>
      <c r="H734" s="15"/>
    </row>
    <row r="735" spans="4:8" ht="12.3" x14ac:dyDescent="0.4">
      <c r="D735" s="15"/>
      <c r="F735" s="15"/>
      <c r="G735" s="14"/>
      <c r="H735" s="15"/>
    </row>
    <row r="736" spans="4:8" ht="12.3" x14ac:dyDescent="0.4">
      <c r="D736" s="15"/>
      <c r="F736" s="15"/>
      <c r="G736" s="14"/>
      <c r="H736" s="15"/>
    </row>
    <row r="737" spans="4:8" ht="12.3" x14ac:dyDescent="0.4">
      <c r="D737" s="15"/>
      <c r="F737" s="15"/>
      <c r="G737" s="14"/>
      <c r="H737" s="15"/>
    </row>
    <row r="738" spans="4:8" ht="12.3" x14ac:dyDescent="0.4">
      <c r="D738" s="15"/>
      <c r="F738" s="15"/>
      <c r="G738" s="14"/>
      <c r="H738" s="15"/>
    </row>
    <row r="739" spans="4:8" ht="12.3" x14ac:dyDescent="0.4">
      <c r="D739" s="15"/>
      <c r="F739" s="15"/>
      <c r="G739" s="14"/>
      <c r="H739" s="15"/>
    </row>
    <row r="740" spans="4:8" ht="12.3" x14ac:dyDescent="0.4">
      <c r="D740" s="15"/>
      <c r="F740" s="15"/>
      <c r="G740" s="14"/>
      <c r="H740" s="15"/>
    </row>
    <row r="741" spans="4:8" ht="12.3" x14ac:dyDescent="0.4">
      <c r="D741" s="15"/>
      <c r="F741" s="15"/>
      <c r="G741" s="14"/>
      <c r="H741" s="15"/>
    </row>
    <row r="742" spans="4:8" ht="12.3" x14ac:dyDescent="0.4">
      <c r="D742" s="15"/>
      <c r="F742" s="15"/>
      <c r="G742" s="14"/>
      <c r="H742" s="15"/>
    </row>
    <row r="743" spans="4:8" ht="12.3" x14ac:dyDescent="0.4">
      <c r="D743" s="15"/>
      <c r="F743" s="15"/>
      <c r="G743" s="14"/>
      <c r="H743" s="15"/>
    </row>
    <row r="744" spans="4:8" ht="12.3" x14ac:dyDescent="0.4">
      <c r="D744" s="15"/>
      <c r="F744" s="15"/>
      <c r="G744" s="14"/>
      <c r="H744" s="15"/>
    </row>
    <row r="745" spans="4:8" ht="12.3" x14ac:dyDescent="0.4">
      <c r="D745" s="15"/>
      <c r="F745" s="15"/>
      <c r="G745" s="14"/>
      <c r="H745" s="15"/>
    </row>
    <row r="746" spans="4:8" ht="12.3" x14ac:dyDescent="0.4">
      <c r="D746" s="15"/>
      <c r="F746" s="15"/>
      <c r="G746" s="14"/>
      <c r="H746" s="15"/>
    </row>
    <row r="747" spans="4:8" ht="12.3" x14ac:dyDescent="0.4">
      <c r="D747" s="15"/>
      <c r="F747" s="15"/>
      <c r="G747" s="14"/>
      <c r="H747" s="15"/>
    </row>
    <row r="748" spans="4:8" ht="12.3" x14ac:dyDescent="0.4">
      <c r="D748" s="15"/>
      <c r="F748" s="15"/>
      <c r="G748" s="14"/>
      <c r="H748" s="15"/>
    </row>
    <row r="749" spans="4:8" ht="12.3" x14ac:dyDescent="0.4">
      <c r="D749" s="15"/>
      <c r="F749" s="15"/>
      <c r="G749" s="14"/>
      <c r="H749" s="15"/>
    </row>
    <row r="750" spans="4:8" ht="12.3" x14ac:dyDescent="0.4">
      <c r="D750" s="15"/>
      <c r="F750" s="15"/>
      <c r="G750" s="14"/>
      <c r="H750" s="15"/>
    </row>
    <row r="751" spans="4:8" ht="12.3" x14ac:dyDescent="0.4">
      <c r="D751" s="15"/>
      <c r="F751" s="15"/>
      <c r="G751" s="14"/>
      <c r="H751" s="15"/>
    </row>
    <row r="752" spans="4:8" ht="12.3" x14ac:dyDescent="0.4">
      <c r="D752" s="15"/>
      <c r="F752" s="15"/>
      <c r="G752" s="14"/>
      <c r="H752" s="15"/>
    </row>
    <row r="753" spans="4:8" ht="12.3" x14ac:dyDescent="0.4">
      <c r="D753" s="15"/>
      <c r="F753" s="15"/>
      <c r="G753" s="14"/>
      <c r="H753" s="15"/>
    </row>
    <row r="754" spans="4:8" ht="12.3" x14ac:dyDescent="0.4">
      <c r="D754" s="15"/>
      <c r="F754" s="15"/>
      <c r="G754" s="14"/>
      <c r="H754" s="15"/>
    </row>
    <row r="755" spans="4:8" ht="12.3" x14ac:dyDescent="0.4">
      <c r="D755" s="15"/>
      <c r="F755" s="15"/>
      <c r="G755" s="14"/>
      <c r="H755" s="15"/>
    </row>
    <row r="756" spans="4:8" ht="12.3" x14ac:dyDescent="0.4">
      <c r="D756" s="15"/>
      <c r="F756" s="15"/>
      <c r="G756" s="14"/>
      <c r="H756" s="15"/>
    </row>
    <row r="757" spans="4:8" ht="12.3" x14ac:dyDescent="0.4">
      <c r="D757" s="15"/>
      <c r="F757" s="15"/>
      <c r="G757" s="14"/>
      <c r="H757" s="15"/>
    </row>
    <row r="758" spans="4:8" ht="12.3" x14ac:dyDescent="0.4">
      <c r="D758" s="15"/>
      <c r="F758" s="15"/>
      <c r="G758" s="14"/>
      <c r="H758" s="15"/>
    </row>
    <row r="759" spans="4:8" ht="12.3" x14ac:dyDescent="0.4">
      <c r="D759" s="15"/>
      <c r="F759" s="15"/>
      <c r="G759" s="14"/>
      <c r="H759" s="15"/>
    </row>
    <row r="760" spans="4:8" ht="12.3" x14ac:dyDescent="0.4">
      <c r="D760" s="15"/>
      <c r="F760" s="15"/>
      <c r="G760" s="14"/>
      <c r="H760" s="15"/>
    </row>
    <row r="761" spans="4:8" ht="12.3" x14ac:dyDescent="0.4">
      <c r="D761" s="15"/>
      <c r="F761" s="15"/>
      <c r="G761" s="14"/>
      <c r="H761" s="15"/>
    </row>
    <row r="762" spans="4:8" ht="12.3" x14ac:dyDescent="0.4">
      <c r="D762" s="15"/>
      <c r="F762" s="15"/>
      <c r="G762" s="14"/>
      <c r="H762" s="15"/>
    </row>
    <row r="763" spans="4:8" ht="12.3" x14ac:dyDescent="0.4">
      <c r="D763" s="15"/>
      <c r="F763" s="15"/>
      <c r="G763" s="14"/>
      <c r="H763" s="15"/>
    </row>
    <row r="764" spans="4:8" ht="12.3" x14ac:dyDescent="0.4">
      <c r="D764" s="15"/>
      <c r="F764" s="15"/>
      <c r="G764" s="14"/>
      <c r="H764" s="15"/>
    </row>
    <row r="765" spans="4:8" ht="12.3" x14ac:dyDescent="0.4">
      <c r="D765" s="15"/>
      <c r="F765" s="15"/>
      <c r="G765" s="14"/>
      <c r="H765" s="15"/>
    </row>
    <row r="766" spans="4:8" ht="12.3" x14ac:dyDescent="0.4">
      <c r="D766" s="15"/>
      <c r="F766" s="15"/>
      <c r="G766" s="14"/>
      <c r="H766" s="15"/>
    </row>
    <row r="767" spans="4:8" ht="12.3" x14ac:dyDescent="0.4">
      <c r="D767" s="15"/>
      <c r="F767" s="15"/>
      <c r="G767" s="14"/>
      <c r="H767" s="15"/>
    </row>
    <row r="768" spans="4:8" ht="12.3" x14ac:dyDescent="0.4">
      <c r="D768" s="15"/>
      <c r="F768" s="15"/>
      <c r="G768" s="14"/>
      <c r="H768" s="15"/>
    </row>
    <row r="769" spans="4:8" ht="12.3" x14ac:dyDescent="0.4">
      <c r="D769" s="15"/>
      <c r="F769" s="15"/>
      <c r="G769" s="14"/>
      <c r="H769" s="15"/>
    </row>
    <row r="770" spans="4:8" ht="12.3" x14ac:dyDescent="0.4">
      <c r="D770" s="15"/>
      <c r="F770" s="15"/>
      <c r="G770" s="14"/>
      <c r="H770" s="15"/>
    </row>
    <row r="771" spans="4:8" ht="12.3" x14ac:dyDescent="0.4">
      <c r="D771" s="15"/>
      <c r="F771" s="15"/>
      <c r="G771" s="14"/>
      <c r="H771" s="15"/>
    </row>
    <row r="772" spans="4:8" ht="12.3" x14ac:dyDescent="0.4">
      <c r="D772" s="15"/>
      <c r="F772" s="15"/>
      <c r="G772" s="14"/>
      <c r="H772" s="15"/>
    </row>
    <row r="773" spans="4:8" ht="12.3" x14ac:dyDescent="0.4">
      <c r="D773" s="15"/>
      <c r="F773" s="15"/>
      <c r="G773" s="14"/>
      <c r="H773" s="15"/>
    </row>
    <row r="774" spans="4:8" ht="12.3" x14ac:dyDescent="0.4">
      <c r="D774" s="15"/>
      <c r="F774" s="15"/>
      <c r="G774" s="14"/>
      <c r="H774" s="15"/>
    </row>
    <row r="775" spans="4:8" ht="12.3" x14ac:dyDescent="0.4">
      <c r="D775" s="15"/>
      <c r="F775" s="15"/>
      <c r="G775" s="14"/>
      <c r="H775" s="15"/>
    </row>
    <row r="776" spans="4:8" ht="12.3" x14ac:dyDescent="0.4">
      <c r="D776" s="15"/>
      <c r="F776" s="15"/>
      <c r="G776" s="14"/>
      <c r="H776" s="15"/>
    </row>
    <row r="777" spans="4:8" ht="12.3" x14ac:dyDescent="0.4">
      <c r="D777" s="15"/>
      <c r="F777" s="15"/>
      <c r="G777" s="14"/>
      <c r="H777" s="15"/>
    </row>
    <row r="778" spans="4:8" ht="12.3" x14ac:dyDescent="0.4">
      <c r="D778" s="15"/>
      <c r="F778" s="15"/>
      <c r="G778" s="14"/>
      <c r="H778" s="15"/>
    </row>
    <row r="779" spans="4:8" ht="12.3" x14ac:dyDescent="0.4">
      <c r="D779" s="15"/>
      <c r="F779" s="15"/>
      <c r="G779" s="14"/>
      <c r="H779" s="15"/>
    </row>
    <row r="780" spans="4:8" ht="12.3" x14ac:dyDescent="0.4">
      <c r="D780" s="15"/>
      <c r="F780" s="15"/>
      <c r="G780" s="14"/>
      <c r="H780" s="15"/>
    </row>
    <row r="781" spans="4:8" ht="12.3" x14ac:dyDescent="0.4">
      <c r="D781" s="15"/>
      <c r="F781" s="15"/>
      <c r="G781" s="14"/>
      <c r="H781" s="15"/>
    </row>
    <row r="782" spans="4:8" ht="12.3" x14ac:dyDescent="0.4">
      <c r="D782" s="15"/>
      <c r="F782" s="15"/>
      <c r="G782" s="14"/>
      <c r="H782" s="15"/>
    </row>
    <row r="783" spans="4:8" ht="12.3" x14ac:dyDescent="0.4">
      <c r="D783" s="15"/>
      <c r="F783" s="15"/>
      <c r="G783" s="14"/>
      <c r="H783" s="15"/>
    </row>
    <row r="784" spans="4:8" ht="12.3" x14ac:dyDescent="0.4">
      <c r="D784" s="15"/>
      <c r="F784" s="15"/>
      <c r="G784" s="14"/>
      <c r="H784" s="15"/>
    </row>
    <row r="785" spans="4:8" ht="12.3" x14ac:dyDescent="0.4">
      <c r="D785" s="15"/>
      <c r="F785" s="15"/>
      <c r="G785" s="14"/>
      <c r="H785" s="15"/>
    </row>
    <row r="786" spans="4:8" ht="12.3" x14ac:dyDescent="0.4">
      <c r="D786" s="15"/>
      <c r="F786" s="15"/>
      <c r="G786" s="14"/>
      <c r="H786" s="15"/>
    </row>
    <row r="787" spans="4:8" ht="12.3" x14ac:dyDescent="0.4">
      <c r="D787" s="15"/>
      <c r="F787" s="15"/>
      <c r="G787" s="14"/>
      <c r="H787" s="15"/>
    </row>
    <row r="788" spans="4:8" ht="12.3" x14ac:dyDescent="0.4">
      <c r="D788" s="15"/>
      <c r="F788" s="15"/>
      <c r="G788" s="14"/>
      <c r="H788" s="15"/>
    </row>
    <row r="789" spans="4:8" ht="12.3" x14ac:dyDescent="0.4">
      <c r="D789" s="15"/>
      <c r="F789" s="15"/>
      <c r="G789" s="14"/>
      <c r="H789" s="15"/>
    </row>
    <row r="790" spans="4:8" ht="12.3" x14ac:dyDescent="0.4">
      <c r="D790" s="15"/>
      <c r="F790" s="15"/>
      <c r="G790" s="14"/>
      <c r="H790" s="15"/>
    </row>
    <row r="791" spans="4:8" ht="12.3" x14ac:dyDescent="0.4">
      <c r="D791" s="15"/>
      <c r="F791" s="15"/>
      <c r="G791" s="14"/>
      <c r="H791" s="15"/>
    </row>
    <row r="792" spans="4:8" ht="12.3" x14ac:dyDescent="0.4">
      <c r="D792" s="15"/>
      <c r="F792" s="15"/>
      <c r="G792" s="14"/>
      <c r="H792" s="15"/>
    </row>
    <row r="793" spans="4:8" ht="12.3" x14ac:dyDescent="0.4">
      <c r="D793" s="15"/>
      <c r="F793" s="15"/>
      <c r="G793" s="14"/>
      <c r="H793" s="15"/>
    </row>
    <row r="794" spans="4:8" ht="12.3" x14ac:dyDescent="0.4">
      <c r="D794" s="15"/>
      <c r="F794" s="15"/>
      <c r="G794" s="14"/>
      <c r="H794" s="15"/>
    </row>
    <row r="795" spans="4:8" ht="12.3" x14ac:dyDescent="0.4">
      <c r="D795" s="15"/>
      <c r="F795" s="15"/>
      <c r="G795" s="14"/>
      <c r="H795" s="15"/>
    </row>
    <row r="796" spans="4:8" ht="12.3" x14ac:dyDescent="0.4">
      <c r="D796" s="15"/>
      <c r="F796" s="15"/>
      <c r="G796" s="14"/>
      <c r="H796" s="15"/>
    </row>
    <row r="797" spans="4:8" ht="12.3" x14ac:dyDescent="0.4">
      <c r="D797" s="15"/>
      <c r="F797" s="15"/>
      <c r="G797" s="14"/>
      <c r="H797" s="15"/>
    </row>
    <row r="798" spans="4:8" ht="12.3" x14ac:dyDescent="0.4">
      <c r="D798" s="15"/>
      <c r="F798" s="15"/>
      <c r="G798" s="14"/>
      <c r="H798" s="15"/>
    </row>
    <row r="799" spans="4:8" ht="12.3" x14ac:dyDescent="0.4">
      <c r="D799" s="15"/>
      <c r="F799" s="15"/>
      <c r="G799" s="14"/>
      <c r="H799" s="15"/>
    </row>
    <row r="800" spans="4:8" ht="12.3" x14ac:dyDescent="0.4">
      <c r="D800" s="15"/>
      <c r="F800" s="15"/>
      <c r="G800" s="14"/>
      <c r="H800" s="15"/>
    </row>
    <row r="801" spans="4:8" ht="12.3" x14ac:dyDescent="0.4">
      <c r="D801" s="15"/>
      <c r="F801" s="15"/>
      <c r="G801" s="14"/>
      <c r="H801" s="15"/>
    </row>
    <row r="802" spans="4:8" ht="12.3" x14ac:dyDescent="0.4">
      <c r="D802" s="15"/>
      <c r="F802" s="15"/>
      <c r="G802" s="14"/>
      <c r="H802" s="15"/>
    </row>
    <row r="803" spans="4:8" ht="12.3" x14ac:dyDescent="0.4">
      <c r="D803" s="15"/>
      <c r="F803" s="15"/>
      <c r="G803" s="14"/>
      <c r="H803" s="15"/>
    </row>
    <row r="804" spans="4:8" ht="12.3" x14ac:dyDescent="0.4">
      <c r="D804" s="15"/>
      <c r="F804" s="15"/>
      <c r="G804" s="14"/>
      <c r="H804" s="15"/>
    </row>
    <row r="805" spans="4:8" ht="12.3" x14ac:dyDescent="0.4">
      <c r="D805" s="15"/>
      <c r="F805" s="15"/>
      <c r="G805" s="14"/>
      <c r="H805" s="15"/>
    </row>
    <row r="806" spans="4:8" ht="12.3" x14ac:dyDescent="0.4">
      <c r="D806" s="15"/>
      <c r="F806" s="15"/>
      <c r="G806" s="14"/>
      <c r="H806" s="15"/>
    </row>
    <row r="807" spans="4:8" ht="12.3" x14ac:dyDescent="0.4">
      <c r="D807" s="15"/>
      <c r="F807" s="15"/>
      <c r="G807" s="14"/>
      <c r="H807" s="15"/>
    </row>
    <row r="808" spans="4:8" ht="12.3" x14ac:dyDescent="0.4">
      <c r="D808" s="15"/>
      <c r="F808" s="15"/>
      <c r="G808" s="14"/>
      <c r="H808" s="15"/>
    </row>
    <row r="809" spans="4:8" ht="12.3" x14ac:dyDescent="0.4">
      <c r="D809" s="15"/>
      <c r="F809" s="15"/>
      <c r="G809" s="14"/>
      <c r="H809" s="15"/>
    </row>
    <row r="810" spans="4:8" ht="12.3" x14ac:dyDescent="0.4">
      <c r="D810" s="15"/>
      <c r="F810" s="15"/>
      <c r="G810" s="14"/>
      <c r="H810" s="15"/>
    </row>
    <row r="811" spans="4:8" ht="12.3" x14ac:dyDescent="0.4">
      <c r="D811" s="15"/>
      <c r="F811" s="15"/>
      <c r="G811" s="14"/>
      <c r="H811" s="15"/>
    </row>
    <row r="812" spans="4:8" ht="12.3" x14ac:dyDescent="0.4">
      <c r="D812" s="15"/>
      <c r="F812" s="15"/>
      <c r="G812" s="14"/>
      <c r="H812" s="15"/>
    </row>
    <row r="813" spans="4:8" ht="12.3" x14ac:dyDescent="0.4">
      <c r="D813" s="15"/>
      <c r="F813" s="15"/>
      <c r="G813" s="14"/>
      <c r="H813" s="15"/>
    </row>
    <row r="814" spans="4:8" ht="12.3" x14ac:dyDescent="0.4">
      <c r="D814" s="15"/>
      <c r="F814" s="15"/>
      <c r="G814" s="14"/>
      <c r="H814" s="15"/>
    </row>
    <row r="815" spans="4:8" ht="12.3" x14ac:dyDescent="0.4">
      <c r="D815" s="15"/>
      <c r="F815" s="15"/>
      <c r="G815" s="14"/>
      <c r="H815" s="15"/>
    </row>
    <row r="816" spans="4:8" ht="12.3" x14ac:dyDescent="0.4">
      <c r="D816" s="15"/>
      <c r="F816" s="15"/>
      <c r="G816" s="14"/>
      <c r="H816" s="15"/>
    </row>
    <row r="817" spans="4:8" ht="12.3" x14ac:dyDescent="0.4">
      <c r="D817" s="15"/>
      <c r="F817" s="15"/>
      <c r="G817" s="14"/>
      <c r="H817" s="15"/>
    </row>
    <row r="818" spans="4:8" ht="12.3" x14ac:dyDescent="0.4">
      <c r="D818" s="15"/>
      <c r="F818" s="15"/>
      <c r="G818" s="14"/>
      <c r="H818" s="15"/>
    </row>
    <row r="819" spans="4:8" ht="12.3" x14ac:dyDescent="0.4">
      <c r="D819" s="15"/>
      <c r="F819" s="15"/>
      <c r="G819" s="14"/>
      <c r="H819" s="15"/>
    </row>
    <row r="820" spans="4:8" ht="12.3" x14ac:dyDescent="0.4">
      <c r="D820" s="15"/>
      <c r="F820" s="15"/>
      <c r="G820" s="14"/>
      <c r="H820" s="15"/>
    </row>
    <row r="821" spans="4:8" ht="12.3" x14ac:dyDescent="0.4">
      <c r="D821" s="15"/>
      <c r="F821" s="15"/>
      <c r="G821" s="14"/>
      <c r="H821" s="15"/>
    </row>
    <row r="822" spans="4:8" ht="12.3" x14ac:dyDescent="0.4">
      <c r="D822" s="15"/>
      <c r="F822" s="15"/>
      <c r="G822" s="14"/>
      <c r="H822" s="15"/>
    </row>
    <row r="823" spans="4:8" ht="12.3" x14ac:dyDescent="0.4">
      <c r="D823" s="15"/>
      <c r="F823" s="15"/>
      <c r="G823" s="14"/>
      <c r="H823" s="15"/>
    </row>
    <row r="824" spans="4:8" ht="12.3" x14ac:dyDescent="0.4">
      <c r="D824" s="15"/>
      <c r="F824" s="15"/>
      <c r="G824" s="14"/>
      <c r="H824" s="15"/>
    </row>
    <row r="825" spans="4:8" ht="12.3" x14ac:dyDescent="0.4">
      <c r="D825" s="15"/>
      <c r="F825" s="15"/>
      <c r="G825" s="14"/>
      <c r="H825" s="15"/>
    </row>
    <row r="826" spans="4:8" ht="12.3" x14ac:dyDescent="0.4">
      <c r="D826" s="15"/>
      <c r="F826" s="15"/>
      <c r="G826" s="14"/>
      <c r="H826" s="15"/>
    </row>
    <row r="827" spans="4:8" ht="12.3" x14ac:dyDescent="0.4">
      <c r="D827" s="15"/>
      <c r="F827" s="15"/>
      <c r="G827" s="14"/>
      <c r="H827" s="15"/>
    </row>
    <row r="828" spans="4:8" ht="12.3" x14ac:dyDescent="0.4">
      <c r="D828" s="15"/>
      <c r="F828" s="15"/>
      <c r="G828" s="14"/>
      <c r="H828" s="15"/>
    </row>
    <row r="829" spans="4:8" ht="12.3" x14ac:dyDescent="0.4">
      <c r="D829" s="15"/>
      <c r="F829" s="15"/>
      <c r="G829" s="14"/>
      <c r="H829" s="15"/>
    </row>
    <row r="830" spans="4:8" ht="12.3" x14ac:dyDescent="0.4">
      <c r="D830" s="15"/>
      <c r="F830" s="15"/>
      <c r="G830" s="14"/>
      <c r="H830" s="15"/>
    </row>
    <row r="831" spans="4:8" ht="12.3" x14ac:dyDescent="0.4">
      <c r="D831" s="15"/>
      <c r="F831" s="15"/>
      <c r="G831" s="14"/>
      <c r="H831" s="15"/>
    </row>
    <row r="832" spans="4:8" ht="12.3" x14ac:dyDescent="0.4">
      <c r="D832" s="15"/>
      <c r="F832" s="15"/>
      <c r="G832" s="14"/>
      <c r="H832" s="15"/>
    </row>
    <row r="833" spans="4:8" ht="12.3" x14ac:dyDescent="0.4">
      <c r="D833" s="15"/>
      <c r="F833" s="15"/>
      <c r="G833" s="14"/>
      <c r="H833" s="15"/>
    </row>
    <row r="834" spans="4:8" ht="12.3" x14ac:dyDescent="0.4">
      <c r="D834" s="15"/>
      <c r="F834" s="15"/>
      <c r="G834" s="14"/>
      <c r="H834" s="15"/>
    </row>
    <row r="835" spans="4:8" ht="12.3" x14ac:dyDescent="0.4">
      <c r="D835" s="15"/>
      <c r="F835" s="15"/>
      <c r="G835" s="14"/>
      <c r="H835" s="15"/>
    </row>
    <row r="836" spans="4:8" ht="12.3" x14ac:dyDescent="0.4">
      <c r="D836" s="15"/>
      <c r="F836" s="15"/>
      <c r="G836" s="14"/>
      <c r="H836" s="15"/>
    </row>
    <row r="837" spans="4:8" ht="12.3" x14ac:dyDescent="0.4">
      <c r="D837" s="15"/>
      <c r="F837" s="15"/>
      <c r="G837" s="14"/>
      <c r="H837" s="15"/>
    </row>
    <row r="838" spans="4:8" ht="12.3" x14ac:dyDescent="0.4">
      <c r="D838" s="15"/>
      <c r="F838" s="15"/>
      <c r="G838" s="14"/>
      <c r="H838" s="15"/>
    </row>
    <row r="839" spans="4:8" ht="12.3" x14ac:dyDescent="0.4">
      <c r="D839" s="15"/>
      <c r="F839" s="15"/>
      <c r="G839" s="14"/>
      <c r="H839" s="15"/>
    </row>
    <row r="840" spans="4:8" ht="12.3" x14ac:dyDescent="0.4">
      <c r="D840" s="15"/>
      <c r="F840" s="15"/>
      <c r="G840" s="14"/>
      <c r="H840" s="15"/>
    </row>
    <row r="841" spans="4:8" ht="12.3" x14ac:dyDescent="0.4">
      <c r="D841" s="15"/>
      <c r="F841" s="15"/>
      <c r="G841" s="14"/>
      <c r="H841" s="15"/>
    </row>
    <row r="842" spans="4:8" ht="12.3" x14ac:dyDescent="0.4">
      <c r="D842" s="15"/>
      <c r="F842" s="15"/>
      <c r="G842" s="14"/>
      <c r="H842" s="15"/>
    </row>
    <row r="843" spans="4:8" ht="12.3" x14ac:dyDescent="0.4">
      <c r="D843" s="15"/>
      <c r="F843" s="15"/>
      <c r="G843" s="14"/>
      <c r="H843" s="15"/>
    </row>
    <row r="844" spans="4:8" ht="12.3" x14ac:dyDescent="0.4">
      <c r="D844" s="15"/>
      <c r="F844" s="15"/>
      <c r="G844" s="14"/>
      <c r="H844" s="15"/>
    </row>
    <row r="845" spans="4:8" ht="12.3" x14ac:dyDescent="0.4">
      <c r="D845" s="15"/>
      <c r="F845" s="15"/>
      <c r="G845" s="14"/>
      <c r="H845" s="15"/>
    </row>
    <row r="846" spans="4:8" ht="12.3" x14ac:dyDescent="0.4">
      <c r="D846" s="15"/>
      <c r="F846" s="15"/>
      <c r="G846" s="14"/>
      <c r="H846" s="15"/>
    </row>
    <row r="847" spans="4:8" ht="12.3" x14ac:dyDescent="0.4">
      <c r="D847" s="15"/>
      <c r="F847" s="15"/>
      <c r="G847" s="14"/>
      <c r="H847" s="15"/>
    </row>
    <row r="848" spans="4:8" ht="12.3" x14ac:dyDescent="0.4">
      <c r="D848" s="15"/>
      <c r="F848" s="15"/>
      <c r="G848" s="14"/>
      <c r="H848" s="15"/>
    </row>
    <row r="849" spans="4:8" ht="12.3" x14ac:dyDescent="0.4">
      <c r="D849" s="15"/>
      <c r="F849" s="15"/>
      <c r="G849" s="14"/>
      <c r="H849" s="15"/>
    </row>
    <row r="850" spans="4:8" ht="12.3" x14ac:dyDescent="0.4">
      <c r="D850" s="15"/>
      <c r="F850" s="15"/>
      <c r="G850" s="14"/>
      <c r="H850" s="15"/>
    </row>
    <row r="851" spans="4:8" ht="12.3" x14ac:dyDescent="0.4">
      <c r="D851" s="15"/>
      <c r="F851" s="15"/>
      <c r="G851" s="14"/>
      <c r="H851" s="15"/>
    </row>
    <row r="852" spans="4:8" ht="12.3" x14ac:dyDescent="0.4">
      <c r="D852" s="15"/>
      <c r="F852" s="15"/>
      <c r="G852" s="14"/>
      <c r="H852" s="15"/>
    </row>
    <row r="853" spans="4:8" ht="12.3" x14ac:dyDescent="0.4">
      <c r="D853" s="15"/>
      <c r="F853" s="15"/>
      <c r="G853" s="14"/>
      <c r="H853" s="15"/>
    </row>
    <row r="854" spans="4:8" ht="12.3" x14ac:dyDescent="0.4">
      <c r="D854" s="15"/>
      <c r="F854" s="15"/>
      <c r="G854" s="14"/>
      <c r="H854" s="15"/>
    </row>
    <row r="855" spans="4:8" ht="12.3" x14ac:dyDescent="0.4">
      <c r="D855" s="15"/>
      <c r="F855" s="15"/>
      <c r="G855" s="14"/>
      <c r="H855" s="15"/>
    </row>
    <row r="856" spans="4:8" ht="12.3" x14ac:dyDescent="0.4">
      <c r="D856" s="15"/>
      <c r="F856" s="15"/>
      <c r="G856" s="14"/>
      <c r="H856" s="15"/>
    </row>
    <row r="857" spans="4:8" ht="12.3" x14ac:dyDescent="0.4">
      <c r="D857" s="15"/>
      <c r="F857" s="15"/>
      <c r="G857" s="14"/>
      <c r="H857" s="15"/>
    </row>
    <row r="858" spans="4:8" ht="12.3" x14ac:dyDescent="0.4">
      <c r="D858" s="15"/>
      <c r="F858" s="15"/>
      <c r="G858" s="14"/>
      <c r="H858" s="15"/>
    </row>
    <row r="859" spans="4:8" ht="12.3" x14ac:dyDescent="0.4">
      <c r="D859" s="15"/>
      <c r="F859" s="15"/>
      <c r="G859" s="14"/>
      <c r="H859" s="15"/>
    </row>
    <row r="860" spans="4:8" ht="12.3" x14ac:dyDescent="0.4">
      <c r="D860" s="15"/>
      <c r="F860" s="15"/>
      <c r="G860" s="14"/>
      <c r="H860" s="15"/>
    </row>
    <row r="861" spans="4:8" ht="12.3" x14ac:dyDescent="0.4">
      <c r="D861" s="15"/>
      <c r="F861" s="15"/>
      <c r="G861" s="14"/>
      <c r="H861" s="15"/>
    </row>
    <row r="862" spans="4:8" ht="12.3" x14ac:dyDescent="0.4">
      <c r="D862" s="15"/>
      <c r="F862" s="15"/>
      <c r="G862" s="14"/>
      <c r="H862" s="15"/>
    </row>
    <row r="863" spans="4:8" ht="12.3" x14ac:dyDescent="0.4">
      <c r="D863" s="15"/>
      <c r="F863" s="15"/>
      <c r="G863" s="14"/>
      <c r="H863" s="15"/>
    </row>
    <row r="864" spans="4:8" ht="12.3" x14ac:dyDescent="0.4">
      <c r="D864" s="15"/>
      <c r="F864" s="15"/>
      <c r="G864" s="14"/>
      <c r="H864" s="15"/>
    </row>
    <row r="865" spans="4:8" ht="12.3" x14ac:dyDescent="0.4">
      <c r="D865" s="15"/>
      <c r="F865" s="15"/>
      <c r="G865" s="14"/>
      <c r="H865" s="15"/>
    </row>
    <row r="866" spans="4:8" ht="12.3" x14ac:dyDescent="0.4">
      <c r="D866" s="15"/>
      <c r="F866" s="15"/>
      <c r="G866" s="14"/>
      <c r="H866" s="15"/>
    </row>
    <row r="867" spans="4:8" ht="12.3" x14ac:dyDescent="0.4">
      <c r="D867" s="15"/>
      <c r="F867" s="15"/>
      <c r="G867" s="14"/>
      <c r="H867" s="15"/>
    </row>
    <row r="868" spans="4:8" ht="12.3" x14ac:dyDescent="0.4">
      <c r="D868" s="15"/>
      <c r="F868" s="15"/>
      <c r="G868" s="14"/>
      <c r="H868" s="15"/>
    </row>
    <row r="869" spans="4:8" ht="12.3" x14ac:dyDescent="0.4">
      <c r="D869" s="15"/>
      <c r="F869" s="15"/>
      <c r="G869" s="14"/>
      <c r="H869" s="15"/>
    </row>
    <row r="870" spans="4:8" ht="12.3" x14ac:dyDescent="0.4">
      <c r="D870" s="15"/>
      <c r="F870" s="15"/>
      <c r="G870" s="14"/>
      <c r="H870" s="15"/>
    </row>
    <row r="871" spans="4:8" ht="12.3" x14ac:dyDescent="0.4">
      <c r="D871" s="15"/>
      <c r="F871" s="15"/>
      <c r="G871" s="14"/>
      <c r="H871" s="15"/>
    </row>
    <row r="872" spans="4:8" ht="12.3" x14ac:dyDescent="0.4">
      <c r="D872" s="15"/>
      <c r="F872" s="15"/>
      <c r="G872" s="14"/>
      <c r="H872" s="15"/>
    </row>
    <row r="873" spans="4:8" ht="12.3" x14ac:dyDescent="0.4">
      <c r="D873" s="15"/>
      <c r="F873" s="15"/>
      <c r="G873" s="14"/>
      <c r="H873" s="15"/>
    </row>
    <row r="874" spans="4:8" ht="12.3" x14ac:dyDescent="0.4">
      <c r="D874" s="15"/>
      <c r="F874" s="15"/>
      <c r="G874" s="14"/>
      <c r="H874" s="15"/>
    </row>
    <row r="875" spans="4:8" ht="12.3" x14ac:dyDescent="0.4">
      <c r="D875" s="15"/>
      <c r="F875" s="15"/>
      <c r="G875" s="14"/>
      <c r="H875" s="15"/>
    </row>
    <row r="876" spans="4:8" ht="12.3" x14ac:dyDescent="0.4">
      <c r="D876" s="15"/>
      <c r="F876" s="15"/>
      <c r="G876" s="14"/>
      <c r="H876" s="15"/>
    </row>
    <row r="877" spans="4:8" ht="12.3" x14ac:dyDescent="0.4">
      <c r="D877" s="15"/>
      <c r="F877" s="15"/>
      <c r="G877" s="14"/>
      <c r="H877" s="15"/>
    </row>
    <row r="878" spans="4:8" ht="12.3" x14ac:dyDescent="0.4">
      <c r="D878" s="15"/>
      <c r="F878" s="15"/>
      <c r="G878" s="14"/>
      <c r="H878" s="15"/>
    </row>
    <row r="879" spans="4:8" ht="12.3" x14ac:dyDescent="0.4">
      <c r="D879" s="15"/>
      <c r="F879" s="15"/>
      <c r="G879" s="14"/>
      <c r="H879" s="15"/>
    </row>
    <row r="880" spans="4:8" ht="12.3" x14ac:dyDescent="0.4">
      <c r="D880" s="15"/>
      <c r="F880" s="15"/>
      <c r="G880" s="14"/>
      <c r="H880" s="15"/>
    </row>
    <row r="881" spans="4:8" ht="12.3" x14ac:dyDescent="0.4">
      <c r="D881" s="15"/>
      <c r="F881" s="15"/>
      <c r="G881" s="14"/>
      <c r="H881" s="15"/>
    </row>
    <row r="882" spans="4:8" ht="12.3" x14ac:dyDescent="0.4">
      <c r="D882" s="15"/>
      <c r="F882" s="15"/>
      <c r="G882" s="14"/>
      <c r="H882" s="15"/>
    </row>
    <row r="883" spans="4:8" ht="12.3" x14ac:dyDescent="0.4">
      <c r="D883" s="15"/>
      <c r="F883" s="15"/>
      <c r="G883" s="14"/>
      <c r="H883" s="15"/>
    </row>
    <row r="884" spans="4:8" ht="12.3" x14ac:dyDescent="0.4">
      <c r="D884" s="15"/>
      <c r="F884" s="15"/>
      <c r="G884" s="14"/>
      <c r="H884" s="15"/>
    </row>
    <row r="885" spans="4:8" ht="12.3" x14ac:dyDescent="0.4">
      <c r="D885" s="15"/>
      <c r="F885" s="15"/>
      <c r="G885" s="14"/>
      <c r="H885" s="15"/>
    </row>
    <row r="886" spans="4:8" ht="12.3" x14ac:dyDescent="0.4">
      <c r="D886" s="15"/>
      <c r="F886" s="15"/>
      <c r="G886" s="14"/>
      <c r="H886" s="15"/>
    </row>
    <row r="887" spans="4:8" ht="12.3" x14ac:dyDescent="0.4">
      <c r="D887" s="15"/>
      <c r="F887" s="15"/>
      <c r="G887" s="14"/>
      <c r="H887" s="15"/>
    </row>
    <row r="888" spans="4:8" ht="12.3" x14ac:dyDescent="0.4">
      <c r="D888" s="15"/>
      <c r="F888" s="15"/>
      <c r="G888" s="14"/>
      <c r="H888" s="15"/>
    </row>
    <row r="889" spans="4:8" ht="12.3" x14ac:dyDescent="0.4">
      <c r="D889" s="15"/>
      <c r="F889" s="15"/>
      <c r="G889" s="14"/>
      <c r="H889" s="15"/>
    </row>
    <row r="890" spans="4:8" ht="12.3" x14ac:dyDescent="0.4">
      <c r="D890" s="15"/>
      <c r="F890" s="15"/>
      <c r="G890" s="14"/>
      <c r="H890" s="15"/>
    </row>
    <row r="891" spans="4:8" ht="12.3" x14ac:dyDescent="0.4">
      <c r="D891" s="15"/>
      <c r="F891" s="15"/>
      <c r="G891" s="14"/>
      <c r="H891" s="15"/>
    </row>
    <row r="892" spans="4:8" ht="12.3" x14ac:dyDescent="0.4">
      <c r="D892" s="15"/>
      <c r="F892" s="15"/>
      <c r="G892" s="14"/>
      <c r="H892" s="15"/>
    </row>
    <row r="893" spans="4:8" ht="12.3" x14ac:dyDescent="0.4">
      <c r="D893" s="15"/>
      <c r="F893" s="15"/>
      <c r="G893" s="14"/>
      <c r="H893" s="15"/>
    </row>
    <row r="894" spans="4:8" ht="12.3" x14ac:dyDescent="0.4">
      <c r="D894" s="15"/>
      <c r="F894" s="15"/>
      <c r="G894" s="14"/>
      <c r="H894" s="15"/>
    </row>
    <row r="895" spans="4:8" ht="12.3" x14ac:dyDescent="0.4">
      <c r="D895" s="15"/>
      <c r="F895" s="15"/>
      <c r="G895" s="14"/>
      <c r="H895" s="15"/>
    </row>
    <row r="896" spans="4:8" ht="12.3" x14ac:dyDescent="0.4">
      <c r="D896" s="15"/>
      <c r="F896" s="15"/>
      <c r="G896" s="14"/>
      <c r="H896" s="15"/>
    </row>
    <row r="897" spans="4:8" ht="12.3" x14ac:dyDescent="0.4">
      <c r="D897" s="15"/>
      <c r="F897" s="15"/>
      <c r="G897" s="14"/>
      <c r="H897" s="15"/>
    </row>
    <row r="898" spans="4:8" ht="12.3" x14ac:dyDescent="0.4">
      <c r="D898" s="15"/>
      <c r="F898" s="15"/>
      <c r="G898" s="14"/>
      <c r="H898" s="15"/>
    </row>
    <row r="899" spans="4:8" ht="12.3" x14ac:dyDescent="0.4">
      <c r="D899" s="15"/>
      <c r="F899" s="15"/>
      <c r="G899" s="14"/>
      <c r="H899" s="15"/>
    </row>
    <row r="900" spans="4:8" ht="12.3" x14ac:dyDescent="0.4">
      <c r="D900" s="15"/>
      <c r="F900" s="15"/>
      <c r="G900" s="14"/>
      <c r="H900" s="15"/>
    </row>
    <row r="901" spans="4:8" ht="12.3" x14ac:dyDescent="0.4">
      <c r="D901" s="15"/>
      <c r="F901" s="15"/>
      <c r="G901" s="14"/>
      <c r="H901" s="15"/>
    </row>
    <row r="902" spans="4:8" ht="12.3" x14ac:dyDescent="0.4">
      <c r="D902" s="15"/>
      <c r="F902" s="15"/>
      <c r="G902" s="14"/>
      <c r="H902" s="15"/>
    </row>
    <row r="903" spans="4:8" ht="12.3" x14ac:dyDescent="0.4">
      <c r="D903" s="15"/>
      <c r="F903" s="15"/>
      <c r="G903" s="14"/>
      <c r="H903" s="15"/>
    </row>
    <row r="904" spans="4:8" ht="12.3" x14ac:dyDescent="0.4">
      <c r="D904" s="15"/>
      <c r="F904" s="15"/>
      <c r="G904" s="14"/>
      <c r="H904" s="15"/>
    </row>
    <row r="905" spans="4:8" ht="12.3" x14ac:dyDescent="0.4">
      <c r="D905" s="15"/>
      <c r="F905" s="15"/>
      <c r="G905" s="14"/>
      <c r="H905" s="15"/>
    </row>
    <row r="906" spans="4:8" ht="12.3" x14ac:dyDescent="0.4">
      <c r="D906" s="15"/>
      <c r="F906" s="15"/>
      <c r="G906" s="14"/>
      <c r="H906" s="15"/>
    </row>
    <row r="907" spans="4:8" ht="12.3" x14ac:dyDescent="0.4">
      <c r="D907" s="15"/>
      <c r="F907" s="15"/>
      <c r="G907" s="14"/>
      <c r="H907" s="15"/>
    </row>
    <row r="908" spans="4:8" ht="12.3" x14ac:dyDescent="0.4">
      <c r="D908" s="15"/>
      <c r="F908" s="15"/>
      <c r="G908" s="14"/>
      <c r="H908" s="15"/>
    </row>
    <row r="909" spans="4:8" ht="12.3" x14ac:dyDescent="0.4">
      <c r="D909" s="15"/>
      <c r="F909" s="15"/>
      <c r="G909" s="14"/>
      <c r="H909" s="15"/>
    </row>
    <row r="910" spans="4:8" ht="12.3" x14ac:dyDescent="0.4">
      <c r="D910" s="15"/>
      <c r="F910" s="15"/>
      <c r="G910" s="14"/>
      <c r="H910" s="15"/>
    </row>
    <row r="911" spans="4:8" ht="12.3" x14ac:dyDescent="0.4">
      <c r="D911" s="15"/>
      <c r="F911" s="15"/>
      <c r="G911" s="14"/>
      <c r="H911" s="15"/>
    </row>
    <row r="912" spans="4:8" ht="12.3" x14ac:dyDescent="0.4">
      <c r="D912" s="15"/>
      <c r="F912" s="15"/>
      <c r="G912" s="14"/>
      <c r="H912" s="15"/>
    </row>
    <row r="913" spans="4:8" ht="12.3" x14ac:dyDescent="0.4">
      <c r="D913" s="15"/>
      <c r="F913" s="15"/>
      <c r="G913" s="14"/>
      <c r="H913" s="15"/>
    </row>
    <row r="914" spans="4:8" ht="12.3" x14ac:dyDescent="0.4">
      <c r="D914" s="15"/>
      <c r="F914" s="15"/>
      <c r="G914" s="14"/>
      <c r="H914" s="15"/>
    </row>
    <row r="915" spans="4:8" ht="12.3" x14ac:dyDescent="0.4">
      <c r="D915" s="15"/>
      <c r="F915" s="15"/>
      <c r="G915" s="14"/>
      <c r="H915" s="15"/>
    </row>
    <row r="916" spans="4:8" ht="12.3" x14ac:dyDescent="0.4">
      <c r="D916" s="15"/>
      <c r="F916" s="15"/>
      <c r="G916" s="14"/>
      <c r="H916" s="15"/>
    </row>
    <row r="917" spans="4:8" ht="12.3" x14ac:dyDescent="0.4">
      <c r="D917" s="15"/>
      <c r="F917" s="15"/>
      <c r="G917" s="14"/>
      <c r="H917" s="15"/>
    </row>
    <row r="918" spans="4:8" ht="12.3" x14ac:dyDescent="0.4">
      <c r="D918" s="15"/>
      <c r="F918" s="15"/>
      <c r="G918" s="14"/>
      <c r="H918" s="15"/>
    </row>
    <row r="919" spans="4:8" ht="12.3" x14ac:dyDescent="0.4">
      <c r="D919" s="15"/>
      <c r="F919" s="15"/>
      <c r="G919" s="14"/>
      <c r="H919" s="15"/>
    </row>
    <row r="920" spans="4:8" ht="12.3" x14ac:dyDescent="0.4">
      <c r="D920" s="15"/>
      <c r="F920" s="15"/>
      <c r="G920" s="14"/>
      <c r="H920" s="15"/>
    </row>
    <row r="921" spans="4:8" ht="12.3" x14ac:dyDescent="0.4">
      <c r="D921" s="15"/>
      <c r="F921" s="15"/>
      <c r="G921" s="14"/>
      <c r="H921" s="15"/>
    </row>
    <row r="922" spans="4:8" ht="12.3" x14ac:dyDescent="0.4">
      <c r="D922" s="15"/>
      <c r="F922" s="15"/>
      <c r="G922" s="14"/>
      <c r="H922" s="15"/>
    </row>
    <row r="923" spans="4:8" ht="12.3" x14ac:dyDescent="0.4">
      <c r="D923" s="15"/>
      <c r="F923" s="15"/>
      <c r="G923" s="14"/>
      <c r="H923" s="15"/>
    </row>
    <row r="924" spans="4:8" ht="12.3" x14ac:dyDescent="0.4">
      <c r="D924" s="15"/>
      <c r="F924" s="15"/>
      <c r="G924" s="14"/>
      <c r="H924" s="15"/>
    </row>
    <row r="925" spans="4:8" ht="12.3" x14ac:dyDescent="0.4">
      <c r="D925" s="15"/>
      <c r="F925" s="15"/>
      <c r="G925" s="14"/>
      <c r="H925" s="15"/>
    </row>
    <row r="926" spans="4:8" ht="12.3" x14ac:dyDescent="0.4">
      <c r="D926" s="15"/>
      <c r="F926" s="15"/>
      <c r="G926" s="14"/>
      <c r="H926" s="15"/>
    </row>
    <row r="927" spans="4:8" ht="12.3" x14ac:dyDescent="0.4">
      <c r="D927" s="15"/>
      <c r="F927" s="15"/>
      <c r="G927" s="14"/>
      <c r="H927" s="15"/>
    </row>
    <row r="928" spans="4:8" ht="12.3" x14ac:dyDescent="0.4">
      <c r="D928" s="15"/>
      <c r="F928" s="15"/>
      <c r="G928" s="14"/>
      <c r="H928" s="15"/>
    </row>
    <row r="929" spans="4:8" ht="12.3" x14ac:dyDescent="0.4">
      <c r="D929" s="15"/>
      <c r="F929" s="15"/>
      <c r="G929" s="14"/>
      <c r="H929" s="15"/>
    </row>
    <row r="930" spans="4:8" ht="12.3" x14ac:dyDescent="0.4">
      <c r="D930" s="15"/>
      <c r="F930" s="15"/>
      <c r="G930" s="14"/>
      <c r="H930" s="15"/>
    </row>
    <row r="931" spans="4:8" ht="12.3" x14ac:dyDescent="0.4">
      <c r="D931" s="15"/>
      <c r="F931" s="15"/>
      <c r="G931" s="14"/>
      <c r="H931" s="15"/>
    </row>
    <row r="932" spans="4:8" ht="12.3" x14ac:dyDescent="0.4">
      <c r="D932" s="15"/>
      <c r="F932" s="15"/>
      <c r="G932" s="14"/>
      <c r="H932" s="15"/>
    </row>
    <row r="933" spans="4:8" ht="12.3" x14ac:dyDescent="0.4">
      <c r="D933" s="15"/>
      <c r="F933" s="15"/>
      <c r="G933" s="14"/>
      <c r="H933" s="15"/>
    </row>
    <row r="934" spans="4:8" ht="12.3" x14ac:dyDescent="0.4">
      <c r="D934" s="15"/>
      <c r="F934" s="15"/>
      <c r="G934" s="14"/>
      <c r="H934" s="15"/>
    </row>
    <row r="935" spans="4:8" ht="12.3" x14ac:dyDescent="0.4">
      <c r="D935" s="15"/>
      <c r="F935" s="15"/>
      <c r="G935" s="14"/>
      <c r="H935" s="15"/>
    </row>
    <row r="936" spans="4:8" ht="12.3" x14ac:dyDescent="0.4">
      <c r="D936" s="15"/>
      <c r="F936" s="15"/>
      <c r="G936" s="14"/>
      <c r="H936" s="15"/>
    </row>
    <row r="937" spans="4:8" ht="12.3" x14ac:dyDescent="0.4">
      <c r="D937" s="15"/>
      <c r="F937" s="15"/>
      <c r="G937" s="14"/>
      <c r="H937" s="15"/>
    </row>
    <row r="938" spans="4:8" ht="12.3" x14ac:dyDescent="0.4">
      <c r="D938" s="15"/>
      <c r="F938" s="15"/>
      <c r="G938" s="14"/>
      <c r="H938" s="15"/>
    </row>
    <row r="939" spans="4:8" ht="12.3" x14ac:dyDescent="0.4">
      <c r="D939" s="15"/>
      <c r="F939" s="15"/>
      <c r="G939" s="14"/>
      <c r="H939" s="15"/>
    </row>
    <row r="940" spans="4:8" ht="12.3" x14ac:dyDescent="0.4">
      <c r="D940" s="15"/>
      <c r="F940" s="15"/>
      <c r="G940" s="14"/>
      <c r="H940" s="15"/>
    </row>
    <row r="941" spans="4:8" ht="12.3" x14ac:dyDescent="0.4">
      <c r="D941" s="15"/>
      <c r="F941" s="15"/>
      <c r="G941" s="14"/>
      <c r="H941" s="15"/>
    </row>
    <row r="942" spans="4:8" ht="12.3" x14ac:dyDescent="0.4">
      <c r="D942" s="15"/>
      <c r="F942" s="15"/>
      <c r="G942" s="14"/>
      <c r="H942" s="15"/>
    </row>
    <row r="943" spans="4:8" ht="12.3" x14ac:dyDescent="0.4">
      <c r="D943" s="15"/>
      <c r="F943" s="15"/>
      <c r="G943" s="14"/>
      <c r="H943" s="15"/>
    </row>
    <row r="944" spans="4:8" ht="12.3" x14ac:dyDescent="0.4">
      <c r="D944" s="15"/>
      <c r="F944" s="15"/>
      <c r="G944" s="14"/>
      <c r="H944" s="15"/>
    </row>
    <row r="945" spans="4:8" ht="12.3" x14ac:dyDescent="0.4">
      <c r="D945" s="15"/>
      <c r="F945" s="15"/>
      <c r="G945" s="14"/>
      <c r="H945" s="15"/>
    </row>
    <row r="946" spans="4:8" ht="12.3" x14ac:dyDescent="0.4">
      <c r="D946" s="15"/>
      <c r="F946" s="15"/>
      <c r="G946" s="14"/>
      <c r="H946" s="15"/>
    </row>
    <row r="947" spans="4:8" ht="12.3" x14ac:dyDescent="0.4">
      <c r="D947" s="15"/>
      <c r="F947" s="15"/>
      <c r="G947" s="14"/>
      <c r="H947" s="15"/>
    </row>
    <row r="948" spans="4:8" ht="12.3" x14ac:dyDescent="0.4">
      <c r="D948" s="15"/>
      <c r="F948" s="15"/>
      <c r="G948" s="14"/>
      <c r="H948" s="15"/>
    </row>
    <row r="949" spans="4:8" ht="12.3" x14ac:dyDescent="0.4">
      <c r="D949" s="15"/>
      <c r="F949" s="15"/>
      <c r="G949" s="14"/>
      <c r="H949" s="15"/>
    </row>
    <row r="950" spans="4:8" ht="12.3" x14ac:dyDescent="0.4">
      <c r="D950" s="15"/>
      <c r="F950" s="15"/>
      <c r="G950" s="14"/>
      <c r="H950" s="15"/>
    </row>
    <row r="951" spans="4:8" ht="12.3" x14ac:dyDescent="0.4">
      <c r="D951" s="15"/>
      <c r="F951" s="15"/>
      <c r="G951" s="14"/>
      <c r="H951" s="15"/>
    </row>
    <row r="952" spans="4:8" ht="12.3" x14ac:dyDescent="0.4">
      <c r="D952" s="15"/>
      <c r="F952" s="15"/>
      <c r="G952" s="14"/>
      <c r="H952" s="15"/>
    </row>
    <row r="953" spans="4:8" ht="12.3" x14ac:dyDescent="0.4">
      <c r="D953" s="15"/>
      <c r="F953" s="15"/>
      <c r="G953" s="14"/>
      <c r="H953" s="15"/>
    </row>
    <row r="954" spans="4:8" ht="12.3" x14ac:dyDescent="0.4">
      <c r="D954" s="15"/>
      <c r="F954" s="15"/>
      <c r="G954" s="14"/>
      <c r="H954" s="15"/>
    </row>
    <row r="955" spans="4:8" ht="12.3" x14ac:dyDescent="0.4">
      <c r="D955" s="15"/>
      <c r="F955" s="15"/>
      <c r="G955" s="14"/>
      <c r="H955" s="15"/>
    </row>
    <row r="956" spans="4:8" ht="12.3" x14ac:dyDescent="0.4">
      <c r="D956" s="15"/>
      <c r="F956" s="15"/>
      <c r="G956" s="14"/>
      <c r="H956" s="15"/>
    </row>
    <row r="957" spans="4:8" ht="12.3" x14ac:dyDescent="0.4">
      <c r="D957" s="15"/>
      <c r="F957" s="15"/>
      <c r="G957" s="14"/>
      <c r="H957" s="15"/>
    </row>
    <row r="958" spans="4:8" ht="12.3" x14ac:dyDescent="0.4">
      <c r="D958" s="15"/>
      <c r="F958" s="15"/>
      <c r="G958" s="14"/>
      <c r="H958" s="15"/>
    </row>
    <row r="959" spans="4:8" ht="12.3" x14ac:dyDescent="0.4">
      <c r="D959" s="15"/>
      <c r="F959" s="15"/>
      <c r="G959" s="14"/>
      <c r="H959" s="15"/>
    </row>
    <row r="960" spans="4:8" ht="12.3" x14ac:dyDescent="0.4">
      <c r="D960" s="15"/>
      <c r="F960" s="15"/>
      <c r="G960" s="14"/>
      <c r="H960" s="15"/>
    </row>
    <row r="961" spans="4:8" ht="12.3" x14ac:dyDescent="0.4">
      <c r="D961" s="15"/>
      <c r="F961" s="15"/>
      <c r="G961" s="14"/>
      <c r="H961" s="15"/>
    </row>
    <row r="962" spans="4:8" ht="12.3" x14ac:dyDescent="0.4">
      <c r="D962" s="15"/>
      <c r="F962" s="15"/>
      <c r="G962" s="14"/>
      <c r="H962" s="15"/>
    </row>
    <row r="963" spans="4:8" ht="12.3" x14ac:dyDescent="0.4">
      <c r="D963" s="15"/>
      <c r="F963" s="15"/>
      <c r="G963" s="14"/>
      <c r="H963" s="15"/>
    </row>
    <row r="964" spans="4:8" ht="12.3" x14ac:dyDescent="0.4">
      <c r="D964" s="15"/>
      <c r="F964" s="15"/>
      <c r="G964" s="14"/>
      <c r="H964" s="15"/>
    </row>
    <row r="965" spans="4:8" ht="12.3" x14ac:dyDescent="0.4">
      <c r="D965" s="15"/>
      <c r="F965" s="15"/>
      <c r="G965" s="14"/>
      <c r="H965" s="15"/>
    </row>
    <row r="966" spans="4:8" ht="12.3" x14ac:dyDescent="0.4">
      <c r="D966" s="15"/>
      <c r="F966" s="15"/>
      <c r="G966" s="14"/>
      <c r="H966" s="15"/>
    </row>
    <row r="967" spans="4:8" ht="12.3" x14ac:dyDescent="0.4">
      <c r="D967" s="15"/>
      <c r="F967" s="15"/>
      <c r="G967" s="14"/>
      <c r="H967" s="15"/>
    </row>
    <row r="968" spans="4:8" ht="12.3" x14ac:dyDescent="0.4">
      <c r="D968" s="15"/>
      <c r="F968" s="15"/>
      <c r="G968" s="14"/>
      <c r="H968" s="15"/>
    </row>
    <row r="969" spans="4:8" ht="12.3" x14ac:dyDescent="0.4">
      <c r="D969" s="15"/>
      <c r="F969" s="15"/>
      <c r="G969" s="14"/>
      <c r="H969" s="15"/>
    </row>
    <row r="970" spans="4:8" ht="12.3" x14ac:dyDescent="0.4">
      <c r="D970" s="15"/>
      <c r="F970" s="15"/>
      <c r="G970" s="14"/>
      <c r="H970" s="15"/>
    </row>
    <row r="971" spans="4:8" ht="12.3" x14ac:dyDescent="0.4">
      <c r="D971" s="15"/>
      <c r="F971" s="15"/>
      <c r="G971" s="14"/>
      <c r="H971" s="15"/>
    </row>
    <row r="972" spans="4:8" ht="12.3" x14ac:dyDescent="0.4">
      <c r="D972" s="15"/>
      <c r="F972" s="15"/>
      <c r="G972" s="14"/>
      <c r="H972" s="15"/>
    </row>
    <row r="973" spans="4:8" ht="12.3" x14ac:dyDescent="0.4">
      <c r="D973" s="15"/>
      <c r="F973" s="15"/>
      <c r="G973" s="14"/>
      <c r="H973" s="15"/>
    </row>
    <row r="974" spans="4:8" ht="12.3" x14ac:dyDescent="0.4">
      <c r="D974" s="15"/>
      <c r="F974" s="15"/>
      <c r="G974" s="14"/>
      <c r="H974" s="15"/>
    </row>
    <row r="975" spans="4:8" ht="12.3" x14ac:dyDescent="0.4">
      <c r="D975" s="15"/>
      <c r="F975" s="15"/>
      <c r="G975" s="14"/>
      <c r="H975" s="15"/>
    </row>
    <row r="976" spans="4:8" ht="12.3" x14ac:dyDescent="0.4">
      <c r="D976" s="15"/>
      <c r="F976" s="15"/>
      <c r="G976" s="14"/>
      <c r="H976" s="15"/>
    </row>
    <row r="977" spans="4:8" ht="12.3" x14ac:dyDescent="0.4">
      <c r="D977" s="15"/>
      <c r="F977" s="15"/>
      <c r="G977" s="14"/>
      <c r="H977" s="15"/>
    </row>
    <row r="978" spans="4:8" ht="12.3" x14ac:dyDescent="0.4">
      <c r="D978" s="15"/>
      <c r="F978" s="15"/>
      <c r="G978" s="14"/>
      <c r="H978" s="15"/>
    </row>
    <row r="979" spans="4:8" ht="12.3" x14ac:dyDescent="0.4">
      <c r="D979" s="15"/>
      <c r="F979" s="15"/>
      <c r="G979" s="14"/>
      <c r="H979" s="15"/>
    </row>
    <row r="980" spans="4:8" ht="12.3" x14ac:dyDescent="0.4">
      <c r="D980" s="15"/>
      <c r="F980" s="15"/>
      <c r="G980" s="14"/>
      <c r="H980" s="15"/>
    </row>
    <row r="981" spans="4:8" ht="12.3" x14ac:dyDescent="0.4">
      <c r="D981" s="15"/>
      <c r="F981" s="15"/>
      <c r="G981" s="14"/>
      <c r="H981" s="15"/>
    </row>
    <row r="982" spans="4:8" ht="12.3" x14ac:dyDescent="0.4">
      <c r="D982" s="15"/>
      <c r="F982" s="15"/>
      <c r="G982" s="14"/>
      <c r="H982" s="15"/>
    </row>
    <row r="983" spans="4:8" ht="12.3" x14ac:dyDescent="0.4">
      <c r="D983" s="15"/>
      <c r="F983" s="15"/>
      <c r="G983" s="14"/>
      <c r="H983" s="15"/>
    </row>
    <row r="984" spans="4:8" ht="12.3" x14ac:dyDescent="0.4">
      <c r="D984" s="15"/>
      <c r="F984" s="15"/>
      <c r="G984" s="14"/>
      <c r="H984" s="15"/>
    </row>
    <row r="985" spans="4:8" ht="12.3" x14ac:dyDescent="0.4">
      <c r="D985" s="15"/>
      <c r="F985" s="15"/>
      <c r="G985" s="14"/>
      <c r="H985" s="15"/>
    </row>
    <row r="986" spans="4:8" ht="12.3" x14ac:dyDescent="0.4">
      <c r="D986" s="15"/>
      <c r="F986" s="15"/>
      <c r="G986" s="14"/>
      <c r="H986" s="15"/>
    </row>
    <row r="987" spans="4:8" ht="12.3" x14ac:dyDescent="0.4">
      <c r="D987" s="15"/>
      <c r="F987" s="15"/>
      <c r="G987" s="14"/>
      <c r="H987" s="15"/>
    </row>
    <row r="988" spans="4:8" ht="12.3" x14ac:dyDescent="0.4">
      <c r="D988" s="15"/>
      <c r="F988" s="15"/>
      <c r="G988" s="14"/>
      <c r="H988" s="15"/>
    </row>
    <row r="989" spans="4:8" ht="12.3" x14ac:dyDescent="0.4">
      <c r="D989" s="15"/>
      <c r="F989" s="15"/>
      <c r="G989" s="14"/>
      <c r="H989" s="15"/>
    </row>
    <row r="990" spans="4:8" ht="12.3" x14ac:dyDescent="0.4">
      <c r="D990" s="15"/>
      <c r="F990" s="15"/>
      <c r="G990" s="14"/>
      <c r="H990" s="15"/>
    </row>
    <row r="991" spans="4:8" ht="12.3" x14ac:dyDescent="0.4">
      <c r="D991" s="15"/>
      <c r="F991" s="15"/>
      <c r="G991" s="14"/>
      <c r="H991" s="15"/>
    </row>
    <row r="992" spans="4:8" ht="12.3" x14ac:dyDescent="0.4">
      <c r="D992" s="15"/>
      <c r="F992" s="15"/>
      <c r="G992" s="14"/>
      <c r="H992" s="15"/>
    </row>
    <row r="993" spans="4:8" ht="12.3" x14ac:dyDescent="0.4">
      <c r="D993" s="15"/>
      <c r="F993" s="15"/>
      <c r="G993" s="14"/>
      <c r="H993" s="15"/>
    </row>
    <row r="994" spans="4:8" ht="12.3" x14ac:dyDescent="0.4">
      <c r="D994" s="15"/>
      <c r="F994" s="15"/>
      <c r="G994" s="14"/>
      <c r="H994" s="15"/>
    </row>
    <row r="995" spans="4:8" ht="12.3" x14ac:dyDescent="0.4">
      <c r="D995" s="15"/>
      <c r="F995" s="15"/>
      <c r="G995" s="14"/>
      <c r="H995" s="15"/>
    </row>
    <row r="996" spans="4:8" ht="12.3" x14ac:dyDescent="0.4">
      <c r="D996" s="15"/>
      <c r="F996" s="15"/>
      <c r="G996" s="14"/>
      <c r="H996" s="15"/>
    </row>
    <row r="997" spans="4:8" ht="12.3" x14ac:dyDescent="0.4">
      <c r="D997" s="15"/>
      <c r="F997" s="15"/>
      <c r="G997" s="14"/>
      <c r="H997" s="15"/>
    </row>
    <row r="998" spans="4:8" ht="12.3" x14ac:dyDescent="0.4">
      <c r="D998" s="15"/>
      <c r="F998" s="15"/>
      <c r="G998" s="14"/>
      <c r="H998" s="15"/>
    </row>
    <row r="999" spans="4:8" ht="12.3" x14ac:dyDescent="0.4">
      <c r="D999" s="15"/>
      <c r="F999" s="15"/>
      <c r="G999" s="14"/>
      <c r="H999" s="15"/>
    </row>
    <row r="1000" spans="4:8" ht="12.3" x14ac:dyDescent="0.4">
      <c r="D1000" s="15"/>
      <c r="F1000" s="15"/>
      <c r="G1000" s="14"/>
      <c r="H1000" s="1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Y1002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4"/>
  <cols>
    <col min="2" max="2" width="5.109375" customWidth="1"/>
    <col min="3" max="3" width="3.5546875" customWidth="1"/>
    <col min="4" max="4" width="11.109375" customWidth="1"/>
    <col min="5" max="5" width="6.71875" customWidth="1"/>
    <col min="6" max="6" width="10.71875" customWidth="1"/>
    <col min="7" max="7" width="6.44140625" customWidth="1"/>
    <col min="8" max="8" width="10.5546875" customWidth="1"/>
    <col min="9" max="9" width="6.27734375" customWidth="1"/>
    <col min="10" max="10" width="13.83203125" customWidth="1"/>
    <col min="11" max="11" width="9.44140625" customWidth="1"/>
  </cols>
  <sheetData>
    <row r="1" spans="1:12" ht="15.75" customHeight="1" x14ac:dyDescent="0.4">
      <c r="A1" s="2" t="s">
        <v>407</v>
      </c>
      <c r="B1" s="11" t="s">
        <v>2</v>
      </c>
      <c r="C1" s="2" t="s">
        <v>25</v>
      </c>
      <c r="D1" s="11" t="s">
        <v>3</v>
      </c>
      <c r="E1" s="30" t="s">
        <v>16</v>
      </c>
      <c r="F1" s="11" t="s">
        <v>11</v>
      </c>
      <c r="G1" s="10" t="s">
        <v>10</v>
      </c>
      <c r="H1" s="11" t="s">
        <v>15</v>
      </c>
      <c r="I1" s="10" t="s">
        <v>14</v>
      </c>
      <c r="J1" s="11" t="s">
        <v>7</v>
      </c>
      <c r="K1" s="10" t="s">
        <v>6</v>
      </c>
      <c r="L1" s="2" t="s">
        <v>391</v>
      </c>
    </row>
    <row r="2" spans="1:12" ht="15.75" customHeight="1" x14ac:dyDescent="0.4">
      <c r="A2" t="s">
        <v>18</v>
      </c>
      <c r="B2" s="15">
        <v>2010</v>
      </c>
      <c r="C2">
        <v>5</v>
      </c>
      <c r="D2" s="15">
        <v>16</v>
      </c>
      <c r="E2" s="13">
        <v>0.89681200000000005</v>
      </c>
      <c r="F2" s="15">
        <v>55</v>
      </c>
      <c r="G2" s="14">
        <v>108.1695</v>
      </c>
      <c r="H2" s="15">
        <v>8</v>
      </c>
      <c r="I2" s="14">
        <v>89.628600000000006</v>
      </c>
      <c r="J2" s="15">
        <v>269</v>
      </c>
      <c r="K2" s="14">
        <v>65.161699999999996</v>
      </c>
      <c r="L2" s="14">
        <f t="shared" ref="L2:L44" si="0">G2-I2</f>
        <v>18.540899999999993</v>
      </c>
    </row>
    <row r="3" spans="1:12" ht="15.75" customHeight="1" x14ac:dyDescent="0.4">
      <c r="A3" t="s">
        <v>18</v>
      </c>
      <c r="B3" s="15">
        <v>2011</v>
      </c>
      <c r="C3">
        <v>8</v>
      </c>
      <c r="D3" s="15">
        <v>45</v>
      </c>
      <c r="E3" s="13">
        <v>0.80815400000000004</v>
      </c>
      <c r="F3" s="15">
        <v>37</v>
      </c>
      <c r="G3" s="14">
        <v>110.4816</v>
      </c>
      <c r="H3" s="15">
        <v>77</v>
      </c>
      <c r="I3" s="14">
        <v>97.494900000000001</v>
      </c>
      <c r="J3" s="15">
        <v>276</v>
      </c>
      <c r="K3" s="14">
        <v>64.418700000000001</v>
      </c>
      <c r="L3" s="17">
        <f t="shared" si="0"/>
        <v>12.986699999999999</v>
      </c>
    </row>
    <row r="4" spans="1:12" ht="15.75" customHeight="1" x14ac:dyDescent="0.4">
      <c r="A4" t="s">
        <v>54</v>
      </c>
      <c r="B4" s="15">
        <v>2009</v>
      </c>
      <c r="C4">
        <v>1</v>
      </c>
      <c r="D4" s="15">
        <v>3</v>
      </c>
      <c r="E4" s="13">
        <v>0.94574599999999998</v>
      </c>
      <c r="F4" s="15">
        <v>28</v>
      </c>
      <c r="G4" s="14">
        <v>112.2406</v>
      </c>
      <c r="H4" s="15">
        <v>3</v>
      </c>
      <c r="I4" s="14">
        <v>87.540099999999995</v>
      </c>
      <c r="J4" s="15">
        <v>127</v>
      </c>
      <c r="K4" s="14">
        <v>67.359300000000005</v>
      </c>
      <c r="L4" s="14">
        <f t="shared" si="0"/>
        <v>24.700500000000005</v>
      </c>
    </row>
    <row r="5" spans="1:12" ht="15.75" customHeight="1" x14ac:dyDescent="0.4">
      <c r="A5" t="s">
        <v>54</v>
      </c>
      <c r="B5" s="15">
        <v>2004</v>
      </c>
      <c r="C5">
        <v>2</v>
      </c>
      <c r="D5" s="15">
        <v>5</v>
      </c>
      <c r="E5" s="13">
        <v>0.93455100000000002</v>
      </c>
      <c r="F5" s="15">
        <v>14</v>
      </c>
      <c r="G5" s="14">
        <v>113.6357</v>
      </c>
      <c r="H5" s="15">
        <v>8</v>
      </c>
      <c r="I5" s="14">
        <v>90.179100000000005</v>
      </c>
      <c r="J5" s="15">
        <v>73</v>
      </c>
      <c r="K5" s="14">
        <v>70.080500000000001</v>
      </c>
      <c r="L5" s="14">
        <f t="shared" si="0"/>
        <v>23.456599999999995</v>
      </c>
    </row>
    <row r="6" spans="1:12" ht="15.75" customHeight="1" x14ac:dyDescent="0.4">
      <c r="A6" t="s">
        <v>54</v>
      </c>
      <c r="B6" s="15">
        <v>2011</v>
      </c>
      <c r="C6">
        <v>3</v>
      </c>
      <c r="D6" s="15">
        <v>13</v>
      </c>
      <c r="E6" s="13">
        <v>0.90211799999999998</v>
      </c>
      <c r="F6" s="15">
        <v>17</v>
      </c>
      <c r="G6" s="14">
        <v>113.8185</v>
      </c>
      <c r="H6" s="15">
        <v>30</v>
      </c>
      <c r="I6" s="14">
        <v>93.8292</v>
      </c>
      <c r="J6" s="15">
        <v>193</v>
      </c>
      <c r="K6" s="14">
        <v>66.264799999999994</v>
      </c>
      <c r="L6" s="14">
        <f t="shared" si="0"/>
        <v>19.9893</v>
      </c>
    </row>
    <row r="7" spans="1:12" ht="15.75" customHeight="1" x14ac:dyDescent="0.4">
      <c r="A7" t="s">
        <v>54</v>
      </c>
      <c r="B7" s="15">
        <v>2014</v>
      </c>
      <c r="C7">
        <v>7</v>
      </c>
      <c r="D7" s="15">
        <v>25</v>
      </c>
      <c r="E7" s="13">
        <v>0.86882000000000004</v>
      </c>
      <c r="F7" s="15">
        <v>80</v>
      </c>
      <c r="G7" s="14">
        <v>109.4778</v>
      </c>
      <c r="H7" s="15">
        <v>11</v>
      </c>
      <c r="I7" s="14">
        <v>92.881500000000003</v>
      </c>
      <c r="J7" s="15">
        <v>247</v>
      </c>
      <c r="K7" s="14">
        <v>64.978899999999996</v>
      </c>
      <c r="L7" s="14">
        <f t="shared" si="0"/>
        <v>16.596299999999999</v>
      </c>
    </row>
    <row r="8" spans="1:12" ht="15.75" customHeight="1" x14ac:dyDescent="0.4">
      <c r="A8" t="s">
        <v>32</v>
      </c>
      <c r="B8" s="15">
        <v>2007</v>
      </c>
      <c r="C8">
        <v>1</v>
      </c>
      <c r="D8" s="15">
        <v>1.5</v>
      </c>
      <c r="E8" s="13">
        <v>0.95772400000000002</v>
      </c>
      <c r="F8" s="15">
        <v>5</v>
      </c>
      <c r="G8" s="14">
        <v>117.30074999999999</v>
      </c>
      <c r="H8" s="15">
        <v>5.5</v>
      </c>
      <c r="I8" s="14">
        <v>89.425299999999993</v>
      </c>
      <c r="J8" s="15">
        <v>152.5</v>
      </c>
      <c r="K8" s="14">
        <v>67.977649999999997</v>
      </c>
      <c r="L8" s="14">
        <f t="shared" si="0"/>
        <v>27.875450000000001</v>
      </c>
    </row>
    <row r="9" spans="1:12" ht="15.75" customHeight="1" x14ac:dyDescent="0.4">
      <c r="A9" t="s">
        <v>37</v>
      </c>
      <c r="B9" s="15">
        <v>2010.5</v>
      </c>
      <c r="C9">
        <v>1</v>
      </c>
      <c r="D9" s="15">
        <v>4</v>
      </c>
      <c r="E9" s="13">
        <v>0.94548900000000002</v>
      </c>
      <c r="F9" s="15">
        <v>10</v>
      </c>
      <c r="G9" s="14">
        <v>117.06819999999999</v>
      </c>
      <c r="H9" s="15">
        <v>11.5</v>
      </c>
      <c r="I9" s="14">
        <v>91.343400000000003</v>
      </c>
      <c r="J9" s="15">
        <v>247</v>
      </c>
      <c r="K9" s="14">
        <v>64.780799999999999</v>
      </c>
      <c r="L9" s="14">
        <f t="shared" si="0"/>
        <v>25.724799999999988</v>
      </c>
    </row>
    <row r="10" spans="1:12" ht="15.75" customHeight="1" x14ac:dyDescent="0.4">
      <c r="A10" t="s">
        <v>37</v>
      </c>
      <c r="B10" s="15">
        <v>2006</v>
      </c>
      <c r="C10">
        <v>3</v>
      </c>
      <c r="D10" s="15">
        <v>7</v>
      </c>
      <c r="E10" s="13">
        <v>0.91981000000000002</v>
      </c>
      <c r="F10" s="15">
        <v>14</v>
      </c>
      <c r="G10" s="14">
        <v>113.8817</v>
      </c>
      <c r="H10" s="15">
        <v>18</v>
      </c>
      <c r="I10" s="14">
        <v>92.112099999999998</v>
      </c>
      <c r="J10" s="15">
        <v>97</v>
      </c>
      <c r="K10" s="14">
        <v>68.694500000000005</v>
      </c>
      <c r="L10" s="14">
        <f t="shared" si="0"/>
        <v>21.769599999999997</v>
      </c>
    </row>
    <row r="11" spans="1:12" ht="15.75" customHeight="1" x14ac:dyDescent="0.4">
      <c r="A11" t="s">
        <v>147</v>
      </c>
      <c r="B11" s="15">
        <v>2006</v>
      </c>
      <c r="C11">
        <v>11</v>
      </c>
      <c r="D11" s="15">
        <v>22</v>
      </c>
      <c r="E11" s="13">
        <v>0.84944200000000003</v>
      </c>
      <c r="F11" s="15">
        <v>78</v>
      </c>
      <c r="G11" s="14">
        <v>106.43989999999999</v>
      </c>
      <c r="H11" s="15">
        <v>12</v>
      </c>
      <c r="I11" s="14">
        <v>91.572000000000003</v>
      </c>
      <c r="J11" s="15">
        <v>276</v>
      </c>
      <c r="K11" s="14">
        <v>64.037499999999994</v>
      </c>
      <c r="L11" s="14">
        <f t="shared" si="0"/>
        <v>14.867899999999992</v>
      </c>
    </row>
    <row r="12" spans="1:12" ht="15.75" customHeight="1" x14ac:dyDescent="0.4">
      <c r="A12" t="s">
        <v>62</v>
      </c>
      <c r="B12" s="15">
        <v>2007</v>
      </c>
      <c r="C12">
        <v>2</v>
      </c>
      <c r="D12" s="15">
        <v>4</v>
      </c>
      <c r="E12" s="13">
        <v>0.94601000000000002</v>
      </c>
      <c r="F12" s="15">
        <v>2</v>
      </c>
      <c r="G12" s="14">
        <v>118.5962</v>
      </c>
      <c r="H12" s="15">
        <v>14</v>
      </c>
      <c r="I12" s="14">
        <v>92.455600000000004</v>
      </c>
      <c r="J12" s="15">
        <v>327</v>
      </c>
      <c r="K12" s="14">
        <v>60.222299999999997</v>
      </c>
      <c r="L12" s="14">
        <f t="shared" si="0"/>
        <v>26.140599999999992</v>
      </c>
    </row>
    <row r="13" spans="1:12" ht="15.75" customHeight="1" x14ac:dyDescent="0.4">
      <c r="A13" t="s">
        <v>92</v>
      </c>
      <c r="B13" s="15">
        <v>2004</v>
      </c>
      <c r="C13">
        <v>3</v>
      </c>
      <c r="D13" s="15">
        <v>9</v>
      </c>
      <c r="E13" s="13">
        <v>0.92294100000000001</v>
      </c>
      <c r="F13" s="15">
        <v>20</v>
      </c>
      <c r="G13" s="14">
        <v>112.3931</v>
      </c>
      <c r="H13" s="15">
        <v>11</v>
      </c>
      <c r="I13" s="14">
        <v>90.567099999999996</v>
      </c>
      <c r="J13" s="15">
        <v>41</v>
      </c>
      <c r="K13" s="14">
        <v>71.158100000000005</v>
      </c>
      <c r="L13" s="14">
        <f t="shared" si="0"/>
        <v>21.826000000000008</v>
      </c>
    </row>
    <row r="14" spans="1:12" ht="15.75" customHeight="1" x14ac:dyDescent="0.4">
      <c r="A14" t="s">
        <v>44</v>
      </c>
      <c r="B14" s="15">
        <v>2005</v>
      </c>
      <c r="C14">
        <v>1</v>
      </c>
      <c r="D14" s="15">
        <v>1</v>
      </c>
      <c r="E14" s="13">
        <v>0.97141699999999997</v>
      </c>
      <c r="F14" s="15">
        <v>2</v>
      </c>
      <c r="G14" s="14">
        <v>120.2137</v>
      </c>
      <c r="H14" s="15">
        <v>3</v>
      </c>
      <c r="I14" s="14">
        <v>88.470299999999995</v>
      </c>
      <c r="J14" s="15">
        <v>212</v>
      </c>
      <c r="K14" s="14">
        <v>66.158000000000001</v>
      </c>
      <c r="L14" s="14">
        <f t="shared" si="0"/>
        <v>31.743400000000008</v>
      </c>
    </row>
    <row r="15" spans="1:12" ht="15.75" customHeight="1" x14ac:dyDescent="0.4">
      <c r="A15" t="s">
        <v>40</v>
      </c>
      <c r="B15" s="15">
        <v>2002</v>
      </c>
      <c r="C15">
        <v>5</v>
      </c>
      <c r="D15" s="15">
        <v>8</v>
      </c>
      <c r="E15" s="13">
        <v>0.90696900000000003</v>
      </c>
      <c r="F15" s="15">
        <v>38</v>
      </c>
      <c r="G15" s="14">
        <v>109.61360000000001</v>
      </c>
      <c r="H15" s="15">
        <v>6</v>
      </c>
      <c r="I15" s="14">
        <v>89.922399999999996</v>
      </c>
      <c r="J15" s="15">
        <v>269</v>
      </c>
      <c r="K15" s="14">
        <v>66.573899999999995</v>
      </c>
      <c r="L15" s="14">
        <f t="shared" si="0"/>
        <v>19.691200000000009</v>
      </c>
    </row>
    <row r="16" spans="1:12" ht="15.75" customHeight="1" x14ac:dyDescent="0.4">
      <c r="A16" t="s">
        <v>35</v>
      </c>
      <c r="B16" s="15">
        <v>2005</v>
      </c>
      <c r="C16">
        <v>1</v>
      </c>
      <c r="D16" s="15">
        <v>2</v>
      </c>
      <c r="E16" s="13">
        <v>0.9541925</v>
      </c>
      <c r="F16" s="15">
        <v>5</v>
      </c>
      <c r="G16" s="14">
        <v>117.95035</v>
      </c>
      <c r="H16" s="15">
        <v>8</v>
      </c>
      <c r="I16" s="14">
        <v>90.165750000000003</v>
      </c>
      <c r="J16" s="15">
        <v>50.5</v>
      </c>
      <c r="K16" s="14">
        <v>74.009950000000003</v>
      </c>
      <c r="L16" s="14">
        <f t="shared" si="0"/>
        <v>27.784599999999998</v>
      </c>
    </row>
    <row r="17" spans="1:12" ht="15.75" customHeight="1" x14ac:dyDescent="0.4">
      <c r="A17" t="s">
        <v>35</v>
      </c>
      <c r="B17" s="15">
        <v>2007.5</v>
      </c>
      <c r="C17">
        <v>2</v>
      </c>
      <c r="D17" s="15">
        <v>4</v>
      </c>
      <c r="E17" s="13">
        <v>0.93863350000000001</v>
      </c>
      <c r="F17" s="15">
        <v>17</v>
      </c>
      <c r="G17" s="14">
        <v>112.66865</v>
      </c>
      <c r="H17" s="15">
        <v>5.5</v>
      </c>
      <c r="I17" s="14">
        <v>88.877350000000007</v>
      </c>
      <c r="J17" s="15">
        <v>55.5</v>
      </c>
      <c r="K17" s="14">
        <v>70.722350000000006</v>
      </c>
      <c r="L17" s="14">
        <f t="shared" si="0"/>
        <v>23.791299999999993</v>
      </c>
    </row>
    <row r="18" spans="1:12" ht="15.75" customHeight="1" x14ac:dyDescent="0.4">
      <c r="A18" t="s">
        <v>45</v>
      </c>
      <c r="B18" s="15">
        <v>2012</v>
      </c>
      <c r="C18">
        <v>1</v>
      </c>
      <c r="D18" s="15">
        <v>1</v>
      </c>
      <c r="E18" s="13">
        <v>0.96340700000000001</v>
      </c>
      <c r="F18" s="15">
        <v>2</v>
      </c>
      <c r="G18" s="14">
        <v>118.6576</v>
      </c>
      <c r="H18" s="15">
        <v>5</v>
      </c>
      <c r="I18" s="14">
        <v>89.285499999999999</v>
      </c>
      <c r="J18" s="15">
        <v>191</v>
      </c>
      <c r="K18" s="14">
        <v>65.673500000000004</v>
      </c>
      <c r="L18" s="14">
        <f t="shared" si="0"/>
        <v>29.372100000000003</v>
      </c>
    </row>
    <row r="19" spans="1:12" ht="15.75" customHeight="1" x14ac:dyDescent="0.4">
      <c r="A19" t="s">
        <v>45</v>
      </c>
      <c r="B19" s="15">
        <v>2011</v>
      </c>
      <c r="C19">
        <v>4</v>
      </c>
      <c r="D19" s="15">
        <v>7</v>
      </c>
      <c r="E19" s="13">
        <v>0.92643799999999998</v>
      </c>
      <c r="F19" s="15">
        <v>8</v>
      </c>
      <c r="G19" s="14">
        <v>116.2402</v>
      </c>
      <c r="H19" s="15">
        <v>27</v>
      </c>
      <c r="I19" s="14">
        <v>93.258799999999994</v>
      </c>
      <c r="J19" s="15">
        <v>164</v>
      </c>
      <c r="K19" s="14">
        <v>66.775800000000004</v>
      </c>
      <c r="L19" s="14">
        <f t="shared" si="0"/>
        <v>22.981400000000008</v>
      </c>
    </row>
    <row r="20" spans="1:12" ht="15.75" customHeight="1" x14ac:dyDescent="0.4">
      <c r="A20" t="s">
        <v>45</v>
      </c>
      <c r="B20" s="15">
        <v>2014</v>
      </c>
      <c r="C20">
        <v>8</v>
      </c>
      <c r="D20" s="15">
        <v>17</v>
      </c>
      <c r="E20" s="13">
        <v>0.88439699999999999</v>
      </c>
      <c r="F20" s="15">
        <v>19</v>
      </c>
      <c r="G20" s="14">
        <v>114.94280000000001</v>
      </c>
      <c r="H20" s="15">
        <v>35</v>
      </c>
      <c r="I20" s="14">
        <v>96.303100000000001</v>
      </c>
      <c r="J20" s="15">
        <v>195</v>
      </c>
      <c r="K20" s="14">
        <v>66.044499999999999</v>
      </c>
      <c r="L20" s="14">
        <f t="shared" si="0"/>
        <v>18.639700000000005</v>
      </c>
    </row>
    <row r="21" spans="1:12" ht="15.75" customHeight="1" x14ac:dyDescent="0.4">
      <c r="A21" t="s">
        <v>86</v>
      </c>
      <c r="B21" s="15">
        <v>2013</v>
      </c>
      <c r="C21">
        <v>1</v>
      </c>
      <c r="D21" s="15">
        <v>1</v>
      </c>
      <c r="E21" s="13">
        <v>0.96628700000000001</v>
      </c>
      <c r="F21" s="15">
        <v>18</v>
      </c>
      <c r="G21" s="14">
        <v>112.1925</v>
      </c>
      <c r="H21" s="15">
        <v>1</v>
      </c>
      <c r="I21" s="14">
        <v>83.799400000000006</v>
      </c>
      <c r="J21" s="15">
        <v>112</v>
      </c>
      <c r="K21" s="14">
        <v>67.232900000000001</v>
      </c>
      <c r="L21" s="14">
        <f t="shared" si="0"/>
        <v>28.39309999999999</v>
      </c>
    </row>
    <row r="22" spans="1:12" ht="15.75" customHeight="1" x14ac:dyDescent="0.4">
      <c r="A22" t="s">
        <v>86</v>
      </c>
      <c r="B22" s="15">
        <v>2008.5</v>
      </c>
      <c r="C22">
        <v>4</v>
      </c>
      <c r="D22" s="15">
        <v>16.5</v>
      </c>
      <c r="E22" s="13">
        <v>0.88939999999999997</v>
      </c>
      <c r="F22" s="15">
        <v>79.5</v>
      </c>
      <c r="G22" s="14">
        <v>107.92415</v>
      </c>
      <c r="H22" s="15">
        <v>11.5</v>
      </c>
      <c r="I22" s="14">
        <v>89.912100000000009</v>
      </c>
      <c r="J22" s="15">
        <v>81.5</v>
      </c>
      <c r="K22" s="14">
        <v>68.727599999999995</v>
      </c>
      <c r="L22" s="14">
        <f t="shared" si="0"/>
        <v>18.012049999999988</v>
      </c>
    </row>
    <row r="23" spans="1:12" ht="15.75" customHeight="1" x14ac:dyDescent="0.4">
      <c r="A23" t="s">
        <v>85</v>
      </c>
      <c r="B23" s="15">
        <v>2006</v>
      </c>
      <c r="C23">
        <v>4</v>
      </c>
      <c r="D23" s="15">
        <v>14</v>
      </c>
      <c r="E23" s="13">
        <v>0.88981299999999997</v>
      </c>
      <c r="F23" s="15">
        <v>33</v>
      </c>
      <c r="G23" s="14">
        <v>110.5226</v>
      </c>
      <c r="H23" s="15">
        <v>19</v>
      </c>
      <c r="I23" s="14">
        <v>92.165199999999999</v>
      </c>
      <c r="J23" s="15">
        <v>89</v>
      </c>
      <c r="K23" s="14">
        <v>69.048599999999993</v>
      </c>
      <c r="L23" s="14">
        <f t="shared" si="0"/>
        <v>18.357399999999998</v>
      </c>
    </row>
    <row r="24" spans="1:12" ht="15.75" customHeight="1" x14ac:dyDescent="0.4">
      <c r="A24" t="s">
        <v>39</v>
      </c>
      <c r="B24" s="15">
        <v>2003</v>
      </c>
      <c r="C24">
        <v>3</v>
      </c>
      <c r="D24" s="15">
        <v>15</v>
      </c>
      <c r="E24" s="13">
        <v>0.89126000000000005</v>
      </c>
      <c r="F24" s="15">
        <v>4</v>
      </c>
      <c r="G24" s="14">
        <v>116.5789</v>
      </c>
      <c r="H24" s="15">
        <v>79</v>
      </c>
      <c r="I24" s="14">
        <v>97.090199999999996</v>
      </c>
      <c r="J24" s="15">
        <v>216</v>
      </c>
      <c r="K24" s="14">
        <v>67.360500000000002</v>
      </c>
      <c r="L24" s="14">
        <f t="shared" si="0"/>
        <v>19.488700000000009</v>
      </c>
    </row>
    <row r="25" spans="1:12" ht="15.75" customHeight="1" x14ac:dyDescent="0.4">
      <c r="A25" t="s">
        <v>36</v>
      </c>
      <c r="B25" s="15">
        <v>2002</v>
      </c>
      <c r="C25">
        <v>1</v>
      </c>
      <c r="D25" s="15">
        <v>4</v>
      </c>
      <c r="E25" s="13">
        <v>0.93981800000000004</v>
      </c>
      <c r="F25" s="15">
        <v>4</v>
      </c>
      <c r="G25" s="14">
        <v>116.2551</v>
      </c>
      <c r="H25" s="15">
        <v>14</v>
      </c>
      <c r="I25" s="14">
        <v>91.542400000000001</v>
      </c>
      <c r="J25" s="15">
        <v>12</v>
      </c>
      <c r="K25" s="14">
        <v>75.418000000000006</v>
      </c>
      <c r="L25" s="14">
        <f t="shared" si="0"/>
        <v>24.712699999999998</v>
      </c>
    </row>
    <row r="26" spans="1:12" ht="15.75" customHeight="1" x14ac:dyDescent="0.4">
      <c r="A26" t="s">
        <v>71</v>
      </c>
      <c r="B26" s="15">
        <v>2008</v>
      </c>
      <c r="C26">
        <v>1</v>
      </c>
      <c r="D26" s="15">
        <v>2</v>
      </c>
      <c r="E26" s="13">
        <v>0.95485900000000001</v>
      </c>
      <c r="F26" s="15">
        <v>30</v>
      </c>
      <c r="G26" s="14">
        <v>111.949</v>
      </c>
      <c r="H26" s="15">
        <v>1</v>
      </c>
      <c r="I26" s="14">
        <v>85.855999999999995</v>
      </c>
      <c r="J26" s="15">
        <v>74</v>
      </c>
      <c r="K26" s="14">
        <v>69.744600000000005</v>
      </c>
      <c r="L26" s="14">
        <f t="shared" si="0"/>
        <v>26.093000000000004</v>
      </c>
    </row>
    <row r="27" spans="1:12" ht="15.75" customHeight="1" x14ac:dyDescent="0.4">
      <c r="A27" t="s">
        <v>154</v>
      </c>
      <c r="B27" s="15">
        <v>2013</v>
      </c>
      <c r="C27">
        <v>4</v>
      </c>
      <c r="D27" s="15">
        <v>11</v>
      </c>
      <c r="E27" s="13">
        <v>0.91065300000000005</v>
      </c>
      <c r="F27" s="15">
        <v>3</v>
      </c>
      <c r="G27" s="14">
        <v>118.0446</v>
      </c>
      <c r="H27" s="15">
        <v>84</v>
      </c>
      <c r="I27" s="14">
        <v>96.465000000000003</v>
      </c>
      <c r="J27" s="15">
        <v>215</v>
      </c>
      <c r="K27" s="14">
        <v>64.980900000000005</v>
      </c>
      <c r="L27" s="14">
        <f t="shared" si="0"/>
        <v>21.579599999999999</v>
      </c>
    </row>
    <row r="28" spans="1:12" ht="15.75" customHeight="1" x14ac:dyDescent="0.4">
      <c r="A28" t="s">
        <v>58</v>
      </c>
      <c r="B28" s="15">
        <v>2009</v>
      </c>
      <c r="C28">
        <v>2</v>
      </c>
      <c r="D28" s="15">
        <v>10</v>
      </c>
      <c r="E28" s="13">
        <v>0.91061599999999998</v>
      </c>
      <c r="F28" s="15">
        <v>35</v>
      </c>
      <c r="G28" s="14">
        <v>110.8623</v>
      </c>
      <c r="H28" s="15">
        <v>9</v>
      </c>
      <c r="I28" s="14">
        <v>90.599400000000003</v>
      </c>
      <c r="J28" s="15">
        <v>114</v>
      </c>
      <c r="K28" s="14">
        <v>67.654899999999998</v>
      </c>
      <c r="L28" s="14">
        <f t="shared" si="0"/>
        <v>20.262900000000002</v>
      </c>
    </row>
    <row r="29" spans="1:12" ht="15.75" customHeight="1" x14ac:dyDescent="0.4">
      <c r="A29" t="s">
        <v>58</v>
      </c>
      <c r="B29" s="15">
        <v>2007.5</v>
      </c>
      <c r="C29">
        <v>5</v>
      </c>
      <c r="D29" s="15">
        <v>13</v>
      </c>
      <c r="E29" s="13">
        <v>0.90460549999999995</v>
      </c>
      <c r="F29" s="15">
        <v>26.5</v>
      </c>
      <c r="G29" s="14">
        <v>113.7938</v>
      </c>
      <c r="H29" s="15">
        <v>28</v>
      </c>
      <c r="I29" s="14">
        <v>93.197299999999998</v>
      </c>
      <c r="J29" s="15">
        <v>176.5</v>
      </c>
      <c r="K29" s="14">
        <v>67.094650000000001</v>
      </c>
      <c r="L29" s="14">
        <f t="shared" si="0"/>
        <v>20.596500000000006</v>
      </c>
    </row>
    <row r="30" spans="1:12" ht="12.3" x14ac:dyDescent="0.4">
      <c r="A30" t="s">
        <v>168</v>
      </c>
      <c r="B30" s="15">
        <v>2007.3333333333333</v>
      </c>
      <c r="C30">
        <v>1</v>
      </c>
      <c r="D30" s="15">
        <v>3.6666666666666665</v>
      </c>
      <c r="E30" s="13">
        <v>0.94780599999999993</v>
      </c>
      <c r="F30" s="15">
        <v>2.3333333333333335</v>
      </c>
      <c r="G30" s="14">
        <v>120.02076666666666</v>
      </c>
      <c r="H30" s="15">
        <v>27</v>
      </c>
      <c r="I30" s="14">
        <v>93.210300000000004</v>
      </c>
      <c r="J30" s="15">
        <v>6.333333333333333</v>
      </c>
      <c r="K30" s="14">
        <v>74.38966666666667</v>
      </c>
      <c r="L30" s="14">
        <f t="shared" si="0"/>
        <v>26.810466666666656</v>
      </c>
    </row>
    <row r="31" spans="1:12" ht="12.3" x14ac:dyDescent="0.4">
      <c r="A31" t="s">
        <v>21</v>
      </c>
      <c r="B31" s="15">
        <v>2007</v>
      </c>
      <c r="C31">
        <v>1</v>
      </c>
      <c r="D31" s="15">
        <v>2</v>
      </c>
      <c r="E31" s="13">
        <v>0.95310099999999998</v>
      </c>
      <c r="F31" s="15">
        <v>7</v>
      </c>
      <c r="G31" s="14">
        <v>116.5324</v>
      </c>
      <c r="H31" s="15">
        <v>5</v>
      </c>
      <c r="I31" s="14">
        <v>89.683000000000007</v>
      </c>
      <c r="J31" s="15">
        <v>218</v>
      </c>
      <c r="K31" s="14">
        <v>65.392200000000003</v>
      </c>
      <c r="L31" s="14">
        <f t="shared" si="0"/>
        <v>26.849399999999989</v>
      </c>
    </row>
    <row r="32" spans="1:12" ht="12.3" x14ac:dyDescent="0.4">
      <c r="A32" t="s">
        <v>21</v>
      </c>
      <c r="B32" s="15">
        <v>2012</v>
      </c>
      <c r="C32">
        <v>2</v>
      </c>
      <c r="D32" s="15">
        <v>3</v>
      </c>
      <c r="E32" s="13">
        <v>0.95023500000000005</v>
      </c>
      <c r="F32" s="15">
        <v>6</v>
      </c>
      <c r="G32" s="14">
        <v>116.1609</v>
      </c>
      <c r="H32" s="15">
        <v>9</v>
      </c>
      <c r="I32" s="14">
        <v>89.882800000000003</v>
      </c>
      <c r="J32" s="15">
        <v>84</v>
      </c>
      <c r="K32" s="14">
        <v>67.906999999999996</v>
      </c>
      <c r="L32" s="14">
        <f t="shared" si="0"/>
        <v>26.278099999999995</v>
      </c>
    </row>
    <row r="33" spans="1:25" ht="12.3" x14ac:dyDescent="0.4">
      <c r="A33" t="s">
        <v>38</v>
      </c>
      <c r="B33" s="15">
        <v>2002</v>
      </c>
      <c r="C33">
        <v>2</v>
      </c>
      <c r="D33" s="15">
        <v>6</v>
      </c>
      <c r="E33" s="13">
        <v>0.926647</v>
      </c>
      <c r="F33" s="15">
        <v>31</v>
      </c>
      <c r="G33" s="14">
        <v>110.4555</v>
      </c>
      <c r="H33" s="15">
        <v>4</v>
      </c>
      <c r="I33" s="14">
        <v>88.594099999999997</v>
      </c>
      <c r="J33" s="15">
        <v>212</v>
      </c>
      <c r="K33" s="14">
        <v>68.484399999999994</v>
      </c>
      <c r="L33" s="14">
        <f t="shared" si="0"/>
        <v>21.861400000000003</v>
      </c>
    </row>
    <row r="34" spans="1:25" ht="12.3" x14ac:dyDescent="0.4">
      <c r="A34" t="s">
        <v>72</v>
      </c>
      <c r="B34" s="15">
        <v>2004</v>
      </c>
      <c r="C34">
        <v>2</v>
      </c>
      <c r="D34" s="15">
        <v>8</v>
      </c>
      <c r="E34" s="13">
        <v>0.92350600000000005</v>
      </c>
      <c r="F34" s="15">
        <v>7</v>
      </c>
      <c r="G34" s="14">
        <v>115.703</v>
      </c>
      <c r="H34" s="15">
        <v>24</v>
      </c>
      <c r="I34" s="14">
        <v>93.169600000000003</v>
      </c>
      <c r="J34" s="15">
        <v>190</v>
      </c>
      <c r="K34" s="14">
        <v>67.096100000000007</v>
      </c>
      <c r="L34" s="14">
        <f t="shared" si="0"/>
        <v>22.5334</v>
      </c>
    </row>
    <row r="35" spans="1:25" ht="12.3" x14ac:dyDescent="0.4">
      <c r="A35" t="s">
        <v>23</v>
      </c>
      <c r="B35" s="15">
        <v>2003</v>
      </c>
      <c r="C35">
        <v>3</v>
      </c>
      <c r="D35" s="15">
        <v>20</v>
      </c>
      <c r="E35" s="13">
        <v>0.88222900000000004</v>
      </c>
      <c r="F35" s="15">
        <v>16</v>
      </c>
      <c r="G35" s="14">
        <v>112.28660000000001</v>
      </c>
      <c r="H35" s="15">
        <v>38</v>
      </c>
      <c r="I35" s="14">
        <v>94.249899999999997</v>
      </c>
      <c r="J35" s="15">
        <v>51</v>
      </c>
      <c r="K35" s="14">
        <v>71.695099999999996</v>
      </c>
      <c r="L35" s="14">
        <f t="shared" si="0"/>
        <v>18.03670000000001</v>
      </c>
    </row>
    <row r="36" spans="1:25" ht="12.3" x14ac:dyDescent="0.4">
      <c r="A36" t="s">
        <v>23</v>
      </c>
      <c r="B36" s="15">
        <v>2013</v>
      </c>
      <c r="C36">
        <v>4</v>
      </c>
      <c r="D36" s="15">
        <v>15</v>
      </c>
      <c r="E36" s="13">
        <v>0.90246599999999999</v>
      </c>
      <c r="F36" s="15">
        <v>12</v>
      </c>
      <c r="G36" s="14">
        <v>113.0001</v>
      </c>
      <c r="H36" s="15">
        <v>36</v>
      </c>
      <c r="I36" s="14">
        <v>93.122500000000002</v>
      </c>
      <c r="J36" s="15">
        <v>235</v>
      </c>
      <c r="K36" s="14">
        <v>64.518799999999999</v>
      </c>
      <c r="L36" s="14">
        <f t="shared" si="0"/>
        <v>19.877600000000001</v>
      </c>
    </row>
    <row r="37" spans="1:25" ht="12.3" x14ac:dyDescent="0.4">
      <c r="A37" t="s">
        <v>67</v>
      </c>
      <c r="B37" s="15">
        <v>2003</v>
      </c>
      <c r="C37">
        <v>1</v>
      </c>
      <c r="D37" s="15">
        <v>8</v>
      </c>
      <c r="E37" s="13">
        <v>0.91625100000000004</v>
      </c>
      <c r="F37" s="15">
        <v>2</v>
      </c>
      <c r="G37" s="14">
        <v>118.7559</v>
      </c>
      <c r="H37" s="15">
        <v>67</v>
      </c>
      <c r="I37" s="14">
        <v>96.450500000000005</v>
      </c>
      <c r="J37" s="15">
        <v>74</v>
      </c>
      <c r="K37" s="14">
        <v>70.774199999999993</v>
      </c>
      <c r="L37" s="14">
        <f t="shared" si="0"/>
        <v>22.305399999999992</v>
      </c>
    </row>
    <row r="38" spans="1:25" ht="12.3" x14ac:dyDescent="0.4">
      <c r="A38" t="s">
        <v>65</v>
      </c>
      <c r="B38" s="15">
        <v>2008</v>
      </c>
      <c r="C38">
        <v>1</v>
      </c>
      <c r="D38" s="15">
        <v>3</v>
      </c>
      <c r="E38" s="13">
        <v>0.95323599999999997</v>
      </c>
      <c r="F38" s="15">
        <v>6</v>
      </c>
      <c r="G38" s="14">
        <v>116.1109</v>
      </c>
      <c r="H38" s="15">
        <v>4</v>
      </c>
      <c r="I38" s="14">
        <v>89.335099999999997</v>
      </c>
      <c r="J38" s="15">
        <v>216</v>
      </c>
      <c r="K38" s="14">
        <v>65.5595</v>
      </c>
      <c r="L38" s="14">
        <f t="shared" si="0"/>
        <v>26.775800000000004</v>
      </c>
    </row>
    <row r="39" spans="1:25" ht="12.3" x14ac:dyDescent="0.4">
      <c r="A39" t="s">
        <v>65</v>
      </c>
      <c r="B39" s="15">
        <v>2006.5</v>
      </c>
      <c r="C39">
        <v>2</v>
      </c>
      <c r="D39" s="15">
        <v>8.5</v>
      </c>
      <c r="E39" s="13">
        <v>0.91576600000000008</v>
      </c>
      <c r="F39" s="15">
        <v>23.5</v>
      </c>
      <c r="G39" s="14">
        <v>112.687</v>
      </c>
      <c r="H39" s="15">
        <v>11.5</v>
      </c>
      <c r="I39" s="14">
        <v>91.571600000000004</v>
      </c>
      <c r="J39" s="15">
        <v>283</v>
      </c>
      <c r="K39" s="14">
        <v>63.592250000000007</v>
      </c>
      <c r="L39" s="14">
        <f t="shared" si="0"/>
        <v>21.115399999999994</v>
      </c>
    </row>
    <row r="40" spans="1:25" ht="12.3" x14ac:dyDescent="0.4">
      <c r="A40" t="s">
        <v>137</v>
      </c>
      <c r="B40" s="15">
        <v>2011</v>
      </c>
      <c r="C40">
        <v>11</v>
      </c>
      <c r="D40" s="15">
        <v>78</v>
      </c>
      <c r="E40" s="13">
        <v>0.70762899999999995</v>
      </c>
      <c r="F40" s="15">
        <v>53</v>
      </c>
      <c r="G40" s="14">
        <v>109.1301</v>
      </c>
      <c r="H40" s="15">
        <v>145</v>
      </c>
      <c r="I40" s="14">
        <v>101.0565</v>
      </c>
      <c r="J40" s="15">
        <v>177</v>
      </c>
      <c r="K40" s="14">
        <v>66.498699999999999</v>
      </c>
      <c r="L40" s="17">
        <f t="shared" si="0"/>
        <v>8.073599999999999</v>
      </c>
    </row>
    <row r="41" spans="1:25" ht="12.3" x14ac:dyDescent="0.4">
      <c r="A41" t="s">
        <v>78</v>
      </c>
      <c r="B41" s="15">
        <v>2009</v>
      </c>
      <c r="C41">
        <v>3</v>
      </c>
      <c r="D41" s="15">
        <v>18</v>
      </c>
      <c r="E41" s="13">
        <v>0.902702</v>
      </c>
      <c r="F41" s="15">
        <v>30</v>
      </c>
      <c r="G41" s="14">
        <v>111.9937</v>
      </c>
      <c r="H41" s="15">
        <v>17</v>
      </c>
      <c r="I41" s="14">
        <v>92.271699999999996</v>
      </c>
      <c r="J41" s="15">
        <v>86</v>
      </c>
      <c r="K41" s="14">
        <v>68.4696</v>
      </c>
      <c r="L41" s="14">
        <f t="shared" si="0"/>
        <v>19.722000000000008</v>
      </c>
    </row>
    <row r="42" spans="1:25" ht="12.3" x14ac:dyDescent="0.4">
      <c r="A42" t="s">
        <v>229</v>
      </c>
      <c r="B42" s="15">
        <v>2010</v>
      </c>
      <c r="C42">
        <v>2</v>
      </c>
      <c r="D42" s="15">
        <v>5</v>
      </c>
      <c r="E42" s="13">
        <v>0.92717499999999997</v>
      </c>
      <c r="F42" s="15">
        <v>9</v>
      </c>
      <c r="G42" s="14">
        <v>115.8246</v>
      </c>
      <c r="H42" s="15">
        <v>31</v>
      </c>
      <c r="I42" s="14">
        <v>92.837599999999995</v>
      </c>
      <c r="J42" s="15">
        <v>312</v>
      </c>
      <c r="K42" s="14">
        <v>63.412999999999997</v>
      </c>
      <c r="L42" s="14">
        <f t="shared" si="0"/>
        <v>22.987000000000009</v>
      </c>
    </row>
    <row r="43" spans="1:25" ht="12.3" x14ac:dyDescent="0.4">
      <c r="A43" t="s">
        <v>192</v>
      </c>
      <c r="B43" s="15">
        <v>2013</v>
      </c>
      <c r="C43">
        <v>9</v>
      </c>
      <c r="D43" s="15">
        <v>35</v>
      </c>
      <c r="E43" s="13">
        <v>0.83969400000000005</v>
      </c>
      <c r="F43" s="15">
        <v>59</v>
      </c>
      <c r="G43" s="14">
        <v>107.2784</v>
      </c>
      <c r="H43" s="15">
        <v>34</v>
      </c>
      <c r="I43" s="14">
        <v>92.891499999999994</v>
      </c>
      <c r="J43" s="15">
        <v>233</v>
      </c>
      <c r="K43" s="14">
        <v>64.558999999999997</v>
      </c>
      <c r="L43" s="14">
        <f t="shared" si="0"/>
        <v>14.386900000000011</v>
      </c>
    </row>
    <row r="44" spans="1:25" ht="12.3" x14ac:dyDescent="0.4">
      <c r="A44" t="s">
        <v>76</v>
      </c>
      <c r="B44" s="15">
        <v>2014</v>
      </c>
      <c r="C44">
        <v>2</v>
      </c>
      <c r="D44" s="15">
        <v>11</v>
      </c>
      <c r="E44" s="13">
        <v>0.90004099999999998</v>
      </c>
      <c r="F44" s="15">
        <v>5</v>
      </c>
      <c r="G44" s="14">
        <v>119.4575</v>
      </c>
      <c r="H44" s="15">
        <v>59</v>
      </c>
      <c r="I44" s="14">
        <v>98.677599999999998</v>
      </c>
      <c r="J44" s="15">
        <v>275</v>
      </c>
      <c r="K44" s="14">
        <v>64.356099999999998</v>
      </c>
      <c r="L44" s="14">
        <f t="shared" si="0"/>
        <v>20.779899999999998</v>
      </c>
    </row>
    <row r="45" spans="1:25" ht="12.3" x14ac:dyDescent="0.4">
      <c r="A45" s="18" t="s">
        <v>408</v>
      </c>
      <c r="B45" s="31"/>
      <c r="C45" s="31">
        <f t="shared" ref="C45:L45" si="1">MIN(C2:C44)</f>
        <v>1</v>
      </c>
      <c r="D45" s="31">
        <f t="shared" si="1"/>
        <v>1</v>
      </c>
      <c r="E45" s="32">
        <f t="shared" si="1"/>
        <v>0.70762899999999995</v>
      </c>
      <c r="F45" s="31">
        <f t="shared" si="1"/>
        <v>2</v>
      </c>
      <c r="G45" s="33">
        <f t="shared" si="1"/>
        <v>106.43989999999999</v>
      </c>
      <c r="H45" s="31">
        <f t="shared" si="1"/>
        <v>1</v>
      </c>
      <c r="I45" s="33">
        <f t="shared" si="1"/>
        <v>83.799400000000006</v>
      </c>
      <c r="J45" s="31">
        <f t="shared" si="1"/>
        <v>6.333333333333333</v>
      </c>
      <c r="K45" s="33">
        <f t="shared" si="1"/>
        <v>60.222299999999997</v>
      </c>
      <c r="L45" s="33">
        <f t="shared" si="1"/>
        <v>8.073599999999999</v>
      </c>
    </row>
    <row r="46" spans="1:25" ht="12.3" x14ac:dyDescent="0.4">
      <c r="A46" s="2" t="s">
        <v>409</v>
      </c>
      <c r="B46" s="15"/>
      <c r="C46" s="15">
        <f t="shared" ref="C46:L46" si="2">MAX(C2:C44)</f>
        <v>11</v>
      </c>
      <c r="D46" s="15">
        <f t="shared" si="2"/>
        <v>78</v>
      </c>
      <c r="E46" s="13">
        <f t="shared" si="2"/>
        <v>0.97141699999999997</v>
      </c>
      <c r="F46" s="15">
        <f t="shared" si="2"/>
        <v>80</v>
      </c>
      <c r="G46" s="14">
        <f t="shared" si="2"/>
        <v>120.2137</v>
      </c>
      <c r="H46" s="15">
        <f t="shared" si="2"/>
        <v>145</v>
      </c>
      <c r="I46" s="14">
        <f t="shared" si="2"/>
        <v>101.0565</v>
      </c>
      <c r="J46" s="15">
        <f t="shared" si="2"/>
        <v>327</v>
      </c>
      <c r="K46" s="14">
        <f t="shared" si="2"/>
        <v>75.418000000000006</v>
      </c>
      <c r="L46" s="14">
        <f t="shared" si="2"/>
        <v>31.743400000000008</v>
      </c>
    </row>
    <row r="47" spans="1:25" ht="12.3" x14ac:dyDescent="0.4">
      <c r="A47" s="1" t="s">
        <v>410</v>
      </c>
      <c r="B47" s="23"/>
      <c r="C47" s="17">
        <f t="shared" ref="C47:L47" si="3">AVERAGE(C2:C44)</f>
        <v>3.2558139534883721</v>
      </c>
      <c r="D47" s="23">
        <f t="shared" si="3"/>
        <v>11.748062015503876</v>
      </c>
      <c r="E47" s="34">
        <f t="shared" si="3"/>
        <v>0.91276433720930195</v>
      </c>
      <c r="F47" s="23">
        <f t="shared" si="3"/>
        <v>22.15891472868217</v>
      </c>
      <c r="G47" s="17">
        <f t="shared" si="3"/>
        <v>113.8909480620155</v>
      </c>
      <c r="H47" s="23">
        <f t="shared" si="3"/>
        <v>24.569767441860463</v>
      </c>
      <c r="I47" s="17">
        <f t="shared" si="3"/>
        <v>91.928916279069753</v>
      </c>
      <c r="J47" s="23">
        <f t="shared" si="3"/>
        <v>167.55426356589146</v>
      </c>
      <c r="K47" s="17">
        <f t="shared" si="3"/>
        <v>67.327000387596911</v>
      </c>
      <c r="L47" s="17">
        <f t="shared" si="3"/>
        <v>21.962031782945733</v>
      </c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</row>
    <row r="48" spans="1:25" ht="12.3" x14ac:dyDescent="0.4">
      <c r="A48" s="2" t="s">
        <v>411</v>
      </c>
      <c r="B48" s="15"/>
      <c r="C48" s="15">
        <f t="shared" ref="C48:L48" si="4">MEDIAN(C2:C44)</f>
        <v>2</v>
      </c>
      <c r="D48" s="15">
        <f t="shared" si="4"/>
        <v>8</v>
      </c>
      <c r="E48" s="13">
        <f t="shared" si="4"/>
        <v>0.91981000000000002</v>
      </c>
      <c r="F48" s="15">
        <f t="shared" si="4"/>
        <v>16</v>
      </c>
      <c r="G48" s="14">
        <f t="shared" si="4"/>
        <v>113.7938</v>
      </c>
      <c r="H48" s="15">
        <f t="shared" si="4"/>
        <v>12</v>
      </c>
      <c r="I48" s="14">
        <f t="shared" si="4"/>
        <v>91.572000000000003</v>
      </c>
      <c r="J48" s="15">
        <f t="shared" si="4"/>
        <v>190</v>
      </c>
      <c r="K48" s="14">
        <f t="shared" si="4"/>
        <v>67.094650000000001</v>
      </c>
      <c r="L48" s="14">
        <f t="shared" si="4"/>
        <v>21.826000000000008</v>
      </c>
    </row>
    <row r="49" spans="2:11" ht="12.3" x14ac:dyDescent="0.4">
      <c r="B49" s="15"/>
      <c r="D49" s="15"/>
      <c r="E49" s="13"/>
      <c r="F49" s="15"/>
      <c r="G49" s="14"/>
      <c r="H49" s="15"/>
      <c r="I49" s="14"/>
      <c r="J49" s="15"/>
      <c r="K49" s="14"/>
    </row>
    <row r="50" spans="2:11" ht="12.3" x14ac:dyDescent="0.4">
      <c r="B50" s="15"/>
      <c r="D50" s="15"/>
      <c r="E50" s="13"/>
      <c r="F50" s="15"/>
      <c r="G50" s="14"/>
      <c r="H50" s="15"/>
      <c r="I50" s="14"/>
      <c r="J50" s="15"/>
      <c r="K50" s="14"/>
    </row>
    <row r="51" spans="2:11" ht="12.3" x14ac:dyDescent="0.4">
      <c r="B51" s="15"/>
      <c r="D51" s="15"/>
      <c r="E51" s="13"/>
      <c r="F51" s="15"/>
      <c r="G51" s="14"/>
      <c r="H51" s="15"/>
      <c r="I51" s="14"/>
      <c r="J51" s="15"/>
      <c r="K51" s="14"/>
    </row>
    <row r="52" spans="2:11" ht="12.3" x14ac:dyDescent="0.4">
      <c r="B52" s="15"/>
      <c r="D52" s="15"/>
      <c r="E52" s="13"/>
      <c r="F52" s="15"/>
      <c r="G52" s="14"/>
      <c r="H52" s="15"/>
      <c r="I52" s="14"/>
      <c r="J52" s="15"/>
      <c r="K52" s="14"/>
    </row>
    <row r="53" spans="2:11" ht="12.3" x14ac:dyDescent="0.4">
      <c r="B53" s="15"/>
      <c r="D53" s="15"/>
      <c r="E53" s="13"/>
      <c r="F53" s="15"/>
      <c r="G53" s="14"/>
      <c r="H53" s="15"/>
      <c r="I53" s="14"/>
      <c r="J53" s="15"/>
      <c r="K53" s="14"/>
    </row>
    <row r="54" spans="2:11" ht="12.3" x14ac:dyDescent="0.4">
      <c r="B54" s="15"/>
      <c r="D54" s="15"/>
      <c r="E54" s="13"/>
      <c r="F54" s="15"/>
      <c r="G54" s="14"/>
      <c r="H54" s="15"/>
      <c r="I54" s="14"/>
      <c r="J54" s="15"/>
      <c r="K54" s="14"/>
    </row>
    <row r="55" spans="2:11" ht="12.3" x14ac:dyDescent="0.4">
      <c r="B55" s="15"/>
      <c r="D55" s="15"/>
      <c r="E55" s="13"/>
      <c r="F55" s="15"/>
      <c r="G55" s="14"/>
      <c r="H55" s="15"/>
      <c r="I55" s="14"/>
      <c r="J55" s="15"/>
      <c r="K55" s="14"/>
    </row>
    <row r="56" spans="2:11" ht="12.3" x14ac:dyDescent="0.4">
      <c r="B56" s="15"/>
      <c r="D56" s="15"/>
      <c r="E56" s="13"/>
      <c r="F56" s="15"/>
      <c r="G56" s="14"/>
      <c r="H56" s="15"/>
      <c r="I56" s="14"/>
      <c r="J56" s="15"/>
      <c r="K56" s="14"/>
    </row>
    <row r="57" spans="2:11" ht="12.3" x14ac:dyDescent="0.4">
      <c r="B57" s="15"/>
      <c r="D57" s="15"/>
      <c r="E57" s="13"/>
      <c r="F57" s="15"/>
      <c r="G57" s="14"/>
      <c r="H57" s="15"/>
      <c r="I57" s="14"/>
      <c r="J57" s="15"/>
      <c r="K57" s="14"/>
    </row>
    <row r="58" spans="2:11" ht="12.3" x14ac:dyDescent="0.4">
      <c r="B58" s="15"/>
      <c r="D58" s="15"/>
      <c r="E58" s="13"/>
      <c r="F58" s="15"/>
      <c r="G58" s="14"/>
      <c r="H58" s="15"/>
      <c r="I58" s="14"/>
      <c r="J58" s="15"/>
      <c r="K58" s="14"/>
    </row>
    <row r="59" spans="2:11" ht="12.3" x14ac:dyDescent="0.4">
      <c r="B59" s="15"/>
      <c r="D59" s="15"/>
      <c r="E59" s="13"/>
      <c r="F59" s="15"/>
      <c r="G59" s="14"/>
      <c r="H59" s="15"/>
      <c r="I59" s="14"/>
      <c r="J59" s="15"/>
      <c r="K59" s="14"/>
    </row>
    <row r="60" spans="2:11" ht="12.3" x14ac:dyDescent="0.4">
      <c r="B60" s="15"/>
      <c r="D60" s="15"/>
      <c r="E60" s="13"/>
      <c r="F60" s="15"/>
      <c r="G60" s="14"/>
      <c r="H60" s="15"/>
      <c r="I60" s="14"/>
      <c r="J60" s="15"/>
      <c r="K60" s="14"/>
    </row>
    <row r="61" spans="2:11" ht="12.3" x14ac:dyDescent="0.4">
      <c r="B61" s="15"/>
      <c r="D61" s="15"/>
      <c r="E61" s="13"/>
      <c r="F61" s="15"/>
      <c r="G61" s="14"/>
      <c r="H61" s="15"/>
      <c r="I61" s="14"/>
      <c r="J61" s="15"/>
      <c r="K61" s="14"/>
    </row>
    <row r="62" spans="2:11" ht="12.3" x14ac:dyDescent="0.4">
      <c r="B62" s="15"/>
      <c r="D62" s="15"/>
      <c r="E62" s="13"/>
      <c r="F62" s="15"/>
      <c r="G62" s="14"/>
      <c r="H62" s="15"/>
      <c r="I62" s="14"/>
      <c r="J62" s="15"/>
      <c r="K62" s="14"/>
    </row>
    <row r="63" spans="2:11" ht="12.3" x14ac:dyDescent="0.4">
      <c r="B63" s="15"/>
      <c r="D63" s="15"/>
      <c r="E63" s="13"/>
      <c r="F63" s="15"/>
      <c r="G63" s="14"/>
      <c r="H63" s="15"/>
      <c r="I63" s="14"/>
      <c r="J63" s="15"/>
      <c r="K63" s="14"/>
    </row>
    <row r="64" spans="2:11" ht="12.3" x14ac:dyDescent="0.4">
      <c r="B64" s="15"/>
      <c r="D64" s="15"/>
      <c r="E64" s="13"/>
      <c r="F64" s="15"/>
      <c r="G64" s="14"/>
      <c r="H64" s="15"/>
      <c r="I64" s="14"/>
      <c r="J64" s="15"/>
      <c r="K64" s="14"/>
    </row>
    <row r="65" spans="2:11" ht="12.3" x14ac:dyDescent="0.4">
      <c r="B65" s="15"/>
      <c r="D65" s="15"/>
      <c r="E65" s="13"/>
      <c r="F65" s="15"/>
      <c r="G65" s="14"/>
      <c r="H65" s="15"/>
      <c r="I65" s="14"/>
      <c r="J65" s="15"/>
      <c r="K65" s="14"/>
    </row>
    <row r="66" spans="2:11" ht="12.3" x14ac:dyDescent="0.4">
      <c r="B66" s="15"/>
      <c r="D66" s="15"/>
      <c r="E66" s="13"/>
      <c r="F66" s="15"/>
      <c r="G66" s="14"/>
      <c r="H66" s="15"/>
      <c r="I66" s="14"/>
      <c r="J66" s="15"/>
      <c r="K66" s="14"/>
    </row>
    <row r="67" spans="2:11" ht="12.3" x14ac:dyDescent="0.4">
      <c r="B67" s="15"/>
      <c r="D67" s="15"/>
      <c r="E67" s="13"/>
      <c r="F67" s="15"/>
      <c r="G67" s="14"/>
      <c r="H67" s="15"/>
      <c r="I67" s="14"/>
      <c r="J67" s="15"/>
      <c r="K67" s="14"/>
    </row>
    <row r="68" spans="2:11" ht="12.3" x14ac:dyDescent="0.4">
      <c r="B68" s="15"/>
      <c r="D68" s="15"/>
      <c r="E68" s="13"/>
      <c r="F68" s="15"/>
      <c r="G68" s="14"/>
      <c r="H68" s="15"/>
      <c r="I68" s="14"/>
      <c r="J68" s="15"/>
      <c r="K68" s="14"/>
    </row>
    <row r="69" spans="2:11" ht="12.3" x14ac:dyDescent="0.4">
      <c r="B69" s="15"/>
      <c r="D69" s="15"/>
      <c r="E69" s="13"/>
      <c r="F69" s="15"/>
      <c r="G69" s="14"/>
      <c r="H69" s="15"/>
      <c r="I69" s="14"/>
      <c r="J69" s="15"/>
      <c r="K69" s="14"/>
    </row>
    <row r="70" spans="2:11" ht="12.3" x14ac:dyDescent="0.4">
      <c r="B70" s="15"/>
      <c r="D70" s="15"/>
      <c r="E70" s="13"/>
      <c r="F70" s="15"/>
      <c r="G70" s="14"/>
      <c r="H70" s="15"/>
      <c r="I70" s="14"/>
      <c r="J70" s="15"/>
      <c r="K70" s="14"/>
    </row>
    <row r="71" spans="2:11" ht="12.3" x14ac:dyDescent="0.4">
      <c r="B71" s="15"/>
      <c r="D71" s="15"/>
      <c r="E71" s="13"/>
      <c r="F71" s="15"/>
      <c r="G71" s="14"/>
      <c r="H71" s="15"/>
      <c r="I71" s="14"/>
      <c r="J71" s="15"/>
      <c r="K71" s="14"/>
    </row>
    <row r="72" spans="2:11" ht="12.3" x14ac:dyDescent="0.4">
      <c r="B72" s="15"/>
      <c r="D72" s="15"/>
      <c r="E72" s="13"/>
      <c r="F72" s="15"/>
      <c r="G72" s="14"/>
      <c r="H72" s="15"/>
      <c r="I72" s="14"/>
      <c r="J72" s="15"/>
      <c r="K72" s="14"/>
    </row>
    <row r="73" spans="2:11" ht="12.3" x14ac:dyDescent="0.4">
      <c r="B73" s="15"/>
      <c r="D73" s="15"/>
      <c r="E73" s="13"/>
      <c r="F73" s="15"/>
      <c r="G73" s="14"/>
      <c r="H73" s="15"/>
      <c r="I73" s="14"/>
      <c r="J73" s="15"/>
      <c r="K73" s="14"/>
    </row>
    <row r="74" spans="2:11" ht="12.3" x14ac:dyDescent="0.4">
      <c r="B74" s="15"/>
      <c r="D74" s="15"/>
      <c r="E74" s="13"/>
      <c r="F74" s="15"/>
      <c r="G74" s="14"/>
      <c r="H74" s="15"/>
      <c r="I74" s="14"/>
      <c r="J74" s="15"/>
      <c r="K74" s="14"/>
    </row>
    <row r="75" spans="2:11" ht="12.3" x14ac:dyDescent="0.4">
      <c r="B75" s="15"/>
      <c r="D75" s="15"/>
      <c r="E75" s="13"/>
      <c r="F75" s="15"/>
      <c r="G75" s="14"/>
      <c r="H75" s="15"/>
      <c r="I75" s="14"/>
      <c r="J75" s="15"/>
      <c r="K75" s="14"/>
    </row>
    <row r="76" spans="2:11" ht="12.3" x14ac:dyDescent="0.4">
      <c r="B76" s="15"/>
      <c r="D76" s="15"/>
      <c r="E76" s="13"/>
      <c r="F76" s="15"/>
      <c r="G76" s="14"/>
      <c r="H76" s="15"/>
      <c r="I76" s="14"/>
      <c r="J76" s="15"/>
      <c r="K76" s="14"/>
    </row>
    <row r="77" spans="2:11" ht="12.3" x14ac:dyDescent="0.4">
      <c r="B77" s="15"/>
      <c r="D77" s="15"/>
      <c r="E77" s="13"/>
      <c r="F77" s="15"/>
      <c r="G77" s="14"/>
      <c r="H77" s="15"/>
      <c r="I77" s="14"/>
      <c r="J77" s="15"/>
      <c r="K77" s="14"/>
    </row>
    <row r="78" spans="2:11" ht="12.3" x14ac:dyDescent="0.4">
      <c r="B78" s="15"/>
      <c r="D78" s="15"/>
      <c r="E78" s="13"/>
      <c r="F78" s="15"/>
      <c r="G78" s="14"/>
      <c r="H78" s="15"/>
      <c r="I78" s="14"/>
      <c r="J78" s="15"/>
      <c r="K78" s="14"/>
    </row>
    <row r="79" spans="2:11" ht="12.3" x14ac:dyDescent="0.4">
      <c r="B79" s="15"/>
      <c r="D79" s="15"/>
      <c r="E79" s="13"/>
      <c r="F79" s="15"/>
      <c r="G79" s="14"/>
      <c r="H79" s="15"/>
      <c r="I79" s="14"/>
      <c r="J79" s="15"/>
      <c r="K79" s="14"/>
    </row>
    <row r="80" spans="2:11" ht="12.3" x14ac:dyDescent="0.4">
      <c r="B80" s="15"/>
      <c r="D80" s="15"/>
      <c r="E80" s="13"/>
      <c r="F80" s="15"/>
      <c r="G80" s="14"/>
      <c r="H80" s="15"/>
      <c r="I80" s="14"/>
      <c r="J80" s="15"/>
      <c r="K80" s="14"/>
    </row>
    <row r="81" spans="2:11" ht="12.3" x14ac:dyDescent="0.4">
      <c r="B81" s="15"/>
      <c r="D81" s="15"/>
      <c r="E81" s="13"/>
      <c r="F81" s="15"/>
      <c r="G81" s="14"/>
      <c r="H81" s="15"/>
      <c r="I81" s="14"/>
      <c r="J81" s="15"/>
      <c r="K81" s="14"/>
    </row>
    <row r="82" spans="2:11" ht="12.3" x14ac:dyDescent="0.4">
      <c r="B82" s="15"/>
      <c r="D82" s="15"/>
      <c r="E82" s="13"/>
      <c r="F82" s="15"/>
      <c r="G82" s="14"/>
      <c r="H82" s="15"/>
      <c r="I82" s="14"/>
      <c r="J82" s="15"/>
      <c r="K82" s="14"/>
    </row>
    <row r="83" spans="2:11" ht="12.3" x14ac:dyDescent="0.4">
      <c r="B83" s="15"/>
      <c r="D83" s="15"/>
      <c r="E83" s="13"/>
      <c r="F83" s="15"/>
      <c r="G83" s="14"/>
      <c r="H83" s="15"/>
      <c r="I83" s="14"/>
      <c r="J83" s="15"/>
      <c r="K83" s="14"/>
    </row>
    <row r="84" spans="2:11" ht="12.3" x14ac:dyDescent="0.4">
      <c r="B84" s="15"/>
      <c r="D84" s="15"/>
      <c r="E84" s="13"/>
      <c r="F84" s="15"/>
      <c r="G84" s="14"/>
      <c r="H84" s="15"/>
      <c r="I84" s="14"/>
      <c r="J84" s="15"/>
      <c r="K84" s="14"/>
    </row>
    <row r="85" spans="2:11" ht="12.3" x14ac:dyDescent="0.4">
      <c r="B85" s="15"/>
      <c r="D85" s="15"/>
      <c r="E85" s="13"/>
      <c r="F85" s="15"/>
      <c r="G85" s="14"/>
      <c r="H85" s="15"/>
      <c r="I85" s="14"/>
      <c r="J85" s="15"/>
      <c r="K85" s="14"/>
    </row>
    <row r="86" spans="2:11" ht="12.3" x14ac:dyDescent="0.4">
      <c r="B86" s="15"/>
      <c r="D86" s="15"/>
      <c r="E86" s="13"/>
      <c r="F86" s="15"/>
      <c r="G86" s="14"/>
      <c r="H86" s="15"/>
      <c r="I86" s="14"/>
      <c r="J86" s="15"/>
      <c r="K86" s="14"/>
    </row>
    <row r="87" spans="2:11" ht="12.3" x14ac:dyDescent="0.4">
      <c r="B87" s="15"/>
      <c r="D87" s="15"/>
      <c r="E87" s="13"/>
      <c r="F87" s="15"/>
      <c r="G87" s="14"/>
      <c r="H87" s="15"/>
      <c r="I87" s="14"/>
      <c r="J87" s="15"/>
      <c r="K87" s="14"/>
    </row>
    <row r="88" spans="2:11" ht="12.3" x14ac:dyDescent="0.4">
      <c r="B88" s="15"/>
      <c r="D88" s="15"/>
      <c r="E88" s="13"/>
      <c r="F88" s="15"/>
      <c r="G88" s="14"/>
      <c r="H88" s="15"/>
      <c r="I88" s="14"/>
      <c r="J88" s="15"/>
      <c r="K88" s="14"/>
    </row>
    <row r="89" spans="2:11" ht="12.3" x14ac:dyDescent="0.4">
      <c r="B89" s="15"/>
      <c r="D89" s="15"/>
      <c r="E89" s="13"/>
      <c r="F89" s="15"/>
      <c r="G89" s="14"/>
      <c r="H89" s="15"/>
      <c r="I89" s="14"/>
      <c r="J89" s="15"/>
      <c r="K89" s="14"/>
    </row>
    <row r="90" spans="2:11" ht="12.3" x14ac:dyDescent="0.4">
      <c r="B90" s="15"/>
      <c r="D90" s="15"/>
      <c r="E90" s="13"/>
      <c r="F90" s="15"/>
      <c r="G90" s="14"/>
      <c r="H90" s="15"/>
      <c r="I90" s="14"/>
      <c r="J90" s="15"/>
      <c r="K90" s="14"/>
    </row>
    <row r="91" spans="2:11" ht="12.3" x14ac:dyDescent="0.4">
      <c r="B91" s="15"/>
      <c r="D91" s="15"/>
      <c r="E91" s="13"/>
      <c r="F91" s="15"/>
      <c r="G91" s="14"/>
      <c r="H91" s="15"/>
      <c r="I91" s="14"/>
      <c r="J91" s="15"/>
      <c r="K91" s="14"/>
    </row>
    <row r="92" spans="2:11" ht="12.3" x14ac:dyDescent="0.4">
      <c r="B92" s="15"/>
      <c r="D92" s="15"/>
      <c r="E92" s="13"/>
      <c r="F92" s="15"/>
      <c r="G92" s="14"/>
      <c r="H92" s="15"/>
      <c r="I92" s="14"/>
      <c r="J92" s="15"/>
      <c r="K92" s="14"/>
    </row>
    <row r="93" spans="2:11" ht="12.3" x14ac:dyDescent="0.4">
      <c r="B93" s="15"/>
      <c r="D93" s="15"/>
      <c r="E93" s="13"/>
      <c r="F93" s="15"/>
      <c r="G93" s="14"/>
      <c r="H93" s="15"/>
      <c r="I93" s="14"/>
      <c r="J93" s="15"/>
      <c r="K93" s="14"/>
    </row>
    <row r="94" spans="2:11" ht="12.3" x14ac:dyDescent="0.4">
      <c r="B94" s="15"/>
      <c r="D94" s="15"/>
      <c r="E94" s="13"/>
      <c r="F94" s="15"/>
      <c r="G94" s="14"/>
      <c r="H94" s="15"/>
      <c r="I94" s="14"/>
      <c r="J94" s="15"/>
      <c r="K94" s="14"/>
    </row>
    <row r="95" spans="2:11" ht="12.3" x14ac:dyDescent="0.4">
      <c r="B95" s="15"/>
      <c r="D95" s="15"/>
      <c r="E95" s="13"/>
      <c r="F95" s="15"/>
      <c r="G95" s="14"/>
      <c r="H95" s="15"/>
      <c r="I95" s="14"/>
      <c r="J95" s="15"/>
      <c r="K95" s="14"/>
    </row>
    <row r="96" spans="2:11" ht="12.3" x14ac:dyDescent="0.4">
      <c r="B96" s="15"/>
      <c r="D96" s="15"/>
      <c r="E96" s="13"/>
      <c r="F96" s="15"/>
      <c r="G96" s="14"/>
      <c r="H96" s="15"/>
      <c r="I96" s="14"/>
      <c r="J96" s="15"/>
      <c r="K96" s="14"/>
    </row>
    <row r="97" spans="2:11" ht="12.3" x14ac:dyDescent="0.4">
      <c r="B97" s="15"/>
      <c r="D97" s="15"/>
      <c r="E97" s="13"/>
      <c r="F97" s="15"/>
      <c r="G97" s="14"/>
      <c r="H97" s="15"/>
      <c r="I97" s="14"/>
      <c r="J97" s="15"/>
      <c r="K97" s="14"/>
    </row>
    <row r="98" spans="2:11" ht="12.3" x14ac:dyDescent="0.4">
      <c r="B98" s="15"/>
      <c r="D98" s="15"/>
      <c r="E98" s="13"/>
      <c r="F98" s="15"/>
      <c r="G98" s="14"/>
      <c r="H98" s="15"/>
      <c r="I98" s="14"/>
      <c r="J98" s="15"/>
      <c r="K98" s="14"/>
    </row>
    <row r="99" spans="2:11" ht="12.3" x14ac:dyDescent="0.4">
      <c r="B99" s="15"/>
      <c r="D99" s="15"/>
      <c r="E99" s="13"/>
      <c r="F99" s="15"/>
      <c r="G99" s="14"/>
      <c r="H99" s="15"/>
      <c r="I99" s="14"/>
      <c r="J99" s="15"/>
      <c r="K99" s="14"/>
    </row>
    <row r="100" spans="2:11" ht="12.3" x14ac:dyDescent="0.4">
      <c r="B100" s="15"/>
      <c r="D100" s="15"/>
      <c r="E100" s="13"/>
      <c r="F100" s="15"/>
      <c r="G100" s="14"/>
      <c r="H100" s="15"/>
      <c r="I100" s="14"/>
      <c r="J100" s="15"/>
      <c r="K100" s="14"/>
    </row>
    <row r="101" spans="2:11" ht="12.3" x14ac:dyDescent="0.4">
      <c r="B101" s="15"/>
      <c r="D101" s="15"/>
      <c r="E101" s="13"/>
      <c r="F101" s="15"/>
      <c r="G101" s="14"/>
      <c r="H101" s="15"/>
      <c r="I101" s="14"/>
      <c r="J101" s="15"/>
      <c r="K101" s="14"/>
    </row>
    <row r="102" spans="2:11" ht="12.3" x14ac:dyDescent="0.4">
      <c r="B102" s="15"/>
      <c r="D102" s="15"/>
      <c r="E102" s="13"/>
      <c r="F102" s="15"/>
      <c r="G102" s="14"/>
      <c r="H102" s="15"/>
      <c r="I102" s="14"/>
      <c r="J102" s="15"/>
      <c r="K102" s="14"/>
    </row>
    <row r="103" spans="2:11" ht="12.3" x14ac:dyDescent="0.4">
      <c r="B103" s="15"/>
      <c r="D103" s="15"/>
      <c r="E103" s="13"/>
      <c r="F103" s="15"/>
      <c r="G103" s="14"/>
      <c r="H103" s="15"/>
      <c r="I103" s="14"/>
      <c r="J103" s="15"/>
      <c r="K103" s="14"/>
    </row>
    <row r="104" spans="2:11" ht="12.3" x14ac:dyDescent="0.4">
      <c r="B104" s="15"/>
      <c r="D104" s="15"/>
      <c r="E104" s="13"/>
      <c r="F104" s="15"/>
      <c r="G104" s="14"/>
      <c r="H104" s="15"/>
      <c r="I104" s="14"/>
      <c r="J104" s="15"/>
      <c r="K104" s="14"/>
    </row>
    <row r="105" spans="2:11" ht="12.3" x14ac:dyDescent="0.4">
      <c r="B105" s="15"/>
      <c r="D105" s="15"/>
      <c r="E105" s="13"/>
      <c r="F105" s="15"/>
      <c r="G105" s="14"/>
      <c r="H105" s="15"/>
      <c r="I105" s="14"/>
      <c r="J105" s="15"/>
      <c r="K105" s="14"/>
    </row>
    <row r="106" spans="2:11" ht="12.3" x14ac:dyDescent="0.4">
      <c r="B106" s="15"/>
      <c r="D106" s="15"/>
      <c r="E106" s="13"/>
      <c r="F106" s="15"/>
      <c r="G106" s="14"/>
      <c r="H106" s="15"/>
      <c r="I106" s="14"/>
      <c r="J106" s="15"/>
      <c r="K106" s="14"/>
    </row>
    <row r="107" spans="2:11" ht="12.3" x14ac:dyDescent="0.4">
      <c r="B107" s="15"/>
      <c r="D107" s="15"/>
      <c r="E107" s="13"/>
      <c r="F107" s="15"/>
      <c r="G107" s="14"/>
      <c r="H107" s="15"/>
      <c r="I107" s="14"/>
      <c r="J107" s="15"/>
      <c r="K107" s="14"/>
    </row>
    <row r="108" spans="2:11" ht="12.3" x14ac:dyDescent="0.4">
      <c r="B108" s="15"/>
      <c r="D108" s="15"/>
      <c r="E108" s="13"/>
      <c r="F108" s="15"/>
      <c r="G108" s="14"/>
      <c r="H108" s="15"/>
      <c r="I108" s="14"/>
      <c r="J108" s="15"/>
      <c r="K108" s="14"/>
    </row>
    <row r="109" spans="2:11" ht="12.3" x14ac:dyDescent="0.4">
      <c r="B109" s="15"/>
      <c r="D109" s="15"/>
      <c r="E109" s="13"/>
      <c r="F109" s="15"/>
      <c r="G109" s="14"/>
      <c r="H109" s="15"/>
      <c r="I109" s="14"/>
      <c r="J109" s="15"/>
      <c r="K109" s="14"/>
    </row>
    <row r="110" spans="2:11" ht="12.3" x14ac:dyDescent="0.4">
      <c r="B110" s="15"/>
      <c r="D110" s="15"/>
      <c r="E110" s="13"/>
      <c r="F110" s="15"/>
      <c r="G110" s="14"/>
      <c r="H110" s="15"/>
      <c r="I110" s="14"/>
      <c r="J110" s="15"/>
      <c r="K110" s="14"/>
    </row>
    <row r="111" spans="2:11" ht="12.3" x14ac:dyDescent="0.4">
      <c r="B111" s="15"/>
      <c r="D111" s="15"/>
      <c r="E111" s="13"/>
      <c r="F111" s="15"/>
      <c r="G111" s="14"/>
      <c r="H111" s="15"/>
      <c r="I111" s="14"/>
      <c r="J111" s="15"/>
      <c r="K111" s="14"/>
    </row>
    <row r="112" spans="2:11" ht="12.3" x14ac:dyDescent="0.4">
      <c r="B112" s="15"/>
      <c r="D112" s="15"/>
      <c r="E112" s="13"/>
      <c r="F112" s="15"/>
      <c r="G112" s="14"/>
      <c r="H112" s="15"/>
      <c r="I112" s="14"/>
      <c r="J112" s="15"/>
      <c r="K112" s="14"/>
    </row>
    <row r="113" spans="2:11" ht="12.3" x14ac:dyDescent="0.4">
      <c r="B113" s="15"/>
      <c r="D113" s="15"/>
      <c r="E113" s="13"/>
      <c r="F113" s="15"/>
      <c r="G113" s="14"/>
      <c r="H113" s="15"/>
      <c r="I113" s="14"/>
      <c r="J113" s="15"/>
      <c r="K113" s="14"/>
    </row>
    <row r="114" spans="2:11" ht="12.3" x14ac:dyDescent="0.4">
      <c r="B114" s="15"/>
      <c r="D114" s="15"/>
      <c r="E114" s="13"/>
      <c r="F114" s="15"/>
      <c r="G114" s="14"/>
      <c r="H114" s="15"/>
      <c r="I114" s="14"/>
      <c r="J114" s="15"/>
      <c r="K114" s="14"/>
    </row>
    <row r="115" spans="2:11" ht="12.3" x14ac:dyDescent="0.4">
      <c r="B115" s="15"/>
      <c r="D115" s="15"/>
      <c r="E115" s="13"/>
      <c r="F115" s="15"/>
      <c r="G115" s="14"/>
      <c r="H115" s="15"/>
      <c r="I115" s="14"/>
      <c r="J115" s="15"/>
      <c r="K115" s="14"/>
    </row>
    <row r="116" spans="2:11" ht="12.3" x14ac:dyDescent="0.4">
      <c r="B116" s="15"/>
      <c r="D116" s="15"/>
      <c r="E116" s="13"/>
      <c r="F116" s="15"/>
      <c r="G116" s="14"/>
      <c r="H116" s="15"/>
      <c r="I116" s="14"/>
      <c r="J116" s="15"/>
      <c r="K116" s="14"/>
    </row>
    <row r="117" spans="2:11" ht="12.3" x14ac:dyDescent="0.4">
      <c r="B117" s="15"/>
      <c r="D117" s="15"/>
      <c r="E117" s="13"/>
      <c r="F117" s="15"/>
      <c r="G117" s="14"/>
      <c r="H117" s="15"/>
      <c r="I117" s="14"/>
      <c r="J117" s="15"/>
      <c r="K117" s="14"/>
    </row>
    <row r="118" spans="2:11" ht="12.3" x14ac:dyDescent="0.4">
      <c r="B118" s="15"/>
      <c r="D118" s="15"/>
      <c r="E118" s="13"/>
      <c r="F118" s="15"/>
      <c r="G118" s="14"/>
      <c r="H118" s="15"/>
      <c r="I118" s="14"/>
      <c r="J118" s="15"/>
      <c r="K118" s="14"/>
    </row>
    <row r="119" spans="2:11" ht="12.3" x14ac:dyDescent="0.4">
      <c r="B119" s="15"/>
      <c r="D119" s="15"/>
      <c r="E119" s="13"/>
      <c r="F119" s="15"/>
      <c r="G119" s="14"/>
      <c r="H119" s="15"/>
      <c r="I119" s="14"/>
      <c r="J119" s="15"/>
      <c r="K119" s="14"/>
    </row>
    <row r="120" spans="2:11" ht="12.3" x14ac:dyDescent="0.4">
      <c r="B120" s="15"/>
      <c r="D120" s="15"/>
      <c r="E120" s="13"/>
      <c r="F120" s="15"/>
      <c r="G120" s="14"/>
      <c r="H120" s="15"/>
      <c r="I120" s="14"/>
      <c r="J120" s="15"/>
      <c r="K120" s="14"/>
    </row>
    <row r="121" spans="2:11" ht="12.3" x14ac:dyDescent="0.4">
      <c r="B121" s="15"/>
      <c r="D121" s="15"/>
      <c r="E121" s="13"/>
      <c r="F121" s="15"/>
      <c r="G121" s="14"/>
      <c r="H121" s="15"/>
      <c r="I121" s="14"/>
      <c r="J121" s="15"/>
      <c r="K121" s="14"/>
    </row>
    <row r="122" spans="2:11" ht="12.3" x14ac:dyDescent="0.4">
      <c r="B122" s="15"/>
      <c r="D122" s="15"/>
      <c r="E122" s="13"/>
      <c r="F122" s="15"/>
      <c r="G122" s="14"/>
      <c r="H122" s="15"/>
      <c r="I122" s="14"/>
      <c r="J122" s="15"/>
      <c r="K122" s="14"/>
    </row>
    <row r="123" spans="2:11" ht="12.3" x14ac:dyDescent="0.4">
      <c r="B123" s="15"/>
      <c r="D123" s="15"/>
      <c r="E123" s="13"/>
      <c r="F123" s="15"/>
      <c r="G123" s="14"/>
      <c r="H123" s="15"/>
      <c r="I123" s="14"/>
      <c r="J123" s="15"/>
      <c r="K123" s="14"/>
    </row>
    <row r="124" spans="2:11" ht="12.3" x14ac:dyDescent="0.4">
      <c r="B124" s="15"/>
      <c r="D124" s="15"/>
      <c r="E124" s="13"/>
      <c r="F124" s="15"/>
      <c r="G124" s="14"/>
      <c r="H124" s="15"/>
      <c r="I124" s="14"/>
      <c r="J124" s="15"/>
      <c r="K124" s="14"/>
    </row>
    <row r="125" spans="2:11" ht="12.3" x14ac:dyDescent="0.4">
      <c r="B125" s="15"/>
      <c r="D125" s="15"/>
      <c r="E125" s="13"/>
      <c r="F125" s="15"/>
      <c r="G125" s="14"/>
      <c r="H125" s="15"/>
      <c r="I125" s="14"/>
      <c r="J125" s="15"/>
      <c r="K125" s="14"/>
    </row>
    <row r="126" spans="2:11" ht="12.3" x14ac:dyDescent="0.4">
      <c r="B126" s="15"/>
      <c r="D126" s="15"/>
      <c r="E126" s="13"/>
      <c r="F126" s="15"/>
      <c r="G126" s="14"/>
      <c r="H126" s="15"/>
      <c r="I126" s="14"/>
      <c r="J126" s="15"/>
      <c r="K126" s="14"/>
    </row>
    <row r="127" spans="2:11" ht="12.3" x14ac:dyDescent="0.4">
      <c r="B127" s="15"/>
      <c r="D127" s="15"/>
      <c r="E127" s="13"/>
      <c r="F127" s="15"/>
      <c r="G127" s="14"/>
      <c r="H127" s="15"/>
      <c r="I127" s="14"/>
      <c r="J127" s="15"/>
      <c r="K127" s="14"/>
    </row>
    <row r="128" spans="2:11" ht="12.3" x14ac:dyDescent="0.4">
      <c r="B128" s="15"/>
      <c r="D128" s="15"/>
      <c r="E128" s="13"/>
      <c r="F128" s="15"/>
      <c r="G128" s="14"/>
      <c r="H128" s="15"/>
      <c r="I128" s="14"/>
      <c r="J128" s="15"/>
      <c r="K128" s="14"/>
    </row>
    <row r="129" spans="2:11" ht="12.3" x14ac:dyDescent="0.4">
      <c r="B129" s="15"/>
      <c r="D129" s="15"/>
      <c r="E129" s="13"/>
      <c r="F129" s="15"/>
      <c r="G129" s="14"/>
      <c r="H129" s="15"/>
      <c r="I129" s="14"/>
      <c r="J129" s="15"/>
      <c r="K129" s="14"/>
    </row>
    <row r="130" spans="2:11" ht="12.3" x14ac:dyDescent="0.4">
      <c r="B130" s="15"/>
      <c r="D130" s="15"/>
      <c r="E130" s="13"/>
      <c r="F130" s="15"/>
      <c r="G130" s="14"/>
      <c r="H130" s="15"/>
      <c r="I130" s="14"/>
      <c r="J130" s="15"/>
      <c r="K130" s="14"/>
    </row>
    <row r="131" spans="2:11" ht="12.3" x14ac:dyDescent="0.4">
      <c r="B131" s="15"/>
      <c r="D131" s="15"/>
      <c r="E131" s="13"/>
      <c r="F131" s="15"/>
      <c r="G131" s="14"/>
      <c r="H131" s="15"/>
      <c r="I131" s="14"/>
      <c r="J131" s="15"/>
      <c r="K131" s="14"/>
    </row>
    <row r="132" spans="2:11" ht="12.3" x14ac:dyDescent="0.4">
      <c r="B132" s="15"/>
      <c r="D132" s="15"/>
      <c r="E132" s="13"/>
      <c r="F132" s="15"/>
      <c r="G132" s="14"/>
      <c r="H132" s="15"/>
      <c r="I132" s="14"/>
      <c r="J132" s="15"/>
      <c r="K132" s="14"/>
    </row>
    <row r="133" spans="2:11" ht="12.3" x14ac:dyDescent="0.4">
      <c r="B133" s="15"/>
      <c r="D133" s="15"/>
      <c r="E133" s="13"/>
      <c r="F133" s="15"/>
      <c r="G133" s="14"/>
      <c r="H133" s="15"/>
      <c r="I133" s="14"/>
      <c r="J133" s="15"/>
      <c r="K133" s="14"/>
    </row>
    <row r="134" spans="2:11" ht="12.3" x14ac:dyDescent="0.4">
      <c r="B134" s="15"/>
      <c r="D134" s="15"/>
      <c r="E134" s="13"/>
      <c r="F134" s="15"/>
      <c r="G134" s="14"/>
      <c r="H134" s="15"/>
      <c r="I134" s="14"/>
      <c r="J134" s="15"/>
      <c r="K134" s="14"/>
    </row>
    <row r="135" spans="2:11" ht="12.3" x14ac:dyDescent="0.4">
      <c r="B135" s="15"/>
      <c r="D135" s="15"/>
      <c r="E135" s="13"/>
      <c r="F135" s="15"/>
      <c r="G135" s="14"/>
      <c r="H135" s="15"/>
      <c r="I135" s="14"/>
      <c r="J135" s="15"/>
      <c r="K135" s="14"/>
    </row>
    <row r="136" spans="2:11" ht="12.3" x14ac:dyDescent="0.4">
      <c r="B136" s="15"/>
      <c r="D136" s="15"/>
      <c r="E136" s="13"/>
      <c r="F136" s="15"/>
      <c r="G136" s="14"/>
      <c r="H136" s="15"/>
      <c r="I136" s="14"/>
      <c r="J136" s="15"/>
      <c r="K136" s="14"/>
    </row>
    <row r="137" spans="2:11" ht="12.3" x14ac:dyDescent="0.4">
      <c r="B137" s="15"/>
      <c r="D137" s="15"/>
      <c r="E137" s="13"/>
      <c r="F137" s="15"/>
      <c r="G137" s="14"/>
      <c r="H137" s="15"/>
      <c r="I137" s="14"/>
      <c r="J137" s="15"/>
      <c r="K137" s="14"/>
    </row>
    <row r="138" spans="2:11" ht="12.3" x14ac:dyDescent="0.4">
      <c r="B138" s="15"/>
      <c r="D138" s="15"/>
      <c r="E138" s="13"/>
      <c r="F138" s="15"/>
      <c r="G138" s="14"/>
      <c r="H138" s="15"/>
      <c r="I138" s="14"/>
      <c r="J138" s="15"/>
      <c r="K138" s="14"/>
    </row>
    <row r="139" spans="2:11" ht="12.3" x14ac:dyDescent="0.4">
      <c r="B139" s="15"/>
      <c r="D139" s="15"/>
      <c r="E139" s="13"/>
      <c r="F139" s="15"/>
      <c r="G139" s="14"/>
      <c r="H139" s="15"/>
      <c r="I139" s="14"/>
      <c r="J139" s="15"/>
      <c r="K139" s="14"/>
    </row>
    <row r="140" spans="2:11" ht="12.3" x14ac:dyDescent="0.4">
      <c r="B140" s="15"/>
      <c r="D140" s="15"/>
      <c r="E140" s="13"/>
      <c r="F140" s="15"/>
      <c r="G140" s="14"/>
      <c r="H140" s="15"/>
      <c r="I140" s="14"/>
      <c r="J140" s="15"/>
      <c r="K140" s="14"/>
    </row>
    <row r="141" spans="2:11" ht="12.3" x14ac:dyDescent="0.4">
      <c r="B141" s="15"/>
      <c r="D141" s="15"/>
      <c r="E141" s="13"/>
      <c r="F141" s="15"/>
      <c r="G141" s="14"/>
      <c r="H141" s="15"/>
      <c r="I141" s="14"/>
      <c r="J141" s="15"/>
      <c r="K141" s="14"/>
    </row>
    <row r="142" spans="2:11" ht="12.3" x14ac:dyDescent="0.4">
      <c r="B142" s="15"/>
      <c r="D142" s="15"/>
      <c r="E142" s="13"/>
      <c r="F142" s="15"/>
      <c r="G142" s="14"/>
      <c r="H142" s="15"/>
      <c r="I142" s="14"/>
      <c r="J142" s="15"/>
      <c r="K142" s="14"/>
    </row>
    <row r="143" spans="2:11" ht="12.3" x14ac:dyDescent="0.4">
      <c r="B143" s="15"/>
      <c r="D143" s="15"/>
      <c r="E143" s="13"/>
      <c r="F143" s="15"/>
      <c r="G143" s="14"/>
      <c r="H143" s="15"/>
      <c r="I143" s="14"/>
      <c r="J143" s="15"/>
      <c r="K143" s="14"/>
    </row>
    <row r="144" spans="2:11" ht="12.3" x14ac:dyDescent="0.4">
      <c r="B144" s="15"/>
      <c r="D144" s="15"/>
      <c r="E144" s="13"/>
      <c r="F144" s="15"/>
      <c r="G144" s="14"/>
      <c r="H144" s="15"/>
      <c r="I144" s="14"/>
      <c r="J144" s="15"/>
      <c r="K144" s="14"/>
    </row>
    <row r="145" spans="2:11" ht="12.3" x14ac:dyDescent="0.4">
      <c r="B145" s="15"/>
      <c r="D145" s="15"/>
      <c r="E145" s="13"/>
      <c r="F145" s="15"/>
      <c r="G145" s="14"/>
      <c r="H145" s="15"/>
      <c r="I145" s="14"/>
      <c r="J145" s="15"/>
      <c r="K145" s="14"/>
    </row>
    <row r="146" spans="2:11" ht="12.3" x14ac:dyDescent="0.4">
      <c r="B146" s="15"/>
      <c r="D146" s="15"/>
      <c r="E146" s="13"/>
      <c r="F146" s="15"/>
      <c r="G146" s="14"/>
      <c r="H146" s="15"/>
      <c r="I146" s="14"/>
      <c r="J146" s="15"/>
      <c r="K146" s="14"/>
    </row>
    <row r="147" spans="2:11" ht="12.3" x14ac:dyDescent="0.4">
      <c r="B147" s="15"/>
      <c r="D147" s="15"/>
      <c r="E147" s="13"/>
      <c r="F147" s="15"/>
      <c r="G147" s="14"/>
      <c r="H147" s="15"/>
      <c r="I147" s="14"/>
      <c r="J147" s="15"/>
      <c r="K147" s="14"/>
    </row>
    <row r="148" spans="2:11" ht="12.3" x14ac:dyDescent="0.4">
      <c r="B148" s="15"/>
      <c r="D148" s="15"/>
      <c r="E148" s="13"/>
      <c r="F148" s="15"/>
      <c r="G148" s="14"/>
      <c r="H148" s="15"/>
      <c r="I148" s="14"/>
      <c r="J148" s="15"/>
      <c r="K148" s="14"/>
    </row>
    <row r="149" spans="2:11" ht="12.3" x14ac:dyDescent="0.4">
      <c r="B149" s="15"/>
      <c r="D149" s="15"/>
      <c r="E149" s="13"/>
      <c r="F149" s="15"/>
      <c r="G149" s="14"/>
      <c r="H149" s="15"/>
      <c r="I149" s="14"/>
      <c r="J149" s="15"/>
      <c r="K149" s="14"/>
    </row>
    <row r="150" spans="2:11" ht="12.3" x14ac:dyDescent="0.4">
      <c r="B150" s="15"/>
      <c r="D150" s="15"/>
      <c r="E150" s="13"/>
      <c r="F150" s="15"/>
      <c r="G150" s="14"/>
      <c r="H150" s="15"/>
      <c r="I150" s="14"/>
      <c r="J150" s="15"/>
      <c r="K150" s="14"/>
    </row>
    <row r="151" spans="2:11" ht="12.3" x14ac:dyDescent="0.4">
      <c r="B151" s="15"/>
      <c r="D151" s="15"/>
      <c r="E151" s="13"/>
      <c r="F151" s="15"/>
      <c r="G151" s="14"/>
      <c r="H151" s="15"/>
      <c r="I151" s="14"/>
      <c r="J151" s="15"/>
      <c r="K151" s="14"/>
    </row>
    <row r="152" spans="2:11" ht="12.3" x14ac:dyDescent="0.4">
      <c r="B152" s="15"/>
      <c r="D152" s="15"/>
      <c r="E152" s="13"/>
      <c r="F152" s="15"/>
      <c r="G152" s="14"/>
      <c r="H152" s="15"/>
      <c r="I152" s="14"/>
      <c r="J152" s="15"/>
      <c r="K152" s="14"/>
    </row>
    <row r="153" spans="2:11" ht="12.3" x14ac:dyDescent="0.4">
      <c r="B153" s="15"/>
      <c r="D153" s="15"/>
      <c r="E153" s="13"/>
      <c r="F153" s="15"/>
      <c r="G153" s="14"/>
      <c r="H153" s="15"/>
      <c r="I153" s="14"/>
      <c r="J153" s="15"/>
      <c r="K153" s="14"/>
    </row>
    <row r="154" spans="2:11" ht="12.3" x14ac:dyDescent="0.4">
      <c r="B154" s="15"/>
      <c r="D154" s="15"/>
      <c r="E154" s="13"/>
      <c r="F154" s="15"/>
      <c r="G154" s="14"/>
      <c r="H154" s="15"/>
      <c r="I154" s="14"/>
      <c r="J154" s="15"/>
      <c r="K154" s="14"/>
    </row>
    <row r="155" spans="2:11" ht="12.3" x14ac:dyDescent="0.4">
      <c r="B155" s="15"/>
      <c r="D155" s="15"/>
      <c r="E155" s="13"/>
      <c r="F155" s="15"/>
      <c r="G155" s="14"/>
      <c r="H155" s="15"/>
      <c r="I155" s="14"/>
      <c r="J155" s="15"/>
      <c r="K155" s="14"/>
    </row>
    <row r="156" spans="2:11" ht="12.3" x14ac:dyDescent="0.4">
      <c r="B156" s="15"/>
      <c r="D156" s="15"/>
      <c r="E156" s="13"/>
      <c r="F156" s="15"/>
      <c r="G156" s="14"/>
      <c r="H156" s="15"/>
      <c r="I156" s="14"/>
      <c r="J156" s="15"/>
      <c r="K156" s="14"/>
    </row>
    <row r="157" spans="2:11" ht="12.3" x14ac:dyDescent="0.4">
      <c r="B157" s="15"/>
      <c r="D157" s="15"/>
      <c r="E157" s="13"/>
      <c r="F157" s="15"/>
      <c r="G157" s="14"/>
      <c r="H157" s="15"/>
      <c r="I157" s="14"/>
      <c r="J157" s="15"/>
      <c r="K157" s="14"/>
    </row>
    <row r="158" spans="2:11" ht="12.3" x14ac:dyDescent="0.4">
      <c r="B158" s="15"/>
      <c r="D158" s="15"/>
      <c r="E158" s="13"/>
      <c r="F158" s="15"/>
      <c r="G158" s="14"/>
      <c r="H158" s="15"/>
      <c r="I158" s="14"/>
      <c r="J158" s="15"/>
      <c r="K158" s="14"/>
    </row>
    <row r="159" spans="2:11" ht="12.3" x14ac:dyDescent="0.4">
      <c r="B159" s="15"/>
      <c r="D159" s="15"/>
      <c r="E159" s="13"/>
      <c r="F159" s="15"/>
      <c r="G159" s="14"/>
      <c r="H159" s="15"/>
      <c r="I159" s="14"/>
      <c r="J159" s="15"/>
      <c r="K159" s="14"/>
    </row>
    <row r="160" spans="2:11" ht="12.3" x14ac:dyDescent="0.4">
      <c r="B160" s="15"/>
      <c r="D160" s="15"/>
      <c r="E160" s="13"/>
      <c r="F160" s="15"/>
      <c r="G160" s="14"/>
      <c r="H160" s="15"/>
      <c r="I160" s="14"/>
      <c r="J160" s="15"/>
      <c r="K160" s="14"/>
    </row>
    <row r="161" spans="2:11" ht="12.3" x14ac:dyDescent="0.4">
      <c r="B161" s="15"/>
      <c r="D161" s="15"/>
      <c r="E161" s="13"/>
      <c r="F161" s="15"/>
      <c r="G161" s="14"/>
      <c r="H161" s="15"/>
      <c r="I161" s="14"/>
      <c r="J161" s="15"/>
      <c r="K161" s="14"/>
    </row>
    <row r="162" spans="2:11" ht="12.3" x14ac:dyDescent="0.4">
      <c r="B162" s="15"/>
      <c r="D162" s="15"/>
      <c r="E162" s="13"/>
      <c r="F162" s="15"/>
      <c r="G162" s="14"/>
      <c r="H162" s="15"/>
      <c r="I162" s="14"/>
      <c r="J162" s="15"/>
      <c r="K162" s="14"/>
    </row>
    <row r="163" spans="2:11" ht="12.3" x14ac:dyDescent="0.4">
      <c r="B163" s="15"/>
      <c r="D163" s="15"/>
      <c r="E163" s="13"/>
      <c r="F163" s="15"/>
      <c r="G163" s="14"/>
      <c r="H163" s="15"/>
      <c r="I163" s="14"/>
      <c r="J163" s="15"/>
      <c r="K163" s="14"/>
    </row>
    <row r="164" spans="2:11" ht="12.3" x14ac:dyDescent="0.4">
      <c r="B164" s="15"/>
      <c r="D164" s="15"/>
      <c r="E164" s="13"/>
      <c r="F164" s="15"/>
      <c r="G164" s="14"/>
      <c r="H164" s="15"/>
      <c r="I164" s="14"/>
      <c r="J164" s="15"/>
      <c r="K164" s="14"/>
    </row>
    <row r="165" spans="2:11" ht="12.3" x14ac:dyDescent="0.4">
      <c r="B165" s="15"/>
      <c r="D165" s="15"/>
      <c r="E165" s="13"/>
      <c r="F165" s="15"/>
      <c r="G165" s="14"/>
      <c r="H165" s="15"/>
      <c r="I165" s="14"/>
      <c r="J165" s="15"/>
      <c r="K165" s="14"/>
    </row>
    <row r="166" spans="2:11" ht="12.3" x14ac:dyDescent="0.4">
      <c r="B166" s="15"/>
      <c r="D166" s="15"/>
      <c r="E166" s="13"/>
      <c r="F166" s="15"/>
      <c r="G166" s="14"/>
      <c r="H166" s="15"/>
      <c r="I166" s="14"/>
      <c r="J166" s="15"/>
      <c r="K166" s="14"/>
    </row>
    <row r="167" spans="2:11" ht="12.3" x14ac:dyDescent="0.4">
      <c r="B167" s="15"/>
      <c r="D167" s="15"/>
      <c r="E167" s="13"/>
      <c r="F167" s="15"/>
      <c r="G167" s="14"/>
      <c r="H167" s="15"/>
      <c r="I167" s="14"/>
      <c r="J167" s="15"/>
      <c r="K167" s="14"/>
    </row>
    <row r="168" spans="2:11" ht="12.3" x14ac:dyDescent="0.4">
      <c r="B168" s="15"/>
      <c r="D168" s="15"/>
      <c r="E168" s="13"/>
      <c r="F168" s="15"/>
      <c r="G168" s="14"/>
      <c r="H168" s="15"/>
      <c r="I168" s="14"/>
      <c r="J168" s="15"/>
      <c r="K168" s="14"/>
    </row>
    <row r="169" spans="2:11" ht="12.3" x14ac:dyDescent="0.4">
      <c r="B169" s="15"/>
      <c r="D169" s="15"/>
      <c r="E169" s="13"/>
      <c r="F169" s="15"/>
      <c r="G169" s="14"/>
      <c r="H169" s="15"/>
      <c r="I169" s="14"/>
      <c r="J169" s="15"/>
      <c r="K169" s="14"/>
    </row>
    <row r="170" spans="2:11" ht="12.3" x14ac:dyDescent="0.4">
      <c r="B170" s="15"/>
      <c r="D170" s="15"/>
      <c r="E170" s="13"/>
      <c r="F170" s="15"/>
      <c r="G170" s="14"/>
      <c r="H170" s="15"/>
      <c r="I170" s="14"/>
      <c r="J170" s="15"/>
      <c r="K170" s="14"/>
    </row>
    <row r="171" spans="2:11" ht="12.3" x14ac:dyDescent="0.4">
      <c r="B171" s="15"/>
      <c r="D171" s="15"/>
      <c r="E171" s="13"/>
      <c r="F171" s="15"/>
      <c r="G171" s="14"/>
      <c r="H171" s="15"/>
      <c r="I171" s="14"/>
      <c r="J171" s="15"/>
      <c r="K171" s="14"/>
    </row>
    <row r="172" spans="2:11" ht="12.3" x14ac:dyDescent="0.4">
      <c r="B172" s="15"/>
      <c r="D172" s="15"/>
      <c r="E172" s="13"/>
      <c r="F172" s="15"/>
      <c r="G172" s="14"/>
      <c r="H172" s="15"/>
      <c r="I172" s="14"/>
      <c r="J172" s="15"/>
      <c r="K172" s="14"/>
    </row>
    <row r="173" spans="2:11" ht="12.3" x14ac:dyDescent="0.4">
      <c r="B173" s="15"/>
      <c r="D173" s="15"/>
      <c r="E173" s="13"/>
      <c r="F173" s="15"/>
      <c r="G173" s="14"/>
      <c r="H173" s="15"/>
      <c r="I173" s="14"/>
      <c r="J173" s="15"/>
      <c r="K173" s="14"/>
    </row>
    <row r="174" spans="2:11" ht="12.3" x14ac:dyDescent="0.4">
      <c r="B174" s="15"/>
      <c r="D174" s="15"/>
      <c r="E174" s="13"/>
      <c r="F174" s="15"/>
      <c r="G174" s="14"/>
      <c r="H174" s="15"/>
      <c r="I174" s="14"/>
      <c r="J174" s="15"/>
      <c r="K174" s="14"/>
    </row>
    <row r="175" spans="2:11" ht="12.3" x14ac:dyDescent="0.4">
      <c r="B175" s="15"/>
      <c r="D175" s="15"/>
      <c r="E175" s="13"/>
      <c r="F175" s="15"/>
      <c r="G175" s="14"/>
      <c r="H175" s="15"/>
      <c r="I175" s="14"/>
      <c r="J175" s="15"/>
      <c r="K175" s="14"/>
    </row>
    <row r="176" spans="2:11" ht="12.3" x14ac:dyDescent="0.4">
      <c r="B176" s="15"/>
      <c r="D176" s="15"/>
      <c r="E176" s="13"/>
      <c r="F176" s="15"/>
      <c r="G176" s="14"/>
      <c r="H176" s="15"/>
      <c r="I176" s="14"/>
      <c r="J176" s="15"/>
      <c r="K176" s="14"/>
    </row>
    <row r="177" spans="2:11" ht="12.3" x14ac:dyDescent="0.4">
      <c r="B177" s="15"/>
      <c r="D177" s="15"/>
      <c r="E177" s="13"/>
      <c r="F177" s="15"/>
      <c r="G177" s="14"/>
      <c r="H177" s="15"/>
      <c r="I177" s="14"/>
      <c r="J177" s="15"/>
      <c r="K177" s="14"/>
    </row>
    <row r="178" spans="2:11" ht="12.3" x14ac:dyDescent="0.4">
      <c r="B178" s="15"/>
      <c r="D178" s="15"/>
      <c r="E178" s="13"/>
      <c r="F178" s="15"/>
      <c r="G178" s="14"/>
      <c r="H178" s="15"/>
      <c r="I178" s="14"/>
      <c r="J178" s="15"/>
      <c r="K178" s="14"/>
    </row>
    <row r="179" spans="2:11" ht="12.3" x14ac:dyDescent="0.4">
      <c r="B179" s="15"/>
      <c r="D179" s="15"/>
      <c r="E179" s="13"/>
      <c r="F179" s="15"/>
      <c r="G179" s="14"/>
      <c r="H179" s="15"/>
      <c r="I179" s="14"/>
      <c r="J179" s="15"/>
      <c r="K179" s="14"/>
    </row>
    <row r="180" spans="2:11" ht="12.3" x14ac:dyDescent="0.4">
      <c r="B180" s="15"/>
      <c r="D180" s="15"/>
      <c r="E180" s="13"/>
      <c r="F180" s="15"/>
      <c r="G180" s="14"/>
      <c r="H180" s="15"/>
      <c r="I180" s="14"/>
      <c r="J180" s="15"/>
      <c r="K180" s="14"/>
    </row>
    <row r="181" spans="2:11" ht="12.3" x14ac:dyDescent="0.4">
      <c r="B181" s="15"/>
      <c r="D181" s="15"/>
      <c r="E181" s="13"/>
      <c r="F181" s="15"/>
      <c r="G181" s="14"/>
      <c r="H181" s="15"/>
      <c r="I181" s="14"/>
      <c r="J181" s="15"/>
      <c r="K181" s="14"/>
    </row>
    <row r="182" spans="2:11" ht="12.3" x14ac:dyDescent="0.4">
      <c r="B182" s="15"/>
      <c r="D182" s="15"/>
      <c r="E182" s="13"/>
      <c r="F182" s="15"/>
      <c r="G182" s="14"/>
      <c r="H182" s="15"/>
      <c r="I182" s="14"/>
      <c r="J182" s="15"/>
      <c r="K182" s="14"/>
    </row>
    <row r="183" spans="2:11" ht="12.3" x14ac:dyDescent="0.4">
      <c r="B183" s="15"/>
      <c r="D183" s="15"/>
      <c r="E183" s="13"/>
      <c r="F183" s="15"/>
      <c r="G183" s="14"/>
      <c r="H183" s="15"/>
      <c r="I183" s="14"/>
      <c r="J183" s="15"/>
      <c r="K183" s="14"/>
    </row>
    <row r="184" spans="2:11" ht="12.3" x14ac:dyDescent="0.4">
      <c r="B184" s="15"/>
      <c r="D184" s="15"/>
      <c r="E184" s="13"/>
      <c r="F184" s="15"/>
      <c r="G184" s="14"/>
      <c r="H184" s="15"/>
      <c r="I184" s="14"/>
      <c r="J184" s="15"/>
      <c r="K184" s="14"/>
    </row>
    <row r="185" spans="2:11" ht="12.3" x14ac:dyDescent="0.4">
      <c r="B185" s="15"/>
      <c r="D185" s="15"/>
      <c r="E185" s="13"/>
      <c r="F185" s="15"/>
      <c r="G185" s="14"/>
      <c r="H185" s="15"/>
      <c r="I185" s="14"/>
      <c r="J185" s="15"/>
      <c r="K185" s="14"/>
    </row>
    <row r="186" spans="2:11" ht="12.3" x14ac:dyDescent="0.4">
      <c r="B186" s="15"/>
      <c r="D186" s="15"/>
      <c r="E186" s="13"/>
      <c r="F186" s="15"/>
      <c r="G186" s="14"/>
      <c r="H186" s="15"/>
      <c r="I186" s="14"/>
      <c r="J186" s="15"/>
      <c r="K186" s="14"/>
    </row>
    <row r="187" spans="2:11" ht="12.3" x14ac:dyDescent="0.4">
      <c r="B187" s="15"/>
      <c r="D187" s="15"/>
      <c r="E187" s="13"/>
      <c r="F187" s="15"/>
      <c r="G187" s="14"/>
      <c r="H187" s="15"/>
      <c r="I187" s="14"/>
      <c r="J187" s="15"/>
      <c r="K187" s="14"/>
    </row>
    <row r="188" spans="2:11" ht="12.3" x14ac:dyDescent="0.4">
      <c r="B188" s="15"/>
      <c r="D188" s="15"/>
      <c r="E188" s="13"/>
      <c r="F188" s="15"/>
      <c r="G188" s="14"/>
      <c r="H188" s="15"/>
      <c r="I188" s="14"/>
      <c r="J188" s="15"/>
      <c r="K188" s="14"/>
    </row>
    <row r="189" spans="2:11" ht="12.3" x14ac:dyDescent="0.4">
      <c r="B189" s="15"/>
      <c r="D189" s="15"/>
      <c r="E189" s="13"/>
      <c r="F189" s="15"/>
      <c r="G189" s="14"/>
      <c r="H189" s="15"/>
      <c r="I189" s="14"/>
      <c r="J189" s="15"/>
      <c r="K189" s="14"/>
    </row>
    <row r="190" spans="2:11" ht="12.3" x14ac:dyDescent="0.4">
      <c r="B190" s="15"/>
      <c r="D190" s="15"/>
      <c r="E190" s="13"/>
      <c r="F190" s="15"/>
      <c r="G190" s="14"/>
      <c r="H190" s="15"/>
      <c r="I190" s="14"/>
      <c r="J190" s="15"/>
      <c r="K190" s="14"/>
    </row>
    <row r="191" spans="2:11" ht="12.3" x14ac:dyDescent="0.4">
      <c r="B191" s="15"/>
      <c r="D191" s="15"/>
      <c r="E191" s="13"/>
      <c r="F191" s="15"/>
      <c r="G191" s="14"/>
      <c r="H191" s="15"/>
      <c r="I191" s="14"/>
      <c r="J191" s="15"/>
      <c r="K191" s="14"/>
    </row>
    <row r="192" spans="2:11" ht="12.3" x14ac:dyDescent="0.4">
      <c r="B192" s="15"/>
      <c r="D192" s="15"/>
      <c r="E192" s="13"/>
      <c r="F192" s="15"/>
      <c r="G192" s="14"/>
      <c r="H192" s="15"/>
      <c r="I192" s="14"/>
      <c r="J192" s="15"/>
      <c r="K192" s="14"/>
    </row>
    <row r="193" spans="2:11" ht="12.3" x14ac:dyDescent="0.4">
      <c r="B193" s="15"/>
      <c r="D193" s="15"/>
      <c r="E193" s="13"/>
      <c r="F193" s="15"/>
      <c r="G193" s="14"/>
      <c r="H193" s="15"/>
      <c r="I193" s="14"/>
      <c r="J193" s="15"/>
      <c r="K193" s="14"/>
    </row>
    <row r="194" spans="2:11" ht="12.3" x14ac:dyDescent="0.4">
      <c r="B194" s="15"/>
      <c r="D194" s="15"/>
      <c r="E194" s="13"/>
      <c r="F194" s="15"/>
      <c r="G194" s="14"/>
      <c r="H194" s="15"/>
      <c r="I194" s="14"/>
      <c r="J194" s="15"/>
      <c r="K194" s="14"/>
    </row>
    <row r="195" spans="2:11" ht="12.3" x14ac:dyDescent="0.4">
      <c r="B195" s="15"/>
      <c r="D195" s="15"/>
      <c r="E195" s="13"/>
      <c r="F195" s="15"/>
      <c r="G195" s="14"/>
      <c r="H195" s="15"/>
      <c r="I195" s="14"/>
      <c r="J195" s="15"/>
      <c r="K195" s="14"/>
    </row>
    <row r="196" spans="2:11" ht="12.3" x14ac:dyDescent="0.4">
      <c r="B196" s="15"/>
      <c r="D196" s="15"/>
      <c r="E196" s="13"/>
      <c r="F196" s="15"/>
      <c r="G196" s="14"/>
      <c r="H196" s="15"/>
      <c r="I196" s="14"/>
      <c r="J196" s="15"/>
      <c r="K196" s="14"/>
    </row>
    <row r="197" spans="2:11" ht="12.3" x14ac:dyDescent="0.4">
      <c r="B197" s="15"/>
      <c r="D197" s="15"/>
      <c r="E197" s="13"/>
      <c r="F197" s="15"/>
      <c r="G197" s="14"/>
      <c r="H197" s="15"/>
      <c r="I197" s="14"/>
      <c r="J197" s="15"/>
      <c r="K197" s="14"/>
    </row>
    <row r="198" spans="2:11" ht="12.3" x14ac:dyDescent="0.4">
      <c r="B198" s="15"/>
      <c r="D198" s="15"/>
      <c r="E198" s="13"/>
      <c r="F198" s="15"/>
      <c r="G198" s="14"/>
      <c r="H198" s="15"/>
      <c r="I198" s="14"/>
      <c r="J198" s="15"/>
      <c r="K198" s="14"/>
    </row>
    <row r="199" spans="2:11" ht="12.3" x14ac:dyDescent="0.4">
      <c r="B199" s="15"/>
      <c r="D199" s="15"/>
      <c r="E199" s="13"/>
      <c r="F199" s="15"/>
      <c r="G199" s="14"/>
      <c r="H199" s="15"/>
      <c r="I199" s="14"/>
      <c r="J199" s="15"/>
      <c r="K199" s="14"/>
    </row>
    <row r="200" spans="2:11" ht="12.3" x14ac:dyDescent="0.4">
      <c r="B200" s="15"/>
      <c r="D200" s="15"/>
      <c r="E200" s="13"/>
      <c r="F200" s="15"/>
      <c r="G200" s="14"/>
      <c r="H200" s="15"/>
      <c r="I200" s="14"/>
      <c r="J200" s="15"/>
      <c r="K200" s="14"/>
    </row>
    <row r="201" spans="2:11" ht="12.3" x14ac:dyDescent="0.4">
      <c r="B201" s="15"/>
      <c r="D201" s="15"/>
      <c r="E201" s="13"/>
      <c r="F201" s="15"/>
      <c r="G201" s="14"/>
      <c r="H201" s="15"/>
      <c r="I201" s="14"/>
      <c r="J201" s="15"/>
      <c r="K201" s="14"/>
    </row>
    <row r="202" spans="2:11" ht="12.3" x14ac:dyDescent="0.4">
      <c r="B202" s="15"/>
      <c r="D202" s="15"/>
      <c r="E202" s="13"/>
      <c r="F202" s="15"/>
      <c r="G202" s="14"/>
      <c r="H202" s="15"/>
      <c r="I202" s="14"/>
      <c r="J202" s="15"/>
      <c r="K202" s="14"/>
    </row>
    <row r="203" spans="2:11" ht="12.3" x14ac:dyDescent="0.4">
      <c r="B203" s="15"/>
      <c r="D203" s="15"/>
      <c r="E203" s="13"/>
      <c r="F203" s="15"/>
      <c r="G203" s="14"/>
      <c r="H203" s="15"/>
      <c r="I203" s="14"/>
      <c r="J203" s="15"/>
      <c r="K203" s="14"/>
    </row>
    <row r="204" spans="2:11" ht="12.3" x14ac:dyDescent="0.4">
      <c r="B204" s="15"/>
      <c r="D204" s="15"/>
      <c r="E204" s="13"/>
      <c r="F204" s="15"/>
      <c r="G204" s="14"/>
      <c r="H204" s="15"/>
      <c r="I204" s="14"/>
      <c r="J204" s="15"/>
      <c r="K204" s="14"/>
    </row>
    <row r="205" spans="2:11" ht="12.3" x14ac:dyDescent="0.4">
      <c r="B205" s="15"/>
      <c r="D205" s="15"/>
      <c r="E205" s="13"/>
      <c r="F205" s="15"/>
      <c r="G205" s="14"/>
      <c r="H205" s="15"/>
      <c r="I205" s="14"/>
      <c r="J205" s="15"/>
      <c r="K205" s="14"/>
    </row>
    <row r="206" spans="2:11" ht="12.3" x14ac:dyDescent="0.4">
      <c r="B206" s="15"/>
      <c r="D206" s="15"/>
      <c r="E206" s="13"/>
      <c r="F206" s="15"/>
      <c r="G206" s="14"/>
      <c r="H206" s="15"/>
      <c r="I206" s="14"/>
      <c r="J206" s="15"/>
      <c r="K206" s="14"/>
    </row>
    <row r="207" spans="2:11" ht="12.3" x14ac:dyDescent="0.4">
      <c r="B207" s="15"/>
      <c r="D207" s="15"/>
      <c r="E207" s="13"/>
      <c r="F207" s="15"/>
      <c r="G207" s="14"/>
      <c r="H207" s="15"/>
      <c r="I207" s="14"/>
      <c r="J207" s="15"/>
      <c r="K207" s="14"/>
    </row>
    <row r="208" spans="2:11" ht="12.3" x14ac:dyDescent="0.4">
      <c r="B208" s="15"/>
      <c r="D208" s="15"/>
      <c r="E208" s="13"/>
      <c r="F208" s="15"/>
      <c r="G208" s="14"/>
      <c r="H208" s="15"/>
      <c r="I208" s="14"/>
      <c r="J208" s="15"/>
      <c r="K208" s="14"/>
    </row>
    <row r="209" spans="2:11" ht="12.3" x14ac:dyDescent="0.4">
      <c r="B209" s="15"/>
      <c r="D209" s="15"/>
      <c r="E209" s="13"/>
      <c r="F209" s="15"/>
      <c r="G209" s="14"/>
      <c r="H209" s="15"/>
      <c r="I209" s="14"/>
      <c r="J209" s="15"/>
      <c r="K209" s="14"/>
    </row>
    <row r="210" spans="2:11" ht="12.3" x14ac:dyDescent="0.4">
      <c r="B210" s="15"/>
      <c r="D210" s="15"/>
      <c r="E210" s="13"/>
      <c r="F210" s="15"/>
      <c r="G210" s="14"/>
      <c r="H210" s="15"/>
      <c r="I210" s="14"/>
      <c r="J210" s="15"/>
      <c r="K210" s="14"/>
    </row>
    <row r="211" spans="2:11" ht="12.3" x14ac:dyDescent="0.4">
      <c r="B211" s="15"/>
      <c r="D211" s="15"/>
      <c r="E211" s="13"/>
      <c r="F211" s="15"/>
      <c r="G211" s="14"/>
      <c r="H211" s="15"/>
      <c r="I211" s="14"/>
      <c r="J211" s="15"/>
      <c r="K211" s="14"/>
    </row>
    <row r="212" spans="2:11" ht="12.3" x14ac:dyDescent="0.4">
      <c r="B212" s="15"/>
      <c r="D212" s="15"/>
      <c r="E212" s="13"/>
      <c r="F212" s="15"/>
      <c r="G212" s="14"/>
      <c r="H212" s="15"/>
      <c r="I212" s="14"/>
      <c r="J212" s="15"/>
      <c r="K212" s="14"/>
    </row>
    <row r="213" spans="2:11" ht="12.3" x14ac:dyDescent="0.4">
      <c r="B213" s="15"/>
      <c r="D213" s="15"/>
      <c r="E213" s="13"/>
      <c r="F213" s="15"/>
      <c r="G213" s="14"/>
      <c r="H213" s="15"/>
      <c r="I213" s="14"/>
      <c r="J213" s="15"/>
      <c r="K213" s="14"/>
    </row>
    <row r="214" spans="2:11" ht="12.3" x14ac:dyDescent="0.4">
      <c r="B214" s="15"/>
      <c r="D214" s="15"/>
      <c r="E214" s="13"/>
      <c r="F214" s="15"/>
      <c r="G214" s="14"/>
      <c r="H214" s="15"/>
      <c r="I214" s="14"/>
      <c r="J214" s="15"/>
      <c r="K214" s="14"/>
    </row>
    <row r="215" spans="2:11" ht="12.3" x14ac:dyDescent="0.4">
      <c r="B215" s="15"/>
      <c r="D215" s="15"/>
      <c r="E215" s="13"/>
      <c r="F215" s="15"/>
      <c r="G215" s="14"/>
      <c r="H215" s="15"/>
      <c r="I215" s="14"/>
      <c r="J215" s="15"/>
      <c r="K215" s="14"/>
    </row>
    <row r="216" spans="2:11" ht="12.3" x14ac:dyDescent="0.4">
      <c r="B216" s="15"/>
      <c r="D216" s="15"/>
      <c r="E216" s="13"/>
      <c r="F216" s="15"/>
      <c r="G216" s="14"/>
      <c r="H216" s="15"/>
      <c r="I216" s="14"/>
      <c r="J216" s="15"/>
      <c r="K216" s="14"/>
    </row>
    <row r="217" spans="2:11" ht="12.3" x14ac:dyDescent="0.4">
      <c r="B217" s="15"/>
      <c r="D217" s="15"/>
      <c r="E217" s="13"/>
      <c r="F217" s="15"/>
      <c r="G217" s="14"/>
      <c r="H217" s="15"/>
      <c r="I217" s="14"/>
      <c r="J217" s="15"/>
      <c r="K217" s="14"/>
    </row>
    <row r="218" spans="2:11" ht="12.3" x14ac:dyDescent="0.4">
      <c r="B218" s="15"/>
      <c r="D218" s="15"/>
      <c r="E218" s="13"/>
      <c r="F218" s="15"/>
      <c r="G218" s="14"/>
      <c r="H218" s="15"/>
      <c r="I218" s="14"/>
      <c r="J218" s="15"/>
      <c r="K218" s="14"/>
    </row>
    <row r="219" spans="2:11" ht="12.3" x14ac:dyDescent="0.4">
      <c r="B219" s="15"/>
      <c r="D219" s="15"/>
      <c r="E219" s="13"/>
      <c r="F219" s="15"/>
      <c r="G219" s="14"/>
      <c r="H219" s="15"/>
      <c r="I219" s="14"/>
      <c r="J219" s="15"/>
      <c r="K219" s="14"/>
    </row>
    <row r="220" spans="2:11" ht="12.3" x14ac:dyDescent="0.4">
      <c r="B220" s="15"/>
      <c r="D220" s="15"/>
      <c r="E220" s="13"/>
      <c r="F220" s="15"/>
      <c r="G220" s="14"/>
      <c r="H220" s="15"/>
      <c r="I220" s="14"/>
      <c r="J220" s="15"/>
      <c r="K220" s="14"/>
    </row>
    <row r="221" spans="2:11" ht="12.3" x14ac:dyDescent="0.4">
      <c r="B221" s="15"/>
      <c r="D221" s="15"/>
      <c r="E221" s="13"/>
      <c r="F221" s="15"/>
      <c r="G221" s="14"/>
      <c r="H221" s="15"/>
      <c r="I221" s="14"/>
      <c r="J221" s="15"/>
      <c r="K221" s="14"/>
    </row>
    <row r="222" spans="2:11" ht="12.3" x14ac:dyDescent="0.4">
      <c r="B222" s="15"/>
      <c r="D222" s="15"/>
      <c r="E222" s="13"/>
      <c r="F222" s="15"/>
      <c r="G222" s="14"/>
      <c r="H222" s="15"/>
      <c r="I222" s="14"/>
      <c r="J222" s="15"/>
      <c r="K222" s="14"/>
    </row>
    <row r="223" spans="2:11" ht="12.3" x14ac:dyDescent="0.4">
      <c r="B223" s="15"/>
      <c r="D223" s="15"/>
      <c r="E223" s="13"/>
      <c r="F223" s="15"/>
      <c r="G223" s="14"/>
      <c r="H223" s="15"/>
      <c r="I223" s="14"/>
      <c r="J223" s="15"/>
      <c r="K223" s="14"/>
    </row>
    <row r="224" spans="2:11" ht="12.3" x14ac:dyDescent="0.4">
      <c r="B224" s="15"/>
      <c r="D224" s="15"/>
      <c r="E224" s="13"/>
      <c r="F224" s="15"/>
      <c r="G224" s="14"/>
      <c r="H224" s="15"/>
      <c r="I224" s="14"/>
      <c r="J224" s="15"/>
      <c r="K224" s="14"/>
    </row>
    <row r="225" spans="2:11" ht="12.3" x14ac:dyDescent="0.4">
      <c r="B225" s="15"/>
      <c r="D225" s="15"/>
      <c r="E225" s="13"/>
      <c r="F225" s="15"/>
      <c r="G225" s="14"/>
      <c r="H225" s="15"/>
      <c r="I225" s="14"/>
      <c r="J225" s="15"/>
      <c r="K225" s="14"/>
    </row>
    <row r="226" spans="2:11" ht="12.3" x14ac:dyDescent="0.4">
      <c r="B226" s="15"/>
      <c r="D226" s="15"/>
      <c r="E226" s="13"/>
      <c r="F226" s="15"/>
      <c r="G226" s="14"/>
      <c r="H226" s="15"/>
      <c r="I226" s="14"/>
      <c r="J226" s="15"/>
      <c r="K226" s="14"/>
    </row>
    <row r="227" spans="2:11" ht="12.3" x14ac:dyDescent="0.4">
      <c r="B227" s="15"/>
      <c r="D227" s="15"/>
      <c r="E227" s="13"/>
      <c r="F227" s="15"/>
      <c r="G227" s="14"/>
      <c r="H227" s="15"/>
      <c r="I227" s="14"/>
      <c r="J227" s="15"/>
      <c r="K227" s="14"/>
    </row>
    <row r="228" spans="2:11" ht="12.3" x14ac:dyDescent="0.4">
      <c r="B228" s="15"/>
      <c r="D228" s="15"/>
      <c r="E228" s="13"/>
      <c r="F228" s="15"/>
      <c r="G228" s="14"/>
      <c r="H228" s="15"/>
      <c r="I228" s="14"/>
      <c r="J228" s="15"/>
      <c r="K228" s="14"/>
    </row>
    <row r="229" spans="2:11" ht="12.3" x14ac:dyDescent="0.4">
      <c r="B229" s="15"/>
      <c r="D229" s="15"/>
      <c r="E229" s="13"/>
      <c r="F229" s="15"/>
      <c r="G229" s="14"/>
      <c r="H229" s="15"/>
      <c r="I229" s="14"/>
      <c r="J229" s="15"/>
      <c r="K229" s="14"/>
    </row>
    <row r="230" spans="2:11" ht="12.3" x14ac:dyDescent="0.4">
      <c r="B230" s="15"/>
      <c r="D230" s="15"/>
      <c r="E230" s="13"/>
      <c r="F230" s="15"/>
      <c r="G230" s="14"/>
      <c r="H230" s="15"/>
      <c r="I230" s="14"/>
      <c r="J230" s="15"/>
      <c r="K230" s="14"/>
    </row>
    <row r="231" spans="2:11" ht="12.3" x14ac:dyDescent="0.4">
      <c r="B231" s="15"/>
      <c r="D231" s="15"/>
      <c r="E231" s="13"/>
      <c r="F231" s="15"/>
      <c r="G231" s="14"/>
      <c r="H231" s="15"/>
      <c r="I231" s="14"/>
      <c r="J231" s="15"/>
      <c r="K231" s="14"/>
    </row>
    <row r="232" spans="2:11" ht="12.3" x14ac:dyDescent="0.4">
      <c r="B232" s="15"/>
      <c r="D232" s="15"/>
      <c r="E232" s="13"/>
      <c r="F232" s="15"/>
      <c r="G232" s="14"/>
      <c r="H232" s="15"/>
      <c r="I232" s="14"/>
      <c r="J232" s="15"/>
      <c r="K232" s="14"/>
    </row>
    <row r="233" spans="2:11" ht="12.3" x14ac:dyDescent="0.4">
      <c r="B233" s="15"/>
      <c r="D233" s="15"/>
      <c r="E233" s="13"/>
      <c r="F233" s="15"/>
      <c r="G233" s="14"/>
      <c r="H233" s="15"/>
      <c r="I233" s="14"/>
      <c r="J233" s="15"/>
      <c r="K233" s="14"/>
    </row>
    <row r="234" spans="2:11" ht="12.3" x14ac:dyDescent="0.4">
      <c r="B234" s="15"/>
      <c r="D234" s="15"/>
      <c r="E234" s="13"/>
      <c r="F234" s="15"/>
      <c r="G234" s="14"/>
      <c r="H234" s="15"/>
      <c r="I234" s="14"/>
      <c r="J234" s="15"/>
      <c r="K234" s="14"/>
    </row>
    <row r="235" spans="2:11" ht="12.3" x14ac:dyDescent="0.4">
      <c r="B235" s="15"/>
      <c r="D235" s="15"/>
      <c r="E235" s="13"/>
      <c r="F235" s="15"/>
      <c r="G235" s="14"/>
      <c r="H235" s="15"/>
      <c r="I235" s="14"/>
      <c r="J235" s="15"/>
      <c r="K235" s="14"/>
    </row>
    <row r="236" spans="2:11" ht="12.3" x14ac:dyDescent="0.4">
      <c r="B236" s="15"/>
      <c r="D236" s="15"/>
      <c r="E236" s="13"/>
      <c r="F236" s="15"/>
      <c r="G236" s="14"/>
      <c r="H236" s="15"/>
      <c r="I236" s="14"/>
      <c r="J236" s="15"/>
      <c r="K236" s="14"/>
    </row>
    <row r="237" spans="2:11" ht="12.3" x14ac:dyDescent="0.4">
      <c r="B237" s="15"/>
      <c r="D237" s="15"/>
      <c r="E237" s="13"/>
      <c r="F237" s="15"/>
      <c r="G237" s="14"/>
      <c r="H237" s="15"/>
      <c r="I237" s="14"/>
      <c r="J237" s="15"/>
      <c r="K237" s="14"/>
    </row>
    <row r="238" spans="2:11" ht="12.3" x14ac:dyDescent="0.4">
      <c r="B238" s="15"/>
      <c r="D238" s="15"/>
      <c r="E238" s="13"/>
      <c r="F238" s="15"/>
      <c r="G238" s="14"/>
      <c r="H238" s="15"/>
      <c r="I238" s="14"/>
      <c r="J238" s="15"/>
      <c r="K238" s="14"/>
    </row>
    <row r="239" spans="2:11" ht="12.3" x14ac:dyDescent="0.4">
      <c r="B239" s="15"/>
      <c r="D239" s="15"/>
      <c r="E239" s="13"/>
      <c r="F239" s="15"/>
      <c r="G239" s="14"/>
      <c r="H239" s="15"/>
      <c r="I239" s="14"/>
      <c r="J239" s="15"/>
      <c r="K239" s="14"/>
    </row>
    <row r="240" spans="2:11" ht="12.3" x14ac:dyDescent="0.4">
      <c r="B240" s="15"/>
      <c r="D240" s="15"/>
      <c r="E240" s="13"/>
      <c r="F240" s="15"/>
      <c r="G240" s="14"/>
      <c r="H240" s="15"/>
      <c r="I240" s="14"/>
      <c r="J240" s="15"/>
      <c r="K240" s="14"/>
    </row>
    <row r="241" spans="2:11" ht="12.3" x14ac:dyDescent="0.4">
      <c r="B241" s="15"/>
      <c r="D241" s="15"/>
      <c r="E241" s="13"/>
      <c r="F241" s="15"/>
      <c r="G241" s="14"/>
      <c r="H241" s="15"/>
      <c r="I241" s="14"/>
      <c r="J241" s="15"/>
      <c r="K241" s="14"/>
    </row>
    <row r="242" spans="2:11" ht="12.3" x14ac:dyDescent="0.4">
      <c r="B242" s="15"/>
      <c r="D242" s="15"/>
      <c r="E242" s="13"/>
      <c r="F242" s="15"/>
      <c r="G242" s="14"/>
      <c r="H242" s="15"/>
      <c r="I242" s="14"/>
      <c r="J242" s="15"/>
      <c r="K242" s="14"/>
    </row>
    <row r="243" spans="2:11" ht="12.3" x14ac:dyDescent="0.4">
      <c r="B243" s="15"/>
      <c r="D243" s="15"/>
      <c r="E243" s="13"/>
      <c r="F243" s="15"/>
      <c r="G243" s="14"/>
      <c r="H243" s="15"/>
      <c r="I243" s="14"/>
      <c r="J243" s="15"/>
      <c r="K243" s="14"/>
    </row>
    <row r="244" spans="2:11" ht="12.3" x14ac:dyDescent="0.4">
      <c r="B244" s="15"/>
      <c r="D244" s="15"/>
      <c r="E244" s="13"/>
      <c r="F244" s="15"/>
      <c r="G244" s="14"/>
      <c r="H244" s="15"/>
      <c r="I244" s="14"/>
      <c r="J244" s="15"/>
      <c r="K244" s="14"/>
    </row>
    <row r="245" spans="2:11" ht="12.3" x14ac:dyDescent="0.4">
      <c r="B245" s="15"/>
      <c r="D245" s="15"/>
      <c r="E245" s="13"/>
      <c r="F245" s="15"/>
      <c r="G245" s="14"/>
      <c r="H245" s="15"/>
      <c r="I245" s="14"/>
      <c r="J245" s="15"/>
      <c r="K245" s="14"/>
    </row>
    <row r="246" spans="2:11" ht="12.3" x14ac:dyDescent="0.4">
      <c r="B246" s="15"/>
      <c r="D246" s="15"/>
      <c r="E246" s="13"/>
      <c r="F246" s="15"/>
      <c r="G246" s="14"/>
      <c r="H246" s="15"/>
      <c r="I246" s="14"/>
      <c r="J246" s="15"/>
      <c r="K246" s="14"/>
    </row>
    <row r="247" spans="2:11" ht="12.3" x14ac:dyDescent="0.4">
      <c r="B247" s="15"/>
      <c r="D247" s="15"/>
      <c r="E247" s="13"/>
      <c r="F247" s="15"/>
      <c r="G247" s="14"/>
      <c r="H247" s="15"/>
      <c r="I247" s="14"/>
      <c r="J247" s="15"/>
      <c r="K247" s="14"/>
    </row>
    <row r="248" spans="2:11" ht="12.3" x14ac:dyDescent="0.4">
      <c r="B248" s="15"/>
      <c r="D248" s="15"/>
      <c r="E248" s="13"/>
      <c r="F248" s="15"/>
      <c r="G248" s="14"/>
      <c r="H248" s="15"/>
      <c r="I248" s="14"/>
      <c r="J248" s="15"/>
      <c r="K248" s="14"/>
    </row>
    <row r="249" spans="2:11" ht="12.3" x14ac:dyDescent="0.4">
      <c r="B249" s="15"/>
      <c r="D249" s="15"/>
      <c r="E249" s="13"/>
      <c r="F249" s="15"/>
      <c r="G249" s="14"/>
      <c r="H249" s="15"/>
      <c r="I249" s="14"/>
      <c r="J249" s="15"/>
      <c r="K249" s="14"/>
    </row>
    <row r="250" spans="2:11" ht="12.3" x14ac:dyDescent="0.4">
      <c r="B250" s="15"/>
      <c r="D250" s="15"/>
      <c r="E250" s="13"/>
      <c r="F250" s="15"/>
      <c r="G250" s="14"/>
      <c r="H250" s="15"/>
      <c r="I250" s="14"/>
      <c r="J250" s="15"/>
      <c r="K250" s="14"/>
    </row>
    <row r="251" spans="2:11" ht="12.3" x14ac:dyDescent="0.4">
      <c r="B251" s="15"/>
      <c r="D251" s="15"/>
      <c r="E251" s="13"/>
      <c r="F251" s="15"/>
      <c r="G251" s="14"/>
      <c r="H251" s="15"/>
      <c r="I251" s="14"/>
      <c r="J251" s="15"/>
      <c r="K251" s="14"/>
    </row>
    <row r="252" spans="2:11" ht="12.3" x14ac:dyDescent="0.4">
      <c r="B252" s="15"/>
      <c r="D252" s="15"/>
      <c r="E252" s="13"/>
      <c r="F252" s="15"/>
      <c r="G252" s="14"/>
      <c r="H252" s="15"/>
      <c r="I252" s="14"/>
      <c r="J252" s="15"/>
      <c r="K252" s="14"/>
    </row>
    <row r="253" spans="2:11" ht="12.3" x14ac:dyDescent="0.4">
      <c r="B253" s="15"/>
      <c r="D253" s="15"/>
      <c r="E253" s="13"/>
      <c r="F253" s="15"/>
      <c r="G253" s="14"/>
      <c r="H253" s="15"/>
      <c r="I253" s="14"/>
      <c r="J253" s="15"/>
      <c r="K253" s="14"/>
    </row>
    <row r="254" spans="2:11" ht="12.3" x14ac:dyDescent="0.4">
      <c r="B254" s="15"/>
      <c r="D254" s="15"/>
      <c r="E254" s="13"/>
      <c r="F254" s="15"/>
      <c r="G254" s="14"/>
      <c r="H254" s="15"/>
      <c r="I254" s="14"/>
      <c r="J254" s="15"/>
      <c r="K254" s="14"/>
    </row>
    <row r="255" spans="2:11" ht="12.3" x14ac:dyDescent="0.4">
      <c r="B255" s="15"/>
      <c r="D255" s="15"/>
      <c r="E255" s="13"/>
      <c r="F255" s="15"/>
      <c r="G255" s="14"/>
      <c r="H255" s="15"/>
      <c r="I255" s="14"/>
      <c r="J255" s="15"/>
      <c r="K255" s="14"/>
    </row>
    <row r="256" spans="2:11" ht="12.3" x14ac:dyDescent="0.4">
      <c r="B256" s="15"/>
      <c r="D256" s="15"/>
      <c r="E256" s="13"/>
      <c r="F256" s="15"/>
      <c r="G256" s="14"/>
      <c r="H256" s="15"/>
      <c r="I256" s="14"/>
      <c r="J256" s="15"/>
      <c r="K256" s="14"/>
    </row>
    <row r="257" spans="2:11" ht="12.3" x14ac:dyDescent="0.4">
      <c r="B257" s="15"/>
      <c r="D257" s="15"/>
      <c r="E257" s="13"/>
      <c r="F257" s="15"/>
      <c r="G257" s="14"/>
      <c r="H257" s="15"/>
      <c r="I257" s="14"/>
      <c r="J257" s="15"/>
      <c r="K257" s="14"/>
    </row>
    <row r="258" spans="2:11" ht="12.3" x14ac:dyDescent="0.4">
      <c r="B258" s="15"/>
      <c r="D258" s="15"/>
      <c r="E258" s="13"/>
      <c r="F258" s="15"/>
      <c r="G258" s="14"/>
      <c r="H258" s="15"/>
      <c r="I258" s="14"/>
      <c r="J258" s="15"/>
      <c r="K258" s="14"/>
    </row>
    <row r="259" spans="2:11" ht="12.3" x14ac:dyDescent="0.4">
      <c r="B259" s="15"/>
      <c r="D259" s="15"/>
      <c r="E259" s="13"/>
      <c r="F259" s="15"/>
      <c r="G259" s="14"/>
      <c r="H259" s="15"/>
      <c r="I259" s="14"/>
      <c r="J259" s="15"/>
      <c r="K259" s="14"/>
    </row>
    <row r="260" spans="2:11" ht="12.3" x14ac:dyDescent="0.4">
      <c r="B260" s="15"/>
      <c r="D260" s="15"/>
      <c r="E260" s="13"/>
      <c r="F260" s="15"/>
      <c r="G260" s="14"/>
      <c r="H260" s="15"/>
      <c r="I260" s="14"/>
      <c r="J260" s="15"/>
      <c r="K260" s="14"/>
    </row>
    <row r="261" spans="2:11" ht="12.3" x14ac:dyDescent="0.4">
      <c r="B261" s="15"/>
      <c r="D261" s="15"/>
      <c r="E261" s="13"/>
      <c r="F261" s="15"/>
      <c r="G261" s="14"/>
      <c r="H261" s="15"/>
      <c r="I261" s="14"/>
      <c r="J261" s="15"/>
      <c r="K261" s="14"/>
    </row>
    <row r="262" spans="2:11" ht="12.3" x14ac:dyDescent="0.4">
      <c r="B262" s="15"/>
      <c r="D262" s="15"/>
      <c r="E262" s="13"/>
      <c r="F262" s="15"/>
      <c r="G262" s="14"/>
      <c r="H262" s="15"/>
      <c r="I262" s="14"/>
      <c r="J262" s="15"/>
      <c r="K262" s="14"/>
    </row>
    <row r="263" spans="2:11" ht="12.3" x14ac:dyDescent="0.4">
      <c r="B263" s="15"/>
      <c r="D263" s="15"/>
      <c r="E263" s="13"/>
      <c r="F263" s="15"/>
      <c r="G263" s="14"/>
      <c r="H263" s="15"/>
      <c r="I263" s="14"/>
      <c r="J263" s="15"/>
      <c r="K263" s="14"/>
    </row>
    <row r="264" spans="2:11" ht="12.3" x14ac:dyDescent="0.4">
      <c r="B264" s="15"/>
      <c r="D264" s="15"/>
      <c r="E264" s="13"/>
      <c r="F264" s="15"/>
      <c r="G264" s="14"/>
      <c r="H264" s="15"/>
      <c r="I264" s="14"/>
      <c r="J264" s="15"/>
      <c r="K264" s="14"/>
    </row>
    <row r="265" spans="2:11" ht="12.3" x14ac:dyDescent="0.4">
      <c r="B265" s="15"/>
      <c r="D265" s="15"/>
      <c r="E265" s="13"/>
      <c r="F265" s="15"/>
      <c r="G265" s="14"/>
      <c r="H265" s="15"/>
      <c r="I265" s="14"/>
      <c r="J265" s="15"/>
      <c r="K265" s="14"/>
    </row>
    <row r="266" spans="2:11" ht="12.3" x14ac:dyDescent="0.4">
      <c r="B266" s="15"/>
      <c r="D266" s="15"/>
      <c r="E266" s="13"/>
      <c r="F266" s="15"/>
      <c r="G266" s="14"/>
      <c r="H266" s="15"/>
      <c r="I266" s="14"/>
      <c r="J266" s="15"/>
      <c r="K266" s="14"/>
    </row>
    <row r="267" spans="2:11" ht="12.3" x14ac:dyDescent="0.4">
      <c r="B267" s="15"/>
      <c r="D267" s="15"/>
      <c r="E267" s="13"/>
      <c r="F267" s="15"/>
      <c r="G267" s="14"/>
      <c r="H267" s="15"/>
      <c r="I267" s="14"/>
      <c r="J267" s="15"/>
      <c r="K267" s="14"/>
    </row>
    <row r="268" spans="2:11" ht="12.3" x14ac:dyDescent="0.4">
      <c r="B268" s="15"/>
      <c r="D268" s="15"/>
      <c r="E268" s="13"/>
      <c r="F268" s="15"/>
      <c r="G268" s="14"/>
      <c r="H268" s="15"/>
      <c r="I268" s="14"/>
      <c r="J268" s="15"/>
      <c r="K268" s="14"/>
    </row>
    <row r="269" spans="2:11" ht="12.3" x14ac:dyDescent="0.4">
      <c r="B269" s="15"/>
      <c r="D269" s="15"/>
      <c r="E269" s="13"/>
      <c r="F269" s="15"/>
      <c r="G269" s="14"/>
      <c r="H269" s="15"/>
      <c r="I269" s="14"/>
      <c r="J269" s="15"/>
      <c r="K269" s="14"/>
    </row>
    <row r="270" spans="2:11" ht="12.3" x14ac:dyDescent="0.4">
      <c r="B270" s="15"/>
      <c r="D270" s="15"/>
      <c r="E270" s="13"/>
      <c r="F270" s="15"/>
      <c r="G270" s="14"/>
      <c r="H270" s="15"/>
      <c r="I270" s="14"/>
      <c r="J270" s="15"/>
      <c r="K270" s="14"/>
    </row>
    <row r="271" spans="2:11" ht="12.3" x14ac:dyDescent="0.4">
      <c r="B271" s="15"/>
      <c r="D271" s="15"/>
      <c r="E271" s="13"/>
      <c r="F271" s="15"/>
      <c r="G271" s="14"/>
      <c r="H271" s="15"/>
      <c r="I271" s="14"/>
      <c r="J271" s="15"/>
      <c r="K271" s="14"/>
    </row>
    <row r="272" spans="2:11" ht="12.3" x14ac:dyDescent="0.4">
      <c r="B272" s="15"/>
      <c r="D272" s="15"/>
      <c r="E272" s="13"/>
      <c r="F272" s="15"/>
      <c r="G272" s="14"/>
      <c r="H272" s="15"/>
      <c r="I272" s="14"/>
      <c r="J272" s="15"/>
      <c r="K272" s="14"/>
    </row>
    <row r="273" spans="2:11" ht="12.3" x14ac:dyDescent="0.4">
      <c r="B273" s="15"/>
      <c r="D273" s="15"/>
      <c r="E273" s="13"/>
      <c r="F273" s="15"/>
      <c r="G273" s="14"/>
      <c r="H273" s="15"/>
      <c r="I273" s="14"/>
      <c r="J273" s="15"/>
      <c r="K273" s="14"/>
    </row>
    <row r="274" spans="2:11" ht="12.3" x14ac:dyDescent="0.4">
      <c r="B274" s="15"/>
      <c r="D274" s="15"/>
      <c r="E274" s="13"/>
      <c r="F274" s="15"/>
      <c r="G274" s="14"/>
      <c r="H274" s="15"/>
      <c r="I274" s="14"/>
      <c r="J274" s="15"/>
      <c r="K274" s="14"/>
    </row>
    <row r="275" spans="2:11" ht="12.3" x14ac:dyDescent="0.4">
      <c r="B275" s="15"/>
      <c r="D275" s="15"/>
      <c r="E275" s="13"/>
      <c r="F275" s="15"/>
      <c r="G275" s="14"/>
      <c r="H275" s="15"/>
      <c r="I275" s="14"/>
      <c r="J275" s="15"/>
      <c r="K275" s="14"/>
    </row>
    <row r="276" spans="2:11" ht="12.3" x14ac:dyDescent="0.4">
      <c r="B276" s="15"/>
      <c r="D276" s="15"/>
      <c r="E276" s="13"/>
      <c r="F276" s="15"/>
      <c r="G276" s="14"/>
      <c r="H276" s="15"/>
      <c r="I276" s="14"/>
      <c r="J276" s="15"/>
      <c r="K276" s="14"/>
    </row>
    <row r="277" spans="2:11" ht="12.3" x14ac:dyDescent="0.4">
      <c r="B277" s="15"/>
      <c r="D277" s="15"/>
      <c r="E277" s="13"/>
      <c r="F277" s="15"/>
      <c r="G277" s="14"/>
      <c r="H277" s="15"/>
      <c r="I277" s="14"/>
      <c r="J277" s="15"/>
      <c r="K277" s="14"/>
    </row>
    <row r="278" spans="2:11" ht="12.3" x14ac:dyDescent="0.4">
      <c r="B278" s="15"/>
      <c r="D278" s="15"/>
      <c r="E278" s="13"/>
      <c r="F278" s="15"/>
      <c r="G278" s="14"/>
      <c r="H278" s="15"/>
      <c r="I278" s="14"/>
      <c r="J278" s="15"/>
      <c r="K278" s="14"/>
    </row>
    <row r="279" spans="2:11" ht="12.3" x14ac:dyDescent="0.4">
      <c r="B279" s="15"/>
      <c r="D279" s="15"/>
      <c r="E279" s="13"/>
      <c r="F279" s="15"/>
      <c r="G279" s="14"/>
      <c r="H279" s="15"/>
      <c r="I279" s="14"/>
      <c r="J279" s="15"/>
      <c r="K279" s="14"/>
    </row>
    <row r="280" spans="2:11" ht="12.3" x14ac:dyDescent="0.4">
      <c r="B280" s="15"/>
      <c r="D280" s="15"/>
      <c r="E280" s="13"/>
      <c r="F280" s="15"/>
      <c r="G280" s="14"/>
      <c r="H280" s="15"/>
      <c r="I280" s="14"/>
      <c r="J280" s="15"/>
      <c r="K280" s="14"/>
    </row>
    <row r="281" spans="2:11" ht="12.3" x14ac:dyDescent="0.4">
      <c r="B281" s="15"/>
      <c r="D281" s="15"/>
      <c r="E281" s="13"/>
      <c r="F281" s="15"/>
      <c r="G281" s="14"/>
      <c r="H281" s="15"/>
      <c r="I281" s="14"/>
      <c r="J281" s="15"/>
      <c r="K281" s="14"/>
    </row>
    <row r="282" spans="2:11" ht="12.3" x14ac:dyDescent="0.4">
      <c r="B282" s="15"/>
      <c r="D282" s="15"/>
      <c r="E282" s="13"/>
      <c r="F282" s="15"/>
      <c r="G282" s="14"/>
      <c r="H282" s="15"/>
      <c r="I282" s="14"/>
      <c r="J282" s="15"/>
      <c r="K282" s="14"/>
    </row>
    <row r="283" spans="2:11" ht="12.3" x14ac:dyDescent="0.4">
      <c r="B283" s="15"/>
      <c r="D283" s="15"/>
      <c r="E283" s="13"/>
      <c r="F283" s="15"/>
      <c r="G283" s="14"/>
      <c r="H283" s="15"/>
      <c r="I283" s="14"/>
      <c r="J283" s="15"/>
      <c r="K283" s="14"/>
    </row>
    <row r="284" spans="2:11" ht="12.3" x14ac:dyDescent="0.4">
      <c r="B284" s="15"/>
      <c r="D284" s="15"/>
      <c r="E284" s="13"/>
      <c r="F284" s="15"/>
      <c r="G284" s="14"/>
      <c r="H284" s="15"/>
      <c r="I284" s="14"/>
      <c r="J284" s="15"/>
      <c r="K284" s="14"/>
    </row>
    <row r="285" spans="2:11" ht="12.3" x14ac:dyDescent="0.4">
      <c r="B285" s="15"/>
      <c r="D285" s="15"/>
      <c r="E285" s="13"/>
      <c r="F285" s="15"/>
      <c r="G285" s="14"/>
      <c r="H285" s="15"/>
      <c r="I285" s="14"/>
      <c r="J285" s="15"/>
      <c r="K285" s="14"/>
    </row>
    <row r="286" spans="2:11" ht="12.3" x14ac:dyDescent="0.4">
      <c r="B286" s="15"/>
      <c r="D286" s="15"/>
      <c r="E286" s="13"/>
      <c r="F286" s="15"/>
      <c r="G286" s="14"/>
      <c r="H286" s="15"/>
      <c r="I286" s="14"/>
      <c r="J286" s="15"/>
      <c r="K286" s="14"/>
    </row>
    <row r="287" spans="2:11" ht="12.3" x14ac:dyDescent="0.4">
      <c r="B287" s="15"/>
      <c r="D287" s="15"/>
      <c r="E287" s="13"/>
      <c r="F287" s="15"/>
      <c r="G287" s="14"/>
      <c r="H287" s="15"/>
      <c r="I287" s="14"/>
      <c r="J287" s="15"/>
      <c r="K287" s="14"/>
    </row>
    <row r="288" spans="2:11" ht="12.3" x14ac:dyDescent="0.4">
      <c r="B288" s="15"/>
      <c r="D288" s="15"/>
      <c r="E288" s="13"/>
      <c r="F288" s="15"/>
      <c r="G288" s="14"/>
      <c r="H288" s="15"/>
      <c r="I288" s="14"/>
      <c r="J288" s="15"/>
      <c r="K288" s="14"/>
    </row>
    <row r="289" spans="2:11" ht="12.3" x14ac:dyDescent="0.4">
      <c r="B289" s="15"/>
      <c r="D289" s="15"/>
      <c r="E289" s="13"/>
      <c r="F289" s="15"/>
      <c r="G289" s="14"/>
      <c r="H289" s="15"/>
      <c r="I289" s="14"/>
      <c r="J289" s="15"/>
      <c r="K289" s="14"/>
    </row>
    <row r="290" spans="2:11" ht="12.3" x14ac:dyDescent="0.4">
      <c r="B290" s="15"/>
      <c r="D290" s="15"/>
      <c r="E290" s="13"/>
      <c r="F290" s="15"/>
      <c r="G290" s="14"/>
      <c r="H290" s="15"/>
      <c r="I290" s="14"/>
      <c r="J290" s="15"/>
      <c r="K290" s="14"/>
    </row>
    <row r="291" spans="2:11" ht="12.3" x14ac:dyDescent="0.4">
      <c r="B291" s="15"/>
      <c r="D291" s="15"/>
      <c r="E291" s="13"/>
      <c r="F291" s="15"/>
      <c r="G291" s="14"/>
      <c r="H291" s="15"/>
      <c r="I291" s="14"/>
      <c r="J291" s="15"/>
      <c r="K291" s="14"/>
    </row>
    <row r="292" spans="2:11" ht="12.3" x14ac:dyDescent="0.4">
      <c r="B292" s="15"/>
      <c r="D292" s="15"/>
      <c r="E292" s="13"/>
      <c r="F292" s="15"/>
      <c r="G292" s="14"/>
      <c r="H292" s="15"/>
      <c r="I292" s="14"/>
      <c r="J292" s="15"/>
      <c r="K292" s="14"/>
    </row>
    <row r="293" spans="2:11" ht="12.3" x14ac:dyDescent="0.4">
      <c r="B293" s="15"/>
      <c r="D293" s="15"/>
      <c r="E293" s="13"/>
      <c r="F293" s="15"/>
      <c r="G293" s="14"/>
      <c r="H293" s="15"/>
      <c r="I293" s="14"/>
      <c r="J293" s="15"/>
      <c r="K293" s="14"/>
    </row>
    <row r="294" spans="2:11" ht="12.3" x14ac:dyDescent="0.4">
      <c r="B294" s="15"/>
      <c r="D294" s="15"/>
      <c r="E294" s="13"/>
      <c r="F294" s="15"/>
      <c r="G294" s="14"/>
      <c r="H294" s="15"/>
      <c r="I294" s="14"/>
      <c r="J294" s="15"/>
      <c r="K294" s="14"/>
    </row>
    <row r="295" spans="2:11" ht="12.3" x14ac:dyDescent="0.4">
      <c r="B295" s="15"/>
      <c r="D295" s="15"/>
      <c r="E295" s="13"/>
      <c r="F295" s="15"/>
      <c r="G295" s="14"/>
      <c r="H295" s="15"/>
      <c r="I295" s="14"/>
      <c r="J295" s="15"/>
      <c r="K295" s="14"/>
    </row>
    <row r="296" spans="2:11" ht="12.3" x14ac:dyDescent="0.4">
      <c r="B296" s="15"/>
      <c r="D296" s="15"/>
      <c r="E296" s="13"/>
      <c r="F296" s="15"/>
      <c r="G296" s="14"/>
      <c r="H296" s="15"/>
      <c r="I296" s="14"/>
      <c r="J296" s="15"/>
      <c r="K296" s="14"/>
    </row>
    <row r="297" spans="2:11" ht="12.3" x14ac:dyDescent="0.4">
      <c r="B297" s="15"/>
      <c r="D297" s="15"/>
      <c r="E297" s="13"/>
      <c r="F297" s="15"/>
      <c r="G297" s="14"/>
      <c r="H297" s="15"/>
      <c r="I297" s="14"/>
      <c r="J297" s="15"/>
      <c r="K297" s="14"/>
    </row>
    <row r="298" spans="2:11" ht="12.3" x14ac:dyDescent="0.4">
      <c r="B298" s="15"/>
      <c r="D298" s="15"/>
      <c r="E298" s="13"/>
      <c r="F298" s="15"/>
      <c r="G298" s="14"/>
      <c r="H298" s="15"/>
      <c r="I298" s="14"/>
      <c r="J298" s="15"/>
      <c r="K298" s="14"/>
    </row>
    <row r="299" spans="2:11" ht="12.3" x14ac:dyDescent="0.4">
      <c r="B299" s="15"/>
      <c r="D299" s="15"/>
      <c r="E299" s="13"/>
      <c r="F299" s="15"/>
      <c r="G299" s="14"/>
      <c r="H299" s="15"/>
      <c r="I299" s="14"/>
      <c r="J299" s="15"/>
      <c r="K299" s="14"/>
    </row>
    <row r="300" spans="2:11" ht="12.3" x14ac:dyDescent="0.4">
      <c r="B300" s="15"/>
      <c r="D300" s="15"/>
      <c r="E300" s="13"/>
      <c r="F300" s="15"/>
      <c r="G300" s="14"/>
      <c r="H300" s="15"/>
      <c r="I300" s="14"/>
      <c r="J300" s="15"/>
      <c r="K300" s="14"/>
    </row>
    <row r="301" spans="2:11" ht="12.3" x14ac:dyDescent="0.4">
      <c r="B301" s="15"/>
      <c r="D301" s="15"/>
      <c r="E301" s="13"/>
      <c r="F301" s="15"/>
      <c r="G301" s="14"/>
      <c r="H301" s="15"/>
      <c r="I301" s="14"/>
      <c r="J301" s="15"/>
      <c r="K301" s="14"/>
    </row>
    <row r="302" spans="2:11" ht="12.3" x14ac:dyDescent="0.4">
      <c r="B302" s="15"/>
      <c r="D302" s="15"/>
      <c r="E302" s="13"/>
      <c r="F302" s="15"/>
      <c r="G302" s="14"/>
      <c r="H302" s="15"/>
      <c r="I302" s="14"/>
      <c r="J302" s="15"/>
      <c r="K302" s="14"/>
    </row>
    <row r="303" spans="2:11" ht="12.3" x14ac:dyDescent="0.4">
      <c r="B303" s="15"/>
      <c r="D303" s="15"/>
      <c r="E303" s="13"/>
      <c r="F303" s="15"/>
      <c r="G303" s="14"/>
      <c r="H303" s="15"/>
      <c r="I303" s="14"/>
      <c r="J303" s="15"/>
      <c r="K303" s="14"/>
    </row>
    <row r="304" spans="2:11" ht="12.3" x14ac:dyDescent="0.4">
      <c r="B304" s="15"/>
      <c r="D304" s="15"/>
      <c r="E304" s="13"/>
      <c r="F304" s="15"/>
      <c r="G304" s="14"/>
      <c r="H304" s="15"/>
      <c r="I304" s="14"/>
      <c r="J304" s="15"/>
      <c r="K304" s="14"/>
    </row>
    <row r="305" spans="2:11" ht="12.3" x14ac:dyDescent="0.4">
      <c r="B305" s="15"/>
      <c r="D305" s="15"/>
      <c r="E305" s="13"/>
      <c r="F305" s="15"/>
      <c r="G305" s="14"/>
      <c r="H305" s="15"/>
      <c r="I305" s="14"/>
      <c r="J305" s="15"/>
      <c r="K305" s="14"/>
    </row>
    <row r="306" spans="2:11" ht="12.3" x14ac:dyDescent="0.4">
      <c r="B306" s="15"/>
      <c r="D306" s="15"/>
      <c r="E306" s="13"/>
      <c r="F306" s="15"/>
      <c r="G306" s="14"/>
      <c r="H306" s="15"/>
      <c r="I306" s="14"/>
      <c r="J306" s="15"/>
      <c r="K306" s="14"/>
    </row>
    <row r="307" spans="2:11" ht="12.3" x14ac:dyDescent="0.4">
      <c r="B307" s="15"/>
      <c r="D307" s="15"/>
      <c r="E307" s="13"/>
      <c r="F307" s="15"/>
      <c r="G307" s="14"/>
      <c r="H307" s="15"/>
      <c r="I307" s="14"/>
      <c r="J307" s="15"/>
      <c r="K307" s="14"/>
    </row>
    <row r="308" spans="2:11" ht="12.3" x14ac:dyDescent="0.4">
      <c r="B308" s="15"/>
      <c r="D308" s="15"/>
      <c r="E308" s="13"/>
      <c r="F308" s="15"/>
      <c r="G308" s="14"/>
      <c r="H308" s="15"/>
      <c r="I308" s="14"/>
      <c r="J308" s="15"/>
      <c r="K308" s="14"/>
    </row>
    <row r="309" spans="2:11" ht="12.3" x14ac:dyDescent="0.4">
      <c r="B309" s="15"/>
      <c r="D309" s="15"/>
      <c r="E309" s="13"/>
      <c r="F309" s="15"/>
      <c r="G309" s="14"/>
      <c r="H309" s="15"/>
      <c r="I309" s="14"/>
      <c r="J309" s="15"/>
      <c r="K309" s="14"/>
    </row>
    <row r="310" spans="2:11" ht="12.3" x14ac:dyDescent="0.4">
      <c r="B310" s="15"/>
      <c r="D310" s="15"/>
      <c r="E310" s="13"/>
      <c r="F310" s="15"/>
      <c r="G310" s="14"/>
      <c r="H310" s="15"/>
      <c r="I310" s="14"/>
      <c r="J310" s="15"/>
      <c r="K310" s="14"/>
    </row>
    <row r="311" spans="2:11" ht="12.3" x14ac:dyDescent="0.4">
      <c r="B311" s="15"/>
      <c r="D311" s="15"/>
      <c r="E311" s="13"/>
      <c r="F311" s="15"/>
      <c r="G311" s="14"/>
      <c r="H311" s="15"/>
      <c r="I311" s="14"/>
      <c r="J311" s="15"/>
      <c r="K311" s="14"/>
    </row>
    <row r="312" spans="2:11" ht="12.3" x14ac:dyDescent="0.4">
      <c r="B312" s="15"/>
      <c r="D312" s="15"/>
      <c r="E312" s="13"/>
      <c r="F312" s="15"/>
      <c r="G312" s="14"/>
      <c r="H312" s="15"/>
      <c r="I312" s="14"/>
      <c r="J312" s="15"/>
      <c r="K312" s="14"/>
    </row>
    <row r="313" spans="2:11" ht="12.3" x14ac:dyDescent="0.4">
      <c r="B313" s="15"/>
      <c r="D313" s="15"/>
      <c r="E313" s="13"/>
      <c r="F313" s="15"/>
      <c r="G313" s="14"/>
      <c r="H313" s="15"/>
      <c r="I313" s="14"/>
      <c r="J313" s="15"/>
      <c r="K313" s="14"/>
    </row>
    <row r="314" spans="2:11" ht="12.3" x14ac:dyDescent="0.4">
      <c r="B314" s="15"/>
      <c r="D314" s="15"/>
      <c r="E314" s="13"/>
      <c r="F314" s="15"/>
      <c r="G314" s="14"/>
      <c r="H314" s="15"/>
      <c r="I314" s="14"/>
      <c r="J314" s="15"/>
      <c r="K314" s="14"/>
    </row>
    <row r="315" spans="2:11" ht="12.3" x14ac:dyDescent="0.4">
      <c r="B315" s="15"/>
      <c r="D315" s="15"/>
      <c r="E315" s="13"/>
      <c r="F315" s="15"/>
      <c r="G315" s="14"/>
      <c r="H315" s="15"/>
      <c r="I315" s="14"/>
      <c r="J315" s="15"/>
      <c r="K315" s="14"/>
    </row>
    <row r="316" spans="2:11" ht="12.3" x14ac:dyDescent="0.4">
      <c r="B316" s="15"/>
      <c r="D316" s="15"/>
      <c r="E316" s="13"/>
      <c r="F316" s="15"/>
      <c r="G316" s="14"/>
      <c r="H316" s="15"/>
      <c r="I316" s="14"/>
      <c r="J316" s="15"/>
      <c r="K316" s="14"/>
    </row>
    <row r="317" spans="2:11" ht="12.3" x14ac:dyDescent="0.4">
      <c r="B317" s="15"/>
      <c r="D317" s="15"/>
      <c r="E317" s="13"/>
      <c r="F317" s="15"/>
      <c r="G317" s="14"/>
      <c r="H317" s="15"/>
      <c r="I317" s="14"/>
      <c r="J317" s="15"/>
      <c r="K317" s="14"/>
    </row>
    <row r="318" spans="2:11" ht="12.3" x14ac:dyDescent="0.4">
      <c r="B318" s="15"/>
      <c r="D318" s="15"/>
      <c r="E318" s="13"/>
      <c r="F318" s="15"/>
      <c r="G318" s="14"/>
      <c r="H318" s="15"/>
      <c r="I318" s="14"/>
      <c r="J318" s="15"/>
      <c r="K318" s="14"/>
    </row>
    <row r="319" spans="2:11" ht="12.3" x14ac:dyDescent="0.4">
      <c r="B319" s="15"/>
      <c r="D319" s="15"/>
      <c r="E319" s="13"/>
      <c r="F319" s="15"/>
      <c r="G319" s="14"/>
      <c r="H319" s="15"/>
      <c r="I319" s="14"/>
      <c r="J319" s="15"/>
      <c r="K319" s="14"/>
    </row>
    <row r="320" spans="2:11" ht="12.3" x14ac:dyDescent="0.4">
      <c r="B320" s="15"/>
      <c r="D320" s="15"/>
      <c r="E320" s="13"/>
      <c r="F320" s="15"/>
      <c r="G320" s="14"/>
      <c r="H320" s="15"/>
      <c r="I320" s="14"/>
      <c r="J320" s="15"/>
      <c r="K320" s="14"/>
    </row>
    <row r="321" spans="2:11" ht="12.3" x14ac:dyDescent="0.4">
      <c r="B321" s="15"/>
      <c r="D321" s="15"/>
      <c r="E321" s="13"/>
      <c r="F321" s="15"/>
      <c r="G321" s="14"/>
      <c r="H321" s="15"/>
      <c r="I321" s="14"/>
      <c r="J321" s="15"/>
      <c r="K321" s="14"/>
    </row>
    <row r="322" spans="2:11" ht="12.3" x14ac:dyDescent="0.4">
      <c r="B322" s="15"/>
      <c r="D322" s="15"/>
      <c r="E322" s="13"/>
      <c r="F322" s="15"/>
      <c r="G322" s="14"/>
      <c r="H322" s="15"/>
      <c r="I322" s="14"/>
      <c r="J322" s="15"/>
      <c r="K322" s="14"/>
    </row>
    <row r="323" spans="2:11" ht="12.3" x14ac:dyDescent="0.4">
      <c r="B323" s="15"/>
      <c r="D323" s="15"/>
      <c r="E323" s="13"/>
      <c r="F323" s="15"/>
      <c r="G323" s="14"/>
      <c r="H323" s="15"/>
      <c r="I323" s="14"/>
      <c r="J323" s="15"/>
      <c r="K323" s="14"/>
    </row>
    <row r="324" spans="2:11" ht="12.3" x14ac:dyDescent="0.4">
      <c r="B324" s="15"/>
      <c r="D324" s="15"/>
      <c r="E324" s="13"/>
      <c r="F324" s="15"/>
      <c r="G324" s="14"/>
      <c r="H324" s="15"/>
      <c r="I324" s="14"/>
      <c r="J324" s="15"/>
      <c r="K324" s="14"/>
    </row>
    <row r="325" spans="2:11" ht="12.3" x14ac:dyDescent="0.4">
      <c r="B325" s="15"/>
      <c r="D325" s="15"/>
      <c r="E325" s="13"/>
      <c r="F325" s="15"/>
      <c r="G325" s="14"/>
      <c r="H325" s="15"/>
      <c r="I325" s="14"/>
      <c r="J325" s="15"/>
      <c r="K325" s="14"/>
    </row>
    <row r="326" spans="2:11" ht="12.3" x14ac:dyDescent="0.4">
      <c r="B326" s="15"/>
      <c r="D326" s="15"/>
      <c r="E326" s="13"/>
      <c r="F326" s="15"/>
      <c r="G326" s="14"/>
      <c r="H326" s="15"/>
      <c r="I326" s="14"/>
      <c r="J326" s="15"/>
      <c r="K326" s="14"/>
    </row>
    <row r="327" spans="2:11" ht="12.3" x14ac:dyDescent="0.4">
      <c r="B327" s="15"/>
      <c r="D327" s="15"/>
      <c r="E327" s="13"/>
      <c r="F327" s="15"/>
      <c r="G327" s="14"/>
      <c r="H327" s="15"/>
      <c r="I327" s="14"/>
      <c r="J327" s="15"/>
      <c r="K327" s="14"/>
    </row>
    <row r="328" spans="2:11" ht="12.3" x14ac:dyDescent="0.4">
      <c r="B328" s="15"/>
      <c r="D328" s="15"/>
      <c r="E328" s="13"/>
      <c r="F328" s="15"/>
      <c r="G328" s="14"/>
      <c r="H328" s="15"/>
      <c r="I328" s="14"/>
      <c r="J328" s="15"/>
      <c r="K328" s="14"/>
    </row>
    <row r="329" spans="2:11" ht="12.3" x14ac:dyDescent="0.4">
      <c r="B329" s="15"/>
      <c r="D329" s="15"/>
      <c r="E329" s="13"/>
      <c r="F329" s="15"/>
      <c r="G329" s="14"/>
      <c r="H329" s="15"/>
      <c r="I329" s="14"/>
      <c r="J329" s="15"/>
      <c r="K329" s="14"/>
    </row>
    <row r="330" spans="2:11" ht="12.3" x14ac:dyDescent="0.4">
      <c r="B330" s="15"/>
      <c r="D330" s="15"/>
      <c r="E330" s="13"/>
      <c r="F330" s="15"/>
      <c r="G330" s="14"/>
      <c r="H330" s="15"/>
      <c r="I330" s="14"/>
      <c r="J330" s="15"/>
      <c r="K330" s="14"/>
    </row>
    <row r="331" spans="2:11" ht="12.3" x14ac:dyDescent="0.4">
      <c r="B331" s="15"/>
      <c r="D331" s="15"/>
      <c r="E331" s="13"/>
      <c r="F331" s="15"/>
      <c r="G331" s="14"/>
      <c r="H331" s="15"/>
      <c r="I331" s="14"/>
      <c r="J331" s="15"/>
      <c r="K331" s="14"/>
    </row>
    <row r="332" spans="2:11" ht="12.3" x14ac:dyDescent="0.4">
      <c r="B332" s="15"/>
      <c r="D332" s="15"/>
      <c r="E332" s="13"/>
      <c r="F332" s="15"/>
      <c r="G332" s="14"/>
      <c r="H332" s="15"/>
      <c r="I332" s="14"/>
      <c r="J332" s="15"/>
      <c r="K332" s="14"/>
    </row>
    <row r="333" spans="2:11" ht="12.3" x14ac:dyDescent="0.4">
      <c r="B333" s="15"/>
      <c r="D333" s="15"/>
      <c r="E333" s="13"/>
      <c r="F333" s="15"/>
      <c r="G333" s="14"/>
      <c r="H333" s="15"/>
      <c r="I333" s="14"/>
      <c r="J333" s="15"/>
      <c r="K333" s="14"/>
    </row>
    <row r="334" spans="2:11" ht="12.3" x14ac:dyDescent="0.4">
      <c r="B334" s="15"/>
      <c r="D334" s="15"/>
      <c r="E334" s="13"/>
      <c r="F334" s="15"/>
      <c r="G334" s="14"/>
      <c r="H334" s="15"/>
      <c r="I334" s="14"/>
      <c r="J334" s="15"/>
      <c r="K334" s="14"/>
    </row>
    <row r="335" spans="2:11" ht="12.3" x14ac:dyDescent="0.4">
      <c r="B335" s="15"/>
      <c r="D335" s="15"/>
      <c r="E335" s="13"/>
      <c r="F335" s="15"/>
      <c r="G335" s="14"/>
      <c r="H335" s="15"/>
      <c r="I335" s="14"/>
      <c r="J335" s="15"/>
      <c r="K335" s="14"/>
    </row>
    <row r="336" spans="2:11" ht="12.3" x14ac:dyDescent="0.4">
      <c r="B336" s="15"/>
      <c r="D336" s="15"/>
      <c r="E336" s="13"/>
      <c r="F336" s="15"/>
      <c r="G336" s="14"/>
      <c r="H336" s="15"/>
      <c r="I336" s="14"/>
      <c r="J336" s="15"/>
      <c r="K336" s="14"/>
    </row>
    <row r="337" spans="2:11" ht="12.3" x14ac:dyDescent="0.4">
      <c r="B337" s="15"/>
      <c r="D337" s="15"/>
      <c r="E337" s="13"/>
      <c r="F337" s="15"/>
      <c r="G337" s="14"/>
      <c r="H337" s="15"/>
      <c r="I337" s="14"/>
      <c r="J337" s="15"/>
      <c r="K337" s="14"/>
    </row>
    <row r="338" spans="2:11" ht="12.3" x14ac:dyDescent="0.4">
      <c r="B338" s="15"/>
      <c r="D338" s="15"/>
      <c r="E338" s="13"/>
      <c r="F338" s="15"/>
      <c r="G338" s="14"/>
      <c r="H338" s="15"/>
      <c r="I338" s="14"/>
      <c r="J338" s="15"/>
      <c r="K338" s="14"/>
    </row>
    <row r="339" spans="2:11" ht="12.3" x14ac:dyDescent="0.4">
      <c r="B339" s="15"/>
      <c r="D339" s="15"/>
      <c r="E339" s="13"/>
      <c r="F339" s="15"/>
      <c r="G339" s="14"/>
      <c r="H339" s="15"/>
      <c r="I339" s="14"/>
      <c r="J339" s="15"/>
      <c r="K339" s="14"/>
    </row>
    <row r="340" spans="2:11" ht="12.3" x14ac:dyDescent="0.4">
      <c r="B340" s="15"/>
      <c r="D340" s="15"/>
      <c r="E340" s="13"/>
      <c r="F340" s="15"/>
      <c r="G340" s="14"/>
      <c r="H340" s="15"/>
      <c r="I340" s="14"/>
      <c r="J340" s="15"/>
      <c r="K340" s="14"/>
    </row>
    <row r="341" spans="2:11" ht="12.3" x14ac:dyDescent="0.4">
      <c r="B341" s="15"/>
      <c r="D341" s="15"/>
      <c r="E341" s="13"/>
      <c r="F341" s="15"/>
      <c r="G341" s="14"/>
      <c r="H341" s="15"/>
      <c r="I341" s="14"/>
      <c r="J341" s="15"/>
      <c r="K341" s="14"/>
    </row>
    <row r="342" spans="2:11" ht="12.3" x14ac:dyDescent="0.4">
      <c r="B342" s="15"/>
      <c r="D342" s="15"/>
      <c r="E342" s="13"/>
      <c r="F342" s="15"/>
      <c r="G342" s="14"/>
      <c r="H342" s="15"/>
      <c r="I342" s="14"/>
      <c r="J342" s="15"/>
      <c r="K342" s="14"/>
    </row>
    <row r="343" spans="2:11" ht="12.3" x14ac:dyDescent="0.4">
      <c r="B343" s="15"/>
      <c r="D343" s="15"/>
      <c r="E343" s="13"/>
      <c r="F343" s="15"/>
      <c r="G343" s="14"/>
      <c r="H343" s="15"/>
      <c r="I343" s="14"/>
      <c r="J343" s="15"/>
      <c r="K343" s="14"/>
    </row>
    <row r="344" spans="2:11" ht="12.3" x14ac:dyDescent="0.4">
      <c r="B344" s="15"/>
      <c r="D344" s="15"/>
      <c r="E344" s="13"/>
      <c r="F344" s="15"/>
      <c r="G344" s="14"/>
      <c r="H344" s="15"/>
      <c r="I344" s="14"/>
      <c r="J344" s="15"/>
      <c r="K344" s="14"/>
    </row>
    <row r="345" spans="2:11" ht="12.3" x14ac:dyDescent="0.4">
      <c r="B345" s="15"/>
      <c r="D345" s="15"/>
      <c r="E345" s="13"/>
      <c r="F345" s="15"/>
      <c r="G345" s="14"/>
      <c r="H345" s="15"/>
      <c r="I345" s="14"/>
      <c r="J345" s="15"/>
      <c r="K345" s="14"/>
    </row>
    <row r="346" spans="2:11" ht="12.3" x14ac:dyDescent="0.4">
      <c r="B346" s="15"/>
      <c r="D346" s="15"/>
      <c r="E346" s="13"/>
      <c r="F346" s="15"/>
      <c r="G346" s="14"/>
      <c r="H346" s="15"/>
      <c r="I346" s="14"/>
      <c r="J346" s="15"/>
      <c r="K346" s="14"/>
    </row>
    <row r="347" spans="2:11" ht="12.3" x14ac:dyDescent="0.4">
      <c r="B347" s="15"/>
      <c r="D347" s="15"/>
      <c r="E347" s="13"/>
      <c r="F347" s="15"/>
      <c r="G347" s="14"/>
      <c r="H347" s="15"/>
      <c r="I347" s="14"/>
      <c r="J347" s="15"/>
      <c r="K347" s="14"/>
    </row>
    <row r="348" spans="2:11" ht="12.3" x14ac:dyDescent="0.4">
      <c r="B348" s="15"/>
      <c r="D348" s="15"/>
      <c r="E348" s="13"/>
      <c r="F348" s="15"/>
      <c r="G348" s="14"/>
      <c r="H348" s="15"/>
      <c r="I348" s="14"/>
      <c r="J348" s="15"/>
      <c r="K348" s="14"/>
    </row>
    <row r="349" spans="2:11" ht="12.3" x14ac:dyDescent="0.4">
      <c r="B349" s="15"/>
      <c r="D349" s="15"/>
      <c r="E349" s="13"/>
      <c r="F349" s="15"/>
      <c r="G349" s="14"/>
      <c r="H349" s="15"/>
      <c r="I349" s="14"/>
      <c r="J349" s="15"/>
      <c r="K349" s="14"/>
    </row>
    <row r="350" spans="2:11" ht="12.3" x14ac:dyDescent="0.4">
      <c r="B350" s="15"/>
      <c r="D350" s="15"/>
      <c r="E350" s="13"/>
      <c r="F350" s="15"/>
      <c r="G350" s="14"/>
      <c r="H350" s="15"/>
      <c r="I350" s="14"/>
      <c r="J350" s="15"/>
      <c r="K350" s="14"/>
    </row>
    <row r="351" spans="2:11" ht="12.3" x14ac:dyDescent="0.4">
      <c r="B351" s="15"/>
      <c r="D351" s="15"/>
      <c r="E351" s="13"/>
      <c r="F351" s="15"/>
      <c r="G351" s="14"/>
      <c r="H351" s="15"/>
      <c r="I351" s="14"/>
      <c r="J351" s="15"/>
      <c r="K351" s="14"/>
    </row>
    <row r="352" spans="2:11" ht="12.3" x14ac:dyDescent="0.4">
      <c r="B352" s="15"/>
      <c r="D352" s="15"/>
      <c r="E352" s="13"/>
      <c r="F352" s="15"/>
      <c r="G352" s="14"/>
      <c r="H352" s="15"/>
      <c r="I352" s="14"/>
      <c r="J352" s="15"/>
      <c r="K352" s="14"/>
    </row>
    <row r="353" spans="2:11" ht="12.3" x14ac:dyDescent="0.4">
      <c r="B353" s="15"/>
      <c r="D353" s="15"/>
      <c r="E353" s="13"/>
      <c r="F353" s="15"/>
      <c r="G353" s="14"/>
      <c r="H353" s="15"/>
      <c r="I353" s="14"/>
      <c r="J353" s="15"/>
      <c r="K353" s="14"/>
    </row>
    <row r="354" spans="2:11" ht="12.3" x14ac:dyDescent="0.4">
      <c r="B354" s="15"/>
      <c r="D354" s="15"/>
      <c r="E354" s="13"/>
      <c r="F354" s="15"/>
      <c r="G354" s="14"/>
      <c r="H354" s="15"/>
      <c r="I354" s="14"/>
      <c r="J354" s="15"/>
      <c r="K354" s="14"/>
    </row>
    <row r="355" spans="2:11" ht="12.3" x14ac:dyDescent="0.4">
      <c r="B355" s="15"/>
      <c r="D355" s="15"/>
      <c r="E355" s="13"/>
      <c r="F355" s="15"/>
      <c r="G355" s="14"/>
      <c r="H355" s="15"/>
      <c r="I355" s="14"/>
      <c r="J355" s="15"/>
      <c r="K355" s="14"/>
    </row>
    <row r="356" spans="2:11" ht="12.3" x14ac:dyDescent="0.4">
      <c r="B356" s="15"/>
      <c r="D356" s="15"/>
      <c r="E356" s="13"/>
      <c r="F356" s="15"/>
      <c r="G356" s="14"/>
      <c r="H356" s="15"/>
      <c r="I356" s="14"/>
      <c r="J356" s="15"/>
      <c r="K356" s="14"/>
    </row>
    <row r="357" spans="2:11" ht="12.3" x14ac:dyDescent="0.4">
      <c r="B357" s="15"/>
      <c r="D357" s="15"/>
      <c r="E357" s="13"/>
      <c r="F357" s="15"/>
      <c r="G357" s="14"/>
      <c r="H357" s="15"/>
      <c r="I357" s="14"/>
      <c r="J357" s="15"/>
      <c r="K357" s="14"/>
    </row>
    <row r="358" spans="2:11" ht="12.3" x14ac:dyDescent="0.4">
      <c r="B358" s="15"/>
      <c r="D358" s="15"/>
      <c r="E358" s="13"/>
      <c r="F358" s="15"/>
      <c r="G358" s="14"/>
      <c r="H358" s="15"/>
      <c r="I358" s="14"/>
      <c r="J358" s="15"/>
      <c r="K358" s="14"/>
    </row>
    <row r="359" spans="2:11" ht="12.3" x14ac:dyDescent="0.4">
      <c r="B359" s="15"/>
      <c r="D359" s="15"/>
      <c r="E359" s="13"/>
      <c r="F359" s="15"/>
      <c r="G359" s="14"/>
      <c r="H359" s="15"/>
      <c r="I359" s="14"/>
      <c r="J359" s="15"/>
      <c r="K359" s="14"/>
    </row>
    <row r="360" spans="2:11" ht="12.3" x14ac:dyDescent="0.4">
      <c r="B360" s="15"/>
      <c r="D360" s="15"/>
      <c r="E360" s="13"/>
      <c r="F360" s="15"/>
      <c r="G360" s="14"/>
      <c r="H360" s="15"/>
      <c r="I360" s="14"/>
      <c r="J360" s="15"/>
      <c r="K360" s="14"/>
    </row>
    <row r="361" spans="2:11" ht="12.3" x14ac:dyDescent="0.4">
      <c r="B361" s="15"/>
      <c r="D361" s="15"/>
      <c r="E361" s="13"/>
      <c r="F361" s="15"/>
      <c r="G361" s="14"/>
      <c r="H361" s="15"/>
      <c r="I361" s="14"/>
      <c r="J361" s="15"/>
      <c r="K361" s="14"/>
    </row>
    <row r="362" spans="2:11" ht="12.3" x14ac:dyDescent="0.4">
      <c r="B362" s="15"/>
      <c r="D362" s="15"/>
      <c r="E362" s="13"/>
      <c r="F362" s="15"/>
      <c r="G362" s="14"/>
      <c r="H362" s="15"/>
      <c r="I362" s="14"/>
      <c r="J362" s="15"/>
      <c r="K362" s="14"/>
    </row>
    <row r="363" spans="2:11" ht="12.3" x14ac:dyDescent="0.4">
      <c r="B363" s="15"/>
      <c r="D363" s="15"/>
      <c r="E363" s="13"/>
      <c r="F363" s="15"/>
      <c r="G363" s="14"/>
      <c r="H363" s="15"/>
      <c r="I363" s="14"/>
      <c r="J363" s="15"/>
      <c r="K363" s="14"/>
    </row>
    <row r="364" spans="2:11" ht="12.3" x14ac:dyDescent="0.4">
      <c r="B364" s="15"/>
      <c r="D364" s="15"/>
      <c r="E364" s="13"/>
      <c r="F364" s="15"/>
      <c r="G364" s="14"/>
      <c r="H364" s="15"/>
      <c r="I364" s="14"/>
      <c r="J364" s="15"/>
      <c r="K364" s="14"/>
    </row>
    <row r="365" spans="2:11" ht="12.3" x14ac:dyDescent="0.4">
      <c r="B365" s="15"/>
      <c r="D365" s="15"/>
      <c r="E365" s="13"/>
      <c r="F365" s="15"/>
      <c r="G365" s="14"/>
      <c r="H365" s="15"/>
      <c r="I365" s="14"/>
      <c r="J365" s="15"/>
      <c r="K365" s="14"/>
    </row>
    <row r="366" spans="2:11" ht="12.3" x14ac:dyDescent="0.4">
      <c r="B366" s="15"/>
      <c r="D366" s="15"/>
      <c r="E366" s="13"/>
      <c r="F366" s="15"/>
      <c r="G366" s="14"/>
      <c r="H366" s="15"/>
      <c r="I366" s="14"/>
      <c r="J366" s="15"/>
      <c r="K366" s="14"/>
    </row>
    <row r="367" spans="2:11" ht="12.3" x14ac:dyDescent="0.4">
      <c r="B367" s="15"/>
      <c r="D367" s="15"/>
      <c r="E367" s="13"/>
      <c r="F367" s="15"/>
      <c r="G367" s="14"/>
      <c r="H367" s="15"/>
      <c r="I367" s="14"/>
      <c r="J367" s="15"/>
      <c r="K367" s="14"/>
    </row>
    <row r="368" spans="2:11" ht="12.3" x14ac:dyDescent="0.4">
      <c r="B368" s="15"/>
      <c r="D368" s="15"/>
      <c r="E368" s="13"/>
      <c r="F368" s="15"/>
      <c r="G368" s="14"/>
      <c r="H368" s="15"/>
      <c r="I368" s="14"/>
      <c r="J368" s="15"/>
      <c r="K368" s="14"/>
    </row>
    <row r="369" spans="2:11" ht="12.3" x14ac:dyDescent="0.4">
      <c r="B369" s="15"/>
      <c r="D369" s="15"/>
      <c r="E369" s="13"/>
      <c r="F369" s="15"/>
      <c r="G369" s="14"/>
      <c r="H369" s="15"/>
      <c r="I369" s="14"/>
      <c r="J369" s="15"/>
      <c r="K369" s="14"/>
    </row>
    <row r="370" spans="2:11" ht="12.3" x14ac:dyDescent="0.4">
      <c r="B370" s="15"/>
      <c r="D370" s="15"/>
      <c r="E370" s="13"/>
      <c r="F370" s="15"/>
      <c r="G370" s="14"/>
      <c r="H370" s="15"/>
      <c r="I370" s="14"/>
      <c r="J370" s="15"/>
      <c r="K370" s="14"/>
    </row>
    <row r="371" spans="2:11" ht="12.3" x14ac:dyDescent="0.4">
      <c r="B371" s="15"/>
      <c r="D371" s="15"/>
      <c r="E371" s="13"/>
      <c r="F371" s="15"/>
      <c r="G371" s="14"/>
      <c r="H371" s="15"/>
      <c r="I371" s="14"/>
      <c r="J371" s="15"/>
      <c r="K371" s="14"/>
    </row>
    <row r="372" spans="2:11" ht="12.3" x14ac:dyDescent="0.4">
      <c r="B372" s="15"/>
      <c r="D372" s="15"/>
      <c r="E372" s="13"/>
      <c r="F372" s="15"/>
      <c r="G372" s="14"/>
      <c r="H372" s="15"/>
      <c r="I372" s="14"/>
      <c r="J372" s="15"/>
      <c r="K372" s="14"/>
    </row>
    <row r="373" spans="2:11" ht="12.3" x14ac:dyDescent="0.4">
      <c r="B373" s="15"/>
      <c r="D373" s="15"/>
      <c r="E373" s="13"/>
      <c r="F373" s="15"/>
      <c r="G373" s="14"/>
      <c r="H373" s="15"/>
      <c r="I373" s="14"/>
      <c r="J373" s="15"/>
      <c r="K373" s="14"/>
    </row>
    <row r="374" spans="2:11" ht="12.3" x14ac:dyDescent="0.4">
      <c r="B374" s="15"/>
      <c r="D374" s="15"/>
      <c r="E374" s="13"/>
      <c r="F374" s="15"/>
      <c r="G374" s="14"/>
      <c r="H374" s="15"/>
      <c r="I374" s="14"/>
      <c r="J374" s="15"/>
      <c r="K374" s="14"/>
    </row>
    <row r="375" spans="2:11" ht="12.3" x14ac:dyDescent="0.4">
      <c r="B375" s="15"/>
      <c r="D375" s="15"/>
      <c r="E375" s="13"/>
      <c r="F375" s="15"/>
      <c r="G375" s="14"/>
      <c r="H375" s="15"/>
      <c r="I375" s="14"/>
      <c r="J375" s="15"/>
      <c r="K375" s="14"/>
    </row>
    <row r="376" spans="2:11" ht="12.3" x14ac:dyDescent="0.4">
      <c r="B376" s="15"/>
      <c r="D376" s="15"/>
      <c r="E376" s="13"/>
      <c r="F376" s="15"/>
      <c r="G376" s="14"/>
      <c r="H376" s="15"/>
      <c r="I376" s="14"/>
      <c r="J376" s="15"/>
      <c r="K376" s="14"/>
    </row>
    <row r="377" spans="2:11" ht="12.3" x14ac:dyDescent="0.4">
      <c r="B377" s="15"/>
      <c r="D377" s="15"/>
      <c r="E377" s="13"/>
      <c r="F377" s="15"/>
      <c r="G377" s="14"/>
      <c r="H377" s="15"/>
      <c r="I377" s="14"/>
      <c r="J377" s="15"/>
      <c r="K377" s="14"/>
    </row>
    <row r="378" spans="2:11" ht="12.3" x14ac:dyDescent="0.4">
      <c r="B378" s="15"/>
      <c r="D378" s="15"/>
      <c r="E378" s="13"/>
      <c r="F378" s="15"/>
      <c r="G378" s="14"/>
      <c r="H378" s="15"/>
      <c r="I378" s="14"/>
      <c r="J378" s="15"/>
      <c r="K378" s="14"/>
    </row>
    <row r="379" spans="2:11" ht="12.3" x14ac:dyDescent="0.4">
      <c r="B379" s="15"/>
      <c r="D379" s="15"/>
      <c r="E379" s="13"/>
      <c r="F379" s="15"/>
      <c r="G379" s="14"/>
      <c r="H379" s="15"/>
      <c r="I379" s="14"/>
      <c r="J379" s="15"/>
      <c r="K379" s="14"/>
    </row>
    <row r="380" spans="2:11" ht="12.3" x14ac:dyDescent="0.4">
      <c r="B380" s="15"/>
      <c r="D380" s="15"/>
      <c r="E380" s="13"/>
      <c r="F380" s="15"/>
      <c r="G380" s="14"/>
      <c r="H380" s="15"/>
      <c r="I380" s="14"/>
      <c r="J380" s="15"/>
      <c r="K380" s="14"/>
    </row>
    <row r="381" spans="2:11" ht="12.3" x14ac:dyDescent="0.4">
      <c r="B381" s="15"/>
      <c r="D381" s="15"/>
      <c r="E381" s="13"/>
      <c r="F381" s="15"/>
      <c r="G381" s="14"/>
      <c r="H381" s="15"/>
      <c r="I381" s="14"/>
      <c r="J381" s="15"/>
      <c r="K381" s="14"/>
    </row>
    <row r="382" spans="2:11" ht="12.3" x14ac:dyDescent="0.4">
      <c r="B382" s="15"/>
      <c r="D382" s="15"/>
      <c r="E382" s="13"/>
      <c r="F382" s="15"/>
      <c r="G382" s="14"/>
      <c r="H382" s="15"/>
      <c r="I382" s="14"/>
      <c r="J382" s="15"/>
      <c r="K382" s="14"/>
    </row>
    <row r="383" spans="2:11" ht="12.3" x14ac:dyDescent="0.4">
      <c r="B383" s="15"/>
      <c r="D383" s="15"/>
      <c r="E383" s="13"/>
      <c r="F383" s="15"/>
      <c r="G383" s="14"/>
      <c r="H383" s="15"/>
      <c r="I383" s="14"/>
      <c r="J383" s="15"/>
      <c r="K383" s="14"/>
    </row>
    <row r="384" spans="2:11" ht="12.3" x14ac:dyDescent="0.4">
      <c r="B384" s="15"/>
      <c r="D384" s="15"/>
      <c r="E384" s="13"/>
      <c r="F384" s="15"/>
      <c r="G384" s="14"/>
      <c r="H384" s="15"/>
      <c r="I384" s="14"/>
      <c r="J384" s="15"/>
      <c r="K384" s="14"/>
    </row>
    <row r="385" spans="2:11" ht="12.3" x14ac:dyDescent="0.4">
      <c r="B385" s="15"/>
      <c r="D385" s="15"/>
      <c r="E385" s="13"/>
      <c r="F385" s="15"/>
      <c r="G385" s="14"/>
      <c r="H385" s="15"/>
      <c r="I385" s="14"/>
      <c r="J385" s="15"/>
      <c r="K385" s="14"/>
    </row>
    <row r="386" spans="2:11" ht="12.3" x14ac:dyDescent="0.4">
      <c r="B386" s="15"/>
      <c r="D386" s="15"/>
      <c r="E386" s="13"/>
      <c r="F386" s="15"/>
      <c r="G386" s="14"/>
      <c r="H386" s="15"/>
      <c r="I386" s="14"/>
      <c r="J386" s="15"/>
      <c r="K386" s="14"/>
    </row>
    <row r="387" spans="2:11" ht="12.3" x14ac:dyDescent="0.4">
      <c r="B387" s="15"/>
      <c r="D387" s="15"/>
      <c r="E387" s="13"/>
      <c r="F387" s="15"/>
      <c r="G387" s="14"/>
      <c r="H387" s="15"/>
      <c r="I387" s="14"/>
      <c r="J387" s="15"/>
      <c r="K387" s="14"/>
    </row>
    <row r="388" spans="2:11" ht="12.3" x14ac:dyDescent="0.4">
      <c r="B388" s="15"/>
      <c r="D388" s="15"/>
      <c r="E388" s="13"/>
      <c r="F388" s="15"/>
      <c r="G388" s="14"/>
      <c r="H388" s="15"/>
      <c r="I388" s="14"/>
      <c r="J388" s="15"/>
      <c r="K388" s="14"/>
    </row>
    <row r="389" spans="2:11" ht="12.3" x14ac:dyDescent="0.4">
      <c r="B389" s="15"/>
      <c r="D389" s="15"/>
      <c r="E389" s="13"/>
      <c r="F389" s="15"/>
      <c r="G389" s="14"/>
      <c r="H389" s="15"/>
      <c r="I389" s="14"/>
      <c r="J389" s="15"/>
      <c r="K389" s="14"/>
    </row>
    <row r="390" spans="2:11" ht="12.3" x14ac:dyDescent="0.4">
      <c r="B390" s="15"/>
      <c r="D390" s="15"/>
      <c r="E390" s="13"/>
      <c r="F390" s="15"/>
      <c r="G390" s="14"/>
      <c r="H390" s="15"/>
      <c r="I390" s="14"/>
      <c r="J390" s="15"/>
      <c r="K390" s="14"/>
    </row>
    <row r="391" spans="2:11" ht="12.3" x14ac:dyDescent="0.4">
      <c r="B391" s="15"/>
      <c r="D391" s="15"/>
      <c r="E391" s="13"/>
      <c r="F391" s="15"/>
      <c r="G391" s="14"/>
      <c r="H391" s="15"/>
      <c r="I391" s="14"/>
      <c r="J391" s="15"/>
      <c r="K391" s="14"/>
    </row>
    <row r="392" spans="2:11" ht="12.3" x14ac:dyDescent="0.4">
      <c r="B392" s="15"/>
      <c r="D392" s="15"/>
      <c r="E392" s="13"/>
      <c r="F392" s="15"/>
      <c r="G392" s="14"/>
      <c r="H392" s="15"/>
      <c r="I392" s="14"/>
      <c r="J392" s="15"/>
      <c r="K392" s="14"/>
    </row>
    <row r="393" spans="2:11" ht="12.3" x14ac:dyDescent="0.4">
      <c r="B393" s="15"/>
      <c r="D393" s="15"/>
      <c r="E393" s="13"/>
      <c r="F393" s="15"/>
      <c r="G393" s="14"/>
      <c r="H393" s="15"/>
      <c r="I393" s="14"/>
      <c r="J393" s="15"/>
      <c r="K393" s="14"/>
    </row>
    <row r="394" spans="2:11" ht="12.3" x14ac:dyDescent="0.4">
      <c r="B394" s="15"/>
      <c r="D394" s="15"/>
      <c r="E394" s="13"/>
      <c r="F394" s="15"/>
      <c r="G394" s="14"/>
      <c r="H394" s="15"/>
      <c r="I394" s="14"/>
      <c r="J394" s="15"/>
      <c r="K394" s="14"/>
    </row>
    <row r="395" spans="2:11" ht="12.3" x14ac:dyDescent="0.4">
      <c r="B395" s="15"/>
      <c r="D395" s="15"/>
      <c r="E395" s="13"/>
      <c r="F395" s="15"/>
      <c r="G395" s="14"/>
      <c r="H395" s="15"/>
      <c r="I395" s="14"/>
      <c r="J395" s="15"/>
      <c r="K395" s="14"/>
    </row>
    <row r="396" spans="2:11" ht="12.3" x14ac:dyDescent="0.4">
      <c r="B396" s="15"/>
      <c r="D396" s="15"/>
      <c r="E396" s="13"/>
      <c r="F396" s="15"/>
      <c r="G396" s="14"/>
      <c r="H396" s="15"/>
      <c r="I396" s="14"/>
      <c r="J396" s="15"/>
      <c r="K396" s="14"/>
    </row>
    <row r="397" spans="2:11" ht="12.3" x14ac:dyDescent="0.4">
      <c r="B397" s="15"/>
      <c r="D397" s="15"/>
      <c r="E397" s="13"/>
      <c r="F397" s="15"/>
      <c r="G397" s="14"/>
      <c r="H397" s="15"/>
      <c r="I397" s="14"/>
      <c r="J397" s="15"/>
      <c r="K397" s="14"/>
    </row>
    <row r="398" spans="2:11" ht="12.3" x14ac:dyDescent="0.4">
      <c r="B398" s="15"/>
      <c r="D398" s="15"/>
      <c r="E398" s="13"/>
      <c r="F398" s="15"/>
      <c r="G398" s="14"/>
      <c r="H398" s="15"/>
      <c r="I398" s="14"/>
      <c r="J398" s="15"/>
      <c r="K398" s="14"/>
    </row>
    <row r="399" spans="2:11" ht="12.3" x14ac:dyDescent="0.4">
      <c r="B399" s="15"/>
      <c r="D399" s="15"/>
      <c r="E399" s="13"/>
      <c r="F399" s="15"/>
      <c r="G399" s="14"/>
      <c r="H399" s="15"/>
      <c r="I399" s="14"/>
      <c r="J399" s="15"/>
      <c r="K399" s="14"/>
    </row>
    <row r="400" spans="2:11" ht="12.3" x14ac:dyDescent="0.4">
      <c r="B400" s="15"/>
      <c r="D400" s="15"/>
      <c r="E400" s="13"/>
      <c r="F400" s="15"/>
      <c r="G400" s="14"/>
      <c r="H400" s="15"/>
      <c r="I400" s="14"/>
      <c r="J400" s="15"/>
      <c r="K400" s="14"/>
    </row>
    <row r="401" spans="2:11" ht="12.3" x14ac:dyDescent="0.4">
      <c r="B401" s="15"/>
      <c r="D401" s="15"/>
      <c r="E401" s="13"/>
      <c r="F401" s="15"/>
      <c r="G401" s="14"/>
      <c r="H401" s="15"/>
      <c r="I401" s="14"/>
      <c r="J401" s="15"/>
      <c r="K401" s="14"/>
    </row>
    <row r="402" spans="2:11" ht="12.3" x14ac:dyDescent="0.4">
      <c r="B402" s="15"/>
      <c r="D402" s="15"/>
      <c r="E402" s="13"/>
      <c r="F402" s="15"/>
      <c r="G402" s="14"/>
      <c r="H402" s="15"/>
      <c r="I402" s="14"/>
      <c r="J402" s="15"/>
      <c r="K402" s="14"/>
    </row>
    <row r="403" spans="2:11" ht="12.3" x14ac:dyDescent="0.4">
      <c r="B403" s="15"/>
      <c r="D403" s="15"/>
      <c r="E403" s="13"/>
      <c r="F403" s="15"/>
      <c r="G403" s="14"/>
      <c r="H403" s="15"/>
      <c r="I403" s="14"/>
      <c r="J403" s="15"/>
      <c r="K403" s="14"/>
    </row>
    <row r="404" spans="2:11" ht="12.3" x14ac:dyDescent="0.4">
      <c r="B404" s="15"/>
      <c r="D404" s="15"/>
      <c r="E404" s="13"/>
      <c r="F404" s="15"/>
      <c r="G404" s="14"/>
      <c r="H404" s="15"/>
      <c r="I404" s="14"/>
      <c r="J404" s="15"/>
      <c r="K404" s="14"/>
    </row>
    <row r="405" spans="2:11" ht="12.3" x14ac:dyDescent="0.4">
      <c r="B405" s="15"/>
      <c r="D405" s="15"/>
      <c r="E405" s="13"/>
      <c r="F405" s="15"/>
      <c r="G405" s="14"/>
      <c r="H405" s="15"/>
      <c r="I405" s="14"/>
      <c r="J405" s="15"/>
      <c r="K405" s="14"/>
    </row>
    <row r="406" spans="2:11" ht="12.3" x14ac:dyDescent="0.4">
      <c r="B406" s="15"/>
      <c r="D406" s="15"/>
      <c r="E406" s="13"/>
      <c r="F406" s="15"/>
      <c r="G406" s="14"/>
      <c r="H406" s="15"/>
      <c r="I406" s="14"/>
      <c r="J406" s="15"/>
      <c r="K406" s="14"/>
    </row>
    <row r="407" spans="2:11" ht="12.3" x14ac:dyDescent="0.4">
      <c r="B407" s="15"/>
      <c r="D407" s="15"/>
      <c r="E407" s="13"/>
      <c r="F407" s="15"/>
      <c r="G407" s="14"/>
      <c r="H407" s="15"/>
      <c r="I407" s="14"/>
      <c r="J407" s="15"/>
      <c r="K407" s="14"/>
    </row>
    <row r="408" spans="2:11" ht="12.3" x14ac:dyDescent="0.4">
      <c r="B408" s="15"/>
      <c r="D408" s="15"/>
      <c r="E408" s="13"/>
      <c r="F408" s="15"/>
      <c r="G408" s="14"/>
      <c r="H408" s="15"/>
      <c r="I408" s="14"/>
      <c r="J408" s="15"/>
      <c r="K408" s="14"/>
    </row>
    <row r="409" spans="2:11" ht="12.3" x14ac:dyDescent="0.4">
      <c r="B409" s="15"/>
      <c r="D409" s="15"/>
      <c r="E409" s="13"/>
      <c r="F409" s="15"/>
      <c r="G409" s="14"/>
      <c r="H409" s="15"/>
      <c r="I409" s="14"/>
      <c r="J409" s="15"/>
      <c r="K409" s="14"/>
    </row>
    <row r="410" spans="2:11" ht="12.3" x14ac:dyDescent="0.4">
      <c r="B410" s="15"/>
      <c r="D410" s="15"/>
      <c r="E410" s="13"/>
      <c r="F410" s="15"/>
      <c r="G410" s="14"/>
      <c r="H410" s="15"/>
      <c r="I410" s="14"/>
      <c r="J410" s="15"/>
      <c r="K410" s="14"/>
    </row>
    <row r="411" spans="2:11" ht="12.3" x14ac:dyDescent="0.4">
      <c r="B411" s="15"/>
      <c r="D411" s="15"/>
      <c r="E411" s="13"/>
      <c r="F411" s="15"/>
      <c r="G411" s="14"/>
      <c r="H411" s="15"/>
      <c r="I411" s="14"/>
      <c r="J411" s="15"/>
      <c r="K411" s="14"/>
    </row>
    <row r="412" spans="2:11" ht="12.3" x14ac:dyDescent="0.4">
      <c r="B412" s="15"/>
      <c r="D412" s="15"/>
      <c r="E412" s="13"/>
      <c r="F412" s="15"/>
      <c r="G412" s="14"/>
      <c r="H412" s="15"/>
      <c r="I412" s="14"/>
      <c r="J412" s="15"/>
      <c r="K412" s="14"/>
    </row>
    <row r="413" spans="2:11" ht="12.3" x14ac:dyDescent="0.4">
      <c r="B413" s="15"/>
      <c r="D413" s="15"/>
      <c r="E413" s="13"/>
      <c r="F413" s="15"/>
      <c r="G413" s="14"/>
      <c r="H413" s="15"/>
      <c r="I413" s="14"/>
      <c r="J413" s="15"/>
      <c r="K413" s="14"/>
    </row>
    <row r="414" spans="2:11" ht="12.3" x14ac:dyDescent="0.4">
      <c r="B414" s="15"/>
      <c r="D414" s="15"/>
      <c r="E414" s="13"/>
      <c r="F414" s="15"/>
      <c r="G414" s="14"/>
      <c r="H414" s="15"/>
      <c r="I414" s="14"/>
      <c r="J414" s="15"/>
      <c r="K414" s="14"/>
    </row>
    <row r="415" spans="2:11" ht="12.3" x14ac:dyDescent="0.4">
      <c r="B415" s="15"/>
      <c r="D415" s="15"/>
      <c r="E415" s="13"/>
      <c r="F415" s="15"/>
      <c r="G415" s="14"/>
      <c r="H415" s="15"/>
      <c r="I415" s="14"/>
      <c r="J415" s="15"/>
      <c r="K415" s="14"/>
    </row>
    <row r="416" spans="2:11" ht="12.3" x14ac:dyDescent="0.4">
      <c r="B416" s="15"/>
      <c r="D416" s="15"/>
      <c r="E416" s="13"/>
      <c r="F416" s="15"/>
      <c r="G416" s="14"/>
      <c r="H416" s="15"/>
      <c r="I416" s="14"/>
      <c r="J416" s="15"/>
      <c r="K416" s="14"/>
    </row>
    <row r="417" spans="2:11" ht="12.3" x14ac:dyDescent="0.4">
      <c r="B417" s="15"/>
      <c r="D417" s="15"/>
      <c r="E417" s="13"/>
      <c r="F417" s="15"/>
      <c r="G417" s="14"/>
      <c r="H417" s="15"/>
      <c r="I417" s="14"/>
      <c r="J417" s="15"/>
      <c r="K417" s="14"/>
    </row>
    <row r="418" spans="2:11" ht="12.3" x14ac:dyDescent="0.4">
      <c r="B418" s="15"/>
      <c r="D418" s="15"/>
      <c r="E418" s="13"/>
      <c r="F418" s="15"/>
      <c r="G418" s="14"/>
      <c r="H418" s="15"/>
      <c r="I418" s="14"/>
      <c r="J418" s="15"/>
      <c r="K418" s="14"/>
    </row>
    <row r="419" spans="2:11" ht="12.3" x14ac:dyDescent="0.4">
      <c r="B419" s="15"/>
      <c r="D419" s="15"/>
      <c r="E419" s="13"/>
      <c r="F419" s="15"/>
      <c r="G419" s="14"/>
      <c r="H419" s="15"/>
      <c r="I419" s="14"/>
      <c r="J419" s="15"/>
      <c r="K419" s="14"/>
    </row>
    <row r="420" spans="2:11" ht="12.3" x14ac:dyDescent="0.4">
      <c r="B420" s="15"/>
      <c r="D420" s="15"/>
      <c r="E420" s="13"/>
      <c r="F420" s="15"/>
      <c r="G420" s="14"/>
      <c r="H420" s="15"/>
      <c r="I420" s="14"/>
      <c r="J420" s="15"/>
      <c r="K420" s="14"/>
    </row>
    <row r="421" spans="2:11" ht="12.3" x14ac:dyDescent="0.4">
      <c r="B421" s="15"/>
      <c r="D421" s="15"/>
      <c r="E421" s="13"/>
      <c r="F421" s="15"/>
      <c r="G421" s="14"/>
      <c r="H421" s="15"/>
      <c r="I421" s="14"/>
      <c r="J421" s="15"/>
      <c r="K421" s="14"/>
    </row>
    <row r="422" spans="2:11" ht="12.3" x14ac:dyDescent="0.4">
      <c r="B422" s="15"/>
      <c r="D422" s="15"/>
      <c r="E422" s="13"/>
      <c r="F422" s="15"/>
      <c r="G422" s="14"/>
      <c r="H422" s="15"/>
      <c r="I422" s="14"/>
      <c r="J422" s="15"/>
      <c r="K422" s="14"/>
    </row>
    <row r="423" spans="2:11" ht="12.3" x14ac:dyDescent="0.4">
      <c r="B423" s="15"/>
      <c r="D423" s="15"/>
      <c r="E423" s="13"/>
      <c r="F423" s="15"/>
      <c r="G423" s="14"/>
      <c r="H423" s="15"/>
      <c r="I423" s="14"/>
      <c r="J423" s="15"/>
      <c r="K423" s="14"/>
    </row>
    <row r="424" spans="2:11" ht="12.3" x14ac:dyDescent="0.4">
      <c r="B424" s="15"/>
      <c r="D424" s="15"/>
      <c r="E424" s="13"/>
      <c r="F424" s="15"/>
      <c r="G424" s="14"/>
      <c r="H424" s="15"/>
      <c r="I424" s="14"/>
      <c r="J424" s="15"/>
      <c r="K424" s="14"/>
    </row>
    <row r="425" spans="2:11" ht="12.3" x14ac:dyDescent="0.4">
      <c r="B425" s="15"/>
      <c r="D425" s="15"/>
      <c r="E425" s="13"/>
      <c r="F425" s="15"/>
      <c r="G425" s="14"/>
      <c r="H425" s="15"/>
      <c r="I425" s="14"/>
      <c r="J425" s="15"/>
      <c r="K425" s="14"/>
    </row>
    <row r="426" spans="2:11" ht="12.3" x14ac:dyDescent="0.4">
      <c r="B426" s="15"/>
      <c r="D426" s="15"/>
      <c r="E426" s="13"/>
      <c r="F426" s="15"/>
      <c r="G426" s="14"/>
      <c r="H426" s="15"/>
      <c r="I426" s="14"/>
      <c r="J426" s="15"/>
      <c r="K426" s="14"/>
    </row>
    <row r="427" spans="2:11" ht="12.3" x14ac:dyDescent="0.4">
      <c r="B427" s="15"/>
      <c r="D427" s="15"/>
      <c r="E427" s="13"/>
      <c r="F427" s="15"/>
      <c r="G427" s="14"/>
      <c r="H427" s="15"/>
      <c r="I427" s="14"/>
      <c r="J427" s="15"/>
      <c r="K427" s="14"/>
    </row>
    <row r="428" spans="2:11" ht="12.3" x14ac:dyDescent="0.4">
      <c r="B428" s="15"/>
      <c r="D428" s="15"/>
      <c r="E428" s="13"/>
      <c r="F428" s="15"/>
      <c r="G428" s="14"/>
      <c r="H428" s="15"/>
      <c r="I428" s="14"/>
      <c r="J428" s="15"/>
      <c r="K428" s="14"/>
    </row>
    <row r="429" spans="2:11" ht="12.3" x14ac:dyDescent="0.4">
      <c r="B429" s="15"/>
      <c r="D429" s="15"/>
      <c r="E429" s="13"/>
      <c r="F429" s="15"/>
      <c r="G429" s="14"/>
      <c r="H429" s="15"/>
      <c r="I429" s="14"/>
      <c r="J429" s="15"/>
      <c r="K429" s="14"/>
    </row>
    <row r="430" spans="2:11" ht="12.3" x14ac:dyDescent="0.4">
      <c r="B430" s="15"/>
      <c r="D430" s="15"/>
      <c r="E430" s="13"/>
      <c r="F430" s="15"/>
      <c r="G430" s="14"/>
      <c r="H430" s="15"/>
      <c r="I430" s="14"/>
      <c r="J430" s="15"/>
      <c r="K430" s="14"/>
    </row>
    <row r="431" spans="2:11" ht="12.3" x14ac:dyDescent="0.4">
      <c r="B431" s="15"/>
      <c r="D431" s="15"/>
      <c r="E431" s="13"/>
      <c r="F431" s="15"/>
      <c r="G431" s="14"/>
      <c r="H431" s="15"/>
      <c r="I431" s="14"/>
      <c r="J431" s="15"/>
      <c r="K431" s="14"/>
    </row>
    <row r="432" spans="2:11" ht="12.3" x14ac:dyDescent="0.4">
      <c r="B432" s="15"/>
      <c r="D432" s="15"/>
      <c r="E432" s="13"/>
      <c r="F432" s="15"/>
      <c r="G432" s="14"/>
      <c r="H432" s="15"/>
      <c r="I432" s="14"/>
      <c r="J432" s="15"/>
      <c r="K432" s="14"/>
    </row>
    <row r="433" spans="2:11" ht="12.3" x14ac:dyDescent="0.4">
      <c r="B433" s="15"/>
      <c r="D433" s="15"/>
      <c r="E433" s="13"/>
      <c r="F433" s="15"/>
      <c r="G433" s="14"/>
      <c r="H433" s="15"/>
      <c r="I433" s="14"/>
      <c r="J433" s="15"/>
      <c r="K433" s="14"/>
    </row>
    <row r="434" spans="2:11" ht="12.3" x14ac:dyDescent="0.4">
      <c r="B434" s="15"/>
      <c r="D434" s="15"/>
      <c r="E434" s="13"/>
      <c r="F434" s="15"/>
      <c r="G434" s="14"/>
      <c r="H434" s="15"/>
      <c r="I434" s="14"/>
      <c r="J434" s="15"/>
      <c r="K434" s="14"/>
    </row>
    <row r="435" spans="2:11" ht="12.3" x14ac:dyDescent="0.4">
      <c r="B435" s="15"/>
      <c r="D435" s="15"/>
      <c r="E435" s="13"/>
      <c r="F435" s="15"/>
      <c r="G435" s="14"/>
      <c r="H435" s="15"/>
      <c r="I435" s="14"/>
      <c r="J435" s="15"/>
      <c r="K435" s="14"/>
    </row>
    <row r="436" spans="2:11" ht="12.3" x14ac:dyDescent="0.4">
      <c r="B436" s="15"/>
      <c r="D436" s="15"/>
      <c r="E436" s="13"/>
      <c r="F436" s="15"/>
      <c r="G436" s="14"/>
      <c r="H436" s="15"/>
      <c r="I436" s="14"/>
      <c r="J436" s="15"/>
      <c r="K436" s="14"/>
    </row>
    <row r="437" spans="2:11" ht="12.3" x14ac:dyDescent="0.4">
      <c r="B437" s="15"/>
      <c r="D437" s="15"/>
      <c r="E437" s="13"/>
      <c r="F437" s="15"/>
      <c r="G437" s="14"/>
      <c r="H437" s="15"/>
      <c r="I437" s="14"/>
      <c r="J437" s="15"/>
      <c r="K437" s="14"/>
    </row>
    <row r="438" spans="2:11" ht="12.3" x14ac:dyDescent="0.4">
      <c r="B438" s="15"/>
      <c r="D438" s="15"/>
      <c r="E438" s="13"/>
      <c r="F438" s="15"/>
      <c r="G438" s="14"/>
      <c r="H438" s="15"/>
      <c r="I438" s="14"/>
      <c r="J438" s="15"/>
      <c r="K438" s="14"/>
    </row>
    <row r="439" spans="2:11" ht="12.3" x14ac:dyDescent="0.4">
      <c r="B439" s="15"/>
      <c r="D439" s="15"/>
      <c r="E439" s="13"/>
      <c r="F439" s="15"/>
      <c r="G439" s="14"/>
      <c r="H439" s="15"/>
      <c r="I439" s="14"/>
      <c r="J439" s="15"/>
      <c r="K439" s="14"/>
    </row>
    <row r="440" spans="2:11" ht="12.3" x14ac:dyDescent="0.4">
      <c r="B440" s="15"/>
      <c r="D440" s="15"/>
      <c r="E440" s="13"/>
      <c r="F440" s="15"/>
      <c r="G440" s="14"/>
      <c r="H440" s="15"/>
      <c r="I440" s="14"/>
      <c r="J440" s="15"/>
      <c r="K440" s="14"/>
    </row>
    <row r="441" spans="2:11" ht="12.3" x14ac:dyDescent="0.4">
      <c r="B441" s="15"/>
      <c r="D441" s="15"/>
      <c r="E441" s="13"/>
      <c r="F441" s="15"/>
      <c r="G441" s="14"/>
      <c r="H441" s="15"/>
      <c r="I441" s="14"/>
      <c r="J441" s="15"/>
      <c r="K441" s="14"/>
    </row>
    <row r="442" spans="2:11" ht="12.3" x14ac:dyDescent="0.4">
      <c r="B442" s="15"/>
      <c r="D442" s="15"/>
      <c r="E442" s="13"/>
      <c r="F442" s="15"/>
      <c r="G442" s="14"/>
      <c r="H442" s="15"/>
      <c r="I442" s="14"/>
      <c r="J442" s="15"/>
      <c r="K442" s="14"/>
    </row>
    <row r="443" spans="2:11" ht="12.3" x14ac:dyDescent="0.4">
      <c r="B443" s="15"/>
      <c r="D443" s="15"/>
      <c r="E443" s="13"/>
      <c r="F443" s="15"/>
      <c r="G443" s="14"/>
      <c r="H443" s="15"/>
      <c r="I443" s="14"/>
      <c r="J443" s="15"/>
      <c r="K443" s="14"/>
    </row>
    <row r="444" spans="2:11" ht="12.3" x14ac:dyDescent="0.4">
      <c r="B444" s="15"/>
      <c r="D444" s="15"/>
      <c r="E444" s="13"/>
      <c r="F444" s="15"/>
      <c r="G444" s="14"/>
      <c r="H444" s="15"/>
      <c r="I444" s="14"/>
      <c r="J444" s="15"/>
      <c r="K444" s="14"/>
    </row>
    <row r="445" spans="2:11" ht="12.3" x14ac:dyDescent="0.4">
      <c r="B445" s="15"/>
      <c r="D445" s="15"/>
      <c r="E445" s="13"/>
      <c r="F445" s="15"/>
      <c r="G445" s="14"/>
      <c r="H445" s="15"/>
      <c r="I445" s="14"/>
      <c r="J445" s="15"/>
      <c r="K445" s="14"/>
    </row>
    <row r="446" spans="2:11" ht="12.3" x14ac:dyDescent="0.4">
      <c r="B446" s="15"/>
      <c r="D446" s="15"/>
      <c r="E446" s="13"/>
      <c r="F446" s="15"/>
      <c r="G446" s="14"/>
      <c r="H446" s="15"/>
      <c r="I446" s="14"/>
      <c r="J446" s="15"/>
      <c r="K446" s="14"/>
    </row>
    <row r="447" spans="2:11" ht="12.3" x14ac:dyDescent="0.4">
      <c r="B447" s="15"/>
      <c r="D447" s="15"/>
      <c r="E447" s="13"/>
      <c r="F447" s="15"/>
      <c r="G447" s="14"/>
      <c r="H447" s="15"/>
      <c r="I447" s="14"/>
      <c r="J447" s="15"/>
      <c r="K447" s="14"/>
    </row>
    <row r="448" spans="2:11" ht="12.3" x14ac:dyDescent="0.4">
      <c r="B448" s="15"/>
      <c r="D448" s="15"/>
      <c r="E448" s="13"/>
      <c r="F448" s="15"/>
      <c r="G448" s="14"/>
      <c r="H448" s="15"/>
      <c r="I448" s="14"/>
      <c r="J448" s="15"/>
      <c r="K448" s="14"/>
    </row>
    <row r="449" spans="2:11" ht="12.3" x14ac:dyDescent="0.4">
      <c r="B449" s="15"/>
      <c r="D449" s="15"/>
      <c r="E449" s="13"/>
      <c r="F449" s="15"/>
      <c r="G449" s="14"/>
      <c r="H449" s="15"/>
      <c r="I449" s="14"/>
      <c r="J449" s="15"/>
      <c r="K449" s="14"/>
    </row>
    <row r="450" spans="2:11" ht="12.3" x14ac:dyDescent="0.4">
      <c r="B450" s="15"/>
      <c r="D450" s="15"/>
      <c r="E450" s="13"/>
      <c r="F450" s="15"/>
      <c r="G450" s="14"/>
      <c r="H450" s="15"/>
      <c r="I450" s="14"/>
      <c r="J450" s="15"/>
      <c r="K450" s="14"/>
    </row>
    <row r="451" spans="2:11" ht="12.3" x14ac:dyDescent="0.4">
      <c r="B451" s="15"/>
      <c r="D451" s="15"/>
      <c r="E451" s="13"/>
      <c r="F451" s="15"/>
      <c r="G451" s="14"/>
      <c r="H451" s="15"/>
      <c r="I451" s="14"/>
      <c r="J451" s="15"/>
      <c r="K451" s="14"/>
    </row>
    <row r="452" spans="2:11" ht="12.3" x14ac:dyDescent="0.4">
      <c r="B452" s="15"/>
      <c r="D452" s="15"/>
      <c r="E452" s="13"/>
      <c r="F452" s="15"/>
      <c r="G452" s="14"/>
      <c r="H452" s="15"/>
      <c r="I452" s="14"/>
      <c r="J452" s="15"/>
      <c r="K452" s="14"/>
    </row>
    <row r="453" spans="2:11" ht="12.3" x14ac:dyDescent="0.4">
      <c r="B453" s="15"/>
      <c r="D453" s="15"/>
      <c r="E453" s="13"/>
      <c r="F453" s="15"/>
      <c r="G453" s="14"/>
      <c r="H453" s="15"/>
      <c r="I453" s="14"/>
      <c r="J453" s="15"/>
      <c r="K453" s="14"/>
    </row>
    <row r="454" spans="2:11" ht="12.3" x14ac:dyDescent="0.4">
      <c r="B454" s="15"/>
      <c r="D454" s="15"/>
      <c r="E454" s="13"/>
      <c r="F454" s="15"/>
      <c r="G454" s="14"/>
      <c r="H454" s="15"/>
      <c r="I454" s="14"/>
      <c r="J454" s="15"/>
      <c r="K454" s="14"/>
    </row>
    <row r="455" spans="2:11" ht="12.3" x14ac:dyDescent="0.4">
      <c r="B455" s="15"/>
      <c r="D455" s="15"/>
      <c r="E455" s="13"/>
      <c r="F455" s="15"/>
      <c r="G455" s="14"/>
      <c r="H455" s="15"/>
      <c r="I455" s="14"/>
      <c r="J455" s="15"/>
      <c r="K455" s="14"/>
    </row>
    <row r="456" spans="2:11" ht="12.3" x14ac:dyDescent="0.4">
      <c r="B456" s="15"/>
      <c r="D456" s="15"/>
      <c r="E456" s="13"/>
      <c r="F456" s="15"/>
      <c r="G456" s="14"/>
      <c r="H456" s="15"/>
      <c r="I456" s="14"/>
      <c r="J456" s="15"/>
      <c r="K456" s="14"/>
    </row>
    <row r="457" spans="2:11" ht="12.3" x14ac:dyDescent="0.4">
      <c r="B457" s="15"/>
      <c r="D457" s="15"/>
      <c r="E457" s="13"/>
      <c r="F457" s="15"/>
      <c r="G457" s="14"/>
      <c r="H457" s="15"/>
      <c r="I457" s="14"/>
      <c r="J457" s="15"/>
      <c r="K457" s="14"/>
    </row>
    <row r="458" spans="2:11" ht="12.3" x14ac:dyDescent="0.4">
      <c r="B458" s="15"/>
      <c r="D458" s="15"/>
      <c r="E458" s="13"/>
      <c r="F458" s="15"/>
      <c r="G458" s="14"/>
      <c r="H458" s="15"/>
      <c r="I458" s="14"/>
      <c r="J458" s="15"/>
      <c r="K458" s="14"/>
    </row>
    <row r="459" spans="2:11" ht="12.3" x14ac:dyDescent="0.4">
      <c r="B459" s="15"/>
      <c r="D459" s="15"/>
      <c r="E459" s="13"/>
      <c r="F459" s="15"/>
      <c r="G459" s="14"/>
      <c r="H459" s="15"/>
      <c r="I459" s="14"/>
      <c r="J459" s="15"/>
      <c r="K459" s="14"/>
    </row>
    <row r="460" spans="2:11" ht="12.3" x14ac:dyDescent="0.4">
      <c r="B460" s="15"/>
      <c r="D460" s="15"/>
      <c r="E460" s="13"/>
      <c r="F460" s="15"/>
      <c r="G460" s="14"/>
      <c r="H460" s="15"/>
      <c r="I460" s="14"/>
      <c r="J460" s="15"/>
      <c r="K460" s="14"/>
    </row>
    <row r="461" spans="2:11" ht="12.3" x14ac:dyDescent="0.4">
      <c r="B461" s="15"/>
      <c r="D461" s="15"/>
      <c r="E461" s="13"/>
      <c r="F461" s="15"/>
      <c r="G461" s="14"/>
      <c r="H461" s="15"/>
      <c r="I461" s="14"/>
      <c r="J461" s="15"/>
      <c r="K461" s="14"/>
    </row>
    <row r="462" spans="2:11" ht="12.3" x14ac:dyDescent="0.4">
      <c r="B462" s="15"/>
      <c r="D462" s="15"/>
      <c r="E462" s="13"/>
      <c r="F462" s="15"/>
      <c r="G462" s="14"/>
      <c r="H462" s="15"/>
      <c r="I462" s="14"/>
      <c r="J462" s="15"/>
      <c r="K462" s="14"/>
    </row>
    <row r="463" spans="2:11" ht="12.3" x14ac:dyDescent="0.4">
      <c r="B463" s="15"/>
      <c r="D463" s="15"/>
      <c r="E463" s="13"/>
      <c r="F463" s="15"/>
      <c r="G463" s="14"/>
      <c r="H463" s="15"/>
      <c r="I463" s="14"/>
      <c r="J463" s="15"/>
      <c r="K463" s="14"/>
    </row>
    <row r="464" spans="2:11" ht="12.3" x14ac:dyDescent="0.4">
      <c r="B464" s="15"/>
      <c r="D464" s="15"/>
      <c r="E464" s="13"/>
      <c r="F464" s="15"/>
      <c r="G464" s="14"/>
      <c r="H464" s="15"/>
      <c r="I464" s="14"/>
      <c r="J464" s="15"/>
      <c r="K464" s="14"/>
    </row>
    <row r="465" spans="2:11" ht="12.3" x14ac:dyDescent="0.4">
      <c r="B465" s="15"/>
      <c r="D465" s="15"/>
      <c r="E465" s="13"/>
      <c r="F465" s="15"/>
      <c r="G465" s="14"/>
      <c r="H465" s="15"/>
      <c r="I465" s="14"/>
      <c r="J465" s="15"/>
      <c r="K465" s="14"/>
    </row>
    <row r="466" spans="2:11" ht="12.3" x14ac:dyDescent="0.4">
      <c r="B466" s="15"/>
      <c r="D466" s="15"/>
      <c r="E466" s="13"/>
      <c r="F466" s="15"/>
      <c r="G466" s="14"/>
      <c r="H466" s="15"/>
      <c r="I466" s="14"/>
      <c r="J466" s="15"/>
      <c r="K466" s="14"/>
    </row>
    <row r="467" spans="2:11" ht="12.3" x14ac:dyDescent="0.4">
      <c r="B467" s="15"/>
      <c r="D467" s="15"/>
      <c r="E467" s="13"/>
      <c r="F467" s="15"/>
      <c r="G467" s="14"/>
      <c r="H467" s="15"/>
      <c r="I467" s="14"/>
      <c r="J467" s="15"/>
      <c r="K467" s="14"/>
    </row>
    <row r="468" spans="2:11" ht="12.3" x14ac:dyDescent="0.4">
      <c r="B468" s="15"/>
      <c r="D468" s="15"/>
      <c r="E468" s="13"/>
      <c r="F468" s="15"/>
      <c r="G468" s="14"/>
      <c r="H468" s="15"/>
      <c r="I468" s="14"/>
      <c r="J468" s="15"/>
      <c r="K468" s="14"/>
    </row>
    <row r="469" spans="2:11" ht="12.3" x14ac:dyDescent="0.4">
      <c r="B469" s="15"/>
      <c r="D469" s="15"/>
      <c r="E469" s="13"/>
      <c r="F469" s="15"/>
      <c r="G469" s="14"/>
      <c r="H469" s="15"/>
      <c r="I469" s="14"/>
      <c r="J469" s="15"/>
      <c r="K469" s="14"/>
    </row>
    <row r="470" spans="2:11" ht="12.3" x14ac:dyDescent="0.4">
      <c r="B470" s="15"/>
      <c r="D470" s="15"/>
      <c r="E470" s="13"/>
      <c r="F470" s="15"/>
      <c r="G470" s="14"/>
      <c r="H470" s="15"/>
      <c r="I470" s="14"/>
      <c r="J470" s="15"/>
      <c r="K470" s="14"/>
    </row>
    <row r="471" spans="2:11" ht="12.3" x14ac:dyDescent="0.4">
      <c r="B471" s="15"/>
      <c r="D471" s="15"/>
      <c r="E471" s="13"/>
      <c r="F471" s="15"/>
      <c r="G471" s="14"/>
      <c r="H471" s="15"/>
      <c r="I471" s="14"/>
      <c r="J471" s="15"/>
      <c r="K471" s="14"/>
    </row>
    <row r="472" spans="2:11" ht="12.3" x14ac:dyDescent="0.4">
      <c r="B472" s="15"/>
      <c r="D472" s="15"/>
      <c r="E472" s="13"/>
      <c r="F472" s="15"/>
      <c r="G472" s="14"/>
      <c r="H472" s="15"/>
      <c r="I472" s="14"/>
      <c r="J472" s="15"/>
      <c r="K472" s="14"/>
    </row>
    <row r="473" spans="2:11" ht="12.3" x14ac:dyDescent="0.4">
      <c r="B473" s="15"/>
      <c r="D473" s="15"/>
      <c r="E473" s="13"/>
      <c r="F473" s="15"/>
      <c r="G473" s="14"/>
      <c r="H473" s="15"/>
      <c r="I473" s="14"/>
      <c r="J473" s="15"/>
      <c r="K473" s="14"/>
    </row>
    <row r="474" spans="2:11" ht="12.3" x14ac:dyDescent="0.4">
      <c r="B474" s="15"/>
      <c r="D474" s="15"/>
      <c r="E474" s="13"/>
      <c r="F474" s="15"/>
      <c r="G474" s="14"/>
      <c r="H474" s="15"/>
      <c r="I474" s="14"/>
      <c r="J474" s="15"/>
      <c r="K474" s="14"/>
    </row>
    <row r="475" spans="2:11" ht="12.3" x14ac:dyDescent="0.4">
      <c r="B475" s="15"/>
      <c r="D475" s="15"/>
      <c r="E475" s="13"/>
      <c r="F475" s="15"/>
      <c r="G475" s="14"/>
      <c r="H475" s="15"/>
      <c r="I475" s="14"/>
      <c r="J475" s="15"/>
      <c r="K475" s="14"/>
    </row>
    <row r="476" spans="2:11" ht="12.3" x14ac:dyDescent="0.4">
      <c r="B476" s="15"/>
      <c r="D476" s="15"/>
      <c r="E476" s="13"/>
      <c r="F476" s="15"/>
      <c r="G476" s="14"/>
      <c r="H476" s="15"/>
      <c r="I476" s="14"/>
      <c r="J476" s="15"/>
      <c r="K476" s="14"/>
    </row>
    <row r="477" spans="2:11" ht="12.3" x14ac:dyDescent="0.4">
      <c r="B477" s="15"/>
      <c r="D477" s="15"/>
      <c r="E477" s="13"/>
      <c r="F477" s="15"/>
      <c r="G477" s="14"/>
      <c r="H477" s="15"/>
      <c r="I477" s="14"/>
      <c r="J477" s="15"/>
      <c r="K477" s="14"/>
    </row>
    <row r="478" spans="2:11" ht="12.3" x14ac:dyDescent="0.4">
      <c r="B478" s="15"/>
      <c r="D478" s="15"/>
      <c r="E478" s="13"/>
      <c r="F478" s="15"/>
      <c r="G478" s="14"/>
      <c r="H478" s="15"/>
      <c r="I478" s="14"/>
      <c r="J478" s="15"/>
      <c r="K478" s="14"/>
    </row>
    <row r="479" spans="2:11" ht="12.3" x14ac:dyDescent="0.4">
      <c r="B479" s="15"/>
      <c r="D479" s="15"/>
      <c r="E479" s="13"/>
      <c r="F479" s="15"/>
      <c r="G479" s="14"/>
      <c r="H479" s="15"/>
      <c r="I479" s="14"/>
      <c r="J479" s="15"/>
      <c r="K479" s="14"/>
    </row>
    <row r="480" spans="2:11" ht="12.3" x14ac:dyDescent="0.4">
      <c r="B480" s="15"/>
      <c r="D480" s="15"/>
      <c r="E480" s="13"/>
      <c r="F480" s="15"/>
      <c r="G480" s="14"/>
      <c r="H480" s="15"/>
      <c r="I480" s="14"/>
      <c r="J480" s="15"/>
      <c r="K480" s="14"/>
    </row>
    <row r="481" spans="2:11" ht="12.3" x14ac:dyDescent="0.4">
      <c r="B481" s="15"/>
      <c r="D481" s="15"/>
      <c r="E481" s="13"/>
      <c r="F481" s="15"/>
      <c r="G481" s="14"/>
      <c r="H481" s="15"/>
      <c r="I481" s="14"/>
      <c r="J481" s="15"/>
      <c r="K481" s="14"/>
    </row>
    <row r="482" spans="2:11" ht="12.3" x14ac:dyDescent="0.4">
      <c r="B482" s="15"/>
      <c r="D482" s="15"/>
      <c r="E482" s="13"/>
      <c r="F482" s="15"/>
      <c r="G482" s="14"/>
      <c r="H482" s="15"/>
      <c r="I482" s="14"/>
      <c r="J482" s="15"/>
      <c r="K482" s="14"/>
    </row>
    <row r="483" spans="2:11" ht="12.3" x14ac:dyDescent="0.4">
      <c r="B483" s="15"/>
      <c r="D483" s="15"/>
      <c r="E483" s="13"/>
      <c r="F483" s="15"/>
      <c r="G483" s="14"/>
      <c r="H483" s="15"/>
      <c r="I483" s="14"/>
      <c r="J483" s="15"/>
      <c r="K483" s="14"/>
    </row>
    <row r="484" spans="2:11" ht="12.3" x14ac:dyDescent="0.4">
      <c r="B484" s="15"/>
      <c r="D484" s="15"/>
      <c r="E484" s="13"/>
      <c r="F484" s="15"/>
      <c r="G484" s="14"/>
      <c r="H484" s="15"/>
      <c r="I484" s="14"/>
      <c r="J484" s="15"/>
      <c r="K484" s="14"/>
    </row>
    <row r="485" spans="2:11" ht="12.3" x14ac:dyDescent="0.4">
      <c r="B485" s="15"/>
      <c r="D485" s="15"/>
      <c r="E485" s="13"/>
      <c r="F485" s="15"/>
      <c r="G485" s="14"/>
      <c r="H485" s="15"/>
      <c r="I485" s="14"/>
      <c r="J485" s="15"/>
      <c r="K485" s="14"/>
    </row>
    <row r="486" spans="2:11" ht="12.3" x14ac:dyDescent="0.4">
      <c r="B486" s="15"/>
      <c r="D486" s="15"/>
      <c r="E486" s="13"/>
      <c r="F486" s="15"/>
      <c r="G486" s="14"/>
      <c r="H486" s="15"/>
      <c r="I486" s="14"/>
      <c r="J486" s="15"/>
      <c r="K486" s="14"/>
    </row>
    <row r="487" spans="2:11" ht="12.3" x14ac:dyDescent="0.4">
      <c r="B487" s="15"/>
      <c r="D487" s="15"/>
      <c r="E487" s="13"/>
      <c r="F487" s="15"/>
      <c r="G487" s="14"/>
      <c r="H487" s="15"/>
      <c r="I487" s="14"/>
      <c r="J487" s="15"/>
      <c r="K487" s="14"/>
    </row>
    <row r="488" spans="2:11" ht="12.3" x14ac:dyDescent="0.4">
      <c r="B488" s="15"/>
      <c r="D488" s="15"/>
      <c r="E488" s="13"/>
      <c r="F488" s="15"/>
      <c r="G488" s="14"/>
      <c r="H488" s="15"/>
      <c r="I488" s="14"/>
      <c r="J488" s="15"/>
      <c r="K488" s="14"/>
    </row>
    <row r="489" spans="2:11" ht="12.3" x14ac:dyDescent="0.4">
      <c r="B489" s="15"/>
      <c r="D489" s="15"/>
      <c r="E489" s="13"/>
      <c r="F489" s="15"/>
      <c r="G489" s="14"/>
      <c r="H489" s="15"/>
      <c r="I489" s="14"/>
      <c r="J489" s="15"/>
      <c r="K489" s="14"/>
    </row>
    <row r="490" spans="2:11" ht="12.3" x14ac:dyDescent="0.4">
      <c r="B490" s="15"/>
      <c r="D490" s="15"/>
      <c r="E490" s="13"/>
      <c r="F490" s="15"/>
      <c r="G490" s="14"/>
      <c r="H490" s="15"/>
      <c r="I490" s="14"/>
      <c r="J490" s="15"/>
      <c r="K490" s="14"/>
    </row>
    <row r="491" spans="2:11" ht="12.3" x14ac:dyDescent="0.4">
      <c r="B491" s="15"/>
      <c r="D491" s="15"/>
      <c r="E491" s="13"/>
      <c r="F491" s="15"/>
      <c r="G491" s="14"/>
      <c r="H491" s="15"/>
      <c r="I491" s="14"/>
      <c r="J491" s="15"/>
      <c r="K491" s="14"/>
    </row>
    <row r="492" spans="2:11" ht="12.3" x14ac:dyDescent="0.4">
      <c r="B492" s="15"/>
      <c r="D492" s="15"/>
      <c r="E492" s="13"/>
      <c r="F492" s="15"/>
      <c r="G492" s="14"/>
      <c r="H492" s="15"/>
      <c r="I492" s="14"/>
      <c r="J492" s="15"/>
      <c r="K492" s="14"/>
    </row>
    <row r="493" spans="2:11" ht="12.3" x14ac:dyDescent="0.4">
      <c r="B493" s="15"/>
      <c r="D493" s="15"/>
      <c r="E493" s="13"/>
      <c r="F493" s="15"/>
      <c r="G493" s="14"/>
      <c r="H493" s="15"/>
      <c r="I493" s="14"/>
      <c r="J493" s="15"/>
      <c r="K493" s="14"/>
    </row>
    <row r="494" spans="2:11" ht="12.3" x14ac:dyDescent="0.4">
      <c r="B494" s="15"/>
      <c r="D494" s="15"/>
      <c r="E494" s="13"/>
      <c r="F494" s="15"/>
      <c r="G494" s="14"/>
      <c r="H494" s="15"/>
      <c r="I494" s="14"/>
      <c r="J494" s="15"/>
      <c r="K494" s="14"/>
    </row>
    <row r="495" spans="2:11" ht="12.3" x14ac:dyDescent="0.4">
      <c r="B495" s="15"/>
      <c r="D495" s="15"/>
      <c r="E495" s="13"/>
      <c r="F495" s="15"/>
      <c r="G495" s="14"/>
      <c r="H495" s="15"/>
      <c r="I495" s="14"/>
      <c r="J495" s="15"/>
      <c r="K495" s="14"/>
    </row>
    <row r="496" spans="2:11" ht="12.3" x14ac:dyDescent="0.4">
      <c r="B496" s="15"/>
      <c r="D496" s="15"/>
      <c r="E496" s="13"/>
      <c r="F496" s="15"/>
      <c r="G496" s="14"/>
      <c r="H496" s="15"/>
      <c r="I496" s="14"/>
      <c r="J496" s="15"/>
      <c r="K496" s="14"/>
    </row>
    <row r="497" spans="2:11" ht="12.3" x14ac:dyDescent="0.4">
      <c r="B497" s="15"/>
      <c r="D497" s="15"/>
      <c r="E497" s="13"/>
      <c r="F497" s="15"/>
      <c r="G497" s="14"/>
      <c r="H497" s="15"/>
      <c r="I497" s="14"/>
      <c r="J497" s="15"/>
      <c r="K497" s="14"/>
    </row>
    <row r="498" spans="2:11" ht="12.3" x14ac:dyDescent="0.4">
      <c r="B498" s="15"/>
      <c r="D498" s="15"/>
      <c r="E498" s="13"/>
      <c r="F498" s="15"/>
      <c r="G498" s="14"/>
      <c r="H498" s="15"/>
      <c r="I498" s="14"/>
      <c r="J498" s="15"/>
      <c r="K498" s="14"/>
    </row>
    <row r="499" spans="2:11" ht="12.3" x14ac:dyDescent="0.4">
      <c r="B499" s="15"/>
      <c r="D499" s="15"/>
      <c r="E499" s="13"/>
      <c r="F499" s="15"/>
      <c r="G499" s="14"/>
      <c r="H499" s="15"/>
      <c r="I499" s="14"/>
      <c r="J499" s="15"/>
      <c r="K499" s="14"/>
    </row>
    <row r="500" spans="2:11" ht="12.3" x14ac:dyDescent="0.4">
      <c r="B500" s="15"/>
      <c r="D500" s="15"/>
      <c r="E500" s="13"/>
      <c r="F500" s="15"/>
      <c r="G500" s="14"/>
      <c r="H500" s="15"/>
      <c r="I500" s="14"/>
      <c r="J500" s="15"/>
      <c r="K500" s="14"/>
    </row>
    <row r="501" spans="2:11" ht="12.3" x14ac:dyDescent="0.4">
      <c r="B501" s="15"/>
      <c r="D501" s="15"/>
      <c r="E501" s="13"/>
      <c r="F501" s="15"/>
      <c r="G501" s="14"/>
      <c r="H501" s="15"/>
      <c r="I501" s="14"/>
      <c r="J501" s="15"/>
      <c r="K501" s="14"/>
    </row>
    <row r="502" spans="2:11" ht="12.3" x14ac:dyDescent="0.4">
      <c r="B502" s="15"/>
      <c r="D502" s="15"/>
      <c r="E502" s="13"/>
      <c r="F502" s="15"/>
      <c r="G502" s="14"/>
      <c r="H502" s="15"/>
      <c r="I502" s="14"/>
      <c r="J502" s="15"/>
      <c r="K502" s="14"/>
    </row>
    <row r="503" spans="2:11" ht="12.3" x14ac:dyDescent="0.4">
      <c r="B503" s="15"/>
      <c r="D503" s="15"/>
      <c r="E503" s="13"/>
      <c r="F503" s="15"/>
      <c r="G503" s="14"/>
      <c r="H503" s="15"/>
      <c r="I503" s="14"/>
      <c r="J503" s="15"/>
      <c r="K503" s="14"/>
    </row>
    <row r="504" spans="2:11" ht="12.3" x14ac:dyDescent="0.4">
      <c r="B504" s="15"/>
      <c r="D504" s="15"/>
      <c r="E504" s="13"/>
      <c r="F504" s="15"/>
      <c r="G504" s="14"/>
      <c r="H504" s="15"/>
      <c r="I504" s="14"/>
      <c r="J504" s="15"/>
      <c r="K504" s="14"/>
    </row>
    <row r="505" spans="2:11" ht="12.3" x14ac:dyDescent="0.4">
      <c r="B505" s="15"/>
      <c r="D505" s="15"/>
      <c r="E505" s="13"/>
      <c r="F505" s="15"/>
      <c r="G505" s="14"/>
      <c r="H505" s="15"/>
      <c r="I505" s="14"/>
      <c r="J505" s="15"/>
      <c r="K505" s="14"/>
    </row>
    <row r="506" spans="2:11" ht="12.3" x14ac:dyDescent="0.4">
      <c r="B506" s="15"/>
      <c r="D506" s="15"/>
      <c r="E506" s="13"/>
      <c r="F506" s="15"/>
      <c r="G506" s="14"/>
      <c r="H506" s="15"/>
      <c r="I506" s="14"/>
      <c r="J506" s="15"/>
      <c r="K506" s="14"/>
    </row>
    <row r="507" spans="2:11" ht="12.3" x14ac:dyDescent="0.4">
      <c r="B507" s="15"/>
      <c r="D507" s="15"/>
      <c r="E507" s="13"/>
      <c r="F507" s="15"/>
      <c r="G507" s="14"/>
      <c r="H507" s="15"/>
      <c r="I507" s="14"/>
      <c r="J507" s="15"/>
      <c r="K507" s="14"/>
    </row>
    <row r="508" spans="2:11" ht="12.3" x14ac:dyDescent="0.4">
      <c r="B508" s="15"/>
      <c r="D508" s="15"/>
      <c r="E508" s="13"/>
      <c r="F508" s="15"/>
      <c r="G508" s="14"/>
      <c r="H508" s="15"/>
      <c r="I508" s="14"/>
      <c r="J508" s="15"/>
      <c r="K508" s="14"/>
    </row>
    <row r="509" spans="2:11" ht="12.3" x14ac:dyDescent="0.4">
      <c r="B509" s="15"/>
      <c r="D509" s="15"/>
      <c r="E509" s="13"/>
      <c r="F509" s="15"/>
      <c r="G509" s="14"/>
      <c r="H509" s="15"/>
      <c r="I509" s="14"/>
      <c r="J509" s="15"/>
      <c r="K509" s="14"/>
    </row>
    <row r="510" spans="2:11" ht="12.3" x14ac:dyDescent="0.4">
      <c r="B510" s="15"/>
      <c r="D510" s="15"/>
      <c r="E510" s="13"/>
      <c r="F510" s="15"/>
      <c r="G510" s="14"/>
      <c r="H510" s="15"/>
      <c r="I510" s="14"/>
      <c r="J510" s="15"/>
      <c r="K510" s="14"/>
    </row>
    <row r="511" spans="2:11" ht="12.3" x14ac:dyDescent="0.4">
      <c r="B511" s="15"/>
      <c r="D511" s="15"/>
      <c r="E511" s="13"/>
      <c r="F511" s="15"/>
      <c r="G511" s="14"/>
      <c r="H511" s="15"/>
      <c r="I511" s="14"/>
      <c r="J511" s="15"/>
      <c r="K511" s="14"/>
    </row>
    <row r="512" spans="2:11" ht="12.3" x14ac:dyDescent="0.4">
      <c r="B512" s="15"/>
      <c r="D512" s="15"/>
      <c r="E512" s="13"/>
      <c r="F512" s="15"/>
      <c r="G512" s="14"/>
      <c r="H512" s="15"/>
      <c r="I512" s="14"/>
      <c r="J512" s="15"/>
      <c r="K512" s="14"/>
    </row>
    <row r="513" spans="2:11" ht="12.3" x14ac:dyDescent="0.4">
      <c r="B513" s="15"/>
      <c r="D513" s="15"/>
      <c r="E513" s="13"/>
      <c r="F513" s="15"/>
      <c r="G513" s="14"/>
      <c r="H513" s="15"/>
      <c r="I513" s="14"/>
      <c r="J513" s="15"/>
      <c r="K513" s="14"/>
    </row>
    <row r="514" spans="2:11" ht="12.3" x14ac:dyDescent="0.4">
      <c r="B514" s="15"/>
      <c r="D514" s="15"/>
      <c r="E514" s="13"/>
      <c r="F514" s="15"/>
      <c r="G514" s="14"/>
      <c r="H514" s="15"/>
      <c r="I514" s="14"/>
      <c r="J514" s="15"/>
      <c r="K514" s="14"/>
    </row>
    <row r="515" spans="2:11" ht="12.3" x14ac:dyDescent="0.4">
      <c r="B515" s="15"/>
      <c r="D515" s="15"/>
      <c r="E515" s="13"/>
      <c r="F515" s="15"/>
      <c r="G515" s="14"/>
      <c r="H515" s="15"/>
      <c r="I515" s="14"/>
      <c r="J515" s="15"/>
      <c r="K515" s="14"/>
    </row>
    <row r="516" spans="2:11" ht="12.3" x14ac:dyDescent="0.4">
      <c r="B516" s="15"/>
      <c r="D516" s="15"/>
      <c r="E516" s="13"/>
      <c r="F516" s="15"/>
      <c r="G516" s="14"/>
      <c r="H516" s="15"/>
      <c r="I516" s="14"/>
      <c r="J516" s="15"/>
      <c r="K516" s="14"/>
    </row>
    <row r="517" spans="2:11" ht="12.3" x14ac:dyDescent="0.4">
      <c r="B517" s="15"/>
      <c r="D517" s="15"/>
      <c r="E517" s="13"/>
      <c r="F517" s="15"/>
      <c r="G517" s="14"/>
      <c r="H517" s="15"/>
      <c r="I517" s="14"/>
      <c r="J517" s="15"/>
      <c r="K517" s="14"/>
    </row>
    <row r="518" spans="2:11" ht="12.3" x14ac:dyDescent="0.4">
      <c r="B518" s="15"/>
      <c r="D518" s="15"/>
      <c r="E518" s="13"/>
      <c r="F518" s="15"/>
      <c r="G518" s="14"/>
      <c r="H518" s="15"/>
      <c r="I518" s="14"/>
      <c r="J518" s="15"/>
      <c r="K518" s="14"/>
    </row>
    <row r="519" spans="2:11" ht="12.3" x14ac:dyDescent="0.4">
      <c r="B519" s="15"/>
      <c r="D519" s="15"/>
      <c r="E519" s="13"/>
      <c r="F519" s="15"/>
      <c r="G519" s="14"/>
      <c r="H519" s="15"/>
      <c r="I519" s="14"/>
      <c r="J519" s="15"/>
      <c r="K519" s="14"/>
    </row>
    <row r="520" spans="2:11" ht="12.3" x14ac:dyDescent="0.4">
      <c r="B520" s="15"/>
      <c r="D520" s="15"/>
      <c r="E520" s="13"/>
      <c r="F520" s="15"/>
      <c r="G520" s="14"/>
      <c r="H520" s="15"/>
      <c r="I520" s="14"/>
      <c r="J520" s="15"/>
      <c r="K520" s="14"/>
    </row>
    <row r="521" spans="2:11" ht="12.3" x14ac:dyDescent="0.4">
      <c r="B521" s="15"/>
      <c r="D521" s="15"/>
      <c r="E521" s="13"/>
      <c r="F521" s="15"/>
      <c r="G521" s="14"/>
      <c r="H521" s="15"/>
      <c r="I521" s="14"/>
      <c r="J521" s="15"/>
      <c r="K521" s="14"/>
    </row>
    <row r="522" spans="2:11" ht="12.3" x14ac:dyDescent="0.4">
      <c r="B522" s="15"/>
      <c r="D522" s="15"/>
      <c r="E522" s="13"/>
      <c r="F522" s="15"/>
      <c r="G522" s="14"/>
      <c r="H522" s="15"/>
      <c r="I522" s="14"/>
      <c r="J522" s="15"/>
      <c r="K522" s="14"/>
    </row>
    <row r="523" spans="2:11" ht="12.3" x14ac:dyDescent="0.4">
      <c r="B523" s="15"/>
      <c r="D523" s="15"/>
      <c r="E523" s="13"/>
      <c r="F523" s="15"/>
      <c r="G523" s="14"/>
      <c r="H523" s="15"/>
      <c r="I523" s="14"/>
      <c r="J523" s="15"/>
      <c r="K523" s="14"/>
    </row>
    <row r="524" spans="2:11" ht="12.3" x14ac:dyDescent="0.4">
      <c r="B524" s="15"/>
      <c r="D524" s="15"/>
      <c r="E524" s="13"/>
      <c r="F524" s="15"/>
      <c r="G524" s="14"/>
      <c r="H524" s="15"/>
      <c r="I524" s="14"/>
      <c r="J524" s="15"/>
      <c r="K524" s="14"/>
    </row>
    <row r="525" spans="2:11" ht="12.3" x14ac:dyDescent="0.4">
      <c r="B525" s="15"/>
      <c r="D525" s="15"/>
      <c r="E525" s="13"/>
      <c r="F525" s="15"/>
      <c r="G525" s="14"/>
      <c r="H525" s="15"/>
      <c r="I525" s="14"/>
      <c r="J525" s="15"/>
      <c r="K525" s="14"/>
    </row>
    <row r="526" spans="2:11" ht="12.3" x14ac:dyDescent="0.4">
      <c r="B526" s="15"/>
      <c r="D526" s="15"/>
      <c r="E526" s="13"/>
      <c r="F526" s="15"/>
      <c r="G526" s="14"/>
      <c r="H526" s="15"/>
      <c r="I526" s="14"/>
      <c r="J526" s="15"/>
      <c r="K526" s="14"/>
    </row>
    <row r="527" spans="2:11" ht="12.3" x14ac:dyDescent="0.4">
      <c r="B527" s="15"/>
      <c r="D527" s="15"/>
      <c r="E527" s="13"/>
      <c r="F527" s="15"/>
      <c r="G527" s="14"/>
      <c r="H527" s="15"/>
      <c r="I527" s="14"/>
      <c r="J527" s="15"/>
      <c r="K527" s="14"/>
    </row>
    <row r="528" spans="2:11" ht="12.3" x14ac:dyDescent="0.4">
      <c r="B528" s="15"/>
      <c r="D528" s="15"/>
      <c r="E528" s="13"/>
      <c r="F528" s="15"/>
      <c r="G528" s="14"/>
      <c r="H528" s="15"/>
      <c r="I528" s="14"/>
      <c r="J528" s="15"/>
      <c r="K528" s="14"/>
    </row>
    <row r="529" spans="2:11" ht="12.3" x14ac:dyDescent="0.4">
      <c r="B529" s="15"/>
      <c r="D529" s="15"/>
      <c r="E529" s="13"/>
      <c r="F529" s="15"/>
      <c r="G529" s="14"/>
      <c r="H529" s="15"/>
      <c r="I529" s="14"/>
      <c r="J529" s="15"/>
      <c r="K529" s="14"/>
    </row>
    <row r="530" spans="2:11" ht="12.3" x14ac:dyDescent="0.4">
      <c r="B530" s="15"/>
      <c r="D530" s="15"/>
      <c r="E530" s="13"/>
      <c r="F530" s="15"/>
      <c r="G530" s="14"/>
      <c r="H530" s="15"/>
      <c r="I530" s="14"/>
      <c r="J530" s="15"/>
      <c r="K530" s="14"/>
    </row>
    <row r="531" spans="2:11" ht="12.3" x14ac:dyDescent="0.4">
      <c r="B531" s="15"/>
      <c r="D531" s="15"/>
      <c r="E531" s="13"/>
      <c r="F531" s="15"/>
      <c r="G531" s="14"/>
      <c r="H531" s="15"/>
      <c r="I531" s="14"/>
      <c r="J531" s="15"/>
      <c r="K531" s="14"/>
    </row>
    <row r="532" spans="2:11" ht="12.3" x14ac:dyDescent="0.4">
      <c r="B532" s="15"/>
      <c r="D532" s="15"/>
      <c r="E532" s="13"/>
      <c r="F532" s="15"/>
      <c r="G532" s="14"/>
      <c r="H532" s="15"/>
      <c r="I532" s="14"/>
      <c r="J532" s="15"/>
      <c r="K532" s="14"/>
    </row>
    <row r="533" spans="2:11" ht="12.3" x14ac:dyDescent="0.4">
      <c r="B533" s="15"/>
      <c r="D533" s="15"/>
      <c r="E533" s="13"/>
      <c r="F533" s="15"/>
      <c r="G533" s="14"/>
      <c r="H533" s="15"/>
      <c r="I533" s="14"/>
      <c r="J533" s="15"/>
      <c r="K533" s="14"/>
    </row>
    <row r="534" spans="2:11" ht="12.3" x14ac:dyDescent="0.4">
      <c r="B534" s="15"/>
      <c r="D534" s="15"/>
      <c r="E534" s="13"/>
      <c r="F534" s="15"/>
      <c r="G534" s="14"/>
      <c r="H534" s="15"/>
      <c r="I534" s="14"/>
      <c r="J534" s="15"/>
      <c r="K534" s="14"/>
    </row>
    <row r="535" spans="2:11" ht="12.3" x14ac:dyDescent="0.4">
      <c r="B535" s="15"/>
      <c r="D535" s="15"/>
      <c r="E535" s="13"/>
      <c r="F535" s="15"/>
      <c r="G535" s="14"/>
      <c r="H535" s="15"/>
      <c r="I535" s="14"/>
      <c r="J535" s="15"/>
      <c r="K535" s="14"/>
    </row>
    <row r="536" spans="2:11" ht="12.3" x14ac:dyDescent="0.4">
      <c r="B536" s="15"/>
      <c r="D536" s="15"/>
      <c r="E536" s="13"/>
      <c r="F536" s="15"/>
      <c r="G536" s="14"/>
      <c r="H536" s="15"/>
      <c r="I536" s="14"/>
      <c r="J536" s="15"/>
      <c r="K536" s="14"/>
    </row>
    <row r="537" spans="2:11" ht="12.3" x14ac:dyDescent="0.4">
      <c r="B537" s="15"/>
      <c r="D537" s="15"/>
      <c r="E537" s="13"/>
      <c r="F537" s="15"/>
      <c r="G537" s="14"/>
      <c r="H537" s="15"/>
      <c r="I537" s="14"/>
      <c r="J537" s="15"/>
      <c r="K537" s="14"/>
    </row>
    <row r="538" spans="2:11" ht="12.3" x14ac:dyDescent="0.4">
      <c r="B538" s="15"/>
      <c r="D538" s="15"/>
      <c r="E538" s="13"/>
      <c r="F538" s="15"/>
      <c r="G538" s="14"/>
      <c r="H538" s="15"/>
      <c r="I538" s="14"/>
      <c r="J538" s="15"/>
      <c r="K538" s="14"/>
    </row>
    <row r="539" spans="2:11" ht="12.3" x14ac:dyDescent="0.4">
      <c r="B539" s="15"/>
      <c r="D539" s="15"/>
      <c r="E539" s="13"/>
      <c r="F539" s="15"/>
      <c r="G539" s="14"/>
      <c r="H539" s="15"/>
      <c r="I539" s="14"/>
      <c r="J539" s="15"/>
      <c r="K539" s="14"/>
    </row>
    <row r="540" spans="2:11" ht="12.3" x14ac:dyDescent="0.4">
      <c r="B540" s="15"/>
      <c r="D540" s="15"/>
      <c r="E540" s="13"/>
      <c r="F540" s="15"/>
      <c r="G540" s="14"/>
      <c r="H540" s="15"/>
      <c r="I540" s="14"/>
      <c r="J540" s="15"/>
      <c r="K540" s="14"/>
    </row>
    <row r="541" spans="2:11" ht="12.3" x14ac:dyDescent="0.4">
      <c r="B541" s="15"/>
      <c r="D541" s="15"/>
      <c r="E541" s="13"/>
      <c r="F541" s="15"/>
      <c r="G541" s="14"/>
      <c r="H541" s="15"/>
      <c r="I541" s="14"/>
      <c r="J541" s="15"/>
      <c r="K541" s="14"/>
    </row>
    <row r="542" spans="2:11" ht="12.3" x14ac:dyDescent="0.4">
      <c r="B542" s="15"/>
      <c r="D542" s="15"/>
      <c r="E542" s="13"/>
      <c r="F542" s="15"/>
      <c r="G542" s="14"/>
      <c r="H542" s="15"/>
      <c r="I542" s="14"/>
      <c r="J542" s="15"/>
      <c r="K542" s="14"/>
    </row>
    <row r="543" spans="2:11" ht="12.3" x14ac:dyDescent="0.4">
      <c r="B543" s="15"/>
      <c r="D543" s="15"/>
      <c r="E543" s="13"/>
      <c r="F543" s="15"/>
      <c r="G543" s="14"/>
      <c r="H543" s="15"/>
      <c r="I543" s="14"/>
      <c r="J543" s="15"/>
      <c r="K543" s="14"/>
    </row>
    <row r="544" spans="2:11" ht="12.3" x14ac:dyDescent="0.4">
      <c r="B544" s="15"/>
      <c r="D544" s="15"/>
      <c r="E544" s="13"/>
      <c r="F544" s="15"/>
      <c r="G544" s="14"/>
      <c r="H544" s="15"/>
      <c r="I544" s="14"/>
      <c r="J544" s="15"/>
      <c r="K544" s="14"/>
    </row>
    <row r="545" spans="2:11" ht="12.3" x14ac:dyDescent="0.4">
      <c r="B545" s="15"/>
      <c r="D545" s="15"/>
      <c r="E545" s="13"/>
      <c r="F545" s="15"/>
      <c r="G545" s="14"/>
      <c r="H545" s="15"/>
      <c r="I545" s="14"/>
      <c r="J545" s="15"/>
      <c r="K545" s="14"/>
    </row>
    <row r="546" spans="2:11" ht="12.3" x14ac:dyDescent="0.4">
      <c r="B546" s="15"/>
      <c r="D546" s="15"/>
      <c r="E546" s="13"/>
      <c r="F546" s="15"/>
      <c r="G546" s="14"/>
      <c r="H546" s="15"/>
      <c r="I546" s="14"/>
      <c r="J546" s="15"/>
      <c r="K546" s="14"/>
    </row>
    <row r="547" spans="2:11" ht="12.3" x14ac:dyDescent="0.4">
      <c r="B547" s="15"/>
      <c r="D547" s="15"/>
      <c r="E547" s="13"/>
      <c r="F547" s="15"/>
      <c r="G547" s="14"/>
      <c r="H547" s="15"/>
      <c r="I547" s="14"/>
      <c r="J547" s="15"/>
      <c r="K547" s="14"/>
    </row>
    <row r="548" spans="2:11" ht="12.3" x14ac:dyDescent="0.4">
      <c r="B548" s="15"/>
      <c r="D548" s="15"/>
      <c r="E548" s="13"/>
      <c r="F548" s="15"/>
      <c r="G548" s="14"/>
      <c r="H548" s="15"/>
      <c r="I548" s="14"/>
      <c r="J548" s="15"/>
      <c r="K548" s="14"/>
    </row>
    <row r="549" spans="2:11" ht="12.3" x14ac:dyDescent="0.4">
      <c r="B549" s="15"/>
      <c r="D549" s="15"/>
      <c r="E549" s="13"/>
      <c r="F549" s="15"/>
      <c r="G549" s="14"/>
      <c r="H549" s="15"/>
      <c r="I549" s="14"/>
      <c r="J549" s="15"/>
      <c r="K549" s="14"/>
    </row>
    <row r="550" spans="2:11" ht="12.3" x14ac:dyDescent="0.4">
      <c r="B550" s="15"/>
      <c r="D550" s="15"/>
      <c r="E550" s="13"/>
      <c r="F550" s="15"/>
      <c r="G550" s="14"/>
      <c r="H550" s="15"/>
      <c r="I550" s="14"/>
      <c r="J550" s="15"/>
      <c r="K550" s="14"/>
    </row>
    <row r="551" spans="2:11" ht="12.3" x14ac:dyDescent="0.4">
      <c r="B551" s="15"/>
      <c r="D551" s="15"/>
      <c r="E551" s="13"/>
      <c r="F551" s="15"/>
      <c r="G551" s="14"/>
      <c r="H551" s="15"/>
      <c r="I551" s="14"/>
      <c r="J551" s="15"/>
      <c r="K551" s="14"/>
    </row>
    <row r="552" spans="2:11" ht="12.3" x14ac:dyDescent="0.4">
      <c r="B552" s="15"/>
      <c r="D552" s="15"/>
      <c r="E552" s="13"/>
      <c r="F552" s="15"/>
      <c r="G552" s="14"/>
      <c r="H552" s="15"/>
      <c r="I552" s="14"/>
      <c r="J552" s="15"/>
      <c r="K552" s="14"/>
    </row>
    <row r="553" spans="2:11" ht="12.3" x14ac:dyDescent="0.4">
      <c r="B553" s="15"/>
      <c r="D553" s="15"/>
      <c r="E553" s="13"/>
      <c r="F553" s="15"/>
      <c r="G553" s="14"/>
      <c r="H553" s="15"/>
      <c r="I553" s="14"/>
      <c r="J553" s="15"/>
      <c r="K553" s="14"/>
    </row>
    <row r="554" spans="2:11" ht="12.3" x14ac:dyDescent="0.4">
      <c r="B554" s="15"/>
      <c r="D554" s="15"/>
      <c r="E554" s="13"/>
      <c r="F554" s="15"/>
      <c r="G554" s="14"/>
      <c r="H554" s="15"/>
      <c r="I554" s="14"/>
      <c r="J554" s="15"/>
      <c r="K554" s="14"/>
    </row>
    <row r="555" spans="2:11" ht="12.3" x14ac:dyDescent="0.4">
      <c r="B555" s="15"/>
      <c r="D555" s="15"/>
      <c r="E555" s="13"/>
      <c r="F555" s="15"/>
      <c r="G555" s="14"/>
      <c r="H555" s="15"/>
      <c r="I555" s="14"/>
      <c r="J555" s="15"/>
      <c r="K555" s="14"/>
    </row>
    <row r="556" spans="2:11" ht="12.3" x14ac:dyDescent="0.4">
      <c r="B556" s="15"/>
      <c r="D556" s="15"/>
      <c r="E556" s="13"/>
      <c r="F556" s="15"/>
      <c r="G556" s="14"/>
      <c r="H556" s="15"/>
      <c r="I556" s="14"/>
      <c r="J556" s="15"/>
      <c r="K556" s="14"/>
    </row>
    <row r="557" spans="2:11" ht="12.3" x14ac:dyDescent="0.4">
      <c r="B557" s="15"/>
      <c r="D557" s="15"/>
      <c r="E557" s="13"/>
      <c r="F557" s="15"/>
      <c r="G557" s="14"/>
      <c r="H557" s="15"/>
      <c r="I557" s="14"/>
      <c r="J557" s="15"/>
      <c r="K557" s="14"/>
    </row>
    <row r="558" spans="2:11" ht="12.3" x14ac:dyDescent="0.4">
      <c r="B558" s="15"/>
      <c r="D558" s="15"/>
      <c r="E558" s="13"/>
      <c r="F558" s="15"/>
      <c r="G558" s="14"/>
      <c r="H558" s="15"/>
      <c r="I558" s="14"/>
      <c r="J558" s="15"/>
      <c r="K558" s="14"/>
    </row>
    <row r="559" spans="2:11" ht="12.3" x14ac:dyDescent="0.4">
      <c r="B559" s="15"/>
      <c r="D559" s="15"/>
      <c r="E559" s="13"/>
      <c r="F559" s="15"/>
      <c r="G559" s="14"/>
      <c r="H559" s="15"/>
      <c r="I559" s="14"/>
      <c r="J559" s="15"/>
      <c r="K559" s="14"/>
    </row>
    <row r="560" spans="2:11" ht="12.3" x14ac:dyDescent="0.4">
      <c r="B560" s="15"/>
      <c r="D560" s="15"/>
      <c r="E560" s="13"/>
      <c r="F560" s="15"/>
      <c r="G560" s="14"/>
      <c r="H560" s="15"/>
      <c r="I560" s="14"/>
      <c r="J560" s="15"/>
      <c r="K560" s="14"/>
    </row>
    <row r="561" spans="2:11" ht="12.3" x14ac:dyDescent="0.4">
      <c r="B561" s="15"/>
      <c r="D561" s="15"/>
      <c r="E561" s="13"/>
      <c r="F561" s="15"/>
      <c r="G561" s="14"/>
      <c r="H561" s="15"/>
      <c r="I561" s="14"/>
      <c r="J561" s="15"/>
      <c r="K561" s="14"/>
    </row>
    <row r="562" spans="2:11" ht="12.3" x14ac:dyDescent="0.4">
      <c r="B562" s="15"/>
      <c r="D562" s="15"/>
      <c r="E562" s="13"/>
      <c r="F562" s="15"/>
      <c r="G562" s="14"/>
      <c r="H562" s="15"/>
      <c r="I562" s="14"/>
      <c r="J562" s="15"/>
      <c r="K562" s="14"/>
    </row>
    <row r="563" spans="2:11" ht="12.3" x14ac:dyDescent="0.4">
      <c r="B563" s="15"/>
      <c r="D563" s="15"/>
      <c r="E563" s="13"/>
      <c r="F563" s="15"/>
      <c r="G563" s="14"/>
      <c r="H563" s="15"/>
      <c r="I563" s="14"/>
      <c r="J563" s="15"/>
      <c r="K563" s="14"/>
    </row>
    <row r="564" spans="2:11" ht="12.3" x14ac:dyDescent="0.4">
      <c r="B564" s="15"/>
      <c r="D564" s="15"/>
      <c r="E564" s="13"/>
      <c r="F564" s="15"/>
      <c r="G564" s="14"/>
      <c r="H564" s="15"/>
      <c r="I564" s="14"/>
      <c r="J564" s="15"/>
      <c r="K564" s="14"/>
    </row>
    <row r="565" spans="2:11" ht="12.3" x14ac:dyDescent="0.4">
      <c r="B565" s="15"/>
      <c r="D565" s="15"/>
      <c r="E565" s="13"/>
      <c r="F565" s="15"/>
      <c r="G565" s="14"/>
      <c r="H565" s="15"/>
      <c r="I565" s="14"/>
      <c r="J565" s="15"/>
      <c r="K565" s="14"/>
    </row>
    <row r="566" spans="2:11" ht="12.3" x14ac:dyDescent="0.4">
      <c r="B566" s="15"/>
      <c r="D566" s="15"/>
      <c r="E566" s="13"/>
      <c r="F566" s="15"/>
      <c r="G566" s="14"/>
      <c r="H566" s="15"/>
      <c r="I566" s="14"/>
      <c r="J566" s="15"/>
      <c r="K566" s="14"/>
    </row>
    <row r="567" spans="2:11" ht="12.3" x14ac:dyDescent="0.4">
      <c r="B567" s="15"/>
      <c r="D567" s="15"/>
      <c r="E567" s="13"/>
      <c r="F567" s="15"/>
      <c r="G567" s="14"/>
      <c r="H567" s="15"/>
      <c r="I567" s="14"/>
      <c r="J567" s="15"/>
      <c r="K567" s="14"/>
    </row>
    <row r="568" spans="2:11" ht="12.3" x14ac:dyDescent="0.4">
      <c r="B568" s="15"/>
      <c r="D568" s="15"/>
      <c r="E568" s="13"/>
      <c r="F568" s="15"/>
      <c r="G568" s="14"/>
      <c r="H568" s="15"/>
      <c r="I568" s="14"/>
      <c r="J568" s="15"/>
      <c r="K568" s="14"/>
    </row>
    <row r="569" spans="2:11" ht="12.3" x14ac:dyDescent="0.4">
      <c r="B569" s="15"/>
      <c r="D569" s="15"/>
      <c r="E569" s="13"/>
      <c r="F569" s="15"/>
      <c r="G569" s="14"/>
      <c r="H569" s="15"/>
      <c r="I569" s="14"/>
      <c r="J569" s="15"/>
      <c r="K569" s="14"/>
    </row>
    <row r="570" spans="2:11" ht="12.3" x14ac:dyDescent="0.4">
      <c r="B570" s="15"/>
      <c r="D570" s="15"/>
      <c r="E570" s="13"/>
      <c r="F570" s="15"/>
      <c r="G570" s="14"/>
      <c r="H570" s="15"/>
      <c r="I570" s="14"/>
      <c r="J570" s="15"/>
      <c r="K570" s="14"/>
    </row>
    <row r="571" spans="2:11" ht="12.3" x14ac:dyDescent="0.4">
      <c r="B571" s="15"/>
      <c r="D571" s="15"/>
      <c r="E571" s="13"/>
      <c r="F571" s="15"/>
      <c r="G571" s="14"/>
      <c r="H571" s="15"/>
      <c r="I571" s="14"/>
      <c r="J571" s="15"/>
      <c r="K571" s="14"/>
    </row>
    <row r="572" spans="2:11" ht="12.3" x14ac:dyDescent="0.4">
      <c r="B572" s="15"/>
      <c r="D572" s="15"/>
      <c r="E572" s="13"/>
      <c r="F572" s="15"/>
      <c r="G572" s="14"/>
      <c r="H572" s="15"/>
      <c r="I572" s="14"/>
      <c r="J572" s="15"/>
      <c r="K572" s="14"/>
    </row>
    <row r="573" spans="2:11" ht="12.3" x14ac:dyDescent="0.4">
      <c r="B573" s="15"/>
      <c r="D573" s="15"/>
      <c r="E573" s="13"/>
      <c r="F573" s="15"/>
      <c r="G573" s="14"/>
      <c r="H573" s="15"/>
      <c r="I573" s="14"/>
      <c r="J573" s="15"/>
      <c r="K573" s="14"/>
    </row>
    <row r="574" spans="2:11" ht="12.3" x14ac:dyDescent="0.4">
      <c r="B574" s="15"/>
      <c r="D574" s="15"/>
      <c r="E574" s="13"/>
      <c r="F574" s="15"/>
      <c r="G574" s="14"/>
      <c r="H574" s="15"/>
      <c r="I574" s="14"/>
      <c r="J574" s="15"/>
      <c r="K574" s="14"/>
    </row>
    <row r="575" spans="2:11" ht="12.3" x14ac:dyDescent="0.4">
      <c r="B575" s="15"/>
      <c r="D575" s="15"/>
      <c r="E575" s="13"/>
      <c r="F575" s="15"/>
      <c r="G575" s="14"/>
      <c r="H575" s="15"/>
      <c r="I575" s="14"/>
      <c r="J575" s="15"/>
      <c r="K575" s="14"/>
    </row>
    <row r="576" spans="2:11" ht="12.3" x14ac:dyDescent="0.4">
      <c r="B576" s="15"/>
      <c r="D576" s="15"/>
      <c r="E576" s="13"/>
      <c r="F576" s="15"/>
      <c r="G576" s="14"/>
      <c r="H576" s="15"/>
      <c r="I576" s="14"/>
      <c r="J576" s="15"/>
      <c r="K576" s="14"/>
    </row>
    <row r="577" spans="2:11" ht="12.3" x14ac:dyDescent="0.4">
      <c r="B577" s="15"/>
      <c r="D577" s="15"/>
      <c r="E577" s="13"/>
      <c r="F577" s="15"/>
      <c r="G577" s="14"/>
      <c r="H577" s="15"/>
      <c r="I577" s="14"/>
      <c r="J577" s="15"/>
      <c r="K577" s="14"/>
    </row>
    <row r="578" spans="2:11" ht="12.3" x14ac:dyDescent="0.4">
      <c r="B578" s="15"/>
      <c r="D578" s="15"/>
      <c r="E578" s="13"/>
      <c r="F578" s="15"/>
      <c r="G578" s="14"/>
      <c r="H578" s="15"/>
      <c r="I578" s="14"/>
      <c r="J578" s="15"/>
      <c r="K578" s="14"/>
    </row>
    <row r="579" spans="2:11" ht="12.3" x14ac:dyDescent="0.4">
      <c r="B579" s="15"/>
      <c r="D579" s="15"/>
      <c r="E579" s="13"/>
      <c r="F579" s="15"/>
      <c r="G579" s="14"/>
      <c r="H579" s="15"/>
      <c r="I579" s="14"/>
      <c r="J579" s="15"/>
      <c r="K579" s="14"/>
    </row>
    <row r="580" spans="2:11" ht="12.3" x14ac:dyDescent="0.4">
      <c r="B580" s="15"/>
      <c r="D580" s="15"/>
      <c r="E580" s="13"/>
      <c r="F580" s="15"/>
      <c r="G580" s="14"/>
      <c r="H580" s="15"/>
      <c r="I580" s="14"/>
      <c r="J580" s="15"/>
      <c r="K580" s="14"/>
    </row>
    <row r="581" spans="2:11" ht="12.3" x14ac:dyDescent="0.4">
      <c r="B581" s="15"/>
      <c r="D581" s="15"/>
      <c r="E581" s="13"/>
      <c r="F581" s="15"/>
      <c r="G581" s="14"/>
      <c r="H581" s="15"/>
      <c r="I581" s="14"/>
      <c r="J581" s="15"/>
      <c r="K581" s="14"/>
    </row>
    <row r="582" spans="2:11" ht="12.3" x14ac:dyDescent="0.4">
      <c r="B582" s="15"/>
      <c r="D582" s="15"/>
      <c r="E582" s="13"/>
      <c r="F582" s="15"/>
      <c r="G582" s="14"/>
      <c r="H582" s="15"/>
      <c r="I582" s="14"/>
      <c r="J582" s="15"/>
      <c r="K582" s="14"/>
    </row>
    <row r="583" spans="2:11" ht="12.3" x14ac:dyDescent="0.4">
      <c r="B583" s="15"/>
      <c r="D583" s="15"/>
      <c r="E583" s="13"/>
      <c r="F583" s="15"/>
      <c r="G583" s="14"/>
      <c r="H583" s="15"/>
      <c r="I583" s="14"/>
      <c r="J583" s="15"/>
      <c r="K583" s="14"/>
    </row>
    <row r="584" spans="2:11" ht="12.3" x14ac:dyDescent="0.4">
      <c r="B584" s="15"/>
      <c r="D584" s="15"/>
      <c r="E584" s="13"/>
      <c r="F584" s="15"/>
      <c r="G584" s="14"/>
      <c r="H584" s="15"/>
      <c r="I584" s="14"/>
      <c r="J584" s="15"/>
      <c r="K584" s="14"/>
    </row>
    <row r="585" spans="2:11" ht="12.3" x14ac:dyDescent="0.4">
      <c r="B585" s="15"/>
      <c r="D585" s="15"/>
      <c r="E585" s="13"/>
      <c r="F585" s="15"/>
      <c r="G585" s="14"/>
      <c r="H585" s="15"/>
      <c r="I585" s="14"/>
      <c r="J585" s="15"/>
      <c r="K585" s="14"/>
    </row>
    <row r="586" spans="2:11" ht="12.3" x14ac:dyDescent="0.4">
      <c r="B586" s="15"/>
      <c r="D586" s="15"/>
      <c r="E586" s="13"/>
      <c r="F586" s="15"/>
      <c r="G586" s="14"/>
      <c r="H586" s="15"/>
      <c r="I586" s="14"/>
      <c r="J586" s="15"/>
      <c r="K586" s="14"/>
    </row>
    <row r="587" spans="2:11" ht="12.3" x14ac:dyDescent="0.4">
      <c r="B587" s="15"/>
      <c r="D587" s="15"/>
      <c r="E587" s="13"/>
      <c r="F587" s="15"/>
      <c r="G587" s="14"/>
      <c r="H587" s="15"/>
      <c r="I587" s="14"/>
      <c r="J587" s="15"/>
      <c r="K587" s="14"/>
    </row>
    <row r="588" spans="2:11" ht="12.3" x14ac:dyDescent="0.4">
      <c r="B588" s="15"/>
      <c r="D588" s="15"/>
      <c r="E588" s="13"/>
      <c r="F588" s="15"/>
      <c r="G588" s="14"/>
      <c r="H588" s="15"/>
      <c r="I588" s="14"/>
      <c r="J588" s="15"/>
      <c r="K588" s="14"/>
    </row>
    <row r="589" spans="2:11" ht="12.3" x14ac:dyDescent="0.4">
      <c r="B589" s="15"/>
      <c r="D589" s="15"/>
      <c r="E589" s="13"/>
      <c r="F589" s="15"/>
      <c r="G589" s="14"/>
      <c r="H589" s="15"/>
      <c r="I589" s="14"/>
      <c r="J589" s="15"/>
      <c r="K589" s="14"/>
    </row>
    <row r="590" spans="2:11" ht="12.3" x14ac:dyDescent="0.4">
      <c r="B590" s="15"/>
      <c r="D590" s="15"/>
      <c r="E590" s="13"/>
      <c r="F590" s="15"/>
      <c r="G590" s="14"/>
      <c r="H590" s="15"/>
      <c r="I590" s="14"/>
      <c r="J590" s="15"/>
      <c r="K590" s="14"/>
    </row>
    <row r="591" spans="2:11" ht="12.3" x14ac:dyDescent="0.4">
      <c r="B591" s="15"/>
      <c r="D591" s="15"/>
      <c r="E591" s="13"/>
      <c r="F591" s="15"/>
      <c r="G591" s="14"/>
      <c r="H591" s="15"/>
      <c r="I591" s="14"/>
      <c r="J591" s="15"/>
      <c r="K591" s="14"/>
    </row>
    <row r="592" spans="2:11" ht="12.3" x14ac:dyDescent="0.4">
      <c r="B592" s="15"/>
      <c r="D592" s="15"/>
      <c r="E592" s="13"/>
      <c r="F592" s="15"/>
      <c r="G592" s="14"/>
      <c r="H592" s="15"/>
      <c r="I592" s="14"/>
      <c r="J592" s="15"/>
      <c r="K592" s="14"/>
    </row>
    <row r="593" spans="2:11" ht="12.3" x14ac:dyDescent="0.4">
      <c r="B593" s="15"/>
      <c r="D593" s="15"/>
      <c r="E593" s="13"/>
      <c r="F593" s="15"/>
      <c r="G593" s="14"/>
      <c r="H593" s="15"/>
      <c r="I593" s="14"/>
      <c r="J593" s="15"/>
      <c r="K593" s="14"/>
    </row>
    <row r="594" spans="2:11" ht="12.3" x14ac:dyDescent="0.4">
      <c r="B594" s="15"/>
      <c r="D594" s="15"/>
      <c r="E594" s="13"/>
      <c r="F594" s="15"/>
      <c r="G594" s="14"/>
      <c r="H594" s="15"/>
      <c r="I594" s="14"/>
      <c r="J594" s="15"/>
      <c r="K594" s="14"/>
    </row>
    <row r="595" spans="2:11" ht="12.3" x14ac:dyDescent="0.4">
      <c r="B595" s="15"/>
      <c r="D595" s="15"/>
      <c r="E595" s="13"/>
      <c r="F595" s="15"/>
      <c r="G595" s="14"/>
      <c r="H595" s="15"/>
      <c r="I595" s="14"/>
      <c r="J595" s="15"/>
      <c r="K595" s="14"/>
    </row>
    <row r="596" spans="2:11" ht="12.3" x14ac:dyDescent="0.4">
      <c r="B596" s="15"/>
      <c r="D596" s="15"/>
      <c r="E596" s="13"/>
      <c r="F596" s="15"/>
      <c r="G596" s="14"/>
      <c r="H596" s="15"/>
      <c r="I596" s="14"/>
      <c r="J596" s="15"/>
      <c r="K596" s="14"/>
    </row>
    <row r="597" spans="2:11" ht="12.3" x14ac:dyDescent="0.4">
      <c r="B597" s="15"/>
      <c r="D597" s="15"/>
      <c r="E597" s="13"/>
      <c r="F597" s="15"/>
      <c r="G597" s="14"/>
      <c r="H597" s="15"/>
      <c r="I597" s="14"/>
      <c r="J597" s="15"/>
      <c r="K597" s="14"/>
    </row>
    <row r="598" spans="2:11" ht="12.3" x14ac:dyDescent="0.4">
      <c r="B598" s="15"/>
      <c r="D598" s="15"/>
      <c r="E598" s="13"/>
      <c r="F598" s="15"/>
      <c r="G598" s="14"/>
      <c r="H598" s="15"/>
      <c r="I598" s="14"/>
      <c r="J598" s="15"/>
      <c r="K598" s="14"/>
    </row>
    <row r="599" spans="2:11" ht="12.3" x14ac:dyDescent="0.4">
      <c r="B599" s="15"/>
      <c r="D599" s="15"/>
      <c r="E599" s="13"/>
      <c r="F599" s="15"/>
      <c r="G599" s="14"/>
      <c r="H599" s="15"/>
      <c r="I599" s="14"/>
      <c r="J599" s="15"/>
      <c r="K599" s="14"/>
    </row>
    <row r="600" spans="2:11" ht="12.3" x14ac:dyDescent="0.4">
      <c r="B600" s="15"/>
      <c r="D600" s="15"/>
      <c r="E600" s="13"/>
      <c r="F600" s="15"/>
      <c r="G600" s="14"/>
      <c r="H600" s="15"/>
      <c r="I600" s="14"/>
      <c r="J600" s="15"/>
      <c r="K600" s="14"/>
    </row>
    <row r="601" spans="2:11" ht="12.3" x14ac:dyDescent="0.4">
      <c r="B601" s="15"/>
      <c r="D601" s="15"/>
      <c r="E601" s="13"/>
      <c r="F601" s="15"/>
      <c r="G601" s="14"/>
      <c r="H601" s="15"/>
      <c r="I601" s="14"/>
      <c r="J601" s="15"/>
      <c r="K601" s="14"/>
    </row>
    <row r="602" spans="2:11" ht="12.3" x14ac:dyDescent="0.4">
      <c r="B602" s="15"/>
      <c r="D602" s="15"/>
      <c r="E602" s="13"/>
      <c r="F602" s="15"/>
      <c r="G602" s="14"/>
      <c r="H602" s="15"/>
      <c r="I602" s="14"/>
      <c r="J602" s="15"/>
      <c r="K602" s="14"/>
    </row>
    <row r="603" spans="2:11" ht="12.3" x14ac:dyDescent="0.4">
      <c r="B603" s="15"/>
      <c r="D603" s="15"/>
      <c r="E603" s="13"/>
      <c r="F603" s="15"/>
      <c r="G603" s="14"/>
      <c r="H603" s="15"/>
      <c r="I603" s="14"/>
      <c r="J603" s="15"/>
      <c r="K603" s="14"/>
    </row>
    <row r="604" spans="2:11" ht="12.3" x14ac:dyDescent="0.4">
      <c r="B604" s="15"/>
      <c r="D604" s="15"/>
      <c r="E604" s="13"/>
      <c r="F604" s="15"/>
      <c r="G604" s="14"/>
      <c r="H604" s="15"/>
      <c r="I604" s="14"/>
      <c r="J604" s="15"/>
      <c r="K604" s="14"/>
    </row>
    <row r="605" spans="2:11" ht="12.3" x14ac:dyDescent="0.4">
      <c r="B605" s="15"/>
      <c r="D605" s="15"/>
      <c r="E605" s="13"/>
      <c r="F605" s="15"/>
      <c r="G605" s="14"/>
      <c r="H605" s="15"/>
      <c r="I605" s="14"/>
      <c r="J605" s="15"/>
      <c r="K605" s="14"/>
    </row>
    <row r="606" spans="2:11" ht="12.3" x14ac:dyDescent="0.4">
      <c r="B606" s="15"/>
      <c r="D606" s="15"/>
      <c r="E606" s="13"/>
      <c r="F606" s="15"/>
      <c r="G606" s="14"/>
      <c r="H606" s="15"/>
      <c r="I606" s="14"/>
      <c r="J606" s="15"/>
      <c r="K606" s="14"/>
    </row>
    <row r="607" spans="2:11" ht="12.3" x14ac:dyDescent="0.4">
      <c r="B607" s="15"/>
      <c r="D607" s="15"/>
      <c r="E607" s="13"/>
      <c r="F607" s="15"/>
      <c r="G607" s="14"/>
      <c r="H607" s="15"/>
      <c r="I607" s="14"/>
      <c r="J607" s="15"/>
      <c r="K607" s="14"/>
    </row>
    <row r="608" spans="2:11" ht="12.3" x14ac:dyDescent="0.4">
      <c r="B608" s="15"/>
      <c r="D608" s="15"/>
      <c r="E608" s="13"/>
      <c r="F608" s="15"/>
      <c r="G608" s="14"/>
      <c r="H608" s="15"/>
      <c r="I608" s="14"/>
      <c r="J608" s="15"/>
      <c r="K608" s="14"/>
    </row>
    <row r="609" spans="2:11" ht="12.3" x14ac:dyDescent="0.4">
      <c r="B609" s="15"/>
      <c r="D609" s="15"/>
      <c r="E609" s="13"/>
      <c r="F609" s="15"/>
      <c r="G609" s="14"/>
      <c r="H609" s="15"/>
      <c r="I609" s="14"/>
      <c r="J609" s="15"/>
      <c r="K609" s="14"/>
    </row>
    <row r="610" spans="2:11" ht="12.3" x14ac:dyDescent="0.4">
      <c r="B610" s="15"/>
      <c r="D610" s="15"/>
      <c r="E610" s="13"/>
      <c r="F610" s="15"/>
      <c r="G610" s="14"/>
      <c r="H610" s="15"/>
      <c r="I610" s="14"/>
      <c r="J610" s="15"/>
      <c r="K610" s="14"/>
    </row>
    <row r="611" spans="2:11" ht="12.3" x14ac:dyDescent="0.4">
      <c r="B611" s="15"/>
      <c r="D611" s="15"/>
      <c r="E611" s="13"/>
      <c r="F611" s="15"/>
      <c r="G611" s="14"/>
      <c r="H611" s="15"/>
      <c r="I611" s="14"/>
      <c r="J611" s="15"/>
      <c r="K611" s="14"/>
    </row>
    <row r="612" spans="2:11" ht="12.3" x14ac:dyDescent="0.4">
      <c r="B612" s="15"/>
      <c r="D612" s="15"/>
      <c r="E612" s="13"/>
      <c r="F612" s="15"/>
      <c r="G612" s="14"/>
      <c r="H612" s="15"/>
      <c r="I612" s="14"/>
      <c r="J612" s="15"/>
      <c r="K612" s="14"/>
    </row>
    <row r="613" spans="2:11" ht="12.3" x14ac:dyDescent="0.4">
      <c r="B613" s="15"/>
      <c r="D613" s="15"/>
      <c r="E613" s="13"/>
      <c r="F613" s="15"/>
      <c r="G613" s="14"/>
      <c r="H613" s="15"/>
      <c r="I613" s="14"/>
      <c r="J613" s="15"/>
      <c r="K613" s="14"/>
    </row>
    <row r="614" spans="2:11" ht="12.3" x14ac:dyDescent="0.4">
      <c r="B614" s="15"/>
      <c r="D614" s="15"/>
      <c r="E614" s="13"/>
      <c r="F614" s="15"/>
      <c r="G614" s="14"/>
      <c r="H614" s="15"/>
      <c r="I614" s="14"/>
      <c r="J614" s="15"/>
      <c r="K614" s="14"/>
    </row>
    <row r="615" spans="2:11" ht="12.3" x14ac:dyDescent="0.4">
      <c r="B615" s="15"/>
      <c r="D615" s="15"/>
      <c r="E615" s="13"/>
      <c r="F615" s="15"/>
      <c r="G615" s="14"/>
      <c r="H615" s="15"/>
      <c r="I615" s="14"/>
      <c r="J615" s="15"/>
      <c r="K615" s="14"/>
    </row>
    <row r="616" spans="2:11" ht="12.3" x14ac:dyDescent="0.4">
      <c r="B616" s="15"/>
      <c r="D616" s="15"/>
      <c r="E616" s="13"/>
      <c r="F616" s="15"/>
      <c r="G616" s="14"/>
      <c r="H616" s="15"/>
      <c r="I616" s="14"/>
      <c r="J616" s="15"/>
      <c r="K616" s="14"/>
    </row>
    <row r="617" spans="2:11" ht="12.3" x14ac:dyDescent="0.4">
      <c r="B617" s="15"/>
      <c r="D617" s="15"/>
      <c r="E617" s="13"/>
      <c r="F617" s="15"/>
      <c r="G617" s="14"/>
      <c r="H617" s="15"/>
      <c r="I617" s="14"/>
      <c r="J617" s="15"/>
      <c r="K617" s="14"/>
    </row>
    <row r="618" spans="2:11" ht="12.3" x14ac:dyDescent="0.4">
      <c r="B618" s="15"/>
      <c r="D618" s="15"/>
      <c r="E618" s="13"/>
      <c r="F618" s="15"/>
      <c r="G618" s="14"/>
      <c r="H618" s="15"/>
      <c r="I618" s="14"/>
      <c r="J618" s="15"/>
      <c r="K618" s="14"/>
    </row>
    <row r="619" spans="2:11" ht="12.3" x14ac:dyDescent="0.4">
      <c r="B619" s="15"/>
      <c r="D619" s="15"/>
      <c r="E619" s="13"/>
      <c r="F619" s="15"/>
      <c r="G619" s="14"/>
      <c r="H619" s="15"/>
      <c r="I619" s="14"/>
      <c r="J619" s="15"/>
      <c r="K619" s="14"/>
    </row>
    <row r="620" spans="2:11" ht="12.3" x14ac:dyDescent="0.4">
      <c r="B620" s="15"/>
      <c r="D620" s="15"/>
      <c r="E620" s="13"/>
      <c r="F620" s="15"/>
      <c r="G620" s="14"/>
      <c r="H620" s="15"/>
      <c r="I620" s="14"/>
      <c r="J620" s="15"/>
      <c r="K620" s="14"/>
    </row>
    <row r="621" spans="2:11" ht="12.3" x14ac:dyDescent="0.4">
      <c r="B621" s="15"/>
      <c r="D621" s="15"/>
      <c r="E621" s="13"/>
      <c r="F621" s="15"/>
      <c r="G621" s="14"/>
      <c r="H621" s="15"/>
      <c r="I621" s="14"/>
      <c r="J621" s="15"/>
      <c r="K621" s="14"/>
    </row>
    <row r="622" spans="2:11" ht="12.3" x14ac:dyDescent="0.4">
      <c r="B622" s="15"/>
      <c r="D622" s="15"/>
      <c r="E622" s="13"/>
      <c r="F622" s="15"/>
      <c r="G622" s="14"/>
      <c r="H622" s="15"/>
      <c r="I622" s="14"/>
      <c r="J622" s="15"/>
      <c r="K622" s="14"/>
    </row>
    <row r="623" spans="2:11" ht="12.3" x14ac:dyDescent="0.4">
      <c r="B623" s="15"/>
      <c r="D623" s="15"/>
      <c r="E623" s="13"/>
      <c r="F623" s="15"/>
      <c r="G623" s="14"/>
      <c r="H623" s="15"/>
      <c r="I623" s="14"/>
      <c r="J623" s="15"/>
      <c r="K623" s="14"/>
    </row>
    <row r="624" spans="2:11" ht="12.3" x14ac:dyDescent="0.4">
      <c r="B624" s="15"/>
      <c r="D624" s="15"/>
      <c r="E624" s="13"/>
      <c r="F624" s="15"/>
      <c r="G624" s="14"/>
      <c r="H624" s="15"/>
      <c r="I624" s="14"/>
      <c r="J624" s="15"/>
      <c r="K624" s="14"/>
    </row>
    <row r="625" spans="2:11" ht="12.3" x14ac:dyDescent="0.4">
      <c r="B625" s="15"/>
      <c r="D625" s="15"/>
      <c r="E625" s="13"/>
      <c r="F625" s="15"/>
      <c r="G625" s="14"/>
      <c r="H625" s="15"/>
      <c r="I625" s="14"/>
      <c r="J625" s="15"/>
      <c r="K625" s="14"/>
    </row>
    <row r="626" spans="2:11" ht="12.3" x14ac:dyDescent="0.4">
      <c r="B626" s="15"/>
      <c r="D626" s="15"/>
      <c r="E626" s="13"/>
      <c r="F626" s="15"/>
      <c r="G626" s="14"/>
      <c r="H626" s="15"/>
      <c r="I626" s="14"/>
      <c r="J626" s="15"/>
      <c r="K626" s="14"/>
    </row>
    <row r="627" spans="2:11" ht="12.3" x14ac:dyDescent="0.4">
      <c r="B627" s="15"/>
      <c r="D627" s="15"/>
      <c r="E627" s="13"/>
      <c r="F627" s="15"/>
      <c r="G627" s="14"/>
      <c r="H627" s="15"/>
      <c r="I627" s="14"/>
      <c r="J627" s="15"/>
      <c r="K627" s="14"/>
    </row>
    <row r="628" spans="2:11" ht="12.3" x14ac:dyDescent="0.4">
      <c r="B628" s="15"/>
      <c r="D628" s="15"/>
      <c r="E628" s="13"/>
      <c r="F628" s="15"/>
      <c r="G628" s="14"/>
      <c r="H628" s="15"/>
      <c r="I628" s="14"/>
      <c r="J628" s="15"/>
      <c r="K628" s="14"/>
    </row>
    <row r="629" spans="2:11" ht="12.3" x14ac:dyDescent="0.4">
      <c r="B629" s="15"/>
      <c r="D629" s="15"/>
      <c r="E629" s="13"/>
      <c r="F629" s="15"/>
      <c r="G629" s="14"/>
      <c r="H629" s="15"/>
      <c r="I629" s="14"/>
      <c r="J629" s="15"/>
      <c r="K629" s="14"/>
    </row>
    <row r="630" spans="2:11" ht="12.3" x14ac:dyDescent="0.4">
      <c r="B630" s="15"/>
      <c r="D630" s="15"/>
      <c r="E630" s="13"/>
      <c r="F630" s="15"/>
      <c r="G630" s="14"/>
      <c r="H630" s="15"/>
      <c r="I630" s="14"/>
      <c r="J630" s="15"/>
      <c r="K630" s="14"/>
    </row>
    <row r="631" spans="2:11" ht="12.3" x14ac:dyDescent="0.4">
      <c r="B631" s="15"/>
      <c r="D631" s="15"/>
      <c r="E631" s="13"/>
      <c r="F631" s="15"/>
      <c r="G631" s="14"/>
      <c r="H631" s="15"/>
      <c r="I631" s="14"/>
      <c r="J631" s="15"/>
      <c r="K631" s="14"/>
    </row>
    <row r="632" spans="2:11" ht="12.3" x14ac:dyDescent="0.4">
      <c r="B632" s="15"/>
      <c r="D632" s="15"/>
      <c r="E632" s="13"/>
      <c r="F632" s="15"/>
      <c r="G632" s="14"/>
      <c r="H632" s="15"/>
      <c r="I632" s="14"/>
      <c r="J632" s="15"/>
      <c r="K632" s="14"/>
    </row>
    <row r="633" spans="2:11" ht="12.3" x14ac:dyDescent="0.4">
      <c r="B633" s="15"/>
      <c r="D633" s="15"/>
      <c r="E633" s="13"/>
      <c r="F633" s="15"/>
      <c r="G633" s="14"/>
      <c r="H633" s="15"/>
      <c r="I633" s="14"/>
      <c r="J633" s="15"/>
      <c r="K633" s="14"/>
    </row>
    <row r="634" spans="2:11" ht="12.3" x14ac:dyDescent="0.4">
      <c r="B634" s="15"/>
      <c r="D634" s="15"/>
      <c r="E634" s="13"/>
      <c r="F634" s="15"/>
      <c r="G634" s="14"/>
      <c r="H634" s="15"/>
      <c r="I634" s="14"/>
      <c r="J634" s="15"/>
      <c r="K634" s="14"/>
    </row>
    <row r="635" spans="2:11" ht="12.3" x14ac:dyDescent="0.4">
      <c r="B635" s="15"/>
      <c r="D635" s="15"/>
      <c r="E635" s="13"/>
      <c r="F635" s="15"/>
      <c r="G635" s="14"/>
      <c r="H635" s="15"/>
      <c r="I635" s="14"/>
      <c r="J635" s="15"/>
      <c r="K635" s="14"/>
    </row>
    <row r="636" spans="2:11" ht="12.3" x14ac:dyDescent="0.4">
      <c r="B636" s="15"/>
      <c r="D636" s="15"/>
      <c r="E636" s="13"/>
      <c r="F636" s="15"/>
      <c r="G636" s="14"/>
      <c r="H636" s="15"/>
      <c r="I636" s="14"/>
      <c r="J636" s="15"/>
      <c r="K636" s="14"/>
    </row>
    <row r="637" spans="2:11" ht="12.3" x14ac:dyDescent="0.4">
      <c r="B637" s="15"/>
      <c r="D637" s="15"/>
      <c r="E637" s="13"/>
      <c r="F637" s="15"/>
      <c r="G637" s="14"/>
      <c r="H637" s="15"/>
      <c r="I637" s="14"/>
      <c r="J637" s="15"/>
      <c r="K637" s="14"/>
    </row>
    <row r="638" spans="2:11" ht="12.3" x14ac:dyDescent="0.4">
      <c r="B638" s="15"/>
      <c r="D638" s="15"/>
      <c r="E638" s="13"/>
      <c r="F638" s="15"/>
      <c r="G638" s="14"/>
      <c r="H638" s="15"/>
      <c r="I638" s="14"/>
      <c r="J638" s="15"/>
      <c r="K638" s="14"/>
    </row>
    <row r="639" spans="2:11" ht="12.3" x14ac:dyDescent="0.4">
      <c r="B639" s="15"/>
      <c r="D639" s="15"/>
      <c r="E639" s="13"/>
      <c r="F639" s="15"/>
      <c r="G639" s="14"/>
      <c r="H639" s="15"/>
      <c r="I639" s="14"/>
      <c r="J639" s="15"/>
      <c r="K639" s="14"/>
    </row>
    <row r="640" spans="2:11" ht="12.3" x14ac:dyDescent="0.4">
      <c r="B640" s="15"/>
      <c r="D640" s="15"/>
      <c r="E640" s="13"/>
      <c r="F640" s="15"/>
      <c r="G640" s="14"/>
      <c r="H640" s="15"/>
      <c r="I640" s="14"/>
      <c r="J640" s="15"/>
      <c r="K640" s="14"/>
    </row>
    <row r="641" spans="2:11" ht="12.3" x14ac:dyDescent="0.4">
      <c r="B641" s="15"/>
      <c r="D641" s="15"/>
      <c r="E641" s="13"/>
      <c r="F641" s="15"/>
      <c r="G641" s="14"/>
      <c r="H641" s="15"/>
      <c r="I641" s="14"/>
      <c r="J641" s="15"/>
      <c r="K641" s="14"/>
    </row>
    <row r="642" spans="2:11" ht="12.3" x14ac:dyDescent="0.4">
      <c r="B642" s="15"/>
      <c r="D642" s="15"/>
      <c r="E642" s="13"/>
      <c r="F642" s="15"/>
      <c r="G642" s="14"/>
      <c r="H642" s="15"/>
      <c r="I642" s="14"/>
      <c r="J642" s="15"/>
      <c r="K642" s="14"/>
    </row>
    <row r="643" spans="2:11" ht="12.3" x14ac:dyDescent="0.4">
      <c r="B643" s="15"/>
      <c r="D643" s="15"/>
      <c r="E643" s="13"/>
      <c r="F643" s="15"/>
      <c r="G643" s="14"/>
      <c r="H643" s="15"/>
      <c r="I643" s="14"/>
      <c r="J643" s="15"/>
      <c r="K643" s="14"/>
    </row>
    <row r="644" spans="2:11" ht="12.3" x14ac:dyDescent="0.4">
      <c r="B644" s="15"/>
      <c r="D644" s="15"/>
      <c r="E644" s="13"/>
      <c r="F644" s="15"/>
      <c r="G644" s="14"/>
      <c r="H644" s="15"/>
      <c r="I644" s="14"/>
      <c r="J644" s="15"/>
      <c r="K644" s="14"/>
    </row>
    <row r="645" spans="2:11" ht="12.3" x14ac:dyDescent="0.4">
      <c r="B645" s="15"/>
      <c r="D645" s="15"/>
      <c r="E645" s="13"/>
      <c r="F645" s="15"/>
      <c r="G645" s="14"/>
      <c r="H645" s="15"/>
      <c r="I645" s="14"/>
      <c r="J645" s="15"/>
      <c r="K645" s="14"/>
    </row>
    <row r="646" spans="2:11" ht="12.3" x14ac:dyDescent="0.4">
      <c r="B646" s="15"/>
      <c r="D646" s="15"/>
      <c r="E646" s="13"/>
      <c r="F646" s="15"/>
      <c r="G646" s="14"/>
      <c r="H646" s="15"/>
      <c r="I646" s="14"/>
      <c r="J646" s="15"/>
      <c r="K646" s="14"/>
    </row>
    <row r="647" spans="2:11" ht="12.3" x14ac:dyDescent="0.4">
      <c r="B647" s="15"/>
      <c r="D647" s="15"/>
      <c r="E647" s="13"/>
      <c r="F647" s="15"/>
      <c r="G647" s="14"/>
      <c r="H647" s="15"/>
      <c r="I647" s="14"/>
      <c r="J647" s="15"/>
      <c r="K647" s="14"/>
    </row>
    <row r="648" spans="2:11" ht="12.3" x14ac:dyDescent="0.4">
      <c r="B648" s="15"/>
      <c r="D648" s="15"/>
      <c r="E648" s="13"/>
      <c r="F648" s="15"/>
      <c r="G648" s="14"/>
      <c r="H648" s="15"/>
      <c r="I648" s="14"/>
      <c r="J648" s="15"/>
      <c r="K648" s="14"/>
    </row>
    <row r="649" spans="2:11" ht="12.3" x14ac:dyDescent="0.4">
      <c r="B649" s="15"/>
      <c r="D649" s="15"/>
      <c r="E649" s="13"/>
      <c r="F649" s="15"/>
      <c r="G649" s="14"/>
      <c r="H649" s="15"/>
      <c r="I649" s="14"/>
      <c r="J649" s="15"/>
      <c r="K649" s="14"/>
    </row>
    <row r="650" spans="2:11" ht="12.3" x14ac:dyDescent="0.4">
      <c r="B650" s="15"/>
      <c r="D650" s="15"/>
      <c r="E650" s="13"/>
      <c r="F650" s="15"/>
      <c r="G650" s="14"/>
      <c r="H650" s="15"/>
      <c r="I650" s="14"/>
      <c r="J650" s="15"/>
      <c r="K650" s="14"/>
    </row>
    <row r="651" spans="2:11" ht="12.3" x14ac:dyDescent="0.4">
      <c r="B651" s="15"/>
      <c r="D651" s="15"/>
      <c r="E651" s="13"/>
      <c r="F651" s="15"/>
      <c r="G651" s="14"/>
      <c r="H651" s="15"/>
      <c r="I651" s="14"/>
      <c r="J651" s="15"/>
      <c r="K651" s="14"/>
    </row>
    <row r="652" spans="2:11" ht="12.3" x14ac:dyDescent="0.4">
      <c r="B652" s="15"/>
      <c r="D652" s="15"/>
      <c r="E652" s="13"/>
      <c r="F652" s="15"/>
      <c r="G652" s="14"/>
      <c r="H652" s="15"/>
      <c r="I652" s="14"/>
      <c r="J652" s="15"/>
      <c r="K652" s="14"/>
    </row>
    <row r="653" spans="2:11" ht="12.3" x14ac:dyDescent="0.4">
      <c r="B653" s="15"/>
      <c r="D653" s="15"/>
      <c r="E653" s="13"/>
      <c r="F653" s="15"/>
      <c r="G653" s="14"/>
      <c r="H653" s="15"/>
      <c r="I653" s="14"/>
      <c r="J653" s="15"/>
      <c r="K653" s="14"/>
    </row>
    <row r="654" spans="2:11" ht="12.3" x14ac:dyDescent="0.4">
      <c r="B654" s="15"/>
      <c r="D654" s="15"/>
      <c r="E654" s="13"/>
      <c r="F654" s="15"/>
      <c r="G654" s="14"/>
      <c r="H654" s="15"/>
      <c r="I654" s="14"/>
      <c r="J654" s="15"/>
      <c r="K654" s="14"/>
    </row>
    <row r="655" spans="2:11" ht="12.3" x14ac:dyDescent="0.4">
      <c r="B655" s="15"/>
      <c r="D655" s="15"/>
      <c r="E655" s="13"/>
      <c r="F655" s="15"/>
      <c r="G655" s="14"/>
      <c r="H655" s="15"/>
      <c r="I655" s="14"/>
      <c r="J655" s="15"/>
      <c r="K655" s="14"/>
    </row>
    <row r="656" spans="2:11" ht="12.3" x14ac:dyDescent="0.4">
      <c r="B656" s="15"/>
      <c r="D656" s="15"/>
      <c r="E656" s="13"/>
      <c r="F656" s="15"/>
      <c r="G656" s="14"/>
      <c r="H656" s="15"/>
      <c r="I656" s="14"/>
      <c r="J656" s="15"/>
      <c r="K656" s="14"/>
    </row>
    <row r="657" spans="2:11" ht="12.3" x14ac:dyDescent="0.4">
      <c r="B657" s="15"/>
      <c r="D657" s="15"/>
      <c r="E657" s="13"/>
      <c r="F657" s="15"/>
      <c r="G657" s="14"/>
      <c r="H657" s="15"/>
      <c r="I657" s="14"/>
      <c r="J657" s="15"/>
      <c r="K657" s="14"/>
    </row>
    <row r="658" spans="2:11" ht="12.3" x14ac:dyDescent="0.4">
      <c r="B658" s="15"/>
      <c r="D658" s="15"/>
      <c r="E658" s="13"/>
      <c r="F658" s="15"/>
      <c r="G658" s="14"/>
      <c r="H658" s="15"/>
      <c r="I658" s="14"/>
      <c r="J658" s="15"/>
      <c r="K658" s="14"/>
    </row>
    <row r="659" spans="2:11" ht="12.3" x14ac:dyDescent="0.4">
      <c r="B659" s="15"/>
      <c r="D659" s="15"/>
      <c r="E659" s="13"/>
      <c r="F659" s="15"/>
      <c r="G659" s="14"/>
      <c r="H659" s="15"/>
      <c r="I659" s="14"/>
      <c r="J659" s="15"/>
      <c r="K659" s="14"/>
    </row>
    <row r="660" spans="2:11" ht="12.3" x14ac:dyDescent="0.4">
      <c r="B660" s="15"/>
      <c r="D660" s="15"/>
      <c r="E660" s="13"/>
      <c r="F660" s="15"/>
      <c r="G660" s="14"/>
      <c r="H660" s="15"/>
      <c r="I660" s="14"/>
      <c r="J660" s="15"/>
      <c r="K660" s="14"/>
    </row>
    <row r="661" spans="2:11" ht="12.3" x14ac:dyDescent="0.4">
      <c r="B661" s="15"/>
      <c r="D661" s="15"/>
      <c r="E661" s="13"/>
      <c r="F661" s="15"/>
      <c r="G661" s="14"/>
      <c r="H661" s="15"/>
      <c r="I661" s="14"/>
      <c r="J661" s="15"/>
      <c r="K661" s="14"/>
    </row>
    <row r="662" spans="2:11" ht="12.3" x14ac:dyDescent="0.4">
      <c r="B662" s="15"/>
      <c r="D662" s="15"/>
      <c r="E662" s="13"/>
      <c r="F662" s="15"/>
      <c r="G662" s="14"/>
      <c r="H662" s="15"/>
      <c r="I662" s="14"/>
      <c r="J662" s="15"/>
      <c r="K662" s="14"/>
    </row>
    <row r="663" spans="2:11" ht="12.3" x14ac:dyDescent="0.4">
      <c r="B663" s="15"/>
      <c r="D663" s="15"/>
      <c r="E663" s="13"/>
      <c r="F663" s="15"/>
      <c r="G663" s="14"/>
      <c r="H663" s="15"/>
      <c r="I663" s="14"/>
      <c r="J663" s="15"/>
      <c r="K663" s="14"/>
    </row>
    <row r="664" spans="2:11" ht="12.3" x14ac:dyDescent="0.4">
      <c r="B664" s="15"/>
      <c r="D664" s="15"/>
      <c r="E664" s="13"/>
      <c r="F664" s="15"/>
      <c r="G664" s="14"/>
      <c r="H664" s="15"/>
      <c r="I664" s="14"/>
      <c r="J664" s="15"/>
      <c r="K664" s="14"/>
    </row>
    <row r="665" spans="2:11" ht="12.3" x14ac:dyDescent="0.4">
      <c r="B665" s="15"/>
      <c r="D665" s="15"/>
      <c r="E665" s="13"/>
      <c r="F665" s="15"/>
      <c r="G665" s="14"/>
      <c r="H665" s="15"/>
      <c r="I665" s="14"/>
      <c r="J665" s="15"/>
      <c r="K665" s="14"/>
    </row>
    <row r="666" spans="2:11" ht="12.3" x14ac:dyDescent="0.4">
      <c r="B666" s="15"/>
      <c r="D666" s="15"/>
      <c r="E666" s="13"/>
      <c r="F666" s="15"/>
      <c r="G666" s="14"/>
      <c r="H666" s="15"/>
      <c r="I666" s="14"/>
      <c r="J666" s="15"/>
      <c r="K666" s="14"/>
    </row>
    <row r="667" spans="2:11" ht="12.3" x14ac:dyDescent="0.4">
      <c r="B667" s="15"/>
      <c r="D667" s="15"/>
      <c r="E667" s="13"/>
      <c r="F667" s="15"/>
      <c r="G667" s="14"/>
      <c r="H667" s="15"/>
      <c r="I667" s="14"/>
      <c r="J667" s="15"/>
      <c r="K667" s="14"/>
    </row>
    <row r="668" spans="2:11" ht="12.3" x14ac:dyDescent="0.4">
      <c r="B668" s="15"/>
      <c r="D668" s="15"/>
      <c r="E668" s="13"/>
      <c r="F668" s="15"/>
      <c r="G668" s="14"/>
      <c r="H668" s="15"/>
      <c r="I668" s="14"/>
      <c r="J668" s="15"/>
      <c r="K668" s="14"/>
    </row>
    <row r="669" spans="2:11" ht="12.3" x14ac:dyDescent="0.4">
      <c r="B669" s="15"/>
      <c r="D669" s="15"/>
      <c r="E669" s="13"/>
      <c r="F669" s="15"/>
      <c r="G669" s="14"/>
      <c r="H669" s="15"/>
      <c r="I669" s="14"/>
      <c r="J669" s="15"/>
      <c r="K669" s="14"/>
    </row>
    <row r="670" spans="2:11" ht="12.3" x14ac:dyDescent="0.4">
      <c r="B670" s="15"/>
      <c r="D670" s="15"/>
      <c r="E670" s="13"/>
      <c r="F670" s="15"/>
      <c r="G670" s="14"/>
      <c r="H670" s="15"/>
      <c r="I670" s="14"/>
      <c r="J670" s="15"/>
      <c r="K670" s="14"/>
    </row>
    <row r="671" spans="2:11" ht="12.3" x14ac:dyDescent="0.4">
      <c r="B671" s="15"/>
      <c r="D671" s="15"/>
      <c r="E671" s="13"/>
      <c r="F671" s="15"/>
      <c r="G671" s="14"/>
      <c r="H671" s="15"/>
      <c r="I671" s="14"/>
      <c r="J671" s="15"/>
      <c r="K671" s="14"/>
    </row>
    <row r="672" spans="2:11" ht="12.3" x14ac:dyDescent="0.4">
      <c r="B672" s="15"/>
      <c r="D672" s="15"/>
      <c r="E672" s="13"/>
      <c r="F672" s="15"/>
      <c r="G672" s="14"/>
      <c r="H672" s="15"/>
      <c r="I672" s="14"/>
      <c r="J672" s="15"/>
      <c r="K672" s="14"/>
    </row>
    <row r="673" spans="2:11" ht="12.3" x14ac:dyDescent="0.4">
      <c r="B673" s="15"/>
      <c r="D673" s="15"/>
      <c r="E673" s="13"/>
      <c r="F673" s="15"/>
      <c r="G673" s="14"/>
      <c r="H673" s="15"/>
      <c r="I673" s="14"/>
      <c r="J673" s="15"/>
      <c r="K673" s="14"/>
    </row>
    <row r="674" spans="2:11" ht="12.3" x14ac:dyDescent="0.4">
      <c r="B674" s="15"/>
      <c r="D674" s="15"/>
      <c r="E674" s="13"/>
      <c r="F674" s="15"/>
      <c r="G674" s="14"/>
      <c r="H674" s="15"/>
      <c r="I674" s="14"/>
      <c r="J674" s="15"/>
      <c r="K674" s="14"/>
    </row>
    <row r="675" spans="2:11" ht="12.3" x14ac:dyDescent="0.4">
      <c r="B675" s="15"/>
      <c r="D675" s="15"/>
      <c r="E675" s="13"/>
      <c r="F675" s="15"/>
      <c r="G675" s="14"/>
      <c r="H675" s="15"/>
      <c r="I675" s="14"/>
      <c r="J675" s="15"/>
      <c r="K675" s="14"/>
    </row>
    <row r="676" spans="2:11" ht="12.3" x14ac:dyDescent="0.4">
      <c r="B676" s="15"/>
      <c r="D676" s="15"/>
      <c r="E676" s="13"/>
      <c r="F676" s="15"/>
      <c r="G676" s="14"/>
      <c r="H676" s="15"/>
      <c r="I676" s="14"/>
      <c r="J676" s="15"/>
      <c r="K676" s="14"/>
    </row>
    <row r="677" spans="2:11" ht="12.3" x14ac:dyDescent="0.4">
      <c r="B677" s="15"/>
      <c r="D677" s="15"/>
      <c r="E677" s="13"/>
      <c r="F677" s="15"/>
      <c r="G677" s="14"/>
      <c r="H677" s="15"/>
      <c r="I677" s="14"/>
      <c r="J677" s="15"/>
      <c r="K677" s="14"/>
    </row>
    <row r="678" spans="2:11" ht="12.3" x14ac:dyDescent="0.4">
      <c r="B678" s="15"/>
      <c r="D678" s="15"/>
      <c r="E678" s="13"/>
      <c r="F678" s="15"/>
      <c r="G678" s="14"/>
      <c r="H678" s="15"/>
      <c r="I678" s="14"/>
      <c r="J678" s="15"/>
      <c r="K678" s="14"/>
    </row>
    <row r="679" spans="2:11" ht="12.3" x14ac:dyDescent="0.4">
      <c r="B679" s="15"/>
      <c r="D679" s="15"/>
      <c r="E679" s="13"/>
      <c r="F679" s="15"/>
      <c r="G679" s="14"/>
      <c r="H679" s="15"/>
      <c r="I679" s="14"/>
      <c r="J679" s="15"/>
      <c r="K679" s="14"/>
    </row>
    <row r="680" spans="2:11" ht="12.3" x14ac:dyDescent="0.4">
      <c r="B680" s="15"/>
      <c r="D680" s="15"/>
      <c r="E680" s="13"/>
      <c r="F680" s="15"/>
      <c r="G680" s="14"/>
      <c r="H680" s="15"/>
      <c r="I680" s="14"/>
      <c r="J680" s="15"/>
      <c r="K680" s="14"/>
    </row>
    <row r="681" spans="2:11" ht="12.3" x14ac:dyDescent="0.4">
      <c r="B681" s="15"/>
      <c r="D681" s="15"/>
      <c r="E681" s="13"/>
      <c r="F681" s="15"/>
      <c r="G681" s="14"/>
      <c r="H681" s="15"/>
      <c r="I681" s="14"/>
      <c r="J681" s="15"/>
      <c r="K681" s="14"/>
    </row>
    <row r="682" spans="2:11" ht="12.3" x14ac:dyDescent="0.4">
      <c r="B682" s="15"/>
      <c r="D682" s="15"/>
      <c r="E682" s="13"/>
      <c r="F682" s="15"/>
      <c r="G682" s="14"/>
      <c r="H682" s="15"/>
      <c r="I682" s="14"/>
      <c r="J682" s="15"/>
      <c r="K682" s="14"/>
    </row>
    <row r="683" spans="2:11" ht="12.3" x14ac:dyDescent="0.4">
      <c r="B683" s="15"/>
      <c r="D683" s="15"/>
      <c r="E683" s="13"/>
      <c r="F683" s="15"/>
      <c r="G683" s="14"/>
      <c r="H683" s="15"/>
      <c r="I683" s="14"/>
      <c r="J683" s="15"/>
      <c r="K683" s="14"/>
    </row>
    <row r="684" spans="2:11" ht="12.3" x14ac:dyDescent="0.4">
      <c r="B684" s="15"/>
      <c r="D684" s="15"/>
      <c r="E684" s="13"/>
      <c r="F684" s="15"/>
      <c r="G684" s="14"/>
      <c r="H684" s="15"/>
      <c r="I684" s="14"/>
      <c r="J684" s="15"/>
      <c r="K684" s="14"/>
    </row>
    <row r="685" spans="2:11" ht="12.3" x14ac:dyDescent="0.4">
      <c r="B685" s="15"/>
      <c r="D685" s="15"/>
      <c r="E685" s="13"/>
      <c r="F685" s="15"/>
      <c r="G685" s="14"/>
      <c r="H685" s="15"/>
      <c r="I685" s="14"/>
      <c r="J685" s="15"/>
      <c r="K685" s="14"/>
    </row>
    <row r="686" spans="2:11" ht="12.3" x14ac:dyDescent="0.4">
      <c r="B686" s="15"/>
      <c r="D686" s="15"/>
      <c r="E686" s="13"/>
      <c r="F686" s="15"/>
      <c r="G686" s="14"/>
      <c r="H686" s="15"/>
      <c r="I686" s="14"/>
      <c r="J686" s="15"/>
      <c r="K686" s="14"/>
    </row>
    <row r="687" spans="2:11" ht="12.3" x14ac:dyDescent="0.4">
      <c r="B687" s="15"/>
      <c r="D687" s="15"/>
      <c r="E687" s="13"/>
      <c r="F687" s="15"/>
      <c r="G687" s="14"/>
      <c r="H687" s="15"/>
      <c r="I687" s="14"/>
      <c r="J687" s="15"/>
      <c r="K687" s="14"/>
    </row>
    <row r="688" spans="2:11" ht="12.3" x14ac:dyDescent="0.4">
      <c r="B688" s="15"/>
      <c r="D688" s="15"/>
      <c r="E688" s="13"/>
      <c r="F688" s="15"/>
      <c r="G688" s="14"/>
      <c r="H688" s="15"/>
      <c r="I688" s="14"/>
      <c r="J688" s="15"/>
      <c r="K688" s="14"/>
    </row>
    <row r="689" spans="2:11" ht="12.3" x14ac:dyDescent="0.4">
      <c r="B689" s="15"/>
      <c r="D689" s="15"/>
      <c r="E689" s="13"/>
      <c r="F689" s="15"/>
      <c r="G689" s="14"/>
      <c r="H689" s="15"/>
      <c r="I689" s="14"/>
      <c r="J689" s="15"/>
      <c r="K689" s="14"/>
    </row>
    <row r="690" spans="2:11" ht="12.3" x14ac:dyDescent="0.4">
      <c r="B690" s="15"/>
      <c r="D690" s="15"/>
      <c r="E690" s="13"/>
      <c r="F690" s="15"/>
      <c r="G690" s="14"/>
      <c r="H690" s="15"/>
      <c r="I690" s="14"/>
      <c r="J690" s="15"/>
      <c r="K690" s="14"/>
    </row>
    <row r="691" spans="2:11" ht="12.3" x14ac:dyDescent="0.4">
      <c r="B691" s="15"/>
      <c r="D691" s="15"/>
      <c r="E691" s="13"/>
      <c r="F691" s="15"/>
      <c r="G691" s="14"/>
      <c r="H691" s="15"/>
      <c r="I691" s="14"/>
      <c r="J691" s="15"/>
      <c r="K691" s="14"/>
    </row>
    <row r="692" spans="2:11" ht="12.3" x14ac:dyDescent="0.4">
      <c r="B692" s="15"/>
      <c r="D692" s="15"/>
      <c r="E692" s="13"/>
      <c r="F692" s="15"/>
      <c r="G692" s="14"/>
      <c r="H692" s="15"/>
      <c r="I692" s="14"/>
      <c r="J692" s="15"/>
      <c r="K692" s="14"/>
    </row>
    <row r="693" spans="2:11" ht="12.3" x14ac:dyDescent="0.4">
      <c r="B693" s="15"/>
      <c r="D693" s="15"/>
      <c r="E693" s="13"/>
      <c r="F693" s="15"/>
      <c r="G693" s="14"/>
      <c r="H693" s="15"/>
      <c r="I693" s="14"/>
      <c r="J693" s="15"/>
      <c r="K693" s="14"/>
    </row>
    <row r="694" spans="2:11" ht="12.3" x14ac:dyDescent="0.4">
      <c r="B694" s="15"/>
      <c r="D694" s="15"/>
      <c r="E694" s="13"/>
      <c r="F694" s="15"/>
      <c r="G694" s="14"/>
      <c r="H694" s="15"/>
      <c r="I694" s="14"/>
      <c r="J694" s="15"/>
      <c r="K694" s="14"/>
    </row>
    <row r="695" spans="2:11" ht="12.3" x14ac:dyDescent="0.4">
      <c r="B695" s="15"/>
      <c r="D695" s="15"/>
      <c r="E695" s="13"/>
      <c r="F695" s="15"/>
      <c r="G695" s="14"/>
      <c r="H695" s="15"/>
      <c r="I695" s="14"/>
      <c r="J695" s="15"/>
      <c r="K695" s="14"/>
    </row>
    <row r="696" spans="2:11" ht="12.3" x14ac:dyDescent="0.4">
      <c r="B696" s="15"/>
      <c r="D696" s="15"/>
      <c r="E696" s="13"/>
      <c r="F696" s="15"/>
      <c r="G696" s="14"/>
      <c r="H696" s="15"/>
      <c r="I696" s="14"/>
      <c r="J696" s="15"/>
      <c r="K696" s="14"/>
    </row>
    <row r="697" spans="2:11" ht="12.3" x14ac:dyDescent="0.4">
      <c r="B697" s="15"/>
      <c r="D697" s="15"/>
      <c r="E697" s="13"/>
      <c r="F697" s="15"/>
      <c r="G697" s="14"/>
      <c r="H697" s="15"/>
      <c r="I697" s="14"/>
      <c r="J697" s="15"/>
      <c r="K697" s="14"/>
    </row>
    <row r="698" spans="2:11" ht="12.3" x14ac:dyDescent="0.4">
      <c r="B698" s="15"/>
      <c r="D698" s="15"/>
      <c r="E698" s="13"/>
      <c r="F698" s="15"/>
      <c r="G698" s="14"/>
      <c r="H698" s="15"/>
      <c r="I698" s="14"/>
      <c r="J698" s="15"/>
      <c r="K698" s="14"/>
    </row>
    <row r="699" spans="2:11" ht="12.3" x14ac:dyDescent="0.4">
      <c r="B699" s="15"/>
      <c r="D699" s="15"/>
      <c r="E699" s="13"/>
      <c r="F699" s="15"/>
      <c r="G699" s="14"/>
      <c r="H699" s="15"/>
      <c r="I699" s="14"/>
      <c r="J699" s="15"/>
      <c r="K699" s="14"/>
    </row>
    <row r="700" spans="2:11" ht="12.3" x14ac:dyDescent="0.4">
      <c r="B700" s="15"/>
      <c r="D700" s="15"/>
      <c r="E700" s="13"/>
      <c r="F700" s="15"/>
      <c r="G700" s="14"/>
      <c r="H700" s="15"/>
      <c r="I700" s="14"/>
      <c r="J700" s="15"/>
      <c r="K700" s="14"/>
    </row>
    <row r="701" spans="2:11" ht="12.3" x14ac:dyDescent="0.4">
      <c r="B701" s="15"/>
      <c r="D701" s="15"/>
      <c r="E701" s="13"/>
      <c r="F701" s="15"/>
      <c r="G701" s="14"/>
      <c r="H701" s="15"/>
      <c r="I701" s="14"/>
      <c r="J701" s="15"/>
      <c r="K701" s="14"/>
    </row>
    <row r="702" spans="2:11" ht="12.3" x14ac:dyDescent="0.4">
      <c r="B702" s="15"/>
      <c r="D702" s="15"/>
      <c r="E702" s="13"/>
      <c r="F702" s="15"/>
      <c r="G702" s="14"/>
      <c r="H702" s="15"/>
      <c r="I702" s="14"/>
      <c r="J702" s="15"/>
      <c r="K702" s="14"/>
    </row>
    <row r="703" spans="2:11" ht="12.3" x14ac:dyDescent="0.4">
      <c r="B703" s="15"/>
      <c r="D703" s="15"/>
      <c r="E703" s="13"/>
      <c r="F703" s="15"/>
      <c r="G703" s="14"/>
      <c r="H703" s="15"/>
      <c r="I703" s="14"/>
      <c r="J703" s="15"/>
      <c r="K703" s="14"/>
    </row>
    <row r="704" spans="2:11" ht="12.3" x14ac:dyDescent="0.4">
      <c r="B704" s="15"/>
      <c r="D704" s="15"/>
      <c r="E704" s="13"/>
      <c r="F704" s="15"/>
      <c r="G704" s="14"/>
      <c r="H704" s="15"/>
      <c r="I704" s="14"/>
      <c r="J704" s="15"/>
      <c r="K704" s="14"/>
    </row>
    <row r="705" spans="2:11" ht="12.3" x14ac:dyDescent="0.4">
      <c r="B705" s="15"/>
      <c r="D705" s="15"/>
      <c r="E705" s="13"/>
      <c r="F705" s="15"/>
      <c r="G705" s="14"/>
      <c r="H705" s="15"/>
      <c r="I705" s="14"/>
      <c r="J705" s="15"/>
      <c r="K705" s="14"/>
    </row>
    <row r="706" spans="2:11" ht="12.3" x14ac:dyDescent="0.4">
      <c r="B706" s="15"/>
      <c r="D706" s="15"/>
      <c r="E706" s="13"/>
      <c r="F706" s="15"/>
      <c r="G706" s="14"/>
      <c r="H706" s="15"/>
      <c r="I706" s="14"/>
      <c r="J706" s="15"/>
      <c r="K706" s="14"/>
    </row>
    <row r="707" spans="2:11" ht="12.3" x14ac:dyDescent="0.4">
      <c r="B707" s="15"/>
      <c r="D707" s="15"/>
      <c r="E707" s="13"/>
      <c r="F707" s="15"/>
      <c r="G707" s="14"/>
      <c r="H707" s="15"/>
      <c r="I707" s="14"/>
      <c r="J707" s="15"/>
      <c r="K707" s="14"/>
    </row>
    <row r="708" spans="2:11" ht="12.3" x14ac:dyDescent="0.4">
      <c r="B708" s="15"/>
      <c r="D708" s="15"/>
      <c r="E708" s="13"/>
      <c r="F708" s="15"/>
      <c r="G708" s="14"/>
      <c r="H708" s="15"/>
      <c r="I708" s="14"/>
      <c r="J708" s="15"/>
      <c r="K708" s="14"/>
    </row>
    <row r="709" spans="2:11" ht="12.3" x14ac:dyDescent="0.4">
      <c r="B709" s="15"/>
      <c r="D709" s="15"/>
      <c r="E709" s="13"/>
      <c r="F709" s="15"/>
      <c r="G709" s="14"/>
      <c r="H709" s="15"/>
      <c r="I709" s="14"/>
      <c r="J709" s="15"/>
      <c r="K709" s="14"/>
    </row>
    <row r="710" spans="2:11" ht="12.3" x14ac:dyDescent="0.4">
      <c r="B710" s="15"/>
      <c r="D710" s="15"/>
      <c r="E710" s="13"/>
      <c r="F710" s="15"/>
      <c r="G710" s="14"/>
      <c r="H710" s="15"/>
      <c r="I710" s="14"/>
      <c r="J710" s="15"/>
      <c r="K710" s="14"/>
    </row>
    <row r="711" spans="2:11" ht="12.3" x14ac:dyDescent="0.4">
      <c r="B711" s="15"/>
      <c r="D711" s="15"/>
      <c r="E711" s="13"/>
      <c r="F711" s="15"/>
      <c r="G711" s="14"/>
      <c r="H711" s="15"/>
      <c r="I711" s="14"/>
      <c r="J711" s="15"/>
      <c r="K711" s="14"/>
    </row>
    <row r="712" spans="2:11" ht="12.3" x14ac:dyDescent="0.4">
      <c r="B712" s="15"/>
      <c r="D712" s="15"/>
      <c r="E712" s="13"/>
      <c r="F712" s="15"/>
      <c r="G712" s="14"/>
      <c r="H712" s="15"/>
      <c r="I712" s="14"/>
      <c r="J712" s="15"/>
      <c r="K712" s="14"/>
    </row>
    <row r="713" spans="2:11" ht="12.3" x14ac:dyDescent="0.4">
      <c r="B713" s="15"/>
      <c r="D713" s="15"/>
      <c r="E713" s="13"/>
      <c r="F713" s="15"/>
      <c r="G713" s="14"/>
      <c r="H713" s="15"/>
      <c r="I713" s="14"/>
      <c r="J713" s="15"/>
      <c r="K713" s="14"/>
    </row>
    <row r="714" spans="2:11" ht="12.3" x14ac:dyDescent="0.4">
      <c r="B714" s="15"/>
      <c r="D714" s="15"/>
      <c r="E714" s="13"/>
      <c r="F714" s="15"/>
      <c r="G714" s="14"/>
      <c r="H714" s="15"/>
      <c r="I714" s="14"/>
      <c r="J714" s="15"/>
      <c r="K714" s="14"/>
    </row>
    <row r="715" spans="2:11" ht="12.3" x14ac:dyDescent="0.4">
      <c r="B715" s="15"/>
      <c r="D715" s="15"/>
      <c r="E715" s="13"/>
      <c r="F715" s="15"/>
      <c r="G715" s="14"/>
      <c r="H715" s="15"/>
      <c r="I715" s="14"/>
      <c r="J715" s="15"/>
      <c r="K715" s="14"/>
    </row>
    <row r="716" spans="2:11" ht="12.3" x14ac:dyDescent="0.4">
      <c r="B716" s="15"/>
      <c r="D716" s="15"/>
      <c r="E716" s="13"/>
      <c r="F716" s="15"/>
      <c r="G716" s="14"/>
      <c r="H716" s="15"/>
      <c r="I716" s="14"/>
      <c r="J716" s="15"/>
      <c r="K716" s="14"/>
    </row>
    <row r="717" spans="2:11" ht="12.3" x14ac:dyDescent="0.4">
      <c r="B717" s="15"/>
      <c r="D717" s="15"/>
      <c r="E717" s="13"/>
      <c r="F717" s="15"/>
      <c r="G717" s="14"/>
      <c r="H717" s="15"/>
      <c r="I717" s="14"/>
      <c r="J717" s="15"/>
      <c r="K717" s="14"/>
    </row>
    <row r="718" spans="2:11" ht="12.3" x14ac:dyDescent="0.4">
      <c r="B718" s="15"/>
      <c r="D718" s="15"/>
      <c r="E718" s="13"/>
      <c r="F718" s="15"/>
      <c r="G718" s="14"/>
      <c r="H718" s="15"/>
      <c r="I718" s="14"/>
      <c r="J718" s="15"/>
      <c r="K718" s="14"/>
    </row>
    <row r="719" spans="2:11" ht="12.3" x14ac:dyDescent="0.4">
      <c r="B719" s="15"/>
      <c r="D719" s="15"/>
      <c r="E719" s="13"/>
      <c r="F719" s="15"/>
      <c r="G719" s="14"/>
      <c r="H719" s="15"/>
      <c r="I719" s="14"/>
      <c r="J719" s="15"/>
      <c r="K719" s="14"/>
    </row>
    <row r="720" spans="2:11" ht="12.3" x14ac:dyDescent="0.4">
      <c r="B720" s="15"/>
      <c r="D720" s="15"/>
      <c r="E720" s="13"/>
      <c r="F720" s="15"/>
      <c r="G720" s="14"/>
      <c r="H720" s="15"/>
      <c r="I720" s="14"/>
      <c r="J720" s="15"/>
      <c r="K720" s="14"/>
    </row>
    <row r="721" spans="2:11" ht="12.3" x14ac:dyDescent="0.4">
      <c r="B721" s="15"/>
      <c r="D721" s="15"/>
      <c r="E721" s="13"/>
      <c r="F721" s="15"/>
      <c r="G721" s="14"/>
      <c r="H721" s="15"/>
      <c r="I721" s="14"/>
      <c r="J721" s="15"/>
      <c r="K721" s="14"/>
    </row>
    <row r="722" spans="2:11" ht="12.3" x14ac:dyDescent="0.4">
      <c r="B722" s="15"/>
      <c r="D722" s="15"/>
      <c r="E722" s="13"/>
      <c r="F722" s="15"/>
      <c r="G722" s="14"/>
      <c r="H722" s="15"/>
      <c r="I722" s="14"/>
      <c r="J722" s="15"/>
      <c r="K722" s="14"/>
    </row>
    <row r="723" spans="2:11" ht="12.3" x14ac:dyDescent="0.4">
      <c r="B723" s="15"/>
      <c r="D723" s="15"/>
      <c r="E723" s="13"/>
      <c r="F723" s="15"/>
      <c r="G723" s="14"/>
      <c r="H723" s="15"/>
      <c r="I723" s="14"/>
      <c r="J723" s="15"/>
      <c r="K723" s="14"/>
    </row>
    <row r="724" spans="2:11" ht="12.3" x14ac:dyDescent="0.4">
      <c r="B724" s="15"/>
      <c r="D724" s="15"/>
      <c r="E724" s="13"/>
      <c r="F724" s="15"/>
      <c r="G724" s="14"/>
      <c r="H724" s="15"/>
      <c r="I724" s="14"/>
      <c r="J724" s="15"/>
      <c r="K724" s="14"/>
    </row>
    <row r="725" spans="2:11" ht="12.3" x14ac:dyDescent="0.4">
      <c r="B725" s="15"/>
      <c r="D725" s="15"/>
      <c r="E725" s="13"/>
      <c r="F725" s="15"/>
      <c r="G725" s="14"/>
      <c r="H725" s="15"/>
      <c r="I725" s="14"/>
      <c r="J725" s="15"/>
      <c r="K725" s="14"/>
    </row>
    <row r="726" spans="2:11" ht="12.3" x14ac:dyDescent="0.4">
      <c r="B726" s="15"/>
      <c r="D726" s="15"/>
      <c r="E726" s="13"/>
      <c r="F726" s="15"/>
      <c r="G726" s="14"/>
      <c r="H726" s="15"/>
      <c r="I726" s="14"/>
      <c r="J726" s="15"/>
      <c r="K726" s="14"/>
    </row>
    <row r="727" spans="2:11" ht="12.3" x14ac:dyDescent="0.4">
      <c r="B727" s="15"/>
      <c r="D727" s="15"/>
      <c r="E727" s="13"/>
      <c r="F727" s="15"/>
      <c r="G727" s="14"/>
      <c r="H727" s="15"/>
      <c r="I727" s="14"/>
      <c r="J727" s="15"/>
      <c r="K727" s="14"/>
    </row>
    <row r="728" spans="2:11" ht="12.3" x14ac:dyDescent="0.4">
      <c r="B728" s="15"/>
      <c r="D728" s="15"/>
      <c r="E728" s="13"/>
      <c r="F728" s="15"/>
      <c r="G728" s="14"/>
      <c r="H728" s="15"/>
      <c r="I728" s="14"/>
      <c r="J728" s="15"/>
      <c r="K728" s="14"/>
    </row>
    <row r="729" spans="2:11" ht="12.3" x14ac:dyDescent="0.4">
      <c r="B729" s="15"/>
      <c r="D729" s="15"/>
      <c r="E729" s="13"/>
      <c r="F729" s="15"/>
      <c r="G729" s="14"/>
      <c r="H729" s="15"/>
      <c r="I729" s="14"/>
      <c r="J729" s="15"/>
      <c r="K729" s="14"/>
    </row>
    <row r="730" spans="2:11" ht="12.3" x14ac:dyDescent="0.4">
      <c r="B730" s="15"/>
      <c r="D730" s="15"/>
      <c r="E730" s="13"/>
      <c r="F730" s="15"/>
      <c r="G730" s="14"/>
      <c r="H730" s="15"/>
      <c r="I730" s="14"/>
      <c r="J730" s="15"/>
      <c r="K730" s="14"/>
    </row>
    <row r="731" spans="2:11" ht="12.3" x14ac:dyDescent="0.4">
      <c r="B731" s="15"/>
      <c r="D731" s="15"/>
      <c r="E731" s="13"/>
      <c r="F731" s="15"/>
      <c r="G731" s="14"/>
      <c r="H731" s="15"/>
      <c r="I731" s="14"/>
      <c r="J731" s="15"/>
      <c r="K731" s="14"/>
    </row>
    <row r="732" spans="2:11" ht="12.3" x14ac:dyDescent="0.4">
      <c r="B732" s="15"/>
      <c r="D732" s="15"/>
      <c r="E732" s="13"/>
      <c r="F732" s="15"/>
      <c r="G732" s="14"/>
      <c r="H732" s="15"/>
      <c r="I732" s="14"/>
      <c r="J732" s="15"/>
      <c r="K732" s="14"/>
    </row>
    <row r="733" spans="2:11" ht="12.3" x14ac:dyDescent="0.4">
      <c r="B733" s="15"/>
      <c r="D733" s="15"/>
      <c r="E733" s="13"/>
      <c r="F733" s="15"/>
      <c r="G733" s="14"/>
      <c r="H733" s="15"/>
      <c r="I733" s="14"/>
      <c r="J733" s="15"/>
      <c r="K733" s="14"/>
    </row>
    <row r="734" spans="2:11" ht="12.3" x14ac:dyDescent="0.4">
      <c r="B734" s="15"/>
      <c r="D734" s="15"/>
      <c r="E734" s="13"/>
      <c r="F734" s="15"/>
      <c r="G734" s="14"/>
      <c r="H734" s="15"/>
      <c r="I734" s="14"/>
      <c r="J734" s="15"/>
      <c r="K734" s="14"/>
    </row>
    <row r="735" spans="2:11" ht="12.3" x14ac:dyDescent="0.4">
      <c r="B735" s="15"/>
      <c r="D735" s="15"/>
      <c r="E735" s="13"/>
      <c r="F735" s="15"/>
      <c r="G735" s="14"/>
      <c r="H735" s="15"/>
      <c r="I735" s="14"/>
      <c r="J735" s="15"/>
      <c r="K735" s="14"/>
    </row>
    <row r="736" spans="2:11" ht="12.3" x14ac:dyDescent="0.4">
      <c r="B736" s="15"/>
      <c r="D736" s="15"/>
      <c r="E736" s="13"/>
      <c r="F736" s="15"/>
      <c r="G736" s="14"/>
      <c r="H736" s="15"/>
      <c r="I736" s="14"/>
      <c r="J736" s="15"/>
      <c r="K736" s="14"/>
    </row>
    <row r="737" spans="2:11" ht="12.3" x14ac:dyDescent="0.4">
      <c r="B737" s="15"/>
      <c r="D737" s="15"/>
      <c r="E737" s="13"/>
      <c r="F737" s="15"/>
      <c r="G737" s="14"/>
      <c r="H737" s="15"/>
      <c r="I737" s="14"/>
      <c r="J737" s="15"/>
      <c r="K737" s="14"/>
    </row>
    <row r="738" spans="2:11" ht="12.3" x14ac:dyDescent="0.4">
      <c r="B738" s="15"/>
      <c r="D738" s="15"/>
      <c r="E738" s="13"/>
      <c r="F738" s="15"/>
      <c r="G738" s="14"/>
      <c r="H738" s="15"/>
      <c r="I738" s="14"/>
      <c r="J738" s="15"/>
      <c r="K738" s="14"/>
    </row>
    <row r="739" spans="2:11" ht="12.3" x14ac:dyDescent="0.4">
      <c r="B739" s="15"/>
      <c r="D739" s="15"/>
      <c r="E739" s="13"/>
      <c r="F739" s="15"/>
      <c r="G739" s="14"/>
      <c r="H739" s="15"/>
      <c r="I739" s="14"/>
      <c r="J739" s="15"/>
      <c r="K739" s="14"/>
    </row>
    <row r="740" spans="2:11" ht="12.3" x14ac:dyDescent="0.4">
      <c r="B740" s="15"/>
      <c r="D740" s="15"/>
      <c r="E740" s="13"/>
      <c r="F740" s="15"/>
      <c r="G740" s="14"/>
      <c r="H740" s="15"/>
      <c r="I740" s="14"/>
      <c r="J740" s="15"/>
      <c r="K740" s="14"/>
    </row>
    <row r="741" spans="2:11" ht="12.3" x14ac:dyDescent="0.4">
      <c r="B741" s="15"/>
      <c r="D741" s="15"/>
      <c r="E741" s="13"/>
      <c r="F741" s="15"/>
      <c r="G741" s="14"/>
      <c r="H741" s="15"/>
      <c r="I741" s="14"/>
      <c r="J741" s="15"/>
      <c r="K741" s="14"/>
    </row>
    <row r="742" spans="2:11" ht="12.3" x14ac:dyDescent="0.4">
      <c r="B742" s="15"/>
      <c r="D742" s="15"/>
      <c r="E742" s="13"/>
      <c r="F742" s="15"/>
      <c r="G742" s="14"/>
      <c r="H742" s="15"/>
      <c r="I742" s="14"/>
      <c r="J742" s="15"/>
      <c r="K742" s="14"/>
    </row>
    <row r="743" spans="2:11" ht="12.3" x14ac:dyDescent="0.4">
      <c r="B743" s="15"/>
      <c r="D743" s="15"/>
      <c r="E743" s="13"/>
      <c r="F743" s="15"/>
      <c r="G743" s="14"/>
      <c r="H743" s="15"/>
      <c r="I743" s="14"/>
      <c r="J743" s="15"/>
      <c r="K743" s="14"/>
    </row>
    <row r="744" spans="2:11" ht="12.3" x14ac:dyDescent="0.4">
      <c r="B744" s="15"/>
      <c r="D744" s="15"/>
      <c r="E744" s="13"/>
      <c r="F744" s="15"/>
      <c r="G744" s="14"/>
      <c r="H744" s="15"/>
      <c r="I744" s="14"/>
      <c r="J744" s="15"/>
      <c r="K744" s="14"/>
    </row>
    <row r="745" spans="2:11" ht="12.3" x14ac:dyDescent="0.4">
      <c r="B745" s="15"/>
      <c r="D745" s="15"/>
      <c r="E745" s="13"/>
      <c r="F745" s="15"/>
      <c r="G745" s="14"/>
      <c r="H745" s="15"/>
      <c r="I745" s="14"/>
      <c r="J745" s="15"/>
      <c r="K745" s="14"/>
    </row>
    <row r="746" spans="2:11" ht="12.3" x14ac:dyDescent="0.4">
      <c r="B746" s="15"/>
      <c r="D746" s="15"/>
      <c r="E746" s="13"/>
      <c r="F746" s="15"/>
      <c r="G746" s="14"/>
      <c r="H746" s="15"/>
      <c r="I746" s="14"/>
      <c r="J746" s="15"/>
      <c r="K746" s="14"/>
    </row>
    <row r="747" spans="2:11" ht="12.3" x14ac:dyDescent="0.4">
      <c r="B747" s="15"/>
      <c r="D747" s="15"/>
      <c r="E747" s="13"/>
      <c r="F747" s="15"/>
      <c r="G747" s="14"/>
      <c r="H747" s="15"/>
      <c r="I747" s="14"/>
      <c r="J747" s="15"/>
      <c r="K747" s="14"/>
    </row>
    <row r="748" spans="2:11" ht="12.3" x14ac:dyDescent="0.4">
      <c r="B748" s="15"/>
      <c r="D748" s="15"/>
      <c r="E748" s="13"/>
      <c r="F748" s="15"/>
      <c r="G748" s="14"/>
      <c r="H748" s="15"/>
      <c r="I748" s="14"/>
      <c r="J748" s="15"/>
      <c r="K748" s="14"/>
    </row>
    <row r="749" spans="2:11" ht="12.3" x14ac:dyDescent="0.4">
      <c r="B749" s="15"/>
      <c r="D749" s="15"/>
      <c r="E749" s="13"/>
      <c r="F749" s="15"/>
      <c r="G749" s="14"/>
      <c r="H749" s="15"/>
      <c r="I749" s="14"/>
      <c r="J749" s="15"/>
      <c r="K749" s="14"/>
    </row>
    <row r="750" spans="2:11" ht="12.3" x14ac:dyDescent="0.4">
      <c r="B750" s="15"/>
      <c r="D750" s="15"/>
      <c r="E750" s="13"/>
      <c r="F750" s="15"/>
      <c r="G750" s="14"/>
      <c r="H750" s="15"/>
      <c r="I750" s="14"/>
      <c r="J750" s="15"/>
      <c r="K750" s="14"/>
    </row>
    <row r="751" spans="2:11" ht="12.3" x14ac:dyDescent="0.4">
      <c r="B751" s="15"/>
      <c r="D751" s="15"/>
      <c r="E751" s="13"/>
      <c r="F751" s="15"/>
      <c r="G751" s="14"/>
      <c r="H751" s="15"/>
      <c r="I751" s="14"/>
      <c r="J751" s="15"/>
      <c r="K751" s="14"/>
    </row>
    <row r="752" spans="2:11" ht="12.3" x14ac:dyDescent="0.4">
      <c r="B752" s="15"/>
      <c r="D752" s="15"/>
      <c r="E752" s="13"/>
      <c r="F752" s="15"/>
      <c r="G752" s="14"/>
      <c r="H752" s="15"/>
      <c r="I752" s="14"/>
      <c r="J752" s="15"/>
      <c r="K752" s="14"/>
    </row>
    <row r="753" spans="2:11" ht="12.3" x14ac:dyDescent="0.4">
      <c r="B753" s="15"/>
      <c r="D753" s="15"/>
      <c r="E753" s="13"/>
      <c r="F753" s="15"/>
      <c r="G753" s="14"/>
      <c r="H753" s="15"/>
      <c r="I753" s="14"/>
      <c r="J753" s="15"/>
      <c r="K753" s="14"/>
    </row>
    <row r="754" spans="2:11" ht="12.3" x14ac:dyDescent="0.4">
      <c r="B754" s="15"/>
      <c r="D754" s="15"/>
      <c r="E754" s="13"/>
      <c r="F754" s="15"/>
      <c r="G754" s="14"/>
      <c r="H754" s="15"/>
      <c r="I754" s="14"/>
      <c r="J754" s="15"/>
      <c r="K754" s="14"/>
    </row>
    <row r="755" spans="2:11" ht="12.3" x14ac:dyDescent="0.4">
      <c r="B755" s="15"/>
      <c r="D755" s="15"/>
      <c r="E755" s="13"/>
      <c r="F755" s="15"/>
      <c r="G755" s="14"/>
      <c r="H755" s="15"/>
      <c r="I755" s="14"/>
      <c r="J755" s="15"/>
      <c r="K755" s="14"/>
    </row>
    <row r="756" spans="2:11" ht="12.3" x14ac:dyDescent="0.4">
      <c r="B756" s="15"/>
      <c r="D756" s="15"/>
      <c r="E756" s="13"/>
      <c r="F756" s="15"/>
      <c r="G756" s="14"/>
      <c r="H756" s="15"/>
      <c r="I756" s="14"/>
      <c r="J756" s="15"/>
      <c r="K756" s="14"/>
    </row>
    <row r="757" spans="2:11" ht="12.3" x14ac:dyDescent="0.4">
      <c r="B757" s="15"/>
      <c r="D757" s="15"/>
      <c r="E757" s="13"/>
      <c r="F757" s="15"/>
      <c r="G757" s="14"/>
      <c r="H757" s="15"/>
      <c r="I757" s="14"/>
      <c r="J757" s="15"/>
      <c r="K757" s="14"/>
    </row>
    <row r="758" spans="2:11" ht="12.3" x14ac:dyDescent="0.4">
      <c r="B758" s="15"/>
      <c r="D758" s="15"/>
      <c r="E758" s="13"/>
      <c r="F758" s="15"/>
      <c r="G758" s="14"/>
      <c r="H758" s="15"/>
      <c r="I758" s="14"/>
      <c r="J758" s="15"/>
      <c r="K758" s="14"/>
    </row>
    <row r="759" spans="2:11" ht="12.3" x14ac:dyDescent="0.4">
      <c r="B759" s="15"/>
      <c r="D759" s="15"/>
      <c r="E759" s="13"/>
      <c r="F759" s="15"/>
      <c r="G759" s="14"/>
      <c r="H759" s="15"/>
      <c r="I759" s="14"/>
      <c r="J759" s="15"/>
      <c r="K759" s="14"/>
    </row>
    <row r="760" spans="2:11" ht="12.3" x14ac:dyDescent="0.4">
      <c r="B760" s="15"/>
      <c r="D760" s="15"/>
      <c r="E760" s="13"/>
      <c r="F760" s="15"/>
      <c r="G760" s="14"/>
      <c r="H760" s="15"/>
      <c r="I760" s="14"/>
      <c r="J760" s="15"/>
      <c r="K760" s="14"/>
    </row>
    <row r="761" spans="2:11" ht="12.3" x14ac:dyDescent="0.4">
      <c r="B761" s="15"/>
      <c r="D761" s="15"/>
      <c r="E761" s="13"/>
      <c r="F761" s="15"/>
      <c r="G761" s="14"/>
      <c r="H761" s="15"/>
      <c r="I761" s="14"/>
      <c r="J761" s="15"/>
      <c r="K761" s="14"/>
    </row>
    <row r="762" spans="2:11" ht="12.3" x14ac:dyDescent="0.4">
      <c r="B762" s="15"/>
      <c r="D762" s="15"/>
      <c r="E762" s="13"/>
      <c r="F762" s="15"/>
      <c r="G762" s="14"/>
      <c r="H762" s="15"/>
      <c r="I762" s="14"/>
      <c r="J762" s="15"/>
      <c r="K762" s="14"/>
    </row>
    <row r="763" spans="2:11" ht="12.3" x14ac:dyDescent="0.4">
      <c r="B763" s="15"/>
      <c r="D763" s="15"/>
      <c r="E763" s="13"/>
      <c r="F763" s="15"/>
      <c r="G763" s="14"/>
      <c r="H763" s="15"/>
      <c r="I763" s="14"/>
      <c r="J763" s="15"/>
      <c r="K763" s="14"/>
    </row>
    <row r="764" spans="2:11" ht="12.3" x14ac:dyDescent="0.4">
      <c r="B764" s="15"/>
      <c r="D764" s="15"/>
      <c r="E764" s="13"/>
      <c r="F764" s="15"/>
      <c r="G764" s="14"/>
      <c r="H764" s="15"/>
      <c r="I764" s="14"/>
      <c r="J764" s="15"/>
      <c r="K764" s="14"/>
    </row>
    <row r="765" spans="2:11" ht="12.3" x14ac:dyDescent="0.4">
      <c r="B765" s="15"/>
      <c r="D765" s="15"/>
      <c r="E765" s="13"/>
      <c r="F765" s="15"/>
      <c r="G765" s="14"/>
      <c r="H765" s="15"/>
      <c r="I765" s="14"/>
      <c r="J765" s="15"/>
      <c r="K765" s="14"/>
    </row>
    <row r="766" spans="2:11" ht="12.3" x14ac:dyDescent="0.4">
      <c r="B766" s="15"/>
      <c r="D766" s="15"/>
      <c r="E766" s="13"/>
      <c r="F766" s="15"/>
      <c r="G766" s="14"/>
      <c r="H766" s="15"/>
      <c r="I766" s="14"/>
      <c r="J766" s="15"/>
      <c r="K766" s="14"/>
    </row>
    <row r="767" spans="2:11" ht="12.3" x14ac:dyDescent="0.4">
      <c r="B767" s="15"/>
      <c r="D767" s="15"/>
      <c r="E767" s="13"/>
      <c r="F767" s="15"/>
      <c r="G767" s="14"/>
      <c r="H767" s="15"/>
      <c r="I767" s="14"/>
      <c r="J767" s="15"/>
      <c r="K767" s="14"/>
    </row>
    <row r="768" spans="2:11" ht="12.3" x14ac:dyDescent="0.4">
      <c r="B768" s="15"/>
      <c r="D768" s="15"/>
      <c r="E768" s="13"/>
      <c r="F768" s="15"/>
      <c r="G768" s="14"/>
      <c r="H768" s="15"/>
      <c r="I768" s="14"/>
      <c r="J768" s="15"/>
      <c r="K768" s="14"/>
    </row>
    <row r="769" spans="2:11" ht="12.3" x14ac:dyDescent="0.4">
      <c r="B769" s="15"/>
      <c r="D769" s="15"/>
      <c r="E769" s="13"/>
      <c r="F769" s="15"/>
      <c r="G769" s="14"/>
      <c r="H769" s="15"/>
      <c r="I769" s="14"/>
      <c r="J769" s="15"/>
      <c r="K769" s="14"/>
    </row>
    <row r="770" spans="2:11" ht="12.3" x14ac:dyDescent="0.4">
      <c r="B770" s="15"/>
      <c r="D770" s="15"/>
      <c r="E770" s="13"/>
      <c r="F770" s="15"/>
      <c r="G770" s="14"/>
      <c r="H770" s="15"/>
      <c r="I770" s="14"/>
      <c r="J770" s="15"/>
      <c r="K770" s="14"/>
    </row>
    <row r="771" spans="2:11" ht="12.3" x14ac:dyDescent="0.4">
      <c r="B771" s="15"/>
      <c r="D771" s="15"/>
      <c r="E771" s="13"/>
      <c r="F771" s="15"/>
      <c r="G771" s="14"/>
      <c r="H771" s="15"/>
      <c r="I771" s="14"/>
      <c r="J771" s="15"/>
      <c r="K771" s="14"/>
    </row>
    <row r="772" spans="2:11" ht="12.3" x14ac:dyDescent="0.4">
      <c r="B772" s="15"/>
      <c r="D772" s="15"/>
      <c r="E772" s="13"/>
      <c r="F772" s="15"/>
      <c r="G772" s="14"/>
      <c r="H772" s="15"/>
      <c r="I772" s="14"/>
      <c r="J772" s="15"/>
      <c r="K772" s="14"/>
    </row>
    <row r="773" spans="2:11" ht="12.3" x14ac:dyDescent="0.4">
      <c r="B773" s="15"/>
      <c r="D773" s="15"/>
      <c r="E773" s="13"/>
      <c r="F773" s="15"/>
      <c r="G773" s="14"/>
      <c r="H773" s="15"/>
      <c r="I773" s="14"/>
      <c r="J773" s="15"/>
      <c r="K773" s="14"/>
    </row>
    <row r="774" spans="2:11" ht="12.3" x14ac:dyDescent="0.4">
      <c r="B774" s="15"/>
      <c r="D774" s="15"/>
      <c r="E774" s="13"/>
      <c r="F774" s="15"/>
      <c r="G774" s="14"/>
      <c r="H774" s="15"/>
      <c r="I774" s="14"/>
      <c r="J774" s="15"/>
      <c r="K774" s="14"/>
    </row>
    <row r="775" spans="2:11" ht="12.3" x14ac:dyDescent="0.4">
      <c r="B775" s="15"/>
      <c r="D775" s="15"/>
      <c r="E775" s="13"/>
      <c r="F775" s="15"/>
      <c r="G775" s="14"/>
      <c r="H775" s="15"/>
      <c r="I775" s="14"/>
      <c r="J775" s="15"/>
      <c r="K775" s="14"/>
    </row>
    <row r="776" spans="2:11" ht="12.3" x14ac:dyDescent="0.4">
      <c r="B776" s="15"/>
      <c r="D776" s="15"/>
      <c r="E776" s="13"/>
      <c r="F776" s="15"/>
      <c r="G776" s="14"/>
      <c r="H776" s="15"/>
      <c r="I776" s="14"/>
      <c r="J776" s="15"/>
      <c r="K776" s="14"/>
    </row>
    <row r="777" spans="2:11" ht="12.3" x14ac:dyDescent="0.4">
      <c r="B777" s="15"/>
      <c r="D777" s="15"/>
      <c r="E777" s="13"/>
      <c r="F777" s="15"/>
      <c r="G777" s="14"/>
      <c r="H777" s="15"/>
      <c r="I777" s="14"/>
      <c r="J777" s="15"/>
      <c r="K777" s="14"/>
    </row>
    <row r="778" spans="2:11" ht="12.3" x14ac:dyDescent="0.4">
      <c r="B778" s="15"/>
      <c r="D778" s="15"/>
      <c r="E778" s="13"/>
      <c r="F778" s="15"/>
      <c r="G778" s="14"/>
      <c r="H778" s="15"/>
      <c r="I778" s="14"/>
      <c r="J778" s="15"/>
      <c r="K778" s="14"/>
    </row>
    <row r="779" spans="2:11" ht="12.3" x14ac:dyDescent="0.4">
      <c r="B779" s="15"/>
      <c r="D779" s="15"/>
      <c r="E779" s="13"/>
      <c r="F779" s="15"/>
      <c r="G779" s="14"/>
      <c r="H779" s="15"/>
      <c r="I779" s="14"/>
      <c r="J779" s="15"/>
      <c r="K779" s="14"/>
    </row>
    <row r="780" spans="2:11" ht="12.3" x14ac:dyDescent="0.4">
      <c r="B780" s="15"/>
      <c r="D780" s="15"/>
      <c r="E780" s="13"/>
      <c r="F780" s="15"/>
      <c r="G780" s="14"/>
      <c r="H780" s="15"/>
      <c r="I780" s="14"/>
      <c r="J780" s="15"/>
      <c r="K780" s="14"/>
    </row>
    <row r="781" spans="2:11" ht="12.3" x14ac:dyDescent="0.4">
      <c r="B781" s="15"/>
      <c r="D781" s="15"/>
      <c r="E781" s="13"/>
      <c r="F781" s="15"/>
      <c r="G781" s="14"/>
      <c r="H781" s="15"/>
      <c r="I781" s="14"/>
      <c r="J781" s="15"/>
      <c r="K781" s="14"/>
    </row>
    <row r="782" spans="2:11" ht="12.3" x14ac:dyDescent="0.4">
      <c r="B782" s="15"/>
      <c r="D782" s="15"/>
      <c r="E782" s="13"/>
      <c r="F782" s="15"/>
      <c r="G782" s="14"/>
      <c r="H782" s="15"/>
      <c r="I782" s="14"/>
      <c r="J782" s="15"/>
      <c r="K782" s="14"/>
    </row>
    <row r="783" spans="2:11" ht="12.3" x14ac:dyDescent="0.4">
      <c r="B783" s="15"/>
      <c r="D783" s="15"/>
      <c r="E783" s="13"/>
      <c r="F783" s="15"/>
      <c r="G783" s="14"/>
      <c r="H783" s="15"/>
      <c r="I783" s="14"/>
      <c r="J783" s="15"/>
      <c r="K783" s="14"/>
    </row>
    <row r="784" spans="2:11" ht="12.3" x14ac:dyDescent="0.4">
      <c r="B784" s="15"/>
      <c r="D784" s="15"/>
      <c r="E784" s="13"/>
      <c r="F784" s="15"/>
      <c r="G784" s="14"/>
      <c r="H784" s="15"/>
      <c r="I784" s="14"/>
      <c r="J784" s="15"/>
      <c r="K784" s="14"/>
    </row>
    <row r="785" spans="2:11" ht="12.3" x14ac:dyDescent="0.4">
      <c r="B785" s="15"/>
      <c r="D785" s="15"/>
      <c r="E785" s="13"/>
      <c r="F785" s="15"/>
      <c r="G785" s="14"/>
      <c r="H785" s="15"/>
      <c r="I785" s="14"/>
      <c r="J785" s="15"/>
      <c r="K785" s="14"/>
    </row>
    <row r="786" spans="2:11" ht="12.3" x14ac:dyDescent="0.4">
      <c r="B786" s="15"/>
      <c r="D786" s="15"/>
      <c r="E786" s="13"/>
      <c r="F786" s="15"/>
      <c r="G786" s="14"/>
      <c r="H786" s="15"/>
      <c r="I786" s="14"/>
      <c r="J786" s="15"/>
      <c r="K786" s="14"/>
    </row>
    <row r="787" spans="2:11" ht="12.3" x14ac:dyDescent="0.4">
      <c r="B787" s="15"/>
      <c r="D787" s="15"/>
      <c r="E787" s="13"/>
      <c r="F787" s="15"/>
      <c r="G787" s="14"/>
      <c r="H787" s="15"/>
      <c r="I787" s="14"/>
      <c r="J787" s="15"/>
      <c r="K787" s="14"/>
    </row>
    <row r="788" spans="2:11" ht="12.3" x14ac:dyDescent="0.4">
      <c r="B788" s="15"/>
      <c r="D788" s="15"/>
      <c r="E788" s="13"/>
      <c r="F788" s="15"/>
      <c r="G788" s="14"/>
      <c r="H788" s="15"/>
      <c r="I788" s="14"/>
      <c r="J788" s="15"/>
      <c r="K788" s="14"/>
    </row>
    <row r="789" spans="2:11" ht="12.3" x14ac:dyDescent="0.4">
      <c r="B789" s="15"/>
      <c r="D789" s="15"/>
      <c r="E789" s="13"/>
      <c r="F789" s="15"/>
      <c r="G789" s="14"/>
      <c r="H789" s="15"/>
      <c r="I789" s="14"/>
      <c r="J789" s="15"/>
      <c r="K789" s="14"/>
    </row>
    <row r="790" spans="2:11" ht="12.3" x14ac:dyDescent="0.4">
      <c r="B790" s="15"/>
      <c r="D790" s="15"/>
      <c r="E790" s="13"/>
      <c r="F790" s="15"/>
      <c r="G790" s="14"/>
      <c r="H790" s="15"/>
      <c r="I790" s="14"/>
      <c r="J790" s="15"/>
      <c r="K790" s="14"/>
    </row>
    <row r="791" spans="2:11" ht="12.3" x14ac:dyDescent="0.4">
      <c r="B791" s="15"/>
      <c r="D791" s="15"/>
      <c r="E791" s="13"/>
      <c r="F791" s="15"/>
      <c r="G791" s="14"/>
      <c r="H791" s="15"/>
      <c r="I791" s="14"/>
      <c r="J791" s="15"/>
      <c r="K791" s="14"/>
    </row>
    <row r="792" spans="2:11" ht="12.3" x14ac:dyDescent="0.4">
      <c r="B792" s="15"/>
      <c r="D792" s="15"/>
      <c r="E792" s="13"/>
      <c r="F792" s="15"/>
      <c r="G792" s="14"/>
      <c r="H792" s="15"/>
      <c r="I792" s="14"/>
      <c r="J792" s="15"/>
      <c r="K792" s="14"/>
    </row>
    <row r="793" spans="2:11" ht="12.3" x14ac:dyDescent="0.4">
      <c r="B793" s="15"/>
      <c r="D793" s="15"/>
      <c r="E793" s="13"/>
      <c r="F793" s="15"/>
      <c r="G793" s="14"/>
      <c r="H793" s="15"/>
      <c r="I793" s="14"/>
      <c r="J793" s="15"/>
      <c r="K793" s="14"/>
    </row>
    <row r="794" spans="2:11" ht="12.3" x14ac:dyDescent="0.4">
      <c r="B794" s="15"/>
      <c r="D794" s="15"/>
      <c r="E794" s="13"/>
      <c r="F794" s="15"/>
      <c r="G794" s="14"/>
      <c r="H794" s="15"/>
      <c r="I794" s="14"/>
      <c r="J794" s="15"/>
      <c r="K794" s="14"/>
    </row>
    <row r="795" spans="2:11" ht="12.3" x14ac:dyDescent="0.4">
      <c r="B795" s="15"/>
      <c r="D795" s="15"/>
      <c r="E795" s="13"/>
      <c r="F795" s="15"/>
      <c r="G795" s="14"/>
      <c r="H795" s="15"/>
      <c r="I795" s="14"/>
      <c r="J795" s="15"/>
      <c r="K795" s="14"/>
    </row>
    <row r="796" spans="2:11" ht="12.3" x14ac:dyDescent="0.4">
      <c r="B796" s="15"/>
      <c r="D796" s="15"/>
      <c r="E796" s="13"/>
      <c r="F796" s="15"/>
      <c r="G796" s="14"/>
      <c r="H796" s="15"/>
      <c r="I796" s="14"/>
      <c r="J796" s="15"/>
      <c r="K796" s="14"/>
    </row>
    <row r="797" spans="2:11" ht="12.3" x14ac:dyDescent="0.4">
      <c r="B797" s="15"/>
      <c r="D797" s="15"/>
      <c r="E797" s="13"/>
      <c r="F797" s="15"/>
      <c r="G797" s="14"/>
      <c r="H797" s="15"/>
      <c r="I797" s="14"/>
      <c r="J797" s="15"/>
      <c r="K797" s="14"/>
    </row>
    <row r="798" spans="2:11" ht="12.3" x14ac:dyDescent="0.4">
      <c r="B798" s="15"/>
      <c r="D798" s="15"/>
      <c r="E798" s="13"/>
      <c r="F798" s="15"/>
      <c r="G798" s="14"/>
      <c r="H798" s="15"/>
      <c r="I798" s="14"/>
      <c r="J798" s="15"/>
      <c r="K798" s="14"/>
    </row>
    <row r="799" spans="2:11" ht="12.3" x14ac:dyDescent="0.4">
      <c r="B799" s="15"/>
      <c r="D799" s="15"/>
      <c r="E799" s="13"/>
      <c r="F799" s="15"/>
      <c r="G799" s="14"/>
      <c r="H799" s="15"/>
      <c r="I799" s="14"/>
      <c r="J799" s="15"/>
      <c r="K799" s="14"/>
    </row>
    <row r="800" spans="2:11" ht="12.3" x14ac:dyDescent="0.4">
      <c r="B800" s="15"/>
      <c r="D800" s="15"/>
      <c r="E800" s="13"/>
      <c r="F800" s="15"/>
      <c r="G800" s="14"/>
      <c r="H800" s="15"/>
      <c r="I800" s="14"/>
      <c r="J800" s="15"/>
      <c r="K800" s="14"/>
    </row>
    <row r="801" spans="2:11" ht="12.3" x14ac:dyDescent="0.4">
      <c r="B801" s="15"/>
      <c r="D801" s="15"/>
      <c r="E801" s="13"/>
      <c r="F801" s="15"/>
      <c r="G801" s="14"/>
      <c r="H801" s="15"/>
      <c r="I801" s="14"/>
      <c r="J801" s="15"/>
      <c r="K801" s="14"/>
    </row>
    <row r="802" spans="2:11" ht="12.3" x14ac:dyDescent="0.4">
      <c r="B802" s="15"/>
      <c r="D802" s="15"/>
      <c r="E802" s="13"/>
      <c r="F802" s="15"/>
      <c r="G802" s="14"/>
      <c r="H802" s="15"/>
      <c r="I802" s="14"/>
      <c r="J802" s="15"/>
      <c r="K802" s="14"/>
    </row>
    <row r="803" spans="2:11" ht="12.3" x14ac:dyDescent="0.4">
      <c r="B803" s="15"/>
      <c r="D803" s="15"/>
      <c r="E803" s="13"/>
      <c r="F803" s="15"/>
      <c r="G803" s="14"/>
      <c r="H803" s="15"/>
      <c r="I803" s="14"/>
      <c r="J803" s="15"/>
      <c r="K803" s="14"/>
    </row>
    <row r="804" spans="2:11" ht="12.3" x14ac:dyDescent="0.4">
      <c r="B804" s="15"/>
      <c r="D804" s="15"/>
      <c r="E804" s="13"/>
      <c r="F804" s="15"/>
      <c r="G804" s="14"/>
      <c r="H804" s="15"/>
      <c r="I804" s="14"/>
      <c r="J804" s="15"/>
      <c r="K804" s="14"/>
    </row>
    <row r="805" spans="2:11" ht="12.3" x14ac:dyDescent="0.4">
      <c r="B805" s="15"/>
      <c r="D805" s="15"/>
      <c r="E805" s="13"/>
      <c r="F805" s="15"/>
      <c r="G805" s="14"/>
      <c r="H805" s="15"/>
      <c r="I805" s="14"/>
      <c r="J805" s="15"/>
      <c r="K805" s="14"/>
    </row>
    <row r="806" spans="2:11" ht="12.3" x14ac:dyDescent="0.4">
      <c r="B806" s="15"/>
      <c r="D806" s="15"/>
      <c r="E806" s="13"/>
      <c r="F806" s="15"/>
      <c r="G806" s="14"/>
      <c r="H806" s="15"/>
      <c r="I806" s="14"/>
      <c r="J806" s="15"/>
      <c r="K806" s="14"/>
    </row>
    <row r="807" spans="2:11" ht="12.3" x14ac:dyDescent="0.4">
      <c r="B807" s="15"/>
      <c r="D807" s="15"/>
      <c r="E807" s="13"/>
      <c r="F807" s="15"/>
      <c r="G807" s="14"/>
      <c r="H807" s="15"/>
      <c r="I807" s="14"/>
      <c r="J807" s="15"/>
      <c r="K807" s="14"/>
    </row>
    <row r="808" spans="2:11" ht="12.3" x14ac:dyDescent="0.4">
      <c r="B808" s="15"/>
      <c r="D808" s="15"/>
      <c r="E808" s="13"/>
      <c r="F808" s="15"/>
      <c r="G808" s="14"/>
      <c r="H808" s="15"/>
      <c r="I808" s="14"/>
      <c r="J808" s="15"/>
      <c r="K808" s="14"/>
    </row>
    <row r="809" spans="2:11" ht="12.3" x14ac:dyDescent="0.4">
      <c r="B809" s="15"/>
      <c r="D809" s="15"/>
      <c r="E809" s="13"/>
      <c r="F809" s="15"/>
      <c r="G809" s="14"/>
      <c r="H809" s="15"/>
      <c r="I809" s="14"/>
      <c r="J809" s="15"/>
      <c r="K809" s="14"/>
    </row>
    <row r="810" spans="2:11" ht="12.3" x14ac:dyDescent="0.4">
      <c r="B810" s="15"/>
      <c r="D810" s="15"/>
      <c r="E810" s="13"/>
      <c r="F810" s="15"/>
      <c r="G810" s="14"/>
      <c r="H810" s="15"/>
      <c r="I810" s="14"/>
      <c r="J810" s="15"/>
      <c r="K810" s="14"/>
    </row>
    <row r="811" spans="2:11" ht="12.3" x14ac:dyDescent="0.4">
      <c r="B811" s="15"/>
      <c r="D811" s="15"/>
      <c r="E811" s="13"/>
      <c r="F811" s="15"/>
      <c r="G811" s="14"/>
      <c r="H811" s="15"/>
      <c r="I811" s="14"/>
      <c r="J811" s="15"/>
      <c r="K811" s="14"/>
    </row>
    <row r="812" spans="2:11" ht="12.3" x14ac:dyDescent="0.4">
      <c r="B812" s="15"/>
      <c r="D812" s="15"/>
      <c r="E812" s="13"/>
      <c r="F812" s="15"/>
      <c r="G812" s="14"/>
      <c r="H812" s="15"/>
      <c r="I812" s="14"/>
      <c r="J812" s="15"/>
      <c r="K812" s="14"/>
    </row>
    <row r="813" spans="2:11" ht="12.3" x14ac:dyDescent="0.4">
      <c r="B813" s="15"/>
      <c r="D813" s="15"/>
      <c r="E813" s="13"/>
      <c r="F813" s="15"/>
      <c r="G813" s="14"/>
      <c r="H813" s="15"/>
      <c r="I813" s="14"/>
      <c r="J813" s="15"/>
      <c r="K813" s="14"/>
    </row>
    <row r="814" spans="2:11" ht="12.3" x14ac:dyDescent="0.4">
      <c r="B814" s="15"/>
      <c r="D814" s="15"/>
      <c r="E814" s="13"/>
      <c r="F814" s="15"/>
      <c r="G814" s="14"/>
      <c r="H814" s="15"/>
      <c r="I814" s="14"/>
      <c r="J814" s="15"/>
      <c r="K814" s="14"/>
    </row>
    <row r="815" spans="2:11" ht="12.3" x14ac:dyDescent="0.4">
      <c r="B815" s="15"/>
      <c r="D815" s="15"/>
      <c r="E815" s="13"/>
      <c r="F815" s="15"/>
      <c r="G815" s="14"/>
      <c r="H815" s="15"/>
      <c r="I815" s="14"/>
      <c r="J815" s="15"/>
      <c r="K815" s="14"/>
    </row>
    <row r="816" spans="2:11" ht="12.3" x14ac:dyDescent="0.4">
      <c r="B816" s="15"/>
      <c r="D816" s="15"/>
      <c r="E816" s="13"/>
      <c r="F816" s="15"/>
      <c r="G816" s="14"/>
      <c r="H816" s="15"/>
      <c r="I816" s="14"/>
      <c r="J816" s="15"/>
      <c r="K816" s="14"/>
    </row>
    <row r="817" spans="2:11" ht="12.3" x14ac:dyDescent="0.4">
      <c r="B817" s="15"/>
      <c r="D817" s="15"/>
      <c r="E817" s="13"/>
      <c r="F817" s="15"/>
      <c r="G817" s="14"/>
      <c r="H817" s="15"/>
      <c r="I817" s="14"/>
      <c r="J817" s="15"/>
      <c r="K817" s="14"/>
    </row>
    <row r="818" spans="2:11" ht="12.3" x14ac:dyDescent="0.4">
      <c r="B818" s="15"/>
      <c r="D818" s="15"/>
      <c r="E818" s="13"/>
      <c r="F818" s="15"/>
      <c r="G818" s="14"/>
      <c r="H818" s="15"/>
      <c r="I818" s="14"/>
      <c r="J818" s="15"/>
      <c r="K818" s="14"/>
    </row>
    <row r="819" spans="2:11" ht="12.3" x14ac:dyDescent="0.4">
      <c r="B819" s="15"/>
      <c r="D819" s="15"/>
      <c r="E819" s="13"/>
      <c r="F819" s="15"/>
      <c r="G819" s="14"/>
      <c r="H819" s="15"/>
      <c r="I819" s="14"/>
      <c r="J819" s="15"/>
      <c r="K819" s="14"/>
    </row>
    <row r="820" spans="2:11" ht="12.3" x14ac:dyDescent="0.4">
      <c r="B820" s="15"/>
      <c r="D820" s="15"/>
      <c r="E820" s="13"/>
      <c r="F820" s="15"/>
      <c r="G820" s="14"/>
      <c r="H820" s="15"/>
      <c r="I820" s="14"/>
      <c r="J820" s="15"/>
      <c r="K820" s="14"/>
    </row>
    <row r="821" spans="2:11" ht="12.3" x14ac:dyDescent="0.4">
      <c r="B821" s="15"/>
      <c r="D821" s="15"/>
      <c r="E821" s="13"/>
      <c r="F821" s="15"/>
      <c r="G821" s="14"/>
      <c r="H821" s="15"/>
      <c r="I821" s="14"/>
      <c r="J821" s="15"/>
      <c r="K821" s="14"/>
    </row>
    <row r="822" spans="2:11" ht="12.3" x14ac:dyDescent="0.4">
      <c r="B822" s="15"/>
      <c r="D822" s="15"/>
      <c r="E822" s="13"/>
      <c r="F822" s="15"/>
      <c r="G822" s="14"/>
      <c r="H822" s="15"/>
      <c r="I822" s="14"/>
      <c r="J822" s="15"/>
      <c r="K822" s="14"/>
    </row>
    <row r="823" spans="2:11" ht="12.3" x14ac:dyDescent="0.4">
      <c r="B823" s="15"/>
      <c r="D823" s="15"/>
      <c r="E823" s="13"/>
      <c r="F823" s="15"/>
      <c r="G823" s="14"/>
      <c r="H823" s="15"/>
      <c r="I823" s="14"/>
      <c r="J823" s="15"/>
      <c r="K823" s="14"/>
    </row>
    <row r="824" spans="2:11" ht="12.3" x14ac:dyDescent="0.4">
      <c r="B824" s="15"/>
      <c r="D824" s="15"/>
      <c r="E824" s="13"/>
      <c r="F824" s="15"/>
      <c r="G824" s="14"/>
      <c r="H824" s="15"/>
      <c r="I824" s="14"/>
      <c r="J824" s="15"/>
      <c r="K824" s="14"/>
    </row>
    <row r="825" spans="2:11" ht="12.3" x14ac:dyDescent="0.4">
      <c r="B825" s="15"/>
      <c r="D825" s="15"/>
      <c r="E825" s="13"/>
      <c r="F825" s="15"/>
      <c r="G825" s="14"/>
      <c r="H825" s="15"/>
      <c r="I825" s="14"/>
      <c r="J825" s="15"/>
      <c r="K825" s="14"/>
    </row>
    <row r="826" spans="2:11" ht="12.3" x14ac:dyDescent="0.4">
      <c r="B826" s="15"/>
      <c r="D826" s="15"/>
      <c r="E826" s="13"/>
      <c r="F826" s="15"/>
      <c r="G826" s="14"/>
      <c r="H826" s="15"/>
      <c r="I826" s="14"/>
      <c r="J826" s="15"/>
      <c r="K826" s="14"/>
    </row>
    <row r="827" spans="2:11" ht="12.3" x14ac:dyDescent="0.4">
      <c r="B827" s="15"/>
      <c r="D827" s="15"/>
      <c r="E827" s="13"/>
      <c r="F827" s="15"/>
      <c r="G827" s="14"/>
      <c r="H827" s="15"/>
      <c r="I827" s="14"/>
      <c r="J827" s="15"/>
      <c r="K827" s="14"/>
    </row>
    <row r="828" spans="2:11" ht="12.3" x14ac:dyDescent="0.4">
      <c r="B828" s="15"/>
      <c r="D828" s="15"/>
      <c r="E828" s="13"/>
      <c r="F828" s="15"/>
      <c r="G828" s="14"/>
      <c r="H828" s="15"/>
      <c r="I828" s="14"/>
      <c r="J828" s="15"/>
      <c r="K828" s="14"/>
    </row>
    <row r="829" spans="2:11" ht="12.3" x14ac:dyDescent="0.4">
      <c r="B829" s="15"/>
      <c r="D829" s="15"/>
      <c r="E829" s="13"/>
      <c r="F829" s="15"/>
      <c r="G829" s="14"/>
      <c r="H829" s="15"/>
      <c r="I829" s="14"/>
      <c r="J829" s="15"/>
      <c r="K829" s="14"/>
    </row>
    <row r="830" spans="2:11" ht="12.3" x14ac:dyDescent="0.4">
      <c r="B830" s="15"/>
      <c r="D830" s="15"/>
      <c r="E830" s="13"/>
      <c r="F830" s="15"/>
      <c r="G830" s="14"/>
      <c r="H830" s="15"/>
      <c r="I830" s="14"/>
      <c r="J830" s="15"/>
      <c r="K830" s="14"/>
    </row>
    <row r="831" spans="2:11" ht="12.3" x14ac:dyDescent="0.4">
      <c r="B831" s="15"/>
      <c r="D831" s="15"/>
      <c r="E831" s="13"/>
      <c r="F831" s="15"/>
      <c r="G831" s="14"/>
      <c r="H831" s="15"/>
      <c r="I831" s="14"/>
      <c r="J831" s="15"/>
      <c r="K831" s="14"/>
    </row>
    <row r="832" spans="2:11" ht="12.3" x14ac:dyDescent="0.4">
      <c r="B832" s="15"/>
      <c r="D832" s="15"/>
      <c r="E832" s="13"/>
      <c r="F832" s="15"/>
      <c r="G832" s="14"/>
      <c r="H832" s="15"/>
      <c r="I832" s="14"/>
      <c r="J832" s="15"/>
      <c r="K832" s="14"/>
    </row>
    <row r="833" spans="2:11" ht="12.3" x14ac:dyDescent="0.4">
      <c r="B833" s="15"/>
      <c r="D833" s="15"/>
      <c r="E833" s="13"/>
      <c r="F833" s="15"/>
      <c r="G833" s="14"/>
      <c r="H833" s="15"/>
      <c r="I833" s="14"/>
      <c r="J833" s="15"/>
      <c r="K833" s="14"/>
    </row>
    <row r="834" spans="2:11" ht="12.3" x14ac:dyDescent="0.4">
      <c r="B834" s="15"/>
      <c r="D834" s="15"/>
      <c r="E834" s="13"/>
      <c r="F834" s="15"/>
      <c r="G834" s="14"/>
      <c r="H834" s="15"/>
      <c r="I834" s="14"/>
      <c r="J834" s="15"/>
      <c r="K834" s="14"/>
    </row>
    <row r="835" spans="2:11" ht="12.3" x14ac:dyDescent="0.4">
      <c r="B835" s="15"/>
      <c r="D835" s="15"/>
      <c r="E835" s="13"/>
      <c r="F835" s="15"/>
      <c r="G835" s="14"/>
      <c r="H835" s="15"/>
      <c r="I835" s="14"/>
      <c r="J835" s="15"/>
      <c r="K835" s="14"/>
    </row>
    <row r="836" spans="2:11" ht="12.3" x14ac:dyDescent="0.4">
      <c r="B836" s="15"/>
      <c r="D836" s="15"/>
      <c r="E836" s="13"/>
      <c r="F836" s="15"/>
      <c r="G836" s="14"/>
      <c r="H836" s="15"/>
      <c r="I836" s="14"/>
      <c r="J836" s="15"/>
      <c r="K836" s="14"/>
    </row>
    <row r="837" spans="2:11" ht="12.3" x14ac:dyDescent="0.4">
      <c r="B837" s="15"/>
      <c r="D837" s="15"/>
      <c r="E837" s="13"/>
      <c r="F837" s="15"/>
      <c r="G837" s="14"/>
      <c r="H837" s="15"/>
      <c r="I837" s="14"/>
      <c r="J837" s="15"/>
      <c r="K837" s="14"/>
    </row>
    <row r="838" spans="2:11" ht="12.3" x14ac:dyDescent="0.4">
      <c r="B838" s="15"/>
      <c r="D838" s="15"/>
      <c r="E838" s="13"/>
      <c r="F838" s="15"/>
      <c r="G838" s="14"/>
      <c r="H838" s="15"/>
      <c r="I838" s="14"/>
      <c r="J838" s="15"/>
      <c r="K838" s="14"/>
    </row>
    <row r="839" spans="2:11" ht="12.3" x14ac:dyDescent="0.4">
      <c r="B839" s="15"/>
      <c r="D839" s="15"/>
      <c r="E839" s="13"/>
      <c r="F839" s="15"/>
      <c r="G839" s="14"/>
      <c r="H839" s="15"/>
      <c r="I839" s="14"/>
      <c r="J839" s="15"/>
      <c r="K839" s="14"/>
    </row>
    <row r="840" spans="2:11" ht="12.3" x14ac:dyDescent="0.4">
      <c r="B840" s="15"/>
      <c r="D840" s="15"/>
      <c r="E840" s="13"/>
      <c r="F840" s="15"/>
      <c r="G840" s="14"/>
      <c r="H840" s="15"/>
      <c r="I840" s="14"/>
      <c r="J840" s="15"/>
      <c r="K840" s="14"/>
    </row>
    <row r="841" spans="2:11" ht="12.3" x14ac:dyDescent="0.4">
      <c r="B841" s="15"/>
      <c r="D841" s="15"/>
      <c r="E841" s="13"/>
      <c r="F841" s="15"/>
      <c r="G841" s="14"/>
      <c r="H841" s="15"/>
      <c r="I841" s="14"/>
      <c r="J841" s="15"/>
      <c r="K841" s="14"/>
    </row>
    <row r="842" spans="2:11" ht="12.3" x14ac:dyDescent="0.4">
      <c r="B842" s="15"/>
      <c r="D842" s="15"/>
      <c r="E842" s="13"/>
      <c r="F842" s="15"/>
      <c r="G842" s="14"/>
      <c r="H842" s="15"/>
      <c r="I842" s="14"/>
      <c r="J842" s="15"/>
      <c r="K842" s="14"/>
    </row>
    <row r="843" spans="2:11" ht="12.3" x14ac:dyDescent="0.4">
      <c r="B843" s="15"/>
      <c r="D843" s="15"/>
      <c r="E843" s="13"/>
      <c r="F843" s="15"/>
      <c r="G843" s="14"/>
      <c r="H843" s="15"/>
      <c r="I843" s="14"/>
      <c r="J843" s="15"/>
      <c r="K843" s="14"/>
    </row>
    <row r="844" spans="2:11" ht="12.3" x14ac:dyDescent="0.4">
      <c r="B844" s="15"/>
      <c r="D844" s="15"/>
      <c r="E844" s="13"/>
      <c r="F844" s="15"/>
      <c r="G844" s="14"/>
      <c r="H844" s="15"/>
      <c r="I844" s="14"/>
      <c r="J844" s="15"/>
      <c r="K844" s="14"/>
    </row>
    <row r="845" spans="2:11" ht="12.3" x14ac:dyDescent="0.4">
      <c r="B845" s="15"/>
      <c r="D845" s="15"/>
      <c r="E845" s="13"/>
      <c r="F845" s="15"/>
      <c r="G845" s="14"/>
      <c r="H845" s="15"/>
      <c r="I845" s="14"/>
      <c r="J845" s="15"/>
      <c r="K845" s="14"/>
    </row>
    <row r="846" spans="2:11" ht="12.3" x14ac:dyDescent="0.4">
      <c r="B846" s="15"/>
      <c r="D846" s="15"/>
      <c r="E846" s="13"/>
      <c r="F846" s="15"/>
      <c r="G846" s="14"/>
      <c r="H846" s="15"/>
      <c r="I846" s="14"/>
      <c r="J846" s="15"/>
      <c r="K846" s="14"/>
    </row>
    <row r="847" spans="2:11" ht="12.3" x14ac:dyDescent="0.4">
      <c r="B847" s="15"/>
      <c r="D847" s="15"/>
      <c r="E847" s="13"/>
      <c r="F847" s="15"/>
      <c r="G847" s="14"/>
      <c r="H847" s="15"/>
      <c r="I847" s="14"/>
      <c r="J847" s="15"/>
      <c r="K847" s="14"/>
    </row>
    <row r="848" spans="2:11" ht="12.3" x14ac:dyDescent="0.4">
      <c r="B848" s="15"/>
      <c r="D848" s="15"/>
      <c r="E848" s="13"/>
      <c r="F848" s="15"/>
      <c r="G848" s="14"/>
      <c r="H848" s="15"/>
      <c r="I848" s="14"/>
      <c r="J848" s="15"/>
      <c r="K848" s="14"/>
    </row>
    <row r="849" spans="2:11" ht="12.3" x14ac:dyDescent="0.4">
      <c r="B849" s="15"/>
      <c r="D849" s="15"/>
      <c r="E849" s="13"/>
      <c r="F849" s="15"/>
      <c r="G849" s="14"/>
      <c r="H849" s="15"/>
      <c r="I849" s="14"/>
      <c r="J849" s="15"/>
      <c r="K849" s="14"/>
    </row>
    <row r="850" spans="2:11" ht="12.3" x14ac:dyDescent="0.4">
      <c r="B850" s="15"/>
      <c r="D850" s="15"/>
      <c r="E850" s="13"/>
      <c r="F850" s="15"/>
      <c r="G850" s="14"/>
      <c r="H850" s="15"/>
      <c r="I850" s="14"/>
      <c r="J850" s="15"/>
      <c r="K850" s="14"/>
    </row>
    <row r="851" spans="2:11" ht="12.3" x14ac:dyDescent="0.4">
      <c r="B851" s="15"/>
      <c r="D851" s="15"/>
      <c r="E851" s="13"/>
      <c r="F851" s="15"/>
      <c r="G851" s="14"/>
      <c r="H851" s="15"/>
      <c r="I851" s="14"/>
      <c r="J851" s="15"/>
      <c r="K851" s="14"/>
    </row>
    <row r="852" spans="2:11" ht="12.3" x14ac:dyDescent="0.4">
      <c r="B852" s="15"/>
      <c r="D852" s="15"/>
      <c r="E852" s="13"/>
      <c r="F852" s="15"/>
      <c r="G852" s="14"/>
      <c r="H852" s="15"/>
      <c r="I852" s="14"/>
      <c r="J852" s="15"/>
      <c r="K852" s="14"/>
    </row>
    <row r="853" spans="2:11" ht="12.3" x14ac:dyDescent="0.4">
      <c r="B853" s="15"/>
      <c r="D853" s="15"/>
      <c r="E853" s="13"/>
      <c r="F853" s="15"/>
      <c r="G853" s="14"/>
      <c r="H853" s="15"/>
      <c r="I853" s="14"/>
      <c r="J853" s="15"/>
      <c r="K853" s="14"/>
    </row>
    <row r="854" spans="2:11" ht="12.3" x14ac:dyDescent="0.4">
      <c r="B854" s="15"/>
      <c r="D854" s="15"/>
      <c r="E854" s="13"/>
      <c r="F854" s="15"/>
      <c r="G854" s="14"/>
      <c r="H854" s="15"/>
      <c r="I854" s="14"/>
      <c r="J854" s="15"/>
      <c r="K854" s="14"/>
    </row>
    <row r="855" spans="2:11" ht="12.3" x14ac:dyDescent="0.4">
      <c r="B855" s="15"/>
      <c r="D855" s="15"/>
      <c r="E855" s="13"/>
      <c r="F855" s="15"/>
      <c r="G855" s="14"/>
      <c r="H855" s="15"/>
      <c r="I855" s="14"/>
      <c r="J855" s="15"/>
      <c r="K855" s="14"/>
    </row>
    <row r="856" spans="2:11" ht="12.3" x14ac:dyDescent="0.4">
      <c r="B856" s="15"/>
      <c r="D856" s="15"/>
      <c r="E856" s="13"/>
      <c r="F856" s="15"/>
      <c r="G856" s="14"/>
      <c r="H856" s="15"/>
      <c r="I856" s="14"/>
      <c r="J856" s="15"/>
      <c r="K856" s="14"/>
    </row>
    <row r="857" spans="2:11" ht="12.3" x14ac:dyDescent="0.4">
      <c r="B857" s="15"/>
      <c r="D857" s="15"/>
      <c r="E857" s="13"/>
      <c r="F857" s="15"/>
      <c r="G857" s="14"/>
      <c r="H857" s="15"/>
      <c r="I857" s="14"/>
      <c r="J857" s="15"/>
      <c r="K857" s="14"/>
    </row>
    <row r="858" spans="2:11" ht="12.3" x14ac:dyDescent="0.4">
      <c r="B858" s="15"/>
      <c r="D858" s="15"/>
      <c r="E858" s="13"/>
      <c r="F858" s="15"/>
      <c r="G858" s="14"/>
      <c r="H858" s="15"/>
      <c r="I858" s="14"/>
      <c r="J858" s="15"/>
      <c r="K858" s="14"/>
    </row>
    <row r="859" spans="2:11" ht="12.3" x14ac:dyDescent="0.4">
      <c r="B859" s="15"/>
      <c r="D859" s="15"/>
      <c r="E859" s="13"/>
      <c r="F859" s="15"/>
      <c r="G859" s="14"/>
      <c r="H859" s="15"/>
      <c r="I859" s="14"/>
      <c r="J859" s="15"/>
      <c r="K859" s="14"/>
    </row>
    <row r="860" spans="2:11" ht="12.3" x14ac:dyDescent="0.4">
      <c r="B860" s="15"/>
      <c r="D860" s="15"/>
      <c r="E860" s="13"/>
      <c r="F860" s="15"/>
      <c r="G860" s="14"/>
      <c r="H860" s="15"/>
      <c r="I860" s="14"/>
      <c r="J860" s="15"/>
      <c r="K860" s="14"/>
    </row>
    <row r="861" spans="2:11" ht="12.3" x14ac:dyDescent="0.4">
      <c r="B861" s="15"/>
      <c r="D861" s="15"/>
      <c r="E861" s="13"/>
      <c r="F861" s="15"/>
      <c r="G861" s="14"/>
      <c r="H861" s="15"/>
      <c r="I861" s="14"/>
      <c r="J861" s="15"/>
      <c r="K861" s="14"/>
    </row>
    <row r="862" spans="2:11" ht="12.3" x14ac:dyDescent="0.4">
      <c r="B862" s="15"/>
      <c r="D862" s="15"/>
      <c r="E862" s="13"/>
      <c r="F862" s="15"/>
      <c r="G862" s="14"/>
      <c r="H862" s="15"/>
      <c r="I862" s="14"/>
      <c r="J862" s="15"/>
      <c r="K862" s="14"/>
    </row>
    <row r="863" spans="2:11" ht="12.3" x14ac:dyDescent="0.4">
      <c r="B863" s="15"/>
      <c r="D863" s="15"/>
      <c r="E863" s="13"/>
      <c r="F863" s="15"/>
      <c r="G863" s="14"/>
      <c r="H863" s="15"/>
      <c r="I863" s="14"/>
      <c r="J863" s="15"/>
      <c r="K863" s="14"/>
    </row>
    <row r="864" spans="2:11" ht="12.3" x14ac:dyDescent="0.4">
      <c r="B864" s="15"/>
      <c r="D864" s="15"/>
      <c r="E864" s="13"/>
      <c r="F864" s="15"/>
      <c r="G864" s="14"/>
      <c r="H864" s="15"/>
      <c r="I864" s="14"/>
      <c r="J864" s="15"/>
      <c r="K864" s="14"/>
    </row>
    <row r="865" spans="2:11" ht="12.3" x14ac:dyDescent="0.4">
      <c r="B865" s="15"/>
      <c r="D865" s="15"/>
      <c r="E865" s="13"/>
      <c r="F865" s="15"/>
      <c r="G865" s="14"/>
      <c r="H865" s="15"/>
      <c r="I865" s="14"/>
      <c r="J865" s="15"/>
      <c r="K865" s="14"/>
    </row>
    <row r="866" spans="2:11" ht="12.3" x14ac:dyDescent="0.4">
      <c r="B866" s="15"/>
      <c r="D866" s="15"/>
      <c r="E866" s="13"/>
      <c r="F866" s="15"/>
      <c r="G866" s="14"/>
      <c r="H866" s="15"/>
      <c r="I866" s="14"/>
      <c r="J866" s="15"/>
      <c r="K866" s="14"/>
    </row>
    <row r="867" spans="2:11" ht="12.3" x14ac:dyDescent="0.4">
      <c r="B867" s="15"/>
      <c r="D867" s="15"/>
      <c r="E867" s="13"/>
      <c r="F867" s="15"/>
      <c r="G867" s="14"/>
      <c r="H867" s="15"/>
      <c r="I867" s="14"/>
      <c r="J867" s="15"/>
      <c r="K867" s="14"/>
    </row>
    <row r="868" spans="2:11" ht="12.3" x14ac:dyDescent="0.4">
      <c r="B868" s="15"/>
      <c r="D868" s="15"/>
      <c r="E868" s="13"/>
      <c r="F868" s="15"/>
      <c r="G868" s="14"/>
      <c r="H868" s="15"/>
      <c r="I868" s="14"/>
      <c r="J868" s="15"/>
      <c r="K868" s="14"/>
    </row>
    <row r="869" spans="2:11" ht="12.3" x14ac:dyDescent="0.4">
      <c r="B869" s="15"/>
      <c r="D869" s="15"/>
      <c r="E869" s="13"/>
      <c r="F869" s="15"/>
      <c r="G869" s="14"/>
      <c r="H869" s="15"/>
      <c r="I869" s="14"/>
      <c r="J869" s="15"/>
      <c r="K869" s="14"/>
    </row>
    <row r="870" spans="2:11" ht="12.3" x14ac:dyDescent="0.4">
      <c r="B870" s="15"/>
      <c r="D870" s="15"/>
      <c r="E870" s="13"/>
      <c r="F870" s="15"/>
      <c r="G870" s="14"/>
      <c r="H870" s="15"/>
      <c r="I870" s="14"/>
      <c r="J870" s="15"/>
      <c r="K870" s="14"/>
    </row>
    <row r="871" spans="2:11" ht="12.3" x14ac:dyDescent="0.4">
      <c r="B871" s="15"/>
      <c r="D871" s="15"/>
      <c r="E871" s="13"/>
      <c r="F871" s="15"/>
      <c r="G871" s="14"/>
      <c r="H871" s="15"/>
      <c r="I871" s="14"/>
      <c r="J871" s="15"/>
      <c r="K871" s="14"/>
    </row>
    <row r="872" spans="2:11" ht="12.3" x14ac:dyDescent="0.4">
      <c r="B872" s="15"/>
      <c r="D872" s="15"/>
      <c r="E872" s="13"/>
      <c r="F872" s="15"/>
      <c r="G872" s="14"/>
      <c r="H872" s="15"/>
      <c r="I872" s="14"/>
      <c r="J872" s="15"/>
      <c r="K872" s="14"/>
    </row>
    <row r="873" spans="2:11" ht="12.3" x14ac:dyDescent="0.4">
      <c r="B873" s="15"/>
      <c r="D873" s="15"/>
      <c r="E873" s="13"/>
      <c r="F873" s="15"/>
      <c r="G873" s="14"/>
      <c r="H873" s="15"/>
      <c r="I873" s="14"/>
      <c r="J873" s="15"/>
      <c r="K873" s="14"/>
    </row>
    <row r="874" spans="2:11" ht="12.3" x14ac:dyDescent="0.4">
      <c r="B874" s="15"/>
      <c r="D874" s="15"/>
      <c r="E874" s="13"/>
      <c r="F874" s="15"/>
      <c r="G874" s="14"/>
      <c r="H874" s="15"/>
      <c r="I874" s="14"/>
      <c r="J874" s="15"/>
      <c r="K874" s="14"/>
    </row>
    <row r="875" spans="2:11" ht="12.3" x14ac:dyDescent="0.4">
      <c r="B875" s="15"/>
      <c r="D875" s="15"/>
      <c r="E875" s="13"/>
      <c r="F875" s="15"/>
      <c r="G875" s="14"/>
      <c r="H875" s="15"/>
      <c r="I875" s="14"/>
      <c r="J875" s="15"/>
      <c r="K875" s="14"/>
    </row>
    <row r="876" spans="2:11" ht="12.3" x14ac:dyDescent="0.4">
      <c r="B876" s="15"/>
      <c r="D876" s="15"/>
      <c r="E876" s="13"/>
      <c r="F876" s="15"/>
      <c r="G876" s="14"/>
      <c r="H876" s="15"/>
      <c r="I876" s="14"/>
      <c r="J876" s="15"/>
      <c r="K876" s="14"/>
    </row>
    <row r="877" spans="2:11" ht="12.3" x14ac:dyDescent="0.4">
      <c r="B877" s="15"/>
      <c r="D877" s="15"/>
      <c r="E877" s="13"/>
      <c r="F877" s="15"/>
      <c r="G877" s="14"/>
      <c r="H877" s="15"/>
      <c r="I877" s="14"/>
      <c r="J877" s="15"/>
      <c r="K877" s="14"/>
    </row>
    <row r="878" spans="2:11" ht="12.3" x14ac:dyDescent="0.4">
      <c r="B878" s="15"/>
      <c r="D878" s="15"/>
      <c r="E878" s="13"/>
      <c r="F878" s="15"/>
      <c r="G878" s="14"/>
      <c r="H878" s="15"/>
      <c r="I878" s="14"/>
      <c r="J878" s="15"/>
      <c r="K878" s="14"/>
    </row>
    <row r="879" spans="2:11" ht="12.3" x14ac:dyDescent="0.4">
      <c r="B879" s="15"/>
      <c r="D879" s="15"/>
      <c r="E879" s="13"/>
      <c r="F879" s="15"/>
      <c r="G879" s="14"/>
      <c r="H879" s="15"/>
      <c r="I879" s="14"/>
      <c r="J879" s="15"/>
      <c r="K879" s="14"/>
    </row>
    <row r="880" spans="2:11" ht="12.3" x14ac:dyDescent="0.4">
      <c r="B880" s="15"/>
      <c r="D880" s="15"/>
      <c r="E880" s="13"/>
      <c r="F880" s="15"/>
      <c r="G880" s="14"/>
      <c r="H880" s="15"/>
      <c r="I880" s="14"/>
      <c r="J880" s="15"/>
      <c r="K880" s="14"/>
    </row>
    <row r="881" spans="2:11" ht="12.3" x14ac:dyDescent="0.4">
      <c r="B881" s="15"/>
      <c r="D881" s="15"/>
      <c r="E881" s="13"/>
      <c r="F881" s="15"/>
      <c r="G881" s="14"/>
      <c r="H881" s="15"/>
      <c r="I881" s="14"/>
      <c r="J881" s="15"/>
      <c r="K881" s="14"/>
    </row>
    <row r="882" spans="2:11" ht="12.3" x14ac:dyDescent="0.4">
      <c r="B882" s="15"/>
      <c r="D882" s="15"/>
      <c r="E882" s="13"/>
      <c r="F882" s="15"/>
      <c r="G882" s="14"/>
      <c r="H882" s="15"/>
      <c r="I882" s="14"/>
      <c r="J882" s="15"/>
      <c r="K882" s="14"/>
    </row>
    <row r="883" spans="2:11" ht="12.3" x14ac:dyDescent="0.4">
      <c r="B883" s="15"/>
      <c r="D883" s="15"/>
      <c r="E883" s="13"/>
      <c r="F883" s="15"/>
      <c r="G883" s="14"/>
      <c r="H883" s="15"/>
      <c r="I883" s="14"/>
      <c r="J883" s="15"/>
      <c r="K883" s="14"/>
    </row>
    <row r="884" spans="2:11" ht="12.3" x14ac:dyDescent="0.4">
      <c r="B884" s="15"/>
      <c r="D884" s="15"/>
      <c r="E884" s="13"/>
      <c r="F884" s="15"/>
      <c r="G884" s="14"/>
      <c r="H884" s="15"/>
      <c r="I884" s="14"/>
      <c r="J884" s="15"/>
      <c r="K884" s="14"/>
    </row>
    <row r="885" spans="2:11" ht="12.3" x14ac:dyDescent="0.4">
      <c r="B885" s="15"/>
      <c r="D885" s="15"/>
      <c r="E885" s="13"/>
      <c r="F885" s="15"/>
      <c r="G885" s="14"/>
      <c r="H885" s="15"/>
      <c r="I885" s="14"/>
      <c r="J885" s="15"/>
      <c r="K885" s="14"/>
    </row>
    <row r="886" spans="2:11" ht="12.3" x14ac:dyDescent="0.4">
      <c r="B886" s="15"/>
      <c r="D886" s="15"/>
      <c r="E886" s="13"/>
      <c r="F886" s="15"/>
      <c r="G886" s="14"/>
      <c r="H886" s="15"/>
      <c r="I886" s="14"/>
      <c r="J886" s="15"/>
      <c r="K886" s="14"/>
    </row>
    <row r="887" spans="2:11" ht="12.3" x14ac:dyDescent="0.4">
      <c r="B887" s="15"/>
      <c r="D887" s="15"/>
      <c r="E887" s="13"/>
      <c r="F887" s="15"/>
      <c r="G887" s="14"/>
      <c r="H887" s="15"/>
      <c r="I887" s="14"/>
      <c r="J887" s="15"/>
      <c r="K887" s="14"/>
    </row>
    <row r="888" spans="2:11" ht="12.3" x14ac:dyDescent="0.4">
      <c r="B888" s="15"/>
      <c r="D888" s="15"/>
      <c r="E888" s="13"/>
      <c r="F888" s="15"/>
      <c r="G888" s="14"/>
      <c r="H888" s="15"/>
      <c r="I888" s="14"/>
      <c r="J888" s="15"/>
      <c r="K888" s="14"/>
    </row>
    <row r="889" spans="2:11" ht="12.3" x14ac:dyDescent="0.4">
      <c r="B889" s="15"/>
      <c r="D889" s="15"/>
      <c r="E889" s="13"/>
      <c r="F889" s="15"/>
      <c r="G889" s="14"/>
      <c r="H889" s="15"/>
      <c r="I889" s="14"/>
      <c r="J889" s="15"/>
      <c r="K889" s="14"/>
    </row>
    <row r="890" spans="2:11" ht="12.3" x14ac:dyDescent="0.4">
      <c r="B890" s="15"/>
      <c r="D890" s="15"/>
      <c r="E890" s="13"/>
      <c r="F890" s="15"/>
      <c r="G890" s="14"/>
      <c r="H890" s="15"/>
      <c r="I890" s="14"/>
      <c r="J890" s="15"/>
      <c r="K890" s="14"/>
    </row>
    <row r="891" spans="2:11" ht="12.3" x14ac:dyDescent="0.4">
      <c r="B891" s="15"/>
      <c r="D891" s="15"/>
      <c r="E891" s="13"/>
      <c r="F891" s="15"/>
      <c r="G891" s="14"/>
      <c r="H891" s="15"/>
      <c r="I891" s="14"/>
      <c r="J891" s="15"/>
      <c r="K891" s="14"/>
    </row>
    <row r="892" spans="2:11" ht="12.3" x14ac:dyDescent="0.4">
      <c r="B892" s="15"/>
      <c r="D892" s="15"/>
      <c r="E892" s="13"/>
      <c r="F892" s="15"/>
      <c r="G892" s="14"/>
      <c r="H892" s="15"/>
      <c r="I892" s="14"/>
      <c r="J892" s="15"/>
      <c r="K892" s="14"/>
    </row>
    <row r="893" spans="2:11" ht="12.3" x14ac:dyDescent="0.4">
      <c r="B893" s="15"/>
      <c r="D893" s="15"/>
      <c r="E893" s="13"/>
      <c r="F893" s="15"/>
      <c r="G893" s="14"/>
      <c r="H893" s="15"/>
      <c r="I893" s="14"/>
      <c r="J893" s="15"/>
      <c r="K893" s="14"/>
    </row>
    <row r="894" spans="2:11" ht="12.3" x14ac:dyDescent="0.4">
      <c r="B894" s="15"/>
      <c r="D894" s="15"/>
      <c r="E894" s="13"/>
      <c r="F894" s="15"/>
      <c r="G894" s="14"/>
      <c r="H894" s="15"/>
      <c r="I894" s="14"/>
      <c r="J894" s="15"/>
      <c r="K894" s="14"/>
    </row>
    <row r="895" spans="2:11" ht="12.3" x14ac:dyDescent="0.4">
      <c r="B895" s="15"/>
      <c r="D895" s="15"/>
      <c r="E895" s="13"/>
      <c r="F895" s="15"/>
      <c r="G895" s="14"/>
      <c r="H895" s="15"/>
      <c r="I895" s="14"/>
      <c r="J895" s="15"/>
      <c r="K895" s="14"/>
    </row>
    <row r="896" spans="2:11" ht="12.3" x14ac:dyDescent="0.4">
      <c r="B896" s="15"/>
      <c r="D896" s="15"/>
      <c r="E896" s="13"/>
      <c r="F896" s="15"/>
      <c r="G896" s="14"/>
      <c r="H896" s="15"/>
      <c r="I896" s="14"/>
      <c r="J896" s="15"/>
      <c r="K896" s="14"/>
    </row>
    <row r="897" spans="2:11" ht="12.3" x14ac:dyDescent="0.4">
      <c r="B897" s="15"/>
      <c r="D897" s="15"/>
      <c r="E897" s="13"/>
      <c r="F897" s="15"/>
      <c r="G897" s="14"/>
      <c r="H897" s="15"/>
      <c r="I897" s="14"/>
      <c r="J897" s="15"/>
      <c r="K897" s="14"/>
    </row>
    <row r="898" spans="2:11" ht="12.3" x14ac:dyDescent="0.4">
      <c r="B898" s="15"/>
      <c r="D898" s="15"/>
      <c r="E898" s="13"/>
      <c r="F898" s="15"/>
      <c r="G898" s="14"/>
      <c r="H898" s="15"/>
      <c r="I898" s="14"/>
      <c r="J898" s="15"/>
      <c r="K898" s="14"/>
    </row>
    <row r="899" spans="2:11" ht="12.3" x14ac:dyDescent="0.4">
      <c r="B899" s="15"/>
      <c r="D899" s="15"/>
      <c r="E899" s="13"/>
      <c r="F899" s="15"/>
      <c r="G899" s="14"/>
      <c r="H899" s="15"/>
      <c r="I899" s="14"/>
      <c r="J899" s="15"/>
      <c r="K899" s="14"/>
    </row>
    <row r="900" spans="2:11" ht="12.3" x14ac:dyDescent="0.4">
      <c r="B900" s="15"/>
      <c r="D900" s="15"/>
      <c r="E900" s="13"/>
      <c r="F900" s="15"/>
      <c r="G900" s="14"/>
      <c r="H900" s="15"/>
      <c r="I900" s="14"/>
      <c r="J900" s="15"/>
      <c r="K900" s="14"/>
    </row>
    <row r="901" spans="2:11" ht="12.3" x14ac:dyDescent="0.4">
      <c r="B901" s="15"/>
      <c r="D901" s="15"/>
      <c r="E901" s="13"/>
      <c r="F901" s="15"/>
      <c r="G901" s="14"/>
      <c r="H901" s="15"/>
      <c r="I901" s="14"/>
      <c r="J901" s="15"/>
      <c r="K901" s="14"/>
    </row>
    <row r="902" spans="2:11" ht="12.3" x14ac:dyDescent="0.4">
      <c r="B902" s="15"/>
      <c r="D902" s="15"/>
      <c r="E902" s="13"/>
      <c r="F902" s="15"/>
      <c r="G902" s="14"/>
      <c r="H902" s="15"/>
      <c r="I902" s="14"/>
      <c r="J902" s="15"/>
      <c r="K902" s="14"/>
    </row>
    <row r="903" spans="2:11" ht="12.3" x14ac:dyDescent="0.4">
      <c r="B903" s="15"/>
      <c r="D903" s="15"/>
      <c r="E903" s="13"/>
      <c r="F903" s="15"/>
      <c r="G903" s="14"/>
      <c r="H903" s="15"/>
      <c r="I903" s="14"/>
      <c r="J903" s="15"/>
      <c r="K903" s="14"/>
    </row>
    <row r="904" spans="2:11" ht="12.3" x14ac:dyDescent="0.4">
      <c r="B904" s="15"/>
      <c r="D904" s="15"/>
      <c r="E904" s="13"/>
      <c r="F904" s="15"/>
      <c r="G904" s="14"/>
      <c r="H904" s="15"/>
      <c r="I904" s="14"/>
      <c r="J904" s="15"/>
      <c r="K904" s="14"/>
    </row>
    <row r="905" spans="2:11" ht="12.3" x14ac:dyDescent="0.4">
      <c r="B905" s="15"/>
      <c r="D905" s="15"/>
      <c r="E905" s="13"/>
      <c r="F905" s="15"/>
      <c r="G905" s="14"/>
      <c r="H905" s="15"/>
      <c r="I905" s="14"/>
      <c r="J905" s="15"/>
      <c r="K905" s="14"/>
    </row>
    <row r="906" spans="2:11" ht="12.3" x14ac:dyDescent="0.4">
      <c r="B906" s="15"/>
      <c r="D906" s="15"/>
      <c r="E906" s="13"/>
      <c r="F906" s="15"/>
      <c r="G906" s="14"/>
      <c r="H906" s="15"/>
      <c r="I906" s="14"/>
      <c r="J906" s="15"/>
      <c r="K906" s="14"/>
    </row>
    <row r="907" spans="2:11" ht="12.3" x14ac:dyDescent="0.4">
      <c r="B907" s="15"/>
      <c r="D907" s="15"/>
      <c r="E907" s="13"/>
      <c r="F907" s="15"/>
      <c r="G907" s="14"/>
      <c r="H907" s="15"/>
      <c r="I907" s="14"/>
      <c r="J907" s="15"/>
      <c r="K907" s="14"/>
    </row>
    <row r="908" spans="2:11" ht="12.3" x14ac:dyDescent="0.4">
      <c r="B908" s="15"/>
      <c r="D908" s="15"/>
      <c r="E908" s="13"/>
      <c r="F908" s="15"/>
      <c r="G908" s="14"/>
      <c r="H908" s="15"/>
      <c r="I908" s="14"/>
      <c r="J908" s="15"/>
      <c r="K908" s="14"/>
    </row>
    <row r="909" spans="2:11" ht="12.3" x14ac:dyDescent="0.4">
      <c r="B909" s="15"/>
      <c r="D909" s="15"/>
      <c r="E909" s="13"/>
      <c r="F909" s="15"/>
      <c r="G909" s="14"/>
      <c r="H909" s="15"/>
      <c r="I909" s="14"/>
      <c r="J909" s="15"/>
      <c r="K909" s="14"/>
    </row>
    <row r="910" spans="2:11" ht="12.3" x14ac:dyDescent="0.4">
      <c r="B910" s="15"/>
      <c r="D910" s="15"/>
      <c r="E910" s="13"/>
      <c r="F910" s="15"/>
      <c r="G910" s="14"/>
      <c r="H910" s="15"/>
      <c r="I910" s="14"/>
      <c r="J910" s="15"/>
      <c r="K910" s="14"/>
    </row>
    <row r="911" spans="2:11" ht="12.3" x14ac:dyDescent="0.4">
      <c r="B911" s="15"/>
      <c r="D911" s="15"/>
      <c r="E911" s="13"/>
      <c r="F911" s="15"/>
      <c r="G911" s="14"/>
      <c r="H911" s="15"/>
      <c r="I911" s="14"/>
      <c r="J911" s="15"/>
      <c r="K911" s="14"/>
    </row>
    <row r="912" spans="2:11" ht="12.3" x14ac:dyDescent="0.4">
      <c r="B912" s="15"/>
      <c r="D912" s="15"/>
      <c r="E912" s="13"/>
      <c r="F912" s="15"/>
      <c r="G912" s="14"/>
      <c r="H912" s="15"/>
      <c r="I912" s="14"/>
      <c r="J912" s="15"/>
      <c r="K912" s="14"/>
    </row>
    <row r="913" spans="2:11" ht="12.3" x14ac:dyDescent="0.4">
      <c r="B913" s="15"/>
      <c r="D913" s="15"/>
      <c r="E913" s="13"/>
      <c r="F913" s="15"/>
      <c r="G913" s="14"/>
      <c r="H913" s="15"/>
      <c r="I913" s="14"/>
      <c r="J913" s="15"/>
      <c r="K913" s="14"/>
    </row>
    <row r="914" spans="2:11" ht="12.3" x14ac:dyDescent="0.4">
      <c r="B914" s="15"/>
      <c r="D914" s="15"/>
      <c r="E914" s="13"/>
      <c r="F914" s="15"/>
      <c r="G914" s="14"/>
      <c r="H914" s="15"/>
      <c r="I914" s="14"/>
      <c r="J914" s="15"/>
      <c r="K914" s="14"/>
    </row>
    <row r="915" spans="2:11" ht="12.3" x14ac:dyDescent="0.4">
      <c r="B915" s="15"/>
      <c r="D915" s="15"/>
      <c r="E915" s="13"/>
      <c r="F915" s="15"/>
      <c r="G915" s="14"/>
      <c r="H915" s="15"/>
      <c r="I915" s="14"/>
      <c r="J915" s="15"/>
      <c r="K915" s="14"/>
    </row>
    <row r="916" spans="2:11" ht="12.3" x14ac:dyDescent="0.4">
      <c r="B916" s="15"/>
      <c r="D916" s="15"/>
      <c r="E916" s="13"/>
      <c r="F916" s="15"/>
      <c r="G916" s="14"/>
      <c r="H916" s="15"/>
      <c r="I916" s="14"/>
      <c r="J916" s="15"/>
      <c r="K916" s="14"/>
    </row>
    <row r="917" spans="2:11" ht="12.3" x14ac:dyDescent="0.4">
      <c r="B917" s="15"/>
      <c r="D917" s="15"/>
      <c r="E917" s="13"/>
      <c r="F917" s="15"/>
      <c r="G917" s="14"/>
      <c r="H917" s="15"/>
      <c r="I917" s="14"/>
      <c r="J917" s="15"/>
      <c r="K917" s="14"/>
    </row>
    <row r="918" spans="2:11" ht="12.3" x14ac:dyDescent="0.4">
      <c r="B918" s="15"/>
      <c r="D918" s="15"/>
      <c r="E918" s="13"/>
      <c r="F918" s="15"/>
      <c r="G918" s="14"/>
      <c r="H918" s="15"/>
      <c r="I918" s="14"/>
      <c r="J918" s="15"/>
      <c r="K918" s="14"/>
    </row>
    <row r="919" spans="2:11" ht="12.3" x14ac:dyDescent="0.4">
      <c r="B919" s="15"/>
      <c r="D919" s="15"/>
      <c r="E919" s="13"/>
      <c r="F919" s="15"/>
      <c r="G919" s="14"/>
      <c r="H919" s="15"/>
      <c r="I919" s="14"/>
      <c r="J919" s="15"/>
      <c r="K919" s="14"/>
    </row>
    <row r="920" spans="2:11" ht="12.3" x14ac:dyDescent="0.4">
      <c r="B920" s="15"/>
      <c r="D920" s="15"/>
      <c r="E920" s="13"/>
      <c r="F920" s="15"/>
      <c r="G920" s="14"/>
      <c r="H920" s="15"/>
      <c r="I920" s="14"/>
      <c r="J920" s="15"/>
      <c r="K920" s="14"/>
    </row>
    <row r="921" spans="2:11" ht="12.3" x14ac:dyDescent="0.4">
      <c r="B921" s="15"/>
      <c r="D921" s="15"/>
      <c r="E921" s="13"/>
      <c r="F921" s="15"/>
      <c r="G921" s="14"/>
      <c r="H921" s="15"/>
      <c r="I921" s="14"/>
      <c r="J921" s="15"/>
      <c r="K921" s="14"/>
    </row>
    <row r="922" spans="2:11" ht="12.3" x14ac:dyDescent="0.4">
      <c r="B922" s="15"/>
      <c r="D922" s="15"/>
      <c r="E922" s="13"/>
      <c r="F922" s="15"/>
      <c r="G922" s="14"/>
      <c r="H922" s="15"/>
      <c r="I922" s="14"/>
      <c r="J922" s="15"/>
      <c r="K922" s="14"/>
    </row>
    <row r="923" spans="2:11" ht="12.3" x14ac:dyDescent="0.4">
      <c r="B923" s="15"/>
      <c r="D923" s="15"/>
      <c r="E923" s="13"/>
      <c r="F923" s="15"/>
      <c r="G923" s="14"/>
      <c r="H923" s="15"/>
      <c r="I923" s="14"/>
      <c r="J923" s="15"/>
      <c r="K923" s="14"/>
    </row>
    <row r="924" spans="2:11" ht="12.3" x14ac:dyDescent="0.4">
      <c r="B924" s="15"/>
      <c r="D924" s="15"/>
      <c r="E924" s="13"/>
      <c r="F924" s="15"/>
      <c r="G924" s="14"/>
      <c r="H924" s="15"/>
      <c r="I924" s="14"/>
      <c r="J924" s="15"/>
      <c r="K924" s="14"/>
    </row>
    <row r="925" spans="2:11" ht="12.3" x14ac:dyDescent="0.4">
      <c r="B925" s="15"/>
      <c r="D925" s="15"/>
      <c r="E925" s="13"/>
      <c r="F925" s="15"/>
      <c r="G925" s="14"/>
      <c r="H925" s="15"/>
      <c r="I925" s="14"/>
      <c r="J925" s="15"/>
      <c r="K925" s="14"/>
    </row>
    <row r="926" spans="2:11" ht="12.3" x14ac:dyDescent="0.4">
      <c r="B926" s="15"/>
      <c r="D926" s="15"/>
      <c r="E926" s="13"/>
      <c r="F926" s="15"/>
      <c r="G926" s="14"/>
      <c r="H926" s="15"/>
      <c r="I926" s="14"/>
      <c r="J926" s="15"/>
      <c r="K926" s="14"/>
    </row>
    <row r="927" spans="2:11" ht="12.3" x14ac:dyDescent="0.4">
      <c r="B927" s="15"/>
      <c r="D927" s="15"/>
      <c r="E927" s="13"/>
      <c r="F927" s="15"/>
      <c r="G927" s="14"/>
      <c r="H927" s="15"/>
      <c r="I927" s="14"/>
      <c r="J927" s="15"/>
      <c r="K927" s="14"/>
    </row>
    <row r="928" spans="2:11" ht="12.3" x14ac:dyDescent="0.4">
      <c r="B928" s="15"/>
      <c r="D928" s="15"/>
      <c r="E928" s="13"/>
      <c r="F928" s="15"/>
      <c r="G928" s="14"/>
      <c r="H928" s="15"/>
      <c r="I928" s="14"/>
      <c r="J928" s="15"/>
      <c r="K928" s="14"/>
    </row>
    <row r="929" spans="2:11" ht="12.3" x14ac:dyDescent="0.4">
      <c r="B929" s="15"/>
      <c r="D929" s="15"/>
      <c r="E929" s="13"/>
      <c r="F929" s="15"/>
      <c r="G929" s="14"/>
      <c r="H929" s="15"/>
      <c r="I929" s="14"/>
      <c r="J929" s="15"/>
      <c r="K929" s="14"/>
    </row>
    <row r="930" spans="2:11" ht="12.3" x14ac:dyDescent="0.4">
      <c r="B930" s="15"/>
      <c r="D930" s="15"/>
      <c r="E930" s="13"/>
      <c r="F930" s="15"/>
      <c r="G930" s="14"/>
      <c r="H930" s="15"/>
      <c r="I930" s="14"/>
      <c r="J930" s="15"/>
      <c r="K930" s="14"/>
    </row>
    <row r="931" spans="2:11" ht="12.3" x14ac:dyDescent="0.4">
      <c r="B931" s="15"/>
      <c r="D931" s="15"/>
      <c r="E931" s="13"/>
      <c r="F931" s="15"/>
      <c r="G931" s="14"/>
      <c r="H931" s="15"/>
      <c r="I931" s="14"/>
      <c r="J931" s="15"/>
      <c r="K931" s="14"/>
    </row>
    <row r="932" spans="2:11" ht="12.3" x14ac:dyDescent="0.4">
      <c r="B932" s="15"/>
      <c r="D932" s="15"/>
      <c r="E932" s="13"/>
      <c r="F932" s="15"/>
      <c r="G932" s="14"/>
      <c r="H932" s="15"/>
      <c r="I932" s="14"/>
      <c r="J932" s="15"/>
      <c r="K932" s="14"/>
    </row>
    <row r="933" spans="2:11" ht="12.3" x14ac:dyDescent="0.4">
      <c r="B933" s="15"/>
      <c r="D933" s="15"/>
      <c r="E933" s="13"/>
      <c r="F933" s="15"/>
      <c r="G933" s="14"/>
      <c r="H933" s="15"/>
      <c r="I933" s="14"/>
      <c r="J933" s="15"/>
      <c r="K933" s="14"/>
    </row>
    <row r="934" spans="2:11" ht="12.3" x14ac:dyDescent="0.4">
      <c r="B934" s="15"/>
      <c r="D934" s="15"/>
      <c r="E934" s="13"/>
      <c r="F934" s="15"/>
      <c r="G934" s="14"/>
      <c r="H934" s="15"/>
      <c r="I934" s="14"/>
      <c r="J934" s="15"/>
      <c r="K934" s="14"/>
    </row>
    <row r="935" spans="2:11" ht="12.3" x14ac:dyDescent="0.4">
      <c r="B935" s="15"/>
      <c r="D935" s="15"/>
      <c r="E935" s="13"/>
      <c r="F935" s="15"/>
      <c r="G935" s="14"/>
      <c r="H935" s="15"/>
      <c r="I935" s="14"/>
      <c r="J935" s="15"/>
      <c r="K935" s="14"/>
    </row>
    <row r="936" spans="2:11" ht="12.3" x14ac:dyDescent="0.4">
      <c r="B936" s="15"/>
      <c r="D936" s="15"/>
      <c r="E936" s="13"/>
      <c r="F936" s="15"/>
      <c r="G936" s="14"/>
      <c r="H936" s="15"/>
      <c r="I936" s="14"/>
      <c r="J936" s="15"/>
      <c r="K936" s="14"/>
    </row>
    <row r="937" spans="2:11" ht="12.3" x14ac:dyDescent="0.4">
      <c r="B937" s="15"/>
      <c r="D937" s="15"/>
      <c r="E937" s="13"/>
      <c r="F937" s="15"/>
      <c r="G937" s="14"/>
      <c r="H937" s="15"/>
      <c r="I937" s="14"/>
      <c r="J937" s="15"/>
      <c r="K937" s="14"/>
    </row>
    <row r="938" spans="2:11" ht="12.3" x14ac:dyDescent="0.4">
      <c r="B938" s="15"/>
      <c r="D938" s="15"/>
      <c r="E938" s="13"/>
      <c r="F938" s="15"/>
      <c r="G938" s="14"/>
      <c r="H938" s="15"/>
      <c r="I938" s="14"/>
      <c r="J938" s="15"/>
      <c r="K938" s="14"/>
    </row>
    <row r="939" spans="2:11" ht="12.3" x14ac:dyDescent="0.4">
      <c r="B939" s="15"/>
      <c r="D939" s="15"/>
      <c r="E939" s="13"/>
      <c r="F939" s="15"/>
      <c r="G939" s="14"/>
      <c r="H939" s="15"/>
      <c r="I939" s="14"/>
      <c r="J939" s="15"/>
      <c r="K939" s="14"/>
    </row>
    <row r="940" spans="2:11" ht="12.3" x14ac:dyDescent="0.4">
      <c r="B940" s="15"/>
      <c r="D940" s="15"/>
      <c r="E940" s="13"/>
      <c r="F940" s="15"/>
      <c r="G940" s="14"/>
      <c r="H940" s="15"/>
      <c r="I940" s="14"/>
      <c r="J940" s="15"/>
      <c r="K940" s="14"/>
    </row>
    <row r="941" spans="2:11" ht="12.3" x14ac:dyDescent="0.4">
      <c r="B941" s="15"/>
      <c r="D941" s="15"/>
      <c r="E941" s="13"/>
      <c r="F941" s="15"/>
      <c r="G941" s="14"/>
      <c r="H941" s="15"/>
      <c r="I941" s="14"/>
      <c r="J941" s="15"/>
      <c r="K941" s="14"/>
    </row>
    <row r="942" spans="2:11" ht="12.3" x14ac:dyDescent="0.4">
      <c r="B942" s="15"/>
      <c r="D942" s="15"/>
      <c r="E942" s="13"/>
      <c r="F942" s="15"/>
      <c r="G942" s="14"/>
      <c r="H942" s="15"/>
      <c r="I942" s="14"/>
      <c r="J942" s="15"/>
      <c r="K942" s="14"/>
    </row>
    <row r="943" spans="2:11" ht="12.3" x14ac:dyDescent="0.4">
      <c r="B943" s="15"/>
      <c r="D943" s="15"/>
      <c r="E943" s="13"/>
      <c r="F943" s="15"/>
      <c r="G943" s="14"/>
      <c r="H943" s="15"/>
      <c r="I943" s="14"/>
      <c r="J943" s="15"/>
      <c r="K943" s="14"/>
    </row>
    <row r="944" spans="2:11" ht="12.3" x14ac:dyDescent="0.4">
      <c r="B944" s="15"/>
      <c r="D944" s="15"/>
      <c r="E944" s="13"/>
      <c r="F944" s="15"/>
      <c r="G944" s="14"/>
      <c r="H944" s="15"/>
      <c r="I944" s="14"/>
      <c r="J944" s="15"/>
      <c r="K944" s="14"/>
    </row>
    <row r="945" spans="2:11" ht="12.3" x14ac:dyDescent="0.4">
      <c r="B945" s="15"/>
      <c r="D945" s="15"/>
      <c r="E945" s="13"/>
      <c r="F945" s="15"/>
      <c r="G945" s="14"/>
      <c r="H945" s="15"/>
      <c r="I945" s="14"/>
      <c r="J945" s="15"/>
      <c r="K945" s="14"/>
    </row>
    <row r="946" spans="2:11" ht="12.3" x14ac:dyDescent="0.4">
      <c r="B946" s="15"/>
      <c r="D946" s="15"/>
      <c r="E946" s="13"/>
      <c r="F946" s="15"/>
      <c r="G946" s="14"/>
      <c r="H946" s="15"/>
      <c r="I946" s="14"/>
      <c r="J946" s="15"/>
      <c r="K946" s="14"/>
    </row>
    <row r="947" spans="2:11" ht="12.3" x14ac:dyDescent="0.4">
      <c r="B947" s="15"/>
      <c r="D947" s="15"/>
      <c r="E947" s="13"/>
      <c r="F947" s="15"/>
      <c r="G947" s="14"/>
      <c r="H947" s="15"/>
      <c r="I947" s="14"/>
      <c r="J947" s="15"/>
      <c r="K947" s="14"/>
    </row>
    <row r="948" spans="2:11" ht="12.3" x14ac:dyDescent="0.4">
      <c r="B948" s="15"/>
      <c r="D948" s="15"/>
      <c r="E948" s="13"/>
      <c r="F948" s="15"/>
      <c r="G948" s="14"/>
      <c r="H948" s="15"/>
      <c r="I948" s="14"/>
      <c r="J948" s="15"/>
      <c r="K948" s="14"/>
    </row>
    <row r="949" spans="2:11" ht="12.3" x14ac:dyDescent="0.4">
      <c r="B949" s="15"/>
      <c r="D949" s="15"/>
      <c r="E949" s="13"/>
      <c r="F949" s="15"/>
      <c r="G949" s="14"/>
      <c r="H949" s="15"/>
      <c r="I949" s="14"/>
      <c r="J949" s="15"/>
      <c r="K949" s="14"/>
    </row>
    <row r="950" spans="2:11" ht="12.3" x14ac:dyDescent="0.4">
      <c r="B950" s="15"/>
      <c r="D950" s="15"/>
      <c r="E950" s="13"/>
      <c r="F950" s="15"/>
      <c r="G950" s="14"/>
      <c r="H950" s="15"/>
      <c r="I950" s="14"/>
      <c r="J950" s="15"/>
      <c r="K950" s="14"/>
    </row>
    <row r="951" spans="2:11" ht="12.3" x14ac:dyDescent="0.4">
      <c r="B951" s="15"/>
      <c r="D951" s="15"/>
      <c r="E951" s="13"/>
      <c r="F951" s="15"/>
      <c r="G951" s="14"/>
      <c r="H951" s="15"/>
      <c r="I951" s="14"/>
      <c r="J951" s="15"/>
      <c r="K951" s="14"/>
    </row>
    <row r="952" spans="2:11" ht="12.3" x14ac:dyDescent="0.4">
      <c r="B952" s="15"/>
      <c r="D952" s="15"/>
      <c r="E952" s="13"/>
      <c r="F952" s="15"/>
      <c r="G952" s="14"/>
      <c r="H952" s="15"/>
      <c r="I952" s="14"/>
      <c r="J952" s="15"/>
      <c r="K952" s="14"/>
    </row>
    <row r="953" spans="2:11" ht="12.3" x14ac:dyDescent="0.4">
      <c r="B953" s="15"/>
      <c r="D953" s="15"/>
      <c r="E953" s="13"/>
      <c r="F953" s="15"/>
      <c r="G953" s="14"/>
      <c r="H953" s="15"/>
      <c r="I953" s="14"/>
      <c r="J953" s="15"/>
      <c r="K953" s="14"/>
    </row>
    <row r="954" spans="2:11" ht="12.3" x14ac:dyDescent="0.4">
      <c r="B954" s="15"/>
      <c r="D954" s="15"/>
      <c r="E954" s="13"/>
      <c r="F954" s="15"/>
      <c r="G954" s="14"/>
      <c r="H954" s="15"/>
      <c r="I954" s="14"/>
      <c r="J954" s="15"/>
      <c r="K954" s="14"/>
    </row>
    <row r="955" spans="2:11" ht="12.3" x14ac:dyDescent="0.4">
      <c r="B955" s="15"/>
      <c r="D955" s="15"/>
      <c r="E955" s="13"/>
      <c r="F955" s="15"/>
      <c r="G955" s="14"/>
      <c r="H955" s="15"/>
      <c r="I955" s="14"/>
      <c r="J955" s="15"/>
      <c r="K955" s="14"/>
    </row>
    <row r="956" spans="2:11" ht="12.3" x14ac:dyDescent="0.4">
      <c r="B956" s="15"/>
      <c r="D956" s="15"/>
      <c r="E956" s="13"/>
      <c r="F956" s="15"/>
      <c r="G956" s="14"/>
      <c r="H956" s="15"/>
      <c r="I956" s="14"/>
      <c r="J956" s="15"/>
      <c r="K956" s="14"/>
    </row>
    <row r="957" spans="2:11" ht="12.3" x14ac:dyDescent="0.4">
      <c r="B957" s="15"/>
      <c r="D957" s="15"/>
      <c r="E957" s="13"/>
      <c r="F957" s="15"/>
      <c r="G957" s="14"/>
      <c r="H957" s="15"/>
      <c r="I957" s="14"/>
      <c r="J957" s="15"/>
      <c r="K957" s="14"/>
    </row>
    <row r="958" spans="2:11" ht="12.3" x14ac:dyDescent="0.4">
      <c r="B958" s="15"/>
      <c r="D958" s="15"/>
      <c r="E958" s="13"/>
      <c r="F958" s="15"/>
      <c r="G958" s="14"/>
      <c r="H958" s="15"/>
      <c r="I958" s="14"/>
      <c r="J958" s="15"/>
      <c r="K958" s="14"/>
    </row>
    <row r="959" spans="2:11" ht="12.3" x14ac:dyDescent="0.4">
      <c r="B959" s="15"/>
      <c r="D959" s="15"/>
      <c r="E959" s="13"/>
      <c r="F959" s="15"/>
      <c r="G959" s="14"/>
      <c r="H959" s="15"/>
      <c r="I959" s="14"/>
      <c r="J959" s="15"/>
      <c r="K959" s="14"/>
    </row>
    <row r="960" spans="2:11" ht="12.3" x14ac:dyDescent="0.4">
      <c r="B960" s="15"/>
      <c r="D960" s="15"/>
      <c r="E960" s="13"/>
      <c r="F960" s="15"/>
      <c r="G960" s="14"/>
      <c r="H960" s="15"/>
      <c r="I960" s="14"/>
      <c r="J960" s="15"/>
      <c r="K960" s="14"/>
    </row>
    <row r="961" spans="2:11" ht="12.3" x14ac:dyDescent="0.4">
      <c r="B961" s="15"/>
      <c r="D961" s="15"/>
      <c r="E961" s="13"/>
      <c r="F961" s="15"/>
      <c r="G961" s="14"/>
      <c r="H961" s="15"/>
      <c r="I961" s="14"/>
      <c r="J961" s="15"/>
      <c r="K961" s="14"/>
    </row>
    <row r="962" spans="2:11" ht="12.3" x14ac:dyDescent="0.4">
      <c r="B962" s="15"/>
      <c r="D962" s="15"/>
      <c r="E962" s="13"/>
      <c r="F962" s="15"/>
      <c r="G962" s="14"/>
      <c r="H962" s="15"/>
      <c r="I962" s="14"/>
      <c r="J962" s="15"/>
      <c r="K962" s="14"/>
    </row>
    <row r="963" spans="2:11" ht="12.3" x14ac:dyDescent="0.4">
      <c r="B963" s="15"/>
      <c r="D963" s="15"/>
      <c r="E963" s="13"/>
      <c r="F963" s="15"/>
      <c r="G963" s="14"/>
      <c r="H963" s="15"/>
      <c r="I963" s="14"/>
      <c r="J963" s="15"/>
      <c r="K963" s="14"/>
    </row>
    <row r="964" spans="2:11" ht="12.3" x14ac:dyDescent="0.4">
      <c r="B964" s="15"/>
      <c r="D964" s="15"/>
      <c r="E964" s="13"/>
      <c r="F964" s="15"/>
      <c r="G964" s="14"/>
      <c r="H964" s="15"/>
      <c r="I964" s="14"/>
      <c r="J964" s="15"/>
      <c r="K964" s="14"/>
    </row>
    <row r="965" spans="2:11" ht="12.3" x14ac:dyDescent="0.4">
      <c r="B965" s="15"/>
      <c r="D965" s="15"/>
      <c r="E965" s="13"/>
      <c r="F965" s="15"/>
      <c r="G965" s="14"/>
      <c r="H965" s="15"/>
      <c r="I965" s="14"/>
      <c r="J965" s="15"/>
      <c r="K965" s="14"/>
    </row>
    <row r="966" spans="2:11" ht="12.3" x14ac:dyDescent="0.4">
      <c r="B966" s="15"/>
      <c r="D966" s="15"/>
      <c r="E966" s="13"/>
      <c r="F966" s="15"/>
      <c r="G966" s="14"/>
      <c r="H966" s="15"/>
      <c r="I966" s="14"/>
      <c r="J966" s="15"/>
      <c r="K966" s="14"/>
    </row>
    <row r="967" spans="2:11" ht="12.3" x14ac:dyDescent="0.4">
      <c r="B967" s="15"/>
      <c r="D967" s="15"/>
      <c r="E967" s="13"/>
      <c r="F967" s="15"/>
      <c r="G967" s="14"/>
      <c r="H967" s="15"/>
      <c r="I967" s="14"/>
      <c r="J967" s="15"/>
      <c r="K967" s="14"/>
    </row>
    <row r="968" spans="2:11" ht="12.3" x14ac:dyDescent="0.4">
      <c r="B968" s="15"/>
      <c r="D968" s="15"/>
      <c r="E968" s="13"/>
      <c r="F968" s="15"/>
      <c r="G968" s="14"/>
      <c r="H968" s="15"/>
      <c r="I968" s="14"/>
      <c r="J968" s="15"/>
      <c r="K968" s="14"/>
    </row>
    <row r="969" spans="2:11" ht="12.3" x14ac:dyDescent="0.4">
      <c r="B969" s="15"/>
      <c r="D969" s="15"/>
      <c r="E969" s="13"/>
      <c r="F969" s="15"/>
      <c r="G969" s="14"/>
      <c r="H969" s="15"/>
      <c r="I969" s="14"/>
      <c r="J969" s="15"/>
      <c r="K969" s="14"/>
    </row>
    <row r="970" spans="2:11" ht="12.3" x14ac:dyDescent="0.4">
      <c r="B970" s="15"/>
      <c r="D970" s="15"/>
      <c r="E970" s="13"/>
      <c r="F970" s="15"/>
      <c r="G970" s="14"/>
      <c r="H970" s="15"/>
      <c r="I970" s="14"/>
      <c r="J970" s="15"/>
      <c r="K970" s="14"/>
    </row>
    <row r="971" spans="2:11" ht="12.3" x14ac:dyDescent="0.4">
      <c r="B971" s="15"/>
      <c r="D971" s="15"/>
      <c r="E971" s="13"/>
      <c r="F971" s="15"/>
      <c r="G971" s="14"/>
      <c r="H971" s="15"/>
      <c r="I971" s="14"/>
      <c r="J971" s="15"/>
      <c r="K971" s="14"/>
    </row>
    <row r="972" spans="2:11" ht="12.3" x14ac:dyDescent="0.4">
      <c r="B972" s="15"/>
      <c r="D972" s="15"/>
      <c r="E972" s="13"/>
      <c r="F972" s="15"/>
      <c r="G972" s="14"/>
      <c r="H972" s="15"/>
      <c r="I972" s="14"/>
      <c r="J972" s="15"/>
      <c r="K972" s="14"/>
    </row>
    <row r="973" spans="2:11" ht="12.3" x14ac:dyDescent="0.4">
      <c r="B973" s="15"/>
      <c r="D973" s="15"/>
      <c r="E973" s="13"/>
      <c r="F973" s="15"/>
      <c r="G973" s="14"/>
      <c r="H973" s="15"/>
      <c r="I973" s="14"/>
      <c r="J973" s="15"/>
      <c r="K973" s="14"/>
    </row>
    <row r="974" spans="2:11" ht="12.3" x14ac:dyDescent="0.4">
      <c r="B974" s="15"/>
      <c r="D974" s="15"/>
      <c r="E974" s="13"/>
      <c r="F974" s="15"/>
      <c r="G974" s="14"/>
      <c r="H974" s="15"/>
      <c r="I974" s="14"/>
      <c r="J974" s="15"/>
      <c r="K974" s="14"/>
    </row>
    <row r="975" spans="2:11" ht="12.3" x14ac:dyDescent="0.4">
      <c r="B975" s="15"/>
      <c r="D975" s="15"/>
      <c r="E975" s="13"/>
      <c r="F975" s="15"/>
      <c r="G975" s="14"/>
      <c r="H975" s="15"/>
      <c r="I975" s="14"/>
      <c r="J975" s="15"/>
      <c r="K975" s="14"/>
    </row>
    <row r="976" spans="2:11" ht="12.3" x14ac:dyDescent="0.4">
      <c r="B976" s="15"/>
      <c r="D976" s="15"/>
      <c r="E976" s="13"/>
      <c r="F976" s="15"/>
      <c r="G976" s="14"/>
      <c r="H976" s="15"/>
      <c r="I976" s="14"/>
      <c r="J976" s="15"/>
      <c r="K976" s="14"/>
    </row>
    <row r="977" spans="2:11" ht="12.3" x14ac:dyDescent="0.4">
      <c r="B977" s="15"/>
      <c r="D977" s="15"/>
      <c r="E977" s="13"/>
      <c r="F977" s="15"/>
      <c r="G977" s="14"/>
      <c r="H977" s="15"/>
      <c r="I977" s="14"/>
      <c r="J977" s="15"/>
      <c r="K977" s="14"/>
    </row>
    <row r="978" spans="2:11" ht="12.3" x14ac:dyDescent="0.4">
      <c r="B978" s="15"/>
      <c r="D978" s="15"/>
      <c r="E978" s="13"/>
      <c r="F978" s="15"/>
      <c r="G978" s="14"/>
      <c r="H978" s="15"/>
      <c r="I978" s="14"/>
      <c r="J978" s="15"/>
      <c r="K978" s="14"/>
    </row>
    <row r="979" spans="2:11" ht="12.3" x14ac:dyDescent="0.4">
      <c r="B979" s="15"/>
      <c r="D979" s="15"/>
      <c r="E979" s="13"/>
      <c r="F979" s="15"/>
      <c r="G979" s="14"/>
      <c r="H979" s="15"/>
      <c r="I979" s="14"/>
      <c r="J979" s="15"/>
      <c r="K979" s="14"/>
    </row>
    <row r="980" spans="2:11" ht="12.3" x14ac:dyDescent="0.4">
      <c r="B980" s="15"/>
      <c r="D980" s="15"/>
      <c r="E980" s="13"/>
      <c r="F980" s="15"/>
      <c r="G980" s="14"/>
      <c r="H980" s="15"/>
      <c r="I980" s="14"/>
      <c r="J980" s="15"/>
      <c r="K980" s="14"/>
    </row>
    <row r="981" spans="2:11" ht="12.3" x14ac:dyDescent="0.4">
      <c r="B981" s="15"/>
      <c r="D981" s="15"/>
      <c r="E981" s="13"/>
      <c r="F981" s="15"/>
      <c r="G981" s="14"/>
      <c r="H981" s="15"/>
      <c r="I981" s="14"/>
      <c r="J981" s="15"/>
      <c r="K981" s="14"/>
    </row>
    <row r="982" spans="2:11" ht="12.3" x14ac:dyDescent="0.4">
      <c r="B982" s="15"/>
      <c r="D982" s="15"/>
      <c r="E982" s="13"/>
      <c r="F982" s="15"/>
      <c r="G982" s="14"/>
      <c r="H982" s="15"/>
      <c r="I982" s="14"/>
      <c r="J982" s="15"/>
      <c r="K982" s="14"/>
    </row>
    <row r="983" spans="2:11" ht="12.3" x14ac:dyDescent="0.4">
      <c r="B983" s="15"/>
      <c r="D983" s="15"/>
      <c r="E983" s="13"/>
      <c r="F983" s="15"/>
      <c r="G983" s="14"/>
      <c r="H983" s="15"/>
      <c r="I983" s="14"/>
      <c r="J983" s="15"/>
      <c r="K983" s="14"/>
    </row>
    <row r="984" spans="2:11" ht="12.3" x14ac:dyDescent="0.4">
      <c r="B984" s="15"/>
      <c r="D984" s="15"/>
      <c r="E984" s="13"/>
      <c r="F984" s="15"/>
      <c r="G984" s="14"/>
      <c r="H984" s="15"/>
      <c r="I984" s="14"/>
      <c r="J984" s="15"/>
      <c r="K984" s="14"/>
    </row>
    <row r="985" spans="2:11" ht="12.3" x14ac:dyDescent="0.4">
      <c r="B985" s="15"/>
      <c r="D985" s="15"/>
      <c r="E985" s="13"/>
      <c r="F985" s="15"/>
      <c r="G985" s="14"/>
      <c r="H985" s="15"/>
      <c r="I985" s="14"/>
      <c r="J985" s="15"/>
      <c r="K985" s="14"/>
    </row>
    <row r="986" spans="2:11" ht="12.3" x14ac:dyDescent="0.4">
      <c r="B986" s="15"/>
      <c r="D986" s="15"/>
      <c r="E986" s="13"/>
      <c r="F986" s="15"/>
      <c r="G986" s="14"/>
      <c r="H986" s="15"/>
      <c r="I986" s="14"/>
      <c r="J986" s="15"/>
      <c r="K986" s="14"/>
    </row>
    <row r="987" spans="2:11" ht="12.3" x14ac:dyDescent="0.4">
      <c r="B987" s="15"/>
      <c r="D987" s="15"/>
      <c r="E987" s="13"/>
      <c r="F987" s="15"/>
      <c r="G987" s="14"/>
      <c r="H987" s="15"/>
      <c r="I987" s="14"/>
      <c r="J987" s="15"/>
      <c r="K987" s="14"/>
    </row>
    <row r="988" spans="2:11" ht="12.3" x14ac:dyDescent="0.4">
      <c r="B988" s="15"/>
      <c r="D988" s="15"/>
      <c r="E988" s="13"/>
      <c r="F988" s="15"/>
      <c r="G988" s="14"/>
      <c r="H988" s="15"/>
      <c r="I988" s="14"/>
      <c r="J988" s="15"/>
      <c r="K988" s="14"/>
    </row>
    <row r="989" spans="2:11" ht="12.3" x14ac:dyDescent="0.4">
      <c r="B989" s="15"/>
      <c r="D989" s="15"/>
      <c r="E989" s="13"/>
      <c r="F989" s="15"/>
      <c r="G989" s="14"/>
      <c r="H989" s="15"/>
      <c r="I989" s="14"/>
      <c r="J989" s="15"/>
      <c r="K989" s="14"/>
    </row>
    <row r="990" spans="2:11" ht="12.3" x14ac:dyDescent="0.4">
      <c r="B990" s="15"/>
      <c r="D990" s="15"/>
      <c r="E990" s="13"/>
      <c r="F990" s="15"/>
      <c r="G990" s="14"/>
      <c r="H990" s="15"/>
      <c r="I990" s="14"/>
      <c r="J990" s="15"/>
      <c r="K990" s="14"/>
    </row>
    <row r="991" spans="2:11" ht="12.3" x14ac:dyDescent="0.4">
      <c r="B991" s="15"/>
      <c r="D991" s="15"/>
      <c r="E991" s="13"/>
      <c r="F991" s="15"/>
      <c r="G991" s="14"/>
      <c r="H991" s="15"/>
      <c r="I991" s="14"/>
      <c r="J991" s="15"/>
      <c r="K991" s="14"/>
    </row>
    <row r="992" spans="2:11" ht="12.3" x14ac:dyDescent="0.4">
      <c r="B992" s="15"/>
      <c r="D992" s="15"/>
      <c r="E992" s="13"/>
      <c r="F992" s="15"/>
      <c r="G992" s="14"/>
      <c r="H992" s="15"/>
      <c r="I992" s="14"/>
      <c r="J992" s="15"/>
      <c r="K992" s="14"/>
    </row>
    <row r="993" spans="2:11" ht="12.3" x14ac:dyDescent="0.4">
      <c r="B993" s="15"/>
      <c r="D993" s="15"/>
      <c r="E993" s="13"/>
      <c r="F993" s="15"/>
      <c r="G993" s="14"/>
      <c r="H993" s="15"/>
      <c r="I993" s="14"/>
      <c r="J993" s="15"/>
      <c r="K993" s="14"/>
    </row>
    <row r="994" spans="2:11" ht="12.3" x14ac:dyDescent="0.4">
      <c r="B994" s="15"/>
      <c r="D994" s="15"/>
      <c r="E994" s="13"/>
      <c r="F994" s="15"/>
      <c r="G994" s="14"/>
      <c r="H994" s="15"/>
      <c r="I994" s="14"/>
      <c r="J994" s="15"/>
      <c r="K994" s="14"/>
    </row>
    <row r="995" spans="2:11" ht="12.3" x14ac:dyDescent="0.4">
      <c r="B995" s="15"/>
      <c r="D995" s="15"/>
      <c r="E995" s="13"/>
      <c r="F995" s="15"/>
      <c r="G995" s="14"/>
      <c r="H995" s="15"/>
      <c r="I995" s="14"/>
      <c r="J995" s="15"/>
      <c r="K995" s="14"/>
    </row>
    <row r="996" spans="2:11" ht="12.3" x14ac:dyDescent="0.4">
      <c r="B996" s="15"/>
      <c r="D996" s="15"/>
      <c r="E996" s="13"/>
      <c r="F996" s="15"/>
      <c r="G996" s="14"/>
      <c r="H996" s="15"/>
      <c r="I996" s="14"/>
      <c r="J996" s="15"/>
      <c r="K996" s="14"/>
    </row>
    <row r="997" spans="2:11" ht="12.3" x14ac:dyDescent="0.4">
      <c r="B997" s="15"/>
      <c r="D997" s="15"/>
      <c r="E997" s="13"/>
      <c r="F997" s="15"/>
      <c r="G997" s="14"/>
      <c r="H997" s="15"/>
      <c r="I997" s="14"/>
      <c r="J997" s="15"/>
      <c r="K997" s="14"/>
    </row>
    <row r="998" spans="2:11" ht="12.3" x14ac:dyDescent="0.4">
      <c r="B998" s="15"/>
      <c r="D998" s="15"/>
      <c r="E998" s="13"/>
      <c r="F998" s="15"/>
      <c r="G998" s="14"/>
      <c r="H998" s="15"/>
      <c r="I998" s="14"/>
      <c r="J998" s="15"/>
      <c r="K998" s="14"/>
    </row>
    <row r="999" spans="2:11" ht="12.3" x14ac:dyDescent="0.4">
      <c r="B999" s="15"/>
      <c r="D999" s="15"/>
      <c r="E999" s="13"/>
      <c r="F999" s="15"/>
      <c r="G999" s="14"/>
      <c r="H999" s="15"/>
      <c r="I999" s="14"/>
      <c r="J999" s="15"/>
      <c r="K999" s="14"/>
    </row>
    <row r="1000" spans="2:11" ht="12.3" x14ac:dyDescent="0.4">
      <c r="B1000" s="15"/>
      <c r="D1000" s="15"/>
      <c r="E1000" s="13"/>
      <c r="F1000" s="15"/>
      <c r="G1000" s="14"/>
      <c r="H1000" s="15"/>
      <c r="I1000" s="14"/>
      <c r="J1000" s="15"/>
      <c r="K1000" s="14"/>
    </row>
    <row r="1001" spans="2:11" ht="12.3" x14ac:dyDescent="0.4">
      <c r="B1001" s="15"/>
      <c r="D1001" s="15"/>
      <c r="E1001" s="13"/>
      <c r="F1001" s="15"/>
      <c r="G1001" s="14"/>
      <c r="H1001" s="15"/>
      <c r="I1001" s="14"/>
      <c r="J1001" s="15"/>
      <c r="K1001" s="14"/>
    </row>
    <row r="1002" spans="2:11" ht="12.3" x14ac:dyDescent="0.4">
      <c r="B1002" s="15"/>
      <c r="D1002" s="15"/>
      <c r="E1002" s="13"/>
      <c r="F1002" s="15"/>
      <c r="G1002" s="14"/>
      <c r="H1002" s="15"/>
      <c r="I1002" s="14"/>
      <c r="J1002" s="15"/>
      <c r="K1002" s="14"/>
    </row>
  </sheetData>
  <autoFilter ref="A1:L48" xr:uid="{00000000-0009-0000-0000-00001B000000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J68"/>
  <sheetViews>
    <sheetView workbookViewId="0"/>
  </sheetViews>
  <sheetFormatPr defaultColWidth="14.44140625" defaultRowHeight="15.75" customHeight="1" x14ac:dyDescent="0.4"/>
  <cols>
    <col min="1" max="1" width="17.71875" customWidth="1"/>
    <col min="2" max="2" width="3" customWidth="1"/>
    <col min="3" max="3" width="7.71875" customWidth="1"/>
    <col min="4" max="4" width="11.109375" customWidth="1"/>
    <col min="5" max="5" width="9.44140625" customWidth="1"/>
    <col min="6" max="6" width="13.83203125" customWidth="1"/>
    <col min="7" max="7" width="8.71875" customWidth="1"/>
    <col min="8" max="8" width="8" customWidth="1"/>
    <col min="9" max="9" width="8.71875" customWidth="1"/>
    <col min="10" max="10" width="10.71875" customWidth="1"/>
    <col min="11" max="11" width="8.71875" customWidth="1"/>
    <col min="12" max="12" width="7.83203125" customWidth="1"/>
    <col min="13" max="13" width="8.71875" customWidth="1"/>
    <col min="14" max="14" width="10.5546875" customWidth="1"/>
    <col min="15" max="15" width="8.71875" customWidth="1"/>
    <col min="16" max="16" width="11.109375" customWidth="1"/>
    <col min="17" max="17" width="6" customWidth="1"/>
    <col min="19" max="19" width="3.71875" customWidth="1"/>
    <col min="20" max="20" width="13" customWidth="1"/>
    <col min="21" max="21" width="3" customWidth="1"/>
    <col min="22" max="22" width="7.71875" customWidth="1"/>
    <col min="23" max="23" width="11.5546875" customWidth="1"/>
    <col min="24" max="24" width="10.109375" customWidth="1"/>
    <col min="25" max="25" width="14.5546875" customWidth="1"/>
    <col min="26" max="26" width="8.71875" customWidth="1"/>
    <col min="27" max="27" width="8.27734375" customWidth="1"/>
    <col min="28" max="28" width="8.71875" customWidth="1"/>
    <col min="29" max="29" width="11.27734375" customWidth="1"/>
    <col min="30" max="30" width="7.71875" customWidth="1"/>
    <col min="31" max="31" width="8.109375" customWidth="1"/>
    <col min="32" max="32" width="7.71875" customWidth="1"/>
    <col min="33" max="33" width="11.109375" customWidth="1"/>
    <col min="34" max="34" width="8.71875" customWidth="1"/>
    <col min="35" max="35" width="11.71875" customWidth="1"/>
    <col min="36" max="36" width="4.5546875" customWidth="1"/>
  </cols>
  <sheetData>
    <row r="1" spans="1:36" ht="15.75" customHeight="1" x14ac:dyDescent="0.4">
      <c r="A1" s="25" t="s">
        <v>1</v>
      </c>
      <c r="B1" s="25" t="s">
        <v>25</v>
      </c>
      <c r="C1" s="25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5" t="s">
        <v>14</v>
      </c>
      <c r="N1" s="25" t="s">
        <v>15</v>
      </c>
      <c r="O1" s="25" t="s">
        <v>16</v>
      </c>
      <c r="P1" s="25" t="s">
        <v>3</v>
      </c>
      <c r="Q1" s="10" t="s">
        <v>391</v>
      </c>
      <c r="S1" s="1" t="s">
        <v>416</v>
      </c>
    </row>
    <row r="2" spans="1:36" ht="15.75" customHeight="1" x14ac:dyDescent="0.4">
      <c r="A2" s="25" t="s">
        <v>45</v>
      </c>
      <c r="B2" s="25">
        <v>1</v>
      </c>
      <c r="C2" s="25">
        <v>63.865900000000003</v>
      </c>
      <c r="D2" s="25">
        <v>233</v>
      </c>
      <c r="E2" s="25">
        <v>63.442799999999998</v>
      </c>
      <c r="F2" s="25">
        <v>251</v>
      </c>
      <c r="G2" s="25">
        <v>115.89579999999999</v>
      </c>
      <c r="H2" s="25">
        <v>9</v>
      </c>
      <c r="I2" s="25">
        <v>119.72499999999999</v>
      </c>
      <c r="J2" s="25">
        <v>5</v>
      </c>
      <c r="K2" s="25">
        <v>83.647400000000005</v>
      </c>
      <c r="L2" s="25">
        <v>1</v>
      </c>
      <c r="M2" s="25">
        <v>85.8155</v>
      </c>
      <c r="N2" s="25">
        <v>2</v>
      </c>
      <c r="O2" s="25">
        <v>0.97874099999999997</v>
      </c>
      <c r="P2" s="25">
        <v>1</v>
      </c>
      <c r="Q2" s="14">
        <f t="shared" ref="Q2:Q63" si="0">I2-M2</f>
        <v>33.909499999999994</v>
      </c>
      <c r="S2" s="2"/>
      <c r="T2" s="1" t="s">
        <v>407</v>
      </c>
      <c r="U2" s="1" t="s">
        <v>25</v>
      </c>
      <c r="V2" s="1" t="s">
        <v>4</v>
      </c>
      <c r="W2" s="1" t="s">
        <v>5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3</v>
      </c>
      <c r="AJ2" s="1" t="s">
        <v>391</v>
      </c>
    </row>
    <row r="3" spans="1:36" ht="15.75" customHeight="1" x14ac:dyDescent="0.4">
      <c r="A3" s="25" t="s">
        <v>43</v>
      </c>
      <c r="B3" s="25">
        <v>2</v>
      </c>
      <c r="C3" s="25">
        <v>66.842799999999997</v>
      </c>
      <c r="D3" s="25">
        <v>79</v>
      </c>
      <c r="E3" s="25">
        <v>66.727699999999999</v>
      </c>
      <c r="F3" s="25">
        <v>78</v>
      </c>
      <c r="G3" s="25">
        <v>113.6254</v>
      </c>
      <c r="H3" s="25">
        <v>17</v>
      </c>
      <c r="I3" s="25">
        <v>116.0039</v>
      </c>
      <c r="J3" s="25">
        <v>11</v>
      </c>
      <c r="K3" s="25">
        <v>87.414000000000001</v>
      </c>
      <c r="L3" s="25">
        <v>4</v>
      </c>
      <c r="M3" s="25">
        <v>86.383099999999999</v>
      </c>
      <c r="N3" s="25">
        <v>3</v>
      </c>
      <c r="O3" s="25">
        <v>0.96740800000000005</v>
      </c>
      <c r="P3" s="25">
        <v>2</v>
      </c>
      <c r="Q3" s="14">
        <f t="shared" si="0"/>
        <v>29.620800000000003</v>
      </c>
      <c r="S3" s="27">
        <v>1</v>
      </c>
      <c r="T3" s="35" t="str">
        <f ca="1">IFERROR(__xludf.DUMMYFUNCTION("filter(A1:Q63,O1:O63&gt;='F4 clean'!E3,I1:I63&gt;='F4 clean'!G45,M1:M63&lt;=I46)"),"Kentucky")</f>
        <v>Kentucky</v>
      </c>
      <c r="U3" s="35">
        <f ca="1">IFERROR(__xludf.DUMMYFUNCTION("""COMPUTED_VALUE"""),1)</f>
        <v>1</v>
      </c>
      <c r="V3" s="35">
        <f ca="1">IFERROR(__xludf.DUMMYFUNCTION("""COMPUTED_VALUE"""),63.8659)</f>
        <v>63.865900000000003</v>
      </c>
      <c r="W3" s="35">
        <f ca="1">IFERROR(__xludf.DUMMYFUNCTION("""COMPUTED_VALUE"""),233)</f>
        <v>233</v>
      </c>
      <c r="X3" s="35">
        <f ca="1">IFERROR(__xludf.DUMMYFUNCTION("""COMPUTED_VALUE"""),63.4428)</f>
        <v>63.442799999999998</v>
      </c>
      <c r="Y3" s="35">
        <f ca="1">IFERROR(__xludf.DUMMYFUNCTION("""COMPUTED_VALUE"""),251)</f>
        <v>251</v>
      </c>
      <c r="Z3" s="35">
        <f ca="1">IFERROR(__xludf.DUMMYFUNCTION("""COMPUTED_VALUE"""),115.8958)</f>
        <v>115.89579999999999</v>
      </c>
      <c r="AA3" s="35">
        <f ca="1">IFERROR(__xludf.DUMMYFUNCTION("""COMPUTED_VALUE"""),9)</f>
        <v>9</v>
      </c>
      <c r="AB3" s="35">
        <f ca="1">IFERROR(__xludf.DUMMYFUNCTION("""COMPUTED_VALUE"""),119.725)</f>
        <v>119.72499999999999</v>
      </c>
      <c r="AC3" s="35">
        <f ca="1">IFERROR(__xludf.DUMMYFUNCTION("""COMPUTED_VALUE"""),5)</f>
        <v>5</v>
      </c>
      <c r="AD3" s="35">
        <f ca="1">IFERROR(__xludf.DUMMYFUNCTION("""COMPUTED_VALUE"""),83.6474)</f>
        <v>83.647400000000005</v>
      </c>
      <c r="AE3" s="27">
        <f ca="1">IFERROR(__xludf.DUMMYFUNCTION("""COMPUTED_VALUE"""),1)</f>
        <v>1</v>
      </c>
      <c r="AF3" s="27">
        <f ca="1">IFERROR(__xludf.DUMMYFUNCTION("""COMPUTED_VALUE"""),85.8155)</f>
        <v>85.8155</v>
      </c>
      <c r="AG3" s="27">
        <f ca="1">IFERROR(__xludf.DUMMYFUNCTION("""COMPUTED_VALUE"""),2)</f>
        <v>2</v>
      </c>
      <c r="AH3" s="27">
        <f ca="1">IFERROR(__xludf.DUMMYFUNCTION("""COMPUTED_VALUE"""),0.978741)</f>
        <v>0.97874099999999997</v>
      </c>
      <c r="AI3" s="27">
        <f ca="1">IFERROR(__xludf.DUMMYFUNCTION("""COMPUTED_VALUE"""),1)</f>
        <v>1</v>
      </c>
      <c r="AJ3" s="36">
        <f ca="1">IFERROR(__xludf.DUMMYFUNCTION("""COMPUTED_VALUE"""),33.9094999999999)</f>
        <v>33.909499999999902</v>
      </c>
    </row>
    <row r="4" spans="1:36" ht="15.75" customHeight="1" x14ac:dyDescent="0.4">
      <c r="A4" s="25" t="s">
        <v>76</v>
      </c>
      <c r="B4" s="25">
        <v>1</v>
      </c>
      <c r="C4" s="25">
        <v>59.265599999999999</v>
      </c>
      <c r="D4" s="25">
        <v>345</v>
      </c>
      <c r="E4" s="25">
        <v>58.743299999999998</v>
      </c>
      <c r="F4" s="25">
        <v>347</v>
      </c>
      <c r="G4" s="25">
        <v>120.4953</v>
      </c>
      <c r="H4" s="25">
        <v>3</v>
      </c>
      <c r="I4" s="25">
        <v>124.69499999999999</v>
      </c>
      <c r="J4" s="25">
        <v>1</v>
      </c>
      <c r="K4" s="25">
        <v>94.464600000000004</v>
      </c>
      <c r="L4" s="25">
        <v>27</v>
      </c>
      <c r="M4" s="25">
        <v>94.260499999999993</v>
      </c>
      <c r="N4" s="25">
        <v>30</v>
      </c>
      <c r="O4" s="25">
        <v>0.96149799999999996</v>
      </c>
      <c r="P4" s="25">
        <v>3</v>
      </c>
      <c r="Q4" s="14">
        <f t="shared" si="0"/>
        <v>30.4345</v>
      </c>
      <c r="S4" s="2">
        <f t="shared" ref="S4:S39" si="1">S3+1</f>
        <v>2</v>
      </c>
      <c r="T4" s="37" t="str">
        <f ca="1">IFERROR(__xludf.DUMMYFUNCTION("""COMPUTED_VALUE"""),"Arizona")</f>
        <v>Arizona</v>
      </c>
      <c r="U4" s="37">
        <f ca="1">IFERROR(__xludf.DUMMYFUNCTION("""COMPUTED_VALUE"""),2)</f>
        <v>2</v>
      </c>
      <c r="V4" s="37">
        <f ca="1">IFERROR(__xludf.DUMMYFUNCTION("""COMPUTED_VALUE"""),66.8428)</f>
        <v>66.842799999999997</v>
      </c>
      <c r="W4" s="37">
        <f ca="1">IFERROR(__xludf.DUMMYFUNCTION("""COMPUTED_VALUE"""),79)</f>
        <v>79</v>
      </c>
      <c r="X4" s="37">
        <f ca="1">IFERROR(__xludf.DUMMYFUNCTION("""COMPUTED_VALUE"""),66.7277)</f>
        <v>66.727699999999999</v>
      </c>
      <c r="Y4" s="37">
        <f ca="1">IFERROR(__xludf.DUMMYFUNCTION("""COMPUTED_VALUE"""),78)</f>
        <v>78</v>
      </c>
      <c r="Z4" s="37">
        <f ca="1">IFERROR(__xludf.DUMMYFUNCTION("""COMPUTED_VALUE"""),113.6254)</f>
        <v>113.6254</v>
      </c>
      <c r="AA4" s="37">
        <f ca="1">IFERROR(__xludf.DUMMYFUNCTION("""COMPUTED_VALUE"""),17)</f>
        <v>17</v>
      </c>
      <c r="AB4" s="37">
        <f ca="1">IFERROR(__xludf.DUMMYFUNCTION("""COMPUTED_VALUE"""),116.0039)</f>
        <v>116.0039</v>
      </c>
      <c r="AC4" s="37">
        <f ca="1">IFERROR(__xludf.DUMMYFUNCTION("""COMPUTED_VALUE"""),11)</f>
        <v>11</v>
      </c>
      <c r="AD4" s="37">
        <f ca="1">IFERROR(__xludf.DUMMYFUNCTION("""COMPUTED_VALUE"""),87.414)</f>
        <v>87.414000000000001</v>
      </c>
      <c r="AE4" s="2">
        <f ca="1">IFERROR(__xludf.DUMMYFUNCTION("""COMPUTED_VALUE"""),4)</f>
        <v>4</v>
      </c>
      <c r="AF4" s="2">
        <f ca="1">IFERROR(__xludf.DUMMYFUNCTION("""COMPUTED_VALUE"""),86.3831)</f>
        <v>86.383099999999999</v>
      </c>
      <c r="AG4" s="2">
        <f ca="1">IFERROR(__xludf.DUMMYFUNCTION("""COMPUTED_VALUE"""),3)</f>
        <v>3</v>
      </c>
      <c r="AH4" s="2">
        <f ca="1">IFERROR(__xludf.DUMMYFUNCTION("""COMPUTED_VALUE"""),0.967408)</f>
        <v>0.96740800000000005</v>
      </c>
      <c r="AI4" s="2">
        <f ca="1">IFERROR(__xludf.DUMMYFUNCTION("""COMPUTED_VALUE"""),2)</f>
        <v>2</v>
      </c>
      <c r="AJ4" s="10">
        <f ca="1">IFERROR(__xludf.DUMMYFUNCTION("""COMPUTED_VALUE"""),29.6208)</f>
        <v>29.620799999999999</v>
      </c>
    </row>
    <row r="5" spans="1:36" ht="15.75" customHeight="1" x14ac:dyDescent="0.4">
      <c r="A5" s="25" t="s">
        <v>87</v>
      </c>
      <c r="B5" s="25">
        <v>2</v>
      </c>
      <c r="C5" s="25">
        <v>58.496299999999998</v>
      </c>
      <c r="D5" s="25">
        <v>347</v>
      </c>
      <c r="E5" s="25">
        <v>58.158000000000001</v>
      </c>
      <c r="F5" s="25">
        <v>349</v>
      </c>
      <c r="G5" s="25">
        <v>110.6799</v>
      </c>
      <c r="H5" s="25">
        <v>31</v>
      </c>
      <c r="I5" s="25">
        <v>112.22499999999999</v>
      </c>
      <c r="J5" s="25">
        <v>27</v>
      </c>
      <c r="K5" s="25">
        <v>85.616200000000006</v>
      </c>
      <c r="L5" s="25">
        <v>2</v>
      </c>
      <c r="M5" s="25">
        <v>85.371399999999994</v>
      </c>
      <c r="N5" s="25">
        <v>1</v>
      </c>
      <c r="O5" s="25">
        <v>0.95871899999999999</v>
      </c>
      <c r="P5" s="25">
        <v>4</v>
      </c>
      <c r="Q5" s="14">
        <f t="shared" si="0"/>
        <v>26.8536</v>
      </c>
      <c r="S5" s="27">
        <f t="shared" si="1"/>
        <v>3</v>
      </c>
      <c r="T5" s="35" t="str">
        <f ca="1">IFERROR(__xludf.DUMMYFUNCTION("""COMPUTED_VALUE"""),"Wisconsin")</f>
        <v>Wisconsin</v>
      </c>
      <c r="U5" s="35">
        <f ca="1">IFERROR(__xludf.DUMMYFUNCTION("""COMPUTED_VALUE"""),1)</f>
        <v>1</v>
      </c>
      <c r="V5" s="35">
        <f ca="1">IFERROR(__xludf.DUMMYFUNCTION("""COMPUTED_VALUE"""),59.2656)</f>
        <v>59.265599999999999</v>
      </c>
      <c r="W5" s="35">
        <f ca="1">IFERROR(__xludf.DUMMYFUNCTION("""COMPUTED_VALUE"""),345)</f>
        <v>345</v>
      </c>
      <c r="X5" s="35">
        <f ca="1">IFERROR(__xludf.DUMMYFUNCTION("""COMPUTED_VALUE"""),58.7433)</f>
        <v>58.743299999999998</v>
      </c>
      <c r="Y5" s="35">
        <f ca="1">IFERROR(__xludf.DUMMYFUNCTION("""COMPUTED_VALUE"""),347)</f>
        <v>347</v>
      </c>
      <c r="Z5" s="35">
        <f ca="1">IFERROR(__xludf.DUMMYFUNCTION("""COMPUTED_VALUE"""),120.4953)</f>
        <v>120.4953</v>
      </c>
      <c r="AA5" s="35">
        <f ca="1">IFERROR(__xludf.DUMMYFUNCTION("""COMPUTED_VALUE"""),3)</f>
        <v>3</v>
      </c>
      <c r="AB5" s="35">
        <f ca="1">IFERROR(__xludf.DUMMYFUNCTION("""COMPUTED_VALUE"""),124.695)</f>
        <v>124.69499999999999</v>
      </c>
      <c r="AC5" s="35">
        <f ca="1">IFERROR(__xludf.DUMMYFUNCTION("""COMPUTED_VALUE"""),1)</f>
        <v>1</v>
      </c>
      <c r="AD5" s="35">
        <f ca="1">IFERROR(__xludf.DUMMYFUNCTION("""COMPUTED_VALUE"""),94.4646)</f>
        <v>94.464600000000004</v>
      </c>
      <c r="AE5" s="27">
        <f ca="1">IFERROR(__xludf.DUMMYFUNCTION("""COMPUTED_VALUE"""),27)</f>
        <v>27</v>
      </c>
      <c r="AF5" s="27">
        <f ca="1">IFERROR(__xludf.DUMMYFUNCTION("""COMPUTED_VALUE"""),94.2605)</f>
        <v>94.260499999999993</v>
      </c>
      <c r="AG5" s="27">
        <f ca="1">IFERROR(__xludf.DUMMYFUNCTION("""COMPUTED_VALUE"""),30)</f>
        <v>30</v>
      </c>
      <c r="AH5" s="27">
        <f ca="1">IFERROR(__xludf.DUMMYFUNCTION("""COMPUTED_VALUE"""),0.961498)</f>
        <v>0.96149799999999996</v>
      </c>
      <c r="AI5" s="27">
        <f ca="1">IFERROR(__xludf.DUMMYFUNCTION("""COMPUTED_VALUE"""),3)</f>
        <v>3</v>
      </c>
      <c r="AJ5" s="36">
        <f ca="1">IFERROR(__xludf.DUMMYFUNCTION("""COMPUTED_VALUE"""),30.4345)</f>
        <v>30.4345</v>
      </c>
    </row>
    <row r="6" spans="1:36" ht="15.75" customHeight="1" x14ac:dyDescent="0.4">
      <c r="A6" s="25" t="s">
        <v>78</v>
      </c>
      <c r="B6" s="25">
        <v>1</v>
      </c>
      <c r="C6" s="25">
        <v>65.056799999999996</v>
      </c>
      <c r="D6" s="25">
        <v>158</v>
      </c>
      <c r="E6" s="25">
        <v>64.479699999999994</v>
      </c>
      <c r="F6" s="25">
        <v>181</v>
      </c>
      <c r="G6" s="25">
        <v>116.6189</v>
      </c>
      <c r="H6" s="25">
        <v>6</v>
      </c>
      <c r="I6" s="25">
        <v>120.8395</v>
      </c>
      <c r="J6" s="25">
        <v>4</v>
      </c>
      <c r="K6" s="25">
        <v>92.974100000000007</v>
      </c>
      <c r="L6" s="25">
        <v>18</v>
      </c>
      <c r="M6" s="25">
        <v>92.245999999999995</v>
      </c>
      <c r="N6" s="25">
        <v>13</v>
      </c>
      <c r="O6" s="25">
        <v>0.95710099999999998</v>
      </c>
      <c r="P6" s="25">
        <v>5</v>
      </c>
      <c r="Q6" s="14">
        <f t="shared" si="0"/>
        <v>28.593500000000006</v>
      </c>
      <c r="S6" s="2">
        <f t="shared" si="1"/>
        <v>4</v>
      </c>
      <c r="T6" s="37" t="str">
        <f ca="1">IFERROR(__xludf.DUMMYFUNCTION("""COMPUTED_VALUE"""),"Virginia")</f>
        <v>Virginia</v>
      </c>
      <c r="U6" s="37">
        <f ca="1">IFERROR(__xludf.DUMMYFUNCTION("""COMPUTED_VALUE"""),2)</f>
        <v>2</v>
      </c>
      <c r="V6" s="37">
        <f ca="1">IFERROR(__xludf.DUMMYFUNCTION("""COMPUTED_VALUE"""),58.4963)</f>
        <v>58.496299999999998</v>
      </c>
      <c r="W6" s="37">
        <f ca="1">IFERROR(__xludf.DUMMYFUNCTION("""COMPUTED_VALUE"""),347)</f>
        <v>347</v>
      </c>
      <c r="X6" s="37">
        <f ca="1">IFERROR(__xludf.DUMMYFUNCTION("""COMPUTED_VALUE"""),58.158)</f>
        <v>58.158000000000001</v>
      </c>
      <c r="Y6" s="37">
        <f ca="1">IFERROR(__xludf.DUMMYFUNCTION("""COMPUTED_VALUE"""),349)</f>
        <v>349</v>
      </c>
      <c r="Z6" s="37">
        <f ca="1">IFERROR(__xludf.DUMMYFUNCTION("""COMPUTED_VALUE"""),110.6799)</f>
        <v>110.6799</v>
      </c>
      <c r="AA6" s="37">
        <f ca="1">IFERROR(__xludf.DUMMYFUNCTION("""COMPUTED_VALUE"""),31)</f>
        <v>31</v>
      </c>
      <c r="AB6" s="37">
        <f ca="1">IFERROR(__xludf.DUMMYFUNCTION("""COMPUTED_VALUE"""),112.225)</f>
        <v>112.22499999999999</v>
      </c>
      <c r="AC6" s="37">
        <f ca="1">IFERROR(__xludf.DUMMYFUNCTION("""COMPUTED_VALUE"""),27)</f>
        <v>27</v>
      </c>
      <c r="AD6" s="37">
        <f ca="1">IFERROR(__xludf.DUMMYFUNCTION("""COMPUTED_VALUE"""),85.6162)</f>
        <v>85.616200000000006</v>
      </c>
      <c r="AE6" s="2">
        <f ca="1">IFERROR(__xludf.DUMMYFUNCTION("""COMPUTED_VALUE"""),2)</f>
        <v>2</v>
      </c>
      <c r="AF6" s="2">
        <f ca="1">IFERROR(__xludf.DUMMYFUNCTION("""COMPUTED_VALUE"""),85.3714)</f>
        <v>85.371399999999994</v>
      </c>
      <c r="AG6" s="2">
        <f ca="1">IFERROR(__xludf.DUMMYFUNCTION("""COMPUTED_VALUE"""),1)</f>
        <v>1</v>
      </c>
      <c r="AH6" s="2">
        <f ca="1">IFERROR(__xludf.DUMMYFUNCTION("""COMPUTED_VALUE"""),0.958719)</f>
        <v>0.95871899999999999</v>
      </c>
      <c r="AI6" s="2">
        <f ca="1">IFERROR(__xludf.DUMMYFUNCTION("""COMPUTED_VALUE"""),4)</f>
        <v>4</v>
      </c>
      <c r="AJ6" s="10">
        <f ca="1">IFERROR(__xludf.DUMMYFUNCTION("""COMPUTED_VALUE"""),26.8536)</f>
        <v>26.8536</v>
      </c>
    </row>
    <row r="7" spans="1:36" ht="15.75" customHeight="1" x14ac:dyDescent="0.4">
      <c r="A7" s="25" t="s">
        <v>47</v>
      </c>
      <c r="B7" s="25">
        <v>2</v>
      </c>
      <c r="C7" s="25">
        <v>64.950900000000004</v>
      </c>
      <c r="D7" s="25">
        <v>162</v>
      </c>
      <c r="E7" s="25">
        <v>65.060500000000005</v>
      </c>
      <c r="F7" s="25">
        <v>153</v>
      </c>
      <c r="G7" s="25">
        <v>120.00660000000001</v>
      </c>
      <c r="H7" s="25">
        <v>4</v>
      </c>
      <c r="I7" s="25">
        <v>119.4414</v>
      </c>
      <c r="J7" s="25">
        <v>6</v>
      </c>
      <c r="K7" s="25">
        <v>93.631100000000004</v>
      </c>
      <c r="L7" s="25">
        <v>19</v>
      </c>
      <c r="M7" s="25">
        <v>93.431299999999993</v>
      </c>
      <c r="N7" s="25">
        <v>20</v>
      </c>
      <c r="O7" s="25">
        <v>0.94398000000000004</v>
      </c>
      <c r="P7" s="25">
        <v>6</v>
      </c>
      <c r="Q7" s="14">
        <f t="shared" si="0"/>
        <v>26.010100000000008</v>
      </c>
      <c r="S7" s="27">
        <f t="shared" si="1"/>
        <v>5</v>
      </c>
      <c r="T7" s="35" t="str">
        <f ca="1">IFERROR(__xludf.DUMMYFUNCTION("""COMPUTED_VALUE"""),"Villanova")</f>
        <v>Villanova</v>
      </c>
      <c r="U7" s="35">
        <f ca="1">IFERROR(__xludf.DUMMYFUNCTION("""COMPUTED_VALUE"""),1)</f>
        <v>1</v>
      </c>
      <c r="V7" s="35">
        <f ca="1">IFERROR(__xludf.DUMMYFUNCTION("""COMPUTED_VALUE"""),65.0568)</f>
        <v>65.056799999999996</v>
      </c>
      <c r="W7" s="35">
        <f ca="1">IFERROR(__xludf.DUMMYFUNCTION("""COMPUTED_VALUE"""),158)</f>
        <v>158</v>
      </c>
      <c r="X7" s="35">
        <f ca="1">IFERROR(__xludf.DUMMYFUNCTION("""COMPUTED_VALUE"""),64.4797)</f>
        <v>64.479699999999994</v>
      </c>
      <c r="Y7" s="35">
        <f ca="1">IFERROR(__xludf.DUMMYFUNCTION("""COMPUTED_VALUE"""),181)</f>
        <v>181</v>
      </c>
      <c r="Z7" s="35">
        <f ca="1">IFERROR(__xludf.DUMMYFUNCTION("""COMPUTED_VALUE"""),116.6189)</f>
        <v>116.6189</v>
      </c>
      <c r="AA7" s="35">
        <f ca="1">IFERROR(__xludf.DUMMYFUNCTION("""COMPUTED_VALUE"""),6)</f>
        <v>6</v>
      </c>
      <c r="AB7" s="35">
        <f ca="1">IFERROR(__xludf.DUMMYFUNCTION("""COMPUTED_VALUE"""),120.8395)</f>
        <v>120.8395</v>
      </c>
      <c r="AC7" s="35">
        <f ca="1">IFERROR(__xludf.DUMMYFUNCTION("""COMPUTED_VALUE"""),4)</f>
        <v>4</v>
      </c>
      <c r="AD7" s="35">
        <f ca="1">IFERROR(__xludf.DUMMYFUNCTION("""COMPUTED_VALUE"""),92.9741)</f>
        <v>92.974100000000007</v>
      </c>
      <c r="AE7" s="27">
        <f ca="1">IFERROR(__xludf.DUMMYFUNCTION("""COMPUTED_VALUE"""),18)</f>
        <v>18</v>
      </c>
      <c r="AF7" s="27">
        <f ca="1">IFERROR(__xludf.DUMMYFUNCTION("""COMPUTED_VALUE"""),92.246)</f>
        <v>92.245999999999995</v>
      </c>
      <c r="AG7" s="27">
        <f ca="1">IFERROR(__xludf.DUMMYFUNCTION("""COMPUTED_VALUE"""),13)</f>
        <v>13</v>
      </c>
      <c r="AH7" s="27">
        <f ca="1">IFERROR(__xludf.DUMMYFUNCTION("""COMPUTED_VALUE"""),0.957101)</f>
        <v>0.95710099999999998</v>
      </c>
      <c r="AI7" s="27">
        <f ca="1">IFERROR(__xludf.DUMMYFUNCTION("""COMPUTED_VALUE"""),5)</f>
        <v>5</v>
      </c>
      <c r="AJ7" s="36">
        <f ca="1">IFERROR(__xludf.DUMMYFUNCTION("""COMPUTED_VALUE"""),28.5935)</f>
        <v>28.593499999999999</v>
      </c>
    </row>
    <row r="8" spans="1:36" ht="15.75" customHeight="1" x14ac:dyDescent="0.4">
      <c r="A8" s="25" t="s">
        <v>32</v>
      </c>
      <c r="B8" s="25">
        <v>1</v>
      </c>
      <c r="C8" s="25">
        <v>66.573499999999996</v>
      </c>
      <c r="D8" s="25">
        <v>91</v>
      </c>
      <c r="E8" s="25">
        <v>66.236500000000007</v>
      </c>
      <c r="F8" s="25">
        <v>103</v>
      </c>
      <c r="G8" s="25">
        <v>120.49890000000001</v>
      </c>
      <c r="H8" s="25">
        <v>2</v>
      </c>
      <c r="I8" s="25">
        <v>122.0286</v>
      </c>
      <c r="J8" s="25">
        <v>3</v>
      </c>
      <c r="K8" s="25">
        <v>97.777900000000002</v>
      </c>
      <c r="L8" s="25">
        <v>80</v>
      </c>
      <c r="M8" s="25">
        <v>96.131299999999996</v>
      </c>
      <c r="N8" s="25">
        <v>57</v>
      </c>
      <c r="O8" s="25">
        <v>0.93952999999999998</v>
      </c>
      <c r="P8" s="25">
        <v>7</v>
      </c>
      <c r="Q8" s="14">
        <f t="shared" si="0"/>
        <v>25.897300000000001</v>
      </c>
      <c r="S8" s="2">
        <f t="shared" si="1"/>
        <v>6</v>
      </c>
      <c r="T8" s="37" t="str">
        <f ca="1">IFERROR(__xludf.DUMMYFUNCTION("""COMPUTED_VALUE"""),"Gonzaga")</f>
        <v>Gonzaga</v>
      </c>
      <c r="U8" s="37">
        <f ca="1">IFERROR(__xludf.DUMMYFUNCTION("""COMPUTED_VALUE"""),2)</f>
        <v>2</v>
      </c>
      <c r="V8" s="37">
        <f ca="1">IFERROR(__xludf.DUMMYFUNCTION("""COMPUTED_VALUE"""),64.9509)</f>
        <v>64.950900000000004</v>
      </c>
      <c r="W8" s="37">
        <f ca="1">IFERROR(__xludf.DUMMYFUNCTION("""COMPUTED_VALUE"""),162)</f>
        <v>162</v>
      </c>
      <c r="X8" s="37">
        <f ca="1">IFERROR(__xludf.DUMMYFUNCTION("""COMPUTED_VALUE"""),65.0605)</f>
        <v>65.060500000000005</v>
      </c>
      <c r="Y8" s="37">
        <f ca="1">IFERROR(__xludf.DUMMYFUNCTION("""COMPUTED_VALUE"""),153)</f>
        <v>153</v>
      </c>
      <c r="Z8" s="37">
        <f ca="1">IFERROR(__xludf.DUMMYFUNCTION("""COMPUTED_VALUE"""),120.0066)</f>
        <v>120.00660000000001</v>
      </c>
      <c r="AA8" s="37">
        <f ca="1">IFERROR(__xludf.DUMMYFUNCTION("""COMPUTED_VALUE"""),4)</f>
        <v>4</v>
      </c>
      <c r="AB8" s="37">
        <f ca="1">IFERROR(__xludf.DUMMYFUNCTION("""COMPUTED_VALUE"""),119.4414)</f>
        <v>119.4414</v>
      </c>
      <c r="AC8" s="37">
        <f ca="1">IFERROR(__xludf.DUMMYFUNCTION("""COMPUTED_VALUE"""),6)</f>
        <v>6</v>
      </c>
      <c r="AD8" s="37">
        <f ca="1">IFERROR(__xludf.DUMMYFUNCTION("""COMPUTED_VALUE"""),93.6311)</f>
        <v>93.631100000000004</v>
      </c>
      <c r="AE8" s="2">
        <f ca="1">IFERROR(__xludf.DUMMYFUNCTION("""COMPUTED_VALUE"""),19)</f>
        <v>19</v>
      </c>
      <c r="AF8" s="2">
        <f ca="1">IFERROR(__xludf.DUMMYFUNCTION("""COMPUTED_VALUE"""),93.4313)</f>
        <v>93.431299999999993</v>
      </c>
      <c r="AG8" s="2">
        <f ca="1">IFERROR(__xludf.DUMMYFUNCTION("""COMPUTED_VALUE"""),20)</f>
        <v>20</v>
      </c>
      <c r="AH8" s="2">
        <f ca="1">IFERROR(__xludf.DUMMYFUNCTION("""COMPUTED_VALUE"""),0.94398)</f>
        <v>0.94398000000000004</v>
      </c>
      <c r="AI8" s="2">
        <f ca="1">IFERROR(__xludf.DUMMYFUNCTION("""COMPUTED_VALUE"""),6)</f>
        <v>6</v>
      </c>
      <c r="AJ8" s="10">
        <f ca="1">IFERROR(__xludf.DUMMYFUNCTION("""COMPUTED_VALUE"""),26.0101)</f>
        <v>26.010100000000001</v>
      </c>
    </row>
    <row r="9" spans="1:36" ht="15.75" customHeight="1" x14ac:dyDescent="0.4">
      <c r="A9" s="25" t="s">
        <v>70</v>
      </c>
      <c r="B9" s="25">
        <v>5</v>
      </c>
      <c r="C9" s="25">
        <v>62.686500000000002</v>
      </c>
      <c r="D9" s="25">
        <v>284</v>
      </c>
      <c r="E9" s="25">
        <v>61.168500000000002</v>
      </c>
      <c r="F9" s="25">
        <v>322</v>
      </c>
      <c r="G9" s="25">
        <v>113.6498</v>
      </c>
      <c r="H9" s="25">
        <v>16</v>
      </c>
      <c r="I9" s="25">
        <v>113.0478</v>
      </c>
      <c r="J9" s="25">
        <v>18</v>
      </c>
      <c r="K9" s="25">
        <v>91.083799999999997</v>
      </c>
      <c r="L9" s="25">
        <v>10</v>
      </c>
      <c r="M9" s="25">
        <v>90.569100000000006</v>
      </c>
      <c r="N9" s="25">
        <v>8</v>
      </c>
      <c r="O9" s="25">
        <v>0.92754199999999998</v>
      </c>
      <c r="P9" s="25">
        <v>8</v>
      </c>
      <c r="Q9" s="14">
        <f t="shared" si="0"/>
        <v>22.478699999999989</v>
      </c>
      <c r="S9" s="27">
        <f t="shared" si="1"/>
        <v>7</v>
      </c>
      <c r="T9" s="35" t="str">
        <f ca="1">IFERROR(__xludf.DUMMYFUNCTION("""COMPUTED_VALUE"""),"Duke")</f>
        <v>Duke</v>
      </c>
      <c r="U9" s="35">
        <f ca="1">IFERROR(__xludf.DUMMYFUNCTION("""COMPUTED_VALUE"""),1)</f>
        <v>1</v>
      </c>
      <c r="V9" s="35">
        <f ca="1">IFERROR(__xludf.DUMMYFUNCTION("""COMPUTED_VALUE"""),66.5735)</f>
        <v>66.573499999999996</v>
      </c>
      <c r="W9" s="35">
        <f ca="1">IFERROR(__xludf.DUMMYFUNCTION("""COMPUTED_VALUE"""),91)</f>
        <v>91</v>
      </c>
      <c r="X9" s="35">
        <f ca="1">IFERROR(__xludf.DUMMYFUNCTION("""COMPUTED_VALUE"""),66.2365)</f>
        <v>66.236500000000007</v>
      </c>
      <c r="Y9" s="35">
        <f ca="1">IFERROR(__xludf.DUMMYFUNCTION("""COMPUTED_VALUE"""),103)</f>
        <v>103</v>
      </c>
      <c r="Z9" s="35">
        <f ca="1">IFERROR(__xludf.DUMMYFUNCTION("""COMPUTED_VALUE"""),120.4989)</f>
        <v>120.49890000000001</v>
      </c>
      <c r="AA9" s="35">
        <f ca="1">IFERROR(__xludf.DUMMYFUNCTION("""COMPUTED_VALUE"""),2)</f>
        <v>2</v>
      </c>
      <c r="AB9" s="35">
        <f ca="1">IFERROR(__xludf.DUMMYFUNCTION("""COMPUTED_VALUE"""),122.0286)</f>
        <v>122.0286</v>
      </c>
      <c r="AC9" s="35">
        <f ca="1">IFERROR(__xludf.DUMMYFUNCTION("""COMPUTED_VALUE"""),3)</f>
        <v>3</v>
      </c>
      <c r="AD9" s="35">
        <f ca="1">IFERROR(__xludf.DUMMYFUNCTION("""COMPUTED_VALUE"""),97.7779)</f>
        <v>97.777900000000002</v>
      </c>
      <c r="AE9" s="27">
        <f ca="1">IFERROR(__xludf.DUMMYFUNCTION("""COMPUTED_VALUE"""),80)</f>
        <v>80</v>
      </c>
      <c r="AF9" s="27">
        <f ca="1">IFERROR(__xludf.DUMMYFUNCTION("""COMPUTED_VALUE"""),96.1313)</f>
        <v>96.131299999999996</v>
      </c>
      <c r="AG9" s="27">
        <f ca="1">IFERROR(__xludf.DUMMYFUNCTION("""COMPUTED_VALUE"""),57)</f>
        <v>57</v>
      </c>
      <c r="AH9" s="27">
        <f ca="1">IFERROR(__xludf.DUMMYFUNCTION("""COMPUTED_VALUE"""),0.93953)</f>
        <v>0.93952999999999998</v>
      </c>
      <c r="AI9" s="27">
        <f ca="1">IFERROR(__xludf.DUMMYFUNCTION("""COMPUTED_VALUE"""),7)</f>
        <v>7</v>
      </c>
      <c r="AJ9" s="36">
        <f ca="1">IFERROR(__xludf.DUMMYFUNCTION("""COMPUTED_VALUE"""),25.8973)</f>
        <v>25.897300000000001</v>
      </c>
    </row>
    <row r="10" spans="1:36" ht="15.75" customHeight="1" x14ac:dyDescent="0.4">
      <c r="A10" s="25" t="s">
        <v>38</v>
      </c>
      <c r="B10" s="25">
        <v>3</v>
      </c>
      <c r="C10" s="25">
        <v>68.155199999999994</v>
      </c>
      <c r="D10" s="25">
        <v>39</v>
      </c>
      <c r="E10" s="25">
        <v>67.644900000000007</v>
      </c>
      <c r="F10" s="25">
        <v>44</v>
      </c>
      <c r="G10" s="25">
        <v>104.8258</v>
      </c>
      <c r="H10" s="25">
        <v>108</v>
      </c>
      <c r="I10" s="25">
        <v>109.3152</v>
      </c>
      <c r="J10" s="25">
        <v>50</v>
      </c>
      <c r="K10" s="25">
        <v>91.352400000000003</v>
      </c>
      <c r="L10" s="25">
        <v>12</v>
      </c>
      <c r="M10" s="25">
        <v>88.907799999999995</v>
      </c>
      <c r="N10" s="25">
        <v>5</v>
      </c>
      <c r="O10" s="25">
        <v>0.91500199999999998</v>
      </c>
      <c r="P10" s="25">
        <v>9</v>
      </c>
      <c r="Q10" s="14">
        <f t="shared" si="0"/>
        <v>20.40740000000001</v>
      </c>
      <c r="S10" s="38">
        <f t="shared" si="1"/>
        <v>8</v>
      </c>
      <c r="T10" s="39" t="str">
        <f ca="1">IFERROR(__xludf.DUMMYFUNCTION("""COMPUTED_VALUE"""),"Utah")</f>
        <v>Utah</v>
      </c>
      <c r="U10" s="39">
        <f ca="1">IFERROR(__xludf.DUMMYFUNCTION("""COMPUTED_VALUE"""),5)</f>
        <v>5</v>
      </c>
      <c r="V10" s="39">
        <f ca="1">IFERROR(__xludf.DUMMYFUNCTION("""COMPUTED_VALUE"""),62.6865)</f>
        <v>62.686500000000002</v>
      </c>
      <c r="W10" s="39">
        <f ca="1">IFERROR(__xludf.DUMMYFUNCTION("""COMPUTED_VALUE"""),284)</f>
        <v>284</v>
      </c>
      <c r="X10" s="39">
        <f ca="1">IFERROR(__xludf.DUMMYFUNCTION("""COMPUTED_VALUE"""),61.1685)</f>
        <v>61.168500000000002</v>
      </c>
      <c r="Y10" s="39">
        <f ca="1">IFERROR(__xludf.DUMMYFUNCTION("""COMPUTED_VALUE"""),322)</f>
        <v>322</v>
      </c>
      <c r="Z10" s="39">
        <f ca="1">IFERROR(__xludf.DUMMYFUNCTION("""COMPUTED_VALUE"""),113.6498)</f>
        <v>113.6498</v>
      </c>
      <c r="AA10" s="39">
        <f ca="1">IFERROR(__xludf.DUMMYFUNCTION("""COMPUTED_VALUE"""),16)</f>
        <v>16</v>
      </c>
      <c r="AB10" s="39">
        <f ca="1">IFERROR(__xludf.DUMMYFUNCTION("""COMPUTED_VALUE"""),113.0478)</f>
        <v>113.0478</v>
      </c>
      <c r="AC10" s="39">
        <f ca="1">IFERROR(__xludf.DUMMYFUNCTION("""COMPUTED_VALUE"""),18)</f>
        <v>18</v>
      </c>
      <c r="AD10" s="39">
        <f ca="1">IFERROR(__xludf.DUMMYFUNCTION("""COMPUTED_VALUE"""),91.0838)</f>
        <v>91.083799999999997</v>
      </c>
      <c r="AE10" s="38">
        <f ca="1">IFERROR(__xludf.DUMMYFUNCTION("""COMPUTED_VALUE"""),10)</f>
        <v>10</v>
      </c>
      <c r="AF10" s="38">
        <f ca="1">IFERROR(__xludf.DUMMYFUNCTION("""COMPUTED_VALUE"""),90.5691)</f>
        <v>90.569100000000006</v>
      </c>
      <c r="AG10" s="38">
        <f ca="1">IFERROR(__xludf.DUMMYFUNCTION("""COMPUTED_VALUE"""),8)</f>
        <v>8</v>
      </c>
      <c r="AH10" s="38">
        <f ca="1">IFERROR(__xludf.DUMMYFUNCTION("""COMPUTED_VALUE"""),0.927542)</f>
        <v>0.92754199999999998</v>
      </c>
      <c r="AI10" s="38">
        <f ca="1">IFERROR(__xludf.DUMMYFUNCTION("""COMPUTED_VALUE"""),8)</f>
        <v>8</v>
      </c>
      <c r="AJ10" s="40">
        <f ca="1">IFERROR(__xludf.DUMMYFUNCTION("""COMPUTED_VALUE"""),22.4786999999999)</f>
        <v>22.4786999999999</v>
      </c>
    </row>
    <row r="11" spans="1:36" ht="15.75" customHeight="1" x14ac:dyDescent="0.4">
      <c r="A11" s="25" t="s">
        <v>56</v>
      </c>
      <c r="B11" s="25">
        <v>3</v>
      </c>
      <c r="C11" s="25">
        <v>64.113699999999994</v>
      </c>
      <c r="D11" s="25">
        <v>217</v>
      </c>
      <c r="E11" s="25">
        <v>64.128299999999996</v>
      </c>
      <c r="F11" s="25">
        <v>204</v>
      </c>
      <c r="G11" s="25">
        <v>121.2585</v>
      </c>
      <c r="H11" s="25">
        <v>1</v>
      </c>
      <c r="I11" s="25">
        <v>122.2296</v>
      </c>
      <c r="J11" s="25">
        <v>2</v>
      </c>
      <c r="K11" s="25">
        <v>101.40730000000001</v>
      </c>
      <c r="L11" s="25">
        <v>162</v>
      </c>
      <c r="M11" s="25">
        <v>99.664900000000003</v>
      </c>
      <c r="N11" s="25">
        <v>112</v>
      </c>
      <c r="O11" s="25">
        <v>0.91269599999999995</v>
      </c>
      <c r="P11" s="25">
        <v>10</v>
      </c>
      <c r="Q11" s="14">
        <f t="shared" si="0"/>
        <v>22.564700000000002</v>
      </c>
      <c r="S11" s="27">
        <f t="shared" si="1"/>
        <v>9</v>
      </c>
      <c r="T11" s="35" t="str">
        <f ca="1">IFERROR(__xludf.DUMMYFUNCTION("""COMPUTED_VALUE"""),"Oklahoma")</f>
        <v>Oklahoma</v>
      </c>
      <c r="U11" s="35">
        <f ca="1">IFERROR(__xludf.DUMMYFUNCTION("""COMPUTED_VALUE"""),3)</f>
        <v>3</v>
      </c>
      <c r="V11" s="35">
        <f ca="1">IFERROR(__xludf.DUMMYFUNCTION("""COMPUTED_VALUE"""),68.1552)</f>
        <v>68.155199999999994</v>
      </c>
      <c r="W11" s="35">
        <f ca="1">IFERROR(__xludf.DUMMYFUNCTION("""COMPUTED_VALUE"""),39)</f>
        <v>39</v>
      </c>
      <c r="X11" s="35">
        <f ca="1">IFERROR(__xludf.DUMMYFUNCTION("""COMPUTED_VALUE"""),67.6449)</f>
        <v>67.644900000000007</v>
      </c>
      <c r="Y11" s="35">
        <f ca="1">IFERROR(__xludf.DUMMYFUNCTION("""COMPUTED_VALUE"""),44)</f>
        <v>44</v>
      </c>
      <c r="Z11" s="35">
        <f ca="1">IFERROR(__xludf.DUMMYFUNCTION("""COMPUTED_VALUE"""),104.8258)</f>
        <v>104.8258</v>
      </c>
      <c r="AA11" s="35">
        <f ca="1">IFERROR(__xludf.DUMMYFUNCTION("""COMPUTED_VALUE"""),108)</f>
        <v>108</v>
      </c>
      <c r="AB11" s="35">
        <f ca="1">IFERROR(__xludf.DUMMYFUNCTION("""COMPUTED_VALUE"""),109.3152)</f>
        <v>109.3152</v>
      </c>
      <c r="AC11" s="35">
        <f ca="1">IFERROR(__xludf.DUMMYFUNCTION("""COMPUTED_VALUE"""),50)</f>
        <v>50</v>
      </c>
      <c r="AD11" s="35">
        <f ca="1">IFERROR(__xludf.DUMMYFUNCTION("""COMPUTED_VALUE"""),91.3524)</f>
        <v>91.352400000000003</v>
      </c>
      <c r="AE11" s="27">
        <f ca="1">IFERROR(__xludf.DUMMYFUNCTION("""COMPUTED_VALUE"""),12)</f>
        <v>12</v>
      </c>
      <c r="AF11" s="27">
        <f ca="1">IFERROR(__xludf.DUMMYFUNCTION("""COMPUTED_VALUE"""),88.9078)</f>
        <v>88.907799999999995</v>
      </c>
      <c r="AG11" s="27">
        <f ca="1">IFERROR(__xludf.DUMMYFUNCTION("""COMPUTED_VALUE"""),5)</f>
        <v>5</v>
      </c>
      <c r="AH11" s="27">
        <f ca="1">IFERROR(__xludf.DUMMYFUNCTION("""COMPUTED_VALUE"""),0.915002)</f>
        <v>0.91500199999999998</v>
      </c>
      <c r="AI11" s="27">
        <f ca="1">IFERROR(__xludf.DUMMYFUNCTION("""COMPUTED_VALUE"""),9)</f>
        <v>9</v>
      </c>
      <c r="AJ11" s="36">
        <f ca="1">IFERROR(__xludf.DUMMYFUNCTION("""COMPUTED_VALUE"""),20.4074)</f>
        <v>20.407399999999999</v>
      </c>
    </row>
    <row r="12" spans="1:36" ht="15.75" customHeight="1" x14ac:dyDescent="0.4">
      <c r="A12" s="25" t="s">
        <v>35</v>
      </c>
      <c r="B12" s="25">
        <v>2</v>
      </c>
      <c r="C12" s="25">
        <v>66.792400000000001</v>
      </c>
      <c r="D12" s="25">
        <v>82</v>
      </c>
      <c r="E12" s="25">
        <v>67.438199999999995</v>
      </c>
      <c r="F12" s="25">
        <v>55</v>
      </c>
      <c r="G12" s="25">
        <v>106.3417</v>
      </c>
      <c r="H12" s="25">
        <v>80</v>
      </c>
      <c r="I12" s="25">
        <v>110.7779</v>
      </c>
      <c r="J12" s="25">
        <v>37</v>
      </c>
      <c r="K12" s="25">
        <v>96.674999999999997</v>
      </c>
      <c r="L12" s="25">
        <v>62</v>
      </c>
      <c r="M12" s="25">
        <v>90.479600000000005</v>
      </c>
      <c r="N12" s="25">
        <v>7</v>
      </c>
      <c r="O12" s="25">
        <v>0.91113900000000003</v>
      </c>
      <c r="P12" s="25">
        <v>11</v>
      </c>
      <c r="Q12" s="14">
        <f t="shared" si="0"/>
        <v>20.298299999999998</v>
      </c>
      <c r="S12" s="2">
        <f t="shared" si="1"/>
        <v>10</v>
      </c>
      <c r="T12" s="37" t="str">
        <f ca="1">IFERROR(__xludf.DUMMYFUNCTION("""COMPUTED_VALUE"""),"Notre Dame")</f>
        <v>Notre Dame</v>
      </c>
      <c r="U12" s="37">
        <f ca="1">IFERROR(__xludf.DUMMYFUNCTION("""COMPUTED_VALUE"""),3)</f>
        <v>3</v>
      </c>
      <c r="V12" s="37">
        <f ca="1">IFERROR(__xludf.DUMMYFUNCTION("""COMPUTED_VALUE"""),64.1137)</f>
        <v>64.113699999999994</v>
      </c>
      <c r="W12" s="37">
        <f ca="1">IFERROR(__xludf.DUMMYFUNCTION("""COMPUTED_VALUE"""),217)</f>
        <v>217</v>
      </c>
      <c r="X12" s="37">
        <f ca="1">IFERROR(__xludf.DUMMYFUNCTION("""COMPUTED_VALUE"""),64.1283)</f>
        <v>64.128299999999996</v>
      </c>
      <c r="Y12" s="37">
        <f ca="1">IFERROR(__xludf.DUMMYFUNCTION("""COMPUTED_VALUE"""),204)</f>
        <v>204</v>
      </c>
      <c r="Z12" s="37">
        <f ca="1">IFERROR(__xludf.DUMMYFUNCTION("""COMPUTED_VALUE"""),121.2585)</f>
        <v>121.2585</v>
      </c>
      <c r="AA12" s="37">
        <f ca="1">IFERROR(__xludf.DUMMYFUNCTION("""COMPUTED_VALUE"""),1)</f>
        <v>1</v>
      </c>
      <c r="AB12" s="37">
        <f ca="1">IFERROR(__xludf.DUMMYFUNCTION("""COMPUTED_VALUE"""),122.2296)</f>
        <v>122.2296</v>
      </c>
      <c r="AC12" s="37">
        <f ca="1">IFERROR(__xludf.DUMMYFUNCTION("""COMPUTED_VALUE"""),2)</f>
        <v>2</v>
      </c>
      <c r="AD12" s="37">
        <f ca="1">IFERROR(__xludf.DUMMYFUNCTION("""COMPUTED_VALUE"""),101.4073)</f>
        <v>101.40730000000001</v>
      </c>
      <c r="AE12" s="2">
        <f ca="1">IFERROR(__xludf.DUMMYFUNCTION("""COMPUTED_VALUE"""),162)</f>
        <v>162</v>
      </c>
      <c r="AF12" s="2">
        <f ca="1">IFERROR(__xludf.DUMMYFUNCTION("""COMPUTED_VALUE"""),99.6649)</f>
        <v>99.664900000000003</v>
      </c>
      <c r="AG12" s="2">
        <f ca="1">IFERROR(__xludf.DUMMYFUNCTION("""COMPUTED_VALUE"""),112)</f>
        <v>112</v>
      </c>
      <c r="AH12" s="2">
        <f ca="1">IFERROR(__xludf.DUMMYFUNCTION("""COMPUTED_VALUE"""),0.912696)</f>
        <v>0.91269599999999995</v>
      </c>
      <c r="AI12" s="2">
        <f ca="1">IFERROR(__xludf.DUMMYFUNCTION("""COMPUTED_VALUE"""),10)</f>
        <v>10</v>
      </c>
      <c r="AJ12" s="10">
        <f ca="1">IFERROR(__xludf.DUMMYFUNCTION("""COMPUTED_VALUE"""),22.5647)</f>
        <v>22.564699999999998</v>
      </c>
    </row>
    <row r="13" spans="1:36" ht="15.75" customHeight="1" x14ac:dyDescent="0.4">
      <c r="A13" s="25" t="s">
        <v>216</v>
      </c>
      <c r="B13" s="25">
        <v>5</v>
      </c>
      <c r="C13" s="25">
        <v>57.4039</v>
      </c>
      <c r="D13" s="25">
        <v>350</v>
      </c>
      <c r="E13" s="25">
        <v>58.500599999999999</v>
      </c>
      <c r="F13" s="25">
        <v>348</v>
      </c>
      <c r="G13" s="25">
        <v>112.49720000000001</v>
      </c>
      <c r="H13" s="25">
        <v>22</v>
      </c>
      <c r="I13" s="25">
        <v>113.78660000000001</v>
      </c>
      <c r="J13" s="25">
        <v>15</v>
      </c>
      <c r="K13" s="25">
        <v>92.710700000000003</v>
      </c>
      <c r="L13" s="25">
        <v>16</v>
      </c>
      <c r="M13" s="25">
        <v>93.2423</v>
      </c>
      <c r="N13" s="25">
        <v>16</v>
      </c>
      <c r="O13" s="25">
        <v>0.90803800000000001</v>
      </c>
      <c r="P13" s="25">
        <v>12</v>
      </c>
      <c r="Q13" s="14">
        <f t="shared" si="0"/>
        <v>20.544300000000007</v>
      </c>
      <c r="S13" s="27">
        <f t="shared" si="1"/>
        <v>11</v>
      </c>
      <c r="T13" s="35" t="str">
        <f ca="1">IFERROR(__xludf.DUMMYFUNCTION("""COMPUTED_VALUE"""),"Kansas")</f>
        <v>Kansas</v>
      </c>
      <c r="U13" s="35">
        <f ca="1">IFERROR(__xludf.DUMMYFUNCTION("""COMPUTED_VALUE"""),2)</f>
        <v>2</v>
      </c>
      <c r="V13" s="35">
        <f ca="1">IFERROR(__xludf.DUMMYFUNCTION("""COMPUTED_VALUE"""),66.7924)</f>
        <v>66.792400000000001</v>
      </c>
      <c r="W13" s="35">
        <f ca="1">IFERROR(__xludf.DUMMYFUNCTION("""COMPUTED_VALUE"""),82)</f>
        <v>82</v>
      </c>
      <c r="X13" s="35">
        <f ca="1">IFERROR(__xludf.DUMMYFUNCTION("""COMPUTED_VALUE"""),67.4382)</f>
        <v>67.438199999999995</v>
      </c>
      <c r="Y13" s="35">
        <f ca="1">IFERROR(__xludf.DUMMYFUNCTION("""COMPUTED_VALUE"""),55)</f>
        <v>55</v>
      </c>
      <c r="Z13" s="35">
        <f ca="1">IFERROR(__xludf.DUMMYFUNCTION("""COMPUTED_VALUE"""),106.3417)</f>
        <v>106.3417</v>
      </c>
      <c r="AA13" s="35">
        <f ca="1">IFERROR(__xludf.DUMMYFUNCTION("""COMPUTED_VALUE"""),80)</f>
        <v>80</v>
      </c>
      <c r="AB13" s="35">
        <f ca="1">IFERROR(__xludf.DUMMYFUNCTION("""COMPUTED_VALUE"""),110.7779)</f>
        <v>110.7779</v>
      </c>
      <c r="AC13" s="35">
        <f ca="1">IFERROR(__xludf.DUMMYFUNCTION("""COMPUTED_VALUE"""),37)</f>
        <v>37</v>
      </c>
      <c r="AD13" s="35">
        <f ca="1">IFERROR(__xludf.DUMMYFUNCTION("""COMPUTED_VALUE"""),96.675)</f>
        <v>96.674999999999997</v>
      </c>
      <c r="AE13" s="27">
        <f ca="1">IFERROR(__xludf.DUMMYFUNCTION("""COMPUTED_VALUE"""),62)</f>
        <v>62</v>
      </c>
      <c r="AF13" s="27">
        <f ca="1">IFERROR(__xludf.DUMMYFUNCTION("""COMPUTED_VALUE"""),90.4796)</f>
        <v>90.479600000000005</v>
      </c>
      <c r="AG13" s="27">
        <f ca="1">IFERROR(__xludf.DUMMYFUNCTION("""COMPUTED_VALUE"""),7)</f>
        <v>7</v>
      </c>
      <c r="AH13" s="27">
        <f ca="1">IFERROR(__xludf.DUMMYFUNCTION("""COMPUTED_VALUE"""),0.911139)</f>
        <v>0.91113900000000003</v>
      </c>
      <c r="AI13" s="27">
        <f ca="1">IFERROR(__xludf.DUMMYFUNCTION("""COMPUTED_VALUE"""),11)</f>
        <v>11</v>
      </c>
      <c r="AJ13" s="36">
        <f ca="1">IFERROR(__xludf.DUMMYFUNCTION("""COMPUTED_VALUE"""),20.2982999999999)</f>
        <v>20.298299999999902</v>
      </c>
    </row>
    <row r="14" spans="1:36" ht="15.75" customHeight="1" x14ac:dyDescent="0.4">
      <c r="A14" s="25" t="s">
        <v>146</v>
      </c>
      <c r="B14" s="25">
        <v>3</v>
      </c>
      <c r="C14" s="25">
        <v>69.847700000000003</v>
      </c>
      <c r="D14" s="25">
        <v>12</v>
      </c>
      <c r="E14" s="25">
        <v>69.557900000000004</v>
      </c>
      <c r="F14" s="25">
        <v>15</v>
      </c>
      <c r="G14" s="25">
        <v>112.19499999999999</v>
      </c>
      <c r="H14" s="25">
        <v>23</v>
      </c>
      <c r="I14" s="25">
        <v>118.86069999999999</v>
      </c>
      <c r="J14" s="25">
        <v>7</v>
      </c>
      <c r="K14" s="25">
        <v>99.106899999999996</v>
      </c>
      <c r="L14" s="25">
        <v>106</v>
      </c>
      <c r="M14" s="25">
        <v>97.734999999999999</v>
      </c>
      <c r="N14" s="25">
        <v>82</v>
      </c>
      <c r="O14" s="25">
        <v>0.90469100000000002</v>
      </c>
      <c r="P14" s="25">
        <v>13</v>
      </c>
      <c r="Q14" s="14">
        <f t="shared" si="0"/>
        <v>21.125699999999995</v>
      </c>
      <c r="S14" s="2">
        <f t="shared" si="1"/>
        <v>12</v>
      </c>
      <c r="T14" s="37" t="str">
        <f ca="1">IFERROR(__xludf.DUMMYFUNCTION("""COMPUTED_VALUE"""),"Northern Iowa")</f>
        <v>Northern Iowa</v>
      </c>
      <c r="U14" s="37">
        <f ca="1">IFERROR(__xludf.DUMMYFUNCTION("""COMPUTED_VALUE"""),5)</f>
        <v>5</v>
      </c>
      <c r="V14" s="37">
        <f ca="1">IFERROR(__xludf.DUMMYFUNCTION("""COMPUTED_VALUE"""),57.4039)</f>
        <v>57.4039</v>
      </c>
      <c r="W14" s="37">
        <f ca="1">IFERROR(__xludf.DUMMYFUNCTION("""COMPUTED_VALUE"""),350)</f>
        <v>350</v>
      </c>
      <c r="X14" s="37">
        <f ca="1">IFERROR(__xludf.DUMMYFUNCTION("""COMPUTED_VALUE"""),58.5006)</f>
        <v>58.500599999999999</v>
      </c>
      <c r="Y14" s="37">
        <f ca="1">IFERROR(__xludf.DUMMYFUNCTION("""COMPUTED_VALUE"""),348)</f>
        <v>348</v>
      </c>
      <c r="Z14" s="37">
        <f ca="1">IFERROR(__xludf.DUMMYFUNCTION("""COMPUTED_VALUE"""),112.4972)</f>
        <v>112.49720000000001</v>
      </c>
      <c r="AA14" s="37">
        <f ca="1">IFERROR(__xludf.DUMMYFUNCTION("""COMPUTED_VALUE"""),22)</f>
        <v>22</v>
      </c>
      <c r="AB14" s="37">
        <f ca="1">IFERROR(__xludf.DUMMYFUNCTION("""COMPUTED_VALUE"""),113.7866)</f>
        <v>113.78660000000001</v>
      </c>
      <c r="AC14" s="37">
        <f ca="1">IFERROR(__xludf.DUMMYFUNCTION("""COMPUTED_VALUE"""),15)</f>
        <v>15</v>
      </c>
      <c r="AD14" s="37">
        <f ca="1">IFERROR(__xludf.DUMMYFUNCTION("""COMPUTED_VALUE"""),92.7107)</f>
        <v>92.710700000000003</v>
      </c>
      <c r="AE14" s="2">
        <f ca="1">IFERROR(__xludf.DUMMYFUNCTION("""COMPUTED_VALUE"""),16)</f>
        <v>16</v>
      </c>
      <c r="AF14" s="2">
        <f ca="1">IFERROR(__xludf.DUMMYFUNCTION("""COMPUTED_VALUE"""),93.2423)</f>
        <v>93.2423</v>
      </c>
      <c r="AG14" s="2">
        <f ca="1">IFERROR(__xludf.DUMMYFUNCTION("""COMPUTED_VALUE"""),16)</f>
        <v>16</v>
      </c>
      <c r="AH14" s="2">
        <f ca="1">IFERROR(__xludf.DUMMYFUNCTION("""COMPUTED_VALUE"""),0.908038)</f>
        <v>0.90803800000000001</v>
      </c>
      <c r="AI14" s="2">
        <f ca="1">IFERROR(__xludf.DUMMYFUNCTION("""COMPUTED_VALUE"""),12)</f>
        <v>12</v>
      </c>
      <c r="AJ14" s="10">
        <f ca="1">IFERROR(__xludf.DUMMYFUNCTION("""COMPUTED_VALUE"""),20.5443)</f>
        <v>20.5443</v>
      </c>
    </row>
    <row r="15" spans="1:36" ht="15.75" customHeight="1" x14ac:dyDescent="0.4">
      <c r="A15" s="25" t="s">
        <v>192</v>
      </c>
      <c r="B15" s="25">
        <v>7</v>
      </c>
      <c r="C15" s="25">
        <v>60.910600000000002</v>
      </c>
      <c r="D15" s="25">
        <v>330</v>
      </c>
      <c r="E15" s="25">
        <v>62.147199999999998</v>
      </c>
      <c r="F15" s="25">
        <v>298</v>
      </c>
      <c r="G15" s="25">
        <v>111.9834</v>
      </c>
      <c r="H15" s="25">
        <v>24</v>
      </c>
      <c r="I15" s="25">
        <v>112.9808</v>
      </c>
      <c r="J15" s="25">
        <v>20</v>
      </c>
      <c r="K15" s="25">
        <v>90.987099999999998</v>
      </c>
      <c r="L15" s="25">
        <v>8</v>
      </c>
      <c r="M15" s="25">
        <v>92.925399999999996</v>
      </c>
      <c r="N15" s="25">
        <v>15</v>
      </c>
      <c r="O15" s="25">
        <v>0.90442100000000003</v>
      </c>
      <c r="P15" s="25">
        <v>14</v>
      </c>
      <c r="Q15" s="14">
        <f t="shared" si="0"/>
        <v>20.055400000000006</v>
      </c>
      <c r="S15" s="27">
        <f t="shared" si="1"/>
        <v>13</v>
      </c>
      <c r="T15" s="35" t="str">
        <f ca="1">IFERROR(__xludf.DUMMYFUNCTION("""COMPUTED_VALUE"""),"Iowa St.")</f>
        <v>Iowa St.</v>
      </c>
      <c r="U15" s="35">
        <f ca="1">IFERROR(__xludf.DUMMYFUNCTION("""COMPUTED_VALUE"""),3)</f>
        <v>3</v>
      </c>
      <c r="V15" s="35">
        <f ca="1">IFERROR(__xludf.DUMMYFUNCTION("""COMPUTED_VALUE"""),69.8477)</f>
        <v>69.847700000000003</v>
      </c>
      <c r="W15" s="35">
        <f ca="1">IFERROR(__xludf.DUMMYFUNCTION("""COMPUTED_VALUE"""),12)</f>
        <v>12</v>
      </c>
      <c r="X15" s="35">
        <f ca="1">IFERROR(__xludf.DUMMYFUNCTION("""COMPUTED_VALUE"""),69.5579)</f>
        <v>69.557900000000004</v>
      </c>
      <c r="Y15" s="35">
        <f ca="1">IFERROR(__xludf.DUMMYFUNCTION("""COMPUTED_VALUE"""),15)</f>
        <v>15</v>
      </c>
      <c r="Z15" s="35">
        <f ca="1">IFERROR(__xludf.DUMMYFUNCTION("""COMPUTED_VALUE"""),112.195)</f>
        <v>112.19499999999999</v>
      </c>
      <c r="AA15" s="35">
        <f ca="1">IFERROR(__xludf.DUMMYFUNCTION("""COMPUTED_VALUE"""),23)</f>
        <v>23</v>
      </c>
      <c r="AB15" s="35">
        <f ca="1">IFERROR(__xludf.DUMMYFUNCTION("""COMPUTED_VALUE"""),118.8607)</f>
        <v>118.86069999999999</v>
      </c>
      <c r="AC15" s="35">
        <f ca="1">IFERROR(__xludf.DUMMYFUNCTION("""COMPUTED_VALUE"""),7)</f>
        <v>7</v>
      </c>
      <c r="AD15" s="35">
        <f ca="1">IFERROR(__xludf.DUMMYFUNCTION("""COMPUTED_VALUE"""),99.1069)</f>
        <v>99.106899999999996</v>
      </c>
      <c r="AE15" s="27">
        <f ca="1">IFERROR(__xludf.DUMMYFUNCTION("""COMPUTED_VALUE"""),106)</f>
        <v>106</v>
      </c>
      <c r="AF15" s="27">
        <f ca="1">IFERROR(__xludf.DUMMYFUNCTION("""COMPUTED_VALUE"""),97.735)</f>
        <v>97.734999999999999</v>
      </c>
      <c r="AG15" s="27">
        <f ca="1">IFERROR(__xludf.DUMMYFUNCTION("""COMPUTED_VALUE"""),82)</f>
        <v>82</v>
      </c>
      <c r="AH15" s="27">
        <f ca="1">IFERROR(__xludf.DUMMYFUNCTION("""COMPUTED_VALUE"""),0.904691)</f>
        <v>0.90469100000000002</v>
      </c>
      <c r="AI15" s="27">
        <f ca="1">IFERROR(__xludf.DUMMYFUNCTION("""COMPUTED_VALUE"""),13)</f>
        <v>13</v>
      </c>
      <c r="AJ15" s="36">
        <f ca="1">IFERROR(__xludf.DUMMYFUNCTION("""COMPUTED_VALUE"""),21.1256999999999)</f>
        <v>21.125699999999899</v>
      </c>
    </row>
    <row r="16" spans="1:36" ht="15.75" customHeight="1" x14ac:dyDescent="0.4">
      <c r="A16" s="25" t="s">
        <v>158</v>
      </c>
      <c r="B16" s="25">
        <v>3</v>
      </c>
      <c r="C16" s="25">
        <v>62.660200000000003</v>
      </c>
      <c r="D16" s="25">
        <v>286</v>
      </c>
      <c r="E16" s="25">
        <v>62.177300000000002</v>
      </c>
      <c r="F16" s="25">
        <v>296</v>
      </c>
      <c r="G16" s="25">
        <v>109.56440000000001</v>
      </c>
      <c r="H16" s="25">
        <v>38</v>
      </c>
      <c r="I16" s="25">
        <v>114.8484</v>
      </c>
      <c r="J16" s="25">
        <v>13</v>
      </c>
      <c r="K16" s="25">
        <v>95.708500000000001</v>
      </c>
      <c r="L16" s="25">
        <v>41</v>
      </c>
      <c r="M16" s="25">
        <v>94.519000000000005</v>
      </c>
      <c r="N16" s="25">
        <v>33</v>
      </c>
      <c r="O16" s="25">
        <v>0.90381299999999998</v>
      </c>
      <c r="P16" s="25">
        <v>15</v>
      </c>
      <c r="Q16" s="14">
        <f t="shared" si="0"/>
        <v>20.329399999999993</v>
      </c>
      <c r="S16" s="2">
        <f t="shared" si="1"/>
        <v>14</v>
      </c>
      <c r="T16" s="37" t="str">
        <f ca="1">IFERROR(__xludf.DUMMYFUNCTION("""COMPUTED_VALUE"""),"Wichita St.")</f>
        <v>Wichita St.</v>
      </c>
      <c r="U16" s="37">
        <f ca="1">IFERROR(__xludf.DUMMYFUNCTION("""COMPUTED_VALUE"""),7)</f>
        <v>7</v>
      </c>
      <c r="V16" s="37">
        <f ca="1">IFERROR(__xludf.DUMMYFUNCTION("""COMPUTED_VALUE"""),60.9106)</f>
        <v>60.910600000000002</v>
      </c>
      <c r="W16" s="37">
        <f ca="1">IFERROR(__xludf.DUMMYFUNCTION("""COMPUTED_VALUE"""),330)</f>
        <v>330</v>
      </c>
      <c r="X16" s="37">
        <f ca="1">IFERROR(__xludf.DUMMYFUNCTION("""COMPUTED_VALUE"""),62.1472)</f>
        <v>62.147199999999998</v>
      </c>
      <c r="Y16" s="37">
        <f ca="1">IFERROR(__xludf.DUMMYFUNCTION("""COMPUTED_VALUE"""),298)</f>
        <v>298</v>
      </c>
      <c r="Z16" s="37">
        <f ca="1">IFERROR(__xludf.DUMMYFUNCTION("""COMPUTED_VALUE"""),111.9834)</f>
        <v>111.9834</v>
      </c>
      <c r="AA16" s="37">
        <f ca="1">IFERROR(__xludf.DUMMYFUNCTION("""COMPUTED_VALUE"""),24)</f>
        <v>24</v>
      </c>
      <c r="AB16" s="37">
        <f ca="1">IFERROR(__xludf.DUMMYFUNCTION("""COMPUTED_VALUE"""),112.9808)</f>
        <v>112.9808</v>
      </c>
      <c r="AC16" s="37">
        <f ca="1">IFERROR(__xludf.DUMMYFUNCTION("""COMPUTED_VALUE"""),20)</f>
        <v>20</v>
      </c>
      <c r="AD16" s="37">
        <f ca="1">IFERROR(__xludf.DUMMYFUNCTION("""COMPUTED_VALUE"""),90.9871)</f>
        <v>90.987099999999998</v>
      </c>
      <c r="AE16" s="2">
        <f ca="1">IFERROR(__xludf.DUMMYFUNCTION("""COMPUTED_VALUE"""),8)</f>
        <v>8</v>
      </c>
      <c r="AF16" s="2">
        <f ca="1">IFERROR(__xludf.DUMMYFUNCTION("""COMPUTED_VALUE"""),92.9254)</f>
        <v>92.925399999999996</v>
      </c>
      <c r="AG16" s="2">
        <f ca="1">IFERROR(__xludf.DUMMYFUNCTION("""COMPUTED_VALUE"""),15)</f>
        <v>15</v>
      </c>
      <c r="AH16" s="2">
        <f ca="1">IFERROR(__xludf.DUMMYFUNCTION("""COMPUTED_VALUE"""),0.904421)</f>
        <v>0.90442100000000003</v>
      </c>
      <c r="AI16" s="2">
        <f ca="1">IFERROR(__xludf.DUMMYFUNCTION("""COMPUTED_VALUE"""),14)</f>
        <v>14</v>
      </c>
      <c r="AJ16" s="41">
        <f ca="1">IFERROR(__xludf.DUMMYFUNCTION("""COMPUTED_VALUE"""),20.0554)</f>
        <v>20.055399999999999</v>
      </c>
    </row>
    <row r="17" spans="1:36" ht="15.75" customHeight="1" x14ac:dyDescent="0.4">
      <c r="A17" s="25" t="s">
        <v>168</v>
      </c>
      <c r="B17" s="25">
        <v>4</v>
      </c>
      <c r="C17" s="25">
        <v>69.453699999999998</v>
      </c>
      <c r="D17" s="25">
        <v>15</v>
      </c>
      <c r="E17" s="25">
        <v>69.958100000000002</v>
      </c>
      <c r="F17" s="25">
        <v>10</v>
      </c>
      <c r="G17" s="25">
        <v>111.20740000000001</v>
      </c>
      <c r="H17" s="25">
        <v>27</v>
      </c>
      <c r="I17" s="25">
        <v>115.2564</v>
      </c>
      <c r="J17" s="25">
        <v>12</v>
      </c>
      <c r="K17" s="25">
        <v>98.121600000000001</v>
      </c>
      <c r="L17" s="25">
        <v>87</v>
      </c>
      <c r="M17" s="25">
        <v>95.036600000000007</v>
      </c>
      <c r="N17" s="25">
        <v>45</v>
      </c>
      <c r="O17" s="25">
        <v>0.90188199999999996</v>
      </c>
      <c r="P17" s="25">
        <v>16</v>
      </c>
      <c r="Q17" s="14">
        <f t="shared" si="0"/>
        <v>20.219799999999992</v>
      </c>
      <c r="S17" s="2">
        <f t="shared" si="1"/>
        <v>15</v>
      </c>
      <c r="T17" s="2" t="str">
        <f ca="1">IFERROR(__xludf.DUMMYFUNCTION("""COMPUTED_VALUE"""),"Baylor")</f>
        <v>Baylor</v>
      </c>
      <c r="U17" s="2">
        <f ca="1">IFERROR(__xludf.DUMMYFUNCTION("""COMPUTED_VALUE"""),3)</f>
        <v>3</v>
      </c>
      <c r="V17" s="2">
        <f ca="1">IFERROR(__xludf.DUMMYFUNCTION("""COMPUTED_VALUE"""),62.6602)</f>
        <v>62.660200000000003</v>
      </c>
      <c r="W17" s="2">
        <f ca="1">IFERROR(__xludf.DUMMYFUNCTION("""COMPUTED_VALUE"""),286)</f>
        <v>286</v>
      </c>
      <c r="X17" s="2">
        <f ca="1">IFERROR(__xludf.DUMMYFUNCTION("""COMPUTED_VALUE"""),62.1773)</f>
        <v>62.177300000000002</v>
      </c>
      <c r="Y17" s="2">
        <f ca="1">IFERROR(__xludf.DUMMYFUNCTION("""COMPUTED_VALUE"""),296)</f>
        <v>296</v>
      </c>
      <c r="Z17" s="2">
        <f ca="1">IFERROR(__xludf.DUMMYFUNCTION("""COMPUTED_VALUE"""),109.5644)</f>
        <v>109.56440000000001</v>
      </c>
      <c r="AA17" s="2">
        <f ca="1">IFERROR(__xludf.DUMMYFUNCTION("""COMPUTED_VALUE"""),38)</f>
        <v>38</v>
      </c>
      <c r="AB17" s="2">
        <f ca="1">IFERROR(__xludf.DUMMYFUNCTION("""COMPUTED_VALUE"""),114.8484)</f>
        <v>114.8484</v>
      </c>
      <c r="AC17" s="2">
        <f ca="1">IFERROR(__xludf.DUMMYFUNCTION("""COMPUTED_VALUE"""),13)</f>
        <v>13</v>
      </c>
      <c r="AD17" s="2">
        <f ca="1">IFERROR(__xludf.DUMMYFUNCTION("""COMPUTED_VALUE"""),95.7085)</f>
        <v>95.708500000000001</v>
      </c>
      <c r="AE17" s="2">
        <f ca="1">IFERROR(__xludf.DUMMYFUNCTION("""COMPUTED_VALUE"""),41)</f>
        <v>41</v>
      </c>
      <c r="AF17" s="2">
        <f ca="1">IFERROR(__xludf.DUMMYFUNCTION("""COMPUTED_VALUE"""),94.519)</f>
        <v>94.519000000000005</v>
      </c>
      <c r="AG17" s="2">
        <f ca="1">IFERROR(__xludf.DUMMYFUNCTION("""COMPUTED_VALUE"""),33)</f>
        <v>33</v>
      </c>
      <c r="AH17" s="2">
        <f ca="1">IFERROR(__xludf.DUMMYFUNCTION("""COMPUTED_VALUE"""),0.903813)</f>
        <v>0.90381299999999998</v>
      </c>
      <c r="AI17" s="2">
        <f ca="1">IFERROR(__xludf.DUMMYFUNCTION("""COMPUTED_VALUE"""),15)</f>
        <v>15</v>
      </c>
      <c r="AJ17" s="10">
        <f ca="1">IFERROR(__xludf.DUMMYFUNCTION("""COMPUTED_VALUE"""),20.3293999999999)</f>
        <v>20.3293999999999</v>
      </c>
    </row>
    <row r="18" spans="1:36" ht="15.75" customHeight="1" x14ac:dyDescent="0.4">
      <c r="A18" s="25" t="s">
        <v>58</v>
      </c>
      <c r="B18" s="25">
        <v>7</v>
      </c>
      <c r="C18" s="25">
        <v>63.132599999999996</v>
      </c>
      <c r="D18" s="25">
        <v>267</v>
      </c>
      <c r="E18" s="25">
        <v>63.700499999999998</v>
      </c>
      <c r="F18" s="25">
        <v>235</v>
      </c>
      <c r="G18" s="25">
        <v>110.8472</v>
      </c>
      <c r="H18" s="25">
        <v>29</v>
      </c>
      <c r="I18" s="25">
        <v>114.1116</v>
      </c>
      <c r="J18" s="25">
        <v>14</v>
      </c>
      <c r="K18" s="25">
        <v>97.901899999999998</v>
      </c>
      <c r="L18" s="25">
        <v>83</v>
      </c>
      <c r="M18" s="25">
        <v>96.071799999999996</v>
      </c>
      <c r="N18" s="25">
        <v>53</v>
      </c>
      <c r="O18" s="25">
        <v>0.87856699999999999</v>
      </c>
      <c r="P18" s="25">
        <v>17</v>
      </c>
      <c r="Q18" s="14">
        <f t="shared" si="0"/>
        <v>18.0398</v>
      </c>
      <c r="S18" s="2">
        <f t="shared" si="1"/>
        <v>16</v>
      </c>
      <c r="T18" s="27" t="str">
        <f ca="1">IFERROR(__xludf.DUMMYFUNCTION("""COMPUTED_VALUE"""),"North Carolina")</f>
        <v>North Carolina</v>
      </c>
      <c r="U18" s="27">
        <f ca="1">IFERROR(__xludf.DUMMYFUNCTION("""COMPUTED_VALUE"""),4)</f>
        <v>4</v>
      </c>
      <c r="V18" s="27">
        <f ca="1">IFERROR(__xludf.DUMMYFUNCTION("""COMPUTED_VALUE"""),69.4537)</f>
        <v>69.453699999999998</v>
      </c>
      <c r="W18" s="27">
        <f ca="1">IFERROR(__xludf.DUMMYFUNCTION("""COMPUTED_VALUE"""),15)</f>
        <v>15</v>
      </c>
      <c r="X18" s="27">
        <f ca="1">IFERROR(__xludf.DUMMYFUNCTION("""COMPUTED_VALUE"""),69.9581)</f>
        <v>69.958100000000002</v>
      </c>
      <c r="Y18" s="27">
        <f ca="1">IFERROR(__xludf.DUMMYFUNCTION("""COMPUTED_VALUE"""),10)</f>
        <v>10</v>
      </c>
      <c r="Z18" s="27">
        <f ca="1">IFERROR(__xludf.DUMMYFUNCTION("""COMPUTED_VALUE"""),111.2074)</f>
        <v>111.20740000000001</v>
      </c>
      <c r="AA18" s="27">
        <f ca="1">IFERROR(__xludf.DUMMYFUNCTION("""COMPUTED_VALUE"""),27)</f>
        <v>27</v>
      </c>
      <c r="AB18" s="27">
        <f ca="1">IFERROR(__xludf.DUMMYFUNCTION("""COMPUTED_VALUE"""),115.2564)</f>
        <v>115.2564</v>
      </c>
      <c r="AC18" s="27">
        <f ca="1">IFERROR(__xludf.DUMMYFUNCTION("""COMPUTED_VALUE"""),12)</f>
        <v>12</v>
      </c>
      <c r="AD18" s="27">
        <f ca="1">IFERROR(__xludf.DUMMYFUNCTION("""COMPUTED_VALUE"""),98.1216)</f>
        <v>98.121600000000001</v>
      </c>
      <c r="AE18" s="27">
        <f ca="1">IFERROR(__xludf.DUMMYFUNCTION("""COMPUTED_VALUE"""),87)</f>
        <v>87</v>
      </c>
      <c r="AF18" s="27">
        <f ca="1">IFERROR(__xludf.DUMMYFUNCTION("""COMPUTED_VALUE"""),95.0366)</f>
        <v>95.036600000000007</v>
      </c>
      <c r="AG18" s="27">
        <f ca="1">IFERROR(__xludf.DUMMYFUNCTION("""COMPUTED_VALUE"""),45)</f>
        <v>45</v>
      </c>
      <c r="AH18" s="27">
        <f ca="1">IFERROR(__xludf.DUMMYFUNCTION("""COMPUTED_VALUE"""),0.901882)</f>
        <v>0.90188199999999996</v>
      </c>
      <c r="AI18" s="27">
        <f ca="1">IFERROR(__xludf.DUMMYFUNCTION("""COMPUTED_VALUE"""),16)</f>
        <v>16</v>
      </c>
      <c r="AJ18" s="36">
        <f ca="1">IFERROR(__xludf.DUMMYFUNCTION("""COMPUTED_VALUE"""),20.2197999999999)</f>
        <v>20.2197999999999</v>
      </c>
    </row>
    <row r="19" spans="1:36" ht="15.75" customHeight="1" x14ac:dyDescent="0.4">
      <c r="A19" s="25" t="s">
        <v>86</v>
      </c>
      <c r="B19" s="25">
        <v>4</v>
      </c>
      <c r="C19" s="25">
        <v>66.242000000000004</v>
      </c>
      <c r="D19" s="25">
        <v>105</v>
      </c>
      <c r="E19" s="25">
        <v>65.4983</v>
      </c>
      <c r="F19" s="25">
        <v>136</v>
      </c>
      <c r="G19" s="25">
        <v>103.4782</v>
      </c>
      <c r="H19" s="25">
        <v>139</v>
      </c>
      <c r="I19" s="25">
        <v>105.8796</v>
      </c>
      <c r="J19" s="25">
        <v>95</v>
      </c>
      <c r="K19" s="25">
        <v>89.928200000000004</v>
      </c>
      <c r="L19" s="25">
        <v>6</v>
      </c>
      <c r="M19" s="25">
        <v>89.357799999999997</v>
      </c>
      <c r="N19" s="25">
        <v>6</v>
      </c>
      <c r="O19" s="25">
        <v>0.87555799999999995</v>
      </c>
      <c r="P19" s="25">
        <v>18</v>
      </c>
      <c r="Q19" s="14">
        <f t="shared" si="0"/>
        <v>16.521799999999999</v>
      </c>
      <c r="S19" s="2">
        <f t="shared" si="1"/>
        <v>17</v>
      </c>
      <c r="T19" s="2" t="str">
        <f ca="1">IFERROR(__xludf.DUMMYFUNCTION("""COMPUTED_VALUE"""),"Michigan St.")</f>
        <v>Michigan St.</v>
      </c>
      <c r="U19" s="2">
        <f ca="1">IFERROR(__xludf.DUMMYFUNCTION("""COMPUTED_VALUE"""),7)</f>
        <v>7</v>
      </c>
      <c r="V19" s="2">
        <f ca="1">IFERROR(__xludf.DUMMYFUNCTION("""COMPUTED_VALUE"""),63.1326)</f>
        <v>63.132599999999996</v>
      </c>
      <c r="W19" s="2">
        <f ca="1">IFERROR(__xludf.DUMMYFUNCTION("""COMPUTED_VALUE"""),267)</f>
        <v>267</v>
      </c>
      <c r="X19" s="2">
        <f ca="1">IFERROR(__xludf.DUMMYFUNCTION("""COMPUTED_VALUE"""),63.7005)</f>
        <v>63.700499999999998</v>
      </c>
      <c r="Y19" s="2">
        <f ca="1">IFERROR(__xludf.DUMMYFUNCTION("""COMPUTED_VALUE"""),235)</f>
        <v>235</v>
      </c>
      <c r="Z19" s="2">
        <f ca="1">IFERROR(__xludf.DUMMYFUNCTION("""COMPUTED_VALUE"""),110.8472)</f>
        <v>110.8472</v>
      </c>
      <c r="AA19" s="2">
        <f ca="1">IFERROR(__xludf.DUMMYFUNCTION("""COMPUTED_VALUE"""),29)</f>
        <v>29</v>
      </c>
      <c r="AB19" s="2">
        <f ca="1">IFERROR(__xludf.DUMMYFUNCTION("""COMPUTED_VALUE"""),114.1116)</f>
        <v>114.1116</v>
      </c>
      <c r="AC19" s="2">
        <f ca="1">IFERROR(__xludf.DUMMYFUNCTION("""COMPUTED_VALUE"""),14)</f>
        <v>14</v>
      </c>
      <c r="AD19" s="2">
        <f ca="1">IFERROR(__xludf.DUMMYFUNCTION("""COMPUTED_VALUE"""),97.9019)</f>
        <v>97.901899999999998</v>
      </c>
      <c r="AE19" s="2">
        <f ca="1">IFERROR(__xludf.DUMMYFUNCTION("""COMPUTED_VALUE"""),83)</f>
        <v>83</v>
      </c>
      <c r="AF19" s="2">
        <f ca="1">IFERROR(__xludf.DUMMYFUNCTION("""COMPUTED_VALUE"""),96.0718)</f>
        <v>96.071799999999996</v>
      </c>
      <c r="AG19" s="2">
        <f ca="1">IFERROR(__xludf.DUMMYFUNCTION("""COMPUTED_VALUE"""),53)</f>
        <v>53</v>
      </c>
      <c r="AH19" s="2">
        <f ca="1">IFERROR(__xludf.DUMMYFUNCTION("""COMPUTED_VALUE"""),0.878567)</f>
        <v>0.87856699999999999</v>
      </c>
      <c r="AI19" s="2">
        <f ca="1">IFERROR(__xludf.DUMMYFUNCTION("""COMPUTED_VALUE"""),17)</f>
        <v>17</v>
      </c>
      <c r="AJ19" s="10">
        <f ca="1">IFERROR(__xludf.DUMMYFUNCTION("""COMPUTED_VALUE"""),18.0398)</f>
        <v>18.0398</v>
      </c>
    </row>
    <row r="20" spans="1:36" ht="15.75" customHeight="1" x14ac:dyDescent="0.4">
      <c r="A20" s="25" t="s">
        <v>140</v>
      </c>
      <c r="B20" s="25">
        <v>6</v>
      </c>
      <c r="C20" s="25">
        <v>62.933100000000003</v>
      </c>
      <c r="D20" s="25">
        <v>275</v>
      </c>
      <c r="E20" s="25">
        <v>63.799599999999998</v>
      </c>
      <c r="F20" s="25">
        <v>226</v>
      </c>
      <c r="G20" s="25">
        <v>109.9414</v>
      </c>
      <c r="H20" s="25">
        <v>33</v>
      </c>
      <c r="I20" s="25">
        <v>112.30929999999999</v>
      </c>
      <c r="J20" s="25">
        <v>24</v>
      </c>
      <c r="K20" s="25">
        <v>94.651300000000006</v>
      </c>
      <c r="L20" s="25">
        <v>30</v>
      </c>
      <c r="M20" s="25">
        <v>94.944400000000002</v>
      </c>
      <c r="N20" s="25">
        <v>43</v>
      </c>
      <c r="O20" s="25">
        <v>0.87342600000000004</v>
      </c>
      <c r="P20" s="25">
        <v>19</v>
      </c>
      <c r="Q20" s="14">
        <f t="shared" si="0"/>
        <v>17.364899999999992</v>
      </c>
      <c r="S20" s="2">
        <f t="shared" si="1"/>
        <v>18</v>
      </c>
      <c r="T20" s="27" t="str">
        <f ca="1">IFERROR(__xludf.DUMMYFUNCTION("""COMPUTED_VALUE"""),"SMU")</f>
        <v>SMU</v>
      </c>
      <c r="U20" s="27">
        <f ca="1">IFERROR(__xludf.DUMMYFUNCTION("""COMPUTED_VALUE"""),6)</f>
        <v>6</v>
      </c>
      <c r="V20" s="27">
        <f ca="1">IFERROR(__xludf.DUMMYFUNCTION("""COMPUTED_VALUE"""),62.9331)</f>
        <v>62.933100000000003</v>
      </c>
      <c r="W20" s="27">
        <f ca="1">IFERROR(__xludf.DUMMYFUNCTION("""COMPUTED_VALUE"""),275)</f>
        <v>275</v>
      </c>
      <c r="X20" s="27">
        <f ca="1">IFERROR(__xludf.DUMMYFUNCTION("""COMPUTED_VALUE"""),63.7996)</f>
        <v>63.799599999999998</v>
      </c>
      <c r="Y20" s="27">
        <f ca="1">IFERROR(__xludf.DUMMYFUNCTION("""COMPUTED_VALUE"""),226)</f>
        <v>226</v>
      </c>
      <c r="Z20" s="27">
        <f ca="1">IFERROR(__xludf.DUMMYFUNCTION("""COMPUTED_VALUE"""),109.9414)</f>
        <v>109.9414</v>
      </c>
      <c r="AA20" s="27">
        <f ca="1">IFERROR(__xludf.DUMMYFUNCTION("""COMPUTED_VALUE"""),33)</f>
        <v>33</v>
      </c>
      <c r="AB20" s="27">
        <f ca="1">IFERROR(__xludf.DUMMYFUNCTION("""COMPUTED_VALUE"""),112.3093)</f>
        <v>112.30929999999999</v>
      </c>
      <c r="AC20" s="27">
        <f ca="1">IFERROR(__xludf.DUMMYFUNCTION("""COMPUTED_VALUE"""),24)</f>
        <v>24</v>
      </c>
      <c r="AD20" s="27">
        <f ca="1">IFERROR(__xludf.DUMMYFUNCTION("""COMPUTED_VALUE"""),94.6513)</f>
        <v>94.651300000000006</v>
      </c>
      <c r="AE20" s="27">
        <f ca="1">IFERROR(__xludf.DUMMYFUNCTION("""COMPUTED_VALUE"""),30)</f>
        <v>30</v>
      </c>
      <c r="AF20" s="27">
        <f ca="1">IFERROR(__xludf.DUMMYFUNCTION("""COMPUTED_VALUE"""),94.9444)</f>
        <v>94.944400000000002</v>
      </c>
      <c r="AG20" s="27">
        <f ca="1">IFERROR(__xludf.DUMMYFUNCTION("""COMPUTED_VALUE"""),43)</f>
        <v>43</v>
      </c>
      <c r="AH20" s="27">
        <f ca="1">IFERROR(__xludf.DUMMYFUNCTION("""COMPUTED_VALUE"""),0.873426)</f>
        <v>0.87342600000000004</v>
      </c>
      <c r="AI20" s="27">
        <f ca="1">IFERROR(__xludf.DUMMYFUNCTION("""COMPUTED_VALUE"""),19)</f>
        <v>19</v>
      </c>
      <c r="AJ20" s="36">
        <f ca="1">IFERROR(__xludf.DUMMYFUNCTION("""COMPUTED_VALUE"""),17.3648999999999)</f>
        <v>17.364899999999899</v>
      </c>
    </row>
    <row r="21" spans="1:36" ht="15.75" customHeight="1" x14ac:dyDescent="0.4">
      <c r="A21" s="25" t="s">
        <v>67</v>
      </c>
      <c r="B21" s="25">
        <v>11</v>
      </c>
      <c r="C21" s="25">
        <v>63.084699999999998</v>
      </c>
      <c r="D21" s="25">
        <v>269</v>
      </c>
      <c r="E21" s="25">
        <v>62.279299999999999</v>
      </c>
      <c r="F21" s="25">
        <v>294</v>
      </c>
      <c r="G21" s="25">
        <v>106.4896</v>
      </c>
      <c r="H21" s="25">
        <v>77</v>
      </c>
      <c r="I21" s="25">
        <v>110.2882</v>
      </c>
      <c r="J21" s="25">
        <v>42</v>
      </c>
      <c r="K21" s="25">
        <v>94.586500000000001</v>
      </c>
      <c r="L21" s="25">
        <v>28</v>
      </c>
      <c r="M21" s="25">
        <v>93.307100000000005</v>
      </c>
      <c r="N21" s="25">
        <v>19</v>
      </c>
      <c r="O21" s="25">
        <v>0.87245200000000001</v>
      </c>
      <c r="P21" s="25">
        <v>20</v>
      </c>
      <c r="Q21" s="14">
        <f t="shared" si="0"/>
        <v>16.981099999999998</v>
      </c>
      <c r="S21" s="2">
        <f t="shared" si="1"/>
        <v>19</v>
      </c>
      <c r="T21" s="2" t="str">
        <f ca="1">IFERROR(__xludf.DUMMYFUNCTION("""COMPUTED_VALUE"""),"Texas")</f>
        <v>Texas</v>
      </c>
      <c r="U21" s="2">
        <f ca="1">IFERROR(__xludf.DUMMYFUNCTION("""COMPUTED_VALUE"""),11)</f>
        <v>11</v>
      </c>
      <c r="V21" s="2">
        <f ca="1">IFERROR(__xludf.DUMMYFUNCTION("""COMPUTED_VALUE"""),63.0847)</f>
        <v>63.084699999999998</v>
      </c>
      <c r="W21" s="2">
        <f ca="1">IFERROR(__xludf.DUMMYFUNCTION("""COMPUTED_VALUE"""),269)</f>
        <v>269</v>
      </c>
      <c r="X21" s="2">
        <f ca="1">IFERROR(__xludf.DUMMYFUNCTION("""COMPUTED_VALUE"""),62.2793)</f>
        <v>62.279299999999999</v>
      </c>
      <c r="Y21" s="2">
        <f ca="1">IFERROR(__xludf.DUMMYFUNCTION("""COMPUTED_VALUE"""),294)</f>
        <v>294</v>
      </c>
      <c r="Z21" s="2">
        <f ca="1">IFERROR(__xludf.DUMMYFUNCTION("""COMPUTED_VALUE"""),106.4896)</f>
        <v>106.4896</v>
      </c>
      <c r="AA21" s="2">
        <f ca="1">IFERROR(__xludf.DUMMYFUNCTION("""COMPUTED_VALUE"""),77)</f>
        <v>77</v>
      </c>
      <c r="AB21" s="2">
        <f ca="1">IFERROR(__xludf.DUMMYFUNCTION("""COMPUTED_VALUE"""),110.2882)</f>
        <v>110.2882</v>
      </c>
      <c r="AC21" s="2">
        <f ca="1">IFERROR(__xludf.DUMMYFUNCTION("""COMPUTED_VALUE"""),42)</f>
        <v>42</v>
      </c>
      <c r="AD21" s="2">
        <f ca="1">IFERROR(__xludf.DUMMYFUNCTION("""COMPUTED_VALUE"""),94.5865)</f>
        <v>94.586500000000001</v>
      </c>
      <c r="AE21" s="2">
        <f ca="1">IFERROR(__xludf.DUMMYFUNCTION("""COMPUTED_VALUE"""),28)</f>
        <v>28</v>
      </c>
      <c r="AF21" s="2">
        <f ca="1">IFERROR(__xludf.DUMMYFUNCTION("""COMPUTED_VALUE"""),93.3071)</f>
        <v>93.307100000000005</v>
      </c>
      <c r="AG21" s="2">
        <f ca="1">IFERROR(__xludf.DUMMYFUNCTION("""COMPUTED_VALUE"""),19)</f>
        <v>19</v>
      </c>
      <c r="AH21" s="2">
        <f ca="1">IFERROR(__xludf.DUMMYFUNCTION("""COMPUTED_VALUE"""),0.872452)</f>
        <v>0.87245200000000001</v>
      </c>
      <c r="AI21" s="2">
        <f ca="1">IFERROR(__xludf.DUMMYFUNCTION("""COMPUTED_VALUE"""),20)</f>
        <v>20</v>
      </c>
      <c r="AJ21" s="10">
        <f ca="1">IFERROR(__xludf.DUMMYFUNCTION("""COMPUTED_VALUE"""),16.9810999999999)</f>
        <v>16.981099999999898</v>
      </c>
    </row>
    <row r="22" spans="1:36" ht="15.75" customHeight="1" x14ac:dyDescent="0.4">
      <c r="A22" s="25" t="s">
        <v>21</v>
      </c>
      <c r="B22" s="25">
        <v>10</v>
      </c>
      <c r="C22" s="25">
        <v>66.177800000000005</v>
      </c>
      <c r="D22" s="25">
        <v>108</v>
      </c>
      <c r="E22" s="25">
        <v>66.353399999999993</v>
      </c>
      <c r="F22" s="25">
        <v>96</v>
      </c>
      <c r="G22" s="25">
        <v>113.80029999999999</v>
      </c>
      <c r="H22" s="25">
        <v>14</v>
      </c>
      <c r="I22" s="25">
        <v>111.6073</v>
      </c>
      <c r="J22" s="25">
        <v>29</v>
      </c>
      <c r="K22" s="25">
        <v>94.655000000000001</v>
      </c>
      <c r="L22" s="25">
        <v>31</v>
      </c>
      <c r="M22" s="25">
        <v>94.745500000000007</v>
      </c>
      <c r="N22" s="25">
        <v>40</v>
      </c>
      <c r="O22" s="25">
        <v>0.86802500000000005</v>
      </c>
      <c r="P22" s="25">
        <v>21</v>
      </c>
      <c r="Q22" s="14">
        <f t="shared" si="0"/>
        <v>16.861799999999988</v>
      </c>
      <c r="S22" s="2">
        <f t="shared" si="1"/>
        <v>20</v>
      </c>
      <c r="T22" s="2" t="str">
        <f ca="1">IFERROR(__xludf.DUMMYFUNCTION("""COMPUTED_VALUE"""),"Ohio St.")</f>
        <v>Ohio St.</v>
      </c>
      <c r="U22" s="2">
        <f ca="1">IFERROR(__xludf.DUMMYFUNCTION("""COMPUTED_VALUE"""),10)</f>
        <v>10</v>
      </c>
      <c r="V22" s="2">
        <f ca="1">IFERROR(__xludf.DUMMYFUNCTION("""COMPUTED_VALUE"""),66.1778)</f>
        <v>66.177800000000005</v>
      </c>
      <c r="W22" s="2">
        <f ca="1">IFERROR(__xludf.DUMMYFUNCTION("""COMPUTED_VALUE"""),108)</f>
        <v>108</v>
      </c>
      <c r="X22" s="2">
        <f ca="1">IFERROR(__xludf.DUMMYFUNCTION("""COMPUTED_VALUE"""),66.3534)</f>
        <v>66.353399999999993</v>
      </c>
      <c r="Y22" s="2">
        <f ca="1">IFERROR(__xludf.DUMMYFUNCTION("""COMPUTED_VALUE"""),96)</f>
        <v>96</v>
      </c>
      <c r="Z22" s="2">
        <f ca="1">IFERROR(__xludf.DUMMYFUNCTION("""COMPUTED_VALUE"""),113.8003)</f>
        <v>113.80029999999999</v>
      </c>
      <c r="AA22" s="2">
        <f ca="1">IFERROR(__xludf.DUMMYFUNCTION("""COMPUTED_VALUE"""),14)</f>
        <v>14</v>
      </c>
      <c r="AB22" s="2">
        <f ca="1">IFERROR(__xludf.DUMMYFUNCTION("""COMPUTED_VALUE"""),111.6073)</f>
        <v>111.6073</v>
      </c>
      <c r="AC22" s="2">
        <f ca="1">IFERROR(__xludf.DUMMYFUNCTION("""COMPUTED_VALUE"""),29)</f>
        <v>29</v>
      </c>
      <c r="AD22" s="2">
        <f ca="1">IFERROR(__xludf.DUMMYFUNCTION("""COMPUTED_VALUE"""),94.655)</f>
        <v>94.655000000000001</v>
      </c>
      <c r="AE22" s="2">
        <f ca="1">IFERROR(__xludf.DUMMYFUNCTION("""COMPUTED_VALUE"""),31)</f>
        <v>31</v>
      </c>
      <c r="AF22" s="2">
        <f ca="1">IFERROR(__xludf.DUMMYFUNCTION("""COMPUTED_VALUE"""),94.7455)</f>
        <v>94.745500000000007</v>
      </c>
      <c r="AG22" s="2">
        <f ca="1">IFERROR(__xludf.DUMMYFUNCTION("""COMPUTED_VALUE"""),40)</f>
        <v>40</v>
      </c>
      <c r="AH22" s="2">
        <f ca="1">IFERROR(__xludf.DUMMYFUNCTION("""COMPUTED_VALUE"""),0.868025)</f>
        <v>0.86802500000000005</v>
      </c>
      <c r="AI22" s="2">
        <f ca="1">IFERROR(__xludf.DUMMYFUNCTION("""COMPUTED_VALUE"""),21)</f>
        <v>21</v>
      </c>
      <c r="AJ22" s="10">
        <f ca="1">IFERROR(__xludf.DUMMYFUNCTION("""COMPUTED_VALUE"""),16.8617999999999)</f>
        <v>16.861799999999899</v>
      </c>
    </row>
    <row r="23" spans="1:36" ht="15.75" customHeight="1" x14ac:dyDescent="0.4">
      <c r="A23" s="25" t="s">
        <v>62</v>
      </c>
      <c r="B23" s="25">
        <v>4</v>
      </c>
      <c r="C23" s="25">
        <v>64.674599999999998</v>
      </c>
      <c r="D23" s="25">
        <v>180</v>
      </c>
      <c r="E23" s="25">
        <v>64.438999999999993</v>
      </c>
      <c r="F23" s="25">
        <v>187</v>
      </c>
      <c r="G23" s="25">
        <v>107.5475</v>
      </c>
      <c r="H23" s="25">
        <v>59</v>
      </c>
      <c r="I23" s="25">
        <v>110.29600000000001</v>
      </c>
      <c r="J23" s="25">
        <v>41</v>
      </c>
      <c r="K23" s="25">
        <v>98.203100000000006</v>
      </c>
      <c r="L23" s="25">
        <v>89</v>
      </c>
      <c r="M23" s="25">
        <v>93.704999999999998</v>
      </c>
      <c r="N23" s="25">
        <v>25</v>
      </c>
      <c r="O23" s="25">
        <v>0.86699899999999996</v>
      </c>
      <c r="P23" s="25">
        <v>22</v>
      </c>
      <c r="Q23" s="14">
        <f t="shared" si="0"/>
        <v>16.591000000000008</v>
      </c>
      <c r="S23" s="2">
        <f t="shared" si="1"/>
        <v>21</v>
      </c>
      <c r="T23" s="27" t="str">
        <f ca="1">IFERROR(__xludf.DUMMYFUNCTION("""COMPUTED_VALUE"""),"Georgetown")</f>
        <v>Georgetown</v>
      </c>
      <c r="U23" s="27">
        <f ca="1">IFERROR(__xludf.DUMMYFUNCTION("""COMPUTED_VALUE"""),4)</f>
        <v>4</v>
      </c>
      <c r="V23" s="27">
        <f ca="1">IFERROR(__xludf.DUMMYFUNCTION("""COMPUTED_VALUE"""),64.6746)</f>
        <v>64.674599999999998</v>
      </c>
      <c r="W23" s="27">
        <f ca="1">IFERROR(__xludf.DUMMYFUNCTION("""COMPUTED_VALUE"""),180)</f>
        <v>180</v>
      </c>
      <c r="X23" s="27">
        <f ca="1">IFERROR(__xludf.DUMMYFUNCTION("""COMPUTED_VALUE"""),64.439)</f>
        <v>64.438999999999993</v>
      </c>
      <c r="Y23" s="27">
        <f ca="1">IFERROR(__xludf.DUMMYFUNCTION("""COMPUTED_VALUE"""),187)</f>
        <v>187</v>
      </c>
      <c r="Z23" s="27">
        <f ca="1">IFERROR(__xludf.DUMMYFUNCTION("""COMPUTED_VALUE"""),107.5475)</f>
        <v>107.5475</v>
      </c>
      <c r="AA23" s="27">
        <f ca="1">IFERROR(__xludf.DUMMYFUNCTION("""COMPUTED_VALUE"""),59)</f>
        <v>59</v>
      </c>
      <c r="AB23" s="27">
        <f ca="1">IFERROR(__xludf.DUMMYFUNCTION("""COMPUTED_VALUE"""),110.296)</f>
        <v>110.29600000000001</v>
      </c>
      <c r="AC23" s="27">
        <f ca="1">IFERROR(__xludf.DUMMYFUNCTION("""COMPUTED_VALUE"""),41)</f>
        <v>41</v>
      </c>
      <c r="AD23" s="27">
        <f ca="1">IFERROR(__xludf.DUMMYFUNCTION("""COMPUTED_VALUE"""),98.2031)</f>
        <v>98.203100000000006</v>
      </c>
      <c r="AE23" s="27">
        <f ca="1">IFERROR(__xludf.DUMMYFUNCTION("""COMPUTED_VALUE"""),89)</f>
        <v>89</v>
      </c>
      <c r="AF23" s="27">
        <f ca="1">IFERROR(__xludf.DUMMYFUNCTION("""COMPUTED_VALUE"""),93.705)</f>
        <v>93.704999999999998</v>
      </c>
      <c r="AG23" s="27">
        <f ca="1">IFERROR(__xludf.DUMMYFUNCTION("""COMPUTED_VALUE"""),25)</f>
        <v>25</v>
      </c>
      <c r="AH23" s="27">
        <f ca="1">IFERROR(__xludf.DUMMYFUNCTION("""COMPUTED_VALUE"""),0.866999)</f>
        <v>0.86699899999999996</v>
      </c>
      <c r="AI23" s="27">
        <f ca="1">IFERROR(__xludf.DUMMYFUNCTION("""COMPUTED_VALUE"""),22)</f>
        <v>22</v>
      </c>
      <c r="AJ23" s="36">
        <f ca="1">IFERROR(__xludf.DUMMYFUNCTION("""COMPUTED_VALUE"""),16.591)</f>
        <v>16.591000000000001</v>
      </c>
    </row>
    <row r="24" spans="1:36" ht="15.75" customHeight="1" x14ac:dyDescent="0.4">
      <c r="A24" s="25" t="s">
        <v>18</v>
      </c>
      <c r="B24" s="25">
        <v>6</v>
      </c>
      <c r="C24" s="25">
        <v>64.577299999999994</v>
      </c>
      <c r="D24" s="25">
        <v>190</v>
      </c>
      <c r="E24" s="25">
        <v>63.750500000000002</v>
      </c>
      <c r="F24" s="25">
        <v>231</v>
      </c>
      <c r="G24" s="25">
        <v>106.5519</v>
      </c>
      <c r="H24" s="25">
        <v>74</v>
      </c>
      <c r="I24" s="25">
        <v>107.51990000000001</v>
      </c>
      <c r="J24" s="25">
        <v>67</v>
      </c>
      <c r="K24" s="25">
        <v>93.881299999999996</v>
      </c>
      <c r="L24" s="25">
        <v>22</v>
      </c>
      <c r="M24" s="25">
        <v>91.659199999999998</v>
      </c>
      <c r="N24" s="25">
        <v>10</v>
      </c>
      <c r="O24" s="25">
        <v>0.862402</v>
      </c>
      <c r="P24" s="25">
        <v>23</v>
      </c>
      <c r="Q24" s="14">
        <f t="shared" si="0"/>
        <v>15.860700000000008</v>
      </c>
      <c r="S24" s="2">
        <f t="shared" si="1"/>
        <v>22</v>
      </c>
      <c r="T24" s="2" t="str">
        <f ca="1">IFERROR(__xludf.DUMMYFUNCTION("""COMPUTED_VALUE"""),"Butler")</f>
        <v>Butler</v>
      </c>
      <c r="U24" s="2">
        <f ca="1">IFERROR(__xludf.DUMMYFUNCTION("""COMPUTED_VALUE"""),6)</f>
        <v>6</v>
      </c>
      <c r="V24" s="2">
        <f ca="1">IFERROR(__xludf.DUMMYFUNCTION("""COMPUTED_VALUE"""),64.5773)</f>
        <v>64.577299999999994</v>
      </c>
      <c r="W24" s="2">
        <f ca="1">IFERROR(__xludf.DUMMYFUNCTION("""COMPUTED_VALUE"""),190)</f>
        <v>190</v>
      </c>
      <c r="X24" s="2">
        <f ca="1">IFERROR(__xludf.DUMMYFUNCTION("""COMPUTED_VALUE"""),63.7505)</f>
        <v>63.750500000000002</v>
      </c>
      <c r="Y24" s="2">
        <f ca="1">IFERROR(__xludf.DUMMYFUNCTION("""COMPUTED_VALUE"""),231)</f>
        <v>231</v>
      </c>
      <c r="Z24" s="2">
        <f ca="1">IFERROR(__xludf.DUMMYFUNCTION("""COMPUTED_VALUE"""),106.5519)</f>
        <v>106.5519</v>
      </c>
      <c r="AA24" s="2">
        <f ca="1">IFERROR(__xludf.DUMMYFUNCTION("""COMPUTED_VALUE"""),74)</f>
        <v>74</v>
      </c>
      <c r="AB24" s="2">
        <f ca="1">IFERROR(__xludf.DUMMYFUNCTION("""COMPUTED_VALUE"""),107.5199)</f>
        <v>107.51990000000001</v>
      </c>
      <c r="AC24" s="2">
        <f ca="1">IFERROR(__xludf.DUMMYFUNCTION("""COMPUTED_VALUE"""),67)</f>
        <v>67</v>
      </c>
      <c r="AD24" s="2">
        <f ca="1">IFERROR(__xludf.DUMMYFUNCTION("""COMPUTED_VALUE"""),93.8813)</f>
        <v>93.881299999999996</v>
      </c>
      <c r="AE24" s="2">
        <f ca="1">IFERROR(__xludf.DUMMYFUNCTION("""COMPUTED_VALUE"""),22)</f>
        <v>22</v>
      </c>
      <c r="AF24" s="2">
        <f ca="1">IFERROR(__xludf.DUMMYFUNCTION("""COMPUTED_VALUE"""),91.6592)</f>
        <v>91.659199999999998</v>
      </c>
      <c r="AG24" s="2">
        <f ca="1">IFERROR(__xludf.DUMMYFUNCTION("""COMPUTED_VALUE"""),10)</f>
        <v>10</v>
      </c>
      <c r="AH24" s="2">
        <f ca="1">IFERROR(__xludf.DUMMYFUNCTION("""COMPUTED_VALUE"""),0.862402)</f>
        <v>0.862402</v>
      </c>
      <c r="AI24" s="2">
        <f ca="1">IFERROR(__xludf.DUMMYFUNCTION("""COMPUTED_VALUE"""),23)</f>
        <v>23</v>
      </c>
      <c r="AJ24" s="10">
        <f ca="1">IFERROR(__xludf.DUMMYFUNCTION("""COMPUTED_VALUE"""),15.8607)</f>
        <v>15.8607</v>
      </c>
    </row>
    <row r="25" spans="1:36" ht="15.75" customHeight="1" x14ac:dyDescent="0.4">
      <c r="A25" s="25" t="s">
        <v>84</v>
      </c>
      <c r="B25" s="25">
        <v>7</v>
      </c>
      <c r="C25" s="25">
        <v>64.412400000000005</v>
      </c>
      <c r="D25" s="25">
        <v>196</v>
      </c>
      <c r="E25" s="25">
        <v>64.261200000000002</v>
      </c>
      <c r="F25" s="25">
        <v>198</v>
      </c>
      <c r="G25" s="25">
        <v>107.03579999999999</v>
      </c>
      <c r="H25" s="25">
        <v>66</v>
      </c>
      <c r="I25" s="25">
        <v>111.1324</v>
      </c>
      <c r="J25" s="25">
        <v>35</v>
      </c>
      <c r="K25" s="25">
        <v>96.219399999999993</v>
      </c>
      <c r="L25" s="25">
        <v>49</v>
      </c>
      <c r="M25" s="25">
        <v>94.942499999999995</v>
      </c>
      <c r="N25" s="25">
        <v>42</v>
      </c>
      <c r="O25" s="25">
        <v>0.85944500000000001</v>
      </c>
      <c r="P25" s="25">
        <v>24</v>
      </c>
      <c r="Q25" s="14">
        <f t="shared" si="0"/>
        <v>16.189900000000009</v>
      </c>
      <c r="S25" s="2">
        <f t="shared" si="1"/>
        <v>23</v>
      </c>
      <c r="T25" s="27" t="str">
        <f ca="1">IFERROR(__xludf.DUMMYFUNCTION("""COMPUTED_VALUE"""),"Iowa")</f>
        <v>Iowa</v>
      </c>
      <c r="U25" s="27">
        <f ca="1">IFERROR(__xludf.DUMMYFUNCTION("""COMPUTED_VALUE"""),7)</f>
        <v>7</v>
      </c>
      <c r="V25" s="27">
        <f ca="1">IFERROR(__xludf.DUMMYFUNCTION("""COMPUTED_VALUE"""),64.4124)</f>
        <v>64.412400000000005</v>
      </c>
      <c r="W25" s="27">
        <f ca="1">IFERROR(__xludf.DUMMYFUNCTION("""COMPUTED_VALUE"""),196)</f>
        <v>196</v>
      </c>
      <c r="X25" s="27">
        <f ca="1">IFERROR(__xludf.DUMMYFUNCTION("""COMPUTED_VALUE"""),64.2612)</f>
        <v>64.261200000000002</v>
      </c>
      <c r="Y25" s="27">
        <f ca="1">IFERROR(__xludf.DUMMYFUNCTION("""COMPUTED_VALUE"""),198)</f>
        <v>198</v>
      </c>
      <c r="Z25" s="27">
        <f ca="1">IFERROR(__xludf.DUMMYFUNCTION("""COMPUTED_VALUE"""),107.0358)</f>
        <v>107.03579999999999</v>
      </c>
      <c r="AA25" s="27">
        <f ca="1">IFERROR(__xludf.DUMMYFUNCTION("""COMPUTED_VALUE"""),66)</f>
        <v>66</v>
      </c>
      <c r="AB25" s="27">
        <f ca="1">IFERROR(__xludf.DUMMYFUNCTION("""COMPUTED_VALUE"""),111.1324)</f>
        <v>111.1324</v>
      </c>
      <c r="AC25" s="27">
        <f ca="1">IFERROR(__xludf.DUMMYFUNCTION("""COMPUTED_VALUE"""),35)</f>
        <v>35</v>
      </c>
      <c r="AD25" s="27">
        <f ca="1">IFERROR(__xludf.DUMMYFUNCTION("""COMPUTED_VALUE"""),96.2194)</f>
        <v>96.219399999999993</v>
      </c>
      <c r="AE25" s="27">
        <f ca="1">IFERROR(__xludf.DUMMYFUNCTION("""COMPUTED_VALUE"""),49)</f>
        <v>49</v>
      </c>
      <c r="AF25" s="27">
        <f ca="1">IFERROR(__xludf.DUMMYFUNCTION("""COMPUTED_VALUE"""),94.9425)</f>
        <v>94.942499999999995</v>
      </c>
      <c r="AG25" s="27">
        <f ca="1">IFERROR(__xludf.DUMMYFUNCTION("""COMPUTED_VALUE"""),42)</f>
        <v>42</v>
      </c>
      <c r="AH25" s="27">
        <f ca="1">IFERROR(__xludf.DUMMYFUNCTION("""COMPUTED_VALUE"""),0.859445)</f>
        <v>0.85944500000000001</v>
      </c>
      <c r="AI25" s="27">
        <f ca="1">IFERROR(__xludf.DUMMYFUNCTION("""COMPUTED_VALUE"""),24)</f>
        <v>24</v>
      </c>
      <c r="AJ25" s="36">
        <f ca="1">IFERROR(__xludf.DUMMYFUNCTION("""COMPUTED_VALUE"""),16.1899)</f>
        <v>16.189900000000002</v>
      </c>
    </row>
    <row r="26" spans="1:36" ht="15.75" customHeight="1" x14ac:dyDescent="0.4">
      <c r="A26" s="25" t="s">
        <v>229</v>
      </c>
      <c r="B26" s="25">
        <v>5</v>
      </c>
      <c r="C26" s="25">
        <v>69.122699999999995</v>
      </c>
      <c r="D26" s="25">
        <v>21</v>
      </c>
      <c r="E26" s="25">
        <v>68.691299999999998</v>
      </c>
      <c r="F26" s="25">
        <v>26</v>
      </c>
      <c r="G26" s="25">
        <v>106.45229999999999</v>
      </c>
      <c r="H26" s="25">
        <v>78</v>
      </c>
      <c r="I26" s="25">
        <v>111.2441</v>
      </c>
      <c r="J26" s="25">
        <v>33</v>
      </c>
      <c r="K26" s="25">
        <v>96.350499999999997</v>
      </c>
      <c r="L26" s="25">
        <v>52</v>
      </c>
      <c r="M26" s="25">
        <v>95.414500000000004</v>
      </c>
      <c r="N26" s="25">
        <v>47</v>
      </c>
      <c r="O26" s="25">
        <v>0.85385999999999995</v>
      </c>
      <c r="P26" s="25">
        <v>25</v>
      </c>
      <c r="Q26" s="14">
        <f t="shared" si="0"/>
        <v>15.829599999999999</v>
      </c>
      <c r="S26" s="2">
        <f t="shared" si="1"/>
        <v>24</v>
      </c>
      <c r="T26" s="2" t="str">
        <f ca="1">IFERROR(__xludf.DUMMYFUNCTION("""COMPUTED_VALUE"""),"West Virginia")</f>
        <v>West Virginia</v>
      </c>
      <c r="U26" s="2">
        <f ca="1">IFERROR(__xludf.DUMMYFUNCTION("""COMPUTED_VALUE"""),5)</f>
        <v>5</v>
      </c>
      <c r="V26" s="2">
        <f ca="1">IFERROR(__xludf.DUMMYFUNCTION("""COMPUTED_VALUE"""),69.1227)</f>
        <v>69.122699999999995</v>
      </c>
      <c r="W26" s="2">
        <f ca="1">IFERROR(__xludf.DUMMYFUNCTION("""COMPUTED_VALUE"""),21)</f>
        <v>21</v>
      </c>
      <c r="X26" s="2">
        <f ca="1">IFERROR(__xludf.DUMMYFUNCTION("""COMPUTED_VALUE"""),68.6913)</f>
        <v>68.691299999999998</v>
      </c>
      <c r="Y26" s="2">
        <f ca="1">IFERROR(__xludf.DUMMYFUNCTION("""COMPUTED_VALUE"""),26)</f>
        <v>26</v>
      </c>
      <c r="Z26" s="2">
        <f ca="1">IFERROR(__xludf.DUMMYFUNCTION("""COMPUTED_VALUE"""),106.4523)</f>
        <v>106.45229999999999</v>
      </c>
      <c r="AA26" s="2">
        <f ca="1">IFERROR(__xludf.DUMMYFUNCTION("""COMPUTED_VALUE"""),78)</f>
        <v>78</v>
      </c>
      <c r="AB26" s="2">
        <f ca="1">IFERROR(__xludf.DUMMYFUNCTION("""COMPUTED_VALUE"""),111.2441)</f>
        <v>111.2441</v>
      </c>
      <c r="AC26" s="2">
        <f ca="1">IFERROR(__xludf.DUMMYFUNCTION("""COMPUTED_VALUE"""),33)</f>
        <v>33</v>
      </c>
      <c r="AD26" s="2">
        <f ca="1">IFERROR(__xludf.DUMMYFUNCTION("""COMPUTED_VALUE"""),96.3505)</f>
        <v>96.350499999999997</v>
      </c>
      <c r="AE26" s="2">
        <f ca="1">IFERROR(__xludf.DUMMYFUNCTION("""COMPUTED_VALUE"""),52)</f>
        <v>52</v>
      </c>
      <c r="AF26" s="2">
        <f ca="1">IFERROR(__xludf.DUMMYFUNCTION("""COMPUTED_VALUE"""),95.4145)</f>
        <v>95.414500000000004</v>
      </c>
      <c r="AG26" s="2">
        <f ca="1">IFERROR(__xludf.DUMMYFUNCTION("""COMPUTED_VALUE"""),47)</f>
        <v>47</v>
      </c>
      <c r="AH26" s="2">
        <f ca="1">IFERROR(__xludf.DUMMYFUNCTION("""COMPUTED_VALUE"""),0.85386)</f>
        <v>0.85385999999999995</v>
      </c>
      <c r="AI26" s="2">
        <f ca="1">IFERROR(__xludf.DUMMYFUNCTION("""COMPUTED_VALUE"""),25)</f>
        <v>25</v>
      </c>
      <c r="AJ26" s="10">
        <f ca="1">IFERROR(__xludf.DUMMYFUNCTION("""COMPUTED_VALUE"""),15.8296)</f>
        <v>15.829599999999999</v>
      </c>
    </row>
    <row r="27" spans="1:36" ht="15.75" customHeight="1" x14ac:dyDescent="0.4">
      <c r="A27" s="25" t="s">
        <v>50</v>
      </c>
      <c r="B27" s="25">
        <v>6</v>
      </c>
      <c r="C27" s="25">
        <v>66.031800000000004</v>
      </c>
      <c r="D27" s="25">
        <v>118</v>
      </c>
      <c r="E27" s="25">
        <v>65.672200000000004</v>
      </c>
      <c r="F27" s="25">
        <v>128</v>
      </c>
      <c r="G27" s="25">
        <v>109.35080000000001</v>
      </c>
      <c r="H27" s="25">
        <v>40</v>
      </c>
      <c r="I27" s="25">
        <v>111.88639999999999</v>
      </c>
      <c r="J27" s="25">
        <v>28</v>
      </c>
      <c r="K27" s="25">
        <v>100.52809999999999</v>
      </c>
      <c r="L27" s="25">
        <v>135</v>
      </c>
      <c r="M27" s="25">
        <v>96.102900000000005</v>
      </c>
      <c r="N27" s="25">
        <v>55</v>
      </c>
      <c r="O27" s="25">
        <v>0.85179300000000002</v>
      </c>
      <c r="P27" s="25">
        <v>26</v>
      </c>
      <c r="Q27" s="14">
        <f t="shared" si="0"/>
        <v>15.783499999999989</v>
      </c>
      <c r="S27" s="2">
        <f t="shared" si="1"/>
        <v>25</v>
      </c>
      <c r="T27" s="27" t="str">
        <f ca="1">IFERROR(__xludf.DUMMYFUNCTION("""COMPUTED_VALUE"""),"Xavier")</f>
        <v>Xavier</v>
      </c>
      <c r="U27" s="27">
        <f ca="1">IFERROR(__xludf.DUMMYFUNCTION("""COMPUTED_VALUE"""),6)</f>
        <v>6</v>
      </c>
      <c r="V27" s="27">
        <f ca="1">IFERROR(__xludf.DUMMYFUNCTION("""COMPUTED_VALUE"""),66.0318)</f>
        <v>66.031800000000004</v>
      </c>
      <c r="W27" s="27">
        <f ca="1">IFERROR(__xludf.DUMMYFUNCTION("""COMPUTED_VALUE"""),118)</f>
        <v>118</v>
      </c>
      <c r="X27" s="27">
        <f ca="1">IFERROR(__xludf.DUMMYFUNCTION("""COMPUTED_VALUE"""),65.6722)</f>
        <v>65.672200000000004</v>
      </c>
      <c r="Y27" s="27">
        <f ca="1">IFERROR(__xludf.DUMMYFUNCTION("""COMPUTED_VALUE"""),128)</f>
        <v>128</v>
      </c>
      <c r="Z27" s="27">
        <f ca="1">IFERROR(__xludf.DUMMYFUNCTION("""COMPUTED_VALUE"""),109.3508)</f>
        <v>109.35080000000001</v>
      </c>
      <c r="AA27" s="27">
        <f ca="1">IFERROR(__xludf.DUMMYFUNCTION("""COMPUTED_VALUE"""),40)</f>
        <v>40</v>
      </c>
      <c r="AB27" s="27">
        <f ca="1">IFERROR(__xludf.DUMMYFUNCTION("""COMPUTED_VALUE"""),111.8864)</f>
        <v>111.88639999999999</v>
      </c>
      <c r="AC27" s="27">
        <f ca="1">IFERROR(__xludf.DUMMYFUNCTION("""COMPUTED_VALUE"""),28)</f>
        <v>28</v>
      </c>
      <c r="AD27" s="27">
        <f ca="1">IFERROR(__xludf.DUMMYFUNCTION("""COMPUTED_VALUE"""),100.5281)</f>
        <v>100.52809999999999</v>
      </c>
      <c r="AE27" s="27">
        <f ca="1">IFERROR(__xludf.DUMMYFUNCTION("""COMPUTED_VALUE"""),135)</f>
        <v>135</v>
      </c>
      <c r="AF27" s="27">
        <f ca="1">IFERROR(__xludf.DUMMYFUNCTION("""COMPUTED_VALUE"""),96.1029)</f>
        <v>96.102900000000005</v>
      </c>
      <c r="AG27" s="27">
        <f ca="1">IFERROR(__xludf.DUMMYFUNCTION("""COMPUTED_VALUE"""),55)</f>
        <v>55</v>
      </c>
      <c r="AH27" s="27">
        <f ca="1">IFERROR(__xludf.DUMMYFUNCTION("""COMPUTED_VALUE"""),0.851793)</f>
        <v>0.85179300000000002</v>
      </c>
      <c r="AI27" s="27">
        <f ca="1">IFERROR(__xludf.DUMMYFUNCTION("""COMPUTED_VALUE"""),26)</f>
        <v>26</v>
      </c>
      <c r="AJ27" s="36">
        <f ca="1">IFERROR(__xludf.DUMMYFUNCTION("""COMPUTED_VALUE"""),15.7834999999999)</f>
        <v>15.783499999999901</v>
      </c>
    </row>
    <row r="28" spans="1:36" ht="15.75" customHeight="1" x14ac:dyDescent="0.4">
      <c r="A28" s="25" t="s">
        <v>97</v>
      </c>
      <c r="B28" s="25">
        <v>8</v>
      </c>
      <c r="C28" s="25">
        <v>60.249400000000001</v>
      </c>
      <c r="D28" s="25">
        <v>339</v>
      </c>
      <c r="E28" s="25">
        <v>60.672400000000003</v>
      </c>
      <c r="F28" s="25">
        <v>334</v>
      </c>
      <c r="G28" s="25">
        <v>100.6559</v>
      </c>
      <c r="H28" s="25">
        <v>206</v>
      </c>
      <c r="I28" s="25">
        <v>102.4036</v>
      </c>
      <c r="J28" s="25">
        <v>161</v>
      </c>
      <c r="K28" s="25">
        <v>87.338099999999997</v>
      </c>
      <c r="L28" s="25">
        <v>3</v>
      </c>
      <c r="M28" s="25">
        <v>88.254499999999993</v>
      </c>
      <c r="N28" s="25">
        <v>4</v>
      </c>
      <c r="O28" s="25">
        <v>0.84683799999999998</v>
      </c>
      <c r="P28" s="25">
        <v>27</v>
      </c>
      <c r="Q28" s="14">
        <f t="shared" si="0"/>
        <v>14.149100000000004</v>
      </c>
      <c r="S28" s="2">
        <f t="shared" si="1"/>
        <v>26</v>
      </c>
      <c r="T28" s="2" t="str">
        <f ca="1">IFERROR(__xludf.DUMMYFUNCTION("""COMPUTED_VALUE"""),"Providence")</f>
        <v>Providence</v>
      </c>
      <c r="U28" s="2">
        <f ca="1">IFERROR(__xludf.DUMMYFUNCTION("""COMPUTED_VALUE"""),6)</f>
        <v>6</v>
      </c>
      <c r="V28" s="2">
        <f ca="1">IFERROR(__xludf.DUMMYFUNCTION("""COMPUTED_VALUE"""),65.7013)</f>
        <v>65.701300000000003</v>
      </c>
      <c r="W28" s="2">
        <f ca="1">IFERROR(__xludf.DUMMYFUNCTION("""COMPUTED_VALUE"""),131)</f>
        <v>131</v>
      </c>
      <c r="X28" s="2">
        <f ca="1">IFERROR(__xludf.DUMMYFUNCTION("""COMPUTED_VALUE"""),65.7403)</f>
        <v>65.740300000000005</v>
      </c>
      <c r="Y28" s="2">
        <f ca="1">IFERROR(__xludf.DUMMYFUNCTION("""COMPUTED_VALUE"""),125)</f>
        <v>125</v>
      </c>
      <c r="Z28" s="2">
        <f ca="1">IFERROR(__xludf.DUMMYFUNCTION("""COMPUTED_VALUE"""),106.0313)</f>
        <v>106.0313</v>
      </c>
      <c r="AA28" s="2">
        <f ca="1">IFERROR(__xludf.DUMMYFUNCTION("""COMPUTED_VALUE"""),85)</f>
        <v>85</v>
      </c>
      <c r="AB28" s="2">
        <f ca="1">IFERROR(__xludf.DUMMYFUNCTION("""COMPUTED_VALUE"""),110.7193)</f>
        <v>110.7193</v>
      </c>
      <c r="AC28" s="2">
        <f ca="1">IFERROR(__xludf.DUMMYFUNCTION("""COMPUTED_VALUE"""),38)</f>
        <v>38</v>
      </c>
      <c r="AD28" s="2">
        <f ca="1">IFERROR(__xludf.DUMMYFUNCTION("""COMPUTED_VALUE"""),99.276)</f>
        <v>99.275999999999996</v>
      </c>
      <c r="AE28" s="2">
        <f ca="1">IFERROR(__xludf.DUMMYFUNCTION("""COMPUTED_VALUE"""),112)</f>
        <v>112</v>
      </c>
      <c r="AF28" s="2">
        <f ca="1">IFERROR(__xludf.DUMMYFUNCTION("""COMPUTED_VALUE"""),95.4852)</f>
        <v>95.485200000000006</v>
      </c>
      <c r="AG28" s="2">
        <f ca="1">IFERROR(__xludf.DUMMYFUNCTION("""COMPUTED_VALUE"""),48)</f>
        <v>48</v>
      </c>
      <c r="AH28" s="2">
        <f ca="1">IFERROR(__xludf.DUMMYFUNCTION("""COMPUTED_VALUE"""),0.845836)</f>
        <v>0.84583600000000003</v>
      </c>
      <c r="AI28" s="2">
        <f ca="1">IFERROR(__xludf.DUMMYFUNCTION("""COMPUTED_VALUE"""),28)</f>
        <v>28</v>
      </c>
      <c r="AJ28" s="10">
        <f ca="1">IFERROR(__xludf.DUMMYFUNCTION("""COMPUTED_VALUE"""),15.2340999999999)</f>
        <v>15.2340999999999</v>
      </c>
    </row>
    <row r="29" spans="1:36" ht="12.3" x14ac:dyDescent="0.4">
      <c r="A29" s="25" t="s">
        <v>120</v>
      </c>
      <c r="B29" s="25">
        <v>6</v>
      </c>
      <c r="C29" s="25">
        <v>65.701300000000003</v>
      </c>
      <c r="D29" s="25">
        <v>131</v>
      </c>
      <c r="E29" s="25">
        <v>65.740300000000005</v>
      </c>
      <c r="F29" s="25">
        <v>125</v>
      </c>
      <c r="G29" s="25">
        <v>106.0313</v>
      </c>
      <c r="H29" s="25">
        <v>85</v>
      </c>
      <c r="I29" s="25">
        <v>110.7193</v>
      </c>
      <c r="J29" s="25">
        <v>38</v>
      </c>
      <c r="K29" s="25">
        <v>99.275999999999996</v>
      </c>
      <c r="L29" s="25">
        <v>112</v>
      </c>
      <c r="M29" s="25">
        <v>95.485200000000006</v>
      </c>
      <c r="N29" s="25">
        <v>48</v>
      </c>
      <c r="O29" s="25">
        <v>0.84583600000000003</v>
      </c>
      <c r="P29" s="25">
        <v>28</v>
      </c>
      <c r="Q29" s="14">
        <f t="shared" si="0"/>
        <v>15.234099999999998</v>
      </c>
      <c r="S29" s="2">
        <f t="shared" si="1"/>
        <v>27</v>
      </c>
      <c r="T29" t="str">
        <f ca="1">IFERROR(__xludf.DUMMYFUNCTION("""COMPUTED_VALUE"""),"Arkansas")</f>
        <v>Arkansas</v>
      </c>
      <c r="U29">
        <f ca="1">IFERROR(__xludf.DUMMYFUNCTION("""COMPUTED_VALUE"""),5)</f>
        <v>5</v>
      </c>
      <c r="V29">
        <f ca="1">IFERROR(__xludf.DUMMYFUNCTION("""COMPUTED_VALUE"""),70.3181)</f>
        <v>70.318100000000001</v>
      </c>
      <c r="W29">
        <f ca="1">IFERROR(__xludf.DUMMYFUNCTION("""COMPUTED_VALUE"""),10)</f>
        <v>10</v>
      </c>
      <c r="X29">
        <f ca="1">IFERROR(__xludf.DUMMYFUNCTION("""COMPUTED_VALUE"""),69.9796)</f>
        <v>69.979600000000005</v>
      </c>
      <c r="Y29">
        <f ca="1">IFERROR(__xludf.DUMMYFUNCTION("""COMPUTED_VALUE"""),9)</f>
        <v>9</v>
      </c>
      <c r="Z29">
        <f ca="1">IFERROR(__xludf.DUMMYFUNCTION("""COMPUTED_VALUE"""),109.8774)</f>
        <v>109.87739999999999</v>
      </c>
      <c r="AA29">
        <f ca="1">IFERROR(__xludf.DUMMYFUNCTION("""COMPUTED_VALUE"""),36)</f>
        <v>36</v>
      </c>
      <c r="AB29">
        <f ca="1">IFERROR(__xludf.DUMMYFUNCTION("""COMPUTED_VALUE"""),112.9615)</f>
        <v>112.9615</v>
      </c>
      <c r="AC29">
        <f ca="1">IFERROR(__xludf.DUMMYFUNCTION("""COMPUTED_VALUE"""),21)</f>
        <v>21</v>
      </c>
      <c r="AD29">
        <f ca="1">IFERROR(__xludf.DUMMYFUNCTION("""COMPUTED_VALUE"""),99.3058)</f>
        <v>99.305800000000005</v>
      </c>
      <c r="AE29">
        <f ca="1">IFERROR(__xludf.DUMMYFUNCTION("""COMPUTED_VALUE"""),114)</f>
        <v>114</v>
      </c>
      <c r="AF29">
        <f ca="1">IFERROR(__xludf.DUMMYFUNCTION("""COMPUTED_VALUE"""),97.6918)</f>
        <v>97.691800000000001</v>
      </c>
      <c r="AG29">
        <f ca="1">IFERROR(__xludf.DUMMYFUNCTION("""COMPUTED_VALUE"""),81)</f>
        <v>81</v>
      </c>
      <c r="AH29">
        <f ca="1">IFERROR(__xludf.DUMMYFUNCTION("""COMPUTED_VALUE"""),0.841594)</f>
        <v>0.84159399999999995</v>
      </c>
      <c r="AI29">
        <f ca="1">IFERROR(__xludf.DUMMYFUNCTION("""COMPUTED_VALUE"""),29)</f>
        <v>29</v>
      </c>
      <c r="AJ29" s="14">
        <f ca="1">IFERROR(__xludf.DUMMYFUNCTION("""COMPUTED_VALUE"""),15.2697)</f>
        <v>15.2697</v>
      </c>
    </row>
    <row r="30" spans="1:36" ht="12.3" x14ac:dyDescent="0.4">
      <c r="A30" s="25" t="s">
        <v>80</v>
      </c>
      <c r="B30" s="25">
        <v>5</v>
      </c>
      <c r="C30" s="25">
        <v>70.318100000000001</v>
      </c>
      <c r="D30" s="25">
        <v>10</v>
      </c>
      <c r="E30" s="25">
        <v>69.979600000000005</v>
      </c>
      <c r="F30" s="25">
        <v>9</v>
      </c>
      <c r="G30" s="25">
        <v>109.87739999999999</v>
      </c>
      <c r="H30" s="25">
        <v>36</v>
      </c>
      <c r="I30" s="25">
        <v>112.9615</v>
      </c>
      <c r="J30" s="25">
        <v>21</v>
      </c>
      <c r="K30" s="25">
        <v>99.305800000000005</v>
      </c>
      <c r="L30" s="25">
        <v>114</v>
      </c>
      <c r="M30" s="25">
        <v>97.691800000000001</v>
      </c>
      <c r="N30" s="25">
        <v>81</v>
      </c>
      <c r="O30" s="25">
        <v>0.84159399999999995</v>
      </c>
      <c r="P30" s="25">
        <v>29</v>
      </c>
      <c r="Q30" s="14">
        <f t="shared" si="0"/>
        <v>15.2697</v>
      </c>
      <c r="S30" s="2">
        <f t="shared" si="1"/>
        <v>28</v>
      </c>
      <c r="T30" t="str">
        <f ca="1">IFERROR(__xludf.DUMMYFUNCTION("""COMPUTED_VALUE"""),"VCU")</f>
        <v>VCU</v>
      </c>
      <c r="U30">
        <f ca="1">IFERROR(__xludf.DUMMYFUNCTION("""COMPUTED_VALUE"""),7)</f>
        <v>7</v>
      </c>
      <c r="V30">
        <f ca="1">IFERROR(__xludf.DUMMYFUNCTION("""COMPUTED_VALUE"""),66.6751)</f>
        <v>66.6751</v>
      </c>
      <c r="W30">
        <f ca="1">IFERROR(__xludf.DUMMYFUNCTION("""COMPUTED_VALUE"""),87)</f>
        <v>87</v>
      </c>
      <c r="X30">
        <f ca="1">IFERROR(__xludf.DUMMYFUNCTION("""COMPUTED_VALUE"""),67.0883)</f>
        <v>67.088300000000004</v>
      </c>
      <c r="Y30">
        <f ca="1">IFERROR(__xludf.DUMMYFUNCTION("""COMPUTED_VALUE"""),64)</f>
        <v>64</v>
      </c>
      <c r="Z30">
        <f ca="1">IFERROR(__xludf.DUMMYFUNCTION("""COMPUTED_VALUE"""),106.5592)</f>
        <v>106.5592</v>
      </c>
      <c r="AA30">
        <f ca="1">IFERROR(__xludf.DUMMYFUNCTION("""COMPUTED_VALUE"""),73)</f>
        <v>73</v>
      </c>
      <c r="AB30">
        <f ca="1">IFERROR(__xludf.DUMMYFUNCTION("""COMPUTED_VALUE"""),108.1184)</f>
        <v>108.11839999999999</v>
      </c>
      <c r="AC30">
        <f ca="1">IFERROR(__xludf.DUMMYFUNCTION("""COMPUTED_VALUE"""),61)</f>
        <v>61</v>
      </c>
      <c r="AD30">
        <f ca="1">IFERROR(__xludf.DUMMYFUNCTION("""COMPUTED_VALUE"""),96.5714)</f>
        <v>96.571399999999997</v>
      </c>
      <c r="AE30">
        <f ca="1">IFERROR(__xludf.DUMMYFUNCTION("""COMPUTED_VALUE"""),59)</f>
        <v>59</v>
      </c>
      <c r="AF30">
        <f ca="1">IFERROR(__xludf.DUMMYFUNCTION("""COMPUTED_VALUE"""),93.6004)</f>
        <v>93.600399999999993</v>
      </c>
      <c r="AG30">
        <f ca="1">IFERROR(__xludf.DUMMYFUNCTION("""COMPUTED_VALUE"""),23)</f>
        <v>23</v>
      </c>
      <c r="AH30">
        <f ca="1">IFERROR(__xludf.DUMMYFUNCTION("""COMPUTED_VALUE"""),0.839998)</f>
        <v>0.83999800000000002</v>
      </c>
      <c r="AI30">
        <f ca="1">IFERROR(__xludf.DUMMYFUNCTION("""COMPUTED_VALUE"""),30)</f>
        <v>30</v>
      </c>
      <c r="AJ30" s="14">
        <f ca="1">IFERROR(__xludf.DUMMYFUNCTION("""COMPUTED_VALUE"""),14.518)</f>
        <v>14.518000000000001</v>
      </c>
    </row>
    <row r="31" spans="1:36" ht="12.3" x14ac:dyDescent="0.4">
      <c r="A31" s="25" t="s">
        <v>137</v>
      </c>
      <c r="B31" s="25">
        <v>7</v>
      </c>
      <c r="C31" s="25">
        <v>66.6751</v>
      </c>
      <c r="D31" s="25">
        <v>87</v>
      </c>
      <c r="E31" s="25">
        <v>67.088300000000004</v>
      </c>
      <c r="F31" s="25">
        <v>64</v>
      </c>
      <c r="G31" s="25">
        <v>106.5592</v>
      </c>
      <c r="H31" s="25">
        <v>73</v>
      </c>
      <c r="I31" s="25">
        <v>108.11839999999999</v>
      </c>
      <c r="J31" s="25">
        <v>61</v>
      </c>
      <c r="K31" s="25">
        <v>96.571399999999997</v>
      </c>
      <c r="L31" s="25">
        <v>59</v>
      </c>
      <c r="M31" s="25">
        <v>93.600399999999993</v>
      </c>
      <c r="N31" s="25">
        <v>23</v>
      </c>
      <c r="O31" s="25">
        <v>0.83999800000000002</v>
      </c>
      <c r="P31" s="25">
        <v>30</v>
      </c>
      <c r="Q31" s="14">
        <f t="shared" si="0"/>
        <v>14.518000000000001</v>
      </c>
      <c r="S31" s="2">
        <f t="shared" si="1"/>
        <v>29</v>
      </c>
      <c r="T31" t="str">
        <f ca="1">IFERROR(__xludf.DUMMYFUNCTION("""COMPUTED_VALUE"""),"BYU")</f>
        <v>BYU</v>
      </c>
      <c r="U31">
        <f ca="1">IFERROR(__xludf.DUMMYFUNCTION("""COMPUTED_VALUE"""),11)</f>
        <v>11</v>
      </c>
      <c r="V31">
        <f ca="1">IFERROR(__xludf.DUMMYFUNCTION("""COMPUTED_VALUE"""),69.6564)</f>
        <v>69.656400000000005</v>
      </c>
      <c r="W31">
        <f ca="1">IFERROR(__xludf.DUMMYFUNCTION("""COMPUTED_VALUE"""),14)</f>
        <v>14</v>
      </c>
      <c r="X31">
        <f ca="1">IFERROR(__xludf.DUMMYFUNCTION("""COMPUTED_VALUE"""),70.3762)</f>
        <v>70.376199999999997</v>
      </c>
      <c r="Y31">
        <f ca="1">IFERROR(__xludf.DUMMYFUNCTION("""COMPUTED_VALUE"""),6)</f>
        <v>6</v>
      </c>
      <c r="Z31">
        <f ca="1">IFERROR(__xludf.DUMMYFUNCTION("""COMPUTED_VALUE"""),116.0285)</f>
        <v>116.02849999999999</v>
      </c>
      <c r="AA31">
        <f ca="1">IFERROR(__xludf.DUMMYFUNCTION("""COMPUTED_VALUE"""),7)</f>
        <v>7</v>
      </c>
      <c r="AB31">
        <f ca="1">IFERROR(__xludf.DUMMYFUNCTION("""COMPUTED_VALUE"""),116.7226)</f>
        <v>116.7226</v>
      </c>
      <c r="AC31">
        <f ca="1">IFERROR(__xludf.DUMMYFUNCTION("""COMPUTED_VALUE"""),9)</f>
        <v>9</v>
      </c>
      <c r="AD31">
        <f ca="1">IFERROR(__xludf.DUMMYFUNCTION("""COMPUTED_VALUE"""),102.9773)</f>
        <v>102.9773</v>
      </c>
      <c r="AE31">
        <f ca="1">IFERROR(__xludf.DUMMYFUNCTION("""COMPUTED_VALUE"""),187)</f>
        <v>187</v>
      </c>
      <c r="AF31">
        <f ca="1">IFERROR(__xludf.DUMMYFUNCTION("""COMPUTED_VALUE"""),101.0786)</f>
        <v>101.07859999999999</v>
      </c>
      <c r="AG31">
        <f ca="1">IFERROR(__xludf.DUMMYFUNCTION("""COMPUTED_VALUE"""),139)</f>
        <v>139</v>
      </c>
      <c r="AH31">
        <f ca="1">IFERROR(__xludf.DUMMYFUNCTION("""COMPUTED_VALUE"""),0.839548)</f>
        <v>0.83954799999999996</v>
      </c>
      <c r="AI31">
        <f ca="1">IFERROR(__xludf.DUMMYFUNCTION("""COMPUTED_VALUE"""),31)</f>
        <v>31</v>
      </c>
      <c r="AJ31" s="14">
        <f ca="1">IFERROR(__xludf.DUMMYFUNCTION("""COMPUTED_VALUE"""),15.644)</f>
        <v>15.644</v>
      </c>
    </row>
    <row r="32" spans="1:36" ht="12.3" x14ac:dyDescent="0.4">
      <c r="A32" s="25" t="s">
        <v>96</v>
      </c>
      <c r="B32" s="25">
        <v>11</v>
      </c>
      <c r="C32" s="25">
        <v>69.656400000000005</v>
      </c>
      <c r="D32" s="25">
        <v>14</v>
      </c>
      <c r="E32" s="25">
        <v>70.376199999999997</v>
      </c>
      <c r="F32" s="25">
        <v>6</v>
      </c>
      <c r="G32" s="25">
        <v>116.02849999999999</v>
      </c>
      <c r="H32" s="25">
        <v>7</v>
      </c>
      <c r="I32" s="25">
        <v>116.7226</v>
      </c>
      <c r="J32" s="25">
        <v>9</v>
      </c>
      <c r="K32" s="25">
        <v>102.9773</v>
      </c>
      <c r="L32" s="25">
        <v>187</v>
      </c>
      <c r="M32" s="25">
        <v>101.07859999999999</v>
      </c>
      <c r="N32" s="25">
        <v>139</v>
      </c>
      <c r="O32" s="25">
        <v>0.83954799999999996</v>
      </c>
      <c r="P32" s="25">
        <v>31</v>
      </c>
      <c r="Q32" s="14">
        <f t="shared" si="0"/>
        <v>15.644000000000005</v>
      </c>
      <c r="S32" s="2">
        <f t="shared" si="1"/>
        <v>30</v>
      </c>
      <c r="T32" t="str">
        <f ca="1">IFERROR(__xludf.DUMMYFUNCTION("""COMPUTED_VALUE"""),"Davidson")</f>
        <v>Davidson</v>
      </c>
      <c r="U32">
        <f ca="1">IFERROR(__xludf.DUMMYFUNCTION("""COMPUTED_VALUE"""),10)</f>
        <v>10</v>
      </c>
      <c r="V32">
        <f ca="1">IFERROR(__xludf.DUMMYFUNCTION("""COMPUTED_VALUE"""),67.2527)</f>
        <v>67.252700000000004</v>
      </c>
      <c r="W32">
        <f ca="1">IFERROR(__xludf.DUMMYFUNCTION("""COMPUTED_VALUE"""),69)</f>
        <v>69</v>
      </c>
      <c r="X32">
        <f ca="1">IFERROR(__xludf.DUMMYFUNCTION("""COMPUTED_VALUE"""),67.0048)</f>
        <v>67.004800000000003</v>
      </c>
      <c r="Y32">
        <f ca="1">IFERROR(__xludf.DUMMYFUNCTION("""COMPUTED_VALUE"""),68)</f>
        <v>68</v>
      </c>
      <c r="Z32">
        <f ca="1">IFERROR(__xludf.DUMMYFUNCTION("""COMPUTED_VALUE"""),117.1584)</f>
        <v>117.1584</v>
      </c>
      <c r="AA32">
        <f ca="1">IFERROR(__xludf.DUMMYFUNCTION("""COMPUTED_VALUE"""),5)</f>
        <v>5</v>
      </c>
      <c r="AB32">
        <f ca="1">IFERROR(__xludf.DUMMYFUNCTION("""COMPUTED_VALUE"""),118.4924)</f>
        <v>118.4924</v>
      </c>
      <c r="AC32">
        <f ca="1">IFERROR(__xludf.DUMMYFUNCTION("""COMPUTED_VALUE"""),8)</f>
        <v>8</v>
      </c>
      <c r="AD32">
        <f ca="1">IFERROR(__xludf.DUMMYFUNCTION("""COMPUTED_VALUE"""),102.4216)</f>
        <v>102.4216</v>
      </c>
      <c r="AE32">
        <f ca="1">IFERROR(__xludf.DUMMYFUNCTION("""COMPUTED_VALUE"""),179)</f>
        <v>179</v>
      </c>
      <c r="AF32">
        <f ca="1">IFERROR(__xludf.DUMMYFUNCTION("""COMPUTED_VALUE"""),103.107)</f>
        <v>103.107</v>
      </c>
      <c r="AG32">
        <f ca="1">IFERROR(__xludf.DUMMYFUNCTION("""COMPUTED_VALUE"""),181)</f>
        <v>181</v>
      </c>
      <c r="AH32">
        <f ca="1">IFERROR(__xludf.DUMMYFUNCTION("""COMPUTED_VALUE"""),0.83194)</f>
        <v>0.83194000000000001</v>
      </c>
      <c r="AI32">
        <f ca="1">IFERROR(__xludf.DUMMYFUNCTION("""COMPUTED_VALUE"""),32)</f>
        <v>32</v>
      </c>
      <c r="AJ32" s="14">
        <f ca="1">IFERROR(__xludf.DUMMYFUNCTION("""COMPUTED_VALUE"""),15.3854)</f>
        <v>15.385400000000001</v>
      </c>
    </row>
    <row r="33" spans="1:36" ht="12.3" x14ac:dyDescent="0.4">
      <c r="A33" s="25" t="s">
        <v>134</v>
      </c>
      <c r="B33" s="25">
        <v>10</v>
      </c>
      <c r="C33" s="25">
        <v>67.252700000000004</v>
      </c>
      <c r="D33" s="25">
        <v>69</v>
      </c>
      <c r="E33" s="25">
        <v>67.004800000000003</v>
      </c>
      <c r="F33" s="25">
        <v>68</v>
      </c>
      <c r="G33" s="25">
        <v>117.1584</v>
      </c>
      <c r="H33" s="25">
        <v>5</v>
      </c>
      <c r="I33" s="25">
        <v>118.4924</v>
      </c>
      <c r="J33" s="25">
        <v>8</v>
      </c>
      <c r="K33" s="25">
        <v>102.4216</v>
      </c>
      <c r="L33" s="25">
        <v>179</v>
      </c>
      <c r="M33" s="25">
        <v>103.107</v>
      </c>
      <c r="N33" s="25">
        <v>181</v>
      </c>
      <c r="O33" s="25">
        <v>0.83194000000000001</v>
      </c>
      <c r="P33" s="25">
        <v>32</v>
      </c>
      <c r="Q33" s="14">
        <f t="shared" si="0"/>
        <v>15.385400000000004</v>
      </c>
      <c r="S33" s="2">
        <f t="shared" si="1"/>
        <v>31</v>
      </c>
      <c r="T33" t="str">
        <f ca="1">IFERROR(__xludf.DUMMYFUNCTION("""COMPUTED_VALUE"""),"Maryland")</f>
        <v>Maryland</v>
      </c>
      <c r="U33">
        <f ca="1">IFERROR(__xludf.DUMMYFUNCTION("""COMPUTED_VALUE"""),4)</f>
        <v>4</v>
      </c>
      <c r="V33">
        <f ca="1">IFERROR(__xludf.DUMMYFUNCTION("""COMPUTED_VALUE"""),64.7568)</f>
        <v>64.756799999999998</v>
      </c>
      <c r="W33">
        <f ca="1">IFERROR(__xludf.DUMMYFUNCTION("""COMPUTED_VALUE"""),176)</f>
        <v>176</v>
      </c>
      <c r="X33">
        <f ca="1">IFERROR(__xludf.DUMMYFUNCTION("""COMPUTED_VALUE"""),64.4472)</f>
        <v>64.447199999999995</v>
      </c>
      <c r="Y33">
        <f ca="1">IFERROR(__xludf.DUMMYFUNCTION("""COMPUTED_VALUE"""),184)</f>
        <v>184</v>
      </c>
      <c r="Z33">
        <f ca="1">IFERROR(__xludf.DUMMYFUNCTION("""COMPUTED_VALUE"""),106.6051)</f>
        <v>106.60509999999999</v>
      </c>
      <c r="AA33">
        <f ca="1">IFERROR(__xludf.DUMMYFUNCTION("""COMPUTED_VALUE"""),70)</f>
        <v>70</v>
      </c>
      <c r="AB33">
        <f ca="1">IFERROR(__xludf.DUMMYFUNCTION("""COMPUTED_VALUE"""),108.5398)</f>
        <v>108.5398</v>
      </c>
      <c r="AC33">
        <f ca="1">IFERROR(__xludf.DUMMYFUNCTION("""COMPUTED_VALUE"""),56)</f>
        <v>56</v>
      </c>
      <c r="AD33">
        <f ca="1">IFERROR(__xludf.DUMMYFUNCTION("""COMPUTED_VALUE"""),97.3302)</f>
        <v>97.330200000000005</v>
      </c>
      <c r="AE33">
        <f ca="1">IFERROR(__xludf.DUMMYFUNCTION("""COMPUTED_VALUE"""),74)</f>
        <v>74</v>
      </c>
      <c r="AF33">
        <f ca="1">IFERROR(__xludf.DUMMYFUNCTION("""COMPUTED_VALUE"""),94.6229)</f>
        <v>94.622900000000001</v>
      </c>
      <c r="AG33">
        <f ca="1">IFERROR(__xludf.DUMMYFUNCTION("""COMPUTED_VALUE"""),36)</f>
        <v>36</v>
      </c>
      <c r="AH33">
        <f ca="1">IFERROR(__xludf.DUMMYFUNCTION("""COMPUTED_VALUE"""),0.828921)</f>
        <v>0.82892100000000002</v>
      </c>
      <c r="AI33">
        <f ca="1">IFERROR(__xludf.DUMMYFUNCTION("""COMPUTED_VALUE"""),33)</f>
        <v>33</v>
      </c>
      <c r="AJ33" s="14">
        <f ca="1">IFERROR(__xludf.DUMMYFUNCTION("""COMPUTED_VALUE"""),13.9168999999999)</f>
        <v>13.916899999999901</v>
      </c>
    </row>
    <row r="34" spans="1:36" ht="12.3" x14ac:dyDescent="0.4">
      <c r="A34" s="25" t="s">
        <v>36</v>
      </c>
      <c r="B34" s="25">
        <v>4</v>
      </c>
      <c r="C34" s="25">
        <v>64.756799999999998</v>
      </c>
      <c r="D34" s="25">
        <v>176</v>
      </c>
      <c r="E34" s="25">
        <v>64.447199999999995</v>
      </c>
      <c r="F34" s="25">
        <v>184</v>
      </c>
      <c r="G34" s="25">
        <v>106.60509999999999</v>
      </c>
      <c r="H34" s="25">
        <v>70</v>
      </c>
      <c r="I34" s="25">
        <v>108.5398</v>
      </c>
      <c r="J34" s="25">
        <v>56</v>
      </c>
      <c r="K34" s="25">
        <v>97.330200000000005</v>
      </c>
      <c r="L34" s="25">
        <v>74</v>
      </c>
      <c r="M34" s="25">
        <v>94.622900000000001</v>
      </c>
      <c r="N34" s="25">
        <v>36</v>
      </c>
      <c r="O34" s="25">
        <v>0.82892100000000002</v>
      </c>
      <c r="P34" s="25">
        <v>33</v>
      </c>
      <c r="Q34" s="14">
        <f t="shared" si="0"/>
        <v>13.916899999999998</v>
      </c>
      <c r="S34" s="2">
        <f t="shared" si="1"/>
        <v>32</v>
      </c>
      <c r="T34" t="str">
        <f ca="1">IFERROR(__xludf.DUMMYFUNCTION("""COMPUTED_VALUE"""),"Cincinnati")</f>
        <v>Cincinnati</v>
      </c>
      <c r="U34">
        <f ca="1">IFERROR(__xludf.DUMMYFUNCTION("""COMPUTED_VALUE"""),8)</f>
        <v>8</v>
      </c>
      <c r="V34">
        <f ca="1">IFERROR(__xludf.DUMMYFUNCTION("""COMPUTED_VALUE"""),59.4013)</f>
        <v>59.401299999999999</v>
      </c>
      <c r="W34">
        <f ca="1">IFERROR(__xludf.DUMMYFUNCTION("""COMPUTED_VALUE"""),343)</f>
        <v>343</v>
      </c>
      <c r="X34">
        <f ca="1">IFERROR(__xludf.DUMMYFUNCTION("""COMPUTED_VALUE"""),59.9908)</f>
        <v>59.9908</v>
      </c>
      <c r="Y34">
        <f ca="1">IFERROR(__xludf.DUMMYFUNCTION("""COMPUTED_VALUE"""),341)</f>
        <v>341</v>
      </c>
      <c r="Z34">
        <f ca="1">IFERROR(__xludf.DUMMYFUNCTION("""COMPUTED_VALUE"""),104.0583)</f>
        <v>104.0583</v>
      </c>
      <c r="AA34">
        <f ca="1">IFERROR(__xludf.DUMMYFUNCTION("""COMPUTED_VALUE"""),123)</f>
        <v>123</v>
      </c>
      <c r="AB34">
        <f ca="1">IFERROR(__xludf.DUMMYFUNCTION("""COMPUTED_VALUE"""),106.6968)</f>
        <v>106.6968</v>
      </c>
      <c r="AC34">
        <f ca="1">IFERROR(__xludf.DUMMYFUNCTION("""COMPUTED_VALUE"""),76)</f>
        <v>76</v>
      </c>
      <c r="AD34">
        <f ca="1">IFERROR(__xludf.DUMMYFUNCTION("""COMPUTED_VALUE"""),92.4216)</f>
        <v>92.421599999999998</v>
      </c>
      <c r="AE34">
        <f ca="1">IFERROR(__xludf.DUMMYFUNCTION("""COMPUTED_VALUE"""),13)</f>
        <v>13</v>
      </c>
      <c r="AF34">
        <f ca="1">IFERROR(__xludf.DUMMYFUNCTION("""COMPUTED_VALUE"""),93.2851)</f>
        <v>93.2851</v>
      </c>
      <c r="AG34">
        <f ca="1">IFERROR(__xludf.DUMMYFUNCTION("""COMPUTED_VALUE"""),18)</f>
        <v>18</v>
      </c>
      <c r="AH34">
        <f ca="1">IFERROR(__xludf.DUMMYFUNCTION("""COMPUTED_VALUE"""),0.824163)</f>
        <v>0.82416299999999998</v>
      </c>
      <c r="AI34">
        <f ca="1">IFERROR(__xludf.DUMMYFUNCTION("""COMPUTED_VALUE"""),34)</f>
        <v>34</v>
      </c>
      <c r="AJ34" s="14">
        <f ca="1">IFERROR(__xludf.DUMMYFUNCTION("""COMPUTED_VALUE"""),13.4116999999999)</f>
        <v>13.4116999999999</v>
      </c>
    </row>
    <row r="35" spans="1:36" ht="12.3" x14ac:dyDescent="0.4">
      <c r="A35" s="25" t="s">
        <v>34</v>
      </c>
      <c r="B35" s="25">
        <v>8</v>
      </c>
      <c r="C35" s="25">
        <v>59.401299999999999</v>
      </c>
      <c r="D35" s="25">
        <v>343</v>
      </c>
      <c r="E35" s="25">
        <v>59.9908</v>
      </c>
      <c r="F35" s="25">
        <v>341</v>
      </c>
      <c r="G35" s="25">
        <v>104.0583</v>
      </c>
      <c r="H35" s="25">
        <v>123</v>
      </c>
      <c r="I35" s="25">
        <v>106.6968</v>
      </c>
      <c r="J35" s="25">
        <v>76</v>
      </c>
      <c r="K35" s="25">
        <v>92.421599999999998</v>
      </c>
      <c r="L35" s="25">
        <v>13</v>
      </c>
      <c r="M35" s="25">
        <v>93.2851</v>
      </c>
      <c r="N35" s="25">
        <v>18</v>
      </c>
      <c r="O35" s="25">
        <v>0.82416299999999998</v>
      </c>
      <c r="P35" s="25">
        <v>34</v>
      </c>
      <c r="Q35" s="14">
        <f t="shared" si="0"/>
        <v>13.411699999999996</v>
      </c>
      <c r="S35" s="2">
        <f t="shared" si="1"/>
        <v>33</v>
      </c>
      <c r="T35" t="str">
        <f ca="1">IFERROR(__xludf.DUMMYFUNCTION("""COMPUTED_VALUE"""),"Stephen F. Austin")</f>
        <v>Stephen F. Austin</v>
      </c>
      <c r="U35">
        <f ca="1">IFERROR(__xludf.DUMMYFUNCTION("""COMPUTED_VALUE"""),12)</f>
        <v>12</v>
      </c>
      <c r="V35">
        <f ca="1">IFERROR(__xludf.DUMMYFUNCTION("""COMPUTED_VALUE"""),67.8623)</f>
        <v>67.862300000000005</v>
      </c>
      <c r="W35">
        <f ca="1">IFERROR(__xludf.DUMMYFUNCTION("""COMPUTED_VALUE"""),47)</f>
        <v>47</v>
      </c>
      <c r="X35">
        <f ca="1">IFERROR(__xludf.DUMMYFUNCTION("""COMPUTED_VALUE"""),66.7666)</f>
        <v>66.766599999999997</v>
      </c>
      <c r="Y35">
        <f ca="1">IFERROR(__xludf.DUMMYFUNCTION("""COMPUTED_VALUE"""),75)</f>
        <v>75</v>
      </c>
      <c r="Z35">
        <f ca="1">IFERROR(__xludf.DUMMYFUNCTION("""COMPUTED_VALUE"""),115.7403)</f>
        <v>115.7403</v>
      </c>
      <c r="AA35">
        <f ca="1">IFERROR(__xludf.DUMMYFUNCTION("""COMPUTED_VALUE"""),10)</f>
        <v>10</v>
      </c>
      <c r="AB35">
        <f ca="1">IFERROR(__xludf.DUMMYFUNCTION("""COMPUTED_VALUE"""),112.9876)</f>
        <v>112.9876</v>
      </c>
      <c r="AC35">
        <f ca="1">IFERROR(__xludf.DUMMYFUNCTION("""COMPUTED_VALUE"""),19)</f>
        <v>19</v>
      </c>
      <c r="AD35">
        <f ca="1">IFERROR(__xludf.DUMMYFUNCTION("""COMPUTED_VALUE"""),96.5187)</f>
        <v>96.518699999999995</v>
      </c>
      <c r="AE35">
        <f ca="1">IFERROR(__xludf.DUMMYFUNCTION("""COMPUTED_VALUE"""),57)</f>
        <v>57</v>
      </c>
      <c r="AF35">
        <f ca="1">IFERROR(__xludf.DUMMYFUNCTION("""COMPUTED_VALUE"""),99.1309)</f>
        <v>99.130899999999997</v>
      </c>
      <c r="AG35">
        <f ca="1">IFERROR(__xludf.DUMMYFUNCTION("""COMPUTED_VALUE"""),103)</f>
        <v>103</v>
      </c>
      <c r="AH35">
        <f ca="1">IFERROR(__xludf.DUMMYFUNCTION("""COMPUTED_VALUE"""),0.818263)</f>
        <v>0.81826299999999996</v>
      </c>
      <c r="AI35">
        <f ca="1">IFERROR(__xludf.DUMMYFUNCTION("""COMPUTED_VALUE"""),35)</f>
        <v>35</v>
      </c>
      <c r="AJ35" s="14">
        <f ca="1">IFERROR(__xludf.DUMMYFUNCTION("""COMPUTED_VALUE"""),13.8567)</f>
        <v>13.8567</v>
      </c>
    </row>
    <row r="36" spans="1:36" ht="12.3" x14ac:dyDescent="0.4">
      <c r="A36" s="25" t="s">
        <v>282</v>
      </c>
      <c r="B36" s="25">
        <v>12</v>
      </c>
      <c r="C36" s="25">
        <v>67.862300000000005</v>
      </c>
      <c r="D36" s="25">
        <v>47</v>
      </c>
      <c r="E36" s="25">
        <v>66.766599999999997</v>
      </c>
      <c r="F36" s="25">
        <v>75</v>
      </c>
      <c r="G36" s="25">
        <v>115.7403</v>
      </c>
      <c r="H36" s="25">
        <v>10</v>
      </c>
      <c r="I36" s="25">
        <v>112.9876</v>
      </c>
      <c r="J36" s="25">
        <v>19</v>
      </c>
      <c r="K36" s="25">
        <v>96.518699999999995</v>
      </c>
      <c r="L36" s="25">
        <v>57</v>
      </c>
      <c r="M36" s="25">
        <v>99.130899999999997</v>
      </c>
      <c r="N36" s="25">
        <v>103</v>
      </c>
      <c r="O36" s="25">
        <v>0.81826299999999996</v>
      </c>
      <c r="P36" s="25">
        <v>35</v>
      </c>
      <c r="Q36" s="14">
        <f t="shared" si="0"/>
        <v>13.856700000000004</v>
      </c>
      <c r="S36" s="2">
        <f t="shared" si="1"/>
        <v>34</v>
      </c>
      <c r="T36" t="str">
        <f ca="1">IFERROR(__xludf.DUMMYFUNCTION("""COMPUTED_VALUE"""),"Georgia")</f>
        <v>Georgia</v>
      </c>
      <c r="U36">
        <f ca="1">IFERROR(__xludf.DUMMYFUNCTION("""COMPUTED_VALUE"""),10)</f>
        <v>10</v>
      </c>
      <c r="V36">
        <f ca="1">IFERROR(__xludf.DUMMYFUNCTION("""COMPUTED_VALUE"""),64.7737)</f>
        <v>64.773700000000005</v>
      </c>
      <c r="W36">
        <f ca="1">IFERROR(__xludf.DUMMYFUNCTION("""COMPUTED_VALUE"""),173)</f>
        <v>173</v>
      </c>
      <c r="X36">
        <f ca="1">IFERROR(__xludf.DUMMYFUNCTION("""COMPUTED_VALUE"""),64.1785)</f>
        <v>64.1785</v>
      </c>
      <c r="Y36">
        <f ca="1">IFERROR(__xludf.DUMMYFUNCTION("""COMPUTED_VALUE"""),201)</f>
        <v>201</v>
      </c>
      <c r="Z36">
        <f ca="1">IFERROR(__xludf.DUMMYFUNCTION("""COMPUTED_VALUE"""),103.2958)</f>
        <v>103.2958</v>
      </c>
      <c r="AA36">
        <f ca="1">IFERROR(__xludf.DUMMYFUNCTION("""COMPUTED_VALUE"""),144)</f>
        <v>144</v>
      </c>
      <c r="AB36">
        <f ca="1">IFERROR(__xludf.DUMMYFUNCTION("""COMPUTED_VALUE"""),107.0152)</f>
        <v>107.01519999999999</v>
      </c>
      <c r="AC36">
        <f ca="1">IFERROR(__xludf.DUMMYFUNCTION("""COMPUTED_VALUE"""),74)</f>
        <v>74</v>
      </c>
      <c r="AD36">
        <f ca="1">IFERROR(__xludf.DUMMYFUNCTION("""COMPUTED_VALUE"""),96.9056)</f>
        <v>96.905600000000007</v>
      </c>
      <c r="AE36">
        <f ca="1">IFERROR(__xludf.DUMMYFUNCTION("""COMPUTED_VALUE"""),67)</f>
        <v>67</v>
      </c>
      <c r="AF36">
        <f ca="1">IFERROR(__xludf.DUMMYFUNCTION("""COMPUTED_VALUE"""),93.9191)</f>
        <v>93.9191</v>
      </c>
      <c r="AG36">
        <f ca="1">IFERROR(__xludf.DUMMYFUNCTION("""COMPUTED_VALUE"""),28)</f>
        <v>28</v>
      </c>
      <c r="AH36">
        <f ca="1">IFERROR(__xludf.DUMMYFUNCTION("""COMPUTED_VALUE"""),0.817751)</f>
        <v>0.81775100000000001</v>
      </c>
      <c r="AI36">
        <f ca="1">IFERROR(__xludf.DUMMYFUNCTION("""COMPUTED_VALUE"""),36)</f>
        <v>36</v>
      </c>
      <c r="AJ36" s="14">
        <f ca="1">IFERROR(__xludf.DUMMYFUNCTION("""COMPUTED_VALUE"""),13.0960999999999)</f>
        <v>13.0960999999999</v>
      </c>
    </row>
    <row r="37" spans="1:36" ht="12.3" x14ac:dyDescent="0.4">
      <c r="A37" s="25" t="s">
        <v>19</v>
      </c>
      <c r="B37" s="25">
        <v>10</v>
      </c>
      <c r="C37" s="25">
        <v>64.773700000000005</v>
      </c>
      <c r="D37" s="25">
        <v>173</v>
      </c>
      <c r="E37" s="25">
        <v>64.1785</v>
      </c>
      <c r="F37" s="25">
        <v>201</v>
      </c>
      <c r="G37" s="25">
        <v>103.2958</v>
      </c>
      <c r="H37" s="25">
        <v>144</v>
      </c>
      <c r="I37" s="25">
        <v>107.01519999999999</v>
      </c>
      <c r="J37" s="25">
        <v>74</v>
      </c>
      <c r="K37" s="25">
        <v>96.905600000000007</v>
      </c>
      <c r="L37" s="25">
        <v>67</v>
      </c>
      <c r="M37" s="25">
        <v>93.9191</v>
      </c>
      <c r="N37" s="25">
        <v>28</v>
      </c>
      <c r="O37" s="25">
        <v>0.81775100000000001</v>
      </c>
      <c r="P37" s="25">
        <v>36</v>
      </c>
      <c r="Q37" s="14">
        <f t="shared" si="0"/>
        <v>13.096099999999993</v>
      </c>
      <c r="S37" s="2">
        <f t="shared" si="1"/>
        <v>35</v>
      </c>
      <c r="T37" t="str">
        <f ca="1">IFERROR(__xludf.DUMMYFUNCTION("""COMPUTED_VALUE"""),"Oklahoma St.")</f>
        <v>Oklahoma St.</v>
      </c>
      <c r="U37">
        <f ca="1">IFERROR(__xludf.DUMMYFUNCTION("""COMPUTED_VALUE"""),9)</f>
        <v>9</v>
      </c>
      <c r="V37">
        <f ca="1">IFERROR(__xludf.DUMMYFUNCTION("""COMPUTED_VALUE"""),64.1401)</f>
        <v>64.140100000000004</v>
      </c>
      <c r="W37">
        <f ca="1">IFERROR(__xludf.DUMMYFUNCTION("""COMPUTED_VALUE"""),214)</f>
        <v>214</v>
      </c>
      <c r="X37">
        <f ca="1">IFERROR(__xludf.DUMMYFUNCTION("""COMPUTED_VALUE"""),63.2804)</f>
        <v>63.2804</v>
      </c>
      <c r="Y37">
        <f ca="1">IFERROR(__xludf.DUMMYFUNCTION("""COMPUTED_VALUE"""),259)</f>
        <v>259</v>
      </c>
      <c r="Z37">
        <f ca="1">IFERROR(__xludf.DUMMYFUNCTION("""COMPUTED_VALUE"""),103.2058)</f>
        <v>103.2058</v>
      </c>
      <c r="AA37">
        <f ca="1">IFERROR(__xludf.DUMMYFUNCTION("""COMPUTED_VALUE"""),146)</f>
        <v>146</v>
      </c>
      <c r="AB37">
        <f ca="1">IFERROR(__xludf.DUMMYFUNCTION("""COMPUTED_VALUE"""),109.4165)</f>
        <v>109.4165</v>
      </c>
      <c r="AC37">
        <f ca="1">IFERROR(__xludf.DUMMYFUNCTION("""COMPUTED_VALUE"""),49)</f>
        <v>49</v>
      </c>
      <c r="AD37">
        <f ca="1">IFERROR(__xludf.DUMMYFUNCTION("""COMPUTED_VALUE"""),97.5637)</f>
        <v>97.563699999999997</v>
      </c>
      <c r="AE37">
        <f ca="1">IFERROR(__xludf.DUMMYFUNCTION("""COMPUTED_VALUE"""),78)</f>
        <v>78</v>
      </c>
      <c r="AF37">
        <f ca="1">IFERROR(__xludf.DUMMYFUNCTION("""COMPUTED_VALUE"""),96.2306)</f>
        <v>96.230599999999995</v>
      </c>
      <c r="AG37">
        <f ca="1">IFERROR(__xludf.DUMMYFUNCTION("""COMPUTED_VALUE"""),58)</f>
        <v>58</v>
      </c>
      <c r="AH37">
        <f ca="1">IFERROR(__xludf.DUMMYFUNCTION("""COMPUTED_VALUE"""),0.814084)</f>
        <v>0.81408400000000003</v>
      </c>
      <c r="AI37">
        <f ca="1">IFERROR(__xludf.DUMMYFUNCTION("""COMPUTED_VALUE"""),37)</f>
        <v>37</v>
      </c>
      <c r="AJ37" s="14">
        <f ca="1">IFERROR(__xludf.DUMMYFUNCTION("""COMPUTED_VALUE"""),13.1859)</f>
        <v>13.1859</v>
      </c>
    </row>
    <row r="38" spans="1:36" ht="12.3" x14ac:dyDescent="0.4">
      <c r="A38" s="25" t="s">
        <v>72</v>
      </c>
      <c r="B38" s="25">
        <v>9</v>
      </c>
      <c r="C38" s="25">
        <v>64.140100000000004</v>
      </c>
      <c r="D38" s="25">
        <v>214</v>
      </c>
      <c r="E38" s="25">
        <v>63.2804</v>
      </c>
      <c r="F38" s="25">
        <v>259</v>
      </c>
      <c r="G38" s="25">
        <v>103.2058</v>
      </c>
      <c r="H38" s="25">
        <v>146</v>
      </c>
      <c r="I38" s="25">
        <v>109.4165</v>
      </c>
      <c r="J38" s="25">
        <v>49</v>
      </c>
      <c r="K38" s="25">
        <v>97.563699999999997</v>
      </c>
      <c r="L38" s="25">
        <v>78</v>
      </c>
      <c r="M38" s="25">
        <v>96.230599999999995</v>
      </c>
      <c r="N38" s="25">
        <v>58</v>
      </c>
      <c r="O38" s="25">
        <v>0.81408400000000003</v>
      </c>
      <c r="P38" s="25">
        <v>37</v>
      </c>
      <c r="Q38" s="14">
        <f t="shared" si="0"/>
        <v>13.185900000000004</v>
      </c>
      <c r="S38" s="2">
        <f t="shared" si="1"/>
        <v>36</v>
      </c>
      <c r="T38" t="str">
        <f ca="1">IFERROR(__xludf.DUMMYFUNCTION("""COMPUTED_VALUE"""),"North Carolina St.")</f>
        <v>North Carolina St.</v>
      </c>
      <c r="U38">
        <f ca="1">IFERROR(__xludf.DUMMYFUNCTION("""COMPUTED_VALUE"""),8)</f>
        <v>8</v>
      </c>
      <c r="V38">
        <f ca="1">IFERROR(__xludf.DUMMYFUNCTION("""COMPUTED_VALUE"""),64.4741)</f>
        <v>64.474100000000007</v>
      </c>
      <c r="W38">
        <f ca="1">IFERROR(__xludf.DUMMYFUNCTION("""COMPUTED_VALUE"""),193)</f>
        <v>193</v>
      </c>
      <c r="X38">
        <f ca="1">IFERROR(__xludf.DUMMYFUNCTION("""COMPUTED_VALUE"""),64.4344)</f>
        <v>64.434399999999997</v>
      </c>
      <c r="Y38">
        <f ca="1">IFERROR(__xludf.DUMMYFUNCTION("""COMPUTED_VALUE"""),189)</f>
        <v>189</v>
      </c>
      <c r="Z38">
        <f ca="1">IFERROR(__xludf.DUMMYFUNCTION("""COMPUTED_VALUE"""),108.1518)</f>
        <v>108.15179999999999</v>
      </c>
      <c r="AA38">
        <f ca="1">IFERROR(__xludf.DUMMYFUNCTION("""COMPUTED_VALUE"""),54)</f>
        <v>54</v>
      </c>
      <c r="AB38">
        <f ca="1">IFERROR(__xludf.DUMMYFUNCTION("""COMPUTED_VALUE"""),111.4712)</f>
        <v>111.4712</v>
      </c>
      <c r="AC38">
        <f ca="1">IFERROR(__xludf.DUMMYFUNCTION("""COMPUTED_VALUE"""),30)</f>
        <v>30</v>
      </c>
      <c r="AD38">
        <f ca="1">IFERROR(__xludf.DUMMYFUNCTION("""COMPUTED_VALUE"""),101.0564)</f>
        <v>101.0564</v>
      </c>
      <c r="AE38">
        <f ca="1">IFERROR(__xludf.DUMMYFUNCTION("""COMPUTED_VALUE"""),148)</f>
        <v>148</v>
      </c>
      <c r="AF38">
        <f ca="1">IFERROR(__xludf.DUMMYFUNCTION("""COMPUTED_VALUE"""),98.203)</f>
        <v>98.203000000000003</v>
      </c>
      <c r="AG38">
        <f ca="1">IFERROR(__xludf.DUMMYFUNCTION("""COMPUTED_VALUE"""),89)</f>
        <v>89</v>
      </c>
      <c r="AH38">
        <f ca="1">IFERROR(__xludf.DUMMYFUNCTION("""COMPUTED_VALUE"""),0.811134)</f>
        <v>0.81113400000000002</v>
      </c>
      <c r="AI38">
        <f ca="1">IFERROR(__xludf.DUMMYFUNCTION("""COMPUTED_VALUE"""),38)</f>
        <v>38</v>
      </c>
      <c r="AJ38" s="14">
        <f ca="1">IFERROR(__xludf.DUMMYFUNCTION("""COMPUTED_VALUE"""),13.2681999999999)</f>
        <v>13.268199999999901</v>
      </c>
    </row>
    <row r="39" spans="1:36" ht="12.3" x14ac:dyDescent="0.4">
      <c r="A39" s="25" t="s">
        <v>55</v>
      </c>
      <c r="B39" s="25">
        <v>8</v>
      </c>
      <c r="C39" s="25">
        <v>64.474100000000007</v>
      </c>
      <c r="D39" s="25">
        <v>193</v>
      </c>
      <c r="E39" s="25">
        <v>64.434399999999997</v>
      </c>
      <c r="F39" s="25">
        <v>189</v>
      </c>
      <c r="G39" s="25">
        <v>108.15179999999999</v>
      </c>
      <c r="H39" s="25">
        <v>54</v>
      </c>
      <c r="I39" s="25">
        <v>111.4712</v>
      </c>
      <c r="J39" s="25">
        <v>30</v>
      </c>
      <c r="K39" s="25">
        <v>101.0564</v>
      </c>
      <c r="L39" s="25">
        <v>148</v>
      </c>
      <c r="M39" s="25">
        <v>98.203000000000003</v>
      </c>
      <c r="N39" s="25">
        <v>89</v>
      </c>
      <c r="O39" s="25">
        <v>0.81113400000000002</v>
      </c>
      <c r="P39" s="25">
        <v>38</v>
      </c>
      <c r="Q39" s="14">
        <f t="shared" si="0"/>
        <v>13.268199999999993</v>
      </c>
      <c r="S39" s="2">
        <f t="shared" si="1"/>
        <v>37</v>
      </c>
      <c r="T39" t="str">
        <f ca="1">IFERROR(__xludf.DUMMYFUNCTION("""COMPUTED_VALUE"""),"Boise St.")</f>
        <v>Boise St.</v>
      </c>
      <c r="U39">
        <f ca="1">IFERROR(__xludf.DUMMYFUNCTION("""COMPUTED_VALUE"""),11)</f>
        <v>11</v>
      </c>
      <c r="V39">
        <f ca="1">IFERROR(__xludf.DUMMYFUNCTION("""COMPUTED_VALUE"""),62.3307)</f>
        <v>62.3307</v>
      </c>
      <c r="W39">
        <f ca="1">IFERROR(__xludf.DUMMYFUNCTION("""COMPUTED_VALUE"""),295)</f>
        <v>295</v>
      </c>
      <c r="X39">
        <f ca="1">IFERROR(__xludf.DUMMYFUNCTION("""COMPUTED_VALUE"""),63.7369)</f>
        <v>63.736899999999999</v>
      </c>
      <c r="Y39">
        <f ca="1">IFERROR(__xludf.DUMMYFUNCTION("""COMPUTED_VALUE"""),232)</f>
        <v>232</v>
      </c>
      <c r="Z39">
        <f ca="1">IFERROR(__xludf.DUMMYFUNCTION("""COMPUTED_VALUE"""),109.924)</f>
        <v>109.92400000000001</v>
      </c>
      <c r="AA39">
        <f ca="1">IFERROR(__xludf.DUMMYFUNCTION("""COMPUTED_VALUE"""),34)</f>
        <v>34</v>
      </c>
      <c r="AB39">
        <f ca="1">IFERROR(__xludf.DUMMYFUNCTION("""COMPUTED_VALUE"""),109.4215)</f>
        <v>109.42149999999999</v>
      </c>
      <c r="AC39">
        <f ca="1">IFERROR(__xludf.DUMMYFUNCTION("""COMPUTED_VALUE"""),48)</f>
        <v>48</v>
      </c>
      <c r="AD39">
        <f ca="1">IFERROR(__xludf.DUMMYFUNCTION("""COMPUTED_VALUE"""),95.9639)</f>
        <v>95.963899999999995</v>
      </c>
      <c r="AE39">
        <f ca="1">IFERROR(__xludf.DUMMYFUNCTION("""COMPUTED_VALUE"""),45)</f>
        <v>45</v>
      </c>
      <c r="AF39">
        <f ca="1">IFERROR(__xludf.DUMMYFUNCTION("""COMPUTED_VALUE"""),96.5067)</f>
        <v>96.506699999999995</v>
      </c>
      <c r="AG39">
        <f ca="1">IFERROR(__xludf.DUMMYFUNCTION("""COMPUTED_VALUE"""),64)</f>
        <v>64</v>
      </c>
      <c r="AH39">
        <f ca="1">IFERROR(__xludf.DUMMYFUNCTION("""COMPUTED_VALUE"""),0.809125)</f>
        <v>0.80912499999999998</v>
      </c>
      <c r="AI39">
        <f ca="1">IFERROR(__xludf.DUMMYFUNCTION("""COMPUTED_VALUE"""),39)</f>
        <v>39</v>
      </c>
      <c r="AJ39" s="14">
        <f ca="1">IFERROR(__xludf.DUMMYFUNCTION("""COMPUTED_VALUE"""),12.9148)</f>
        <v>12.9148</v>
      </c>
    </row>
    <row r="40" spans="1:36" ht="12.3" x14ac:dyDescent="0.4">
      <c r="A40" s="25" t="s">
        <v>212</v>
      </c>
      <c r="B40" s="25">
        <v>11</v>
      </c>
      <c r="C40" s="25">
        <v>62.3307</v>
      </c>
      <c r="D40" s="25">
        <v>295</v>
      </c>
      <c r="E40" s="25">
        <v>63.736899999999999</v>
      </c>
      <c r="F40" s="25">
        <v>232</v>
      </c>
      <c r="G40" s="25">
        <v>109.92400000000001</v>
      </c>
      <c r="H40" s="25">
        <v>34</v>
      </c>
      <c r="I40" s="25">
        <v>109.42149999999999</v>
      </c>
      <c r="J40" s="25">
        <v>48</v>
      </c>
      <c r="K40" s="25">
        <v>95.963899999999995</v>
      </c>
      <c r="L40" s="25">
        <v>45</v>
      </c>
      <c r="M40" s="25">
        <v>96.506699999999995</v>
      </c>
      <c r="N40" s="25">
        <v>64</v>
      </c>
      <c r="O40" s="25">
        <v>0.80912499999999998</v>
      </c>
      <c r="P40" s="25">
        <v>39</v>
      </c>
      <c r="Q40" s="14">
        <f t="shared" si="0"/>
        <v>12.9148</v>
      </c>
    </row>
    <row r="41" spans="1:36" ht="12.3" x14ac:dyDescent="0.4">
      <c r="A41" s="25" t="s">
        <v>64</v>
      </c>
      <c r="B41" s="25">
        <v>11</v>
      </c>
      <c r="C41" s="25">
        <v>64.366</v>
      </c>
      <c r="D41" s="25">
        <v>199</v>
      </c>
      <c r="E41" s="25">
        <v>63.979500000000002</v>
      </c>
      <c r="F41" s="25">
        <v>214</v>
      </c>
      <c r="G41" s="25">
        <v>105.5587</v>
      </c>
      <c r="H41" s="25">
        <v>93</v>
      </c>
      <c r="I41" s="25">
        <v>107.1481</v>
      </c>
      <c r="J41" s="25">
        <v>73</v>
      </c>
      <c r="K41" s="25">
        <v>94.128699999999995</v>
      </c>
      <c r="L41" s="25">
        <v>24</v>
      </c>
      <c r="M41" s="25">
        <v>94.681200000000004</v>
      </c>
      <c r="N41" s="25">
        <v>38</v>
      </c>
      <c r="O41" s="25">
        <v>0.80573099999999998</v>
      </c>
      <c r="P41" s="25">
        <v>40</v>
      </c>
      <c r="Q41" s="14">
        <f t="shared" si="0"/>
        <v>12.466899999999995</v>
      </c>
    </row>
    <row r="42" spans="1:36" ht="12.3" x14ac:dyDescent="0.4">
      <c r="A42" s="25" t="s">
        <v>65</v>
      </c>
      <c r="B42" s="25">
        <v>11</v>
      </c>
      <c r="C42" s="25">
        <v>67.521600000000007</v>
      </c>
      <c r="D42" s="25">
        <v>60</v>
      </c>
      <c r="E42" s="25">
        <v>66.040800000000004</v>
      </c>
      <c r="F42" s="25">
        <v>111</v>
      </c>
      <c r="G42" s="25">
        <v>105.51690000000001</v>
      </c>
      <c r="H42" s="25">
        <v>95</v>
      </c>
      <c r="I42" s="25">
        <v>110.1957</v>
      </c>
      <c r="J42" s="25">
        <v>45</v>
      </c>
      <c r="K42" s="25">
        <v>100.3759</v>
      </c>
      <c r="L42" s="25">
        <v>132</v>
      </c>
      <c r="M42" s="25">
        <v>97.382400000000004</v>
      </c>
      <c r="N42" s="25">
        <v>76</v>
      </c>
      <c r="O42" s="25">
        <v>0.80557999999999996</v>
      </c>
      <c r="P42" s="25">
        <v>41</v>
      </c>
      <c r="Q42" s="14">
        <f t="shared" si="0"/>
        <v>12.813299999999998</v>
      </c>
    </row>
    <row r="43" spans="1:36" ht="12.3" x14ac:dyDescent="0.4">
      <c r="A43" s="25" t="s">
        <v>102</v>
      </c>
      <c r="B43" s="25">
        <v>9</v>
      </c>
      <c r="C43" s="25">
        <v>67.391999999999996</v>
      </c>
      <c r="D43" s="25">
        <v>64</v>
      </c>
      <c r="E43" s="25">
        <v>67.1036</v>
      </c>
      <c r="F43" s="25">
        <v>61</v>
      </c>
      <c r="G43" s="25">
        <v>104.3664</v>
      </c>
      <c r="H43" s="25">
        <v>117</v>
      </c>
      <c r="I43" s="25">
        <v>108.0677</v>
      </c>
      <c r="J43" s="25">
        <v>62</v>
      </c>
      <c r="K43" s="25">
        <v>99.385199999999998</v>
      </c>
      <c r="L43" s="25">
        <v>115</v>
      </c>
      <c r="M43" s="25">
        <v>95.694500000000005</v>
      </c>
      <c r="N43" s="25">
        <v>51</v>
      </c>
      <c r="O43" s="25">
        <v>0.801925</v>
      </c>
      <c r="P43" s="25">
        <v>42</v>
      </c>
      <c r="Q43" s="14">
        <f t="shared" si="0"/>
        <v>12.373199999999997</v>
      </c>
    </row>
    <row r="44" spans="1:36" ht="12.3" x14ac:dyDescent="0.4">
      <c r="A44" s="25" t="s">
        <v>85</v>
      </c>
      <c r="B44" s="25">
        <v>9</v>
      </c>
      <c r="C44" s="25">
        <v>69.757999999999996</v>
      </c>
      <c r="D44" s="25">
        <v>13</v>
      </c>
      <c r="E44" s="25">
        <v>69.774799999999999</v>
      </c>
      <c r="F44" s="25">
        <v>13</v>
      </c>
      <c r="G44" s="25">
        <v>103.49469999999999</v>
      </c>
      <c r="H44" s="25">
        <v>138</v>
      </c>
      <c r="I44" s="25">
        <v>106.8287</v>
      </c>
      <c r="J44" s="25">
        <v>75</v>
      </c>
      <c r="K44" s="25">
        <v>95.167500000000004</v>
      </c>
      <c r="L44" s="25">
        <v>36</v>
      </c>
      <c r="M44" s="25">
        <v>94.665899999999993</v>
      </c>
      <c r="N44" s="25">
        <v>37</v>
      </c>
      <c r="O44" s="25">
        <v>0.80059899999999995</v>
      </c>
      <c r="P44" s="25">
        <v>43</v>
      </c>
      <c r="Q44" s="14">
        <f t="shared" si="0"/>
        <v>12.162800000000004</v>
      </c>
    </row>
    <row r="45" spans="1:36" ht="12.3" x14ac:dyDescent="0.4">
      <c r="A45" s="25" t="s">
        <v>51</v>
      </c>
      <c r="B45" s="25">
        <v>11</v>
      </c>
      <c r="C45" s="25">
        <v>66.566199999999995</v>
      </c>
      <c r="D45" s="25">
        <v>92</v>
      </c>
      <c r="E45" s="25">
        <v>66.4054</v>
      </c>
      <c r="F45" s="25">
        <v>94</v>
      </c>
      <c r="G45" s="25">
        <v>108.54</v>
      </c>
      <c r="H45" s="25">
        <v>50</v>
      </c>
      <c r="I45" s="25">
        <v>112.9358</v>
      </c>
      <c r="J45" s="25">
        <v>22</v>
      </c>
      <c r="K45" s="25">
        <v>100.5981</v>
      </c>
      <c r="L45" s="25">
        <v>137</v>
      </c>
      <c r="M45" s="25">
        <v>100.13460000000001</v>
      </c>
      <c r="N45" s="25">
        <v>125</v>
      </c>
      <c r="O45" s="25">
        <v>0.79955399999999999</v>
      </c>
      <c r="P45" s="25">
        <v>44</v>
      </c>
      <c r="Q45" s="14">
        <f t="shared" si="0"/>
        <v>12.801199999999994</v>
      </c>
    </row>
    <row r="46" spans="1:36" ht="12.3" x14ac:dyDescent="0.4">
      <c r="A46" s="25" t="s">
        <v>41</v>
      </c>
      <c r="B46" s="25">
        <v>8</v>
      </c>
      <c r="C46" s="25">
        <v>67.776600000000002</v>
      </c>
      <c r="D46" s="25">
        <v>50</v>
      </c>
      <c r="E46" s="25">
        <v>66.543999999999997</v>
      </c>
      <c r="F46" s="25">
        <v>87</v>
      </c>
      <c r="G46" s="25">
        <v>108.9756</v>
      </c>
      <c r="H46" s="25">
        <v>44</v>
      </c>
      <c r="I46" s="25">
        <v>113.3464</v>
      </c>
      <c r="J46" s="25">
        <v>16</v>
      </c>
      <c r="K46" s="25">
        <v>103.4173</v>
      </c>
      <c r="L46" s="25">
        <v>198</v>
      </c>
      <c r="M46" s="25">
        <v>100.6238</v>
      </c>
      <c r="N46" s="25">
        <v>134</v>
      </c>
      <c r="O46" s="25">
        <v>0.79724899999999999</v>
      </c>
      <c r="P46" s="25">
        <v>46</v>
      </c>
      <c r="Q46" s="14">
        <f t="shared" si="0"/>
        <v>12.7226</v>
      </c>
    </row>
    <row r="47" spans="1:36" ht="12.3" x14ac:dyDescent="0.4">
      <c r="A47" s="25" t="s">
        <v>121</v>
      </c>
      <c r="B47" s="25">
        <v>9</v>
      </c>
      <c r="C47" s="25">
        <v>65.047399999999996</v>
      </c>
      <c r="D47" s="25">
        <v>159</v>
      </c>
      <c r="E47" s="25">
        <v>64.540499999999994</v>
      </c>
      <c r="F47" s="25">
        <v>180</v>
      </c>
      <c r="G47" s="25">
        <v>106.5732</v>
      </c>
      <c r="H47" s="25">
        <v>71</v>
      </c>
      <c r="I47" s="25">
        <v>108.4853</v>
      </c>
      <c r="J47" s="25">
        <v>57</v>
      </c>
      <c r="K47" s="25">
        <v>98.530299999999997</v>
      </c>
      <c r="L47" s="25">
        <v>95</v>
      </c>
      <c r="M47" s="25">
        <v>97.056399999999996</v>
      </c>
      <c r="N47" s="25">
        <v>69</v>
      </c>
      <c r="O47" s="25">
        <v>0.78248499999999999</v>
      </c>
      <c r="P47" s="25">
        <v>49</v>
      </c>
      <c r="Q47" s="14">
        <f t="shared" si="0"/>
        <v>11.428899999999999</v>
      </c>
    </row>
    <row r="48" spans="1:36" ht="12.3" x14ac:dyDescent="0.4">
      <c r="A48" s="25" t="s">
        <v>40</v>
      </c>
      <c r="B48" s="25">
        <v>10</v>
      </c>
      <c r="C48" s="25">
        <v>66.840699999999998</v>
      </c>
      <c r="D48" s="25">
        <v>80</v>
      </c>
      <c r="E48" s="25">
        <v>66.5749</v>
      </c>
      <c r="F48" s="25">
        <v>84</v>
      </c>
      <c r="G48" s="25">
        <v>115.3436</v>
      </c>
      <c r="H48" s="25">
        <v>12</v>
      </c>
      <c r="I48" s="25">
        <v>116.60550000000001</v>
      </c>
      <c r="J48" s="25">
        <v>10</v>
      </c>
      <c r="K48" s="25">
        <v>106.7491</v>
      </c>
      <c r="L48" s="25">
        <v>279</v>
      </c>
      <c r="M48" s="25">
        <v>104.6528</v>
      </c>
      <c r="N48" s="25">
        <v>216</v>
      </c>
      <c r="O48" s="25">
        <v>0.77620900000000004</v>
      </c>
      <c r="P48" s="25">
        <v>53</v>
      </c>
      <c r="Q48" s="14">
        <f t="shared" si="0"/>
        <v>11.952700000000007</v>
      </c>
    </row>
    <row r="49" spans="1:17" ht="12.3" x14ac:dyDescent="0.4">
      <c r="A49" s="25" t="s">
        <v>213</v>
      </c>
      <c r="B49" s="25">
        <v>12</v>
      </c>
      <c r="C49" s="25">
        <v>68.8703</v>
      </c>
      <c r="D49" s="25">
        <v>24</v>
      </c>
      <c r="E49" s="25">
        <v>69.258899999999997</v>
      </c>
      <c r="F49" s="25">
        <v>20</v>
      </c>
      <c r="G49" s="25">
        <v>108.9585</v>
      </c>
      <c r="H49" s="25">
        <v>45</v>
      </c>
      <c r="I49" s="25">
        <v>109.75109999999999</v>
      </c>
      <c r="J49" s="25">
        <v>47</v>
      </c>
      <c r="K49" s="25">
        <v>99.291399999999996</v>
      </c>
      <c r="L49" s="25">
        <v>113</v>
      </c>
      <c r="M49" s="25">
        <v>98.515000000000001</v>
      </c>
      <c r="N49" s="25">
        <v>94</v>
      </c>
      <c r="O49" s="25">
        <v>0.77592300000000003</v>
      </c>
      <c r="P49" s="25">
        <v>54</v>
      </c>
      <c r="Q49" s="14">
        <f t="shared" si="0"/>
        <v>11.236099999999993</v>
      </c>
    </row>
    <row r="50" spans="1:17" ht="12.3" x14ac:dyDescent="0.4">
      <c r="A50" s="25" t="s">
        <v>74</v>
      </c>
      <c r="B50" s="25">
        <v>13</v>
      </c>
      <c r="C50" s="25">
        <v>63.183</v>
      </c>
      <c r="D50" s="25">
        <v>264</v>
      </c>
      <c r="E50" s="25">
        <v>62.755800000000001</v>
      </c>
      <c r="F50" s="25">
        <v>275</v>
      </c>
      <c r="G50" s="25">
        <v>107.5521</v>
      </c>
      <c r="H50" s="25">
        <v>58</v>
      </c>
      <c r="I50" s="25">
        <v>103.7859</v>
      </c>
      <c r="J50" s="25">
        <v>129</v>
      </c>
      <c r="K50" s="25">
        <v>93.935900000000004</v>
      </c>
      <c r="L50" s="25">
        <v>23</v>
      </c>
      <c r="M50" s="25">
        <v>94.3339</v>
      </c>
      <c r="N50" s="25">
        <v>31</v>
      </c>
      <c r="O50" s="25">
        <v>0.74990999999999997</v>
      </c>
      <c r="P50" s="25">
        <v>63</v>
      </c>
      <c r="Q50" s="14">
        <f t="shared" si="0"/>
        <v>9.4519999999999982</v>
      </c>
    </row>
    <row r="51" spans="1:17" ht="12.3" x14ac:dyDescent="0.4">
      <c r="A51" s="25" t="s">
        <v>152</v>
      </c>
      <c r="B51" s="25">
        <v>14</v>
      </c>
      <c r="C51" s="25">
        <v>64.316800000000001</v>
      </c>
      <c r="D51" s="25">
        <v>203</v>
      </c>
      <c r="E51" s="25">
        <v>63.297199999999997</v>
      </c>
      <c r="F51" s="25">
        <v>258</v>
      </c>
      <c r="G51" s="25">
        <v>108.6194</v>
      </c>
      <c r="H51" s="25">
        <v>48</v>
      </c>
      <c r="I51" s="25">
        <v>108.4051</v>
      </c>
      <c r="J51" s="25">
        <v>58</v>
      </c>
      <c r="K51" s="25">
        <v>95.783299999999997</v>
      </c>
      <c r="L51" s="25">
        <v>43</v>
      </c>
      <c r="M51" s="25">
        <v>99.227999999999994</v>
      </c>
      <c r="N51" s="25">
        <v>106</v>
      </c>
      <c r="O51" s="25">
        <v>0.73443199999999997</v>
      </c>
      <c r="P51" s="25">
        <v>71</v>
      </c>
      <c r="Q51" s="14">
        <f t="shared" si="0"/>
        <v>9.17710000000001</v>
      </c>
    </row>
    <row r="52" spans="1:17" ht="12.3" x14ac:dyDescent="0.4">
      <c r="A52" s="25" t="s">
        <v>255</v>
      </c>
      <c r="B52" s="25">
        <v>13</v>
      </c>
      <c r="C52" s="25">
        <v>61.022599999999997</v>
      </c>
      <c r="D52" s="25">
        <v>326</v>
      </c>
      <c r="E52" s="25">
        <v>61.493699999999997</v>
      </c>
      <c r="F52" s="25">
        <v>317</v>
      </c>
      <c r="G52" s="25">
        <v>101.7488</v>
      </c>
      <c r="H52" s="25">
        <v>181</v>
      </c>
      <c r="I52" s="25">
        <v>102.02209999999999</v>
      </c>
      <c r="J52" s="25">
        <v>170</v>
      </c>
      <c r="K52" s="25">
        <v>93.631200000000007</v>
      </c>
      <c r="L52" s="25">
        <v>20</v>
      </c>
      <c r="M52" s="25">
        <v>94.544600000000003</v>
      </c>
      <c r="N52" s="25">
        <v>34</v>
      </c>
      <c r="O52" s="25">
        <v>0.70585900000000001</v>
      </c>
      <c r="P52" s="25">
        <v>78</v>
      </c>
      <c r="Q52" s="14">
        <f t="shared" si="0"/>
        <v>7.477499999999992</v>
      </c>
    </row>
    <row r="53" spans="1:17" ht="12.3" x14ac:dyDescent="0.4">
      <c r="A53" s="25" t="s">
        <v>118</v>
      </c>
      <c r="B53" s="25">
        <v>15</v>
      </c>
      <c r="C53" s="25">
        <v>62.7971</v>
      </c>
      <c r="D53" s="25">
        <v>281</v>
      </c>
      <c r="E53" s="25">
        <v>63.728200000000001</v>
      </c>
      <c r="F53" s="25">
        <v>233</v>
      </c>
      <c r="G53" s="25">
        <v>107.3347</v>
      </c>
      <c r="H53" s="25">
        <v>61</v>
      </c>
      <c r="I53" s="25">
        <v>104.06180000000001</v>
      </c>
      <c r="J53" s="25">
        <v>120</v>
      </c>
      <c r="K53" s="25">
        <v>94.170599999999993</v>
      </c>
      <c r="L53" s="25">
        <v>25</v>
      </c>
      <c r="M53" s="25">
        <v>97.947000000000003</v>
      </c>
      <c r="N53" s="25">
        <v>87</v>
      </c>
      <c r="O53" s="25">
        <v>0.66739300000000001</v>
      </c>
      <c r="P53" s="25">
        <v>88</v>
      </c>
      <c r="Q53" s="14">
        <f t="shared" si="0"/>
        <v>6.1148000000000025</v>
      </c>
    </row>
    <row r="54" spans="1:17" ht="12.3" x14ac:dyDescent="0.4">
      <c r="A54" s="25" t="s">
        <v>279</v>
      </c>
      <c r="B54" s="25">
        <v>12</v>
      </c>
      <c r="C54" s="25">
        <v>62.146500000000003</v>
      </c>
      <c r="D54" s="25">
        <v>300</v>
      </c>
      <c r="E54" s="25">
        <v>61.510899999999999</v>
      </c>
      <c r="F54" s="25">
        <v>316</v>
      </c>
      <c r="G54" s="25">
        <v>106.367</v>
      </c>
      <c r="H54" s="25">
        <v>79</v>
      </c>
      <c r="I54" s="25">
        <v>103.3306</v>
      </c>
      <c r="J54" s="25">
        <v>143</v>
      </c>
      <c r="K54" s="25">
        <v>96.729200000000006</v>
      </c>
      <c r="L54" s="25">
        <v>64</v>
      </c>
      <c r="M54" s="25">
        <v>97.473799999999997</v>
      </c>
      <c r="N54" s="25">
        <v>78</v>
      </c>
      <c r="O54" s="25">
        <v>0.66173300000000002</v>
      </c>
      <c r="P54" s="25">
        <v>90</v>
      </c>
      <c r="Q54" s="14">
        <f t="shared" si="0"/>
        <v>5.8568000000000069</v>
      </c>
    </row>
    <row r="55" spans="1:17" ht="12.3" x14ac:dyDescent="0.4">
      <c r="A55" s="25" t="s">
        <v>110</v>
      </c>
      <c r="B55" s="25">
        <v>13</v>
      </c>
      <c r="C55" s="25">
        <v>64.040499999999994</v>
      </c>
      <c r="D55" s="25">
        <v>221</v>
      </c>
      <c r="E55" s="25">
        <v>63.725900000000003</v>
      </c>
      <c r="F55" s="25">
        <v>234</v>
      </c>
      <c r="G55" s="25">
        <v>103.69370000000001</v>
      </c>
      <c r="H55" s="25">
        <v>133</v>
      </c>
      <c r="I55" s="25">
        <v>103.9436</v>
      </c>
      <c r="J55" s="25">
        <v>123</v>
      </c>
      <c r="K55" s="25">
        <v>98.204400000000007</v>
      </c>
      <c r="L55" s="25">
        <v>90</v>
      </c>
      <c r="M55" s="25">
        <v>98.272199999999998</v>
      </c>
      <c r="N55" s="25">
        <v>92</v>
      </c>
      <c r="O55" s="25">
        <v>0.65593599999999996</v>
      </c>
      <c r="P55" s="25">
        <v>94</v>
      </c>
      <c r="Q55" s="14">
        <f t="shared" si="0"/>
        <v>5.6714000000000055</v>
      </c>
    </row>
    <row r="56" spans="1:17" ht="12.3" x14ac:dyDescent="0.4">
      <c r="A56" s="25" t="s">
        <v>93</v>
      </c>
      <c r="B56" s="25">
        <v>12</v>
      </c>
      <c r="C56" s="25">
        <v>58.364800000000002</v>
      </c>
      <c r="D56" s="25">
        <v>348</v>
      </c>
      <c r="E56" s="25">
        <v>59.237099999999998</v>
      </c>
      <c r="F56" s="25">
        <v>344</v>
      </c>
      <c r="G56" s="25">
        <v>103.1922</v>
      </c>
      <c r="H56" s="25">
        <v>147</v>
      </c>
      <c r="I56" s="25">
        <v>101.8455</v>
      </c>
      <c r="J56" s="25">
        <v>175</v>
      </c>
      <c r="K56" s="25">
        <v>95.343900000000005</v>
      </c>
      <c r="L56" s="25">
        <v>37</v>
      </c>
      <c r="M56" s="25">
        <v>96.974800000000002</v>
      </c>
      <c r="N56" s="25">
        <v>67</v>
      </c>
      <c r="O56" s="25">
        <v>0.63727699999999998</v>
      </c>
      <c r="P56" s="25">
        <v>102</v>
      </c>
      <c r="Q56" s="14">
        <f t="shared" si="0"/>
        <v>4.8706999999999994</v>
      </c>
    </row>
    <row r="57" spans="1:17" ht="12.3" x14ac:dyDescent="0.4">
      <c r="A57" s="25" t="s">
        <v>308</v>
      </c>
      <c r="B57" s="25">
        <v>14</v>
      </c>
      <c r="C57" s="25">
        <v>63.4818</v>
      </c>
      <c r="D57" s="25">
        <v>251</v>
      </c>
      <c r="E57" s="25">
        <v>63.667000000000002</v>
      </c>
      <c r="F57" s="25">
        <v>239</v>
      </c>
      <c r="G57" s="25">
        <v>107.29640000000001</v>
      </c>
      <c r="H57" s="25">
        <v>63</v>
      </c>
      <c r="I57" s="25">
        <v>105.9911</v>
      </c>
      <c r="J57" s="25">
        <v>90</v>
      </c>
      <c r="K57" s="25">
        <v>101.1421</v>
      </c>
      <c r="L57" s="25">
        <v>151</v>
      </c>
      <c r="M57" s="25">
        <v>102.3937</v>
      </c>
      <c r="N57" s="25">
        <v>171</v>
      </c>
      <c r="O57" s="25">
        <v>0.59798799999999996</v>
      </c>
      <c r="P57" s="25">
        <v>120</v>
      </c>
      <c r="Q57" s="14">
        <f t="shared" si="0"/>
        <v>3.5974000000000075</v>
      </c>
    </row>
    <row r="58" spans="1:17" ht="12.3" x14ac:dyDescent="0.4">
      <c r="A58" s="25" t="s">
        <v>128</v>
      </c>
      <c r="B58" s="25">
        <v>14</v>
      </c>
      <c r="C58" s="25">
        <v>65.496200000000002</v>
      </c>
      <c r="D58" s="25">
        <v>142</v>
      </c>
      <c r="E58" s="25">
        <v>64.950299999999999</v>
      </c>
      <c r="F58" s="25">
        <v>159</v>
      </c>
      <c r="G58" s="25">
        <v>101.1444</v>
      </c>
      <c r="H58" s="25">
        <v>192</v>
      </c>
      <c r="I58" s="25">
        <v>103.7809</v>
      </c>
      <c r="J58" s="25">
        <v>130</v>
      </c>
      <c r="K58" s="25">
        <v>99.581400000000002</v>
      </c>
      <c r="L58" s="25">
        <v>116</v>
      </c>
      <c r="M58" s="25">
        <v>100.26009999999999</v>
      </c>
      <c r="N58" s="25">
        <v>130</v>
      </c>
      <c r="O58" s="25">
        <v>0.597943</v>
      </c>
      <c r="P58" s="25">
        <v>121</v>
      </c>
      <c r="Q58" s="14">
        <f t="shared" si="0"/>
        <v>3.5208000000000084</v>
      </c>
    </row>
    <row r="59" spans="1:17" ht="12.3" x14ac:dyDescent="0.4">
      <c r="A59" s="25" t="s">
        <v>339</v>
      </c>
      <c r="B59" s="25">
        <v>14</v>
      </c>
      <c r="C59" s="25">
        <v>61.230899999999998</v>
      </c>
      <c r="D59" s="25">
        <v>321</v>
      </c>
      <c r="E59" s="25">
        <v>61.329700000000003</v>
      </c>
      <c r="F59" s="25">
        <v>320</v>
      </c>
      <c r="G59" s="25">
        <v>106.7968</v>
      </c>
      <c r="H59" s="25">
        <v>67</v>
      </c>
      <c r="I59" s="25">
        <v>104.2175</v>
      </c>
      <c r="J59" s="25">
        <v>117</v>
      </c>
      <c r="K59" s="25">
        <v>98.084199999999996</v>
      </c>
      <c r="L59" s="25">
        <v>86</v>
      </c>
      <c r="M59" s="25">
        <v>101.7462</v>
      </c>
      <c r="N59" s="25">
        <v>155</v>
      </c>
      <c r="O59" s="25">
        <v>0.56856200000000001</v>
      </c>
      <c r="P59" s="25">
        <v>131</v>
      </c>
      <c r="Q59" s="14">
        <f t="shared" si="0"/>
        <v>2.4712999999999994</v>
      </c>
    </row>
    <row r="60" spans="1:17" ht="12.3" x14ac:dyDescent="0.4">
      <c r="A60" s="25" t="s">
        <v>187</v>
      </c>
      <c r="B60" s="25">
        <v>13</v>
      </c>
      <c r="C60" s="25">
        <v>68.415199999999999</v>
      </c>
      <c r="D60" s="25">
        <v>33</v>
      </c>
      <c r="E60" s="25">
        <v>68.779499999999999</v>
      </c>
      <c r="F60" s="25">
        <v>24</v>
      </c>
      <c r="G60" s="25">
        <v>114.81950000000001</v>
      </c>
      <c r="H60" s="25">
        <v>13</v>
      </c>
      <c r="I60" s="25">
        <v>110.0324</v>
      </c>
      <c r="J60" s="25">
        <v>46</v>
      </c>
      <c r="K60" s="25">
        <v>107.6451</v>
      </c>
      <c r="L60" s="25">
        <v>296</v>
      </c>
      <c r="M60" s="25">
        <v>107.68</v>
      </c>
      <c r="N60" s="25">
        <v>279</v>
      </c>
      <c r="O60" s="25">
        <v>0.56181300000000001</v>
      </c>
      <c r="P60" s="25">
        <v>136</v>
      </c>
      <c r="Q60" s="14">
        <f t="shared" si="0"/>
        <v>2.3523999999999887</v>
      </c>
    </row>
    <row r="61" spans="1:17" ht="12.3" x14ac:dyDescent="0.4">
      <c r="A61" s="25" t="s">
        <v>244</v>
      </c>
      <c r="B61" s="25">
        <v>15</v>
      </c>
      <c r="C61" s="25">
        <v>67.383899999999997</v>
      </c>
      <c r="D61" s="25">
        <v>65</v>
      </c>
      <c r="E61" s="25">
        <v>67.092399999999998</v>
      </c>
      <c r="F61" s="25">
        <v>63</v>
      </c>
      <c r="G61" s="25">
        <v>109.27070000000001</v>
      </c>
      <c r="H61" s="25">
        <v>41</v>
      </c>
      <c r="I61" s="25">
        <v>107.8516</v>
      </c>
      <c r="J61" s="25">
        <v>64</v>
      </c>
      <c r="K61" s="25">
        <v>104.0763</v>
      </c>
      <c r="L61" s="25">
        <v>215</v>
      </c>
      <c r="M61" s="25">
        <v>106.4962</v>
      </c>
      <c r="N61" s="25">
        <v>259</v>
      </c>
      <c r="O61" s="25">
        <v>0.53629599999999999</v>
      </c>
      <c r="P61" s="25">
        <v>149</v>
      </c>
      <c r="Q61" s="14">
        <f t="shared" si="0"/>
        <v>1.355400000000003</v>
      </c>
    </row>
    <row r="62" spans="1:17" ht="12.3" x14ac:dyDescent="0.4">
      <c r="A62" s="25" t="s">
        <v>360</v>
      </c>
      <c r="B62" s="25">
        <v>15</v>
      </c>
      <c r="C62" s="25">
        <v>61.424900000000001</v>
      </c>
      <c r="D62" s="25">
        <v>317</v>
      </c>
      <c r="E62" s="25">
        <v>61.176299999999998</v>
      </c>
      <c r="F62" s="25">
        <v>321</v>
      </c>
      <c r="G62" s="25">
        <v>103.55240000000001</v>
      </c>
      <c r="H62" s="25">
        <v>137</v>
      </c>
      <c r="I62" s="25">
        <v>100.9777</v>
      </c>
      <c r="J62" s="25">
        <v>194</v>
      </c>
      <c r="K62" s="25">
        <v>98.960700000000003</v>
      </c>
      <c r="L62" s="25">
        <v>105</v>
      </c>
      <c r="M62" s="25">
        <v>100.07470000000001</v>
      </c>
      <c r="N62" s="25">
        <v>124</v>
      </c>
      <c r="O62" s="25">
        <v>0.52580099999999996</v>
      </c>
      <c r="P62" s="25">
        <v>151</v>
      </c>
      <c r="Q62" s="14">
        <f t="shared" si="0"/>
        <v>0.90299999999999159</v>
      </c>
    </row>
    <row r="63" spans="1:17" ht="12.3" x14ac:dyDescent="0.4">
      <c r="A63" s="25" t="s">
        <v>325</v>
      </c>
      <c r="B63" s="25">
        <v>15</v>
      </c>
      <c r="C63" s="25">
        <v>64.5565</v>
      </c>
      <c r="D63" s="25">
        <v>191</v>
      </c>
      <c r="E63" s="25">
        <v>63.928699999999999</v>
      </c>
      <c r="F63" s="25">
        <v>221</v>
      </c>
      <c r="G63" s="25">
        <v>103.3623</v>
      </c>
      <c r="H63" s="25">
        <v>142</v>
      </c>
      <c r="I63" s="25">
        <v>101.67319999999999</v>
      </c>
      <c r="J63" s="25">
        <v>177</v>
      </c>
      <c r="K63" s="25">
        <v>102.42140000000001</v>
      </c>
      <c r="L63" s="25">
        <v>178</v>
      </c>
      <c r="M63" s="25">
        <v>104.902</v>
      </c>
      <c r="N63" s="25">
        <v>220</v>
      </c>
      <c r="O63" s="25">
        <v>0.41107300000000002</v>
      </c>
      <c r="P63" s="25">
        <v>207</v>
      </c>
      <c r="Q63" s="14">
        <f t="shared" si="0"/>
        <v>-3.2288000000000068</v>
      </c>
    </row>
    <row r="64" spans="1:17" ht="12.3" x14ac:dyDescent="0.4">
      <c r="Q64" s="14"/>
    </row>
    <row r="65" spans="17:17" ht="12.3" x14ac:dyDescent="0.4">
      <c r="Q65" s="14"/>
    </row>
    <row r="66" spans="17:17" ht="12.3" x14ac:dyDescent="0.4">
      <c r="Q66" s="14"/>
    </row>
    <row r="67" spans="17:17" ht="12.3" x14ac:dyDescent="0.4">
      <c r="Q67" s="14"/>
    </row>
    <row r="68" spans="17:17" ht="12.3" x14ac:dyDescent="0.4">
      <c r="Q68" s="1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K27"/>
  <sheetViews>
    <sheetView showGridLines="0" workbookViewId="0"/>
  </sheetViews>
  <sheetFormatPr defaultColWidth="14.44140625" defaultRowHeight="15.75" customHeight="1" x14ac:dyDescent="0.4"/>
  <cols>
    <col min="3" max="3" width="20.109375" customWidth="1"/>
    <col min="4" max="4" width="15.71875" customWidth="1"/>
    <col min="5" max="5" width="20.109375" customWidth="1"/>
    <col min="6" max="6" width="15.5546875" customWidth="1"/>
    <col min="7" max="7" width="23.5546875" customWidth="1"/>
    <col min="8" max="8" width="19" customWidth="1"/>
  </cols>
  <sheetData>
    <row r="1" spans="1:11" ht="15.75" customHeight="1" x14ac:dyDescent="0.4">
      <c r="C1" s="22"/>
      <c r="D1" s="22"/>
      <c r="E1" s="22"/>
      <c r="F1" s="22"/>
      <c r="G1" s="22"/>
      <c r="H1" s="22"/>
    </row>
    <row r="2" spans="1:11" ht="15.75" customHeight="1" x14ac:dyDescent="0.4">
      <c r="A2" s="67" t="s">
        <v>31</v>
      </c>
      <c r="B2" s="68" t="s">
        <v>33</v>
      </c>
    </row>
    <row r="4" spans="1:11" ht="15.75" customHeight="1" x14ac:dyDescent="0.4">
      <c r="A4" s="51"/>
      <c r="B4" s="51"/>
      <c r="C4" s="51" t="s">
        <v>414</v>
      </c>
      <c r="D4" s="52" t="s">
        <v>417</v>
      </c>
      <c r="E4" s="52" t="s">
        <v>418</v>
      </c>
      <c r="F4" s="52" t="s">
        <v>419</v>
      </c>
      <c r="G4" s="52" t="s">
        <v>420</v>
      </c>
      <c r="H4" s="52" t="s">
        <v>421</v>
      </c>
      <c r="I4" s="52" t="s">
        <v>422</v>
      </c>
      <c r="J4" s="52" t="s">
        <v>423</v>
      </c>
      <c r="K4" s="53" t="s">
        <v>424</v>
      </c>
    </row>
    <row r="5" spans="1:11" ht="15.75" customHeight="1" x14ac:dyDescent="0.4">
      <c r="A5" s="51" t="s">
        <v>54</v>
      </c>
      <c r="B5" s="51">
        <v>2004</v>
      </c>
      <c r="C5" s="54">
        <v>2004</v>
      </c>
      <c r="D5" s="55">
        <v>5</v>
      </c>
      <c r="E5" s="55">
        <v>0.93455100000000002</v>
      </c>
      <c r="F5" s="55">
        <v>14</v>
      </c>
      <c r="G5" s="55">
        <v>113.6357</v>
      </c>
      <c r="H5" s="55">
        <v>8</v>
      </c>
      <c r="I5" s="55">
        <v>90.179100000000005</v>
      </c>
      <c r="J5" s="55">
        <v>73</v>
      </c>
      <c r="K5" s="56">
        <v>70.080500000000001</v>
      </c>
    </row>
    <row r="6" spans="1:11" ht="15.75" customHeight="1" x14ac:dyDescent="0.4">
      <c r="A6" s="57"/>
      <c r="B6" s="58">
        <v>2011</v>
      </c>
      <c r="C6" s="59">
        <v>2011</v>
      </c>
      <c r="D6" s="60">
        <v>13</v>
      </c>
      <c r="E6" s="60">
        <v>0.90211799999999998</v>
      </c>
      <c r="F6" s="60">
        <v>17</v>
      </c>
      <c r="G6" s="60">
        <v>113.8185</v>
      </c>
      <c r="H6" s="60">
        <v>30</v>
      </c>
      <c r="I6" s="60">
        <v>93.8292</v>
      </c>
      <c r="J6" s="60">
        <v>193</v>
      </c>
      <c r="K6" s="61">
        <v>66.264799999999994</v>
      </c>
    </row>
    <row r="7" spans="1:11" ht="15.75" customHeight="1" x14ac:dyDescent="0.4">
      <c r="A7" s="57"/>
      <c r="B7" s="58">
        <v>2014</v>
      </c>
      <c r="C7" s="59">
        <v>2014</v>
      </c>
      <c r="D7" s="60">
        <v>25</v>
      </c>
      <c r="E7" s="60">
        <v>0.86882000000000004</v>
      </c>
      <c r="F7" s="60">
        <v>80</v>
      </c>
      <c r="G7" s="60">
        <v>109.4778</v>
      </c>
      <c r="H7" s="60">
        <v>11</v>
      </c>
      <c r="I7" s="60">
        <v>92.881500000000003</v>
      </c>
      <c r="J7" s="60">
        <v>247</v>
      </c>
      <c r="K7" s="61">
        <v>64.978899999999996</v>
      </c>
    </row>
    <row r="8" spans="1:11" ht="15.75" customHeight="1" x14ac:dyDescent="0.4">
      <c r="A8" s="51" t="s">
        <v>425</v>
      </c>
      <c r="B8" s="69"/>
      <c r="C8" s="54">
        <v>2009.6666666666667</v>
      </c>
      <c r="D8" s="55">
        <v>43</v>
      </c>
      <c r="E8" s="55">
        <v>2.705489</v>
      </c>
      <c r="F8" s="55">
        <v>111</v>
      </c>
      <c r="G8" s="55">
        <v>336.93200000000002</v>
      </c>
      <c r="H8" s="55">
        <v>49</v>
      </c>
      <c r="I8" s="55">
        <v>276.88980000000004</v>
      </c>
      <c r="J8" s="55">
        <v>513</v>
      </c>
      <c r="K8" s="56">
        <v>201.32420000000002</v>
      </c>
    </row>
    <row r="9" spans="1:11" ht="15.75" customHeight="1" x14ac:dyDescent="0.4">
      <c r="A9" s="51" t="s">
        <v>32</v>
      </c>
      <c r="B9" s="51">
        <v>2010</v>
      </c>
      <c r="C9" s="54">
        <v>2010</v>
      </c>
      <c r="D9" s="55">
        <v>2</v>
      </c>
      <c r="E9" s="55">
        <v>0.95749799999999996</v>
      </c>
      <c r="F9" s="55">
        <v>6</v>
      </c>
      <c r="G9" s="55">
        <v>116.9563</v>
      </c>
      <c r="H9" s="55">
        <v>6</v>
      </c>
      <c r="I9" s="55">
        <v>89.206100000000006</v>
      </c>
      <c r="J9" s="55">
        <v>198</v>
      </c>
      <c r="K9" s="56">
        <v>66.684299999999993</v>
      </c>
    </row>
    <row r="10" spans="1:11" ht="15.75" customHeight="1" x14ac:dyDescent="0.4">
      <c r="A10" s="51" t="s">
        <v>426</v>
      </c>
      <c r="B10" s="69"/>
      <c r="C10" s="54">
        <v>2010</v>
      </c>
      <c r="D10" s="55">
        <v>2</v>
      </c>
      <c r="E10" s="55">
        <v>0.95749799999999996</v>
      </c>
      <c r="F10" s="55">
        <v>6</v>
      </c>
      <c r="G10" s="55">
        <v>116.9563</v>
      </c>
      <c r="H10" s="55">
        <v>6</v>
      </c>
      <c r="I10" s="55">
        <v>89.206100000000006</v>
      </c>
      <c r="J10" s="55">
        <v>198</v>
      </c>
      <c r="K10" s="56">
        <v>66.684299999999993</v>
      </c>
    </row>
    <row r="11" spans="1:11" ht="15.75" customHeight="1" x14ac:dyDescent="0.4">
      <c r="A11" s="51" t="s">
        <v>37</v>
      </c>
      <c r="B11" s="51">
        <v>2006</v>
      </c>
      <c r="C11" s="54">
        <v>2006</v>
      </c>
      <c r="D11" s="55">
        <v>7</v>
      </c>
      <c r="E11" s="55">
        <v>0.91981000000000002</v>
      </c>
      <c r="F11" s="55">
        <v>14</v>
      </c>
      <c r="G11" s="55">
        <v>113.8817</v>
      </c>
      <c r="H11" s="55">
        <v>18</v>
      </c>
      <c r="I11" s="55">
        <v>92.112099999999998</v>
      </c>
      <c r="J11" s="55">
        <v>97</v>
      </c>
      <c r="K11" s="56">
        <v>68.694500000000005</v>
      </c>
    </row>
    <row r="12" spans="1:11" ht="15.75" customHeight="1" x14ac:dyDescent="0.4">
      <c r="A12" s="57"/>
      <c r="B12" s="58">
        <v>2007</v>
      </c>
      <c r="C12" s="59">
        <v>2007</v>
      </c>
      <c r="D12" s="60">
        <v>5</v>
      </c>
      <c r="E12" s="60">
        <v>0.94339399999999995</v>
      </c>
      <c r="F12" s="60">
        <v>3</v>
      </c>
      <c r="G12" s="60">
        <v>118.38339999999999</v>
      </c>
      <c r="H12" s="60">
        <v>18</v>
      </c>
      <c r="I12" s="60">
        <v>92.692499999999995</v>
      </c>
      <c r="J12" s="60">
        <v>178</v>
      </c>
      <c r="K12" s="61">
        <v>66.382000000000005</v>
      </c>
    </row>
    <row r="13" spans="1:11" ht="15.75" customHeight="1" x14ac:dyDescent="0.4">
      <c r="A13" s="51" t="s">
        <v>427</v>
      </c>
      <c r="B13" s="69"/>
      <c r="C13" s="54">
        <v>2006.5</v>
      </c>
      <c r="D13" s="55">
        <v>12</v>
      </c>
      <c r="E13" s="55">
        <v>1.8632040000000001</v>
      </c>
      <c r="F13" s="55">
        <v>17</v>
      </c>
      <c r="G13" s="55">
        <v>232.26509999999999</v>
      </c>
      <c r="H13" s="55">
        <v>36</v>
      </c>
      <c r="I13" s="55">
        <v>184.80459999999999</v>
      </c>
      <c r="J13" s="55">
        <v>275</v>
      </c>
      <c r="K13" s="56">
        <v>135.07650000000001</v>
      </c>
    </row>
    <row r="14" spans="1:11" ht="15.75" customHeight="1" x14ac:dyDescent="0.4">
      <c r="A14" s="51" t="s">
        <v>35</v>
      </c>
      <c r="B14" s="51">
        <v>2008</v>
      </c>
      <c r="C14" s="54">
        <v>2008</v>
      </c>
      <c r="D14" s="55">
        <v>1</v>
      </c>
      <c r="E14" s="55">
        <v>0.96823599999999999</v>
      </c>
      <c r="F14" s="55">
        <v>1</v>
      </c>
      <c r="G14" s="55">
        <v>120.8601</v>
      </c>
      <c r="H14" s="55">
        <v>6</v>
      </c>
      <c r="I14" s="55">
        <v>89.791600000000003</v>
      </c>
      <c r="J14" s="55">
        <v>98</v>
      </c>
      <c r="K14" s="56">
        <v>68.898200000000003</v>
      </c>
    </row>
    <row r="15" spans="1:11" ht="15.75" customHeight="1" x14ac:dyDescent="0.4">
      <c r="A15" s="51" t="s">
        <v>428</v>
      </c>
      <c r="B15" s="69"/>
      <c r="C15" s="54">
        <v>2008</v>
      </c>
      <c r="D15" s="55">
        <v>1</v>
      </c>
      <c r="E15" s="55">
        <v>0.96823599999999999</v>
      </c>
      <c r="F15" s="55">
        <v>1</v>
      </c>
      <c r="G15" s="55">
        <v>120.8601</v>
      </c>
      <c r="H15" s="55">
        <v>6</v>
      </c>
      <c r="I15" s="55">
        <v>89.791600000000003</v>
      </c>
      <c r="J15" s="55">
        <v>98</v>
      </c>
      <c r="K15" s="56">
        <v>68.898200000000003</v>
      </c>
    </row>
    <row r="16" spans="1:11" ht="15.75" customHeight="1" x14ac:dyDescent="0.4">
      <c r="A16" s="51" t="s">
        <v>45</v>
      </c>
      <c r="B16" s="51">
        <v>2012</v>
      </c>
      <c r="C16" s="54">
        <v>2012</v>
      </c>
      <c r="D16" s="55">
        <v>1</v>
      </c>
      <c r="E16" s="55">
        <v>0.96340700000000001</v>
      </c>
      <c r="F16" s="55">
        <v>2</v>
      </c>
      <c r="G16" s="55">
        <v>118.6576</v>
      </c>
      <c r="H16" s="55">
        <v>5</v>
      </c>
      <c r="I16" s="55">
        <v>89.285499999999999</v>
      </c>
      <c r="J16" s="55">
        <v>191</v>
      </c>
      <c r="K16" s="56">
        <v>65.673500000000004</v>
      </c>
    </row>
    <row r="17" spans="1:11" ht="15.75" customHeight="1" x14ac:dyDescent="0.4">
      <c r="A17" s="51" t="s">
        <v>429</v>
      </c>
      <c r="B17" s="69"/>
      <c r="C17" s="54">
        <v>2012</v>
      </c>
      <c r="D17" s="55">
        <v>1</v>
      </c>
      <c r="E17" s="55">
        <v>0.96340700000000001</v>
      </c>
      <c r="F17" s="55">
        <v>2</v>
      </c>
      <c r="G17" s="55">
        <v>118.6576</v>
      </c>
      <c r="H17" s="55">
        <v>5</v>
      </c>
      <c r="I17" s="55">
        <v>89.285499999999999</v>
      </c>
      <c r="J17" s="55">
        <v>191</v>
      </c>
      <c r="K17" s="56">
        <v>65.673500000000004</v>
      </c>
    </row>
    <row r="18" spans="1:11" ht="15.75" customHeight="1" x14ac:dyDescent="0.4">
      <c r="A18" s="51" t="s">
        <v>86</v>
      </c>
      <c r="B18" s="51">
        <v>2013</v>
      </c>
      <c r="C18" s="54">
        <v>2013</v>
      </c>
      <c r="D18" s="55">
        <v>1</v>
      </c>
      <c r="E18" s="55">
        <v>0.96628700000000001</v>
      </c>
      <c r="F18" s="55">
        <v>18</v>
      </c>
      <c r="G18" s="55">
        <v>112.1925</v>
      </c>
      <c r="H18" s="55">
        <v>1</v>
      </c>
      <c r="I18" s="55">
        <v>83.799400000000006</v>
      </c>
      <c r="J18" s="55">
        <v>112</v>
      </c>
      <c r="K18" s="56">
        <v>67.232900000000001</v>
      </c>
    </row>
    <row r="19" spans="1:11" ht="15.75" customHeight="1" x14ac:dyDescent="0.4">
      <c r="A19" s="51" t="s">
        <v>430</v>
      </c>
      <c r="B19" s="69"/>
      <c r="C19" s="54">
        <v>2013</v>
      </c>
      <c r="D19" s="55">
        <v>1</v>
      </c>
      <c r="E19" s="55">
        <v>0.96628700000000001</v>
      </c>
      <c r="F19" s="55">
        <v>18</v>
      </c>
      <c r="G19" s="55">
        <v>112.1925</v>
      </c>
      <c r="H19" s="55">
        <v>1</v>
      </c>
      <c r="I19" s="55">
        <v>83.799400000000006</v>
      </c>
      <c r="J19" s="55">
        <v>112</v>
      </c>
      <c r="K19" s="56">
        <v>67.232900000000001</v>
      </c>
    </row>
    <row r="20" spans="1:11" ht="15.75" customHeight="1" x14ac:dyDescent="0.4">
      <c r="A20" s="51" t="s">
        <v>36</v>
      </c>
      <c r="B20" s="51">
        <v>2002</v>
      </c>
      <c r="C20" s="54">
        <v>2002</v>
      </c>
      <c r="D20" s="55">
        <v>4</v>
      </c>
      <c r="E20" s="55">
        <v>0.93981800000000004</v>
      </c>
      <c r="F20" s="55">
        <v>4</v>
      </c>
      <c r="G20" s="55">
        <v>116.2551</v>
      </c>
      <c r="H20" s="55">
        <v>14</v>
      </c>
      <c r="I20" s="55">
        <v>91.542400000000001</v>
      </c>
      <c r="J20" s="55">
        <v>12</v>
      </c>
      <c r="K20" s="56">
        <v>75.418000000000006</v>
      </c>
    </row>
    <row r="21" spans="1:11" ht="15.75" customHeight="1" x14ac:dyDescent="0.4">
      <c r="A21" s="51" t="s">
        <v>431</v>
      </c>
      <c r="B21" s="69"/>
      <c r="C21" s="54">
        <v>2002</v>
      </c>
      <c r="D21" s="55">
        <v>4</v>
      </c>
      <c r="E21" s="55">
        <v>0.93981800000000004</v>
      </c>
      <c r="F21" s="55">
        <v>4</v>
      </c>
      <c r="G21" s="55">
        <v>116.2551</v>
      </c>
      <c r="H21" s="55">
        <v>14</v>
      </c>
      <c r="I21" s="55">
        <v>91.542400000000001</v>
      </c>
      <c r="J21" s="55">
        <v>12</v>
      </c>
      <c r="K21" s="56">
        <v>75.418000000000006</v>
      </c>
    </row>
    <row r="22" spans="1:11" ht="15.75" customHeight="1" x14ac:dyDescent="0.4">
      <c r="A22" s="51" t="s">
        <v>168</v>
      </c>
      <c r="B22" s="51">
        <v>2005</v>
      </c>
      <c r="C22" s="54">
        <v>2005</v>
      </c>
      <c r="D22" s="55">
        <v>2</v>
      </c>
      <c r="E22" s="55">
        <v>0.95752199999999998</v>
      </c>
      <c r="F22" s="55">
        <v>3</v>
      </c>
      <c r="G22" s="55">
        <v>119.3614</v>
      </c>
      <c r="H22" s="55">
        <v>9</v>
      </c>
      <c r="I22" s="55">
        <v>91.036000000000001</v>
      </c>
      <c r="J22" s="55">
        <v>5</v>
      </c>
      <c r="K22" s="56">
        <v>74.679100000000005</v>
      </c>
    </row>
    <row r="23" spans="1:11" ht="15.75" customHeight="1" x14ac:dyDescent="0.4">
      <c r="A23" s="57"/>
      <c r="B23" s="58">
        <v>2009</v>
      </c>
      <c r="C23" s="59">
        <v>2009</v>
      </c>
      <c r="D23" s="60">
        <v>4</v>
      </c>
      <c r="E23" s="60">
        <v>0.94401800000000002</v>
      </c>
      <c r="F23" s="60">
        <v>1</v>
      </c>
      <c r="G23" s="60">
        <v>121.90819999999999</v>
      </c>
      <c r="H23" s="60">
        <v>49</v>
      </c>
      <c r="I23" s="60">
        <v>95.354900000000001</v>
      </c>
      <c r="J23" s="60">
        <v>7</v>
      </c>
      <c r="K23" s="61">
        <v>74.071200000000005</v>
      </c>
    </row>
    <row r="24" spans="1:11" ht="15.75" customHeight="1" x14ac:dyDescent="0.4">
      <c r="A24" s="51" t="s">
        <v>432</v>
      </c>
      <c r="B24" s="69"/>
      <c r="C24" s="54">
        <v>2007</v>
      </c>
      <c r="D24" s="55">
        <v>6</v>
      </c>
      <c r="E24" s="55">
        <v>1.90154</v>
      </c>
      <c r="F24" s="55">
        <v>4</v>
      </c>
      <c r="G24" s="55">
        <v>241.2696</v>
      </c>
      <c r="H24" s="55">
        <v>58</v>
      </c>
      <c r="I24" s="55">
        <v>186.39089999999999</v>
      </c>
      <c r="J24" s="55">
        <v>12</v>
      </c>
      <c r="K24" s="56">
        <v>148.75030000000001</v>
      </c>
    </row>
    <row r="25" spans="1:11" ht="15.75" customHeight="1" x14ac:dyDescent="0.4">
      <c r="A25" s="51" t="s">
        <v>23</v>
      </c>
      <c r="B25" s="51">
        <v>2003</v>
      </c>
      <c r="C25" s="54">
        <v>2003</v>
      </c>
      <c r="D25" s="55">
        <v>20</v>
      </c>
      <c r="E25" s="55">
        <v>0.88222900000000004</v>
      </c>
      <c r="F25" s="55">
        <v>16</v>
      </c>
      <c r="G25" s="55">
        <v>112.28660000000001</v>
      </c>
      <c r="H25" s="55">
        <v>38</v>
      </c>
      <c r="I25" s="55">
        <v>94.249899999999997</v>
      </c>
      <c r="J25" s="55">
        <v>51</v>
      </c>
      <c r="K25" s="56">
        <v>71.695099999999996</v>
      </c>
    </row>
    <row r="26" spans="1:11" ht="15.75" customHeight="1" x14ac:dyDescent="0.4">
      <c r="A26" s="51" t="s">
        <v>433</v>
      </c>
      <c r="B26" s="69"/>
      <c r="C26" s="54">
        <v>2003</v>
      </c>
      <c r="D26" s="55">
        <v>20</v>
      </c>
      <c r="E26" s="55">
        <v>0.88222900000000004</v>
      </c>
      <c r="F26" s="55">
        <v>16</v>
      </c>
      <c r="G26" s="55">
        <v>112.28660000000001</v>
      </c>
      <c r="H26" s="55">
        <v>38</v>
      </c>
      <c r="I26" s="55">
        <v>94.249899999999997</v>
      </c>
      <c r="J26" s="55">
        <v>51</v>
      </c>
      <c r="K26" s="56">
        <v>71.695099999999996</v>
      </c>
    </row>
    <row r="27" spans="1:11" ht="15.75" customHeight="1" x14ac:dyDescent="0.4">
      <c r="A27" s="62" t="s">
        <v>398</v>
      </c>
      <c r="B27" s="63"/>
      <c r="C27" s="64">
        <v>2008</v>
      </c>
      <c r="D27" s="65">
        <v>90</v>
      </c>
      <c r="E27" s="65">
        <v>12.147708</v>
      </c>
      <c r="F27" s="65">
        <v>179</v>
      </c>
      <c r="G27" s="65">
        <v>1507.6749</v>
      </c>
      <c r="H27" s="65">
        <v>213</v>
      </c>
      <c r="I27" s="65">
        <v>1185.9602</v>
      </c>
      <c r="J27" s="65">
        <v>1462</v>
      </c>
      <c r="K27" s="66">
        <v>900.75299999999993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Z1002"/>
  <sheetViews>
    <sheetView workbookViewId="0"/>
  </sheetViews>
  <sheetFormatPr defaultColWidth="14.44140625" defaultRowHeight="15.75" customHeight="1" x14ac:dyDescent="0.4"/>
  <cols>
    <col min="1" max="1" width="13.83203125" customWidth="1"/>
    <col min="2" max="2" width="5.109375" customWidth="1"/>
    <col min="3" max="3" width="3.5546875" customWidth="1"/>
    <col min="4" max="4" width="11.109375" customWidth="1"/>
    <col min="5" max="5" width="6.71875" customWidth="1"/>
    <col min="6" max="6" width="10.71875" customWidth="1"/>
    <col min="7" max="7" width="6.44140625" customWidth="1"/>
    <col min="8" max="8" width="10.5546875" customWidth="1"/>
    <col min="9" max="9" width="6.27734375" customWidth="1"/>
    <col min="10" max="10" width="13.83203125" customWidth="1"/>
    <col min="11" max="11" width="9.44140625" customWidth="1"/>
    <col min="12" max="12" width="6" customWidth="1"/>
  </cols>
  <sheetData>
    <row r="1" spans="1:12" ht="15.75" customHeight="1" x14ac:dyDescent="0.4">
      <c r="A1" s="1" t="s">
        <v>434</v>
      </c>
      <c r="B1" s="2"/>
      <c r="C1" s="2"/>
      <c r="D1" s="11"/>
      <c r="E1" s="30"/>
      <c r="F1" s="11"/>
      <c r="G1" s="10"/>
      <c r="H1" s="11"/>
      <c r="I1" s="10"/>
      <c r="J1" s="11"/>
      <c r="K1" s="10"/>
      <c r="L1" s="2"/>
    </row>
    <row r="2" spans="1:12" ht="15.75" customHeight="1" x14ac:dyDescent="0.4">
      <c r="A2" s="2" t="s">
        <v>407</v>
      </c>
      <c r="B2" s="2" t="s">
        <v>2</v>
      </c>
      <c r="C2" s="2" t="s">
        <v>25</v>
      </c>
      <c r="D2" s="11" t="s">
        <v>3</v>
      </c>
      <c r="E2" s="30" t="s">
        <v>16</v>
      </c>
      <c r="F2" s="11" t="s">
        <v>11</v>
      </c>
      <c r="G2" s="10" t="s">
        <v>10</v>
      </c>
      <c r="H2" s="11" t="s">
        <v>15</v>
      </c>
      <c r="I2" s="10" t="s">
        <v>14</v>
      </c>
      <c r="J2" s="11" t="s">
        <v>7</v>
      </c>
      <c r="K2" s="10" t="s">
        <v>6</v>
      </c>
      <c r="L2" s="2" t="s">
        <v>391</v>
      </c>
    </row>
    <row r="3" spans="1:12" ht="15.75" customHeight="1" x14ac:dyDescent="0.4">
      <c r="A3" t="s">
        <v>54</v>
      </c>
      <c r="B3">
        <v>2004</v>
      </c>
      <c r="C3">
        <v>2</v>
      </c>
      <c r="D3" s="15">
        <v>5</v>
      </c>
      <c r="E3" s="13">
        <v>0.93455100000000002</v>
      </c>
      <c r="F3" s="15">
        <v>14</v>
      </c>
      <c r="G3" s="14">
        <v>113.6357</v>
      </c>
      <c r="H3" s="15">
        <v>8</v>
      </c>
      <c r="I3" s="14">
        <v>90.179100000000005</v>
      </c>
      <c r="J3" s="15">
        <v>73</v>
      </c>
      <c r="K3" s="14">
        <v>70.080500000000001</v>
      </c>
      <c r="L3" s="14">
        <f t="shared" ref="L3:L15" si="0">G3-I3</f>
        <v>23.456599999999995</v>
      </c>
    </row>
    <row r="4" spans="1:12" ht="15.75" customHeight="1" x14ac:dyDescent="0.4">
      <c r="A4" t="s">
        <v>54</v>
      </c>
      <c r="B4">
        <v>2011</v>
      </c>
      <c r="C4">
        <v>3</v>
      </c>
      <c r="D4" s="15">
        <v>13</v>
      </c>
      <c r="E4" s="13">
        <v>0.90211799999999998</v>
      </c>
      <c r="F4" s="15">
        <v>17</v>
      </c>
      <c r="G4" s="14">
        <v>113.8185</v>
      </c>
      <c r="H4" s="15">
        <v>30</v>
      </c>
      <c r="I4" s="14">
        <v>93.8292</v>
      </c>
      <c r="J4" s="15">
        <v>193</v>
      </c>
      <c r="K4" s="14">
        <v>66.264799999999994</v>
      </c>
      <c r="L4" s="14">
        <f t="shared" si="0"/>
        <v>19.9893</v>
      </c>
    </row>
    <row r="5" spans="1:12" ht="15.75" customHeight="1" x14ac:dyDescent="0.4">
      <c r="A5" t="s">
        <v>54</v>
      </c>
      <c r="B5">
        <v>2014</v>
      </c>
      <c r="C5">
        <v>7</v>
      </c>
      <c r="D5" s="15">
        <v>25</v>
      </c>
      <c r="E5" s="13">
        <v>0.86882000000000004</v>
      </c>
      <c r="F5" s="15">
        <v>80</v>
      </c>
      <c r="G5" s="14">
        <v>109.4778</v>
      </c>
      <c r="H5" s="15">
        <v>11</v>
      </c>
      <c r="I5" s="14">
        <v>92.881500000000003</v>
      </c>
      <c r="J5" s="15">
        <v>247</v>
      </c>
      <c r="K5" s="14">
        <v>64.978899999999996</v>
      </c>
      <c r="L5" s="14">
        <f t="shared" si="0"/>
        <v>16.596299999999999</v>
      </c>
    </row>
    <row r="6" spans="1:12" ht="15.75" customHeight="1" x14ac:dyDescent="0.4">
      <c r="A6" t="s">
        <v>32</v>
      </c>
      <c r="B6">
        <v>2010</v>
      </c>
      <c r="C6">
        <v>1</v>
      </c>
      <c r="D6" s="15">
        <v>2</v>
      </c>
      <c r="E6" s="13">
        <v>0.95749799999999996</v>
      </c>
      <c r="F6" s="15">
        <v>6</v>
      </c>
      <c r="G6" s="14">
        <v>116.9563</v>
      </c>
      <c r="H6" s="15">
        <v>6</v>
      </c>
      <c r="I6" s="14">
        <v>89.206100000000006</v>
      </c>
      <c r="J6" s="15">
        <v>198</v>
      </c>
      <c r="K6" s="14">
        <v>66.684299999999993</v>
      </c>
      <c r="L6" s="14">
        <f t="shared" si="0"/>
        <v>27.750199999999992</v>
      </c>
    </row>
    <row r="7" spans="1:12" ht="15.75" customHeight="1" x14ac:dyDescent="0.4">
      <c r="A7" t="s">
        <v>37</v>
      </c>
      <c r="B7">
        <v>2007</v>
      </c>
      <c r="C7">
        <v>1</v>
      </c>
      <c r="D7" s="15">
        <v>5</v>
      </c>
      <c r="E7" s="13">
        <v>0.94339399999999995</v>
      </c>
      <c r="F7" s="15">
        <v>3</v>
      </c>
      <c r="G7" s="14">
        <v>118.38339999999999</v>
      </c>
      <c r="H7" s="15">
        <v>18</v>
      </c>
      <c r="I7" s="14">
        <v>92.692499999999995</v>
      </c>
      <c r="J7" s="15">
        <v>178</v>
      </c>
      <c r="K7" s="14">
        <v>66.382000000000005</v>
      </c>
      <c r="L7" s="14">
        <f t="shared" si="0"/>
        <v>25.690899999999999</v>
      </c>
    </row>
    <row r="8" spans="1:12" ht="15.75" customHeight="1" x14ac:dyDescent="0.4">
      <c r="A8" t="s">
        <v>37</v>
      </c>
      <c r="B8">
        <v>2006</v>
      </c>
      <c r="C8">
        <v>3</v>
      </c>
      <c r="D8" s="15">
        <v>7</v>
      </c>
      <c r="E8" s="13">
        <v>0.91981000000000002</v>
      </c>
      <c r="F8" s="15">
        <v>14</v>
      </c>
      <c r="G8" s="14">
        <v>113.8817</v>
      </c>
      <c r="H8" s="15">
        <v>18</v>
      </c>
      <c r="I8" s="14">
        <v>92.112099999999998</v>
      </c>
      <c r="J8" s="15">
        <v>97</v>
      </c>
      <c r="K8" s="14">
        <v>68.694500000000005</v>
      </c>
      <c r="L8" s="14">
        <f t="shared" si="0"/>
        <v>21.769599999999997</v>
      </c>
    </row>
    <row r="9" spans="1:12" ht="15.75" customHeight="1" x14ac:dyDescent="0.4">
      <c r="A9" t="s">
        <v>45</v>
      </c>
      <c r="B9">
        <v>2012</v>
      </c>
      <c r="C9">
        <v>1</v>
      </c>
      <c r="D9" s="15">
        <v>1</v>
      </c>
      <c r="E9" s="13">
        <v>0.96340700000000001</v>
      </c>
      <c r="F9" s="15">
        <v>2</v>
      </c>
      <c r="G9" s="14">
        <v>118.6576</v>
      </c>
      <c r="H9" s="15">
        <v>5</v>
      </c>
      <c r="I9" s="14">
        <v>89.285499999999999</v>
      </c>
      <c r="J9" s="15">
        <v>191</v>
      </c>
      <c r="K9" s="14">
        <v>65.673500000000004</v>
      </c>
      <c r="L9" s="14">
        <f t="shared" si="0"/>
        <v>29.372100000000003</v>
      </c>
    </row>
    <row r="10" spans="1:12" ht="15.75" customHeight="1" x14ac:dyDescent="0.4">
      <c r="A10" t="s">
        <v>86</v>
      </c>
      <c r="B10">
        <v>2013</v>
      </c>
      <c r="C10">
        <v>1</v>
      </c>
      <c r="D10" s="15">
        <v>1</v>
      </c>
      <c r="E10" s="13">
        <v>0.96628700000000001</v>
      </c>
      <c r="F10" s="15">
        <v>18</v>
      </c>
      <c r="G10" s="14">
        <v>112.1925</v>
      </c>
      <c r="H10" s="15">
        <v>1</v>
      </c>
      <c r="I10" s="14">
        <v>83.799400000000006</v>
      </c>
      <c r="J10" s="15">
        <v>112</v>
      </c>
      <c r="K10" s="14">
        <v>67.232900000000001</v>
      </c>
      <c r="L10" s="14">
        <f t="shared" si="0"/>
        <v>28.39309999999999</v>
      </c>
    </row>
    <row r="11" spans="1:12" ht="15.75" customHeight="1" x14ac:dyDescent="0.4">
      <c r="A11" t="s">
        <v>36</v>
      </c>
      <c r="B11">
        <v>2002</v>
      </c>
      <c r="C11">
        <v>1</v>
      </c>
      <c r="D11" s="15">
        <v>4</v>
      </c>
      <c r="E11" s="13">
        <v>0.93981800000000004</v>
      </c>
      <c r="F11" s="15">
        <v>4</v>
      </c>
      <c r="G11" s="14">
        <v>116.2551</v>
      </c>
      <c r="H11" s="15">
        <v>14</v>
      </c>
      <c r="I11" s="14">
        <v>91.542400000000001</v>
      </c>
      <c r="J11" s="15">
        <v>12</v>
      </c>
      <c r="K11" s="14">
        <v>75.418000000000006</v>
      </c>
      <c r="L11" s="14">
        <f t="shared" si="0"/>
        <v>24.712699999999998</v>
      </c>
    </row>
    <row r="12" spans="1:12" ht="15.75" customHeight="1" x14ac:dyDescent="0.4">
      <c r="A12" s="2" t="s">
        <v>35</v>
      </c>
      <c r="B12">
        <v>2008</v>
      </c>
      <c r="C12">
        <v>1</v>
      </c>
      <c r="D12" s="11">
        <v>1</v>
      </c>
      <c r="E12">
        <v>0.96823599999999999</v>
      </c>
      <c r="F12" s="11">
        <v>1</v>
      </c>
      <c r="G12" s="14">
        <v>120.8601</v>
      </c>
      <c r="H12">
        <v>6</v>
      </c>
      <c r="I12" s="14">
        <v>89.791600000000003</v>
      </c>
      <c r="J12">
        <v>98</v>
      </c>
      <c r="K12" s="14">
        <v>68.898200000000003</v>
      </c>
      <c r="L12" s="14">
        <f t="shared" si="0"/>
        <v>31.0685</v>
      </c>
    </row>
    <row r="13" spans="1:12" ht="15.75" customHeight="1" x14ac:dyDescent="0.4">
      <c r="A13" t="s">
        <v>168</v>
      </c>
      <c r="B13">
        <v>2005</v>
      </c>
      <c r="C13" s="2">
        <v>1</v>
      </c>
      <c r="D13" s="15">
        <v>2</v>
      </c>
      <c r="E13" s="13">
        <v>0.95752199999999998</v>
      </c>
      <c r="F13" s="15">
        <v>3</v>
      </c>
      <c r="G13" s="14">
        <v>119.3614</v>
      </c>
      <c r="H13" s="15">
        <v>9</v>
      </c>
      <c r="I13" s="14">
        <v>91.036000000000001</v>
      </c>
      <c r="J13" s="15">
        <v>5</v>
      </c>
      <c r="K13" s="14">
        <v>74.679100000000005</v>
      </c>
      <c r="L13" s="14">
        <f t="shared" si="0"/>
        <v>28.325400000000002</v>
      </c>
    </row>
    <row r="14" spans="1:12" ht="15.75" customHeight="1" x14ac:dyDescent="0.4">
      <c r="A14" t="s">
        <v>168</v>
      </c>
      <c r="B14" s="2">
        <v>2009</v>
      </c>
      <c r="C14" s="2">
        <v>1</v>
      </c>
      <c r="D14" s="15">
        <v>4</v>
      </c>
      <c r="E14" s="13">
        <v>0.94401800000000002</v>
      </c>
      <c r="F14" s="15">
        <v>1</v>
      </c>
      <c r="G14" s="14">
        <v>121.90819999999999</v>
      </c>
      <c r="H14" s="15">
        <v>49</v>
      </c>
      <c r="I14" s="14">
        <v>95.354900000000001</v>
      </c>
      <c r="J14" s="15">
        <v>7</v>
      </c>
      <c r="K14" s="14">
        <v>74.071200000000005</v>
      </c>
      <c r="L14" s="14">
        <f t="shared" si="0"/>
        <v>26.553299999999993</v>
      </c>
    </row>
    <row r="15" spans="1:12" ht="15.75" customHeight="1" x14ac:dyDescent="0.4">
      <c r="A15" t="s">
        <v>23</v>
      </c>
      <c r="B15">
        <v>2003</v>
      </c>
      <c r="C15">
        <v>3</v>
      </c>
      <c r="D15" s="15">
        <v>20</v>
      </c>
      <c r="E15" s="13">
        <v>0.88222900000000004</v>
      </c>
      <c r="F15" s="15">
        <v>16</v>
      </c>
      <c r="G15" s="14">
        <v>112.28660000000001</v>
      </c>
      <c r="H15" s="15">
        <v>38</v>
      </c>
      <c r="I15" s="14">
        <v>94.249899999999997</v>
      </c>
      <c r="J15" s="15">
        <v>51</v>
      </c>
      <c r="K15" s="14">
        <v>71.695099999999996</v>
      </c>
      <c r="L15" s="14">
        <f t="shared" si="0"/>
        <v>18.03670000000001</v>
      </c>
    </row>
    <row r="16" spans="1:12" ht="15.75" customHeight="1" x14ac:dyDescent="0.4">
      <c r="A16" s="18" t="s">
        <v>408</v>
      </c>
      <c r="B16" s="42"/>
      <c r="C16" s="42">
        <f t="shared" ref="C16:L16" si="1">MIN(C3:C15)</f>
        <v>1</v>
      </c>
      <c r="D16" s="31">
        <f t="shared" si="1"/>
        <v>1</v>
      </c>
      <c r="E16" s="32">
        <f t="shared" si="1"/>
        <v>0.86882000000000004</v>
      </c>
      <c r="F16" s="31">
        <f t="shared" si="1"/>
        <v>1</v>
      </c>
      <c r="G16" s="33">
        <f t="shared" si="1"/>
        <v>109.4778</v>
      </c>
      <c r="H16" s="31">
        <f t="shared" si="1"/>
        <v>1</v>
      </c>
      <c r="I16" s="33">
        <f t="shared" si="1"/>
        <v>83.799400000000006</v>
      </c>
      <c r="J16" s="31">
        <f t="shared" si="1"/>
        <v>5</v>
      </c>
      <c r="K16" s="33">
        <f t="shared" si="1"/>
        <v>64.978899999999996</v>
      </c>
      <c r="L16" s="33">
        <f t="shared" si="1"/>
        <v>16.596299999999999</v>
      </c>
    </row>
    <row r="17" spans="1:26" ht="15.75" customHeight="1" x14ac:dyDescent="0.4">
      <c r="A17" s="2" t="s">
        <v>409</v>
      </c>
      <c r="C17">
        <f t="shared" ref="C17:L17" si="2">MAX(C3:C15)</f>
        <v>7</v>
      </c>
      <c r="D17" s="15">
        <f t="shared" si="2"/>
        <v>25</v>
      </c>
      <c r="E17" s="13">
        <f t="shared" si="2"/>
        <v>0.96823599999999999</v>
      </c>
      <c r="F17" s="15">
        <f t="shared" si="2"/>
        <v>80</v>
      </c>
      <c r="G17" s="14">
        <f t="shared" si="2"/>
        <v>121.90819999999999</v>
      </c>
      <c r="H17" s="15">
        <f t="shared" si="2"/>
        <v>49</v>
      </c>
      <c r="I17" s="14">
        <f t="shared" si="2"/>
        <v>95.354900000000001</v>
      </c>
      <c r="J17" s="15">
        <f t="shared" si="2"/>
        <v>247</v>
      </c>
      <c r="K17" s="14">
        <f t="shared" si="2"/>
        <v>75.418000000000006</v>
      </c>
      <c r="L17" s="14">
        <f t="shared" si="2"/>
        <v>31.0685</v>
      </c>
    </row>
    <row r="18" spans="1:26" ht="15.75" customHeight="1" x14ac:dyDescent="0.4">
      <c r="A18" s="2" t="s">
        <v>410</v>
      </c>
      <c r="C18" s="15">
        <f t="shared" ref="C18:L18" si="3">AVERAGE(C3:C15)</f>
        <v>2</v>
      </c>
      <c r="D18" s="15">
        <f t="shared" si="3"/>
        <v>6.9230769230769234</v>
      </c>
      <c r="E18" s="13">
        <f t="shared" si="3"/>
        <v>0.93443907692307693</v>
      </c>
      <c r="F18" s="15">
        <f t="shared" si="3"/>
        <v>13.76923076923077</v>
      </c>
      <c r="G18" s="14">
        <f t="shared" si="3"/>
        <v>115.97499230769232</v>
      </c>
      <c r="H18" s="15">
        <f t="shared" si="3"/>
        <v>16.384615384615383</v>
      </c>
      <c r="I18" s="14">
        <f t="shared" si="3"/>
        <v>91.227707692307689</v>
      </c>
      <c r="J18" s="15">
        <f t="shared" si="3"/>
        <v>112.46153846153847</v>
      </c>
      <c r="K18" s="14">
        <f t="shared" si="3"/>
        <v>69.288692307692301</v>
      </c>
      <c r="L18" s="14">
        <f t="shared" si="3"/>
        <v>24.747284615384611</v>
      </c>
    </row>
    <row r="19" spans="1:26" ht="15.75" customHeight="1" x14ac:dyDescent="0.4">
      <c r="A19" s="1" t="s">
        <v>411</v>
      </c>
      <c r="B19" s="22"/>
      <c r="C19" s="22">
        <f t="shared" ref="C19:L19" si="4">MEDIAN(C3:C15)</f>
        <v>1</v>
      </c>
      <c r="D19" s="23">
        <f t="shared" si="4"/>
        <v>4</v>
      </c>
      <c r="E19" s="34">
        <f t="shared" si="4"/>
        <v>0.94339399999999995</v>
      </c>
      <c r="F19" s="23">
        <f t="shared" si="4"/>
        <v>6</v>
      </c>
      <c r="G19" s="17">
        <f t="shared" si="4"/>
        <v>116.2551</v>
      </c>
      <c r="H19" s="23">
        <f t="shared" si="4"/>
        <v>11</v>
      </c>
      <c r="I19" s="17">
        <f t="shared" si="4"/>
        <v>91.542400000000001</v>
      </c>
      <c r="J19" s="23">
        <f t="shared" si="4"/>
        <v>98</v>
      </c>
      <c r="K19" s="17">
        <f t="shared" si="4"/>
        <v>68.694500000000005</v>
      </c>
      <c r="L19" s="17">
        <f t="shared" si="4"/>
        <v>25.690899999999999</v>
      </c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 x14ac:dyDescent="0.4">
      <c r="D20" s="15"/>
      <c r="E20" s="13"/>
      <c r="F20" s="15"/>
      <c r="G20" s="14"/>
      <c r="H20" s="15"/>
      <c r="I20" s="14"/>
      <c r="J20" s="15"/>
      <c r="K20" s="14"/>
    </row>
    <row r="21" spans="1:26" ht="15.75" customHeight="1" x14ac:dyDescent="0.4">
      <c r="D21" s="15"/>
      <c r="E21" s="13"/>
      <c r="F21" s="15"/>
      <c r="G21" s="14"/>
      <c r="H21" s="15"/>
      <c r="I21" s="14"/>
      <c r="J21" s="15"/>
      <c r="K21" s="14"/>
    </row>
    <row r="22" spans="1:26" ht="15.75" customHeight="1" x14ac:dyDescent="0.4">
      <c r="D22" s="15"/>
      <c r="E22" s="13"/>
      <c r="F22" s="15"/>
      <c r="G22" s="14"/>
      <c r="H22" s="15"/>
      <c r="I22" s="14"/>
      <c r="J22" s="15"/>
      <c r="K22" s="14"/>
    </row>
    <row r="23" spans="1:26" ht="15.75" customHeight="1" x14ac:dyDescent="0.4">
      <c r="D23" s="15"/>
      <c r="E23" s="13"/>
      <c r="F23" s="15"/>
      <c r="G23" s="14"/>
      <c r="H23" s="15"/>
      <c r="I23" s="14"/>
      <c r="J23" s="15"/>
      <c r="K23" s="14"/>
    </row>
    <row r="24" spans="1:26" ht="15.75" customHeight="1" x14ac:dyDescent="0.4">
      <c r="D24" s="15"/>
      <c r="E24" s="13"/>
      <c r="F24" s="15"/>
      <c r="G24" s="14"/>
      <c r="H24" s="15"/>
      <c r="I24" s="14"/>
      <c r="J24" s="15"/>
      <c r="K24" s="14"/>
    </row>
    <row r="25" spans="1:26" ht="15.75" customHeight="1" x14ac:dyDescent="0.4">
      <c r="D25" s="15"/>
      <c r="E25" s="13"/>
      <c r="F25" s="15"/>
      <c r="G25" s="14"/>
      <c r="H25" s="15"/>
      <c r="I25" s="14"/>
      <c r="J25" s="15"/>
      <c r="K25" s="14"/>
    </row>
    <row r="26" spans="1:26" ht="15.75" customHeight="1" x14ac:dyDescent="0.4">
      <c r="D26" s="15"/>
      <c r="E26" s="13"/>
      <c r="F26" s="15"/>
      <c r="G26" s="14"/>
      <c r="H26" s="15"/>
      <c r="I26" s="14"/>
      <c r="J26" s="15"/>
      <c r="K26" s="14"/>
    </row>
    <row r="27" spans="1:26" ht="15.75" customHeight="1" x14ac:dyDescent="0.4">
      <c r="D27" s="15"/>
      <c r="E27" s="13"/>
      <c r="F27" s="15"/>
      <c r="G27" s="14"/>
      <c r="H27" s="15"/>
      <c r="I27" s="14"/>
      <c r="J27" s="15"/>
      <c r="K27" s="14"/>
    </row>
    <row r="28" spans="1:26" ht="15.75" customHeight="1" x14ac:dyDescent="0.4">
      <c r="D28" s="15"/>
      <c r="E28" s="13"/>
      <c r="F28" s="15"/>
      <c r="G28" s="14"/>
      <c r="H28" s="15"/>
      <c r="I28" s="14"/>
      <c r="J28" s="15"/>
      <c r="K28" s="14"/>
    </row>
    <row r="29" spans="1:26" ht="12.3" x14ac:dyDescent="0.4">
      <c r="D29" s="15"/>
      <c r="E29" s="13"/>
      <c r="F29" s="15"/>
      <c r="G29" s="14"/>
      <c r="H29" s="15"/>
      <c r="I29" s="14"/>
      <c r="J29" s="15"/>
      <c r="K29" s="14"/>
    </row>
    <row r="30" spans="1:26" ht="12.3" x14ac:dyDescent="0.4">
      <c r="D30" s="15"/>
      <c r="E30" s="13"/>
      <c r="F30" s="15"/>
      <c r="G30" s="14"/>
      <c r="H30" s="15"/>
      <c r="I30" s="14"/>
      <c r="J30" s="15"/>
      <c r="K30" s="14"/>
    </row>
    <row r="31" spans="1:26" ht="12.3" x14ac:dyDescent="0.4">
      <c r="D31" s="15"/>
      <c r="E31" s="13"/>
      <c r="F31" s="15"/>
      <c r="G31" s="14"/>
      <c r="H31" s="15"/>
      <c r="I31" s="14"/>
      <c r="J31" s="15"/>
      <c r="K31" s="14"/>
    </row>
    <row r="32" spans="1:26" ht="12.3" x14ac:dyDescent="0.4">
      <c r="D32" s="15"/>
      <c r="E32" s="13"/>
      <c r="F32" s="15"/>
      <c r="G32" s="14"/>
      <c r="H32" s="15"/>
      <c r="I32" s="14"/>
      <c r="J32" s="15"/>
      <c r="K32" s="14"/>
    </row>
    <row r="33" spans="4:11" ht="12.3" x14ac:dyDescent="0.4">
      <c r="D33" s="15"/>
      <c r="E33" s="13"/>
      <c r="F33" s="15"/>
      <c r="G33" s="14"/>
      <c r="H33" s="15"/>
      <c r="I33" s="14"/>
      <c r="J33" s="15"/>
      <c r="K33" s="14"/>
    </row>
    <row r="34" spans="4:11" ht="12.3" x14ac:dyDescent="0.4">
      <c r="D34" s="15"/>
      <c r="E34" s="13"/>
      <c r="F34" s="15"/>
      <c r="G34" s="14"/>
      <c r="H34" s="15"/>
      <c r="I34" s="14"/>
      <c r="J34" s="15"/>
      <c r="K34" s="14"/>
    </row>
    <row r="35" spans="4:11" ht="12.3" x14ac:dyDescent="0.4">
      <c r="D35" s="15"/>
      <c r="E35" s="13"/>
      <c r="F35" s="15"/>
      <c r="G35" s="14"/>
      <c r="H35" s="15"/>
      <c r="I35" s="14"/>
      <c r="J35" s="15"/>
      <c r="K35" s="14"/>
    </row>
    <row r="36" spans="4:11" ht="12.3" x14ac:dyDescent="0.4">
      <c r="D36" s="15"/>
      <c r="E36" s="13"/>
      <c r="F36" s="15"/>
      <c r="G36" s="14"/>
      <c r="H36" s="15"/>
      <c r="I36" s="14"/>
      <c r="J36" s="15"/>
      <c r="K36" s="14"/>
    </row>
    <row r="37" spans="4:11" ht="12.3" x14ac:dyDescent="0.4">
      <c r="D37" s="15"/>
      <c r="E37" s="13"/>
      <c r="F37" s="15"/>
      <c r="G37" s="14"/>
      <c r="H37" s="15"/>
      <c r="I37" s="14"/>
      <c r="J37" s="15"/>
      <c r="K37" s="14"/>
    </row>
    <row r="38" spans="4:11" ht="12.3" x14ac:dyDescent="0.4">
      <c r="D38" s="15"/>
      <c r="E38" s="13"/>
      <c r="F38" s="15"/>
      <c r="G38" s="14"/>
      <c r="H38" s="15"/>
      <c r="I38" s="14"/>
      <c r="J38" s="15"/>
      <c r="K38" s="14"/>
    </row>
    <row r="39" spans="4:11" ht="12.3" x14ac:dyDescent="0.4">
      <c r="D39" s="15"/>
      <c r="E39" s="13"/>
      <c r="F39" s="15"/>
      <c r="G39" s="14"/>
      <c r="H39" s="15"/>
      <c r="I39" s="14"/>
      <c r="J39" s="15"/>
      <c r="K39" s="14"/>
    </row>
    <row r="40" spans="4:11" ht="12.3" x14ac:dyDescent="0.4">
      <c r="D40" s="15"/>
      <c r="E40" s="13"/>
      <c r="F40" s="15"/>
      <c r="G40" s="14"/>
      <c r="H40" s="15"/>
      <c r="I40" s="14"/>
      <c r="J40" s="15"/>
      <c r="K40" s="14"/>
    </row>
    <row r="41" spans="4:11" ht="12.3" x14ac:dyDescent="0.4">
      <c r="D41" s="15"/>
      <c r="E41" s="13"/>
      <c r="F41" s="15"/>
      <c r="G41" s="14"/>
      <c r="H41" s="15"/>
      <c r="I41" s="14"/>
      <c r="J41" s="15"/>
      <c r="K41" s="14"/>
    </row>
    <row r="42" spans="4:11" ht="12.3" x14ac:dyDescent="0.4">
      <c r="D42" s="15"/>
      <c r="E42" s="13"/>
      <c r="F42" s="15"/>
      <c r="G42" s="14"/>
      <c r="H42" s="15"/>
      <c r="I42" s="14"/>
      <c r="J42" s="15"/>
      <c r="K42" s="14"/>
    </row>
    <row r="43" spans="4:11" ht="12.3" x14ac:dyDescent="0.4">
      <c r="D43" s="15"/>
      <c r="E43" s="13"/>
      <c r="F43" s="15"/>
      <c r="G43" s="14"/>
      <c r="H43" s="15"/>
      <c r="I43" s="14"/>
      <c r="J43" s="15"/>
      <c r="K43" s="14"/>
    </row>
    <row r="44" spans="4:11" ht="12.3" x14ac:dyDescent="0.4">
      <c r="D44" s="15"/>
      <c r="E44" s="13"/>
      <c r="F44" s="15"/>
      <c r="G44" s="14"/>
      <c r="H44" s="15"/>
      <c r="I44" s="14"/>
      <c r="J44" s="15"/>
      <c r="K44" s="14"/>
    </row>
    <row r="45" spans="4:11" ht="12.3" x14ac:dyDescent="0.4">
      <c r="D45" s="15"/>
      <c r="E45" s="13"/>
      <c r="F45" s="15"/>
      <c r="G45" s="14"/>
      <c r="H45" s="15"/>
      <c r="I45" s="14"/>
      <c r="J45" s="15"/>
      <c r="K45" s="14"/>
    </row>
    <row r="46" spans="4:11" ht="12.3" x14ac:dyDescent="0.4">
      <c r="D46" s="15"/>
      <c r="E46" s="13"/>
      <c r="F46" s="15"/>
      <c r="G46" s="14"/>
      <c r="H46" s="15"/>
      <c r="I46" s="14"/>
      <c r="J46" s="15"/>
      <c r="K46" s="14"/>
    </row>
    <row r="47" spans="4:11" ht="12.3" x14ac:dyDescent="0.4">
      <c r="D47" s="15"/>
      <c r="E47" s="13"/>
      <c r="F47" s="15"/>
      <c r="G47" s="14"/>
      <c r="H47" s="15"/>
      <c r="I47" s="14"/>
      <c r="J47" s="15"/>
      <c r="K47" s="14"/>
    </row>
    <row r="48" spans="4:11" ht="12.3" x14ac:dyDescent="0.4">
      <c r="D48" s="15"/>
      <c r="E48" s="13"/>
      <c r="F48" s="15"/>
      <c r="G48" s="14"/>
      <c r="H48" s="15"/>
      <c r="I48" s="14"/>
      <c r="J48" s="15"/>
      <c r="K48" s="14"/>
    </row>
    <row r="49" spans="4:11" ht="12.3" x14ac:dyDescent="0.4">
      <c r="D49" s="15"/>
      <c r="E49" s="13"/>
      <c r="F49" s="15"/>
      <c r="G49" s="14"/>
      <c r="H49" s="15"/>
      <c r="I49" s="14"/>
      <c r="J49" s="15"/>
      <c r="K49" s="14"/>
    </row>
    <row r="50" spans="4:11" ht="12.3" x14ac:dyDescent="0.4">
      <c r="D50" s="15"/>
      <c r="E50" s="13"/>
      <c r="F50" s="15"/>
      <c r="G50" s="14"/>
      <c r="H50" s="15"/>
      <c r="I50" s="14"/>
      <c r="J50" s="15"/>
      <c r="K50" s="14"/>
    </row>
    <row r="51" spans="4:11" ht="12.3" x14ac:dyDescent="0.4">
      <c r="D51" s="15"/>
      <c r="E51" s="13"/>
      <c r="F51" s="15"/>
      <c r="G51" s="14"/>
      <c r="H51" s="15"/>
      <c r="I51" s="14"/>
      <c r="J51" s="15"/>
      <c r="K51" s="14"/>
    </row>
    <row r="52" spans="4:11" ht="12.3" x14ac:dyDescent="0.4">
      <c r="D52" s="15"/>
      <c r="E52" s="13"/>
      <c r="F52" s="15"/>
      <c r="G52" s="14"/>
      <c r="H52" s="15"/>
      <c r="I52" s="14"/>
      <c r="J52" s="15"/>
      <c r="K52" s="14"/>
    </row>
    <row r="53" spans="4:11" ht="12.3" x14ac:dyDescent="0.4">
      <c r="D53" s="15"/>
      <c r="E53" s="13"/>
      <c r="F53" s="15"/>
      <c r="G53" s="14"/>
      <c r="H53" s="15"/>
      <c r="I53" s="14"/>
      <c r="J53" s="15"/>
      <c r="K53" s="14"/>
    </row>
    <row r="54" spans="4:11" ht="12.3" x14ac:dyDescent="0.4">
      <c r="D54" s="15"/>
      <c r="E54" s="13"/>
      <c r="F54" s="15"/>
      <c r="G54" s="14"/>
      <c r="H54" s="15"/>
      <c r="I54" s="14"/>
      <c r="J54" s="15"/>
      <c r="K54" s="14"/>
    </row>
    <row r="55" spans="4:11" ht="12.3" x14ac:dyDescent="0.4">
      <c r="D55" s="15"/>
      <c r="E55" s="13"/>
      <c r="F55" s="15"/>
      <c r="G55" s="14"/>
      <c r="H55" s="15"/>
      <c r="I55" s="14"/>
      <c r="J55" s="15"/>
      <c r="K55" s="14"/>
    </row>
    <row r="56" spans="4:11" ht="12.3" x14ac:dyDescent="0.4">
      <c r="D56" s="15"/>
      <c r="E56" s="13"/>
      <c r="F56" s="15"/>
      <c r="G56" s="14"/>
      <c r="H56" s="15"/>
      <c r="I56" s="14"/>
      <c r="J56" s="15"/>
      <c r="K56" s="14"/>
    </row>
    <row r="57" spans="4:11" ht="12.3" x14ac:dyDescent="0.4">
      <c r="D57" s="15"/>
      <c r="E57" s="13"/>
      <c r="F57" s="15"/>
      <c r="G57" s="14"/>
      <c r="H57" s="15"/>
      <c r="I57" s="14"/>
      <c r="J57" s="15"/>
      <c r="K57" s="14"/>
    </row>
    <row r="58" spans="4:11" ht="12.3" x14ac:dyDescent="0.4">
      <c r="D58" s="15"/>
      <c r="E58" s="13"/>
      <c r="F58" s="15"/>
      <c r="G58" s="14"/>
      <c r="H58" s="15"/>
      <c r="I58" s="14"/>
      <c r="J58" s="15"/>
      <c r="K58" s="14"/>
    </row>
    <row r="59" spans="4:11" ht="12.3" x14ac:dyDescent="0.4">
      <c r="D59" s="15"/>
      <c r="E59" s="13"/>
      <c r="F59" s="15"/>
      <c r="G59" s="14"/>
      <c r="H59" s="15"/>
      <c r="I59" s="14"/>
      <c r="J59" s="15"/>
      <c r="K59" s="14"/>
    </row>
    <row r="60" spans="4:11" ht="12.3" x14ac:dyDescent="0.4">
      <c r="D60" s="15"/>
      <c r="E60" s="13"/>
      <c r="F60" s="15"/>
      <c r="G60" s="14"/>
      <c r="H60" s="15"/>
      <c r="I60" s="14"/>
      <c r="J60" s="15"/>
      <c r="K60" s="14"/>
    </row>
    <row r="61" spans="4:11" ht="12.3" x14ac:dyDescent="0.4">
      <c r="D61" s="15"/>
      <c r="E61" s="13"/>
      <c r="F61" s="15"/>
      <c r="G61" s="14"/>
      <c r="H61" s="15"/>
      <c r="I61" s="14"/>
      <c r="J61" s="15"/>
      <c r="K61" s="14"/>
    </row>
    <row r="62" spans="4:11" ht="12.3" x14ac:dyDescent="0.4">
      <c r="D62" s="15"/>
      <c r="E62" s="13"/>
      <c r="F62" s="15"/>
      <c r="G62" s="14"/>
      <c r="H62" s="15"/>
      <c r="I62" s="14"/>
      <c r="J62" s="15"/>
      <c r="K62" s="14"/>
    </row>
    <row r="63" spans="4:11" ht="12.3" x14ac:dyDescent="0.4">
      <c r="D63" s="15"/>
      <c r="E63" s="13"/>
      <c r="F63" s="15"/>
      <c r="G63" s="14"/>
      <c r="H63" s="15"/>
      <c r="I63" s="14"/>
      <c r="J63" s="15"/>
      <c r="K63" s="14"/>
    </row>
    <row r="64" spans="4:11" ht="12.3" x14ac:dyDescent="0.4">
      <c r="D64" s="15"/>
      <c r="E64" s="13"/>
      <c r="F64" s="15"/>
      <c r="G64" s="14"/>
      <c r="H64" s="15"/>
      <c r="I64" s="14"/>
      <c r="J64" s="15"/>
      <c r="K64" s="14"/>
    </row>
    <row r="65" spans="4:11" ht="12.3" x14ac:dyDescent="0.4">
      <c r="D65" s="15"/>
      <c r="E65" s="13"/>
      <c r="F65" s="15"/>
      <c r="G65" s="14"/>
      <c r="H65" s="15"/>
      <c r="I65" s="14"/>
      <c r="J65" s="15"/>
      <c r="K65" s="14"/>
    </row>
    <row r="66" spans="4:11" ht="12.3" x14ac:dyDescent="0.4">
      <c r="D66" s="15"/>
      <c r="E66" s="13"/>
      <c r="F66" s="15"/>
      <c r="G66" s="14"/>
      <c r="H66" s="15"/>
      <c r="I66" s="14"/>
      <c r="J66" s="15"/>
      <c r="K66" s="14"/>
    </row>
    <row r="67" spans="4:11" ht="12.3" x14ac:dyDescent="0.4">
      <c r="D67" s="15"/>
      <c r="E67" s="13"/>
      <c r="F67" s="15"/>
      <c r="G67" s="14"/>
      <c r="H67" s="15"/>
      <c r="I67" s="14"/>
      <c r="J67" s="15"/>
      <c r="K67" s="14"/>
    </row>
    <row r="68" spans="4:11" ht="12.3" x14ac:dyDescent="0.4">
      <c r="D68" s="15"/>
      <c r="E68" s="13"/>
      <c r="F68" s="15"/>
      <c r="G68" s="14"/>
      <c r="H68" s="15"/>
      <c r="I68" s="14"/>
      <c r="J68" s="15"/>
      <c r="K68" s="14"/>
    </row>
    <row r="69" spans="4:11" ht="12.3" x14ac:dyDescent="0.4">
      <c r="D69" s="15"/>
      <c r="E69" s="13"/>
      <c r="F69" s="15"/>
      <c r="G69" s="14"/>
      <c r="H69" s="15"/>
      <c r="I69" s="14"/>
      <c r="J69" s="15"/>
      <c r="K69" s="14"/>
    </row>
    <row r="70" spans="4:11" ht="12.3" x14ac:dyDescent="0.4">
      <c r="D70" s="15"/>
      <c r="E70" s="13"/>
      <c r="F70" s="15"/>
      <c r="G70" s="14"/>
      <c r="H70" s="15"/>
      <c r="I70" s="14"/>
      <c r="J70" s="15"/>
      <c r="K70" s="14"/>
    </row>
    <row r="71" spans="4:11" ht="12.3" x14ac:dyDescent="0.4">
      <c r="D71" s="15"/>
      <c r="E71" s="13"/>
      <c r="F71" s="15"/>
      <c r="G71" s="14"/>
      <c r="H71" s="15"/>
      <c r="I71" s="14"/>
      <c r="J71" s="15"/>
      <c r="K71" s="14"/>
    </row>
    <row r="72" spans="4:11" ht="12.3" x14ac:dyDescent="0.4">
      <c r="D72" s="15"/>
      <c r="E72" s="13"/>
      <c r="F72" s="15"/>
      <c r="G72" s="14"/>
      <c r="H72" s="15"/>
      <c r="I72" s="14"/>
      <c r="J72" s="15"/>
      <c r="K72" s="14"/>
    </row>
    <row r="73" spans="4:11" ht="12.3" x14ac:dyDescent="0.4">
      <c r="D73" s="15"/>
      <c r="E73" s="13"/>
      <c r="F73" s="15"/>
      <c r="G73" s="14"/>
      <c r="H73" s="15"/>
      <c r="I73" s="14"/>
      <c r="J73" s="15"/>
      <c r="K73" s="14"/>
    </row>
    <row r="74" spans="4:11" ht="12.3" x14ac:dyDescent="0.4">
      <c r="D74" s="15"/>
      <c r="E74" s="13"/>
      <c r="F74" s="15"/>
      <c r="G74" s="14"/>
      <c r="H74" s="15"/>
      <c r="I74" s="14"/>
      <c r="J74" s="15"/>
      <c r="K74" s="14"/>
    </row>
    <row r="75" spans="4:11" ht="12.3" x14ac:dyDescent="0.4">
      <c r="D75" s="15"/>
      <c r="E75" s="13"/>
      <c r="F75" s="15"/>
      <c r="G75" s="14"/>
      <c r="H75" s="15"/>
      <c r="I75" s="14"/>
      <c r="J75" s="15"/>
      <c r="K75" s="14"/>
    </row>
    <row r="76" spans="4:11" ht="12.3" x14ac:dyDescent="0.4">
      <c r="D76" s="15"/>
      <c r="E76" s="13"/>
      <c r="F76" s="15"/>
      <c r="G76" s="14"/>
      <c r="H76" s="15"/>
      <c r="I76" s="14"/>
      <c r="J76" s="15"/>
      <c r="K76" s="14"/>
    </row>
    <row r="77" spans="4:11" ht="12.3" x14ac:dyDescent="0.4">
      <c r="D77" s="15"/>
      <c r="E77" s="13"/>
      <c r="F77" s="15"/>
      <c r="G77" s="14"/>
      <c r="H77" s="15"/>
      <c r="I77" s="14"/>
      <c r="J77" s="15"/>
      <c r="K77" s="14"/>
    </row>
    <row r="78" spans="4:11" ht="12.3" x14ac:dyDescent="0.4">
      <c r="D78" s="15"/>
      <c r="E78" s="13"/>
      <c r="F78" s="15"/>
      <c r="G78" s="14"/>
      <c r="H78" s="15"/>
      <c r="I78" s="14"/>
      <c r="J78" s="15"/>
      <c r="K78" s="14"/>
    </row>
    <row r="79" spans="4:11" ht="12.3" x14ac:dyDescent="0.4">
      <c r="D79" s="15"/>
      <c r="E79" s="13"/>
      <c r="F79" s="15"/>
      <c r="G79" s="14"/>
      <c r="H79" s="15"/>
      <c r="I79" s="14"/>
      <c r="J79" s="15"/>
      <c r="K79" s="14"/>
    </row>
    <row r="80" spans="4:11" ht="12.3" x14ac:dyDescent="0.4">
      <c r="D80" s="15"/>
      <c r="E80" s="13"/>
      <c r="F80" s="15"/>
      <c r="G80" s="14"/>
      <c r="H80" s="15"/>
      <c r="I80" s="14"/>
      <c r="J80" s="15"/>
      <c r="K80" s="14"/>
    </row>
    <row r="81" spans="4:11" ht="12.3" x14ac:dyDescent="0.4">
      <c r="D81" s="15"/>
      <c r="E81" s="13"/>
      <c r="F81" s="15"/>
      <c r="G81" s="14"/>
      <c r="H81" s="15"/>
      <c r="I81" s="14"/>
      <c r="J81" s="15"/>
      <c r="K81" s="14"/>
    </row>
    <row r="82" spans="4:11" ht="12.3" x14ac:dyDescent="0.4">
      <c r="D82" s="15"/>
      <c r="E82" s="13"/>
      <c r="F82" s="15"/>
      <c r="G82" s="14"/>
      <c r="H82" s="15"/>
      <c r="I82" s="14"/>
      <c r="J82" s="15"/>
      <c r="K82" s="14"/>
    </row>
    <row r="83" spans="4:11" ht="12.3" x14ac:dyDescent="0.4">
      <c r="D83" s="15"/>
      <c r="E83" s="13"/>
      <c r="F83" s="15"/>
      <c r="G83" s="14"/>
      <c r="H83" s="15"/>
      <c r="I83" s="14"/>
      <c r="J83" s="15"/>
      <c r="K83" s="14"/>
    </row>
    <row r="84" spans="4:11" ht="12.3" x14ac:dyDescent="0.4">
      <c r="D84" s="15"/>
      <c r="E84" s="13"/>
      <c r="F84" s="15"/>
      <c r="G84" s="14"/>
      <c r="H84" s="15"/>
      <c r="I84" s="14"/>
      <c r="J84" s="15"/>
      <c r="K84" s="14"/>
    </row>
    <row r="85" spans="4:11" ht="12.3" x14ac:dyDescent="0.4">
      <c r="D85" s="15"/>
      <c r="E85" s="13"/>
      <c r="F85" s="15"/>
      <c r="G85" s="14"/>
      <c r="H85" s="15"/>
      <c r="I85" s="14"/>
      <c r="J85" s="15"/>
      <c r="K85" s="14"/>
    </row>
    <row r="86" spans="4:11" ht="12.3" x14ac:dyDescent="0.4">
      <c r="D86" s="15"/>
      <c r="E86" s="13"/>
      <c r="F86" s="15"/>
      <c r="G86" s="14"/>
      <c r="H86" s="15"/>
      <c r="I86" s="14"/>
      <c r="J86" s="15"/>
      <c r="K86" s="14"/>
    </row>
    <row r="87" spans="4:11" ht="12.3" x14ac:dyDescent="0.4">
      <c r="D87" s="15"/>
      <c r="E87" s="13"/>
      <c r="F87" s="15"/>
      <c r="G87" s="14"/>
      <c r="H87" s="15"/>
      <c r="I87" s="14"/>
      <c r="J87" s="15"/>
      <c r="K87" s="14"/>
    </row>
    <row r="88" spans="4:11" ht="12.3" x14ac:dyDescent="0.4">
      <c r="D88" s="15"/>
      <c r="E88" s="13"/>
      <c r="F88" s="15"/>
      <c r="G88" s="14"/>
      <c r="H88" s="15"/>
      <c r="I88" s="14"/>
      <c r="J88" s="15"/>
      <c r="K88" s="14"/>
    </row>
    <row r="89" spans="4:11" ht="12.3" x14ac:dyDescent="0.4">
      <c r="D89" s="15"/>
      <c r="E89" s="13"/>
      <c r="F89" s="15"/>
      <c r="G89" s="14"/>
      <c r="H89" s="15"/>
      <c r="I89" s="14"/>
      <c r="J89" s="15"/>
      <c r="K89" s="14"/>
    </row>
    <row r="90" spans="4:11" ht="12.3" x14ac:dyDescent="0.4">
      <c r="D90" s="15"/>
      <c r="E90" s="13"/>
      <c r="F90" s="15"/>
      <c r="G90" s="14"/>
      <c r="H90" s="15"/>
      <c r="I90" s="14"/>
      <c r="J90" s="15"/>
      <c r="K90" s="14"/>
    </row>
    <row r="91" spans="4:11" ht="12.3" x14ac:dyDescent="0.4">
      <c r="D91" s="15"/>
      <c r="E91" s="13"/>
      <c r="F91" s="15"/>
      <c r="G91" s="14"/>
      <c r="H91" s="15"/>
      <c r="I91" s="14"/>
      <c r="J91" s="15"/>
      <c r="K91" s="14"/>
    </row>
    <row r="92" spans="4:11" ht="12.3" x14ac:dyDescent="0.4">
      <c r="D92" s="15"/>
      <c r="E92" s="13"/>
      <c r="F92" s="15"/>
      <c r="G92" s="14"/>
      <c r="H92" s="15"/>
      <c r="I92" s="14"/>
      <c r="J92" s="15"/>
      <c r="K92" s="14"/>
    </row>
    <row r="93" spans="4:11" ht="12.3" x14ac:dyDescent="0.4">
      <c r="D93" s="15"/>
      <c r="E93" s="13"/>
      <c r="F93" s="15"/>
      <c r="G93" s="14"/>
      <c r="H93" s="15"/>
      <c r="I93" s="14"/>
      <c r="J93" s="15"/>
      <c r="K93" s="14"/>
    </row>
    <row r="94" spans="4:11" ht="12.3" x14ac:dyDescent="0.4">
      <c r="D94" s="15"/>
      <c r="E94" s="13"/>
      <c r="F94" s="15"/>
      <c r="G94" s="14"/>
      <c r="H94" s="15"/>
      <c r="I94" s="14"/>
      <c r="J94" s="15"/>
      <c r="K94" s="14"/>
    </row>
    <row r="95" spans="4:11" ht="12.3" x14ac:dyDescent="0.4">
      <c r="D95" s="15"/>
      <c r="E95" s="13"/>
      <c r="F95" s="15"/>
      <c r="G95" s="14"/>
      <c r="H95" s="15"/>
      <c r="I95" s="14"/>
      <c r="J95" s="15"/>
      <c r="K95" s="14"/>
    </row>
    <row r="96" spans="4:11" ht="12.3" x14ac:dyDescent="0.4">
      <c r="D96" s="15"/>
      <c r="E96" s="13"/>
      <c r="F96" s="15"/>
      <c r="G96" s="14"/>
      <c r="H96" s="15"/>
      <c r="I96" s="14"/>
      <c r="J96" s="15"/>
      <c r="K96" s="14"/>
    </row>
    <row r="97" spans="4:11" ht="12.3" x14ac:dyDescent="0.4">
      <c r="D97" s="15"/>
      <c r="E97" s="13"/>
      <c r="F97" s="15"/>
      <c r="G97" s="14"/>
      <c r="H97" s="15"/>
      <c r="I97" s="14"/>
      <c r="J97" s="15"/>
      <c r="K97" s="14"/>
    </row>
    <row r="98" spans="4:11" ht="12.3" x14ac:dyDescent="0.4">
      <c r="D98" s="15"/>
      <c r="E98" s="13"/>
      <c r="F98" s="15"/>
      <c r="G98" s="14"/>
      <c r="H98" s="15"/>
      <c r="I98" s="14"/>
      <c r="J98" s="15"/>
      <c r="K98" s="14"/>
    </row>
    <row r="99" spans="4:11" ht="12.3" x14ac:dyDescent="0.4">
      <c r="D99" s="15"/>
      <c r="E99" s="13"/>
      <c r="F99" s="15"/>
      <c r="G99" s="14"/>
      <c r="H99" s="15"/>
      <c r="I99" s="14"/>
      <c r="J99" s="15"/>
      <c r="K99" s="14"/>
    </row>
    <row r="100" spans="4:11" ht="12.3" x14ac:dyDescent="0.4">
      <c r="D100" s="15"/>
      <c r="E100" s="13"/>
      <c r="F100" s="15"/>
      <c r="G100" s="14"/>
      <c r="H100" s="15"/>
      <c r="I100" s="14"/>
      <c r="J100" s="15"/>
      <c r="K100" s="14"/>
    </row>
    <row r="101" spans="4:11" ht="12.3" x14ac:dyDescent="0.4">
      <c r="D101" s="15"/>
      <c r="E101" s="13"/>
      <c r="F101" s="15"/>
      <c r="G101" s="14"/>
      <c r="H101" s="15"/>
      <c r="I101" s="14"/>
      <c r="J101" s="15"/>
      <c r="K101" s="14"/>
    </row>
    <row r="102" spans="4:11" ht="12.3" x14ac:dyDescent="0.4">
      <c r="D102" s="15"/>
      <c r="E102" s="13"/>
      <c r="F102" s="15"/>
      <c r="G102" s="14"/>
      <c r="H102" s="15"/>
      <c r="I102" s="14"/>
      <c r="J102" s="15"/>
      <c r="K102" s="14"/>
    </row>
    <row r="103" spans="4:11" ht="12.3" x14ac:dyDescent="0.4">
      <c r="D103" s="15"/>
      <c r="E103" s="13"/>
      <c r="F103" s="15"/>
      <c r="G103" s="14"/>
      <c r="H103" s="15"/>
      <c r="I103" s="14"/>
      <c r="J103" s="15"/>
      <c r="K103" s="14"/>
    </row>
    <row r="104" spans="4:11" ht="12.3" x14ac:dyDescent="0.4">
      <c r="D104" s="15"/>
      <c r="E104" s="13"/>
      <c r="F104" s="15"/>
      <c r="G104" s="14"/>
      <c r="H104" s="15"/>
      <c r="I104" s="14"/>
      <c r="J104" s="15"/>
      <c r="K104" s="14"/>
    </row>
    <row r="105" spans="4:11" ht="12.3" x14ac:dyDescent="0.4">
      <c r="D105" s="15"/>
      <c r="E105" s="13"/>
      <c r="F105" s="15"/>
      <c r="G105" s="14"/>
      <c r="H105" s="15"/>
      <c r="I105" s="14"/>
      <c r="J105" s="15"/>
      <c r="K105" s="14"/>
    </row>
    <row r="106" spans="4:11" ht="12.3" x14ac:dyDescent="0.4">
      <c r="D106" s="15"/>
      <c r="E106" s="13"/>
      <c r="F106" s="15"/>
      <c r="G106" s="14"/>
      <c r="H106" s="15"/>
      <c r="I106" s="14"/>
      <c r="J106" s="15"/>
      <c r="K106" s="14"/>
    </row>
    <row r="107" spans="4:11" ht="12.3" x14ac:dyDescent="0.4">
      <c r="D107" s="15"/>
      <c r="E107" s="13"/>
      <c r="F107" s="15"/>
      <c r="G107" s="14"/>
      <c r="H107" s="15"/>
      <c r="I107" s="14"/>
      <c r="J107" s="15"/>
      <c r="K107" s="14"/>
    </row>
    <row r="108" spans="4:11" ht="12.3" x14ac:dyDescent="0.4">
      <c r="D108" s="15"/>
      <c r="E108" s="13"/>
      <c r="F108" s="15"/>
      <c r="G108" s="14"/>
      <c r="H108" s="15"/>
      <c r="I108" s="14"/>
      <c r="J108" s="15"/>
      <c r="K108" s="14"/>
    </row>
    <row r="109" spans="4:11" ht="12.3" x14ac:dyDescent="0.4">
      <c r="D109" s="15"/>
      <c r="E109" s="13"/>
      <c r="F109" s="15"/>
      <c r="G109" s="14"/>
      <c r="H109" s="15"/>
      <c r="I109" s="14"/>
      <c r="J109" s="15"/>
      <c r="K109" s="14"/>
    </row>
    <row r="110" spans="4:11" ht="12.3" x14ac:dyDescent="0.4">
      <c r="D110" s="15"/>
      <c r="E110" s="13"/>
      <c r="F110" s="15"/>
      <c r="G110" s="14"/>
      <c r="H110" s="15"/>
      <c r="I110" s="14"/>
      <c r="J110" s="15"/>
      <c r="K110" s="14"/>
    </row>
    <row r="111" spans="4:11" ht="12.3" x14ac:dyDescent="0.4">
      <c r="D111" s="15"/>
      <c r="E111" s="13"/>
      <c r="F111" s="15"/>
      <c r="G111" s="14"/>
      <c r="H111" s="15"/>
      <c r="I111" s="14"/>
      <c r="J111" s="15"/>
      <c r="K111" s="14"/>
    </row>
    <row r="112" spans="4:11" ht="12.3" x14ac:dyDescent="0.4">
      <c r="D112" s="15"/>
      <c r="E112" s="13"/>
      <c r="F112" s="15"/>
      <c r="G112" s="14"/>
      <c r="H112" s="15"/>
      <c r="I112" s="14"/>
      <c r="J112" s="15"/>
      <c r="K112" s="14"/>
    </row>
    <row r="113" spans="4:11" ht="12.3" x14ac:dyDescent="0.4">
      <c r="D113" s="15"/>
      <c r="E113" s="13"/>
      <c r="F113" s="15"/>
      <c r="G113" s="14"/>
      <c r="H113" s="15"/>
      <c r="I113" s="14"/>
      <c r="J113" s="15"/>
      <c r="K113" s="14"/>
    </row>
    <row r="114" spans="4:11" ht="12.3" x14ac:dyDescent="0.4">
      <c r="D114" s="15"/>
      <c r="E114" s="13"/>
      <c r="F114" s="15"/>
      <c r="G114" s="14"/>
      <c r="H114" s="15"/>
      <c r="I114" s="14"/>
      <c r="J114" s="15"/>
      <c r="K114" s="14"/>
    </row>
    <row r="115" spans="4:11" ht="12.3" x14ac:dyDescent="0.4">
      <c r="D115" s="15"/>
      <c r="E115" s="13"/>
      <c r="F115" s="15"/>
      <c r="G115" s="14"/>
      <c r="H115" s="15"/>
      <c r="I115" s="14"/>
      <c r="J115" s="15"/>
      <c r="K115" s="14"/>
    </row>
    <row r="116" spans="4:11" ht="12.3" x14ac:dyDescent="0.4">
      <c r="D116" s="15"/>
      <c r="E116" s="13"/>
      <c r="F116" s="15"/>
      <c r="G116" s="14"/>
      <c r="H116" s="15"/>
      <c r="I116" s="14"/>
      <c r="J116" s="15"/>
      <c r="K116" s="14"/>
    </row>
    <row r="117" spans="4:11" ht="12.3" x14ac:dyDescent="0.4">
      <c r="D117" s="15"/>
      <c r="E117" s="13"/>
      <c r="F117" s="15"/>
      <c r="G117" s="14"/>
      <c r="H117" s="15"/>
      <c r="I117" s="14"/>
      <c r="J117" s="15"/>
      <c r="K117" s="14"/>
    </row>
    <row r="118" spans="4:11" ht="12.3" x14ac:dyDescent="0.4">
      <c r="D118" s="15"/>
      <c r="E118" s="13"/>
      <c r="F118" s="15"/>
      <c r="G118" s="14"/>
      <c r="H118" s="15"/>
      <c r="I118" s="14"/>
      <c r="J118" s="15"/>
      <c r="K118" s="14"/>
    </row>
    <row r="119" spans="4:11" ht="12.3" x14ac:dyDescent="0.4">
      <c r="D119" s="15"/>
      <c r="E119" s="13"/>
      <c r="F119" s="15"/>
      <c r="G119" s="14"/>
      <c r="H119" s="15"/>
      <c r="I119" s="14"/>
      <c r="J119" s="15"/>
      <c r="K119" s="14"/>
    </row>
    <row r="120" spans="4:11" ht="12.3" x14ac:dyDescent="0.4">
      <c r="D120" s="15"/>
      <c r="E120" s="13"/>
      <c r="F120" s="15"/>
      <c r="G120" s="14"/>
      <c r="H120" s="15"/>
      <c r="I120" s="14"/>
      <c r="J120" s="15"/>
      <c r="K120" s="14"/>
    </row>
    <row r="121" spans="4:11" ht="12.3" x14ac:dyDescent="0.4">
      <c r="D121" s="15"/>
      <c r="E121" s="13"/>
      <c r="F121" s="15"/>
      <c r="G121" s="14"/>
      <c r="H121" s="15"/>
      <c r="I121" s="14"/>
      <c r="J121" s="15"/>
      <c r="K121" s="14"/>
    </row>
    <row r="122" spans="4:11" ht="12.3" x14ac:dyDescent="0.4">
      <c r="D122" s="15"/>
      <c r="E122" s="13"/>
      <c r="F122" s="15"/>
      <c r="G122" s="14"/>
      <c r="H122" s="15"/>
      <c r="I122" s="14"/>
      <c r="J122" s="15"/>
      <c r="K122" s="14"/>
    </row>
    <row r="123" spans="4:11" ht="12.3" x14ac:dyDescent="0.4">
      <c r="D123" s="15"/>
      <c r="E123" s="13"/>
      <c r="F123" s="15"/>
      <c r="G123" s="14"/>
      <c r="H123" s="15"/>
      <c r="I123" s="14"/>
      <c r="J123" s="15"/>
      <c r="K123" s="14"/>
    </row>
    <row r="124" spans="4:11" ht="12.3" x14ac:dyDescent="0.4">
      <c r="D124" s="15"/>
      <c r="E124" s="13"/>
      <c r="F124" s="15"/>
      <c r="G124" s="14"/>
      <c r="H124" s="15"/>
      <c r="I124" s="14"/>
      <c r="J124" s="15"/>
      <c r="K124" s="14"/>
    </row>
    <row r="125" spans="4:11" ht="12.3" x14ac:dyDescent="0.4">
      <c r="D125" s="15"/>
      <c r="E125" s="13"/>
      <c r="F125" s="15"/>
      <c r="G125" s="14"/>
      <c r="H125" s="15"/>
      <c r="I125" s="14"/>
      <c r="J125" s="15"/>
      <c r="K125" s="14"/>
    </row>
    <row r="126" spans="4:11" ht="12.3" x14ac:dyDescent="0.4">
      <c r="D126" s="15"/>
      <c r="E126" s="13"/>
      <c r="F126" s="15"/>
      <c r="G126" s="14"/>
      <c r="H126" s="15"/>
      <c r="I126" s="14"/>
      <c r="J126" s="15"/>
      <c r="K126" s="14"/>
    </row>
    <row r="127" spans="4:11" ht="12.3" x14ac:dyDescent="0.4">
      <c r="D127" s="15"/>
      <c r="E127" s="13"/>
      <c r="F127" s="15"/>
      <c r="G127" s="14"/>
      <c r="H127" s="15"/>
      <c r="I127" s="14"/>
      <c r="J127" s="15"/>
      <c r="K127" s="14"/>
    </row>
    <row r="128" spans="4:11" ht="12.3" x14ac:dyDescent="0.4">
      <c r="D128" s="15"/>
      <c r="E128" s="13"/>
      <c r="F128" s="15"/>
      <c r="G128" s="14"/>
      <c r="H128" s="15"/>
      <c r="I128" s="14"/>
      <c r="J128" s="15"/>
      <c r="K128" s="14"/>
    </row>
    <row r="129" spans="4:11" ht="12.3" x14ac:dyDescent="0.4">
      <c r="D129" s="15"/>
      <c r="E129" s="13"/>
      <c r="F129" s="15"/>
      <c r="G129" s="14"/>
      <c r="H129" s="15"/>
      <c r="I129" s="14"/>
      <c r="J129" s="15"/>
      <c r="K129" s="14"/>
    </row>
    <row r="130" spans="4:11" ht="12.3" x14ac:dyDescent="0.4">
      <c r="D130" s="15"/>
      <c r="E130" s="13"/>
      <c r="F130" s="15"/>
      <c r="G130" s="14"/>
      <c r="H130" s="15"/>
      <c r="I130" s="14"/>
      <c r="J130" s="15"/>
      <c r="K130" s="14"/>
    </row>
    <row r="131" spans="4:11" ht="12.3" x14ac:dyDescent="0.4">
      <c r="D131" s="15"/>
      <c r="E131" s="13"/>
      <c r="F131" s="15"/>
      <c r="G131" s="14"/>
      <c r="H131" s="15"/>
      <c r="I131" s="14"/>
      <c r="J131" s="15"/>
      <c r="K131" s="14"/>
    </row>
    <row r="132" spans="4:11" ht="12.3" x14ac:dyDescent="0.4">
      <c r="D132" s="15"/>
      <c r="E132" s="13"/>
      <c r="F132" s="15"/>
      <c r="G132" s="14"/>
      <c r="H132" s="15"/>
      <c r="I132" s="14"/>
      <c r="J132" s="15"/>
      <c r="K132" s="14"/>
    </row>
    <row r="133" spans="4:11" ht="12.3" x14ac:dyDescent="0.4">
      <c r="D133" s="15"/>
      <c r="E133" s="13"/>
      <c r="F133" s="15"/>
      <c r="G133" s="14"/>
      <c r="H133" s="15"/>
      <c r="I133" s="14"/>
      <c r="J133" s="15"/>
      <c r="K133" s="14"/>
    </row>
    <row r="134" spans="4:11" ht="12.3" x14ac:dyDescent="0.4">
      <c r="D134" s="15"/>
      <c r="E134" s="13"/>
      <c r="F134" s="15"/>
      <c r="G134" s="14"/>
      <c r="H134" s="15"/>
      <c r="I134" s="14"/>
      <c r="J134" s="15"/>
      <c r="K134" s="14"/>
    </row>
    <row r="135" spans="4:11" ht="12.3" x14ac:dyDescent="0.4">
      <c r="D135" s="15"/>
      <c r="E135" s="13"/>
      <c r="F135" s="15"/>
      <c r="G135" s="14"/>
      <c r="H135" s="15"/>
      <c r="I135" s="14"/>
      <c r="J135" s="15"/>
      <c r="K135" s="14"/>
    </row>
    <row r="136" spans="4:11" ht="12.3" x14ac:dyDescent="0.4">
      <c r="D136" s="15"/>
      <c r="E136" s="13"/>
      <c r="F136" s="15"/>
      <c r="G136" s="14"/>
      <c r="H136" s="15"/>
      <c r="I136" s="14"/>
      <c r="J136" s="15"/>
      <c r="K136" s="14"/>
    </row>
    <row r="137" spans="4:11" ht="12.3" x14ac:dyDescent="0.4">
      <c r="D137" s="15"/>
      <c r="E137" s="13"/>
      <c r="F137" s="15"/>
      <c r="G137" s="14"/>
      <c r="H137" s="15"/>
      <c r="I137" s="14"/>
      <c r="J137" s="15"/>
      <c r="K137" s="14"/>
    </row>
    <row r="138" spans="4:11" ht="12.3" x14ac:dyDescent="0.4">
      <c r="D138" s="15"/>
      <c r="E138" s="13"/>
      <c r="F138" s="15"/>
      <c r="G138" s="14"/>
      <c r="H138" s="15"/>
      <c r="I138" s="14"/>
      <c r="J138" s="15"/>
      <c r="K138" s="14"/>
    </row>
    <row r="139" spans="4:11" ht="12.3" x14ac:dyDescent="0.4">
      <c r="D139" s="15"/>
      <c r="E139" s="13"/>
      <c r="F139" s="15"/>
      <c r="G139" s="14"/>
      <c r="H139" s="15"/>
      <c r="I139" s="14"/>
      <c r="J139" s="15"/>
      <c r="K139" s="14"/>
    </row>
    <row r="140" spans="4:11" ht="12.3" x14ac:dyDescent="0.4">
      <c r="D140" s="15"/>
      <c r="E140" s="13"/>
      <c r="F140" s="15"/>
      <c r="G140" s="14"/>
      <c r="H140" s="15"/>
      <c r="I140" s="14"/>
      <c r="J140" s="15"/>
      <c r="K140" s="14"/>
    </row>
    <row r="141" spans="4:11" ht="12.3" x14ac:dyDescent="0.4">
      <c r="D141" s="15"/>
      <c r="E141" s="13"/>
      <c r="F141" s="15"/>
      <c r="G141" s="14"/>
      <c r="H141" s="15"/>
      <c r="I141" s="14"/>
      <c r="J141" s="15"/>
      <c r="K141" s="14"/>
    </row>
    <row r="142" spans="4:11" ht="12.3" x14ac:dyDescent="0.4">
      <c r="D142" s="15"/>
      <c r="E142" s="13"/>
      <c r="F142" s="15"/>
      <c r="G142" s="14"/>
      <c r="H142" s="15"/>
      <c r="I142" s="14"/>
      <c r="J142" s="15"/>
      <c r="K142" s="14"/>
    </row>
    <row r="143" spans="4:11" ht="12.3" x14ac:dyDescent="0.4">
      <c r="D143" s="15"/>
      <c r="E143" s="13"/>
      <c r="F143" s="15"/>
      <c r="G143" s="14"/>
      <c r="H143" s="15"/>
      <c r="I143" s="14"/>
      <c r="J143" s="15"/>
      <c r="K143" s="14"/>
    </row>
    <row r="144" spans="4:11" ht="12.3" x14ac:dyDescent="0.4">
      <c r="D144" s="15"/>
      <c r="E144" s="13"/>
      <c r="F144" s="15"/>
      <c r="G144" s="14"/>
      <c r="H144" s="15"/>
      <c r="I144" s="14"/>
      <c r="J144" s="15"/>
      <c r="K144" s="14"/>
    </row>
    <row r="145" spans="4:11" ht="12.3" x14ac:dyDescent="0.4">
      <c r="D145" s="15"/>
      <c r="E145" s="13"/>
      <c r="F145" s="15"/>
      <c r="G145" s="14"/>
      <c r="H145" s="15"/>
      <c r="I145" s="14"/>
      <c r="J145" s="15"/>
      <c r="K145" s="14"/>
    </row>
    <row r="146" spans="4:11" ht="12.3" x14ac:dyDescent="0.4">
      <c r="D146" s="15"/>
      <c r="E146" s="13"/>
      <c r="F146" s="15"/>
      <c r="G146" s="14"/>
      <c r="H146" s="15"/>
      <c r="I146" s="14"/>
      <c r="J146" s="15"/>
      <c r="K146" s="14"/>
    </row>
    <row r="147" spans="4:11" ht="12.3" x14ac:dyDescent="0.4">
      <c r="D147" s="15"/>
      <c r="E147" s="13"/>
      <c r="F147" s="15"/>
      <c r="G147" s="14"/>
      <c r="H147" s="15"/>
      <c r="I147" s="14"/>
      <c r="J147" s="15"/>
      <c r="K147" s="14"/>
    </row>
    <row r="148" spans="4:11" ht="12.3" x14ac:dyDescent="0.4">
      <c r="D148" s="15"/>
      <c r="E148" s="13"/>
      <c r="F148" s="15"/>
      <c r="G148" s="14"/>
      <c r="H148" s="15"/>
      <c r="I148" s="14"/>
      <c r="J148" s="15"/>
      <c r="K148" s="14"/>
    </row>
    <row r="149" spans="4:11" ht="12.3" x14ac:dyDescent="0.4">
      <c r="D149" s="15"/>
      <c r="E149" s="13"/>
      <c r="F149" s="15"/>
      <c r="G149" s="14"/>
      <c r="H149" s="15"/>
      <c r="I149" s="14"/>
      <c r="J149" s="15"/>
      <c r="K149" s="14"/>
    </row>
    <row r="150" spans="4:11" ht="12.3" x14ac:dyDescent="0.4">
      <c r="D150" s="15"/>
      <c r="E150" s="13"/>
      <c r="F150" s="15"/>
      <c r="G150" s="14"/>
      <c r="H150" s="15"/>
      <c r="I150" s="14"/>
      <c r="J150" s="15"/>
      <c r="K150" s="14"/>
    </row>
    <row r="151" spans="4:11" ht="12.3" x14ac:dyDescent="0.4">
      <c r="D151" s="15"/>
      <c r="E151" s="13"/>
      <c r="F151" s="15"/>
      <c r="G151" s="14"/>
      <c r="H151" s="15"/>
      <c r="I151" s="14"/>
      <c r="J151" s="15"/>
      <c r="K151" s="14"/>
    </row>
    <row r="152" spans="4:11" ht="12.3" x14ac:dyDescent="0.4">
      <c r="D152" s="15"/>
      <c r="E152" s="13"/>
      <c r="F152" s="15"/>
      <c r="G152" s="14"/>
      <c r="H152" s="15"/>
      <c r="I152" s="14"/>
      <c r="J152" s="15"/>
      <c r="K152" s="14"/>
    </row>
    <row r="153" spans="4:11" ht="12.3" x14ac:dyDescent="0.4">
      <c r="D153" s="15"/>
      <c r="E153" s="13"/>
      <c r="F153" s="15"/>
      <c r="G153" s="14"/>
      <c r="H153" s="15"/>
      <c r="I153" s="14"/>
      <c r="J153" s="15"/>
      <c r="K153" s="14"/>
    </row>
    <row r="154" spans="4:11" ht="12.3" x14ac:dyDescent="0.4">
      <c r="D154" s="15"/>
      <c r="E154" s="13"/>
      <c r="F154" s="15"/>
      <c r="G154" s="14"/>
      <c r="H154" s="15"/>
      <c r="I154" s="14"/>
      <c r="J154" s="15"/>
      <c r="K154" s="14"/>
    </row>
    <row r="155" spans="4:11" ht="12.3" x14ac:dyDescent="0.4">
      <c r="D155" s="15"/>
      <c r="E155" s="13"/>
      <c r="F155" s="15"/>
      <c r="G155" s="14"/>
      <c r="H155" s="15"/>
      <c r="I155" s="14"/>
      <c r="J155" s="15"/>
      <c r="K155" s="14"/>
    </row>
    <row r="156" spans="4:11" ht="12.3" x14ac:dyDescent="0.4">
      <c r="D156" s="15"/>
      <c r="E156" s="13"/>
      <c r="F156" s="15"/>
      <c r="G156" s="14"/>
      <c r="H156" s="15"/>
      <c r="I156" s="14"/>
      <c r="J156" s="15"/>
      <c r="K156" s="14"/>
    </row>
    <row r="157" spans="4:11" ht="12.3" x14ac:dyDescent="0.4">
      <c r="D157" s="15"/>
      <c r="E157" s="13"/>
      <c r="F157" s="15"/>
      <c r="G157" s="14"/>
      <c r="H157" s="15"/>
      <c r="I157" s="14"/>
      <c r="J157" s="15"/>
      <c r="K157" s="14"/>
    </row>
    <row r="158" spans="4:11" ht="12.3" x14ac:dyDescent="0.4">
      <c r="D158" s="15"/>
      <c r="E158" s="13"/>
      <c r="F158" s="15"/>
      <c r="G158" s="14"/>
      <c r="H158" s="15"/>
      <c r="I158" s="14"/>
      <c r="J158" s="15"/>
      <c r="K158" s="14"/>
    </row>
    <row r="159" spans="4:11" ht="12.3" x14ac:dyDescent="0.4">
      <c r="D159" s="15"/>
      <c r="E159" s="13"/>
      <c r="F159" s="15"/>
      <c r="G159" s="14"/>
      <c r="H159" s="15"/>
      <c r="I159" s="14"/>
      <c r="J159" s="15"/>
      <c r="K159" s="14"/>
    </row>
    <row r="160" spans="4:11" ht="12.3" x14ac:dyDescent="0.4">
      <c r="D160" s="15"/>
      <c r="E160" s="13"/>
      <c r="F160" s="15"/>
      <c r="G160" s="14"/>
      <c r="H160" s="15"/>
      <c r="I160" s="14"/>
      <c r="J160" s="15"/>
      <c r="K160" s="14"/>
    </row>
    <row r="161" spans="4:11" ht="12.3" x14ac:dyDescent="0.4">
      <c r="D161" s="15"/>
      <c r="E161" s="13"/>
      <c r="F161" s="15"/>
      <c r="G161" s="14"/>
      <c r="H161" s="15"/>
      <c r="I161" s="14"/>
      <c r="J161" s="15"/>
      <c r="K161" s="14"/>
    </row>
    <row r="162" spans="4:11" ht="12.3" x14ac:dyDescent="0.4">
      <c r="D162" s="15"/>
      <c r="E162" s="13"/>
      <c r="F162" s="15"/>
      <c r="G162" s="14"/>
      <c r="H162" s="15"/>
      <c r="I162" s="14"/>
      <c r="J162" s="15"/>
      <c r="K162" s="14"/>
    </row>
    <row r="163" spans="4:11" ht="12.3" x14ac:dyDescent="0.4">
      <c r="D163" s="15"/>
      <c r="E163" s="13"/>
      <c r="F163" s="15"/>
      <c r="G163" s="14"/>
      <c r="H163" s="15"/>
      <c r="I163" s="14"/>
      <c r="J163" s="15"/>
      <c r="K163" s="14"/>
    </row>
    <row r="164" spans="4:11" ht="12.3" x14ac:dyDescent="0.4">
      <c r="D164" s="15"/>
      <c r="E164" s="13"/>
      <c r="F164" s="15"/>
      <c r="G164" s="14"/>
      <c r="H164" s="15"/>
      <c r="I164" s="14"/>
      <c r="J164" s="15"/>
      <c r="K164" s="14"/>
    </row>
    <row r="165" spans="4:11" ht="12.3" x14ac:dyDescent="0.4">
      <c r="D165" s="15"/>
      <c r="E165" s="13"/>
      <c r="F165" s="15"/>
      <c r="G165" s="14"/>
      <c r="H165" s="15"/>
      <c r="I165" s="14"/>
      <c r="J165" s="15"/>
      <c r="K165" s="14"/>
    </row>
    <row r="166" spans="4:11" ht="12.3" x14ac:dyDescent="0.4">
      <c r="D166" s="15"/>
      <c r="E166" s="13"/>
      <c r="F166" s="15"/>
      <c r="G166" s="14"/>
      <c r="H166" s="15"/>
      <c r="I166" s="14"/>
      <c r="J166" s="15"/>
      <c r="K166" s="14"/>
    </row>
    <row r="167" spans="4:11" ht="12.3" x14ac:dyDescent="0.4">
      <c r="D167" s="15"/>
      <c r="E167" s="13"/>
      <c r="F167" s="15"/>
      <c r="G167" s="14"/>
      <c r="H167" s="15"/>
      <c r="I167" s="14"/>
      <c r="J167" s="15"/>
      <c r="K167" s="14"/>
    </row>
    <row r="168" spans="4:11" ht="12.3" x14ac:dyDescent="0.4">
      <c r="D168" s="15"/>
      <c r="E168" s="13"/>
      <c r="F168" s="15"/>
      <c r="G168" s="14"/>
      <c r="H168" s="15"/>
      <c r="I168" s="14"/>
      <c r="J168" s="15"/>
      <c r="K168" s="14"/>
    </row>
    <row r="169" spans="4:11" ht="12.3" x14ac:dyDescent="0.4">
      <c r="D169" s="15"/>
      <c r="E169" s="13"/>
      <c r="F169" s="15"/>
      <c r="G169" s="14"/>
      <c r="H169" s="15"/>
      <c r="I169" s="14"/>
      <c r="J169" s="15"/>
      <c r="K169" s="14"/>
    </row>
    <row r="170" spans="4:11" ht="12.3" x14ac:dyDescent="0.4">
      <c r="D170" s="15"/>
      <c r="E170" s="13"/>
      <c r="F170" s="15"/>
      <c r="G170" s="14"/>
      <c r="H170" s="15"/>
      <c r="I170" s="14"/>
      <c r="J170" s="15"/>
      <c r="K170" s="14"/>
    </row>
    <row r="171" spans="4:11" ht="12.3" x14ac:dyDescent="0.4">
      <c r="D171" s="15"/>
      <c r="E171" s="13"/>
      <c r="F171" s="15"/>
      <c r="G171" s="14"/>
      <c r="H171" s="15"/>
      <c r="I171" s="14"/>
      <c r="J171" s="15"/>
      <c r="K171" s="14"/>
    </row>
    <row r="172" spans="4:11" ht="12.3" x14ac:dyDescent="0.4">
      <c r="D172" s="15"/>
      <c r="E172" s="13"/>
      <c r="F172" s="15"/>
      <c r="G172" s="14"/>
      <c r="H172" s="15"/>
      <c r="I172" s="14"/>
      <c r="J172" s="15"/>
      <c r="K172" s="14"/>
    </row>
    <row r="173" spans="4:11" ht="12.3" x14ac:dyDescent="0.4">
      <c r="D173" s="15"/>
      <c r="E173" s="13"/>
      <c r="F173" s="15"/>
      <c r="G173" s="14"/>
      <c r="H173" s="15"/>
      <c r="I173" s="14"/>
      <c r="J173" s="15"/>
      <c r="K173" s="14"/>
    </row>
    <row r="174" spans="4:11" ht="12.3" x14ac:dyDescent="0.4">
      <c r="D174" s="15"/>
      <c r="E174" s="13"/>
      <c r="F174" s="15"/>
      <c r="G174" s="14"/>
      <c r="H174" s="15"/>
      <c r="I174" s="14"/>
      <c r="J174" s="15"/>
      <c r="K174" s="14"/>
    </row>
    <row r="175" spans="4:11" ht="12.3" x14ac:dyDescent="0.4">
      <c r="D175" s="15"/>
      <c r="E175" s="13"/>
      <c r="F175" s="15"/>
      <c r="G175" s="14"/>
      <c r="H175" s="15"/>
      <c r="I175" s="14"/>
      <c r="J175" s="15"/>
      <c r="K175" s="14"/>
    </row>
    <row r="176" spans="4:11" ht="12.3" x14ac:dyDescent="0.4">
      <c r="D176" s="15"/>
      <c r="E176" s="13"/>
      <c r="F176" s="15"/>
      <c r="G176" s="14"/>
      <c r="H176" s="15"/>
      <c r="I176" s="14"/>
      <c r="J176" s="15"/>
      <c r="K176" s="14"/>
    </row>
    <row r="177" spans="4:11" ht="12.3" x14ac:dyDescent="0.4">
      <c r="D177" s="15"/>
      <c r="E177" s="13"/>
      <c r="F177" s="15"/>
      <c r="G177" s="14"/>
      <c r="H177" s="15"/>
      <c r="I177" s="14"/>
      <c r="J177" s="15"/>
      <c r="K177" s="14"/>
    </row>
    <row r="178" spans="4:11" ht="12.3" x14ac:dyDescent="0.4">
      <c r="D178" s="15"/>
      <c r="E178" s="13"/>
      <c r="F178" s="15"/>
      <c r="G178" s="14"/>
      <c r="H178" s="15"/>
      <c r="I178" s="14"/>
      <c r="J178" s="15"/>
      <c r="K178" s="14"/>
    </row>
    <row r="179" spans="4:11" ht="12.3" x14ac:dyDescent="0.4">
      <c r="D179" s="15"/>
      <c r="E179" s="13"/>
      <c r="F179" s="15"/>
      <c r="G179" s="14"/>
      <c r="H179" s="15"/>
      <c r="I179" s="14"/>
      <c r="J179" s="15"/>
      <c r="K179" s="14"/>
    </row>
    <row r="180" spans="4:11" ht="12.3" x14ac:dyDescent="0.4">
      <c r="D180" s="15"/>
      <c r="E180" s="13"/>
      <c r="F180" s="15"/>
      <c r="G180" s="14"/>
      <c r="H180" s="15"/>
      <c r="I180" s="14"/>
      <c r="J180" s="15"/>
      <c r="K180" s="14"/>
    </row>
    <row r="181" spans="4:11" ht="12.3" x14ac:dyDescent="0.4">
      <c r="D181" s="15"/>
      <c r="E181" s="13"/>
      <c r="F181" s="15"/>
      <c r="G181" s="14"/>
      <c r="H181" s="15"/>
      <c r="I181" s="14"/>
      <c r="J181" s="15"/>
      <c r="K181" s="14"/>
    </row>
    <row r="182" spans="4:11" ht="12.3" x14ac:dyDescent="0.4">
      <c r="D182" s="15"/>
      <c r="E182" s="13"/>
      <c r="F182" s="15"/>
      <c r="G182" s="14"/>
      <c r="H182" s="15"/>
      <c r="I182" s="14"/>
      <c r="J182" s="15"/>
      <c r="K182" s="14"/>
    </row>
    <row r="183" spans="4:11" ht="12.3" x14ac:dyDescent="0.4">
      <c r="D183" s="15"/>
      <c r="E183" s="13"/>
      <c r="F183" s="15"/>
      <c r="G183" s="14"/>
      <c r="H183" s="15"/>
      <c r="I183" s="14"/>
      <c r="J183" s="15"/>
      <c r="K183" s="14"/>
    </row>
    <row r="184" spans="4:11" ht="12.3" x14ac:dyDescent="0.4">
      <c r="D184" s="15"/>
      <c r="E184" s="13"/>
      <c r="F184" s="15"/>
      <c r="G184" s="14"/>
      <c r="H184" s="15"/>
      <c r="I184" s="14"/>
      <c r="J184" s="15"/>
      <c r="K184" s="14"/>
    </row>
    <row r="185" spans="4:11" ht="12.3" x14ac:dyDescent="0.4">
      <c r="D185" s="15"/>
      <c r="E185" s="13"/>
      <c r="F185" s="15"/>
      <c r="G185" s="14"/>
      <c r="H185" s="15"/>
      <c r="I185" s="14"/>
      <c r="J185" s="15"/>
      <c r="K185" s="14"/>
    </row>
    <row r="186" spans="4:11" ht="12.3" x14ac:dyDescent="0.4">
      <c r="D186" s="15"/>
      <c r="E186" s="13"/>
      <c r="F186" s="15"/>
      <c r="G186" s="14"/>
      <c r="H186" s="15"/>
      <c r="I186" s="14"/>
      <c r="J186" s="15"/>
      <c r="K186" s="14"/>
    </row>
    <row r="187" spans="4:11" ht="12.3" x14ac:dyDescent="0.4">
      <c r="D187" s="15"/>
      <c r="E187" s="13"/>
      <c r="F187" s="15"/>
      <c r="G187" s="14"/>
      <c r="H187" s="15"/>
      <c r="I187" s="14"/>
      <c r="J187" s="15"/>
      <c r="K187" s="14"/>
    </row>
    <row r="188" spans="4:11" ht="12.3" x14ac:dyDescent="0.4">
      <c r="D188" s="15"/>
      <c r="E188" s="13"/>
      <c r="F188" s="15"/>
      <c r="G188" s="14"/>
      <c r="H188" s="15"/>
      <c r="I188" s="14"/>
      <c r="J188" s="15"/>
      <c r="K188" s="14"/>
    </row>
    <row r="189" spans="4:11" ht="12.3" x14ac:dyDescent="0.4">
      <c r="D189" s="15"/>
      <c r="E189" s="13"/>
      <c r="F189" s="15"/>
      <c r="G189" s="14"/>
      <c r="H189" s="15"/>
      <c r="I189" s="14"/>
      <c r="J189" s="15"/>
      <c r="K189" s="14"/>
    </row>
    <row r="190" spans="4:11" ht="12.3" x14ac:dyDescent="0.4">
      <c r="D190" s="15"/>
      <c r="E190" s="13"/>
      <c r="F190" s="15"/>
      <c r="G190" s="14"/>
      <c r="H190" s="15"/>
      <c r="I190" s="14"/>
      <c r="J190" s="15"/>
      <c r="K190" s="14"/>
    </row>
    <row r="191" spans="4:11" ht="12.3" x14ac:dyDescent="0.4">
      <c r="D191" s="15"/>
      <c r="E191" s="13"/>
      <c r="F191" s="15"/>
      <c r="G191" s="14"/>
      <c r="H191" s="15"/>
      <c r="I191" s="14"/>
      <c r="J191" s="15"/>
      <c r="K191" s="14"/>
    </row>
    <row r="192" spans="4:11" ht="12.3" x14ac:dyDescent="0.4">
      <c r="D192" s="15"/>
      <c r="E192" s="13"/>
      <c r="F192" s="15"/>
      <c r="G192" s="14"/>
      <c r="H192" s="15"/>
      <c r="I192" s="14"/>
      <c r="J192" s="15"/>
      <c r="K192" s="14"/>
    </row>
    <row r="193" spans="4:11" ht="12.3" x14ac:dyDescent="0.4">
      <c r="D193" s="15"/>
      <c r="E193" s="13"/>
      <c r="F193" s="15"/>
      <c r="G193" s="14"/>
      <c r="H193" s="15"/>
      <c r="I193" s="14"/>
      <c r="J193" s="15"/>
      <c r="K193" s="14"/>
    </row>
    <row r="194" spans="4:11" ht="12.3" x14ac:dyDescent="0.4">
      <c r="D194" s="15"/>
      <c r="E194" s="13"/>
      <c r="F194" s="15"/>
      <c r="G194" s="14"/>
      <c r="H194" s="15"/>
      <c r="I194" s="14"/>
      <c r="J194" s="15"/>
      <c r="K194" s="14"/>
    </row>
    <row r="195" spans="4:11" ht="12.3" x14ac:dyDescent="0.4">
      <c r="D195" s="15"/>
      <c r="E195" s="13"/>
      <c r="F195" s="15"/>
      <c r="G195" s="14"/>
      <c r="H195" s="15"/>
      <c r="I195" s="14"/>
      <c r="J195" s="15"/>
      <c r="K195" s="14"/>
    </row>
    <row r="196" spans="4:11" ht="12.3" x14ac:dyDescent="0.4">
      <c r="D196" s="15"/>
      <c r="E196" s="13"/>
      <c r="F196" s="15"/>
      <c r="G196" s="14"/>
      <c r="H196" s="15"/>
      <c r="I196" s="14"/>
      <c r="J196" s="15"/>
      <c r="K196" s="14"/>
    </row>
    <row r="197" spans="4:11" ht="12.3" x14ac:dyDescent="0.4">
      <c r="D197" s="15"/>
      <c r="E197" s="13"/>
      <c r="F197" s="15"/>
      <c r="G197" s="14"/>
      <c r="H197" s="15"/>
      <c r="I197" s="14"/>
      <c r="J197" s="15"/>
      <c r="K197" s="14"/>
    </row>
    <row r="198" spans="4:11" ht="12.3" x14ac:dyDescent="0.4">
      <c r="D198" s="15"/>
      <c r="E198" s="13"/>
      <c r="F198" s="15"/>
      <c r="G198" s="14"/>
      <c r="H198" s="15"/>
      <c r="I198" s="14"/>
      <c r="J198" s="15"/>
      <c r="K198" s="14"/>
    </row>
    <row r="199" spans="4:11" ht="12.3" x14ac:dyDescent="0.4">
      <c r="D199" s="15"/>
      <c r="E199" s="13"/>
      <c r="F199" s="15"/>
      <c r="G199" s="14"/>
      <c r="H199" s="15"/>
      <c r="I199" s="14"/>
      <c r="J199" s="15"/>
      <c r="K199" s="14"/>
    </row>
    <row r="200" spans="4:11" ht="12.3" x14ac:dyDescent="0.4">
      <c r="D200" s="15"/>
      <c r="E200" s="13"/>
      <c r="F200" s="15"/>
      <c r="G200" s="14"/>
      <c r="H200" s="15"/>
      <c r="I200" s="14"/>
      <c r="J200" s="15"/>
      <c r="K200" s="14"/>
    </row>
    <row r="201" spans="4:11" ht="12.3" x14ac:dyDescent="0.4">
      <c r="D201" s="15"/>
      <c r="E201" s="13"/>
      <c r="F201" s="15"/>
      <c r="G201" s="14"/>
      <c r="H201" s="15"/>
      <c r="I201" s="14"/>
      <c r="J201" s="15"/>
      <c r="K201" s="14"/>
    </row>
    <row r="202" spans="4:11" ht="12.3" x14ac:dyDescent="0.4">
      <c r="D202" s="15"/>
      <c r="E202" s="13"/>
      <c r="F202" s="15"/>
      <c r="G202" s="14"/>
      <c r="H202" s="15"/>
      <c r="I202" s="14"/>
      <c r="J202" s="15"/>
      <c r="K202" s="14"/>
    </row>
    <row r="203" spans="4:11" ht="12.3" x14ac:dyDescent="0.4">
      <c r="D203" s="15"/>
      <c r="E203" s="13"/>
      <c r="F203" s="15"/>
      <c r="G203" s="14"/>
      <c r="H203" s="15"/>
      <c r="I203" s="14"/>
      <c r="J203" s="15"/>
      <c r="K203" s="14"/>
    </row>
    <row r="204" spans="4:11" ht="12.3" x14ac:dyDescent="0.4">
      <c r="D204" s="15"/>
      <c r="E204" s="13"/>
      <c r="F204" s="15"/>
      <c r="G204" s="14"/>
      <c r="H204" s="15"/>
      <c r="I204" s="14"/>
      <c r="J204" s="15"/>
      <c r="K204" s="14"/>
    </row>
    <row r="205" spans="4:11" ht="12.3" x14ac:dyDescent="0.4">
      <c r="D205" s="15"/>
      <c r="E205" s="13"/>
      <c r="F205" s="15"/>
      <c r="G205" s="14"/>
      <c r="H205" s="15"/>
      <c r="I205" s="14"/>
      <c r="J205" s="15"/>
      <c r="K205" s="14"/>
    </row>
    <row r="206" spans="4:11" ht="12.3" x14ac:dyDescent="0.4">
      <c r="D206" s="15"/>
      <c r="E206" s="13"/>
      <c r="F206" s="15"/>
      <c r="G206" s="14"/>
      <c r="H206" s="15"/>
      <c r="I206" s="14"/>
      <c r="J206" s="15"/>
      <c r="K206" s="14"/>
    </row>
    <row r="207" spans="4:11" ht="12.3" x14ac:dyDescent="0.4">
      <c r="D207" s="15"/>
      <c r="E207" s="13"/>
      <c r="F207" s="15"/>
      <c r="G207" s="14"/>
      <c r="H207" s="15"/>
      <c r="I207" s="14"/>
      <c r="J207" s="15"/>
      <c r="K207" s="14"/>
    </row>
    <row r="208" spans="4:11" ht="12.3" x14ac:dyDescent="0.4">
      <c r="D208" s="15"/>
      <c r="E208" s="13"/>
      <c r="F208" s="15"/>
      <c r="G208" s="14"/>
      <c r="H208" s="15"/>
      <c r="I208" s="14"/>
      <c r="J208" s="15"/>
      <c r="K208" s="14"/>
    </row>
    <row r="209" spans="4:11" ht="12.3" x14ac:dyDescent="0.4">
      <c r="D209" s="15"/>
      <c r="E209" s="13"/>
      <c r="F209" s="15"/>
      <c r="G209" s="14"/>
      <c r="H209" s="15"/>
      <c r="I209" s="14"/>
      <c r="J209" s="15"/>
      <c r="K209" s="14"/>
    </row>
    <row r="210" spans="4:11" ht="12.3" x14ac:dyDescent="0.4">
      <c r="D210" s="15"/>
      <c r="E210" s="13"/>
      <c r="F210" s="15"/>
      <c r="G210" s="14"/>
      <c r="H210" s="15"/>
      <c r="I210" s="14"/>
      <c r="J210" s="15"/>
      <c r="K210" s="14"/>
    </row>
    <row r="211" spans="4:11" ht="12.3" x14ac:dyDescent="0.4">
      <c r="D211" s="15"/>
      <c r="E211" s="13"/>
      <c r="F211" s="15"/>
      <c r="G211" s="14"/>
      <c r="H211" s="15"/>
      <c r="I211" s="14"/>
      <c r="J211" s="15"/>
      <c r="K211" s="14"/>
    </row>
    <row r="212" spans="4:11" ht="12.3" x14ac:dyDescent="0.4">
      <c r="D212" s="15"/>
      <c r="E212" s="13"/>
      <c r="F212" s="15"/>
      <c r="G212" s="14"/>
      <c r="H212" s="15"/>
      <c r="I212" s="14"/>
      <c r="J212" s="15"/>
      <c r="K212" s="14"/>
    </row>
    <row r="213" spans="4:11" ht="12.3" x14ac:dyDescent="0.4">
      <c r="D213" s="15"/>
      <c r="E213" s="13"/>
      <c r="F213" s="15"/>
      <c r="G213" s="14"/>
      <c r="H213" s="15"/>
      <c r="I213" s="14"/>
      <c r="J213" s="15"/>
      <c r="K213" s="14"/>
    </row>
    <row r="214" spans="4:11" ht="12.3" x14ac:dyDescent="0.4">
      <c r="D214" s="15"/>
      <c r="E214" s="13"/>
      <c r="F214" s="15"/>
      <c r="G214" s="14"/>
      <c r="H214" s="15"/>
      <c r="I214" s="14"/>
      <c r="J214" s="15"/>
      <c r="K214" s="14"/>
    </row>
    <row r="215" spans="4:11" ht="12.3" x14ac:dyDescent="0.4">
      <c r="D215" s="15"/>
      <c r="E215" s="13"/>
      <c r="F215" s="15"/>
      <c r="G215" s="14"/>
      <c r="H215" s="15"/>
      <c r="I215" s="14"/>
      <c r="J215" s="15"/>
      <c r="K215" s="14"/>
    </row>
    <row r="216" spans="4:11" ht="12.3" x14ac:dyDescent="0.4">
      <c r="D216" s="15"/>
      <c r="E216" s="13"/>
      <c r="F216" s="15"/>
      <c r="G216" s="14"/>
      <c r="H216" s="15"/>
      <c r="I216" s="14"/>
      <c r="J216" s="15"/>
      <c r="K216" s="14"/>
    </row>
    <row r="217" spans="4:11" ht="12.3" x14ac:dyDescent="0.4">
      <c r="D217" s="15"/>
      <c r="E217" s="13"/>
      <c r="F217" s="15"/>
      <c r="G217" s="14"/>
      <c r="H217" s="15"/>
      <c r="I217" s="14"/>
      <c r="J217" s="15"/>
      <c r="K217" s="14"/>
    </row>
    <row r="218" spans="4:11" ht="12.3" x14ac:dyDescent="0.4">
      <c r="D218" s="15"/>
      <c r="E218" s="13"/>
      <c r="F218" s="15"/>
      <c r="G218" s="14"/>
      <c r="H218" s="15"/>
      <c r="I218" s="14"/>
      <c r="J218" s="15"/>
      <c r="K218" s="14"/>
    </row>
    <row r="219" spans="4:11" ht="12.3" x14ac:dyDescent="0.4">
      <c r="D219" s="15"/>
      <c r="E219" s="13"/>
      <c r="F219" s="15"/>
      <c r="G219" s="14"/>
      <c r="H219" s="15"/>
      <c r="I219" s="14"/>
      <c r="J219" s="15"/>
      <c r="K219" s="14"/>
    </row>
    <row r="220" spans="4:11" ht="12.3" x14ac:dyDescent="0.4">
      <c r="D220" s="15"/>
      <c r="E220" s="13"/>
      <c r="F220" s="15"/>
      <c r="G220" s="14"/>
      <c r="H220" s="15"/>
      <c r="I220" s="14"/>
      <c r="J220" s="15"/>
      <c r="K220" s="14"/>
    </row>
    <row r="221" spans="4:11" ht="12.3" x14ac:dyDescent="0.4">
      <c r="D221" s="15"/>
      <c r="E221" s="13"/>
      <c r="F221" s="15"/>
      <c r="G221" s="14"/>
      <c r="H221" s="15"/>
      <c r="I221" s="14"/>
      <c r="J221" s="15"/>
      <c r="K221" s="14"/>
    </row>
    <row r="222" spans="4:11" ht="12.3" x14ac:dyDescent="0.4">
      <c r="D222" s="15"/>
      <c r="E222" s="13"/>
      <c r="F222" s="15"/>
      <c r="G222" s="14"/>
      <c r="H222" s="15"/>
      <c r="I222" s="14"/>
      <c r="J222" s="15"/>
      <c r="K222" s="14"/>
    </row>
    <row r="223" spans="4:11" ht="12.3" x14ac:dyDescent="0.4">
      <c r="D223" s="15"/>
      <c r="E223" s="13"/>
      <c r="F223" s="15"/>
      <c r="G223" s="14"/>
      <c r="H223" s="15"/>
      <c r="I223" s="14"/>
      <c r="J223" s="15"/>
      <c r="K223" s="14"/>
    </row>
    <row r="224" spans="4:11" ht="12.3" x14ac:dyDescent="0.4">
      <c r="D224" s="15"/>
      <c r="E224" s="13"/>
      <c r="F224" s="15"/>
      <c r="G224" s="14"/>
      <c r="H224" s="15"/>
      <c r="I224" s="14"/>
      <c r="J224" s="15"/>
      <c r="K224" s="14"/>
    </row>
    <row r="225" spans="4:11" ht="12.3" x14ac:dyDescent="0.4">
      <c r="D225" s="15"/>
      <c r="E225" s="13"/>
      <c r="F225" s="15"/>
      <c r="G225" s="14"/>
      <c r="H225" s="15"/>
      <c r="I225" s="14"/>
      <c r="J225" s="15"/>
      <c r="K225" s="14"/>
    </row>
    <row r="226" spans="4:11" ht="12.3" x14ac:dyDescent="0.4">
      <c r="D226" s="15"/>
      <c r="E226" s="13"/>
      <c r="F226" s="15"/>
      <c r="G226" s="14"/>
      <c r="H226" s="15"/>
      <c r="I226" s="14"/>
      <c r="J226" s="15"/>
      <c r="K226" s="14"/>
    </row>
    <row r="227" spans="4:11" ht="12.3" x14ac:dyDescent="0.4">
      <c r="D227" s="15"/>
      <c r="E227" s="13"/>
      <c r="F227" s="15"/>
      <c r="G227" s="14"/>
      <c r="H227" s="15"/>
      <c r="I227" s="14"/>
      <c r="J227" s="15"/>
      <c r="K227" s="14"/>
    </row>
    <row r="228" spans="4:11" ht="12.3" x14ac:dyDescent="0.4">
      <c r="D228" s="15"/>
      <c r="E228" s="13"/>
      <c r="F228" s="15"/>
      <c r="G228" s="14"/>
      <c r="H228" s="15"/>
      <c r="I228" s="14"/>
      <c r="J228" s="15"/>
      <c r="K228" s="14"/>
    </row>
    <row r="229" spans="4:11" ht="12.3" x14ac:dyDescent="0.4">
      <c r="D229" s="15"/>
      <c r="E229" s="13"/>
      <c r="F229" s="15"/>
      <c r="G229" s="14"/>
      <c r="H229" s="15"/>
      <c r="I229" s="14"/>
      <c r="J229" s="15"/>
      <c r="K229" s="14"/>
    </row>
    <row r="230" spans="4:11" ht="12.3" x14ac:dyDescent="0.4">
      <c r="D230" s="15"/>
      <c r="E230" s="13"/>
      <c r="F230" s="15"/>
      <c r="G230" s="14"/>
      <c r="H230" s="15"/>
      <c r="I230" s="14"/>
      <c r="J230" s="15"/>
      <c r="K230" s="14"/>
    </row>
    <row r="231" spans="4:11" ht="12.3" x14ac:dyDescent="0.4">
      <c r="D231" s="15"/>
      <c r="E231" s="13"/>
      <c r="F231" s="15"/>
      <c r="G231" s="14"/>
      <c r="H231" s="15"/>
      <c r="I231" s="14"/>
      <c r="J231" s="15"/>
      <c r="K231" s="14"/>
    </row>
    <row r="232" spans="4:11" ht="12.3" x14ac:dyDescent="0.4">
      <c r="D232" s="15"/>
      <c r="E232" s="13"/>
      <c r="F232" s="15"/>
      <c r="G232" s="14"/>
      <c r="H232" s="15"/>
      <c r="I232" s="14"/>
      <c r="J232" s="15"/>
      <c r="K232" s="14"/>
    </row>
    <row r="233" spans="4:11" ht="12.3" x14ac:dyDescent="0.4">
      <c r="D233" s="15"/>
      <c r="E233" s="13"/>
      <c r="F233" s="15"/>
      <c r="G233" s="14"/>
      <c r="H233" s="15"/>
      <c r="I233" s="14"/>
      <c r="J233" s="15"/>
      <c r="K233" s="14"/>
    </row>
    <row r="234" spans="4:11" ht="12.3" x14ac:dyDescent="0.4">
      <c r="D234" s="15"/>
      <c r="E234" s="13"/>
      <c r="F234" s="15"/>
      <c r="G234" s="14"/>
      <c r="H234" s="15"/>
      <c r="I234" s="14"/>
      <c r="J234" s="15"/>
      <c r="K234" s="14"/>
    </row>
    <row r="235" spans="4:11" ht="12.3" x14ac:dyDescent="0.4">
      <c r="D235" s="15"/>
      <c r="E235" s="13"/>
      <c r="F235" s="15"/>
      <c r="G235" s="14"/>
      <c r="H235" s="15"/>
      <c r="I235" s="14"/>
      <c r="J235" s="15"/>
      <c r="K235" s="14"/>
    </row>
    <row r="236" spans="4:11" ht="12.3" x14ac:dyDescent="0.4">
      <c r="D236" s="15"/>
      <c r="E236" s="13"/>
      <c r="F236" s="15"/>
      <c r="G236" s="14"/>
      <c r="H236" s="15"/>
      <c r="I236" s="14"/>
      <c r="J236" s="15"/>
      <c r="K236" s="14"/>
    </row>
    <row r="237" spans="4:11" ht="12.3" x14ac:dyDescent="0.4">
      <c r="D237" s="15"/>
      <c r="E237" s="13"/>
      <c r="F237" s="15"/>
      <c r="G237" s="14"/>
      <c r="H237" s="15"/>
      <c r="I237" s="14"/>
      <c r="J237" s="15"/>
      <c r="K237" s="14"/>
    </row>
    <row r="238" spans="4:11" ht="12.3" x14ac:dyDescent="0.4">
      <c r="D238" s="15"/>
      <c r="E238" s="13"/>
      <c r="F238" s="15"/>
      <c r="G238" s="14"/>
      <c r="H238" s="15"/>
      <c r="I238" s="14"/>
      <c r="J238" s="15"/>
      <c r="K238" s="14"/>
    </row>
    <row r="239" spans="4:11" ht="12.3" x14ac:dyDescent="0.4">
      <c r="D239" s="15"/>
      <c r="E239" s="13"/>
      <c r="F239" s="15"/>
      <c r="G239" s="14"/>
      <c r="H239" s="15"/>
      <c r="I239" s="14"/>
      <c r="J239" s="15"/>
      <c r="K239" s="14"/>
    </row>
    <row r="240" spans="4:11" ht="12.3" x14ac:dyDescent="0.4">
      <c r="D240" s="15"/>
      <c r="E240" s="13"/>
      <c r="F240" s="15"/>
      <c r="G240" s="14"/>
      <c r="H240" s="15"/>
      <c r="I240" s="14"/>
      <c r="J240" s="15"/>
      <c r="K240" s="14"/>
    </row>
    <row r="241" spans="4:11" ht="12.3" x14ac:dyDescent="0.4">
      <c r="D241" s="15"/>
      <c r="E241" s="13"/>
      <c r="F241" s="15"/>
      <c r="G241" s="14"/>
      <c r="H241" s="15"/>
      <c r="I241" s="14"/>
      <c r="J241" s="15"/>
      <c r="K241" s="14"/>
    </row>
    <row r="242" spans="4:11" ht="12.3" x14ac:dyDescent="0.4">
      <c r="D242" s="15"/>
      <c r="E242" s="13"/>
      <c r="F242" s="15"/>
      <c r="G242" s="14"/>
      <c r="H242" s="15"/>
      <c r="I242" s="14"/>
      <c r="J242" s="15"/>
      <c r="K242" s="14"/>
    </row>
    <row r="243" spans="4:11" ht="12.3" x14ac:dyDescent="0.4">
      <c r="D243" s="15"/>
      <c r="E243" s="13"/>
      <c r="F243" s="15"/>
      <c r="G243" s="14"/>
      <c r="H243" s="15"/>
      <c r="I243" s="14"/>
      <c r="J243" s="15"/>
      <c r="K243" s="14"/>
    </row>
    <row r="244" spans="4:11" ht="12.3" x14ac:dyDescent="0.4">
      <c r="D244" s="15"/>
      <c r="E244" s="13"/>
      <c r="F244" s="15"/>
      <c r="G244" s="14"/>
      <c r="H244" s="15"/>
      <c r="I244" s="14"/>
      <c r="J244" s="15"/>
      <c r="K244" s="14"/>
    </row>
    <row r="245" spans="4:11" ht="12.3" x14ac:dyDescent="0.4">
      <c r="D245" s="15"/>
      <c r="E245" s="13"/>
      <c r="F245" s="15"/>
      <c r="G245" s="14"/>
      <c r="H245" s="15"/>
      <c r="I245" s="14"/>
      <c r="J245" s="15"/>
      <c r="K245" s="14"/>
    </row>
    <row r="246" spans="4:11" ht="12.3" x14ac:dyDescent="0.4">
      <c r="D246" s="15"/>
      <c r="E246" s="13"/>
      <c r="F246" s="15"/>
      <c r="G246" s="14"/>
      <c r="H246" s="15"/>
      <c r="I246" s="14"/>
      <c r="J246" s="15"/>
      <c r="K246" s="14"/>
    </row>
    <row r="247" spans="4:11" ht="12.3" x14ac:dyDescent="0.4">
      <c r="D247" s="15"/>
      <c r="E247" s="13"/>
      <c r="F247" s="15"/>
      <c r="G247" s="14"/>
      <c r="H247" s="15"/>
      <c r="I247" s="14"/>
      <c r="J247" s="15"/>
      <c r="K247" s="14"/>
    </row>
    <row r="248" spans="4:11" ht="12.3" x14ac:dyDescent="0.4">
      <c r="D248" s="15"/>
      <c r="E248" s="13"/>
      <c r="F248" s="15"/>
      <c r="G248" s="14"/>
      <c r="H248" s="15"/>
      <c r="I248" s="14"/>
      <c r="J248" s="15"/>
      <c r="K248" s="14"/>
    </row>
    <row r="249" spans="4:11" ht="12.3" x14ac:dyDescent="0.4">
      <c r="D249" s="15"/>
      <c r="E249" s="13"/>
      <c r="F249" s="15"/>
      <c r="G249" s="14"/>
      <c r="H249" s="15"/>
      <c r="I249" s="14"/>
      <c r="J249" s="15"/>
      <c r="K249" s="14"/>
    </row>
    <row r="250" spans="4:11" ht="12.3" x14ac:dyDescent="0.4">
      <c r="D250" s="15"/>
      <c r="E250" s="13"/>
      <c r="F250" s="15"/>
      <c r="G250" s="14"/>
      <c r="H250" s="15"/>
      <c r="I250" s="14"/>
      <c r="J250" s="15"/>
      <c r="K250" s="14"/>
    </row>
    <row r="251" spans="4:11" ht="12.3" x14ac:dyDescent="0.4">
      <c r="D251" s="15"/>
      <c r="E251" s="13"/>
      <c r="F251" s="15"/>
      <c r="G251" s="14"/>
      <c r="H251" s="15"/>
      <c r="I251" s="14"/>
      <c r="J251" s="15"/>
      <c r="K251" s="14"/>
    </row>
    <row r="252" spans="4:11" ht="12.3" x14ac:dyDescent="0.4">
      <c r="D252" s="15"/>
      <c r="E252" s="13"/>
      <c r="F252" s="15"/>
      <c r="G252" s="14"/>
      <c r="H252" s="15"/>
      <c r="I252" s="14"/>
      <c r="J252" s="15"/>
      <c r="K252" s="14"/>
    </row>
    <row r="253" spans="4:11" ht="12.3" x14ac:dyDescent="0.4">
      <c r="D253" s="15"/>
      <c r="E253" s="13"/>
      <c r="F253" s="15"/>
      <c r="G253" s="14"/>
      <c r="H253" s="15"/>
      <c r="I253" s="14"/>
      <c r="J253" s="15"/>
      <c r="K253" s="14"/>
    </row>
    <row r="254" spans="4:11" ht="12.3" x14ac:dyDescent="0.4">
      <c r="D254" s="15"/>
      <c r="E254" s="13"/>
      <c r="F254" s="15"/>
      <c r="G254" s="14"/>
      <c r="H254" s="15"/>
      <c r="I254" s="14"/>
      <c r="J254" s="15"/>
      <c r="K254" s="14"/>
    </row>
    <row r="255" spans="4:11" ht="12.3" x14ac:dyDescent="0.4">
      <c r="D255" s="15"/>
      <c r="E255" s="13"/>
      <c r="F255" s="15"/>
      <c r="G255" s="14"/>
      <c r="H255" s="15"/>
      <c r="I255" s="14"/>
      <c r="J255" s="15"/>
      <c r="K255" s="14"/>
    </row>
    <row r="256" spans="4:11" ht="12.3" x14ac:dyDescent="0.4">
      <c r="D256" s="15"/>
      <c r="E256" s="13"/>
      <c r="F256" s="15"/>
      <c r="G256" s="14"/>
      <c r="H256" s="15"/>
      <c r="I256" s="14"/>
      <c r="J256" s="15"/>
      <c r="K256" s="14"/>
    </row>
    <row r="257" spans="4:11" ht="12.3" x14ac:dyDescent="0.4">
      <c r="D257" s="15"/>
      <c r="E257" s="13"/>
      <c r="F257" s="15"/>
      <c r="G257" s="14"/>
      <c r="H257" s="15"/>
      <c r="I257" s="14"/>
      <c r="J257" s="15"/>
      <c r="K257" s="14"/>
    </row>
    <row r="258" spans="4:11" ht="12.3" x14ac:dyDescent="0.4">
      <c r="D258" s="15"/>
      <c r="E258" s="13"/>
      <c r="F258" s="15"/>
      <c r="G258" s="14"/>
      <c r="H258" s="15"/>
      <c r="I258" s="14"/>
      <c r="J258" s="15"/>
      <c r="K258" s="14"/>
    </row>
    <row r="259" spans="4:11" ht="12.3" x14ac:dyDescent="0.4">
      <c r="D259" s="15"/>
      <c r="E259" s="13"/>
      <c r="F259" s="15"/>
      <c r="G259" s="14"/>
      <c r="H259" s="15"/>
      <c r="I259" s="14"/>
      <c r="J259" s="15"/>
      <c r="K259" s="14"/>
    </row>
    <row r="260" spans="4:11" ht="12.3" x14ac:dyDescent="0.4">
      <c r="D260" s="15"/>
      <c r="E260" s="13"/>
      <c r="F260" s="15"/>
      <c r="G260" s="14"/>
      <c r="H260" s="15"/>
      <c r="I260" s="14"/>
      <c r="J260" s="15"/>
      <c r="K260" s="14"/>
    </row>
    <row r="261" spans="4:11" ht="12.3" x14ac:dyDescent="0.4">
      <c r="D261" s="15"/>
      <c r="E261" s="13"/>
      <c r="F261" s="15"/>
      <c r="G261" s="14"/>
      <c r="H261" s="15"/>
      <c r="I261" s="14"/>
      <c r="J261" s="15"/>
      <c r="K261" s="14"/>
    </row>
    <row r="262" spans="4:11" ht="12.3" x14ac:dyDescent="0.4">
      <c r="D262" s="15"/>
      <c r="E262" s="13"/>
      <c r="F262" s="15"/>
      <c r="G262" s="14"/>
      <c r="H262" s="15"/>
      <c r="I262" s="14"/>
      <c r="J262" s="15"/>
      <c r="K262" s="14"/>
    </row>
    <row r="263" spans="4:11" ht="12.3" x14ac:dyDescent="0.4">
      <c r="D263" s="15"/>
      <c r="E263" s="13"/>
      <c r="F263" s="15"/>
      <c r="G263" s="14"/>
      <c r="H263" s="15"/>
      <c r="I263" s="14"/>
      <c r="J263" s="15"/>
      <c r="K263" s="14"/>
    </row>
    <row r="264" spans="4:11" ht="12.3" x14ac:dyDescent="0.4">
      <c r="D264" s="15"/>
      <c r="E264" s="13"/>
      <c r="F264" s="15"/>
      <c r="G264" s="14"/>
      <c r="H264" s="15"/>
      <c r="I264" s="14"/>
      <c r="J264" s="15"/>
      <c r="K264" s="14"/>
    </row>
    <row r="265" spans="4:11" ht="12.3" x14ac:dyDescent="0.4">
      <c r="D265" s="15"/>
      <c r="E265" s="13"/>
      <c r="F265" s="15"/>
      <c r="G265" s="14"/>
      <c r="H265" s="15"/>
      <c r="I265" s="14"/>
      <c r="J265" s="15"/>
      <c r="K265" s="14"/>
    </row>
    <row r="266" spans="4:11" ht="12.3" x14ac:dyDescent="0.4">
      <c r="D266" s="15"/>
      <c r="E266" s="13"/>
      <c r="F266" s="15"/>
      <c r="G266" s="14"/>
      <c r="H266" s="15"/>
      <c r="I266" s="14"/>
      <c r="J266" s="15"/>
      <c r="K266" s="14"/>
    </row>
    <row r="267" spans="4:11" ht="12.3" x14ac:dyDescent="0.4">
      <c r="D267" s="15"/>
      <c r="E267" s="13"/>
      <c r="F267" s="15"/>
      <c r="G267" s="14"/>
      <c r="H267" s="15"/>
      <c r="I267" s="14"/>
      <c r="J267" s="15"/>
      <c r="K267" s="14"/>
    </row>
    <row r="268" spans="4:11" ht="12.3" x14ac:dyDescent="0.4">
      <c r="D268" s="15"/>
      <c r="E268" s="13"/>
      <c r="F268" s="15"/>
      <c r="G268" s="14"/>
      <c r="H268" s="15"/>
      <c r="I268" s="14"/>
      <c r="J268" s="15"/>
      <c r="K268" s="14"/>
    </row>
    <row r="269" spans="4:11" ht="12.3" x14ac:dyDescent="0.4">
      <c r="D269" s="15"/>
      <c r="E269" s="13"/>
      <c r="F269" s="15"/>
      <c r="G269" s="14"/>
      <c r="H269" s="15"/>
      <c r="I269" s="14"/>
      <c r="J269" s="15"/>
      <c r="K269" s="14"/>
    </row>
    <row r="270" spans="4:11" ht="12.3" x14ac:dyDescent="0.4">
      <c r="D270" s="15"/>
      <c r="E270" s="13"/>
      <c r="F270" s="15"/>
      <c r="G270" s="14"/>
      <c r="H270" s="15"/>
      <c r="I270" s="14"/>
      <c r="J270" s="15"/>
      <c r="K270" s="14"/>
    </row>
    <row r="271" spans="4:11" ht="12.3" x14ac:dyDescent="0.4">
      <c r="D271" s="15"/>
      <c r="E271" s="13"/>
      <c r="F271" s="15"/>
      <c r="G271" s="14"/>
      <c r="H271" s="15"/>
      <c r="I271" s="14"/>
      <c r="J271" s="15"/>
      <c r="K271" s="14"/>
    </row>
    <row r="272" spans="4:11" ht="12.3" x14ac:dyDescent="0.4">
      <c r="D272" s="15"/>
      <c r="E272" s="13"/>
      <c r="F272" s="15"/>
      <c r="G272" s="14"/>
      <c r="H272" s="15"/>
      <c r="I272" s="14"/>
      <c r="J272" s="15"/>
      <c r="K272" s="14"/>
    </row>
    <row r="273" spans="4:11" ht="12.3" x14ac:dyDescent="0.4">
      <c r="D273" s="15"/>
      <c r="E273" s="13"/>
      <c r="F273" s="15"/>
      <c r="G273" s="14"/>
      <c r="H273" s="15"/>
      <c r="I273" s="14"/>
      <c r="J273" s="15"/>
      <c r="K273" s="14"/>
    </row>
    <row r="274" spans="4:11" ht="12.3" x14ac:dyDescent="0.4">
      <c r="D274" s="15"/>
      <c r="E274" s="13"/>
      <c r="F274" s="15"/>
      <c r="G274" s="14"/>
      <c r="H274" s="15"/>
      <c r="I274" s="14"/>
      <c r="J274" s="15"/>
      <c r="K274" s="14"/>
    </row>
    <row r="275" spans="4:11" ht="12.3" x14ac:dyDescent="0.4">
      <c r="D275" s="15"/>
      <c r="E275" s="13"/>
      <c r="F275" s="15"/>
      <c r="G275" s="14"/>
      <c r="H275" s="15"/>
      <c r="I275" s="14"/>
      <c r="J275" s="15"/>
      <c r="K275" s="14"/>
    </row>
    <row r="276" spans="4:11" ht="12.3" x14ac:dyDescent="0.4">
      <c r="D276" s="15"/>
      <c r="E276" s="13"/>
      <c r="F276" s="15"/>
      <c r="G276" s="14"/>
      <c r="H276" s="15"/>
      <c r="I276" s="14"/>
      <c r="J276" s="15"/>
      <c r="K276" s="14"/>
    </row>
    <row r="277" spans="4:11" ht="12.3" x14ac:dyDescent="0.4">
      <c r="D277" s="15"/>
      <c r="E277" s="13"/>
      <c r="F277" s="15"/>
      <c r="G277" s="14"/>
      <c r="H277" s="15"/>
      <c r="I277" s="14"/>
      <c r="J277" s="15"/>
      <c r="K277" s="14"/>
    </row>
    <row r="278" spans="4:11" ht="12.3" x14ac:dyDescent="0.4">
      <c r="D278" s="15"/>
      <c r="E278" s="13"/>
      <c r="F278" s="15"/>
      <c r="G278" s="14"/>
      <c r="H278" s="15"/>
      <c r="I278" s="14"/>
      <c r="J278" s="15"/>
      <c r="K278" s="14"/>
    </row>
    <row r="279" spans="4:11" ht="12.3" x14ac:dyDescent="0.4">
      <c r="D279" s="15"/>
      <c r="E279" s="13"/>
      <c r="F279" s="15"/>
      <c r="G279" s="14"/>
      <c r="H279" s="15"/>
      <c r="I279" s="14"/>
      <c r="J279" s="15"/>
      <c r="K279" s="14"/>
    </row>
    <row r="280" spans="4:11" ht="12.3" x14ac:dyDescent="0.4">
      <c r="D280" s="15"/>
      <c r="E280" s="13"/>
      <c r="F280" s="15"/>
      <c r="G280" s="14"/>
      <c r="H280" s="15"/>
      <c r="I280" s="14"/>
      <c r="J280" s="15"/>
      <c r="K280" s="14"/>
    </row>
    <row r="281" spans="4:11" ht="12.3" x14ac:dyDescent="0.4">
      <c r="D281" s="15"/>
      <c r="E281" s="13"/>
      <c r="F281" s="15"/>
      <c r="G281" s="14"/>
      <c r="H281" s="15"/>
      <c r="I281" s="14"/>
      <c r="J281" s="15"/>
      <c r="K281" s="14"/>
    </row>
    <row r="282" spans="4:11" ht="12.3" x14ac:dyDescent="0.4">
      <c r="D282" s="15"/>
      <c r="E282" s="13"/>
      <c r="F282" s="15"/>
      <c r="G282" s="14"/>
      <c r="H282" s="15"/>
      <c r="I282" s="14"/>
      <c r="J282" s="15"/>
      <c r="K282" s="14"/>
    </row>
    <row r="283" spans="4:11" ht="12.3" x14ac:dyDescent="0.4">
      <c r="D283" s="15"/>
      <c r="E283" s="13"/>
      <c r="F283" s="15"/>
      <c r="G283" s="14"/>
      <c r="H283" s="15"/>
      <c r="I283" s="14"/>
      <c r="J283" s="15"/>
      <c r="K283" s="14"/>
    </row>
    <row r="284" spans="4:11" ht="12.3" x14ac:dyDescent="0.4">
      <c r="D284" s="15"/>
      <c r="E284" s="13"/>
      <c r="F284" s="15"/>
      <c r="G284" s="14"/>
      <c r="H284" s="15"/>
      <c r="I284" s="14"/>
      <c r="J284" s="15"/>
      <c r="K284" s="14"/>
    </row>
    <row r="285" spans="4:11" ht="12.3" x14ac:dyDescent="0.4">
      <c r="D285" s="15"/>
      <c r="E285" s="13"/>
      <c r="F285" s="15"/>
      <c r="G285" s="14"/>
      <c r="H285" s="15"/>
      <c r="I285" s="14"/>
      <c r="J285" s="15"/>
      <c r="K285" s="14"/>
    </row>
    <row r="286" spans="4:11" ht="12.3" x14ac:dyDescent="0.4">
      <c r="D286" s="15"/>
      <c r="E286" s="13"/>
      <c r="F286" s="15"/>
      <c r="G286" s="14"/>
      <c r="H286" s="15"/>
      <c r="I286" s="14"/>
      <c r="J286" s="15"/>
      <c r="K286" s="14"/>
    </row>
    <row r="287" spans="4:11" ht="12.3" x14ac:dyDescent="0.4">
      <c r="D287" s="15"/>
      <c r="E287" s="13"/>
      <c r="F287" s="15"/>
      <c r="G287" s="14"/>
      <c r="H287" s="15"/>
      <c r="I287" s="14"/>
      <c r="J287" s="15"/>
      <c r="K287" s="14"/>
    </row>
    <row r="288" spans="4:11" ht="12.3" x14ac:dyDescent="0.4">
      <c r="D288" s="15"/>
      <c r="E288" s="13"/>
      <c r="F288" s="15"/>
      <c r="G288" s="14"/>
      <c r="H288" s="15"/>
      <c r="I288" s="14"/>
      <c r="J288" s="15"/>
      <c r="K288" s="14"/>
    </row>
    <row r="289" spans="4:11" ht="12.3" x14ac:dyDescent="0.4">
      <c r="D289" s="15"/>
      <c r="E289" s="13"/>
      <c r="F289" s="15"/>
      <c r="G289" s="14"/>
      <c r="H289" s="15"/>
      <c r="I289" s="14"/>
      <c r="J289" s="15"/>
      <c r="K289" s="14"/>
    </row>
    <row r="290" spans="4:11" ht="12.3" x14ac:dyDescent="0.4">
      <c r="D290" s="15"/>
      <c r="E290" s="13"/>
      <c r="F290" s="15"/>
      <c r="G290" s="14"/>
      <c r="H290" s="15"/>
      <c r="I290" s="14"/>
      <c r="J290" s="15"/>
      <c r="K290" s="14"/>
    </row>
    <row r="291" spans="4:11" ht="12.3" x14ac:dyDescent="0.4">
      <c r="D291" s="15"/>
      <c r="E291" s="13"/>
      <c r="F291" s="15"/>
      <c r="G291" s="14"/>
      <c r="H291" s="15"/>
      <c r="I291" s="14"/>
      <c r="J291" s="15"/>
      <c r="K291" s="14"/>
    </row>
    <row r="292" spans="4:11" ht="12.3" x14ac:dyDescent="0.4">
      <c r="D292" s="15"/>
      <c r="E292" s="13"/>
      <c r="F292" s="15"/>
      <c r="G292" s="14"/>
      <c r="H292" s="15"/>
      <c r="I292" s="14"/>
      <c r="J292" s="15"/>
      <c r="K292" s="14"/>
    </row>
    <row r="293" spans="4:11" ht="12.3" x14ac:dyDescent="0.4">
      <c r="D293" s="15"/>
      <c r="E293" s="13"/>
      <c r="F293" s="15"/>
      <c r="G293" s="14"/>
      <c r="H293" s="15"/>
      <c r="I293" s="14"/>
      <c r="J293" s="15"/>
      <c r="K293" s="14"/>
    </row>
    <row r="294" spans="4:11" ht="12.3" x14ac:dyDescent="0.4">
      <c r="D294" s="15"/>
      <c r="E294" s="13"/>
      <c r="F294" s="15"/>
      <c r="G294" s="14"/>
      <c r="H294" s="15"/>
      <c r="I294" s="14"/>
      <c r="J294" s="15"/>
      <c r="K294" s="14"/>
    </row>
    <row r="295" spans="4:11" ht="12.3" x14ac:dyDescent="0.4">
      <c r="D295" s="15"/>
      <c r="E295" s="13"/>
      <c r="F295" s="15"/>
      <c r="G295" s="14"/>
      <c r="H295" s="15"/>
      <c r="I295" s="14"/>
      <c r="J295" s="15"/>
      <c r="K295" s="14"/>
    </row>
    <row r="296" spans="4:11" ht="12.3" x14ac:dyDescent="0.4">
      <c r="D296" s="15"/>
      <c r="E296" s="13"/>
      <c r="F296" s="15"/>
      <c r="G296" s="14"/>
      <c r="H296" s="15"/>
      <c r="I296" s="14"/>
      <c r="J296" s="15"/>
      <c r="K296" s="14"/>
    </row>
    <row r="297" spans="4:11" ht="12.3" x14ac:dyDescent="0.4">
      <c r="D297" s="15"/>
      <c r="E297" s="13"/>
      <c r="F297" s="15"/>
      <c r="G297" s="14"/>
      <c r="H297" s="15"/>
      <c r="I297" s="14"/>
      <c r="J297" s="15"/>
      <c r="K297" s="14"/>
    </row>
    <row r="298" spans="4:11" ht="12.3" x14ac:dyDescent="0.4">
      <c r="D298" s="15"/>
      <c r="E298" s="13"/>
      <c r="F298" s="15"/>
      <c r="G298" s="14"/>
      <c r="H298" s="15"/>
      <c r="I298" s="14"/>
      <c r="J298" s="15"/>
      <c r="K298" s="14"/>
    </row>
    <row r="299" spans="4:11" ht="12.3" x14ac:dyDescent="0.4">
      <c r="D299" s="15"/>
      <c r="E299" s="13"/>
      <c r="F299" s="15"/>
      <c r="G299" s="14"/>
      <c r="H299" s="15"/>
      <c r="I299" s="14"/>
      <c r="J299" s="15"/>
      <c r="K299" s="14"/>
    </row>
    <row r="300" spans="4:11" ht="12.3" x14ac:dyDescent="0.4">
      <c r="D300" s="15"/>
      <c r="E300" s="13"/>
      <c r="F300" s="15"/>
      <c r="G300" s="14"/>
      <c r="H300" s="15"/>
      <c r="I300" s="14"/>
      <c r="J300" s="15"/>
      <c r="K300" s="14"/>
    </row>
    <row r="301" spans="4:11" ht="12.3" x14ac:dyDescent="0.4">
      <c r="D301" s="15"/>
      <c r="E301" s="13"/>
      <c r="F301" s="15"/>
      <c r="G301" s="14"/>
      <c r="H301" s="15"/>
      <c r="I301" s="14"/>
      <c r="J301" s="15"/>
      <c r="K301" s="14"/>
    </row>
    <row r="302" spans="4:11" ht="12.3" x14ac:dyDescent="0.4">
      <c r="D302" s="15"/>
      <c r="E302" s="13"/>
      <c r="F302" s="15"/>
      <c r="G302" s="14"/>
      <c r="H302" s="15"/>
      <c r="I302" s="14"/>
      <c r="J302" s="15"/>
      <c r="K302" s="14"/>
    </row>
    <row r="303" spans="4:11" ht="12.3" x14ac:dyDescent="0.4">
      <c r="D303" s="15"/>
      <c r="E303" s="13"/>
      <c r="F303" s="15"/>
      <c r="G303" s="14"/>
      <c r="H303" s="15"/>
      <c r="I303" s="14"/>
      <c r="J303" s="15"/>
      <c r="K303" s="14"/>
    </row>
    <row r="304" spans="4:11" ht="12.3" x14ac:dyDescent="0.4">
      <c r="D304" s="15"/>
      <c r="E304" s="13"/>
      <c r="F304" s="15"/>
      <c r="G304" s="14"/>
      <c r="H304" s="15"/>
      <c r="I304" s="14"/>
      <c r="J304" s="15"/>
      <c r="K304" s="14"/>
    </row>
    <row r="305" spans="4:11" ht="12.3" x14ac:dyDescent="0.4">
      <c r="D305" s="15"/>
      <c r="E305" s="13"/>
      <c r="F305" s="15"/>
      <c r="G305" s="14"/>
      <c r="H305" s="15"/>
      <c r="I305" s="14"/>
      <c r="J305" s="15"/>
      <c r="K305" s="14"/>
    </row>
    <row r="306" spans="4:11" ht="12.3" x14ac:dyDescent="0.4">
      <c r="D306" s="15"/>
      <c r="E306" s="13"/>
      <c r="F306" s="15"/>
      <c r="G306" s="14"/>
      <c r="H306" s="15"/>
      <c r="I306" s="14"/>
      <c r="J306" s="15"/>
      <c r="K306" s="14"/>
    </row>
    <row r="307" spans="4:11" ht="12.3" x14ac:dyDescent="0.4">
      <c r="D307" s="15"/>
      <c r="E307" s="13"/>
      <c r="F307" s="15"/>
      <c r="G307" s="14"/>
      <c r="H307" s="15"/>
      <c r="I307" s="14"/>
      <c r="J307" s="15"/>
      <c r="K307" s="14"/>
    </row>
    <row r="308" spans="4:11" ht="12.3" x14ac:dyDescent="0.4">
      <c r="D308" s="15"/>
      <c r="E308" s="13"/>
      <c r="F308" s="15"/>
      <c r="G308" s="14"/>
      <c r="H308" s="15"/>
      <c r="I308" s="14"/>
      <c r="J308" s="15"/>
      <c r="K308" s="14"/>
    </row>
    <row r="309" spans="4:11" ht="12.3" x14ac:dyDescent="0.4">
      <c r="D309" s="15"/>
      <c r="E309" s="13"/>
      <c r="F309" s="15"/>
      <c r="G309" s="14"/>
      <c r="H309" s="15"/>
      <c r="I309" s="14"/>
      <c r="J309" s="15"/>
      <c r="K309" s="14"/>
    </row>
    <row r="310" spans="4:11" ht="12.3" x14ac:dyDescent="0.4">
      <c r="D310" s="15"/>
      <c r="E310" s="13"/>
      <c r="F310" s="15"/>
      <c r="G310" s="14"/>
      <c r="H310" s="15"/>
      <c r="I310" s="14"/>
      <c r="J310" s="15"/>
      <c r="K310" s="14"/>
    </row>
    <row r="311" spans="4:11" ht="12.3" x14ac:dyDescent="0.4">
      <c r="D311" s="15"/>
      <c r="E311" s="13"/>
      <c r="F311" s="15"/>
      <c r="G311" s="14"/>
      <c r="H311" s="15"/>
      <c r="I311" s="14"/>
      <c r="J311" s="15"/>
      <c r="K311" s="14"/>
    </row>
    <row r="312" spans="4:11" ht="12.3" x14ac:dyDescent="0.4">
      <c r="D312" s="15"/>
      <c r="E312" s="13"/>
      <c r="F312" s="15"/>
      <c r="G312" s="14"/>
      <c r="H312" s="15"/>
      <c r="I312" s="14"/>
      <c r="J312" s="15"/>
      <c r="K312" s="14"/>
    </row>
    <row r="313" spans="4:11" ht="12.3" x14ac:dyDescent="0.4">
      <c r="D313" s="15"/>
      <c r="E313" s="13"/>
      <c r="F313" s="15"/>
      <c r="G313" s="14"/>
      <c r="H313" s="15"/>
      <c r="I313" s="14"/>
      <c r="J313" s="15"/>
      <c r="K313" s="14"/>
    </row>
    <row r="314" spans="4:11" ht="12.3" x14ac:dyDescent="0.4">
      <c r="D314" s="15"/>
      <c r="E314" s="13"/>
      <c r="F314" s="15"/>
      <c r="G314" s="14"/>
      <c r="H314" s="15"/>
      <c r="I314" s="14"/>
      <c r="J314" s="15"/>
      <c r="K314" s="14"/>
    </row>
    <row r="315" spans="4:11" ht="12.3" x14ac:dyDescent="0.4">
      <c r="D315" s="15"/>
      <c r="E315" s="13"/>
      <c r="F315" s="15"/>
      <c r="G315" s="14"/>
      <c r="H315" s="15"/>
      <c r="I315" s="14"/>
      <c r="J315" s="15"/>
      <c r="K315" s="14"/>
    </row>
    <row r="316" spans="4:11" ht="12.3" x14ac:dyDescent="0.4">
      <c r="D316" s="15"/>
      <c r="E316" s="13"/>
      <c r="F316" s="15"/>
      <c r="G316" s="14"/>
      <c r="H316" s="15"/>
      <c r="I316" s="14"/>
      <c r="J316" s="15"/>
      <c r="K316" s="14"/>
    </row>
    <row r="317" spans="4:11" ht="12.3" x14ac:dyDescent="0.4">
      <c r="D317" s="15"/>
      <c r="E317" s="13"/>
      <c r="F317" s="15"/>
      <c r="G317" s="14"/>
      <c r="H317" s="15"/>
      <c r="I317" s="14"/>
      <c r="J317" s="15"/>
      <c r="K317" s="14"/>
    </row>
    <row r="318" spans="4:11" ht="12.3" x14ac:dyDescent="0.4">
      <c r="D318" s="15"/>
      <c r="E318" s="13"/>
      <c r="F318" s="15"/>
      <c r="G318" s="14"/>
      <c r="H318" s="15"/>
      <c r="I318" s="14"/>
      <c r="J318" s="15"/>
      <c r="K318" s="14"/>
    </row>
    <row r="319" spans="4:11" ht="12.3" x14ac:dyDescent="0.4">
      <c r="D319" s="15"/>
      <c r="E319" s="13"/>
      <c r="F319" s="15"/>
      <c r="G319" s="14"/>
      <c r="H319" s="15"/>
      <c r="I319" s="14"/>
      <c r="J319" s="15"/>
      <c r="K319" s="14"/>
    </row>
    <row r="320" spans="4:11" ht="12.3" x14ac:dyDescent="0.4">
      <c r="D320" s="15"/>
      <c r="E320" s="13"/>
      <c r="F320" s="15"/>
      <c r="G320" s="14"/>
      <c r="H320" s="15"/>
      <c r="I320" s="14"/>
      <c r="J320" s="15"/>
      <c r="K320" s="14"/>
    </row>
    <row r="321" spans="4:11" ht="12.3" x14ac:dyDescent="0.4">
      <c r="D321" s="15"/>
      <c r="E321" s="13"/>
      <c r="F321" s="15"/>
      <c r="G321" s="14"/>
      <c r="H321" s="15"/>
      <c r="I321" s="14"/>
      <c r="J321" s="15"/>
      <c r="K321" s="14"/>
    </row>
    <row r="322" spans="4:11" ht="12.3" x14ac:dyDescent="0.4">
      <c r="D322" s="15"/>
      <c r="E322" s="13"/>
      <c r="F322" s="15"/>
      <c r="G322" s="14"/>
      <c r="H322" s="15"/>
      <c r="I322" s="14"/>
      <c r="J322" s="15"/>
      <c r="K322" s="14"/>
    </row>
    <row r="323" spans="4:11" ht="12.3" x14ac:dyDescent="0.4">
      <c r="D323" s="15"/>
      <c r="E323" s="13"/>
      <c r="F323" s="15"/>
      <c r="G323" s="14"/>
      <c r="H323" s="15"/>
      <c r="I323" s="14"/>
      <c r="J323" s="15"/>
      <c r="K323" s="14"/>
    </row>
    <row r="324" spans="4:11" ht="12.3" x14ac:dyDescent="0.4">
      <c r="D324" s="15"/>
      <c r="E324" s="13"/>
      <c r="F324" s="15"/>
      <c r="G324" s="14"/>
      <c r="H324" s="15"/>
      <c r="I324" s="14"/>
      <c r="J324" s="15"/>
      <c r="K324" s="14"/>
    </row>
    <row r="325" spans="4:11" ht="12.3" x14ac:dyDescent="0.4">
      <c r="D325" s="15"/>
      <c r="E325" s="13"/>
      <c r="F325" s="15"/>
      <c r="G325" s="14"/>
      <c r="H325" s="15"/>
      <c r="I325" s="14"/>
      <c r="J325" s="15"/>
      <c r="K325" s="14"/>
    </row>
    <row r="326" spans="4:11" ht="12.3" x14ac:dyDescent="0.4">
      <c r="D326" s="15"/>
      <c r="E326" s="13"/>
      <c r="F326" s="15"/>
      <c r="G326" s="14"/>
      <c r="H326" s="15"/>
      <c r="I326" s="14"/>
      <c r="J326" s="15"/>
      <c r="K326" s="14"/>
    </row>
    <row r="327" spans="4:11" ht="12.3" x14ac:dyDescent="0.4">
      <c r="D327" s="15"/>
      <c r="E327" s="13"/>
      <c r="F327" s="15"/>
      <c r="G327" s="14"/>
      <c r="H327" s="15"/>
      <c r="I327" s="14"/>
      <c r="J327" s="15"/>
      <c r="K327" s="14"/>
    </row>
    <row r="328" spans="4:11" ht="12.3" x14ac:dyDescent="0.4">
      <c r="D328" s="15"/>
      <c r="E328" s="13"/>
      <c r="F328" s="15"/>
      <c r="G328" s="14"/>
      <c r="H328" s="15"/>
      <c r="I328" s="14"/>
      <c r="J328" s="15"/>
      <c r="K328" s="14"/>
    </row>
    <row r="329" spans="4:11" ht="12.3" x14ac:dyDescent="0.4">
      <c r="D329" s="15"/>
      <c r="E329" s="13"/>
      <c r="F329" s="15"/>
      <c r="G329" s="14"/>
      <c r="H329" s="15"/>
      <c r="I329" s="14"/>
      <c r="J329" s="15"/>
      <c r="K329" s="14"/>
    </row>
    <row r="330" spans="4:11" ht="12.3" x14ac:dyDescent="0.4">
      <c r="D330" s="15"/>
      <c r="E330" s="13"/>
      <c r="F330" s="15"/>
      <c r="G330" s="14"/>
      <c r="H330" s="15"/>
      <c r="I330" s="14"/>
      <c r="J330" s="15"/>
      <c r="K330" s="14"/>
    </row>
    <row r="331" spans="4:11" ht="12.3" x14ac:dyDescent="0.4">
      <c r="D331" s="15"/>
      <c r="E331" s="13"/>
      <c r="F331" s="15"/>
      <c r="G331" s="14"/>
      <c r="H331" s="15"/>
      <c r="I331" s="14"/>
      <c r="J331" s="15"/>
      <c r="K331" s="14"/>
    </row>
    <row r="332" spans="4:11" ht="12.3" x14ac:dyDescent="0.4">
      <c r="D332" s="15"/>
      <c r="E332" s="13"/>
      <c r="F332" s="15"/>
      <c r="G332" s="14"/>
      <c r="H332" s="15"/>
      <c r="I332" s="14"/>
      <c r="J332" s="15"/>
      <c r="K332" s="14"/>
    </row>
    <row r="333" spans="4:11" ht="12.3" x14ac:dyDescent="0.4">
      <c r="D333" s="15"/>
      <c r="E333" s="13"/>
      <c r="F333" s="15"/>
      <c r="G333" s="14"/>
      <c r="H333" s="15"/>
      <c r="I333" s="14"/>
      <c r="J333" s="15"/>
      <c r="K333" s="14"/>
    </row>
    <row r="334" spans="4:11" ht="12.3" x14ac:dyDescent="0.4">
      <c r="D334" s="15"/>
      <c r="E334" s="13"/>
      <c r="F334" s="15"/>
      <c r="G334" s="14"/>
      <c r="H334" s="15"/>
      <c r="I334" s="14"/>
      <c r="J334" s="15"/>
      <c r="K334" s="14"/>
    </row>
    <row r="335" spans="4:11" ht="12.3" x14ac:dyDescent="0.4">
      <c r="D335" s="15"/>
      <c r="E335" s="13"/>
      <c r="F335" s="15"/>
      <c r="G335" s="14"/>
      <c r="H335" s="15"/>
      <c r="I335" s="14"/>
      <c r="J335" s="15"/>
      <c r="K335" s="14"/>
    </row>
    <row r="336" spans="4:11" ht="12.3" x14ac:dyDescent="0.4">
      <c r="D336" s="15"/>
      <c r="E336" s="13"/>
      <c r="F336" s="15"/>
      <c r="G336" s="14"/>
      <c r="H336" s="15"/>
      <c r="I336" s="14"/>
      <c r="J336" s="15"/>
      <c r="K336" s="14"/>
    </row>
    <row r="337" spans="4:11" ht="12.3" x14ac:dyDescent="0.4">
      <c r="D337" s="15"/>
      <c r="E337" s="13"/>
      <c r="F337" s="15"/>
      <c r="G337" s="14"/>
      <c r="H337" s="15"/>
      <c r="I337" s="14"/>
      <c r="J337" s="15"/>
      <c r="K337" s="14"/>
    </row>
    <row r="338" spans="4:11" ht="12.3" x14ac:dyDescent="0.4">
      <c r="D338" s="15"/>
      <c r="E338" s="13"/>
      <c r="F338" s="15"/>
      <c r="G338" s="14"/>
      <c r="H338" s="15"/>
      <c r="I338" s="14"/>
      <c r="J338" s="15"/>
      <c r="K338" s="14"/>
    </row>
    <row r="339" spans="4:11" ht="12.3" x14ac:dyDescent="0.4">
      <c r="D339" s="15"/>
      <c r="E339" s="13"/>
      <c r="F339" s="15"/>
      <c r="G339" s="14"/>
      <c r="H339" s="15"/>
      <c r="I339" s="14"/>
      <c r="J339" s="15"/>
      <c r="K339" s="14"/>
    </row>
    <row r="340" spans="4:11" ht="12.3" x14ac:dyDescent="0.4">
      <c r="D340" s="15"/>
      <c r="E340" s="13"/>
      <c r="F340" s="15"/>
      <c r="G340" s="14"/>
      <c r="H340" s="15"/>
      <c r="I340" s="14"/>
      <c r="J340" s="15"/>
      <c r="K340" s="14"/>
    </row>
    <row r="341" spans="4:11" ht="12.3" x14ac:dyDescent="0.4">
      <c r="D341" s="15"/>
      <c r="E341" s="13"/>
      <c r="F341" s="15"/>
      <c r="G341" s="14"/>
      <c r="H341" s="15"/>
      <c r="I341" s="14"/>
      <c r="J341" s="15"/>
      <c r="K341" s="14"/>
    </row>
    <row r="342" spans="4:11" ht="12.3" x14ac:dyDescent="0.4">
      <c r="D342" s="15"/>
      <c r="E342" s="13"/>
      <c r="F342" s="15"/>
      <c r="G342" s="14"/>
      <c r="H342" s="15"/>
      <c r="I342" s="14"/>
      <c r="J342" s="15"/>
      <c r="K342" s="14"/>
    </row>
    <row r="343" spans="4:11" ht="12.3" x14ac:dyDescent="0.4">
      <c r="D343" s="15"/>
      <c r="E343" s="13"/>
      <c r="F343" s="15"/>
      <c r="G343" s="14"/>
      <c r="H343" s="15"/>
      <c r="I343" s="14"/>
      <c r="J343" s="15"/>
      <c r="K343" s="14"/>
    </row>
    <row r="344" spans="4:11" ht="12.3" x14ac:dyDescent="0.4">
      <c r="D344" s="15"/>
      <c r="E344" s="13"/>
      <c r="F344" s="15"/>
      <c r="G344" s="14"/>
      <c r="H344" s="15"/>
      <c r="I344" s="14"/>
      <c r="J344" s="15"/>
      <c r="K344" s="14"/>
    </row>
    <row r="345" spans="4:11" ht="12.3" x14ac:dyDescent="0.4">
      <c r="D345" s="15"/>
      <c r="E345" s="13"/>
      <c r="F345" s="15"/>
      <c r="G345" s="14"/>
      <c r="H345" s="15"/>
      <c r="I345" s="14"/>
      <c r="J345" s="15"/>
      <c r="K345" s="14"/>
    </row>
    <row r="346" spans="4:11" ht="12.3" x14ac:dyDescent="0.4">
      <c r="D346" s="15"/>
      <c r="E346" s="13"/>
      <c r="F346" s="15"/>
      <c r="G346" s="14"/>
      <c r="H346" s="15"/>
      <c r="I346" s="14"/>
      <c r="J346" s="15"/>
      <c r="K346" s="14"/>
    </row>
    <row r="347" spans="4:11" ht="12.3" x14ac:dyDescent="0.4">
      <c r="D347" s="15"/>
      <c r="E347" s="13"/>
      <c r="F347" s="15"/>
      <c r="G347" s="14"/>
      <c r="H347" s="15"/>
      <c r="I347" s="14"/>
      <c r="J347" s="15"/>
      <c r="K347" s="14"/>
    </row>
    <row r="348" spans="4:11" ht="12.3" x14ac:dyDescent="0.4">
      <c r="D348" s="15"/>
      <c r="E348" s="13"/>
      <c r="F348" s="15"/>
      <c r="G348" s="14"/>
      <c r="H348" s="15"/>
      <c r="I348" s="14"/>
      <c r="J348" s="15"/>
      <c r="K348" s="14"/>
    </row>
    <row r="349" spans="4:11" ht="12.3" x14ac:dyDescent="0.4">
      <c r="D349" s="15"/>
      <c r="E349" s="13"/>
      <c r="F349" s="15"/>
      <c r="G349" s="14"/>
      <c r="H349" s="15"/>
      <c r="I349" s="14"/>
      <c r="J349" s="15"/>
      <c r="K349" s="14"/>
    </row>
    <row r="350" spans="4:11" ht="12.3" x14ac:dyDescent="0.4">
      <c r="D350" s="15"/>
      <c r="E350" s="13"/>
      <c r="F350" s="15"/>
      <c r="G350" s="14"/>
      <c r="H350" s="15"/>
      <c r="I350" s="14"/>
      <c r="J350" s="15"/>
      <c r="K350" s="14"/>
    </row>
    <row r="351" spans="4:11" ht="12.3" x14ac:dyDescent="0.4">
      <c r="D351" s="15"/>
      <c r="E351" s="13"/>
      <c r="F351" s="15"/>
      <c r="G351" s="14"/>
      <c r="H351" s="15"/>
      <c r="I351" s="14"/>
      <c r="J351" s="15"/>
      <c r="K351" s="14"/>
    </row>
    <row r="352" spans="4:11" ht="12.3" x14ac:dyDescent="0.4">
      <c r="D352" s="15"/>
      <c r="E352" s="13"/>
      <c r="F352" s="15"/>
      <c r="G352" s="14"/>
      <c r="H352" s="15"/>
      <c r="I352" s="14"/>
      <c r="J352" s="15"/>
      <c r="K352" s="14"/>
    </row>
    <row r="353" spans="4:11" ht="12.3" x14ac:dyDescent="0.4">
      <c r="D353" s="15"/>
      <c r="E353" s="13"/>
      <c r="F353" s="15"/>
      <c r="G353" s="14"/>
      <c r="H353" s="15"/>
      <c r="I353" s="14"/>
      <c r="J353" s="15"/>
      <c r="K353" s="14"/>
    </row>
    <row r="354" spans="4:11" ht="12.3" x14ac:dyDescent="0.4">
      <c r="D354" s="15"/>
      <c r="E354" s="13"/>
      <c r="F354" s="15"/>
      <c r="G354" s="14"/>
      <c r="H354" s="15"/>
      <c r="I354" s="14"/>
      <c r="J354" s="15"/>
      <c r="K354" s="14"/>
    </row>
    <row r="355" spans="4:11" ht="12.3" x14ac:dyDescent="0.4">
      <c r="D355" s="15"/>
      <c r="E355" s="13"/>
      <c r="F355" s="15"/>
      <c r="G355" s="14"/>
      <c r="H355" s="15"/>
      <c r="I355" s="14"/>
      <c r="J355" s="15"/>
      <c r="K355" s="14"/>
    </row>
    <row r="356" spans="4:11" ht="12.3" x14ac:dyDescent="0.4">
      <c r="D356" s="15"/>
      <c r="E356" s="13"/>
      <c r="F356" s="15"/>
      <c r="G356" s="14"/>
      <c r="H356" s="15"/>
      <c r="I356" s="14"/>
      <c r="J356" s="15"/>
      <c r="K356" s="14"/>
    </row>
    <row r="357" spans="4:11" ht="12.3" x14ac:dyDescent="0.4">
      <c r="D357" s="15"/>
      <c r="E357" s="13"/>
      <c r="F357" s="15"/>
      <c r="G357" s="14"/>
      <c r="H357" s="15"/>
      <c r="I357" s="14"/>
      <c r="J357" s="15"/>
      <c r="K357" s="14"/>
    </row>
    <row r="358" spans="4:11" ht="12.3" x14ac:dyDescent="0.4">
      <c r="D358" s="15"/>
      <c r="E358" s="13"/>
      <c r="F358" s="15"/>
      <c r="G358" s="14"/>
      <c r="H358" s="15"/>
      <c r="I358" s="14"/>
      <c r="J358" s="15"/>
      <c r="K358" s="14"/>
    </row>
    <row r="359" spans="4:11" ht="12.3" x14ac:dyDescent="0.4">
      <c r="D359" s="15"/>
      <c r="E359" s="13"/>
      <c r="F359" s="15"/>
      <c r="G359" s="14"/>
      <c r="H359" s="15"/>
      <c r="I359" s="14"/>
      <c r="J359" s="15"/>
      <c r="K359" s="14"/>
    </row>
    <row r="360" spans="4:11" ht="12.3" x14ac:dyDescent="0.4">
      <c r="D360" s="15"/>
      <c r="E360" s="13"/>
      <c r="F360" s="15"/>
      <c r="G360" s="14"/>
      <c r="H360" s="15"/>
      <c r="I360" s="14"/>
      <c r="J360" s="15"/>
      <c r="K360" s="14"/>
    </row>
    <row r="361" spans="4:11" ht="12.3" x14ac:dyDescent="0.4">
      <c r="D361" s="15"/>
      <c r="E361" s="13"/>
      <c r="F361" s="15"/>
      <c r="G361" s="14"/>
      <c r="H361" s="15"/>
      <c r="I361" s="14"/>
      <c r="J361" s="15"/>
      <c r="K361" s="14"/>
    </row>
    <row r="362" spans="4:11" ht="12.3" x14ac:dyDescent="0.4">
      <c r="D362" s="15"/>
      <c r="E362" s="13"/>
      <c r="F362" s="15"/>
      <c r="G362" s="14"/>
      <c r="H362" s="15"/>
      <c r="I362" s="14"/>
      <c r="J362" s="15"/>
      <c r="K362" s="14"/>
    </row>
    <row r="363" spans="4:11" ht="12.3" x14ac:dyDescent="0.4">
      <c r="D363" s="15"/>
      <c r="E363" s="13"/>
      <c r="F363" s="15"/>
      <c r="G363" s="14"/>
      <c r="H363" s="15"/>
      <c r="I363" s="14"/>
      <c r="J363" s="15"/>
      <c r="K363" s="14"/>
    </row>
    <row r="364" spans="4:11" ht="12.3" x14ac:dyDescent="0.4">
      <c r="D364" s="15"/>
      <c r="E364" s="13"/>
      <c r="F364" s="15"/>
      <c r="G364" s="14"/>
      <c r="H364" s="15"/>
      <c r="I364" s="14"/>
      <c r="J364" s="15"/>
      <c r="K364" s="14"/>
    </row>
    <row r="365" spans="4:11" ht="12.3" x14ac:dyDescent="0.4">
      <c r="D365" s="15"/>
      <c r="E365" s="13"/>
      <c r="F365" s="15"/>
      <c r="G365" s="14"/>
      <c r="H365" s="15"/>
      <c r="I365" s="14"/>
      <c r="J365" s="15"/>
      <c r="K365" s="14"/>
    </row>
    <row r="366" spans="4:11" ht="12.3" x14ac:dyDescent="0.4">
      <c r="D366" s="15"/>
      <c r="E366" s="13"/>
      <c r="F366" s="15"/>
      <c r="G366" s="14"/>
      <c r="H366" s="15"/>
      <c r="I366" s="14"/>
      <c r="J366" s="15"/>
      <c r="K366" s="14"/>
    </row>
    <row r="367" spans="4:11" ht="12.3" x14ac:dyDescent="0.4">
      <c r="D367" s="15"/>
      <c r="E367" s="13"/>
      <c r="F367" s="15"/>
      <c r="G367" s="14"/>
      <c r="H367" s="15"/>
      <c r="I367" s="14"/>
      <c r="J367" s="15"/>
      <c r="K367" s="14"/>
    </row>
    <row r="368" spans="4:11" ht="12.3" x14ac:dyDescent="0.4">
      <c r="D368" s="15"/>
      <c r="E368" s="13"/>
      <c r="F368" s="15"/>
      <c r="G368" s="14"/>
      <c r="H368" s="15"/>
      <c r="I368" s="14"/>
      <c r="J368" s="15"/>
      <c r="K368" s="14"/>
    </row>
    <row r="369" spans="4:11" ht="12.3" x14ac:dyDescent="0.4">
      <c r="D369" s="15"/>
      <c r="E369" s="13"/>
      <c r="F369" s="15"/>
      <c r="G369" s="14"/>
      <c r="H369" s="15"/>
      <c r="I369" s="14"/>
      <c r="J369" s="15"/>
      <c r="K369" s="14"/>
    </row>
    <row r="370" spans="4:11" ht="12.3" x14ac:dyDescent="0.4">
      <c r="D370" s="15"/>
      <c r="E370" s="13"/>
      <c r="F370" s="15"/>
      <c r="G370" s="14"/>
      <c r="H370" s="15"/>
      <c r="I370" s="14"/>
      <c r="J370" s="15"/>
      <c r="K370" s="14"/>
    </row>
    <row r="371" spans="4:11" ht="12.3" x14ac:dyDescent="0.4">
      <c r="D371" s="15"/>
      <c r="E371" s="13"/>
      <c r="F371" s="15"/>
      <c r="G371" s="14"/>
      <c r="H371" s="15"/>
      <c r="I371" s="14"/>
      <c r="J371" s="15"/>
      <c r="K371" s="14"/>
    </row>
    <row r="372" spans="4:11" ht="12.3" x14ac:dyDescent="0.4">
      <c r="D372" s="15"/>
      <c r="E372" s="13"/>
      <c r="F372" s="15"/>
      <c r="G372" s="14"/>
      <c r="H372" s="15"/>
      <c r="I372" s="14"/>
      <c r="J372" s="15"/>
      <c r="K372" s="14"/>
    </row>
    <row r="373" spans="4:11" ht="12.3" x14ac:dyDescent="0.4">
      <c r="D373" s="15"/>
      <c r="E373" s="13"/>
      <c r="F373" s="15"/>
      <c r="G373" s="14"/>
      <c r="H373" s="15"/>
      <c r="I373" s="14"/>
      <c r="J373" s="15"/>
      <c r="K373" s="14"/>
    </row>
    <row r="374" spans="4:11" ht="12.3" x14ac:dyDescent="0.4">
      <c r="D374" s="15"/>
      <c r="E374" s="13"/>
      <c r="F374" s="15"/>
      <c r="G374" s="14"/>
      <c r="H374" s="15"/>
      <c r="I374" s="14"/>
      <c r="J374" s="15"/>
      <c r="K374" s="14"/>
    </row>
    <row r="375" spans="4:11" ht="12.3" x14ac:dyDescent="0.4">
      <c r="D375" s="15"/>
      <c r="E375" s="13"/>
      <c r="F375" s="15"/>
      <c r="G375" s="14"/>
      <c r="H375" s="15"/>
      <c r="I375" s="14"/>
      <c r="J375" s="15"/>
      <c r="K375" s="14"/>
    </row>
    <row r="376" spans="4:11" ht="12.3" x14ac:dyDescent="0.4">
      <c r="D376" s="15"/>
      <c r="E376" s="13"/>
      <c r="F376" s="15"/>
      <c r="G376" s="14"/>
      <c r="H376" s="15"/>
      <c r="I376" s="14"/>
      <c r="J376" s="15"/>
      <c r="K376" s="14"/>
    </row>
    <row r="377" spans="4:11" ht="12.3" x14ac:dyDescent="0.4">
      <c r="D377" s="15"/>
      <c r="E377" s="13"/>
      <c r="F377" s="15"/>
      <c r="G377" s="14"/>
      <c r="H377" s="15"/>
      <c r="I377" s="14"/>
      <c r="J377" s="15"/>
      <c r="K377" s="14"/>
    </row>
    <row r="378" spans="4:11" ht="12.3" x14ac:dyDescent="0.4">
      <c r="D378" s="15"/>
      <c r="E378" s="13"/>
      <c r="F378" s="15"/>
      <c r="G378" s="14"/>
      <c r="H378" s="15"/>
      <c r="I378" s="14"/>
      <c r="J378" s="15"/>
      <c r="K378" s="14"/>
    </row>
    <row r="379" spans="4:11" ht="12.3" x14ac:dyDescent="0.4">
      <c r="D379" s="15"/>
      <c r="E379" s="13"/>
      <c r="F379" s="15"/>
      <c r="G379" s="14"/>
      <c r="H379" s="15"/>
      <c r="I379" s="14"/>
      <c r="J379" s="15"/>
      <c r="K379" s="14"/>
    </row>
    <row r="380" spans="4:11" ht="12.3" x14ac:dyDescent="0.4">
      <c r="D380" s="15"/>
      <c r="E380" s="13"/>
      <c r="F380" s="15"/>
      <c r="G380" s="14"/>
      <c r="H380" s="15"/>
      <c r="I380" s="14"/>
      <c r="J380" s="15"/>
      <c r="K380" s="14"/>
    </row>
    <row r="381" spans="4:11" ht="12.3" x14ac:dyDescent="0.4">
      <c r="D381" s="15"/>
      <c r="E381" s="13"/>
      <c r="F381" s="15"/>
      <c r="G381" s="14"/>
      <c r="H381" s="15"/>
      <c r="I381" s="14"/>
      <c r="J381" s="15"/>
      <c r="K381" s="14"/>
    </row>
    <row r="382" spans="4:11" ht="12.3" x14ac:dyDescent="0.4">
      <c r="D382" s="15"/>
      <c r="E382" s="13"/>
      <c r="F382" s="15"/>
      <c r="G382" s="14"/>
      <c r="H382" s="15"/>
      <c r="I382" s="14"/>
      <c r="J382" s="15"/>
      <c r="K382" s="14"/>
    </row>
    <row r="383" spans="4:11" ht="12.3" x14ac:dyDescent="0.4">
      <c r="D383" s="15"/>
      <c r="E383" s="13"/>
      <c r="F383" s="15"/>
      <c r="G383" s="14"/>
      <c r="H383" s="15"/>
      <c r="I383" s="14"/>
      <c r="J383" s="15"/>
      <c r="K383" s="14"/>
    </row>
    <row r="384" spans="4:11" ht="12.3" x14ac:dyDescent="0.4">
      <c r="D384" s="15"/>
      <c r="E384" s="13"/>
      <c r="F384" s="15"/>
      <c r="G384" s="14"/>
      <c r="H384" s="15"/>
      <c r="I384" s="14"/>
      <c r="J384" s="15"/>
      <c r="K384" s="14"/>
    </row>
    <row r="385" spans="4:11" ht="12.3" x14ac:dyDescent="0.4">
      <c r="D385" s="15"/>
      <c r="E385" s="13"/>
      <c r="F385" s="15"/>
      <c r="G385" s="14"/>
      <c r="H385" s="15"/>
      <c r="I385" s="14"/>
      <c r="J385" s="15"/>
      <c r="K385" s="14"/>
    </row>
    <row r="386" spans="4:11" ht="12.3" x14ac:dyDescent="0.4">
      <c r="D386" s="15"/>
      <c r="E386" s="13"/>
      <c r="F386" s="15"/>
      <c r="G386" s="14"/>
      <c r="H386" s="15"/>
      <c r="I386" s="14"/>
      <c r="J386" s="15"/>
      <c r="K386" s="14"/>
    </row>
    <row r="387" spans="4:11" ht="12.3" x14ac:dyDescent="0.4">
      <c r="D387" s="15"/>
      <c r="E387" s="13"/>
      <c r="F387" s="15"/>
      <c r="G387" s="14"/>
      <c r="H387" s="15"/>
      <c r="I387" s="14"/>
      <c r="J387" s="15"/>
      <c r="K387" s="14"/>
    </row>
    <row r="388" spans="4:11" ht="12.3" x14ac:dyDescent="0.4">
      <c r="D388" s="15"/>
      <c r="E388" s="13"/>
      <c r="F388" s="15"/>
      <c r="G388" s="14"/>
      <c r="H388" s="15"/>
      <c r="I388" s="14"/>
      <c r="J388" s="15"/>
      <c r="K388" s="14"/>
    </row>
    <row r="389" spans="4:11" ht="12.3" x14ac:dyDescent="0.4">
      <c r="D389" s="15"/>
      <c r="E389" s="13"/>
      <c r="F389" s="15"/>
      <c r="G389" s="14"/>
      <c r="H389" s="15"/>
      <c r="I389" s="14"/>
      <c r="J389" s="15"/>
      <c r="K389" s="14"/>
    </row>
    <row r="390" spans="4:11" ht="12.3" x14ac:dyDescent="0.4">
      <c r="D390" s="15"/>
      <c r="E390" s="13"/>
      <c r="F390" s="15"/>
      <c r="G390" s="14"/>
      <c r="H390" s="15"/>
      <c r="I390" s="14"/>
      <c r="J390" s="15"/>
      <c r="K390" s="14"/>
    </row>
    <row r="391" spans="4:11" ht="12.3" x14ac:dyDescent="0.4">
      <c r="D391" s="15"/>
      <c r="E391" s="13"/>
      <c r="F391" s="15"/>
      <c r="G391" s="14"/>
      <c r="H391" s="15"/>
      <c r="I391" s="14"/>
      <c r="J391" s="15"/>
      <c r="K391" s="14"/>
    </row>
    <row r="392" spans="4:11" ht="12.3" x14ac:dyDescent="0.4">
      <c r="D392" s="15"/>
      <c r="E392" s="13"/>
      <c r="F392" s="15"/>
      <c r="G392" s="14"/>
      <c r="H392" s="15"/>
      <c r="I392" s="14"/>
      <c r="J392" s="15"/>
      <c r="K392" s="14"/>
    </row>
    <row r="393" spans="4:11" ht="12.3" x14ac:dyDescent="0.4">
      <c r="D393" s="15"/>
      <c r="E393" s="13"/>
      <c r="F393" s="15"/>
      <c r="G393" s="14"/>
      <c r="H393" s="15"/>
      <c r="I393" s="14"/>
      <c r="J393" s="15"/>
      <c r="K393" s="14"/>
    </row>
    <row r="394" spans="4:11" ht="12.3" x14ac:dyDescent="0.4">
      <c r="D394" s="15"/>
      <c r="E394" s="13"/>
      <c r="F394" s="15"/>
      <c r="G394" s="14"/>
      <c r="H394" s="15"/>
      <c r="I394" s="14"/>
      <c r="J394" s="15"/>
      <c r="K394" s="14"/>
    </row>
    <row r="395" spans="4:11" ht="12.3" x14ac:dyDescent="0.4">
      <c r="D395" s="15"/>
      <c r="E395" s="13"/>
      <c r="F395" s="15"/>
      <c r="G395" s="14"/>
      <c r="H395" s="15"/>
      <c r="I395" s="14"/>
      <c r="J395" s="15"/>
      <c r="K395" s="14"/>
    </row>
    <row r="396" spans="4:11" ht="12.3" x14ac:dyDescent="0.4">
      <c r="D396" s="15"/>
      <c r="E396" s="13"/>
      <c r="F396" s="15"/>
      <c r="G396" s="14"/>
      <c r="H396" s="15"/>
      <c r="I396" s="14"/>
      <c r="J396" s="15"/>
      <c r="K396" s="14"/>
    </row>
    <row r="397" spans="4:11" ht="12.3" x14ac:dyDescent="0.4">
      <c r="D397" s="15"/>
      <c r="E397" s="13"/>
      <c r="F397" s="15"/>
      <c r="G397" s="14"/>
      <c r="H397" s="15"/>
      <c r="I397" s="14"/>
      <c r="J397" s="15"/>
      <c r="K397" s="14"/>
    </row>
    <row r="398" spans="4:11" ht="12.3" x14ac:dyDescent="0.4">
      <c r="D398" s="15"/>
      <c r="E398" s="13"/>
      <c r="F398" s="15"/>
      <c r="G398" s="14"/>
      <c r="H398" s="15"/>
      <c r="I398" s="14"/>
      <c r="J398" s="15"/>
      <c r="K398" s="14"/>
    </row>
    <row r="399" spans="4:11" ht="12.3" x14ac:dyDescent="0.4">
      <c r="D399" s="15"/>
      <c r="E399" s="13"/>
      <c r="F399" s="15"/>
      <c r="G399" s="14"/>
      <c r="H399" s="15"/>
      <c r="I399" s="14"/>
      <c r="J399" s="15"/>
      <c r="K399" s="14"/>
    </row>
    <row r="400" spans="4:11" ht="12.3" x14ac:dyDescent="0.4">
      <c r="D400" s="15"/>
      <c r="E400" s="13"/>
      <c r="F400" s="15"/>
      <c r="G400" s="14"/>
      <c r="H400" s="15"/>
      <c r="I400" s="14"/>
      <c r="J400" s="15"/>
      <c r="K400" s="14"/>
    </row>
    <row r="401" spans="4:11" ht="12.3" x14ac:dyDescent="0.4">
      <c r="D401" s="15"/>
      <c r="E401" s="13"/>
      <c r="F401" s="15"/>
      <c r="G401" s="14"/>
      <c r="H401" s="15"/>
      <c r="I401" s="14"/>
      <c r="J401" s="15"/>
      <c r="K401" s="14"/>
    </row>
    <row r="402" spans="4:11" ht="12.3" x14ac:dyDescent="0.4">
      <c r="D402" s="15"/>
      <c r="E402" s="13"/>
      <c r="F402" s="15"/>
      <c r="G402" s="14"/>
      <c r="H402" s="15"/>
      <c r="I402" s="14"/>
      <c r="J402" s="15"/>
      <c r="K402" s="14"/>
    </row>
    <row r="403" spans="4:11" ht="12.3" x14ac:dyDescent="0.4">
      <c r="D403" s="15"/>
      <c r="E403" s="13"/>
      <c r="F403" s="15"/>
      <c r="G403" s="14"/>
      <c r="H403" s="15"/>
      <c r="I403" s="14"/>
      <c r="J403" s="15"/>
      <c r="K403" s="14"/>
    </row>
    <row r="404" spans="4:11" ht="12.3" x14ac:dyDescent="0.4">
      <c r="D404" s="15"/>
      <c r="E404" s="13"/>
      <c r="F404" s="15"/>
      <c r="G404" s="14"/>
      <c r="H404" s="15"/>
      <c r="I404" s="14"/>
      <c r="J404" s="15"/>
      <c r="K404" s="14"/>
    </row>
    <row r="405" spans="4:11" ht="12.3" x14ac:dyDescent="0.4">
      <c r="D405" s="15"/>
      <c r="E405" s="13"/>
      <c r="F405" s="15"/>
      <c r="G405" s="14"/>
      <c r="H405" s="15"/>
      <c r="I405" s="14"/>
      <c r="J405" s="15"/>
      <c r="K405" s="14"/>
    </row>
    <row r="406" spans="4:11" ht="12.3" x14ac:dyDescent="0.4">
      <c r="D406" s="15"/>
      <c r="E406" s="13"/>
      <c r="F406" s="15"/>
      <c r="G406" s="14"/>
      <c r="H406" s="15"/>
      <c r="I406" s="14"/>
      <c r="J406" s="15"/>
      <c r="K406" s="14"/>
    </row>
    <row r="407" spans="4:11" ht="12.3" x14ac:dyDescent="0.4">
      <c r="D407" s="15"/>
      <c r="E407" s="13"/>
      <c r="F407" s="15"/>
      <c r="G407" s="14"/>
      <c r="H407" s="15"/>
      <c r="I407" s="14"/>
      <c r="J407" s="15"/>
      <c r="K407" s="14"/>
    </row>
    <row r="408" spans="4:11" ht="12.3" x14ac:dyDescent="0.4">
      <c r="D408" s="15"/>
      <c r="E408" s="13"/>
      <c r="F408" s="15"/>
      <c r="G408" s="14"/>
      <c r="H408" s="15"/>
      <c r="I408" s="14"/>
      <c r="J408" s="15"/>
      <c r="K408" s="14"/>
    </row>
    <row r="409" spans="4:11" ht="12.3" x14ac:dyDescent="0.4">
      <c r="D409" s="15"/>
      <c r="E409" s="13"/>
      <c r="F409" s="15"/>
      <c r="G409" s="14"/>
      <c r="H409" s="15"/>
      <c r="I409" s="14"/>
      <c r="J409" s="15"/>
      <c r="K409" s="14"/>
    </row>
    <row r="410" spans="4:11" ht="12.3" x14ac:dyDescent="0.4">
      <c r="D410" s="15"/>
      <c r="E410" s="13"/>
      <c r="F410" s="15"/>
      <c r="G410" s="14"/>
      <c r="H410" s="15"/>
      <c r="I410" s="14"/>
      <c r="J410" s="15"/>
      <c r="K410" s="14"/>
    </row>
    <row r="411" spans="4:11" ht="12.3" x14ac:dyDescent="0.4">
      <c r="D411" s="15"/>
      <c r="E411" s="13"/>
      <c r="F411" s="15"/>
      <c r="G411" s="14"/>
      <c r="H411" s="15"/>
      <c r="I411" s="14"/>
      <c r="J411" s="15"/>
      <c r="K411" s="14"/>
    </row>
    <row r="412" spans="4:11" ht="12.3" x14ac:dyDescent="0.4">
      <c r="D412" s="15"/>
      <c r="E412" s="13"/>
      <c r="F412" s="15"/>
      <c r="G412" s="14"/>
      <c r="H412" s="15"/>
      <c r="I412" s="14"/>
      <c r="J412" s="15"/>
      <c r="K412" s="14"/>
    </row>
    <row r="413" spans="4:11" ht="12.3" x14ac:dyDescent="0.4">
      <c r="D413" s="15"/>
      <c r="E413" s="13"/>
      <c r="F413" s="15"/>
      <c r="G413" s="14"/>
      <c r="H413" s="15"/>
      <c r="I413" s="14"/>
      <c r="J413" s="15"/>
      <c r="K413" s="14"/>
    </row>
    <row r="414" spans="4:11" ht="12.3" x14ac:dyDescent="0.4">
      <c r="D414" s="15"/>
      <c r="E414" s="13"/>
      <c r="F414" s="15"/>
      <c r="G414" s="14"/>
      <c r="H414" s="15"/>
      <c r="I414" s="14"/>
      <c r="J414" s="15"/>
      <c r="K414" s="14"/>
    </row>
    <row r="415" spans="4:11" ht="12.3" x14ac:dyDescent="0.4">
      <c r="D415" s="15"/>
      <c r="E415" s="13"/>
      <c r="F415" s="15"/>
      <c r="G415" s="14"/>
      <c r="H415" s="15"/>
      <c r="I415" s="14"/>
      <c r="J415" s="15"/>
      <c r="K415" s="14"/>
    </row>
    <row r="416" spans="4:11" ht="12.3" x14ac:dyDescent="0.4">
      <c r="D416" s="15"/>
      <c r="E416" s="13"/>
      <c r="F416" s="15"/>
      <c r="G416" s="14"/>
      <c r="H416" s="15"/>
      <c r="I416" s="14"/>
      <c r="J416" s="15"/>
      <c r="K416" s="14"/>
    </row>
    <row r="417" spans="4:11" ht="12.3" x14ac:dyDescent="0.4">
      <c r="D417" s="15"/>
      <c r="E417" s="13"/>
      <c r="F417" s="15"/>
      <c r="G417" s="14"/>
      <c r="H417" s="15"/>
      <c r="I417" s="14"/>
      <c r="J417" s="15"/>
      <c r="K417" s="14"/>
    </row>
    <row r="418" spans="4:11" ht="12.3" x14ac:dyDescent="0.4">
      <c r="D418" s="15"/>
      <c r="E418" s="13"/>
      <c r="F418" s="15"/>
      <c r="G418" s="14"/>
      <c r="H418" s="15"/>
      <c r="I418" s="14"/>
      <c r="J418" s="15"/>
      <c r="K418" s="14"/>
    </row>
    <row r="419" spans="4:11" ht="12.3" x14ac:dyDescent="0.4">
      <c r="D419" s="15"/>
      <c r="E419" s="13"/>
      <c r="F419" s="15"/>
      <c r="G419" s="14"/>
      <c r="H419" s="15"/>
      <c r="I419" s="14"/>
      <c r="J419" s="15"/>
      <c r="K419" s="14"/>
    </row>
    <row r="420" spans="4:11" ht="12.3" x14ac:dyDescent="0.4">
      <c r="D420" s="15"/>
      <c r="E420" s="13"/>
      <c r="F420" s="15"/>
      <c r="G420" s="14"/>
      <c r="H420" s="15"/>
      <c r="I420" s="14"/>
      <c r="J420" s="15"/>
      <c r="K420" s="14"/>
    </row>
    <row r="421" spans="4:11" ht="12.3" x14ac:dyDescent="0.4">
      <c r="D421" s="15"/>
      <c r="E421" s="13"/>
      <c r="F421" s="15"/>
      <c r="G421" s="14"/>
      <c r="H421" s="15"/>
      <c r="I421" s="14"/>
      <c r="J421" s="15"/>
      <c r="K421" s="14"/>
    </row>
    <row r="422" spans="4:11" ht="12.3" x14ac:dyDescent="0.4">
      <c r="D422" s="15"/>
      <c r="E422" s="13"/>
      <c r="F422" s="15"/>
      <c r="G422" s="14"/>
      <c r="H422" s="15"/>
      <c r="I422" s="14"/>
      <c r="J422" s="15"/>
      <c r="K422" s="14"/>
    </row>
    <row r="423" spans="4:11" ht="12.3" x14ac:dyDescent="0.4">
      <c r="D423" s="15"/>
      <c r="E423" s="13"/>
      <c r="F423" s="15"/>
      <c r="G423" s="14"/>
      <c r="H423" s="15"/>
      <c r="I423" s="14"/>
      <c r="J423" s="15"/>
      <c r="K423" s="14"/>
    </row>
    <row r="424" spans="4:11" ht="12.3" x14ac:dyDescent="0.4">
      <c r="D424" s="15"/>
      <c r="E424" s="13"/>
      <c r="F424" s="15"/>
      <c r="G424" s="14"/>
      <c r="H424" s="15"/>
      <c r="I424" s="14"/>
      <c r="J424" s="15"/>
      <c r="K424" s="14"/>
    </row>
    <row r="425" spans="4:11" ht="12.3" x14ac:dyDescent="0.4">
      <c r="D425" s="15"/>
      <c r="E425" s="13"/>
      <c r="F425" s="15"/>
      <c r="G425" s="14"/>
      <c r="H425" s="15"/>
      <c r="I425" s="14"/>
      <c r="J425" s="15"/>
      <c r="K425" s="14"/>
    </row>
    <row r="426" spans="4:11" ht="12.3" x14ac:dyDescent="0.4">
      <c r="D426" s="15"/>
      <c r="E426" s="13"/>
      <c r="F426" s="15"/>
      <c r="G426" s="14"/>
      <c r="H426" s="15"/>
      <c r="I426" s="14"/>
      <c r="J426" s="15"/>
      <c r="K426" s="14"/>
    </row>
    <row r="427" spans="4:11" ht="12.3" x14ac:dyDescent="0.4">
      <c r="D427" s="15"/>
      <c r="E427" s="13"/>
      <c r="F427" s="15"/>
      <c r="G427" s="14"/>
      <c r="H427" s="15"/>
      <c r="I427" s="14"/>
      <c r="J427" s="15"/>
      <c r="K427" s="14"/>
    </row>
    <row r="428" spans="4:11" ht="12.3" x14ac:dyDescent="0.4">
      <c r="D428" s="15"/>
      <c r="E428" s="13"/>
      <c r="F428" s="15"/>
      <c r="G428" s="14"/>
      <c r="H428" s="15"/>
      <c r="I428" s="14"/>
      <c r="J428" s="15"/>
      <c r="K428" s="14"/>
    </row>
    <row r="429" spans="4:11" ht="12.3" x14ac:dyDescent="0.4">
      <c r="D429" s="15"/>
      <c r="E429" s="13"/>
      <c r="F429" s="15"/>
      <c r="G429" s="14"/>
      <c r="H429" s="15"/>
      <c r="I429" s="14"/>
      <c r="J429" s="15"/>
      <c r="K429" s="14"/>
    </row>
    <row r="430" spans="4:11" ht="12.3" x14ac:dyDescent="0.4">
      <c r="D430" s="15"/>
      <c r="E430" s="13"/>
      <c r="F430" s="15"/>
      <c r="G430" s="14"/>
      <c r="H430" s="15"/>
      <c r="I430" s="14"/>
      <c r="J430" s="15"/>
      <c r="K430" s="14"/>
    </row>
    <row r="431" spans="4:11" ht="12.3" x14ac:dyDescent="0.4">
      <c r="D431" s="15"/>
      <c r="E431" s="13"/>
      <c r="F431" s="15"/>
      <c r="G431" s="14"/>
      <c r="H431" s="15"/>
      <c r="I431" s="14"/>
      <c r="J431" s="15"/>
      <c r="K431" s="14"/>
    </row>
    <row r="432" spans="4:11" ht="12.3" x14ac:dyDescent="0.4">
      <c r="D432" s="15"/>
      <c r="E432" s="13"/>
      <c r="F432" s="15"/>
      <c r="G432" s="14"/>
      <c r="H432" s="15"/>
      <c r="I432" s="14"/>
      <c r="J432" s="15"/>
      <c r="K432" s="14"/>
    </row>
    <row r="433" spans="4:11" ht="12.3" x14ac:dyDescent="0.4">
      <c r="D433" s="15"/>
      <c r="E433" s="13"/>
      <c r="F433" s="15"/>
      <c r="G433" s="14"/>
      <c r="H433" s="15"/>
      <c r="I433" s="14"/>
      <c r="J433" s="15"/>
      <c r="K433" s="14"/>
    </row>
    <row r="434" spans="4:11" ht="12.3" x14ac:dyDescent="0.4">
      <c r="D434" s="15"/>
      <c r="E434" s="13"/>
      <c r="F434" s="15"/>
      <c r="G434" s="14"/>
      <c r="H434" s="15"/>
      <c r="I434" s="14"/>
      <c r="J434" s="15"/>
      <c r="K434" s="14"/>
    </row>
    <row r="435" spans="4:11" ht="12.3" x14ac:dyDescent="0.4">
      <c r="D435" s="15"/>
      <c r="E435" s="13"/>
      <c r="F435" s="15"/>
      <c r="G435" s="14"/>
      <c r="H435" s="15"/>
      <c r="I435" s="14"/>
      <c r="J435" s="15"/>
      <c r="K435" s="14"/>
    </row>
    <row r="436" spans="4:11" ht="12.3" x14ac:dyDescent="0.4">
      <c r="D436" s="15"/>
      <c r="E436" s="13"/>
      <c r="F436" s="15"/>
      <c r="G436" s="14"/>
      <c r="H436" s="15"/>
      <c r="I436" s="14"/>
      <c r="J436" s="15"/>
      <c r="K436" s="14"/>
    </row>
    <row r="437" spans="4:11" ht="12.3" x14ac:dyDescent="0.4">
      <c r="D437" s="15"/>
      <c r="E437" s="13"/>
      <c r="F437" s="15"/>
      <c r="G437" s="14"/>
      <c r="H437" s="15"/>
      <c r="I437" s="14"/>
      <c r="J437" s="15"/>
      <c r="K437" s="14"/>
    </row>
    <row r="438" spans="4:11" ht="12.3" x14ac:dyDescent="0.4">
      <c r="D438" s="15"/>
      <c r="E438" s="13"/>
      <c r="F438" s="15"/>
      <c r="G438" s="14"/>
      <c r="H438" s="15"/>
      <c r="I438" s="14"/>
      <c r="J438" s="15"/>
      <c r="K438" s="14"/>
    </row>
    <row r="439" spans="4:11" ht="12.3" x14ac:dyDescent="0.4">
      <c r="D439" s="15"/>
      <c r="E439" s="13"/>
      <c r="F439" s="15"/>
      <c r="G439" s="14"/>
      <c r="H439" s="15"/>
      <c r="I439" s="14"/>
      <c r="J439" s="15"/>
      <c r="K439" s="14"/>
    </row>
    <row r="440" spans="4:11" ht="12.3" x14ac:dyDescent="0.4">
      <c r="D440" s="15"/>
      <c r="E440" s="13"/>
      <c r="F440" s="15"/>
      <c r="G440" s="14"/>
      <c r="H440" s="15"/>
      <c r="I440" s="14"/>
      <c r="J440" s="15"/>
      <c r="K440" s="14"/>
    </row>
    <row r="441" spans="4:11" ht="12.3" x14ac:dyDescent="0.4">
      <c r="D441" s="15"/>
      <c r="E441" s="13"/>
      <c r="F441" s="15"/>
      <c r="G441" s="14"/>
      <c r="H441" s="15"/>
      <c r="I441" s="14"/>
      <c r="J441" s="15"/>
      <c r="K441" s="14"/>
    </row>
    <row r="442" spans="4:11" ht="12.3" x14ac:dyDescent="0.4">
      <c r="D442" s="15"/>
      <c r="E442" s="13"/>
      <c r="F442" s="15"/>
      <c r="G442" s="14"/>
      <c r="H442" s="15"/>
      <c r="I442" s="14"/>
      <c r="J442" s="15"/>
      <c r="K442" s="14"/>
    </row>
    <row r="443" spans="4:11" ht="12.3" x14ac:dyDescent="0.4">
      <c r="D443" s="15"/>
      <c r="E443" s="13"/>
      <c r="F443" s="15"/>
      <c r="G443" s="14"/>
      <c r="H443" s="15"/>
      <c r="I443" s="14"/>
      <c r="J443" s="15"/>
      <c r="K443" s="14"/>
    </row>
    <row r="444" spans="4:11" ht="12.3" x14ac:dyDescent="0.4">
      <c r="D444" s="15"/>
      <c r="E444" s="13"/>
      <c r="F444" s="15"/>
      <c r="G444" s="14"/>
      <c r="H444" s="15"/>
      <c r="I444" s="14"/>
      <c r="J444" s="15"/>
      <c r="K444" s="14"/>
    </row>
    <row r="445" spans="4:11" ht="12.3" x14ac:dyDescent="0.4">
      <c r="D445" s="15"/>
      <c r="E445" s="13"/>
      <c r="F445" s="15"/>
      <c r="G445" s="14"/>
      <c r="H445" s="15"/>
      <c r="I445" s="14"/>
      <c r="J445" s="15"/>
      <c r="K445" s="14"/>
    </row>
    <row r="446" spans="4:11" ht="12.3" x14ac:dyDescent="0.4">
      <c r="D446" s="15"/>
      <c r="E446" s="13"/>
      <c r="F446" s="15"/>
      <c r="G446" s="14"/>
      <c r="H446" s="15"/>
      <c r="I446" s="14"/>
      <c r="J446" s="15"/>
      <c r="K446" s="14"/>
    </row>
    <row r="447" spans="4:11" ht="12.3" x14ac:dyDescent="0.4">
      <c r="D447" s="15"/>
      <c r="E447" s="13"/>
      <c r="F447" s="15"/>
      <c r="G447" s="14"/>
      <c r="H447" s="15"/>
      <c r="I447" s="14"/>
      <c r="J447" s="15"/>
      <c r="K447" s="14"/>
    </row>
    <row r="448" spans="4:11" ht="12.3" x14ac:dyDescent="0.4">
      <c r="D448" s="15"/>
      <c r="E448" s="13"/>
      <c r="F448" s="15"/>
      <c r="G448" s="14"/>
      <c r="H448" s="15"/>
      <c r="I448" s="14"/>
      <c r="J448" s="15"/>
      <c r="K448" s="14"/>
    </row>
    <row r="449" spans="4:11" ht="12.3" x14ac:dyDescent="0.4">
      <c r="D449" s="15"/>
      <c r="E449" s="13"/>
      <c r="F449" s="15"/>
      <c r="G449" s="14"/>
      <c r="H449" s="15"/>
      <c r="I449" s="14"/>
      <c r="J449" s="15"/>
      <c r="K449" s="14"/>
    </row>
    <row r="450" spans="4:11" ht="12.3" x14ac:dyDescent="0.4">
      <c r="D450" s="15"/>
      <c r="E450" s="13"/>
      <c r="F450" s="15"/>
      <c r="G450" s="14"/>
      <c r="H450" s="15"/>
      <c r="I450" s="14"/>
      <c r="J450" s="15"/>
      <c r="K450" s="14"/>
    </row>
    <row r="451" spans="4:11" ht="12.3" x14ac:dyDescent="0.4">
      <c r="D451" s="15"/>
      <c r="E451" s="13"/>
      <c r="F451" s="15"/>
      <c r="G451" s="14"/>
      <c r="H451" s="15"/>
      <c r="I451" s="14"/>
      <c r="J451" s="15"/>
      <c r="K451" s="14"/>
    </row>
    <row r="452" spans="4:11" ht="12.3" x14ac:dyDescent="0.4">
      <c r="D452" s="15"/>
      <c r="E452" s="13"/>
      <c r="F452" s="15"/>
      <c r="G452" s="14"/>
      <c r="H452" s="15"/>
      <c r="I452" s="14"/>
      <c r="J452" s="15"/>
      <c r="K452" s="14"/>
    </row>
    <row r="453" spans="4:11" ht="12.3" x14ac:dyDescent="0.4">
      <c r="D453" s="15"/>
      <c r="E453" s="13"/>
      <c r="F453" s="15"/>
      <c r="G453" s="14"/>
      <c r="H453" s="15"/>
      <c r="I453" s="14"/>
      <c r="J453" s="15"/>
      <c r="K453" s="14"/>
    </row>
    <row r="454" spans="4:11" ht="12.3" x14ac:dyDescent="0.4">
      <c r="D454" s="15"/>
      <c r="E454" s="13"/>
      <c r="F454" s="15"/>
      <c r="G454" s="14"/>
      <c r="H454" s="15"/>
      <c r="I454" s="14"/>
      <c r="J454" s="15"/>
      <c r="K454" s="14"/>
    </row>
    <row r="455" spans="4:11" ht="12.3" x14ac:dyDescent="0.4">
      <c r="D455" s="15"/>
      <c r="E455" s="13"/>
      <c r="F455" s="15"/>
      <c r="G455" s="14"/>
      <c r="H455" s="15"/>
      <c r="I455" s="14"/>
      <c r="J455" s="15"/>
      <c r="K455" s="14"/>
    </row>
    <row r="456" spans="4:11" ht="12.3" x14ac:dyDescent="0.4">
      <c r="D456" s="15"/>
      <c r="E456" s="13"/>
      <c r="F456" s="15"/>
      <c r="G456" s="14"/>
      <c r="H456" s="15"/>
      <c r="I456" s="14"/>
      <c r="J456" s="15"/>
      <c r="K456" s="14"/>
    </row>
    <row r="457" spans="4:11" ht="12.3" x14ac:dyDescent="0.4">
      <c r="D457" s="15"/>
      <c r="E457" s="13"/>
      <c r="F457" s="15"/>
      <c r="G457" s="14"/>
      <c r="H457" s="15"/>
      <c r="I457" s="14"/>
      <c r="J457" s="15"/>
      <c r="K457" s="14"/>
    </row>
    <row r="458" spans="4:11" ht="12.3" x14ac:dyDescent="0.4">
      <c r="D458" s="15"/>
      <c r="E458" s="13"/>
      <c r="F458" s="15"/>
      <c r="G458" s="14"/>
      <c r="H458" s="15"/>
      <c r="I458" s="14"/>
      <c r="J458" s="15"/>
      <c r="K458" s="14"/>
    </row>
    <row r="459" spans="4:11" ht="12.3" x14ac:dyDescent="0.4">
      <c r="D459" s="15"/>
      <c r="E459" s="13"/>
      <c r="F459" s="15"/>
      <c r="G459" s="14"/>
      <c r="H459" s="15"/>
      <c r="I459" s="14"/>
      <c r="J459" s="15"/>
      <c r="K459" s="14"/>
    </row>
    <row r="460" spans="4:11" ht="12.3" x14ac:dyDescent="0.4">
      <c r="D460" s="15"/>
      <c r="E460" s="13"/>
      <c r="F460" s="15"/>
      <c r="G460" s="14"/>
      <c r="H460" s="15"/>
      <c r="I460" s="14"/>
      <c r="J460" s="15"/>
      <c r="K460" s="14"/>
    </row>
    <row r="461" spans="4:11" ht="12.3" x14ac:dyDescent="0.4">
      <c r="D461" s="15"/>
      <c r="E461" s="13"/>
      <c r="F461" s="15"/>
      <c r="G461" s="14"/>
      <c r="H461" s="15"/>
      <c r="I461" s="14"/>
      <c r="J461" s="15"/>
      <c r="K461" s="14"/>
    </row>
    <row r="462" spans="4:11" ht="12.3" x14ac:dyDescent="0.4">
      <c r="D462" s="15"/>
      <c r="E462" s="13"/>
      <c r="F462" s="15"/>
      <c r="G462" s="14"/>
      <c r="H462" s="15"/>
      <c r="I462" s="14"/>
      <c r="J462" s="15"/>
      <c r="K462" s="14"/>
    </row>
    <row r="463" spans="4:11" ht="12.3" x14ac:dyDescent="0.4">
      <c r="D463" s="15"/>
      <c r="E463" s="13"/>
      <c r="F463" s="15"/>
      <c r="G463" s="14"/>
      <c r="H463" s="15"/>
      <c r="I463" s="14"/>
      <c r="J463" s="15"/>
      <c r="K463" s="14"/>
    </row>
    <row r="464" spans="4:11" ht="12.3" x14ac:dyDescent="0.4">
      <c r="D464" s="15"/>
      <c r="E464" s="13"/>
      <c r="F464" s="15"/>
      <c r="G464" s="14"/>
      <c r="H464" s="15"/>
      <c r="I464" s="14"/>
      <c r="J464" s="15"/>
      <c r="K464" s="14"/>
    </row>
    <row r="465" spans="4:11" ht="12.3" x14ac:dyDescent="0.4">
      <c r="D465" s="15"/>
      <c r="E465" s="13"/>
      <c r="F465" s="15"/>
      <c r="G465" s="14"/>
      <c r="H465" s="15"/>
      <c r="I465" s="14"/>
      <c r="J465" s="15"/>
      <c r="K465" s="14"/>
    </row>
    <row r="466" spans="4:11" ht="12.3" x14ac:dyDescent="0.4">
      <c r="D466" s="15"/>
      <c r="E466" s="13"/>
      <c r="F466" s="15"/>
      <c r="G466" s="14"/>
      <c r="H466" s="15"/>
      <c r="I466" s="14"/>
      <c r="J466" s="15"/>
      <c r="K466" s="14"/>
    </row>
    <row r="467" spans="4:11" ht="12.3" x14ac:dyDescent="0.4">
      <c r="D467" s="15"/>
      <c r="E467" s="13"/>
      <c r="F467" s="15"/>
      <c r="G467" s="14"/>
      <c r="H467" s="15"/>
      <c r="I467" s="14"/>
      <c r="J467" s="15"/>
      <c r="K467" s="14"/>
    </row>
    <row r="468" spans="4:11" ht="12.3" x14ac:dyDescent="0.4">
      <c r="D468" s="15"/>
      <c r="E468" s="13"/>
      <c r="F468" s="15"/>
      <c r="G468" s="14"/>
      <c r="H468" s="15"/>
      <c r="I468" s="14"/>
      <c r="J468" s="15"/>
      <c r="K468" s="14"/>
    </row>
    <row r="469" spans="4:11" ht="12.3" x14ac:dyDescent="0.4">
      <c r="D469" s="15"/>
      <c r="E469" s="13"/>
      <c r="F469" s="15"/>
      <c r="G469" s="14"/>
      <c r="H469" s="15"/>
      <c r="I469" s="14"/>
      <c r="J469" s="15"/>
      <c r="K469" s="14"/>
    </row>
    <row r="470" spans="4:11" ht="12.3" x14ac:dyDescent="0.4">
      <c r="D470" s="15"/>
      <c r="E470" s="13"/>
      <c r="F470" s="15"/>
      <c r="G470" s="14"/>
      <c r="H470" s="15"/>
      <c r="I470" s="14"/>
      <c r="J470" s="15"/>
      <c r="K470" s="14"/>
    </row>
    <row r="471" spans="4:11" ht="12.3" x14ac:dyDescent="0.4">
      <c r="D471" s="15"/>
      <c r="E471" s="13"/>
      <c r="F471" s="15"/>
      <c r="G471" s="14"/>
      <c r="H471" s="15"/>
      <c r="I471" s="14"/>
      <c r="J471" s="15"/>
      <c r="K471" s="14"/>
    </row>
    <row r="472" spans="4:11" ht="12.3" x14ac:dyDescent="0.4">
      <c r="D472" s="15"/>
      <c r="E472" s="13"/>
      <c r="F472" s="15"/>
      <c r="G472" s="14"/>
      <c r="H472" s="15"/>
      <c r="I472" s="14"/>
      <c r="J472" s="15"/>
      <c r="K472" s="14"/>
    </row>
    <row r="473" spans="4:11" ht="12.3" x14ac:dyDescent="0.4">
      <c r="D473" s="15"/>
      <c r="E473" s="13"/>
      <c r="F473" s="15"/>
      <c r="G473" s="14"/>
      <c r="H473" s="15"/>
      <c r="I473" s="14"/>
      <c r="J473" s="15"/>
      <c r="K473" s="14"/>
    </row>
    <row r="474" spans="4:11" ht="12.3" x14ac:dyDescent="0.4">
      <c r="D474" s="15"/>
      <c r="E474" s="13"/>
      <c r="F474" s="15"/>
      <c r="G474" s="14"/>
      <c r="H474" s="15"/>
      <c r="I474" s="14"/>
      <c r="J474" s="15"/>
      <c r="K474" s="14"/>
    </row>
    <row r="475" spans="4:11" ht="12.3" x14ac:dyDescent="0.4">
      <c r="D475" s="15"/>
      <c r="E475" s="13"/>
      <c r="F475" s="15"/>
      <c r="G475" s="14"/>
      <c r="H475" s="15"/>
      <c r="I475" s="14"/>
      <c r="J475" s="15"/>
      <c r="K475" s="14"/>
    </row>
    <row r="476" spans="4:11" ht="12.3" x14ac:dyDescent="0.4">
      <c r="D476" s="15"/>
      <c r="E476" s="13"/>
      <c r="F476" s="15"/>
      <c r="G476" s="14"/>
      <c r="H476" s="15"/>
      <c r="I476" s="14"/>
      <c r="J476" s="15"/>
      <c r="K476" s="14"/>
    </row>
    <row r="477" spans="4:11" ht="12.3" x14ac:dyDescent="0.4">
      <c r="D477" s="15"/>
      <c r="E477" s="13"/>
      <c r="F477" s="15"/>
      <c r="G477" s="14"/>
      <c r="H477" s="15"/>
      <c r="I477" s="14"/>
      <c r="J477" s="15"/>
      <c r="K477" s="14"/>
    </row>
    <row r="478" spans="4:11" ht="12.3" x14ac:dyDescent="0.4">
      <c r="D478" s="15"/>
      <c r="E478" s="13"/>
      <c r="F478" s="15"/>
      <c r="G478" s="14"/>
      <c r="H478" s="15"/>
      <c r="I478" s="14"/>
      <c r="J478" s="15"/>
      <c r="K478" s="14"/>
    </row>
    <row r="479" spans="4:11" ht="12.3" x14ac:dyDescent="0.4">
      <c r="D479" s="15"/>
      <c r="E479" s="13"/>
      <c r="F479" s="15"/>
      <c r="G479" s="14"/>
      <c r="H479" s="15"/>
      <c r="I479" s="14"/>
      <c r="J479" s="15"/>
      <c r="K479" s="14"/>
    </row>
    <row r="480" spans="4:11" ht="12.3" x14ac:dyDescent="0.4">
      <c r="D480" s="15"/>
      <c r="E480" s="13"/>
      <c r="F480" s="15"/>
      <c r="G480" s="14"/>
      <c r="H480" s="15"/>
      <c r="I480" s="14"/>
      <c r="J480" s="15"/>
      <c r="K480" s="14"/>
    </row>
    <row r="481" spans="4:11" ht="12.3" x14ac:dyDescent="0.4">
      <c r="D481" s="15"/>
      <c r="E481" s="13"/>
      <c r="F481" s="15"/>
      <c r="G481" s="14"/>
      <c r="H481" s="15"/>
      <c r="I481" s="14"/>
      <c r="J481" s="15"/>
      <c r="K481" s="14"/>
    </row>
    <row r="482" spans="4:11" ht="12.3" x14ac:dyDescent="0.4">
      <c r="D482" s="15"/>
      <c r="E482" s="13"/>
      <c r="F482" s="15"/>
      <c r="G482" s="14"/>
      <c r="H482" s="15"/>
      <c r="I482" s="14"/>
      <c r="J482" s="15"/>
      <c r="K482" s="14"/>
    </row>
    <row r="483" spans="4:11" ht="12.3" x14ac:dyDescent="0.4">
      <c r="D483" s="15"/>
      <c r="E483" s="13"/>
      <c r="F483" s="15"/>
      <c r="G483" s="14"/>
      <c r="H483" s="15"/>
      <c r="I483" s="14"/>
      <c r="J483" s="15"/>
      <c r="K483" s="14"/>
    </row>
    <row r="484" spans="4:11" ht="12.3" x14ac:dyDescent="0.4">
      <c r="D484" s="15"/>
      <c r="E484" s="13"/>
      <c r="F484" s="15"/>
      <c r="G484" s="14"/>
      <c r="H484" s="15"/>
      <c r="I484" s="14"/>
      <c r="J484" s="15"/>
      <c r="K484" s="14"/>
    </row>
    <row r="485" spans="4:11" ht="12.3" x14ac:dyDescent="0.4">
      <c r="D485" s="15"/>
      <c r="E485" s="13"/>
      <c r="F485" s="15"/>
      <c r="G485" s="14"/>
      <c r="H485" s="15"/>
      <c r="I485" s="14"/>
      <c r="J485" s="15"/>
      <c r="K485" s="14"/>
    </row>
    <row r="486" spans="4:11" ht="12.3" x14ac:dyDescent="0.4">
      <c r="D486" s="15"/>
      <c r="E486" s="13"/>
      <c r="F486" s="15"/>
      <c r="G486" s="14"/>
      <c r="H486" s="15"/>
      <c r="I486" s="14"/>
      <c r="J486" s="15"/>
      <c r="K486" s="14"/>
    </row>
    <row r="487" spans="4:11" ht="12.3" x14ac:dyDescent="0.4">
      <c r="D487" s="15"/>
      <c r="E487" s="13"/>
      <c r="F487" s="15"/>
      <c r="G487" s="14"/>
      <c r="H487" s="15"/>
      <c r="I487" s="14"/>
      <c r="J487" s="15"/>
      <c r="K487" s="14"/>
    </row>
    <row r="488" spans="4:11" ht="12.3" x14ac:dyDescent="0.4">
      <c r="D488" s="15"/>
      <c r="E488" s="13"/>
      <c r="F488" s="15"/>
      <c r="G488" s="14"/>
      <c r="H488" s="15"/>
      <c r="I488" s="14"/>
      <c r="J488" s="15"/>
      <c r="K488" s="14"/>
    </row>
    <row r="489" spans="4:11" ht="12.3" x14ac:dyDescent="0.4">
      <c r="D489" s="15"/>
      <c r="E489" s="13"/>
      <c r="F489" s="15"/>
      <c r="G489" s="14"/>
      <c r="H489" s="15"/>
      <c r="I489" s="14"/>
      <c r="J489" s="15"/>
      <c r="K489" s="14"/>
    </row>
    <row r="490" spans="4:11" ht="12.3" x14ac:dyDescent="0.4">
      <c r="D490" s="15"/>
      <c r="E490" s="13"/>
      <c r="F490" s="15"/>
      <c r="G490" s="14"/>
      <c r="H490" s="15"/>
      <c r="I490" s="14"/>
      <c r="J490" s="15"/>
      <c r="K490" s="14"/>
    </row>
    <row r="491" spans="4:11" ht="12.3" x14ac:dyDescent="0.4">
      <c r="D491" s="15"/>
      <c r="E491" s="13"/>
      <c r="F491" s="15"/>
      <c r="G491" s="14"/>
      <c r="H491" s="15"/>
      <c r="I491" s="14"/>
      <c r="J491" s="15"/>
      <c r="K491" s="14"/>
    </row>
    <row r="492" spans="4:11" ht="12.3" x14ac:dyDescent="0.4">
      <c r="D492" s="15"/>
      <c r="E492" s="13"/>
      <c r="F492" s="15"/>
      <c r="G492" s="14"/>
      <c r="H492" s="15"/>
      <c r="I492" s="14"/>
      <c r="J492" s="15"/>
      <c r="K492" s="14"/>
    </row>
    <row r="493" spans="4:11" ht="12.3" x14ac:dyDescent="0.4">
      <c r="D493" s="15"/>
      <c r="E493" s="13"/>
      <c r="F493" s="15"/>
      <c r="G493" s="14"/>
      <c r="H493" s="15"/>
      <c r="I493" s="14"/>
      <c r="J493" s="15"/>
      <c r="K493" s="14"/>
    </row>
    <row r="494" spans="4:11" ht="12.3" x14ac:dyDescent="0.4">
      <c r="D494" s="15"/>
      <c r="E494" s="13"/>
      <c r="F494" s="15"/>
      <c r="G494" s="14"/>
      <c r="H494" s="15"/>
      <c r="I494" s="14"/>
      <c r="J494" s="15"/>
      <c r="K494" s="14"/>
    </row>
    <row r="495" spans="4:11" ht="12.3" x14ac:dyDescent="0.4">
      <c r="D495" s="15"/>
      <c r="E495" s="13"/>
      <c r="F495" s="15"/>
      <c r="G495" s="14"/>
      <c r="H495" s="15"/>
      <c r="I495" s="14"/>
      <c r="J495" s="15"/>
      <c r="K495" s="14"/>
    </row>
    <row r="496" spans="4:11" ht="12.3" x14ac:dyDescent="0.4">
      <c r="D496" s="15"/>
      <c r="E496" s="13"/>
      <c r="F496" s="15"/>
      <c r="G496" s="14"/>
      <c r="H496" s="15"/>
      <c r="I496" s="14"/>
      <c r="J496" s="15"/>
      <c r="K496" s="14"/>
    </row>
    <row r="497" spans="4:11" ht="12.3" x14ac:dyDescent="0.4">
      <c r="D497" s="15"/>
      <c r="E497" s="13"/>
      <c r="F497" s="15"/>
      <c r="G497" s="14"/>
      <c r="H497" s="15"/>
      <c r="I497" s="14"/>
      <c r="J497" s="15"/>
      <c r="K497" s="14"/>
    </row>
    <row r="498" spans="4:11" ht="12.3" x14ac:dyDescent="0.4">
      <c r="D498" s="15"/>
      <c r="E498" s="13"/>
      <c r="F498" s="15"/>
      <c r="G498" s="14"/>
      <c r="H498" s="15"/>
      <c r="I498" s="14"/>
      <c r="J498" s="15"/>
      <c r="K498" s="14"/>
    </row>
    <row r="499" spans="4:11" ht="12.3" x14ac:dyDescent="0.4">
      <c r="D499" s="15"/>
      <c r="E499" s="13"/>
      <c r="F499" s="15"/>
      <c r="G499" s="14"/>
      <c r="H499" s="15"/>
      <c r="I499" s="14"/>
      <c r="J499" s="15"/>
      <c r="K499" s="14"/>
    </row>
    <row r="500" spans="4:11" ht="12.3" x14ac:dyDescent="0.4">
      <c r="D500" s="15"/>
      <c r="E500" s="13"/>
      <c r="F500" s="15"/>
      <c r="G500" s="14"/>
      <c r="H500" s="15"/>
      <c r="I500" s="14"/>
      <c r="J500" s="15"/>
      <c r="K500" s="14"/>
    </row>
    <row r="501" spans="4:11" ht="12.3" x14ac:dyDescent="0.4">
      <c r="D501" s="15"/>
      <c r="E501" s="13"/>
      <c r="F501" s="15"/>
      <c r="G501" s="14"/>
      <c r="H501" s="15"/>
      <c r="I501" s="14"/>
      <c r="J501" s="15"/>
      <c r="K501" s="14"/>
    </row>
    <row r="502" spans="4:11" ht="12.3" x14ac:dyDescent="0.4">
      <c r="D502" s="15"/>
      <c r="E502" s="13"/>
      <c r="F502" s="15"/>
      <c r="G502" s="14"/>
      <c r="H502" s="15"/>
      <c r="I502" s="14"/>
      <c r="J502" s="15"/>
      <c r="K502" s="14"/>
    </row>
    <row r="503" spans="4:11" ht="12.3" x14ac:dyDescent="0.4">
      <c r="D503" s="15"/>
      <c r="E503" s="13"/>
      <c r="F503" s="15"/>
      <c r="G503" s="14"/>
      <c r="H503" s="15"/>
      <c r="I503" s="14"/>
      <c r="J503" s="15"/>
      <c r="K503" s="14"/>
    </row>
    <row r="504" spans="4:11" ht="12.3" x14ac:dyDescent="0.4">
      <c r="D504" s="15"/>
      <c r="E504" s="13"/>
      <c r="F504" s="15"/>
      <c r="G504" s="14"/>
      <c r="H504" s="15"/>
      <c r="I504" s="14"/>
      <c r="J504" s="15"/>
      <c r="K504" s="14"/>
    </row>
    <row r="505" spans="4:11" ht="12.3" x14ac:dyDescent="0.4">
      <c r="D505" s="15"/>
      <c r="E505" s="13"/>
      <c r="F505" s="15"/>
      <c r="G505" s="14"/>
      <c r="H505" s="15"/>
      <c r="I505" s="14"/>
      <c r="J505" s="15"/>
      <c r="K505" s="14"/>
    </row>
    <row r="506" spans="4:11" ht="12.3" x14ac:dyDescent="0.4">
      <c r="D506" s="15"/>
      <c r="E506" s="13"/>
      <c r="F506" s="15"/>
      <c r="G506" s="14"/>
      <c r="H506" s="15"/>
      <c r="I506" s="14"/>
      <c r="J506" s="15"/>
      <c r="K506" s="14"/>
    </row>
    <row r="507" spans="4:11" ht="12.3" x14ac:dyDescent="0.4">
      <c r="D507" s="15"/>
      <c r="E507" s="13"/>
      <c r="F507" s="15"/>
      <c r="G507" s="14"/>
      <c r="H507" s="15"/>
      <c r="I507" s="14"/>
      <c r="J507" s="15"/>
      <c r="K507" s="14"/>
    </row>
    <row r="508" spans="4:11" ht="12.3" x14ac:dyDescent="0.4">
      <c r="D508" s="15"/>
      <c r="E508" s="13"/>
      <c r="F508" s="15"/>
      <c r="G508" s="14"/>
      <c r="H508" s="15"/>
      <c r="I508" s="14"/>
      <c r="J508" s="15"/>
      <c r="K508" s="14"/>
    </row>
    <row r="509" spans="4:11" ht="12.3" x14ac:dyDescent="0.4">
      <c r="D509" s="15"/>
      <c r="E509" s="13"/>
      <c r="F509" s="15"/>
      <c r="G509" s="14"/>
      <c r="H509" s="15"/>
      <c r="I509" s="14"/>
      <c r="J509" s="15"/>
      <c r="K509" s="14"/>
    </row>
    <row r="510" spans="4:11" ht="12.3" x14ac:dyDescent="0.4">
      <c r="D510" s="15"/>
      <c r="E510" s="13"/>
      <c r="F510" s="15"/>
      <c r="G510" s="14"/>
      <c r="H510" s="15"/>
      <c r="I510" s="14"/>
      <c r="J510" s="15"/>
      <c r="K510" s="14"/>
    </row>
    <row r="511" spans="4:11" ht="12.3" x14ac:dyDescent="0.4">
      <c r="D511" s="15"/>
      <c r="E511" s="13"/>
      <c r="F511" s="15"/>
      <c r="G511" s="14"/>
      <c r="H511" s="15"/>
      <c r="I511" s="14"/>
      <c r="J511" s="15"/>
      <c r="K511" s="14"/>
    </row>
    <row r="512" spans="4:11" ht="12.3" x14ac:dyDescent="0.4">
      <c r="D512" s="15"/>
      <c r="E512" s="13"/>
      <c r="F512" s="15"/>
      <c r="G512" s="14"/>
      <c r="H512" s="15"/>
      <c r="I512" s="14"/>
      <c r="J512" s="15"/>
      <c r="K512" s="14"/>
    </row>
    <row r="513" spans="4:11" ht="12.3" x14ac:dyDescent="0.4">
      <c r="D513" s="15"/>
      <c r="E513" s="13"/>
      <c r="F513" s="15"/>
      <c r="G513" s="14"/>
      <c r="H513" s="15"/>
      <c r="I513" s="14"/>
      <c r="J513" s="15"/>
      <c r="K513" s="14"/>
    </row>
    <row r="514" spans="4:11" ht="12.3" x14ac:dyDescent="0.4">
      <c r="D514" s="15"/>
      <c r="E514" s="13"/>
      <c r="F514" s="15"/>
      <c r="G514" s="14"/>
      <c r="H514" s="15"/>
      <c r="I514" s="14"/>
      <c r="J514" s="15"/>
      <c r="K514" s="14"/>
    </row>
    <row r="515" spans="4:11" ht="12.3" x14ac:dyDescent="0.4">
      <c r="D515" s="15"/>
      <c r="E515" s="13"/>
      <c r="F515" s="15"/>
      <c r="G515" s="14"/>
      <c r="H515" s="15"/>
      <c r="I515" s="14"/>
      <c r="J515" s="15"/>
      <c r="K515" s="14"/>
    </row>
    <row r="516" spans="4:11" ht="12.3" x14ac:dyDescent="0.4">
      <c r="D516" s="15"/>
      <c r="E516" s="13"/>
      <c r="F516" s="15"/>
      <c r="G516" s="14"/>
      <c r="H516" s="15"/>
      <c r="I516" s="14"/>
      <c r="J516" s="15"/>
      <c r="K516" s="14"/>
    </row>
    <row r="517" spans="4:11" ht="12.3" x14ac:dyDescent="0.4">
      <c r="D517" s="15"/>
      <c r="E517" s="13"/>
      <c r="F517" s="15"/>
      <c r="G517" s="14"/>
      <c r="H517" s="15"/>
      <c r="I517" s="14"/>
      <c r="J517" s="15"/>
      <c r="K517" s="14"/>
    </row>
    <row r="518" spans="4:11" ht="12.3" x14ac:dyDescent="0.4">
      <c r="D518" s="15"/>
      <c r="E518" s="13"/>
      <c r="F518" s="15"/>
      <c r="G518" s="14"/>
      <c r="H518" s="15"/>
      <c r="I518" s="14"/>
      <c r="J518" s="15"/>
      <c r="K518" s="14"/>
    </row>
    <row r="519" spans="4:11" ht="12.3" x14ac:dyDescent="0.4">
      <c r="D519" s="15"/>
      <c r="E519" s="13"/>
      <c r="F519" s="15"/>
      <c r="G519" s="14"/>
      <c r="H519" s="15"/>
      <c r="I519" s="14"/>
      <c r="J519" s="15"/>
      <c r="K519" s="14"/>
    </row>
    <row r="520" spans="4:11" ht="12.3" x14ac:dyDescent="0.4">
      <c r="D520" s="15"/>
      <c r="E520" s="13"/>
      <c r="F520" s="15"/>
      <c r="G520" s="14"/>
      <c r="H520" s="15"/>
      <c r="I520" s="14"/>
      <c r="J520" s="15"/>
      <c r="K520" s="14"/>
    </row>
    <row r="521" spans="4:11" ht="12.3" x14ac:dyDescent="0.4">
      <c r="D521" s="15"/>
      <c r="E521" s="13"/>
      <c r="F521" s="15"/>
      <c r="G521" s="14"/>
      <c r="H521" s="15"/>
      <c r="I521" s="14"/>
      <c r="J521" s="15"/>
      <c r="K521" s="14"/>
    </row>
    <row r="522" spans="4:11" ht="12.3" x14ac:dyDescent="0.4">
      <c r="D522" s="15"/>
      <c r="E522" s="13"/>
      <c r="F522" s="15"/>
      <c r="G522" s="14"/>
      <c r="H522" s="15"/>
      <c r="I522" s="14"/>
      <c r="J522" s="15"/>
      <c r="K522" s="14"/>
    </row>
    <row r="523" spans="4:11" ht="12.3" x14ac:dyDescent="0.4">
      <c r="D523" s="15"/>
      <c r="E523" s="13"/>
      <c r="F523" s="15"/>
      <c r="G523" s="14"/>
      <c r="H523" s="15"/>
      <c r="I523" s="14"/>
      <c r="J523" s="15"/>
      <c r="K523" s="14"/>
    </row>
    <row r="524" spans="4:11" ht="12.3" x14ac:dyDescent="0.4">
      <c r="D524" s="15"/>
      <c r="E524" s="13"/>
      <c r="F524" s="15"/>
      <c r="G524" s="14"/>
      <c r="H524" s="15"/>
      <c r="I524" s="14"/>
      <c r="J524" s="15"/>
      <c r="K524" s="14"/>
    </row>
    <row r="525" spans="4:11" ht="12.3" x14ac:dyDescent="0.4">
      <c r="D525" s="15"/>
      <c r="E525" s="13"/>
      <c r="F525" s="15"/>
      <c r="G525" s="14"/>
      <c r="H525" s="15"/>
      <c r="I525" s="14"/>
      <c r="J525" s="15"/>
      <c r="K525" s="14"/>
    </row>
    <row r="526" spans="4:11" ht="12.3" x14ac:dyDescent="0.4">
      <c r="D526" s="15"/>
      <c r="E526" s="13"/>
      <c r="F526" s="15"/>
      <c r="G526" s="14"/>
      <c r="H526" s="15"/>
      <c r="I526" s="14"/>
      <c r="J526" s="15"/>
      <c r="K526" s="14"/>
    </row>
    <row r="527" spans="4:11" ht="12.3" x14ac:dyDescent="0.4">
      <c r="D527" s="15"/>
      <c r="E527" s="13"/>
      <c r="F527" s="15"/>
      <c r="G527" s="14"/>
      <c r="H527" s="15"/>
      <c r="I527" s="14"/>
      <c r="J527" s="15"/>
      <c r="K527" s="14"/>
    </row>
    <row r="528" spans="4:11" ht="12.3" x14ac:dyDescent="0.4">
      <c r="D528" s="15"/>
      <c r="E528" s="13"/>
      <c r="F528" s="15"/>
      <c r="G528" s="14"/>
      <c r="H528" s="15"/>
      <c r="I528" s="14"/>
      <c r="J528" s="15"/>
      <c r="K528" s="14"/>
    </row>
    <row r="529" spans="4:11" ht="12.3" x14ac:dyDescent="0.4">
      <c r="D529" s="15"/>
      <c r="E529" s="13"/>
      <c r="F529" s="15"/>
      <c r="G529" s="14"/>
      <c r="H529" s="15"/>
      <c r="I529" s="14"/>
      <c r="J529" s="15"/>
      <c r="K529" s="14"/>
    </row>
    <row r="530" spans="4:11" ht="12.3" x14ac:dyDescent="0.4">
      <c r="D530" s="15"/>
      <c r="E530" s="13"/>
      <c r="F530" s="15"/>
      <c r="G530" s="14"/>
      <c r="H530" s="15"/>
      <c r="I530" s="14"/>
      <c r="J530" s="15"/>
      <c r="K530" s="14"/>
    </row>
    <row r="531" spans="4:11" ht="12.3" x14ac:dyDescent="0.4">
      <c r="D531" s="15"/>
      <c r="E531" s="13"/>
      <c r="F531" s="15"/>
      <c r="G531" s="14"/>
      <c r="H531" s="15"/>
      <c r="I531" s="14"/>
      <c r="J531" s="15"/>
      <c r="K531" s="14"/>
    </row>
    <row r="532" spans="4:11" ht="12.3" x14ac:dyDescent="0.4">
      <c r="D532" s="15"/>
      <c r="E532" s="13"/>
      <c r="F532" s="15"/>
      <c r="G532" s="14"/>
      <c r="H532" s="15"/>
      <c r="I532" s="14"/>
      <c r="J532" s="15"/>
      <c r="K532" s="14"/>
    </row>
    <row r="533" spans="4:11" ht="12.3" x14ac:dyDescent="0.4">
      <c r="D533" s="15"/>
      <c r="E533" s="13"/>
      <c r="F533" s="15"/>
      <c r="G533" s="14"/>
      <c r="H533" s="15"/>
      <c r="I533" s="14"/>
      <c r="J533" s="15"/>
      <c r="K533" s="14"/>
    </row>
    <row r="534" spans="4:11" ht="12.3" x14ac:dyDescent="0.4">
      <c r="D534" s="15"/>
      <c r="E534" s="13"/>
      <c r="F534" s="15"/>
      <c r="G534" s="14"/>
      <c r="H534" s="15"/>
      <c r="I534" s="14"/>
      <c r="J534" s="15"/>
      <c r="K534" s="14"/>
    </row>
    <row r="535" spans="4:11" ht="12.3" x14ac:dyDescent="0.4">
      <c r="D535" s="15"/>
      <c r="E535" s="13"/>
      <c r="F535" s="15"/>
      <c r="G535" s="14"/>
      <c r="H535" s="15"/>
      <c r="I535" s="14"/>
      <c r="J535" s="15"/>
      <c r="K535" s="14"/>
    </row>
    <row r="536" spans="4:11" ht="12.3" x14ac:dyDescent="0.4">
      <c r="D536" s="15"/>
      <c r="E536" s="13"/>
      <c r="F536" s="15"/>
      <c r="G536" s="14"/>
      <c r="H536" s="15"/>
      <c r="I536" s="14"/>
      <c r="J536" s="15"/>
      <c r="K536" s="14"/>
    </row>
    <row r="537" spans="4:11" ht="12.3" x14ac:dyDescent="0.4">
      <c r="D537" s="15"/>
      <c r="E537" s="13"/>
      <c r="F537" s="15"/>
      <c r="G537" s="14"/>
      <c r="H537" s="15"/>
      <c r="I537" s="14"/>
      <c r="J537" s="15"/>
      <c r="K537" s="14"/>
    </row>
    <row r="538" spans="4:11" ht="12.3" x14ac:dyDescent="0.4">
      <c r="D538" s="15"/>
      <c r="E538" s="13"/>
      <c r="F538" s="15"/>
      <c r="G538" s="14"/>
      <c r="H538" s="15"/>
      <c r="I538" s="14"/>
      <c r="J538" s="15"/>
      <c r="K538" s="14"/>
    </row>
    <row r="539" spans="4:11" ht="12.3" x14ac:dyDescent="0.4">
      <c r="D539" s="15"/>
      <c r="E539" s="13"/>
      <c r="F539" s="15"/>
      <c r="G539" s="14"/>
      <c r="H539" s="15"/>
      <c r="I539" s="14"/>
      <c r="J539" s="15"/>
      <c r="K539" s="14"/>
    </row>
    <row r="540" spans="4:11" ht="12.3" x14ac:dyDescent="0.4">
      <c r="D540" s="15"/>
      <c r="E540" s="13"/>
      <c r="F540" s="15"/>
      <c r="G540" s="14"/>
      <c r="H540" s="15"/>
      <c r="I540" s="14"/>
      <c r="J540" s="15"/>
      <c r="K540" s="14"/>
    </row>
    <row r="541" spans="4:11" ht="12.3" x14ac:dyDescent="0.4">
      <c r="D541" s="15"/>
      <c r="E541" s="13"/>
      <c r="F541" s="15"/>
      <c r="G541" s="14"/>
      <c r="H541" s="15"/>
      <c r="I541" s="14"/>
      <c r="J541" s="15"/>
      <c r="K541" s="14"/>
    </row>
    <row r="542" spans="4:11" ht="12.3" x14ac:dyDescent="0.4">
      <c r="D542" s="15"/>
      <c r="E542" s="13"/>
      <c r="F542" s="15"/>
      <c r="G542" s="14"/>
      <c r="H542" s="15"/>
      <c r="I542" s="14"/>
      <c r="J542" s="15"/>
      <c r="K542" s="14"/>
    </row>
    <row r="543" spans="4:11" ht="12.3" x14ac:dyDescent="0.4">
      <c r="D543" s="15"/>
      <c r="E543" s="13"/>
      <c r="F543" s="15"/>
      <c r="G543" s="14"/>
      <c r="H543" s="15"/>
      <c r="I543" s="14"/>
      <c r="J543" s="15"/>
      <c r="K543" s="14"/>
    </row>
    <row r="544" spans="4:11" ht="12.3" x14ac:dyDescent="0.4">
      <c r="D544" s="15"/>
      <c r="E544" s="13"/>
      <c r="F544" s="15"/>
      <c r="G544" s="14"/>
      <c r="H544" s="15"/>
      <c r="I544" s="14"/>
      <c r="J544" s="15"/>
      <c r="K544" s="14"/>
    </row>
    <row r="545" spans="4:11" ht="12.3" x14ac:dyDescent="0.4">
      <c r="D545" s="15"/>
      <c r="E545" s="13"/>
      <c r="F545" s="15"/>
      <c r="G545" s="14"/>
      <c r="H545" s="15"/>
      <c r="I545" s="14"/>
      <c r="J545" s="15"/>
      <c r="K545" s="14"/>
    </row>
    <row r="546" spans="4:11" ht="12.3" x14ac:dyDescent="0.4">
      <c r="D546" s="15"/>
      <c r="E546" s="13"/>
      <c r="F546" s="15"/>
      <c r="G546" s="14"/>
      <c r="H546" s="15"/>
      <c r="I546" s="14"/>
      <c r="J546" s="15"/>
      <c r="K546" s="14"/>
    </row>
    <row r="547" spans="4:11" ht="12.3" x14ac:dyDescent="0.4">
      <c r="D547" s="15"/>
      <c r="E547" s="13"/>
      <c r="F547" s="15"/>
      <c r="G547" s="14"/>
      <c r="H547" s="15"/>
      <c r="I547" s="14"/>
      <c r="J547" s="15"/>
      <c r="K547" s="14"/>
    </row>
    <row r="548" spans="4:11" ht="12.3" x14ac:dyDescent="0.4">
      <c r="D548" s="15"/>
      <c r="E548" s="13"/>
      <c r="F548" s="15"/>
      <c r="G548" s="14"/>
      <c r="H548" s="15"/>
      <c r="I548" s="14"/>
      <c r="J548" s="15"/>
      <c r="K548" s="14"/>
    </row>
    <row r="549" spans="4:11" ht="12.3" x14ac:dyDescent="0.4">
      <c r="D549" s="15"/>
      <c r="E549" s="13"/>
      <c r="F549" s="15"/>
      <c r="G549" s="14"/>
      <c r="H549" s="15"/>
      <c r="I549" s="14"/>
      <c r="J549" s="15"/>
      <c r="K549" s="14"/>
    </row>
    <row r="550" spans="4:11" ht="12.3" x14ac:dyDescent="0.4">
      <c r="D550" s="15"/>
      <c r="E550" s="13"/>
      <c r="F550" s="15"/>
      <c r="G550" s="14"/>
      <c r="H550" s="15"/>
      <c r="I550" s="14"/>
      <c r="J550" s="15"/>
      <c r="K550" s="14"/>
    </row>
    <row r="551" spans="4:11" ht="12.3" x14ac:dyDescent="0.4">
      <c r="D551" s="15"/>
      <c r="E551" s="13"/>
      <c r="F551" s="15"/>
      <c r="G551" s="14"/>
      <c r="H551" s="15"/>
      <c r="I551" s="14"/>
      <c r="J551" s="15"/>
      <c r="K551" s="14"/>
    </row>
    <row r="552" spans="4:11" ht="12.3" x14ac:dyDescent="0.4">
      <c r="D552" s="15"/>
      <c r="E552" s="13"/>
      <c r="F552" s="15"/>
      <c r="G552" s="14"/>
      <c r="H552" s="15"/>
      <c r="I552" s="14"/>
      <c r="J552" s="15"/>
      <c r="K552" s="14"/>
    </row>
    <row r="553" spans="4:11" ht="12.3" x14ac:dyDescent="0.4">
      <c r="D553" s="15"/>
      <c r="E553" s="13"/>
      <c r="F553" s="15"/>
      <c r="G553" s="14"/>
      <c r="H553" s="15"/>
      <c r="I553" s="14"/>
      <c r="J553" s="15"/>
      <c r="K553" s="14"/>
    </row>
    <row r="554" spans="4:11" ht="12.3" x14ac:dyDescent="0.4">
      <c r="D554" s="15"/>
      <c r="E554" s="13"/>
      <c r="F554" s="15"/>
      <c r="G554" s="14"/>
      <c r="H554" s="15"/>
      <c r="I554" s="14"/>
      <c r="J554" s="15"/>
      <c r="K554" s="14"/>
    </row>
    <row r="555" spans="4:11" ht="12.3" x14ac:dyDescent="0.4">
      <c r="D555" s="15"/>
      <c r="E555" s="13"/>
      <c r="F555" s="15"/>
      <c r="G555" s="14"/>
      <c r="H555" s="15"/>
      <c r="I555" s="14"/>
      <c r="J555" s="15"/>
      <c r="K555" s="14"/>
    </row>
    <row r="556" spans="4:11" ht="12.3" x14ac:dyDescent="0.4">
      <c r="D556" s="15"/>
      <c r="E556" s="13"/>
      <c r="F556" s="15"/>
      <c r="G556" s="14"/>
      <c r="H556" s="15"/>
      <c r="I556" s="14"/>
      <c r="J556" s="15"/>
      <c r="K556" s="14"/>
    </row>
    <row r="557" spans="4:11" ht="12.3" x14ac:dyDescent="0.4">
      <c r="D557" s="15"/>
      <c r="E557" s="13"/>
      <c r="F557" s="15"/>
      <c r="G557" s="14"/>
      <c r="H557" s="15"/>
      <c r="I557" s="14"/>
      <c r="J557" s="15"/>
      <c r="K557" s="14"/>
    </row>
    <row r="558" spans="4:11" ht="12.3" x14ac:dyDescent="0.4">
      <c r="D558" s="15"/>
      <c r="E558" s="13"/>
      <c r="F558" s="15"/>
      <c r="G558" s="14"/>
      <c r="H558" s="15"/>
      <c r="I558" s="14"/>
      <c r="J558" s="15"/>
      <c r="K558" s="14"/>
    </row>
    <row r="559" spans="4:11" ht="12.3" x14ac:dyDescent="0.4">
      <c r="D559" s="15"/>
      <c r="E559" s="13"/>
      <c r="F559" s="15"/>
      <c r="G559" s="14"/>
      <c r="H559" s="15"/>
      <c r="I559" s="14"/>
      <c r="J559" s="15"/>
      <c r="K559" s="14"/>
    </row>
    <row r="560" spans="4:11" ht="12.3" x14ac:dyDescent="0.4">
      <c r="D560" s="15"/>
      <c r="E560" s="13"/>
      <c r="F560" s="15"/>
      <c r="G560" s="14"/>
      <c r="H560" s="15"/>
      <c r="I560" s="14"/>
      <c r="J560" s="15"/>
      <c r="K560" s="14"/>
    </row>
    <row r="561" spans="4:11" ht="12.3" x14ac:dyDescent="0.4">
      <c r="D561" s="15"/>
      <c r="E561" s="13"/>
      <c r="F561" s="15"/>
      <c r="G561" s="14"/>
      <c r="H561" s="15"/>
      <c r="I561" s="14"/>
      <c r="J561" s="15"/>
      <c r="K561" s="14"/>
    </row>
    <row r="562" spans="4:11" ht="12.3" x14ac:dyDescent="0.4">
      <c r="D562" s="15"/>
      <c r="E562" s="13"/>
      <c r="F562" s="15"/>
      <c r="G562" s="14"/>
      <c r="H562" s="15"/>
      <c r="I562" s="14"/>
      <c r="J562" s="15"/>
      <c r="K562" s="14"/>
    </row>
    <row r="563" spans="4:11" ht="12.3" x14ac:dyDescent="0.4">
      <c r="D563" s="15"/>
      <c r="E563" s="13"/>
      <c r="F563" s="15"/>
      <c r="G563" s="14"/>
      <c r="H563" s="15"/>
      <c r="I563" s="14"/>
      <c r="J563" s="15"/>
      <c r="K563" s="14"/>
    </row>
    <row r="564" spans="4:11" ht="12.3" x14ac:dyDescent="0.4">
      <c r="D564" s="15"/>
      <c r="E564" s="13"/>
      <c r="F564" s="15"/>
      <c r="G564" s="14"/>
      <c r="H564" s="15"/>
      <c r="I564" s="14"/>
      <c r="J564" s="15"/>
      <c r="K564" s="14"/>
    </row>
    <row r="565" spans="4:11" ht="12.3" x14ac:dyDescent="0.4">
      <c r="D565" s="15"/>
      <c r="E565" s="13"/>
      <c r="F565" s="15"/>
      <c r="G565" s="14"/>
      <c r="H565" s="15"/>
      <c r="I565" s="14"/>
      <c r="J565" s="15"/>
      <c r="K565" s="14"/>
    </row>
    <row r="566" spans="4:11" ht="12.3" x14ac:dyDescent="0.4">
      <c r="D566" s="15"/>
      <c r="E566" s="13"/>
      <c r="F566" s="15"/>
      <c r="G566" s="14"/>
      <c r="H566" s="15"/>
      <c r="I566" s="14"/>
      <c r="J566" s="15"/>
      <c r="K566" s="14"/>
    </row>
    <row r="567" spans="4:11" ht="12.3" x14ac:dyDescent="0.4">
      <c r="D567" s="15"/>
      <c r="E567" s="13"/>
      <c r="F567" s="15"/>
      <c r="G567" s="14"/>
      <c r="H567" s="15"/>
      <c r="I567" s="14"/>
      <c r="J567" s="15"/>
      <c r="K567" s="14"/>
    </row>
    <row r="568" spans="4:11" ht="12.3" x14ac:dyDescent="0.4">
      <c r="D568" s="15"/>
      <c r="E568" s="13"/>
      <c r="F568" s="15"/>
      <c r="G568" s="14"/>
      <c r="H568" s="15"/>
      <c r="I568" s="14"/>
      <c r="J568" s="15"/>
      <c r="K568" s="14"/>
    </row>
    <row r="569" spans="4:11" ht="12.3" x14ac:dyDescent="0.4">
      <c r="D569" s="15"/>
      <c r="E569" s="13"/>
      <c r="F569" s="15"/>
      <c r="G569" s="14"/>
      <c r="H569" s="15"/>
      <c r="I569" s="14"/>
      <c r="J569" s="15"/>
      <c r="K569" s="14"/>
    </row>
    <row r="570" spans="4:11" ht="12.3" x14ac:dyDescent="0.4">
      <c r="D570" s="15"/>
      <c r="E570" s="13"/>
      <c r="F570" s="15"/>
      <c r="G570" s="14"/>
      <c r="H570" s="15"/>
      <c r="I570" s="14"/>
      <c r="J570" s="15"/>
      <c r="K570" s="14"/>
    </row>
    <row r="571" spans="4:11" ht="12.3" x14ac:dyDescent="0.4">
      <c r="D571" s="15"/>
      <c r="E571" s="13"/>
      <c r="F571" s="15"/>
      <c r="G571" s="14"/>
      <c r="H571" s="15"/>
      <c r="I571" s="14"/>
      <c r="J571" s="15"/>
      <c r="K571" s="14"/>
    </row>
    <row r="572" spans="4:11" ht="12.3" x14ac:dyDescent="0.4">
      <c r="D572" s="15"/>
      <c r="E572" s="13"/>
      <c r="F572" s="15"/>
      <c r="G572" s="14"/>
      <c r="H572" s="15"/>
      <c r="I572" s="14"/>
      <c r="J572" s="15"/>
      <c r="K572" s="14"/>
    </row>
    <row r="573" spans="4:11" ht="12.3" x14ac:dyDescent="0.4">
      <c r="D573" s="15"/>
      <c r="E573" s="13"/>
      <c r="F573" s="15"/>
      <c r="G573" s="14"/>
      <c r="H573" s="15"/>
      <c r="I573" s="14"/>
      <c r="J573" s="15"/>
      <c r="K573" s="14"/>
    </row>
    <row r="574" spans="4:11" ht="12.3" x14ac:dyDescent="0.4">
      <c r="D574" s="15"/>
      <c r="E574" s="13"/>
      <c r="F574" s="15"/>
      <c r="G574" s="14"/>
      <c r="H574" s="15"/>
      <c r="I574" s="14"/>
      <c r="J574" s="15"/>
      <c r="K574" s="14"/>
    </row>
    <row r="575" spans="4:11" ht="12.3" x14ac:dyDescent="0.4">
      <c r="D575" s="15"/>
      <c r="E575" s="13"/>
      <c r="F575" s="15"/>
      <c r="G575" s="14"/>
      <c r="H575" s="15"/>
      <c r="I575" s="14"/>
      <c r="J575" s="15"/>
      <c r="K575" s="14"/>
    </row>
    <row r="576" spans="4:11" ht="12.3" x14ac:dyDescent="0.4">
      <c r="D576" s="15"/>
      <c r="E576" s="13"/>
      <c r="F576" s="15"/>
      <c r="G576" s="14"/>
      <c r="H576" s="15"/>
      <c r="I576" s="14"/>
      <c r="J576" s="15"/>
      <c r="K576" s="14"/>
    </row>
    <row r="577" spans="4:11" ht="12.3" x14ac:dyDescent="0.4">
      <c r="D577" s="15"/>
      <c r="E577" s="13"/>
      <c r="F577" s="15"/>
      <c r="G577" s="14"/>
      <c r="H577" s="15"/>
      <c r="I577" s="14"/>
      <c r="J577" s="15"/>
      <c r="K577" s="14"/>
    </row>
    <row r="578" spans="4:11" ht="12.3" x14ac:dyDescent="0.4">
      <c r="D578" s="15"/>
      <c r="E578" s="13"/>
      <c r="F578" s="15"/>
      <c r="G578" s="14"/>
      <c r="H578" s="15"/>
      <c r="I578" s="14"/>
      <c r="J578" s="15"/>
      <c r="K578" s="14"/>
    </row>
    <row r="579" spans="4:11" ht="12.3" x14ac:dyDescent="0.4">
      <c r="D579" s="15"/>
      <c r="E579" s="13"/>
      <c r="F579" s="15"/>
      <c r="G579" s="14"/>
      <c r="H579" s="15"/>
      <c r="I579" s="14"/>
      <c r="J579" s="15"/>
      <c r="K579" s="14"/>
    </row>
    <row r="580" spans="4:11" ht="12.3" x14ac:dyDescent="0.4">
      <c r="D580" s="15"/>
      <c r="E580" s="13"/>
      <c r="F580" s="15"/>
      <c r="G580" s="14"/>
      <c r="H580" s="15"/>
      <c r="I580" s="14"/>
      <c r="J580" s="15"/>
      <c r="K580" s="14"/>
    </row>
    <row r="581" spans="4:11" ht="12.3" x14ac:dyDescent="0.4">
      <c r="D581" s="15"/>
      <c r="E581" s="13"/>
      <c r="F581" s="15"/>
      <c r="G581" s="14"/>
      <c r="H581" s="15"/>
      <c r="I581" s="14"/>
      <c r="J581" s="15"/>
      <c r="K581" s="14"/>
    </row>
    <row r="582" spans="4:11" ht="12.3" x14ac:dyDescent="0.4">
      <c r="D582" s="15"/>
      <c r="E582" s="13"/>
      <c r="F582" s="15"/>
      <c r="G582" s="14"/>
      <c r="H582" s="15"/>
      <c r="I582" s="14"/>
      <c r="J582" s="15"/>
      <c r="K582" s="14"/>
    </row>
    <row r="583" spans="4:11" ht="12.3" x14ac:dyDescent="0.4">
      <c r="D583" s="15"/>
      <c r="E583" s="13"/>
      <c r="F583" s="15"/>
      <c r="G583" s="14"/>
      <c r="H583" s="15"/>
      <c r="I583" s="14"/>
      <c r="J583" s="15"/>
      <c r="K583" s="14"/>
    </row>
    <row r="584" spans="4:11" ht="12.3" x14ac:dyDescent="0.4">
      <c r="D584" s="15"/>
      <c r="E584" s="13"/>
      <c r="F584" s="15"/>
      <c r="G584" s="14"/>
      <c r="H584" s="15"/>
      <c r="I584" s="14"/>
      <c r="J584" s="15"/>
      <c r="K584" s="14"/>
    </row>
    <row r="585" spans="4:11" ht="12.3" x14ac:dyDescent="0.4">
      <c r="D585" s="15"/>
      <c r="E585" s="13"/>
      <c r="F585" s="15"/>
      <c r="G585" s="14"/>
      <c r="H585" s="15"/>
      <c r="I585" s="14"/>
      <c r="J585" s="15"/>
      <c r="K585" s="14"/>
    </row>
    <row r="586" spans="4:11" ht="12.3" x14ac:dyDescent="0.4">
      <c r="D586" s="15"/>
      <c r="E586" s="13"/>
      <c r="F586" s="15"/>
      <c r="G586" s="14"/>
      <c r="H586" s="15"/>
      <c r="I586" s="14"/>
      <c r="J586" s="15"/>
      <c r="K586" s="14"/>
    </row>
    <row r="587" spans="4:11" ht="12.3" x14ac:dyDescent="0.4">
      <c r="D587" s="15"/>
      <c r="E587" s="13"/>
      <c r="F587" s="15"/>
      <c r="G587" s="14"/>
      <c r="H587" s="15"/>
      <c r="I587" s="14"/>
      <c r="J587" s="15"/>
      <c r="K587" s="14"/>
    </row>
    <row r="588" spans="4:11" ht="12.3" x14ac:dyDescent="0.4">
      <c r="D588" s="15"/>
      <c r="E588" s="13"/>
      <c r="F588" s="15"/>
      <c r="G588" s="14"/>
      <c r="H588" s="15"/>
      <c r="I588" s="14"/>
      <c r="J588" s="15"/>
      <c r="K588" s="14"/>
    </row>
    <row r="589" spans="4:11" ht="12.3" x14ac:dyDescent="0.4">
      <c r="D589" s="15"/>
      <c r="E589" s="13"/>
      <c r="F589" s="15"/>
      <c r="G589" s="14"/>
      <c r="H589" s="15"/>
      <c r="I589" s="14"/>
      <c r="J589" s="15"/>
      <c r="K589" s="14"/>
    </row>
    <row r="590" spans="4:11" ht="12.3" x14ac:dyDescent="0.4">
      <c r="D590" s="15"/>
      <c r="E590" s="13"/>
      <c r="F590" s="15"/>
      <c r="G590" s="14"/>
      <c r="H590" s="15"/>
      <c r="I590" s="14"/>
      <c r="J590" s="15"/>
      <c r="K590" s="14"/>
    </row>
    <row r="591" spans="4:11" ht="12.3" x14ac:dyDescent="0.4">
      <c r="D591" s="15"/>
      <c r="E591" s="13"/>
      <c r="F591" s="15"/>
      <c r="G591" s="14"/>
      <c r="H591" s="15"/>
      <c r="I591" s="14"/>
      <c r="J591" s="15"/>
      <c r="K591" s="14"/>
    </row>
    <row r="592" spans="4:11" ht="12.3" x14ac:dyDescent="0.4">
      <c r="D592" s="15"/>
      <c r="E592" s="13"/>
      <c r="F592" s="15"/>
      <c r="G592" s="14"/>
      <c r="H592" s="15"/>
      <c r="I592" s="14"/>
      <c r="J592" s="15"/>
      <c r="K592" s="14"/>
    </row>
    <row r="593" spans="4:11" ht="12.3" x14ac:dyDescent="0.4">
      <c r="D593" s="15"/>
      <c r="E593" s="13"/>
      <c r="F593" s="15"/>
      <c r="G593" s="14"/>
      <c r="H593" s="15"/>
      <c r="I593" s="14"/>
      <c r="J593" s="15"/>
      <c r="K593" s="14"/>
    </row>
    <row r="594" spans="4:11" ht="12.3" x14ac:dyDescent="0.4">
      <c r="D594" s="15"/>
      <c r="E594" s="13"/>
      <c r="F594" s="15"/>
      <c r="G594" s="14"/>
      <c r="H594" s="15"/>
      <c r="I594" s="14"/>
      <c r="J594" s="15"/>
      <c r="K594" s="14"/>
    </row>
    <row r="595" spans="4:11" ht="12.3" x14ac:dyDescent="0.4">
      <c r="D595" s="15"/>
      <c r="E595" s="13"/>
      <c r="F595" s="15"/>
      <c r="G595" s="14"/>
      <c r="H595" s="15"/>
      <c r="I595" s="14"/>
      <c r="J595" s="15"/>
      <c r="K595" s="14"/>
    </row>
    <row r="596" spans="4:11" ht="12.3" x14ac:dyDescent="0.4">
      <c r="D596" s="15"/>
      <c r="E596" s="13"/>
      <c r="F596" s="15"/>
      <c r="G596" s="14"/>
      <c r="H596" s="15"/>
      <c r="I596" s="14"/>
      <c r="J596" s="15"/>
      <c r="K596" s="14"/>
    </row>
    <row r="597" spans="4:11" ht="12.3" x14ac:dyDescent="0.4">
      <c r="D597" s="15"/>
      <c r="E597" s="13"/>
      <c r="F597" s="15"/>
      <c r="G597" s="14"/>
      <c r="H597" s="15"/>
      <c r="I597" s="14"/>
      <c r="J597" s="15"/>
      <c r="K597" s="14"/>
    </row>
    <row r="598" spans="4:11" ht="12.3" x14ac:dyDescent="0.4">
      <c r="D598" s="15"/>
      <c r="E598" s="13"/>
      <c r="F598" s="15"/>
      <c r="G598" s="14"/>
      <c r="H598" s="15"/>
      <c r="I598" s="14"/>
      <c r="J598" s="15"/>
      <c r="K598" s="14"/>
    </row>
    <row r="599" spans="4:11" ht="12.3" x14ac:dyDescent="0.4">
      <c r="D599" s="15"/>
      <c r="E599" s="13"/>
      <c r="F599" s="15"/>
      <c r="G599" s="14"/>
      <c r="H599" s="15"/>
      <c r="I599" s="14"/>
      <c r="J599" s="15"/>
      <c r="K599" s="14"/>
    </row>
    <row r="600" spans="4:11" ht="12.3" x14ac:dyDescent="0.4">
      <c r="D600" s="15"/>
      <c r="E600" s="13"/>
      <c r="F600" s="15"/>
      <c r="G600" s="14"/>
      <c r="H600" s="15"/>
      <c r="I600" s="14"/>
      <c r="J600" s="15"/>
      <c r="K600" s="14"/>
    </row>
    <row r="601" spans="4:11" ht="12.3" x14ac:dyDescent="0.4">
      <c r="D601" s="15"/>
      <c r="E601" s="13"/>
      <c r="F601" s="15"/>
      <c r="G601" s="14"/>
      <c r="H601" s="15"/>
      <c r="I601" s="14"/>
      <c r="J601" s="15"/>
      <c r="K601" s="14"/>
    </row>
    <row r="602" spans="4:11" ht="12.3" x14ac:dyDescent="0.4">
      <c r="D602" s="15"/>
      <c r="E602" s="13"/>
      <c r="F602" s="15"/>
      <c r="G602" s="14"/>
      <c r="H602" s="15"/>
      <c r="I602" s="14"/>
      <c r="J602" s="15"/>
      <c r="K602" s="14"/>
    </row>
    <row r="603" spans="4:11" ht="12.3" x14ac:dyDescent="0.4">
      <c r="D603" s="15"/>
      <c r="E603" s="13"/>
      <c r="F603" s="15"/>
      <c r="G603" s="14"/>
      <c r="H603" s="15"/>
      <c r="I603" s="14"/>
      <c r="J603" s="15"/>
      <c r="K603" s="14"/>
    </row>
    <row r="604" spans="4:11" ht="12.3" x14ac:dyDescent="0.4">
      <c r="D604" s="15"/>
      <c r="E604" s="13"/>
      <c r="F604" s="15"/>
      <c r="G604" s="14"/>
      <c r="H604" s="15"/>
      <c r="I604" s="14"/>
      <c r="J604" s="15"/>
      <c r="K604" s="14"/>
    </row>
    <row r="605" spans="4:11" ht="12.3" x14ac:dyDescent="0.4">
      <c r="D605" s="15"/>
      <c r="E605" s="13"/>
      <c r="F605" s="15"/>
      <c r="G605" s="14"/>
      <c r="H605" s="15"/>
      <c r="I605" s="14"/>
      <c r="J605" s="15"/>
      <c r="K605" s="14"/>
    </row>
    <row r="606" spans="4:11" ht="12.3" x14ac:dyDescent="0.4">
      <c r="D606" s="15"/>
      <c r="E606" s="13"/>
      <c r="F606" s="15"/>
      <c r="G606" s="14"/>
      <c r="H606" s="15"/>
      <c r="I606" s="14"/>
      <c r="J606" s="15"/>
      <c r="K606" s="14"/>
    </row>
    <row r="607" spans="4:11" ht="12.3" x14ac:dyDescent="0.4">
      <c r="D607" s="15"/>
      <c r="E607" s="13"/>
      <c r="F607" s="15"/>
      <c r="G607" s="14"/>
      <c r="H607" s="15"/>
      <c r="I607" s="14"/>
      <c r="J607" s="15"/>
      <c r="K607" s="14"/>
    </row>
    <row r="608" spans="4:11" ht="12.3" x14ac:dyDescent="0.4">
      <c r="D608" s="15"/>
      <c r="E608" s="13"/>
      <c r="F608" s="15"/>
      <c r="G608" s="14"/>
      <c r="H608" s="15"/>
      <c r="I608" s="14"/>
      <c r="J608" s="15"/>
      <c r="K608" s="14"/>
    </row>
    <row r="609" spans="4:11" ht="12.3" x14ac:dyDescent="0.4">
      <c r="D609" s="15"/>
      <c r="E609" s="13"/>
      <c r="F609" s="15"/>
      <c r="G609" s="14"/>
      <c r="H609" s="15"/>
      <c r="I609" s="14"/>
      <c r="J609" s="15"/>
      <c r="K609" s="14"/>
    </row>
    <row r="610" spans="4:11" ht="12.3" x14ac:dyDescent="0.4">
      <c r="D610" s="15"/>
      <c r="E610" s="13"/>
      <c r="F610" s="15"/>
      <c r="G610" s="14"/>
      <c r="H610" s="15"/>
      <c r="I610" s="14"/>
      <c r="J610" s="15"/>
      <c r="K610" s="14"/>
    </row>
    <row r="611" spans="4:11" ht="12.3" x14ac:dyDescent="0.4">
      <c r="D611" s="15"/>
      <c r="E611" s="13"/>
      <c r="F611" s="15"/>
      <c r="G611" s="14"/>
      <c r="H611" s="15"/>
      <c r="I611" s="14"/>
      <c r="J611" s="15"/>
      <c r="K611" s="14"/>
    </row>
    <row r="612" spans="4:11" ht="12.3" x14ac:dyDescent="0.4">
      <c r="D612" s="15"/>
      <c r="E612" s="13"/>
      <c r="F612" s="15"/>
      <c r="G612" s="14"/>
      <c r="H612" s="15"/>
      <c r="I612" s="14"/>
      <c r="J612" s="15"/>
      <c r="K612" s="14"/>
    </row>
    <row r="613" spans="4:11" ht="12.3" x14ac:dyDescent="0.4">
      <c r="D613" s="15"/>
      <c r="E613" s="13"/>
      <c r="F613" s="15"/>
      <c r="G613" s="14"/>
      <c r="H613" s="15"/>
      <c r="I613" s="14"/>
      <c r="J613" s="15"/>
      <c r="K613" s="14"/>
    </row>
    <row r="614" spans="4:11" ht="12.3" x14ac:dyDescent="0.4">
      <c r="D614" s="15"/>
      <c r="E614" s="13"/>
      <c r="F614" s="15"/>
      <c r="G614" s="14"/>
      <c r="H614" s="15"/>
      <c r="I614" s="14"/>
      <c r="J614" s="15"/>
      <c r="K614" s="14"/>
    </row>
    <row r="615" spans="4:11" ht="12.3" x14ac:dyDescent="0.4">
      <c r="D615" s="15"/>
      <c r="E615" s="13"/>
      <c r="F615" s="15"/>
      <c r="G615" s="14"/>
      <c r="H615" s="15"/>
      <c r="I615" s="14"/>
      <c r="J615" s="15"/>
      <c r="K615" s="14"/>
    </row>
    <row r="616" spans="4:11" ht="12.3" x14ac:dyDescent="0.4">
      <c r="D616" s="15"/>
      <c r="E616" s="13"/>
      <c r="F616" s="15"/>
      <c r="G616" s="14"/>
      <c r="H616" s="15"/>
      <c r="I616" s="14"/>
      <c r="J616" s="15"/>
      <c r="K616" s="14"/>
    </row>
    <row r="617" spans="4:11" ht="12.3" x14ac:dyDescent="0.4">
      <c r="D617" s="15"/>
      <c r="E617" s="13"/>
      <c r="F617" s="15"/>
      <c r="G617" s="14"/>
      <c r="H617" s="15"/>
      <c r="I617" s="14"/>
      <c r="J617" s="15"/>
      <c r="K617" s="14"/>
    </row>
    <row r="618" spans="4:11" ht="12.3" x14ac:dyDescent="0.4">
      <c r="D618" s="15"/>
      <c r="E618" s="13"/>
      <c r="F618" s="15"/>
      <c r="G618" s="14"/>
      <c r="H618" s="15"/>
      <c r="I618" s="14"/>
      <c r="J618" s="15"/>
      <c r="K618" s="14"/>
    </row>
    <row r="619" spans="4:11" ht="12.3" x14ac:dyDescent="0.4">
      <c r="D619" s="15"/>
      <c r="E619" s="13"/>
      <c r="F619" s="15"/>
      <c r="G619" s="14"/>
      <c r="H619" s="15"/>
      <c r="I619" s="14"/>
      <c r="J619" s="15"/>
      <c r="K619" s="14"/>
    </row>
    <row r="620" spans="4:11" ht="12.3" x14ac:dyDescent="0.4">
      <c r="D620" s="15"/>
      <c r="E620" s="13"/>
      <c r="F620" s="15"/>
      <c r="G620" s="14"/>
      <c r="H620" s="15"/>
      <c r="I620" s="14"/>
      <c r="J620" s="15"/>
      <c r="K620" s="14"/>
    </row>
    <row r="621" spans="4:11" ht="12.3" x14ac:dyDescent="0.4">
      <c r="D621" s="15"/>
      <c r="E621" s="13"/>
      <c r="F621" s="15"/>
      <c r="G621" s="14"/>
      <c r="H621" s="15"/>
      <c r="I621" s="14"/>
      <c r="J621" s="15"/>
      <c r="K621" s="14"/>
    </row>
    <row r="622" spans="4:11" ht="12.3" x14ac:dyDescent="0.4">
      <c r="D622" s="15"/>
      <c r="E622" s="13"/>
      <c r="F622" s="15"/>
      <c r="G622" s="14"/>
      <c r="H622" s="15"/>
      <c r="I622" s="14"/>
      <c r="J622" s="15"/>
      <c r="K622" s="14"/>
    </row>
    <row r="623" spans="4:11" ht="12.3" x14ac:dyDescent="0.4">
      <c r="D623" s="15"/>
      <c r="E623" s="13"/>
      <c r="F623" s="15"/>
      <c r="G623" s="14"/>
      <c r="H623" s="15"/>
      <c r="I623" s="14"/>
      <c r="J623" s="15"/>
      <c r="K623" s="14"/>
    </row>
    <row r="624" spans="4:11" ht="12.3" x14ac:dyDescent="0.4">
      <c r="D624" s="15"/>
      <c r="E624" s="13"/>
      <c r="F624" s="15"/>
      <c r="G624" s="14"/>
      <c r="H624" s="15"/>
      <c r="I624" s="14"/>
      <c r="J624" s="15"/>
      <c r="K624" s="14"/>
    </row>
    <row r="625" spans="4:11" ht="12.3" x14ac:dyDescent="0.4">
      <c r="D625" s="15"/>
      <c r="E625" s="13"/>
      <c r="F625" s="15"/>
      <c r="G625" s="14"/>
      <c r="H625" s="15"/>
      <c r="I625" s="14"/>
      <c r="J625" s="15"/>
      <c r="K625" s="14"/>
    </row>
    <row r="626" spans="4:11" ht="12.3" x14ac:dyDescent="0.4">
      <c r="D626" s="15"/>
      <c r="E626" s="13"/>
      <c r="F626" s="15"/>
      <c r="G626" s="14"/>
      <c r="H626" s="15"/>
      <c r="I626" s="14"/>
      <c r="J626" s="15"/>
      <c r="K626" s="14"/>
    </row>
    <row r="627" spans="4:11" ht="12.3" x14ac:dyDescent="0.4">
      <c r="D627" s="15"/>
      <c r="E627" s="13"/>
      <c r="F627" s="15"/>
      <c r="G627" s="14"/>
      <c r="H627" s="15"/>
      <c r="I627" s="14"/>
      <c r="J627" s="15"/>
      <c r="K627" s="14"/>
    </row>
    <row r="628" spans="4:11" ht="12.3" x14ac:dyDescent="0.4">
      <c r="D628" s="15"/>
      <c r="E628" s="13"/>
      <c r="F628" s="15"/>
      <c r="G628" s="14"/>
      <c r="H628" s="15"/>
      <c r="I628" s="14"/>
      <c r="J628" s="15"/>
      <c r="K628" s="14"/>
    </row>
    <row r="629" spans="4:11" ht="12.3" x14ac:dyDescent="0.4">
      <c r="D629" s="15"/>
      <c r="E629" s="13"/>
      <c r="F629" s="15"/>
      <c r="G629" s="14"/>
      <c r="H629" s="15"/>
      <c r="I629" s="14"/>
      <c r="J629" s="15"/>
      <c r="K629" s="14"/>
    </row>
    <row r="630" spans="4:11" ht="12.3" x14ac:dyDescent="0.4">
      <c r="D630" s="15"/>
      <c r="E630" s="13"/>
      <c r="F630" s="15"/>
      <c r="G630" s="14"/>
      <c r="H630" s="15"/>
      <c r="I630" s="14"/>
      <c r="J630" s="15"/>
      <c r="K630" s="14"/>
    </row>
    <row r="631" spans="4:11" ht="12.3" x14ac:dyDescent="0.4">
      <c r="D631" s="15"/>
      <c r="E631" s="13"/>
      <c r="F631" s="15"/>
      <c r="G631" s="14"/>
      <c r="H631" s="15"/>
      <c r="I631" s="14"/>
      <c r="J631" s="15"/>
      <c r="K631" s="14"/>
    </row>
    <row r="632" spans="4:11" ht="12.3" x14ac:dyDescent="0.4">
      <c r="D632" s="15"/>
      <c r="E632" s="13"/>
      <c r="F632" s="15"/>
      <c r="G632" s="14"/>
      <c r="H632" s="15"/>
      <c r="I632" s="14"/>
      <c r="J632" s="15"/>
      <c r="K632" s="14"/>
    </row>
    <row r="633" spans="4:11" ht="12.3" x14ac:dyDescent="0.4">
      <c r="D633" s="15"/>
      <c r="E633" s="13"/>
      <c r="F633" s="15"/>
      <c r="G633" s="14"/>
      <c r="H633" s="15"/>
      <c r="I633" s="14"/>
      <c r="J633" s="15"/>
      <c r="K633" s="14"/>
    </row>
    <row r="634" spans="4:11" ht="12.3" x14ac:dyDescent="0.4">
      <c r="D634" s="15"/>
      <c r="E634" s="13"/>
      <c r="F634" s="15"/>
      <c r="G634" s="14"/>
      <c r="H634" s="15"/>
      <c r="I634" s="14"/>
      <c r="J634" s="15"/>
      <c r="K634" s="14"/>
    </row>
    <row r="635" spans="4:11" ht="12.3" x14ac:dyDescent="0.4">
      <c r="D635" s="15"/>
      <c r="E635" s="13"/>
      <c r="F635" s="15"/>
      <c r="G635" s="14"/>
      <c r="H635" s="15"/>
      <c r="I635" s="14"/>
      <c r="J635" s="15"/>
      <c r="K635" s="14"/>
    </row>
    <row r="636" spans="4:11" ht="12.3" x14ac:dyDescent="0.4">
      <c r="D636" s="15"/>
      <c r="E636" s="13"/>
      <c r="F636" s="15"/>
      <c r="G636" s="14"/>
      <c r="H636" s="15"/>
      <c r="I636" s="14"/>
      <c r="J636" s="15"/>
      <c r="K636" s="14"/>
    </row>
    <row r="637" spans="4:11" ht="12.3" x14ac:dyDescent="0.4">
      <c r="D637" s="15"/>
      <c r="E637" s="13"/>
      <c r="F637" s="15"/>
      <c r="G637" s="14"/>
      <c r="H637" s="15"/>
      <c r="I637" s="14"/>
      <c r="J637" s="15"/>
      <c r="K637" s="14"/>
    </row>
    <row r="638" spans="4:11" ht="12.3" x14ac:dyDescent="0.4">
      <c r="D638" s="15"/>
      <c r="E638" s="13"/>
      <c r="F638" s="15"/>
      <c r="G638" s="14"/>
      <c r="H638" s="15"/>
      <c r="I638" s="14"/>
      <c r="J638" s="15"/>
      <c r="K638" s="14"/>
    </row>
    <row r="639" spans="4:11" ht="12.3" x14ac:dyDescent="0.4">
      <c r="D639" s="15"/>
      <c r="E639" s="13"/>
      <c r="F639" s="15"/>
      <c r="G639" s="14"/>
      <c r="H639" s="15"/>
      <c r="I639" s="14"/>
      <c r="J639" s="15"/>
      <c r="K639" s="14"/>
    </row>
    <row r="640" spans="4:11" ht="12.3" x14ac:dyDescent="0.4">
      <c r="D640" s="15"/>
      <c r="E640" s="13"/>
      <c r="F640" s="15"/>
      <c r="G640" s="14"/>
      <c r="H640" s="15"/>
      <c r="I640" s="14"/>
      <c r="J640" s="15"/>
      <c r="K640" s="14"/>
    </row>
    <row r="641" spans="4:11" ht="12.3" x14ac:dyDescent="0.4">
      <c r="D641" s="15"/>
      <c r="E641" s="13"/>
      <c r="F641" s="15"/>
      <c r="G641" s="14"/>
      <c r="H641" s="15"/>
      <c r="I641" s="14"/>
      <c r="J641" s="15"/>
      <c r="K641" s="14"/>
    </row>
    <row r="642" spans="4:11" ht="12.3" x14ac:dyDescent="0.4">
      <c r="D642" s="15"/>
      <c r="E642" s="13"/>
      <c r="F642" s="15"/>
      <c r="G642" s="14"/>
      <c r="H642" s="15"/>
      <c r="I642" s="14"/>
      <c r="J642" s="15"/>
      <c r="K642" s="14"/>
    </row>
    <row r="643" spans="4:11" ht="12.3" x14ac:dyDescent="0.4">
      <c r="D643" s="15"/>
      <c r="E643" s="13"/>
      <c r="F643" s="15"/>
      <c r="G643" s="14"/>
      <c r="H643" s="15"/>
      <c r="I643" s="14"/>
      <c r="J643" s="15"/>
      <c r="K643" s="14"/>
    </row>
    <row r="644" spans="4:11" ht="12.3" x14ac:dyDescent="0.4">
      <c r="D644" s="15"/>
      <c r="E644" s="13"/>
      <c r="F644" s="15"/>
      <c r="G644" s="14"/>
      <c r="H644" s="15"/>
      <c r="I644" s="14"/>
      <c r="J644" s="15"/>
      <c r="K644" s="14"/>
    </row>
    <row r="645" spans="4:11" ht="12.3" x14ac:dyDescent="0.4">
      <c r="D645" s="15"/>
      <c r="E645" s="13"/>
      <c r="F645" s="15"/>
      <c r="G645" s="14"/>
      <c r="H645" s="15"/>
      <c r="I645" s="14"/>
      <c r="J645" s="15"/>
      <c r="K645" s="14"/>
    </row>
    <row r="646" spans="4:11" ht="12.3" x14ac:dyDescent="0.4">
      <c r="D646" s="15"/>
      <c r="E646" s="13"/>
      <c r="F646" s="15"/>
      <c r="G646" s="14"/>
      <c r="H646" s="15"/>
      <c r="I646" s="14"/>
      <c r="J646" s="15"/>
      <c r="K646" s="14"/>
    </row>
    <row r="647" spans="4:11" ht="12.3" x14ac:dyDescent="0.4">
      <c r="D647" s="15"/>
      <c r="E647" s="13"/>
      <c r="F647" s="15"/>
      <c r="G647" s="14"/>
      <c r="H647" s="15"/>
      <c r="I647" s="14"/>
      <c r="J647" s="15"/>
      <c r="K647" s="14"/>
    </row>
    <row r="648" spans="4:11" ht="12.3" x14ac:dyDescent="0.4">
      <c r="D648" s="15"/>
      <c r="E648" s="13"/>
      <c r="F648" s="15"/>
      <c r="G648" s="14"/>
      <c r="H648" s="15"/>
      <c r="I648" s="14"/>
      <c r="J648" s="15"/>
      <c r="K648" s="14"/>
    </row>
    <row r="649" spans="4:11" ht="12.3" x14ac:dyDescent="0.4">
      <c r="D649" s="15"/>
      <c r="E649" s="13"/>
      <c r="F649" s="15"/>
      <c r="G649" s="14"/>
      <c r="H649" s="15"/>
      <c r="I649" s="14"/>
      <c r="J649" s="15"/>
      <c r="K649" s="14"/>
    </row>
    <row r="650" spans="4:11" ht="12.3" x14ac:dyDescent="0.4">
      <c r="D650" s="15"/>
      <c r="E650" s="13"/>
      <c r="F650" s="15"/>
      <c r="G650" s="14"/>
      <c r="H650" s="15"/>
      <c r="I650" s="14"/>
      <c r="J650" s="15"/>
      <c r="K650" s="14"/>
    </row>
    <row r="651" spans="4:11" ht="12.3" x14ac:dyDescent="0.4">
      <c r="D651" s="15"/>
      <c r="E651" s="13"/>
      <c r="F651" s="15"/>
      <c r="G651" s="14"/>
      <c r="H651" s="15"/>
      <c r="I651" s="14"/>
      <c r="J651" s="15"/>
      <c r="K651" s="14"/>
    </row>
    <row r="652" spans="4:11" ht="12.3" x14ac:dyDescent="0.4">
      <c r="D652" s="15"/>
      <c r="E652" s="13"/>
      <c r="F652" s="15"/>
      <c r="G652" s="14"/>
      <c r="H652" s="15"/>
      <c r="I652" s="14"/>
      <c r="J652" s="15"/>
      <c r="K652" s="14"/>
    </row>
    <row r="653" spans="4:11" ht="12.3" x14ac:dyDescent="0.4">
      <c r="D653" s="15"/>
      <c r="E653" s="13"/>
      <c r="F653" s="15"/>
      <c r="G653" s="14"/>
      <c r="H653" s="15"/>
      <c r="I653" s="14"/>
      <c r="J653" s="15"/>
      <c r="K653" s="14"/>
    </row>
    <row r="654" spans="4:11" ht="12.3" x14ac:dyDescent="0.4">
      <c r="D654" s="15"/>
      <c r="E654" s="13"/>
      <c r="F654" s="15"/>
      <c r="G654" s="14"/>
      <c r="H654" s="15"/>
      <c r="I654" s="14"/>
      <c r="J654" s="15"/>
      <c r="K654" s="14"/>
    </row>
    <row r="655" spans="4:11" ht="12.3" x14ac:dyDescent="0.4">
      <c r="D655" s="15"/>
      <c r="E655" s="13"/>
      <c r="F655" s="15"/>
      <c r="G655" s="14"/>
      <c r="H655" s="15"/>
      <c r="I655" s="14"/>
      <c r="J655" s="15"/>
      <c r="K655" s="14"/>
    </row>
    <row r="656" spans="4:11" ht="12.3" x14ac:dyDescent="0.4">
      <c r="D656" s="15"/>
      <c r="E656" s="13"/>
      <c r="F656" s="15"/>
      <c r="G656" s="14"/>
      <c r="H656" s="15"/>
      <c r="I656" s="14"/>
      <c r="J656" s="15"/>
      <c r="K656" s="14"/>
    </row>
    <row r="657" spans="4:11" ht="12.3" x14ac:dyDescent="0.4">
      <c r="D657" s="15"/>
      <c r="E657" s="13"/>
      <c r="F657" s="15"/>
      <c r="G657" s="14"/>
      <c r="H657" s="15"/>
      <c r="I657" s="14"/>
      <c r="J657" s="15"/>
      <c r="K657" s="14"/>
    </row>
    <row r="658" spans="4:11" ht="12.3" x14ac:dyDescent="0.4">
      <c r="D658" s="15"/>
      <c r="E658" s="13"/>
      <c r="F658" s="15"/>
      <c r="G658" s="14"/>
      <c r="H658" s="15"/>
      <c r="I658" s="14"/>
      <c r="J658" s="15"/>
      <c r="K658" s="14"/>
    </row>
    <row r="659" spans="4:11" ht="12.3" x14ac:dyDescent="0.4">
      <c r="D659" s="15"/>
      <c r="E659" s="13"/>
      <c r="F659" s="15"/>
      <c r="G659" s="14"/>
      <c r="H659" s="15"/>
      <c r="I659" s="14"/>
      <c r="J659" s="15"/>
      <c r="K659" s="14"/>
    </row>
    <row r="660" spans="4:11" ht="12.3" x14ac:dyDescent="0.4">
      <c r="D660" s="15"/>
      <c r="E660" s="13"/>
      <c r="F660" s="15"/>
      <c r="G660" s="14"/>
      <c r="H660" s="15"/>
      <c r="I660" s="14"/>
      <c r="J660" s="15"/>
      <c r="K660" s="14"/>
    </row>
    <row r="661" spans="4:11" ht="12.3" x14ac:dyDescent="0.4">
      <c r="D661" s="15"/>
      <c r="E661" s="13"/>
      <c r="F661" s="15"/>
      <c r="G661" s="14"/>
      <c r="H661" s="15"/>
      <c r="I661" s="14"/>
      <c r="J661" s="15"/>
      <c r="K661" s="14"/>
    </row>
    <row r="662" spans="4:11" ht="12.3" x14ac:dyDescent="0.4">
      <c r="D662" s="15"/>
      <c r="E662" s="13"/>
      <c r="F662" s="15"/>
      <c r="G662" s="14"/>
      <c r="H662" s="15"/>
      <c r="I662" s="14"/>
      <c r="J662" s="15"/>
      <c r="K662" s="14"/>
    </row>
    <row r="663" spans="4:11" ht="12.3" x14ac:dyDescent="0.4">
      <c r="D663" s="15"/>
      <c r="E663" s="13"/>
      <c r="F663" s="15"/>
      <c r="G663" s="14"/>
      <c r="H663" s="15"/>
      <c r="I663" s="14"/>
      <c r="J663" s="15"/>
      <c r="K663" s="14"/>
    </row>
    <row r="664" spans="4:11" ht="12.3" x14ac:dyDescent="0.4">
      <c r="D664" s="15"/>
      <c r="E664" s="13"/>
      <c r="F664" s="15"/>
      <c r="G664" s="14"/>
      <c r="H664" s="15"/>
      <c r="I664" s="14"/>
      <c r="J664" s="15"/>
      <c r="K664" s="14"/>
    </row>
    <row r="665" spans="4:11" ht="12.3" x14ac:dyDescent="0.4">
      <c r="D665" s="15"/>
      <c r="E665" s="13"/>
      <c r="F665" s="15"/>
      <c r="G665" s="14"/>
      <c r="H665" s="15"/>
      <c r="I665" s="14"/>
      <c r="J665" s="15"/>
      <c r="K665" s="14"/>
    </row>
    <row r="666" spans="4:11" ht="12.3" x14ac:dyDescent="0.4">
      <c r="D666" s="15"/>
      <c r="E666" s="13"/>
      <c r="F666" s="15"/>
      <c r="G666" s="14"/>
      <c r="H666" s="15"/>
      <c r="I666" s="14"/>
      <c r="J666" s="15"/>
      <c r="K666" s="14"/>
    </row>
    <row r="667" spans="4:11" ht="12.3" x14ac:dyDescent="0.4">
      <c r="D667" s="15"/>
      <c r="E667" s="13"/>
      <c r="F667" s="15"/>
      <c r="G667" s="14"/>
      <c r="H667" s="15"/>
      <c r="I667" s="14"/>
      <c r="J667" s="15"/>
      <c r="K667" s="14"/>
    </row>
    <row r="668" spans="4:11" ht="12.3" x14ac:dyDescent="0.4">
      <c r="D668" s="15"/>
      <c r="E668" s="13"/>
      <c r="F668" s="15"/>
      <c r="G668" s="14"/>
      <c r="H668" s="15"/>
      <c r="I668" s="14"/>
      <c r="J668" s="15"/>
      <c r="K668" s="14"/>
    </row>
    <row r="669" spans="4:11" ht="12.3" x14ac:dyDescent="0.4">
      <c r="D669" s="15"/>
      <c r="E669" s="13"/>
      <c r="F669" s="15"/>
      <c r="G669" s="14"/>
      <c r="H669" s="15"/>
      <c r="I669" s="14"/>
      <c r="J669" s="15"/>
      <c r="K669" s="14"/>
    </row>
    <row r="670" spans="4:11" ht="12.3" x14ac:dyDescent="0.4">
      <c r="D670" s="15"/>
      <c r="E670" s="13"/>
      <c r="F670" s="15"/>
      <c r="G670" s="14"/>
      <c r="H670" s="15"/>
      <c r="I670" s="14"/>
      <c r="J670" s="15"/>
      <c r="K670" s="14"/>
    </row>
    <row r="671" spans="4:11" ht="12.3" x14ac:dyDescent="0.4">
      <c r="D671" s="15"/>
      <c r="E671" s="13"/>
      <c r="F671" s="15"/>
      <c r="G671" s="14"/>
      <c r="H671" s="15"/>
      <c r="I671" s="14"/>
      <c r="J671" s="15"/>
      <c r="K671" s="14"/>
    </row>
    <row r="672" spans="4:11" ht="12.3" x14ac:dyDescent="0.4">
      <c r="D672" s="15"/>
      <c r="E672" s="13"/>
      <c r="F672" s="15"/>
      <c r="G672" s="14"/>
      <c r="H672" s="15"/>
      <c r="I672" s="14"/>
      <c r="J672" s="15"/>
      <c r="K672" s="14"/>
    </row>
    <row r="673" spans="4:11" ht="12.3" x14ac:dyDescent="0.4">
      <c r="D673" s="15"/>
      <c r="E673" s="13"/>
      <c r="F673" s="15"/>
      <c r="G673" s="14"/>
      <c r="H673" s="15"/>
      <c r="I673" s="14"/>
      <c r="J673" s="15"/>
      <c r="K673" s="14"/>
    </row>
    <row r="674" spans="4:11" ht="12.3" x14ac:dyDescent="0.4">
      <c r="D674" s="15"/>
      <c r="E674" s="13"/>
      <c r="F674" s="15"/>
      <c r="G674" s="14"/>
      <c r="H674" s="15"/>
      <c r="I674" s="14"/>
      <c r="J674" s="15"/>
      <c r="K674" s="14"/>
    </row>
    <row r="675" spans="4:11" ht="12.3" x14ac:dyDescent="0.4">
      <c r="D675" s="15"/>
      <c r="E675" s="13"/>
      <c r="F675" s="15"/>
      <c r="G675" s="14"/>
      <c r="H675" s="15"/>
      <c r="I675" s="14"/>
      <c r="J675" s="15"/>
      <c r="K675" s="14"/>
    </row>
    <row r="676" spans="4:11" ht="12.3" x14ac:dyDescent="0.4">
      <c r="D676" s="15"/>
      <c r="E676" s="13"/>
      <c r="F676" s="15"/>
      <c r="G676" s="14"/>
      <c r="H676" s="15"/>
      <c r="I676" s="14"/>
      <c r="J676" s="15"/>
      <c r="K676" s="14"/>
    </row>
    <row r="677" spans="4:11" ht="12.3" x14ac:dyDescent="0.4">
      <c r="D677" s="15"/>
      <c r="E677" s="13"/>
      <c r="F677" s="15"/>
      <c r="G677" s="14"/>
      <c r="H677" s="15"/>
      <c r="I677" s="14"/>
      <c r="J677" s="15"/>
      <c r="K677" s="14"/>
    </row>
    <row r="678" spans="4:11" ht="12.3" x14ac:dyDescent="0.4">
      <c r="D678" s="15"/>
      <c r="E678" s="13"/>
      <c r="F678" s="15"/>
      <c r="G678" s="14"/>
      <c r="H678" s="15"/>
      <c r="I678" s="14"/>
      <c r="J678" s="15"/>
      <c r="K678" s="14"/>
    </row>
    <row r="679" spans="4:11" ht="12.3" x14ac:dyDescent="0.4">
      <c r="D679" s="15"/>
      <c r="E679" s="13"/>
      <c r="F679" s="15"/>
      <c r="G679" s="14"/>
      <c r="H679" s="15"/>
      <c r="I679" s="14"/>
      <c r="J679" s="15"/>
      <c r="K679" s="14"/>
    </row>
    <row r="680" spans="4:11" ht="12.3" x14ac:dyDescent="0.4">
      <c r="D680" s="15"/>
      <c r="E680" s="13"/>
      <c r="F680" s="15"/>
      <c r="G680" s="14"/>
      <c r="H680" s="15"/>
      <c r="I680" s="14"/>
      <c r="J680" s="15"/>
      <c r="K680" s="14"/>
    </row>
    <row r="681" spans="4:11" ht="12.3" x14ac:dyDescent="0.4">
      <c r="D681" s="15"/>
      <c r="E681" s="13"/>
      <c r="F681" s="15"/>
      <c r="G681" s="14"/>
      <c r="H681" s="15"/>
      <c r="I681" s="14"/>
      <c r="J681" s="15"/>
      <c r="K681" s="14"/>
    </row>
    <row r="682" spans="4:11" ht="12.3" x14ac:dyDescent="0.4">
      <c r="D682" s="15"/>
      <c r="E682" s="13"/>
      <c r="F682" s="15"/>
      <c r="G682" s="14"/>
      <c r="H682" s="15"/>
      <c r="I682" s="14"/>
      <c r="J682" s="15"/>
      <c r="K682" s="14"/>
    </row>
    <row r="683" spans="4:11" ht="12.3" x14ac:dyDescent="0.4">
      <c r="D683" s="15"/>
      <c r="E683" s="13"/>
      <c r="F683" s="15"/>
      <c r="G683" s="14"/>
      <c r="H683" s="15"/>
      <c r="I683" s="14"/>
      <c r="J683" s="15"/>
      <c r="K683" s="14"/>
    </row>
    <row r="684" spans="4:11" ht="12.3" x14ac:dyDescent="0.4">
      <c r="D684" s="15"/>
      <c r="E684" s="13"/>
      <c r="F684" s="15"/>
      <c r="G684" s="14"/>
      <c r="H684" s="15"/>
      <c r="I684" s="14"/>
      <c r="J684" s="15"/>
      <c r="K684" s="14"/>
    </row>
    <row r="685" spans="4:11" ht="12.3" x14ac:dyDescent="0.4">
      <c r="D685" s="15"/>
      <c r="E685" s="13"/>
      <c r="F685" s="15"/>
      <c r="G685" s="14"/>
      <c r="H685" s="15"/>
      <c r="I685" s="14"/>
      <c r="J685" s="15"/>
      <c r="K685" s="14"/>
    </row>
    <row r="686" spans="4:11" ht="12.3" x14ac:dyDescent="0.4">
      <c r="D686" s="15"/>
      <c r="E686" s="13"/>
      <c r="F686" s="15"/>
      <c r="G686" s="14"/>
      <c r="H686" s="15"/>
      <c r="I686" s="14"/>
      <c r="J686" s="15"/>
      <c r="K686" s="14"/>
    </row>
    <row r="687" spans="4:11" ht="12.3" x14ac:dyDescent="0.4">
      <c r="D687" s="15"/>
      <c r="E687" s="13"/>
      <c r="F687" s="15"/>
      <c r="G687" s="14"/>
      <c r="H687" s="15"/>
      <c r="I687" s="14"/>
      <c r="J687" s="15"/>
      <c r="K687" s="14"/>
    </row>
    <row r="688" spans="4:11" ht="12.3" x14ac:dyDescent="0.4">
      <c r="D688" s="15"/>
      <c r="E688" s="13"/>
      <c r="F688" s="15"/>
      <c r="G688" s="14"/>
      <c r="H688" s="15"/>
      <c r="I688" s="14"/>
      <c r="J688" s="15"/>
      <c r="K688" s="14"/>
    </row>
    <row r="689" spans="4:11" ht="12.3" x14ac:dyDescent="0.4">
      <c r="D689" s="15"/>
      <c r="E689" s="13"/>
      <c r="F689" s="15"/>
      <c r="G689" s="14"/>
      <c r="H689" s="15"/>
      <c r="I689" s="14"/>
      <c r="J689" s="15"/>
      <c r="K689" s="14"/>
    </row>
    <row r="690" spans="4:11" ht="12.3" x14ac:dyDescent="0.4">
      <c r="D690" s="15"/>
      <c r="E690" s="13"/>
      <c r="F690" s="15"/>
      <c r="G690" s="14"/>
      <c r="H690" s="15"/>
      <c r="I690" s="14"/>
      <c r="J690" s="15"/>
      <c r="K690" s="14"/>
    </row>
    <row r="691" spans="4:11" ht="12.3" x14ac:dyDescent="0.4">
      <c r="D691" s="15"/>
      <c r="E691" s="13"/>
      <c r="F691" s="15"/>
      <c r="G691" s="14"/>
      <c r="H691" s="15"/>
      <c r="I691" s="14"/>
      <c r="J691" s="15"/>
      <c r="K691" s="14"/>
    </row>
    <row r="692" spans="4:11" ht="12.3" x14ac:dyDescent="0.4">
      <c r="D692" s="15"/>
      <c r="E692" s="13"/>
      <c r="F692" s="15"/>
      <c r="G692" s="14"/>
      <c r="H692" s="15"/>
      <c r="I692" s="14"/>
      <c r="J692" s="15"/>
      <c r="K692" s="14"/>
    </row>
    <row r="693" spans="4:11" ht="12.3" x14ac:dyDescent="0.4">
      <c r="D693" s="15"/>
      <c r="E693" s="13"/>
      <c r="F693" s="15"/>
      <c r="G693" s="14"/>
      <c r="H693" s="15"/>
      <c r="I693" s="14"/>
      <c r="J693" s="15"/>
      <c r="K693" s="14"/>
    </row>
    <row r="694" spans="4:11" ht="12.3" x14ac:dyDescent="0.4">
      <c r="D694" s="15"/>
      <c r="E694" s="13"/>
      <c r="F694" s="15"/>
      <c r="G694" s="14"/>
      <c r="H694" s="15"/>
      <c r="I694" s="14"/>
      <c r="J694" s="15"/>
      <c r="K694" s="14"/>
    </row>
    <row r="695" spans="4:11" ht="12.3" x14ac:dyDescent="0.4">
      <c r="D695" s="15"/>
      <c r="E695" s="13"/>
      <c r="F695" s="15"/>
      <c r="G695" s="14"/>
      <c r="H695" s="15"/>
      <c r="I695" s="14"/>
      <c r="J695" s="15"/>
      <c r="K695" s="14"/>
    </row>
    <row r="696" spans="4:11" ht="12.3" x14ac:dyDescent="0.4">
      <c r="D696" s="15"/>
      <c r="E696" s="13"/>
      <c r="F696" s="15"/>
      <c r="G696" s="14"/>
      <c r="H696" s="15"/>
      <c r="I696" s="14"/>
      <c r="J696" s="15"/>
      <c r="K696" s="14"/>
    </row>
    <row r="697" spans="4:11" ht="12.3" x14ac:dyDescent="0.4">
      <c r="D697" s="15"/>
      <c r="E697" s="13"/>
      <c r="F697" s="15"/>
      <c r="G697" s="14"/>
      <c r="H697" s="15"/>
      <c r="I697" s="14"/>
      <c r="J697" s="15"/>
      <c r="K697" s="14"/>
    </row>
    <row r="698" spans="4:11" ht="12.3" x14ac:dyDescent="0.4">
      <c r="D698" s="15"/>
      <c r="E698" s="13"/>
      <c r="F698" s="15"/>
      <c r="G698" s="14"/>
      <c r="H698" s="15"/>
      <c r="I698" s="14"/>
      <c r="J698" s="15"/>
      <c r="K698" s="14"/>
    </row>
    <row r="699" spans="4:11" ht="12.3" x14ac:dyDescent="0.4">
      <c r="D699" s="15"/>
      <c r="E699" s="13"/>
      <c r="F699" s="15"/>
      <c r="G699" s="14"/>
      <c r="H699" s="15"/>
      <c r="I699" s="14"/>
      <c r="J699" s="15"/>
      <c r="K699" s="14"/>
    </row>
    <row r="700" spans="4:11" ht="12.3" x14ac:dyDescent="0.4">
      <c r="D700" s="15"/>
      <c r="E700" s="13"/>
      <c r="F700" s="15"/>
      <c r="G700" s="14"/>
      <c r="H700" s="15"/>
      <c r="I700" s="14"/>
      <c r="J700" s="15"/>
      <c r="K700" s="14"/>
    </row>
    <row r="701" spans="4:11" ht="12.3" x14ac:dyDescent="0.4">
      <c r="D701" s="15"/>
      <c r="E701" s="13"/>
      <c r="F701" s="15"/>
      <c r="G701" s="14"/>
      <c r="H701" s="15"/>
      <c r="I701" s="14"/>
      <c r="J701" s="15"/>
      <c r="K701" s="14"/>
    </row>
    <row r="702" spans="4:11" ht="12.3" x14ac:dyDescent="0.4">
      <c r="D702" s="15"/>
      <c r="E702" s="13"/>
      <c r="F702" s="15"/>
      <c r="G702" s="14"/>
      <c r="H702" s="15"/>
      <c r="I702" s="14"/>
      <c r="J702" s="15"/>
      <c r="K702" s="14"/>
    </row>
    <row r="703" spans="4:11" ht="12.3" x14ac:dyDescent="0.4">
      <c r="D703" s="15"/>
      <c r="E703" s="13"/>
      <c r="F703" s="15"/>
      <c r="G703" s="14"/>
      <c r="H703" s="15"/>
      <c r="I703" s="14"/>
      <c r="J703" s="15"/>
      <c r="K703" s="14"/>
    </row>
    <row r="704" spans="4:11" ht="12.3" x14ac:dyDescent="0.4">
      <c r="D704" s="15"/>
      <c r="E704" s="13"/>
      <c r="F704" s="15"/>
      <c r="G704" s="14"/>
      <c r="H704" s="15"/>
      <c r="I704" s="14"/>
      <c r="J704" s="15"/>
      <c r="K704" s="14"/>
    </row>
    <row r="705" spans="4:11" ht="12.3" x14ac:dyDescent="0.4">
      <c r="D705" s="15"/>
      <c r="E705" s="13"/>
      <c r="F705" s="15"/>
      <c r="G705" s="14"/>
      <c r="H705" s="15"/>
      <c r="I705" s="14"/>
      <c r="J705" s="15"/>
      <c r="K705" s="14"/>
    </row>
    <row r="706" spans="4:11" ht="12.3" x14ac:dyDescent="0.4">
      <c r="D706" s="15"/>
      <c r="E706" s="13"/>
      <c r="F706" s="15"/>
      <c r="G706" s="14"/>
      <c r="H706" s="15"/>
      <c r="I706" s="14"/>
      <c r="J706" s="15"/>
      <c r="K706" s="14"/>
    </row>
    <row r="707" spans="4:11" ht="12.3" x14ac:dyDescent="0.4">
      <c r="D707" s="15"/>
      <c r="E707" s="13"/>
      <c r="F707" s="15"/>
      <c r="G707" s="14"/>
      <c r="H707" s="15"/>
      <c r="I707" s="14"/>
      <c r="J707" s="15"/>
      <c r="K707" s="14"/>
    </row>
    <row r="708" spans="4:11" ht="12.3" x14ac:dyDescent="0.4">
      <c r="D708" s="15"/>
      <c r="E708" s="13"/>
      <c r="F708" s="15"/>
      <c r="G708" s="14"/>
      <c r="H708" s="15"/>
      <c r="I708" s="14"/>
      <c r="J708" s="15"/>
      <c r="K708" s="14"/>
    </row>
    <row r="709" spans="4:11" ht="12.3" x14ac:dyDescent="0.4">
      <c r="D709" s="15"/>
      <c r="E709" s="13"/>
      <c r="F709" s="15"/>
      <c r="G709" s="14"/>
      <c r="H709" s="15"/>
      <c r="I709" s="14"/>
      <c r="J709" s="15"/>
      <c r="K709" s="14"/>
    </row>
    <row r="710" spans="4:11" ht="12.3" x14ac:dyDescent="0.4">
      <c r="D710" s="15"/>
      <c r="E710" s="13"/>
      <c r="F710" s="15"/>
      <c r="G710" s="14"/>
      <c r="H710" s="15"/>
      <c r="I710" s="14"/>
      <c r="J710" s="15"/>
      <c r="K710" s="14"/>
    </row>
    <row r="711" spans="4:11" ht="12.3" x14ac:dyDescent="0.4">
      <c r="D711" s="15"/>
      <c r="E711" s="13"/>
      <c r="F711" s="15"/>
      <c r="G711" s="14"/>
      <c r="H711" s="15"/>
      <c r="I711" s="14"/>
      <c r="J711" s="15"/>
      <c r="K711" s="14"/>
    </row>
    <row r="712" spans="4:11" ht="12.3" x14ac:dyDescent="0.4">
      <c r="D712" s="15"/>
      <c r="E712" s="13"/>
      <c r="F712" s="15"/>
      <c r="G712" s="14"/>
      <c r="H712" s="15"/>
      <c r="I712" s="14"/>
      <c r="J712" s="15"/>
      <c r="K712" s="14"/>
    </row>
    <row r="713" spans="4:11" ht="12.3" x14ac:dyDescent="0.4">
      <c r="D713" s="15"/>
      <c r="E713" s="13"/>
      <c r="F713" s="15"/>
      <c r="G713" s="14"/>
      <c r="H713" s="15"/>
      <c r="I713" s="14"/>
      <c r="J713" s="15"/>
      <c r="K713" s="14"/>
    </row>
    <row r="714" spans="4:11" ht="12.3" x14ac:dyDescent="0.4">
      <c r="D714" s="15"/>
      <c r="E714" s="13"/>
      <c r="F714" s="15"/>
      <c r="G714" s="14"/>
      <c r="H714" s="15"/>
      <c r="I714" s="14"/>
      <c r="J714" s="15"/>
      <c r="K714" s="14"/>
    </row>
    <row r="715" spans="4:11" ht="12.3" x14ac:dyDescent="0.4">
      <c r="D715" s="15"/>
      <c r="E715" s="13"/>
      <c r="F715" s="15"/>
      <c r="G715" s="14"/>
      <c r="H715" s="15"/>
      <c r="I715" s="14"/>
      <c r="J715" s="15"/>
      <c r="K715" s="14"/>
    </row>
    <row r="716" spans="4:11" ht="12.3" x14ac:dyDescent="0.4">
      <c r="D716" s="15"/>
      <c r="E716" s="13"/>
      <c r="F716" s="15"/>
      <c r="G716" s="14"/>
      <c r="H716" s="15"/>
      <c r="I716" s="14"/>
      <c r="J716" s="15"/>
      <c r="K716" s="14"/>
    </row>
    <row r="717" spans="4:11" ht="12.3" x14ac:dyDescent="0.4">
      <c r="D717" s="15"/>
      <c r="E717" s="13"/>
      <c r="F717" s="15"/>
      <c r="G717" s="14"/>
      <c r="H717" s="15"/>
      <c r="I717" s="14"/>
      <c r="J717" s="15"/>
      <c r="K717" s="14"/>
    </row>
    <row r="718" spans="4:11" ht="12.3" x14ac:dyDescent="0.4">
      <c r="D718" s="15"/>
      <c r="E718" s="13"/>
      <c r="F718" s="15"/>
      <c r="G718" s="14"/>
      <c r="H718" s="15"/>
      <c r="I718" s="14"/>
      <c r="J718" s="15"/>
      <c r="K718" s="14"/>
    </row>
    <row r="719" spans="4:11" ht="12.3" x14ac:dyDescent="0.4">
      <c r="D719" s="15"/>
      <c r="E719" s="13"/>
      <c r="F719" s="15"/>
      <c r="G719" s="14"/>
      <c r="H719" s="15"/>
      <c r="I719" s="14"/>
      <c r="J719" s="15"/>
      <c r="K719" s="14"/>
    </row>
    <row r="720" spans="4:11" ht="12.3" x14ac:dyDescent="0.4">
      <c r="D720" s="15"/>
      <c r="E720" s="13"/>
      <c r="F720" s="15"/>
      <c r="G720" s="14"/>
      <c r="H720" s="15"/>
      <c r="I720" s="14"/>
      <c r="J720" s="15"/>
      <c r="K720" s="14"/>
    </row>
    <row r="721" spans="4:11" ht="12.3" x14ac:dyDescent="0.4">
      <c r="D721" s="15"/>
      <c r="E721" s="13"/>
      <c r="F721" s="15"/>
      <c r="G721" s="14"/>
      <c r="H721" s="15"/>
      <c r="I721" s="14"/>
      <c r="J721" s="15"/>
      <c r="K721" s="14"/>
    </row>
    <row r="722" spans="4:11" ht="12.3" x14ac:dyDescent="0.4">
      <c r="D722" s="15"/>
      <c r="E722" s="13"/>
      <c r="F722" s="15"/>
      <c r="G722" s="14"/>
      <c r="H722" s="15"/>
      <c r="I722" s="14"/>
      <c r="J722" s="15"/>
      <c r="K722" s="14"/>
    </row>
    <row r="723" spans="4:11" ht="12.3" x14ac:dyDescent="0.4">
      <c r="D723" s="15"/>
      <c r="E723" s="13"/>
      <c r="F723" s="15"/>
      <c r="G723" s="14"/>
      <c r="H723" s="15"/>
      <c r="I723" s="14"/>
      <c r="J723" s="15"/>
      <c r="K723" s="14"/>
    </row>
    <row r="724" spans="4:11" ht="12.3" x14ac:dyDescent="0.4">
      <c r="D724" s="15"/>
      <c r="E724" s="13"/>
      <c r="F724" s="15"/>
      <c r="G724" s="14"/>
      <c r="H724" s="15"/>
      <c r="I724" s="14"/>
      <c r="J724" s="15"/>
      <c r="K724" s="14"/>
    </row>
    <row r="725" spans="4:11" ht="12.3" x14ac:dyDescent="0.4">
      <c r="D725" s="15"/>
      <c r="E725" s="13"/>
      <c r="F725" s="15"/>
      <c r="G725" s="14"/>
      <c r="H725" s="15"/>
      <c r="I725" s="14"/>
      <c r="J725" s="15"/>
      <c r="K725" s="14"/>
    </row>
    <row r="726" spans="4:11" ht="12.3" x14ac:dyDescent="0.4">
      <c r="D726" s="15"/>
      <c r="E726" s="13"/>
      <c r="F726" s="15"/>
      <c r="G726" s="14"/>
      <c r="H726" s="15"/>
      <c r="I726" s="14"/>
      <c r="J726" s="15"/>
      <c r="K726" s="14"/>
    </row>
    <row r="727" spans="4:11" ht="12.3" x14ac:dyDescent="0.4">
      <c r="D727" s="15"/>
      <c r="E727" s="13"/>
      <c r="F727" s="15"/>
      <c r="G727" s="14"/>
      <c r="H727" s="15"/>
      <c r="I727" s="14"/>
      <c r="J727" s="15"/>
      <c r="K727" s="14"/>
    </row>
    <row r="728" spans="4:11" ht="12.3" x14ac:dyDescent="0.4">
      <c r="D728" s="15"/>
      <c r="E728" s="13"/>
      <c r="F728" s="15"/>
      <c r="G728" s="14"/>
      <c r="H728" s="15"/>
      <c r="I728" s="14"/>
      <c r="J728" s="15"/>
      <c r="K728" s="14"/>
    </row>
    <row r="729" spans="4:11" ht="12.3" x14ac:dyDescent="0.4">
      <c r="D729" s="15"/>
      <c r="E729" s="13"/>
      <c r="F729" s="15"/>
      <c r="G729" s="14"/>
      <c r="H729" s="15"/>
      <c r="I729" s="14"/>
      <c r="J729" s="15"/>
      <c r="K729" s="14"/>
    </row>
    <row r="730" spans="4:11" ht="12.3" x14ac:dyDescent="0.4">
      <c r="D730" s="15"/>
      <c r="E730" s="13"/>
      <c r="F730" s="15"/>
      <c r="G730" s="14"/>
      <c r="H730" s="15"/>
      <c r="I730" s="14"/>
      <c r="J730" s="15"/>
      <c r="K730" s="14"/>
    </row>
    <row r="731" spans="4:11" ht="12.3" x14ac:dyDescent="0.4">
      <c r="D731" s="15"/>
      <c r="E731" s="13"/>
      <c r="F731" s="15"/>
      <c r="G731" s="14"/>
      <c r="H731" s="15"/>
      <c r="I731" s="14"/>
      <c r="J731" s="15"/>
      <c r="K731" s="14"/>
    </row>
    <row r="732" spans="4:11" ht="12.3" x14ac:dyDescent="0.4">
      <c r="D732" s="15"/>
      <c r="E732" s="13"/>
      <c r="F732" s="15"/>
      <c r="G732" s="14"/>
      <c r="H732" s="15"/>
      <c r="I732" s="14"/>
      <c r="J732" s="15"/>
      <c r="K732" s="14"/>
    </row>
    <row r="733" spans="4:11" ht="12.3" x14ac:dyDescent="0.4">
      <c r="D733" s="15"/>
      <c r="E733" s="13"/>
      <c r="F733" s="15"/>
      <c r="G733" s="14"/>
      <c r="H733" s="15"/>
      <c r="I733" s="14"/>
      <c r="J733" s="15"/>
      <c r="K733" s="14"/>
    </row>
    <row r="734" spans="4:11" ht="12.3" x14ac:dyDescent="0.4">
      <c r="D734" s="15"/>
      <c r="E734" s="13"/>
      <c r="F734" s="15"/>
      <c r="G734" s="14"/>
      <c r="H734" s="15"/>
      <c r="I734" s="14"/>
      <c r="J734" s="15"/>
      <c r="K734" s="14"/>
    </row>
    <row r="735" spans="4:11" ht="12.3" x14ac:dyDescent="0.4">
      <c r="D735" s="15"/>
      <c r="E735" s="13"/>
      <c r="F735" s="15"/>
      <c r="G735" s="14"/>
      <c r="H735" s="15"/>
      <c r="I735" s="14"/>
      <c r="J735" s="15"/>
      <c r="K735" s="14"/>
    </row>
    <row r="736" spans="4:11" ht="12.3" x14ac:dyDescent="0.4">
      <c r="D736" s="15"/>
      <c r="E736" s="13"/>
      <c r="F736" s="15"/>
      <c r="G736" s="14"/>
      <c r="H736" s="15"/>
      <c r="I736" s="14"/>
      <c r="J736" s="15"/>
      <c r="K736" s="14"/>
    </row>
    <row r="737" spans="4:11" ht="12.3" x14ac:dyDescent="0.4">
      <c r="D737" s="15"/>
      <c r="E737" s="13"/>
      <c r="F737" s="15"/>
      <c r="G737" s="14"/>
      <c r="H737" s="15"/>
      <c r="I737" s="14"/>
      <c r="J737" s="15"/>
      <c r="K737" s="14"/>
    </row>
    <row r="738" spans="4:11" ht="12.3" x14ac:dyDescent="0.4">
      <c r="D738" s="15"/>
      <c r="E738" s="13"/>
      <c r="F738" s="15"/>
      <c r="G738" s="14"/>
      <c r="H738" s="15"/>
      <c r="I738" s="14"/>
      <c r="J738" s="15"/>
      <c r="K738" s="14"/>
    </row>
    <row r="739" spans="4:11" ht="12.3" x14ac:dyDescent="0.4">
      <c r="D739" s="15"/>
      <c r="E739" s="13"/>
      <c r="F739" s="15"/>
      <c r="G739" s="14"/>
      <c r="H739" s="15"/>
      <c r="I739" s="14"/>
      <c r="J739" s="15"/>
      <c r="K739" s="14"/>
    </row>
    <row r="740" spans="4:11" ht="12.3" x14ac:dyDescent="0.4">
      <c r="D740" s="15"/>
      <c r="E740" s="13"/>
      <c r="F740" s="15"/>
      <c r="G740" s="14"/>
      <c r="H740" s="15"/>
      <c r="I740" s="14"/>
      <c r="J740" s="15"/>
      <c r="K740" s="14"/>
    </row>
    <row r="741" spans="4:11" ht="12.3" x14ac:dyDescent="0.4">
      <c r="D741" s="15"/>
      <c r="E741" s="13"/>
      <c r="F741" s="15"/>
      <c r="G741" s="14"/>
      <c r="H741" s="15"/>
      <c r="I741" s="14"/>
      <c r="J741" s="15"/>
      <c r="K741" s="14"/>
    </row>
    <row r="742" spans="4:11" ht="12.3" x14ac:dyDescent="0.4">
      <c r="D742" s="15"/>
      <c r="E742" s="13"/>
      <c r="F742" s="15"/>
      <c r="G742" s="14"/>
      <c r="H742" s="15"/>
      <c r="I742" s="14"/>
      <c r="J742" s="15"/>
      <c r="K742" s="14"/>
    </row>
    <row r="743" spans="4:11" ht="12.3" x14ac:dyDescent="0.4">
      <c r="D743" s="15"/>
      <c r="E743" s="13"/>
      <c r="F743" s="15"/>
      <c r="G743" s="14"/>
      <c r="H743" s="15"/>
      <c r="I743" s="14"/>
      <c r="J743" s="15"/>
      <c r="K743" s="14"/>
    </row>
    <row r="744" spans="4:11" ht="12.3" x14ac:dyDescent="0.4">
      <c r="D744" s="15"/>
      <c r="E744" s="13"/>
      <c r="F744" s="15"/>
      <c r="G744" s="14"/>
      <c r="H744" s="15"/>
      <c r="I744" s="14"/>
      <c r="J744" s="15"/>
      <c r="K744" s="14"/>
    </row>
    <row r="745" spans="4:11" ht="12.3" x14ac:dyDescent="0.4">
      <c r="D745" s="15"/>
      <c r="E745" s="13"/>
      <c r="F745" s="15"/>
      <c r="G745" s="14"/>
      <c r="H745" s="15"/>
      <c r="I745" s="14"/>
      <c r="J745" s="15"/>
      <c r="K745" s="14"/>
    </row>
    <row r="746" spans="4:11" ht="12.3" x14ac:dyDescent="0.4">
      <c r="D746" s="15"/>
      <c r="E746" s="13"/>
      <c r="F746" s="15"/>
      <c r="G746" s="14"/>
      <c r="H746" s="15"/>
      <c r="I746" s="14"/>
      <c r="J746" s="15"/>
      <c r="K746" s="14"/>
    </row>
    <row r="747" spans="4:11" ht="12.3" x14ac:dyDescent="0.4">
      <c r="D747" s="15"/>
      <c r="E747" s="13"/>
      <c r="F747" s="15"/>
      <c r="G747" s="14"/>
      <c r="H747" s="15"/>
      <c r="I747" s="14"/>
      <c r="J747" s="15"/>
      <c r="K747" s="14"/>
    </row>
    <row r="748" spans="4:11" ht="12.3" x14ac:dyDescent="0.4">
      <c r="D748" s="15"/>
      <c r="E748" s="13"/>
      <c r="F748" s="15"/>
      <c r="G748" s="14"/>
      <c r="H748" s="15"/>
      <c r="I748" s="14"/>
      <c r="J748" s="15"/>
      <c r="K748" s="14"/>
    </row>
    <row r="749" spans="4:11" ht="12.3" x14ac:dyDescent="0.4">
      <c r="D749" s="15"/>
      <c r="E749" s="13"/>
      <c r="F749" s="15"/>
      <c r="G749" s="14"/>
      <c r="H749" s="15"/>
      <c r="I749" s="14"/>
      <c r="J749" s="15"/>
      <c r="K749" s="14"/>
    </row>
    <row r="750" spans="4:11" ht="12.3" x14ac:dyDescent="0.4">
      <c r="D750" s="15"/>
      <c r="E750" s="13"/>
      <c r="F750" s="15"/>
      <c r="G750" s="14"/>
      <c r="H750" s="15"/>
      <c r="I750" s="14"/>
      <c r="J750" s="15"/>
      <c r="K750" s="14"/>
    </row>
    <row r="751" spans="4:11" ht="12.3" x14ac:dyDescent="0.4">
      <c r="D751" s="15"/>
      <c r="E751" s="13"/>
      <c r="F751" s="15"/>
      <c r="G751" s="14"/>
      <c r="H751" s="15"/>
      <c r="I751" s="14"/>
      <c r="J751" s="15"/>
      <c r="K751" s="14"/>
    </row>
    <row r="752" spans="4:11" ht="12.3" x14ac:dyDescent="0.4">
      <c r="D752" s="15"/>
      <c r="E752" s="13"/>
      <c r="F752" s="15"/>
      <c r="G752" s="14"/>
      <c r="H752" s="15"/>
      <c r="I752" s="14"/>
      <c r="J752" s="15"/>
      <c r="K752" s="14"/>
    </row>
    <row r="753" spans="4:11" ht="12.3" x14ac:dyDescent="0.4">
      <c r="D753" s="15"/>
      <c r="E753" s="13"/>
      <c r="F753" s="15"/>
      <c r="G753" s="14"/>
      <c r="H753" s="15"/>
      <c r="I753" s="14"/>
      <c r="J753" s="15"/>
      <c r="K753" s="14"/>
    </row>
    <row r="754" spans="4:11" ht="12.3" x14ac:dyDescent="0.4">
      <c r="D754" s="15"/>
      <c r="E754" s="13"/>
      <c r="F754" s="15"/>
      <c r="G754" s="14"/>
      <c r="H754" s="15"/>
      <c r="I754" s="14"/>
      <c r="J754" s="15"/>
      <c r="K754" s="14"/>
    </row>
    <row r="755" spans="4:11" ht="12.3" x14ac:dyDescent="0.4">
      <c r="D755" s="15"/>
      <c r="E755" s="13"/>
      <c r="F755" s="15"/>
      <c r="G755" s="14"/>
      <c r="H755" s="15"/>
      <c r="I755" s="14"/>
      <c r="J755" s="15"/>
      <c r="K755" s="14"/>
    </row>
    <row r="756" spans="4:11" ht="12.3" x14ac:dyDescent="0.4">
      <c r="D756" s="15"/>
      <c r="E756" s="13"/>
      <c r="F756" s="15"/>
      <c r="G756" s="14"/>
      <c r="H756" s="15"/>
      <c r="I756" s="14"/>
      <c r="J756" s="15"/>
      <c r="K756" s="14"/>
    </row>
    <row r="757" spans="4:11" ht="12.3" x14ac:dyDescent="0.4">
      <c r="D757" s="15"/>
      <c r="E757" s="13"/>
      <c r="F757" s="15"/>
      <c r="G757" s="14"/>
      <c r="H757" s="15"/>
      <c r="I757" s="14"/>
      <c r="J757" s="15"/>
      <c r="K757" s="14"/>
    </row>
    <row r="758" spans="4:11" ht="12.3" x14ac:dyDescent="0.4">
      <c r="D758" s="15"/>
      <c r="E758" s="13"/>
      <c r="F758" s="15"/>
      <c r="G758" s="14"/>
      <c r="H758" s="15"/>
      <c r="I758" s="14"/>
      <c r="J758" s="15"/>
      <c r="K758" s="14"/>
    </row>
    <row r="759" spans="4:11" ht="12.3" x14ac:dyDescent="0.4">
      <c r="D759" s="15"/>
      <c r="E759" s="13"/>
      <c r="F759" s="15"/>
      <c r="G759" s="14"/>
      <c r="H759" s="15"/>
      <c r="I759" s="14"/>
      <c r="J759" s="15"/>
      <c r="K759" s="14"/>
    </row>
    <row r="760" spans="4:11" ht="12.3" x14ac:dyDescent="0.4">
      <c r="D760" s="15"/>
      <c r="E760" s="13"/>
      <c r="F760" s="15"/>
      <c r="G760" s="14"/>
      <c r="H760" s="15"/>
      <c r="I760" s="14"/>
      <c r="J760" s="15"/>
      <c r="K760" s="14"/>
    </row>
    <row r="761" spans="4:11" ht="12.3" x14ac:dyDescent="0.4">
      <c r="D761" s="15"/>
      <c r="E761" s="13"/>
      <c r="F761" s="15"/>
      <c r="G761" s="14"/>
      <c r="H761" s="15"/>
      <c r="I761" s="14"/>
      <c r="J761" s="15"/>
      <c r="K761" s="14"/>
    </row>
    <row r="762" spans="4:11" ht="12.3" x14ac:dyDescent="0.4">
      <c r="D762" s="15"/>
      <c r="E762" s="13"/>
      <c r="F762" s="15"/>
      <c r="G762" s="14"/>
      <c r="H762" s="15"/>
      <c r="I762" s="14"/>
      <c r="J762" s="15"/>
      <c r="K762" s="14"/>
    </row>
    <row r="763" spans="4:11" ht="12.3" x14ac:dyDescent="0.4">
      <c r="D763" s="15"/>
      <c r="E763" s="13"/>
      <c r="F763" s="15"/>
      <c r="G763" s="14"/>
      <c r="H763" s="15"/>
      <c r="I763" s="14"/>
      <c r="J763" s="15"/>
      <c r="K763" s="14"/>
    </row>
    <row r="764" spans="4:11" ht="12.3" x14ac:dyDescent="0.4">
      <c r="D764" s="15"/>
      <c r="E764" s="13"/>
      <c r="F764" s="15"/>
      <c r="G764" s="14"/>
      <c r="H764" s="15"/>
      <c r="I764" s="14"/>
      <c r="J764" s="15"/>
      <c r="K764" s="14"/>
    </row>
    <row r="765" spans="4:11" ht="12.3" x14ac:dyDescent="0.4">
      <c r="D765" s="15"/>
      <c r="E765" s="13"/>
      <c r="F765" s="15"/>
      <c r="G765" s="14"/>
      <c r="H765" s="15"/>
      <c r="I765" s="14"/>
      <c r="J765" s="15"/>
      <c r="K765" s="14"/>
    </row>
    <row r="766" spans="4:11" ht="12.3" x14ac:dyDescent="0.4">
      <c r="D766" s="15"/>
      <c r="E766" s="13"/>
      <c r="F766" s="15"/>
      <c r="G766" s="14"/>
      <c r="H766" s="15"/>
      <c r="I766" s="14"/>
      <c r="J766" s="15"/>
      <c r="K766" s="14"/>
    </row>
    <row r="767" spans="4:11" ht="12.3" x14ac:dyDescent="0.4">
      <c r="D767" s="15"/>
      <c r="E767" s="13"/>
      <c r="F767" s="15"/>
      <c r="G767" s="14"/>
      <c r="H767" s="15"/>
      <c r="I767" s="14"/>
      <c r="J767" s="15"/>
      <c r="K767" s="14"/>
    </row>
    <row r="768" spans="4:11" ht="12.3" x14ac:dyDescent="0.4">
      <c r="D768" s="15"/>
      <c r="E768" s="13"/>
      <c r="F768" s="15"/>
      <c r="G768" s="14"/>
      <c r="H768" s="15"/>
      <c r="I768" s="14"/>
      <c r="J768" s="15"/>
      <c r="K768" s="14"/>
    </row>
    <row r="769" spans="4:11" ht="12.3" x14ac:dyDescent="0.4">
      <c r="D769" s="15"/>
      <c r="E769" s="13"/>
      <c r="F769" s="15"/>
      <c r="G769" s="14"/>
      <c r="H769" s="15"/>
      <c r="I769" s="14"/>
      <c r="J769" s="15"/>
      <c r="K769" s="14"/>
    </row>
    <row r="770" spans="4:11" ht="12.3" x14ac:dyDescent="0.4">
      <c r="D770" s="15"/>
      <c r="E770" s="13"/>
      <c r="F770" s="15"/>
      <c r="G770" s="14"/>
      <c r="H770" s="15"/>
      <c r="I770" s="14"/>
      <c r="J770" s="15"/>
      <c r="K770" s="14"/>
    </row>
    <row r="771" spans="4:11" ht="12.3" x14ac:dyDescent="0.4">
      <c r="D771" s="15"/>
      <c r="E771" s="13"/>
      <c r="F771" s="15"/>
      <c r="G771" s="14"/>
      <c r="H771" s="15"/>
      <c r="I771" s="14"/>
      <c r="J771" s="15"/>
      <c r="K771" s="14"/>
    </row>
    <row r="772" spans="4:11" ht="12.3" x14ac:dyDescent="0.4">
      <c r="D772" s="15"/>
      <c r="E772" s="13"/>
      <c r="F772" s="15"/>
      <c r="G772" s="14"/>
      <c r="H772" s="15"/>
      <c r="I772" s="14"/>
      <c r="J772" s="15"/>
      <c r="K772" s="14"/>
    </row>
    <row r="773" spans="4:11" ht="12.3" x14ac:dyDescent="0.4">
      <c r="D773" s="15"/>
      <c r="E773" s="13"/>
      <c r="F773" s="15"/>
      <c r="G773" s="14"/>
      <c r="H773" s="15"/>
      <c r="I773" s="14"/>
      <c r="J773" s="15"/>
      <c r="K773" s="14"/>
    </row>
    <row r="774" spans="4:11" ht="12.3" x14ac:dyDescent="0.4">
      <c r="D774" s="15"/>
      <c r="E774" s="13"/>
      <c r="F774" s="15"/>
      <c r="G774" s="14"/>
      <c r="H774" s="15"/>
      <c r="I774" s="14"/>
      <c r="J774" s="15"/>
      <c r="K774" s="14"/>
    </row>
    <row r="775" spans="4:11" ht="12.3" x14ac:dyDescent="0.4">
      <c r="D775" s="15"/>
      <c r="E775" s="13"/>
      <c r="F775" s="15"/>
      <c r="G775" s="14"/>
      <c r="H775" s="15"/>
      <c r="I775" s="14"/>
      <c r="J775" s="15"/>
      <c r="K775" s="14"/>
    </row>
    <row r="776" spans="4:11" ht="12.3" x14ac:dyDescent="0.4">
      <c r="D776" s="15"/>
      <c r="E776" s="13"/>
      <c r="F776" s="15"/>
      <c r="G776" s="14"/>
      <c r="H776" s="15"/>
      <c r="I776" s="14"/>
      <c r="J776" s="15"/>
      <c r="K776" s="14"/>
    </row>
    <row r="777" spans="4:11" ht="12.3" x14ac:dyDescent="0.4">
      <c r="D777" s="15"/>
      <c r="E777" s="13"/>
      <c r="F777" s="15"/>
      <c r="G777" s="14"/>
      <c r="H777" s="15"/>
      <c r="I777" s="14"/>
      <c r="J777" s="15"/>
      <c r="K777" s="14"/>
    </row>
    <row r="778" spans="4:11" ht="12.3" x14ac:dyDescent="0.4">
      <c r="D778" s="15"/>
      <c r="E778" s="13"/>
      <c r="F778" s="15"/>
      <c r="G778" s="14"/>
      <c r="H778" s="15"/>
      <c r="I778" s="14"/>
      <c r="J778" s="15"/>
      <c r="K778" s="14"/>
    </row>
    <row r="779" spans="4:11" ht="12.3" x14ac:dyDescent="0.4">
      <c r="D779" s="15"/>
      <c r="E779" s="13"/>
      <c r="F779" s="15"/>
      <c r="G779" s="14"/>
      <c r="H779" s="15"/>
      <c r="I779" s="14"/>
      <c r="J779" s="15"/>
      <c r="K779" s="14"/>
    </row>
    <row r="780" spans="4:11" ht="12.3" x14ac:dyDescent="0.4">
      <c r="D780" s="15"/>
      <c r="E780" s="13"/>
      <c r="F780" s="15"/>
      <c r="G780" s="14"/>
      <c r="H780" s="15"/>
      <c r="I780" s="14"/>
      <c r="J780" s="15"/>
      <c r="K780" s="14"/>
    </row>
    <row r="781" spans="4:11" ht="12.3" x14ac:dyDescent="0.4">
      <c r="D781" s="15"/>
      <c r="E781" s="13"/>
      <c r="F781" s="15"/>
      <c r="G781" s="14"/>
      <c r="H781" s="15"/>
      <c r="I781" s="14"/>
      <c r="J781" s="15"/>
      <c r="K781" s="14"/>
    </row>
    <row r="782" spans="4:11" ht="12.3" x14ac:dyDescent="0.4">
      <c r="D782" s="15"/>
      <c r="E782" s="13"/>
      <c r="F782" s="15"/>
      <c r="G782" s="14"/>
      <c r="H782" s="15"/>
      <c r="I782" s="14"/>
      <c r="J782" s="15"/>
      <c r="K782" s="14"/>
    </row>
    <row r="783" spans="4:11" ht="12.3" x14ac:dyDescent="0.4">
      <c r="D783" s="15"/>
      <c r="E783" s="13"/>
      <c r="F783" s="15"/>
      <c r="G783" s="14"/>
      <c r="H783" s="15"/>
      <c r="I783" s="14"/>
      <c r="J783" s="15"/>
      <c r="K783" s="14"/>
    </row>
    <row r="784" spans="4:11" ht="12.3" x14ac:dyDescent="0.4">
      <c r="D784" s="15"/>
      <c r="E784" s="13"/>
      <c r="F784" s="15"/>
      <c r="G784" s="14"/>
      <c r="H784" s="15"/>
      <c r="I784" s="14"/>
      <c r="J784" s="15"/>
      <c r="K784" s="14"/>
    </row>
    <row r="785" spans="4:11" ht="12.3" x14ac:dyDescent="0.4">
      <c r="D785" s="15"/>
      <c r="E785" s="13"/>
      <c r="F785" s="15"/>
      <c r="G785" s="14"/>
      <c r="H785" s="15"/>
      <c r="I785" s="14"/>
      <c r="J785" s="15"/>
      <c r="K785" s="14"/>
    </row>
    <row r="786" spans="4:11" ht="12.3" x14ac:dyDescent="0.4">
      <c r="D786" s="15"/>
      <c r="E786" s="13"/>
      <c r="F786" s="15"/>
      <c r="G786" s="14"/>
      <c r="H786" s="15"/>
      <c r="I786" s="14"/>
      <c r="J786" s="15"/>
      <c r="K786" s="14"/>
    </row>
    <row r="787" spans="4:11" ht="12.3" x14ac:dyDescent="0.4">
      <c r="D787" s="15"/>
      <c r="E787" s="13"/>
      <c r="F787" s="15"/>
      <c r="G787" s="14"/>
      <c r="H787" s="15"/>
      <c r="I787" s="14"/>
      <c r="J787" s="15"/>
      <c r="K787" s="14"/>
    </row>
    <row r="788" spans="4:11" ht="12.3" x14ac:dyDescent="0.4">
      <c r="D788" s="15"/>
      <c r="E788" s="13"/>
      <c r="F788" s="15"/>
      <c r="G788" s="14"/>
      <c r="H788" s="15"/>
      <c r="I788" s="14"/>
      <c r="J788" s="15"/>
      <c r="K788" s="14"/>
    </row>
    <row r="789" spans="4:11" ht="12.3" x14ac:dyDescent="0.4">
      <c r="D789" s="15"/>
      <c r="E789" s="13"/>
      <c r="F789" s="15"/>
      <c r="G789" s="14"/>
      <c r="H789" s="15"/>
      <c r="I789" s="14"/>
      <c r="J789" s="15"/>
      <c r="K789" s="14"/>
    </row>
    <row r="790" spans="4:11" ht="12.3" x14ac:dyDescent="0.4">
      <c r="D790" s="15"/>
      <c r="E790" s="13"/>
      <c r="F790" s="15"/>
      <c r="G790" s="14"/>
      <c r="H790" s="15"/>
      <c r="I790" s="14"/>
      <c r="J790" s="15"/>
      <c r="K790" s="14"/>
    </row>
    <row r="791" spans="4:11" ht="12.3" x14ac:dyDescent="0.4">
      <c r="D791" s="15"/>
      <c r="E791" s="13"/>
      <c r="F791" s="15"/>
      <c r="G791" s="14"/>
      <c r="H791" s="15"/>
      <c r="I791" s="14"/>
      <c r="J791" s="15"/>
      <c r="K791" s="14"/>
    </row>
    <row r="792" spans="4:11" ht="12.3" x14ac:dyDescent="0.4">
      <c r="D792" s="15"/>
      <c r="E792" s="13"/>
      <c r="F792" s="15"/>
      <c r="G792" s="14"/>
      <c r="H792" s="15"/>
      <c r="I792" s="14"/>
      <c r="J792" s="15"/>
      <c r="K792" s="14"/>
    </row>
    <row r="793" spans="4:11" ht="12.3" x14ac:dyDescent="0.4">
      <c r="D793" s="15"/>
      <c r="E793" s="13"/>
      <c r="F793" s="15"/>
      <c r="G793" s="14"/>
      <c r="H793" s="15"/>
      <c r="I793" s="14"/>
      <c r="J793" s="15"/>
      <c r="K793" s="14"/>
    </row>
    <row r="794" spans="4:11" ht="12.3" x14ac:dyDescent="0.4">
      <c r="D794" s="15"/>
      <c r="E794" s="13"/>
      <c r="F794" s="15"/>
      <c r="G794" s="14"/>
      <c r="H794" s="15"/>
      <c r="I794" s="14"/>
      <c r="J794" s="15"/>
      <c r="K794" s="14"/>
    </row>
    <row r="795" spans="4:11" ht="12.3" x14ac:dyDescent="0.4">
      <c r="D795" s="15"/>
      <c r="E795" s="13"/>
      <c r="F795" s="15"/>
      <c r="G795" s="14"/>
      <c r="H795" s="15"/>
      <c r="I795" s="14"/>
      <c r="J795" s="15"/>
      <c r="K795" s="14"/>
    </row>
    <row r="796" spans="4:11" ht="12.3" x14ac:dyDescent="0.4">
      <c r="D796" s="15"/>
      <c r="E796" s="13"/>
      <c r="F796" s="15"/>
      <c r="G796" s="14"/>
      <c r="H796" s="15"/>
      <c r="I796" s="14"/>
      <c r="J796" s="15"/>
      <c r="K796" s="14"/>
    </row>
    <row r="797" spans="4:11" ht="12.3" x14ac:dyDescent="0.4">
      <c r="D797" s="15"/>
      <c r="E797" s="13"/>
      <c r="F797" s="15"/>
      <c r="G797" s="14"/>
      <c r="H797" s="15"/>
      <c r="I797" s="14"/>
      <c r="J797" s="15"/>
      <c r="K797" s="14"/>
    </row>
    <row r="798" spans="4:11" ht="12.3" x14ac:dyDescent="0.4">
      <c r="D798" s="15"/>
      <c r="E798" s="13"/>
      <c r="F798" s="15"/>
      <c r="G798" s="14"/>
      <c r="H798" s="15"/>
      <c r="I798" s="14"/>
      <c r="J798" s="15"/>
      <c r="K798" s="14"/>
    </row>
    <row r="799" spans="4:11" ht="12.3" x14ac:dyDescent="0.4">
      <c r="D799" s="15"/>
      <c r="E799" s="13"/>
      <c r="F799" s="15"/>
      <c r="G799" s="14"/>
      <c r="H799" s="15"/>
      <c r="I799" s="14"/>
      <c r="J799" s="15"/>
      <c r="K799" s="14"/>
    </row>
    <row r="800" spans="4:11" ht="12.3" x14ac:dyDescent="0.4">
      <c r="D800" s="15"/>
      <c r="E800" s="13"/>
      <c r="F800" s="15"/>
      <c r="G800" s="14"/>
      <c r="H800" s="15"/>
      <c r="I800" s="14"/>
      <c r="J800" s="15"/>
      <c r="K800" s="14"/>
    </row>
    <row r="801" spans="4:11" ht="12.3" x14ac:dyDescent="0.4">
      <c r="D801" s="15"/>
      <c r="E801" s="13"/>
      <c r="F801" s="15"/>
      <c r="G801" s="14"/>
      <c r="H801" s="15"/>
      <c r="I801" s="14"/>
      <c r="J801" s="15"/>
      <c r="K801" s="14"/>
    </row>
    <row r="802" spans="4:11" ht="12.3" x14ac:dyDescent="0.4">
      <c r="D802" s="15"/>
      <c r="E802" s="13"/>
      <c r="F802" s="15"/>
      <c r="G802" s="14"/>
      <c r="H802" s="15"/>
      <c r="I802" s="14"/>
      <c r="J802" s="15"/>
      <c r="K802" s="14"/>
    </row>
    <row r="803" spans="4:11" ht="12.3" x14ac:dyDescent="0.4">
      <c r="D803" s="15"/>
      <c r="E803" s="13"/>
      <c r="F803" s="15"/>
      <c r="G803" s="14"/>
      <c r="H803" s="15"/>
      <c r="I803" s="14"/>
      <c r="J803" s="15"/>
      <c r="K803" s="14"/>
    </row>
    <row r="804" spans="4:11" ht="12.3" x14ac:dyDescent="0.4">
      <c r="D804" s="15"/>
      <c r="E804" s="13"/>
      <c r="F804" s="15"/>
      <c r="G804" s="14"/>
      <c r="H804" s="15"/>
      <c r="I804" s="14"/>
      <c r="J804" s="15"/>
      <c r="K804" s="14"/>
    </row>
    <row r="805" spans="4:11" ht="12.3" x14ac:dyDescent="0.4">
      <c r="D805" s="15"/>
      <c r="E805" s="13"/>
      <c r="F805" s="15"/>
      <c r="G805" s="14"/>
      <c r="H805" s="15"/>
      <c r="I805" s="14"/>
      <c r="J805" s="15"/>
      <c r="K805" s="14"/>
    </row>
    <row r="806" spans="4:11" ht="12.3" x14ac:dyDescent="0.4">
      <c r="D806" s="15"/>
      <c r="E806" s="13"/>
      <c r="F806" s="15"/>
      <c r="G806" s="14"/>
      <c r="H806" s="15"/>
      <c r="I806" s="14"/>
      <c r="J806" s="15"/>
      <c r="K806" s="14"/>
    </row>
    <row r="807" spans="4:11" ht="12.3" x14ac:dyDescent="0.4">
      <c r="D807" s="15"/>
      <c r="E807" s="13"/>
      <c r="F807" s="15"/>
      <c r="G807" s="14"/>
      <c r="H807" s="15"/>
      <c r="I807" s="14"/>
      <c r="J807" s="15"/>
      <c r="K807" s="14"/>
    </row>
    <row r="808" spans="4:11" ht="12.3" x14ac:dyDescent="0.4">
      <c r="D808" s="15"/>
      <c r="E808" s="13"/>
      <c r="F808" s="15"/>
      <c r="G808" s="14"/>
      <c r="H808" s="15"/>
      <c r="I808" s="14"/>
      <c r="J808" s="15"/>
      <c r="K808" s="14"/>
    </row>
    <row r="809" spans="4:11" ht="12.3" x14ac:dyDescent="0.4">
      <c r="D809" s="15"/>
      <c r="E809" s="13"/>
      <c r="F809" s="15"/>
      <c r="G809" s="14"/>
      <c r="H809" s="15"/>
      <c r="I809" s="14"/>
      <c r="J809" s="15"/>
      <c r="K809" s="14"/>
    </row>
    <row r="810" spans="4:11" ht="12.3" x14ac:dyDescent="0.4">
      <c r="D810" s="15"/>
      <c r="E810" s="13"/>
      <c r="F810" s="15"/>
      <c r="G810" s="14"/>
      <c r="H810" s="15"/>
      <c r="I810" s="14"/>
      <c r="J810" s="15"/>
      <c r="K810" s="14"/>
    </row>
    <row r="811" spans="4:11" ht="12.3" x14ac:dyDescent="0.4">
      <c r="D811" s="15"/>
      <c r="E811" s="13"/>
      <c r="F811" s="15"/>
      <c r="G811" s="14"/>
      <c r="H811" s="15"/>
      <c r="I811" s="14"/>
      <c r="J811" s="15"/>
      <c r="K811" s="14"/>
    </row>
    <row r="812" spans="4:11" ht="12.3" x14ac:dyDescent="0.4">
      <c r="D812" s="15"/>
      <c r="E812" s="13"/>
      <c r="F812" s="15"/>
      <c r="G812" s="14"/>
      <c r="H812" s="15"/>
      <c r="I812" s="14"/>
      <c r="J812" s="15"/>
      <c r="K812" s="14"/>
    </row>
    <row r="813" spans="4:11" ht="12.3" x14ac:dyDescent="0.4">
      <c r="D813" s="15"/>
      <c r="E813" s="13"/>
      <c r="F813" s="15"/>
      <c r="G813" s="14"/>
      <c r="H813" s="15"/>
      <c r="I813" s="14"/>
      <c r="J813" s="15"/>
      <c r="K813" s="14"/>
    </row>
    <row r="814" spans="4:11" ht="12.3" x14ac:dyDescent="0.4">
      <c r="D814" s="15"/>
      <c r="E814" s="13"/>
      <c r="F814" s="15"/>
      <c r="G814" s="14"/>
      <c r="H814" s="15"/>
      <c r="I814" s="14"/>
      <c r="J814" s="15"/>
      <c r="K814" s="14"/>
    </row>
    <row r="815" spans="4:11" ht="12.3" x14ac:dyDescent="0.4">
      <c r="D815" s="15"/>
      <c r="E815" s="13"/>
      <c r="F815" s="15"/>
      <c r="G815" s="14"/>
      <c r="H815" s="15"/>
      <c r="I815" s="14"/>
      <c r="J815" s="15"/>
      <c r="K815" s="14"/>
    </row>
    <row r="816" spans="4:11" ht="12.3" x14ac:dyDescent="0.4">
      <c r="D816" s="15"/>
      <c r="E816" s="13"/>
      <c r="F816" s="15"/>
      <c r="G816" s="14"/>
      <c r="H816" s="15"/>
      <c r="I816" s="14"/>
      <c r="J816" s="15"/>
      <c r="K816" s="14"/>
    </row>
    <row r="817" spans="4:11" ht="12.3" x14ac:dyDescent="0.4">
      <c r="D817" s="15"/>
      <c r="E817" s="13"/>
      <c r="F817" s="15"/>
      <c r="G817" s="14"/>
      <c r="H817" s="15"/>
      <c r="I817" s="14"/>
      <c r="J817" s="15"/>
      <c r="K817" s="14"/>
    </row>
    <row r="818" spans="4:11" ht="12.3" x14ac:dyDescent="0.4">
      <c r="D818" s="15"/>
      <c r="E818" s="13"/>
      <c r="F818" s="15"/>
      <c r="G818" s="14"/>
      <c r="H818" s="15"/>
      <c r="I818" s="14"/>
      <c r="J818" s="15"/>
      <c r="K818" s="14"/>
    </row>
    <row r="819" spans="4:11" ht="12.3" x14ac:dyDescent="0.4">
      <c r="D819" s="15"/>
      <c r="E819" s="13"/>
      <c r="F819" s="15"/>
      <c r="G819" s="14"/>
      <c r="H819" s="15"/>
      <c r="I819" s="14"/>
      <c r="J819" s="15"/>
      <c r="K819" s="14"/>
    </row>
    <row r="820" spans="4:11" ht="12.3" x14ac:dyDescent="0.4">
      <c r="D820" s="15"/>
      <c r="E820" s="13"/>
      <c r="F820" s="15"/>
      <c r="G820" s="14"/>
      <c r="H820" s="15"/>
      <c r="I820" s="14"/>
      <c r="J820" s="15"/>
      <c r="K820" s="14"/>
    </row>
    <row r="821" spans="4:11" ht="12.3" x14ac:dyDescent="0.4">
      <c r="D821" s="15"/>
      <c r="E821" s="13"/>
      <c r="F821" s="15"/>
      <c r="G821" s="14"/>
      <c r="H821" s="15"/>
      <c r="I821" s="14"/>
      <c r="J821" s="15"/>
      <c r="K821" s="14"/>
    </row>
    <row r="822" spans="4:11" ht="12.3" x14ac:dyDescent="0.4">
      <c r="D822" s="15"/>
      <c r="E822" s="13"/>
      <c r="F822" s="15"/>
      <c r="G822" s="14"/>
      <c r="H822" s="15"/>
      <c r="I822" s="14"/>
      <c r="J822" s="15"/>
      <c r="K822" s="14"/>
    </row>
    <row r="823" spans="4:11" ht="12.3" x14ac:dyDescent="0.4">
      <c r="D823" s="15"/>
      <c r="E823" s="13"/>
      <c r="F823" s="15"/>
      <c r="G823" s="14"/>
      <c r="H823" s="15"/>
      <c r="I823" s="14"/>
      <c r="J823" s="15"/>
      <c r="K823" s="14"/>
    </row>
    <row r="824" spans="4:11" ht="12.3" x14ac:dyDescent="0.4">
      <c r="D824" s="15"/>
      <c r="E824" s="13"/>
      <c r="F824" s="15"/>
      <c r="G824" s="14"/>
      <c r="H824" s="15"/>
      <c r="I824" s="14"/>
      <c r="J824" s="15"/>
      <c r="K824" s="14"/>
    </row>
    <row r="825" spans="4:11" ht="12.3" x14ac:dyDescent="0.4">
      <c r="D825" s="15"/>
      <c r="E825" s="13"/>
      <c r="F825" s="15"/>
      <c r="G825" s="14"/>
      <c r="H825" s="15"/>
      <c r="I825" s="14"/>
      <c r="J825" s="15"/>
      <c r="K825" s="14"/>
    </row>
    <row r="826" spans="4:11" ht="12.3" x14ac:dyDescent="0.4">
      <c r="D826" s="15"/>
      <c r="E826" s="13"/>
      <c r="F826" s="15"/>
      <c r="G826" s="14"/>
      <c r="H826" s="15"/>
      <c r="I826" s="14"/>
      <c r="J826" s="15"/>
      <c r="K826" s="14"/>
    </row>
    <row r="827" spans="4:11" ht="12.3" x14ac:dyDescent="0.4">
      <c r="D827" s="15"/>
      <c r="E827" s="13"/>
      <c r="F827" s="15"/>
      <c r="G827" s="14"/>
      <c r="H827" s="15"/>
      <c r="I827" s="14"/>
      <c r="J827" s="15"/>
      <c r="K827" s="14"/>
    </row>
    <row r="828" spans="4:11" ht="12.3" x14ac:dyDescent="0.4">
      <c r="D828" s="15"/>
      <c r="E828" s="13"/>
      <c r="F828" s="15"/>
      <c r="G828" s="14"/>
      <c r="H828" s="15"/>
      <c r="I828" s="14"/>
      <c r="J828" s="15"/>
      <c r="K828" s="14"/>
    </row>
    <row r="829" spans="4:11" ht="12.3" x14ac:dyDescent="0.4">
      <c r="D829" s="15"/>
      <c r="E829" s="13"/>
      <c r="F829" s="15"/>
      <c r="G829" s="14"/>
      <c r="H829" s="15"/>
      <c r="I829" s="14"/>
      <c r="J829" s="15"/>
      <c r="K829" s="14"/>
    </row>
    <row r="830" spans="4:11" ht="12.3" x14ac:dyDescent="0.4">
      <c r="D830" s="15"/>
      <c r="E830" s="13"/>
      <c r="F830" s="15"/>
      <c r="G830" s="14"/>
      <c r="H830" s="15"/>
      <c r="I830" s="14"/>
      <c r="J830" s="15"/>
      <c r="K830" s="14"/>
    </row>
    <row r="831" spans="4:11" ht="12.3" x14ac:dyDescent="0.4">
      <c r="D831" s="15"/>
      <c r="E831" s="13"/>
      <c r="F831" s="15"/>
      <c r="G831" s="14"/>
      <c r="H831" s="15"/>
      <c r="I831" s="14"/>
      <c r="J831" s="15"/>
      <c r="K831" s="14"/>
    </row>
    <row r="832" spans="4:11" ht="12.3" x14ac:dyDescent="0.4">
      <c r="D832" s="15"/>
      <c r="E832" s="13"/>
      <c r="F832" s="15"/>
      <c r="G832" s="14"/>
      <c r="H832" s="15"/>
      <c r="I832" s="14"/>
      <c r="J832" s="15"/>
      <c r="K832" s="14"/>
    </row>
    <row r="833" spans="4:11" ht="12.3" x14ac:dyDescent="0.4">
      <c r="D833" s="15"/>
      <c r="E833" s="13"/>
      <c r="F833" s="15"/>
      <c r="G833" s="14"/>
      <c r="H833" s="15"/>
      <c r="I833" s="14"/>
      <c r="J833" s="15"/>
      <c r="K833" s="14"/>
    </row>
    <row r="834" spans="4:11" ht="12.3" x14ac:dyDescent="0.4">
      <c r="D834" s="15"/>
      <c r="E834" s="13"/>
      <c r="F834" s="15"/>
      <c r="G834" s="14"/>
      <c r="H834" s="15"/>
      <c r="I834" s="14"/>
      <c r="J834" s="15"/>
      <c r="K834" s="14"/>
    </row>
    <row r="835" spans="4:11" ht="12.3" x14ac:dyDescent="0.4">
      <c r="D835" s="15"/>
      <c r="E835" s="13"/>
      <c r="F835" s="15"/>
      <c r="G835" s="14"/>
      <c r="H835" s="15"/>
      <c r="I835" s="14"/>
      <c r="J835" s="15"/>
      <c r="K835" s="14"/>
    </row>
    <row r="836" spans="4:11" ht="12.3" x14ac:dyDescent="0.4">
      <c r="D836" s="15"/>
      <c r="E836" s="13"/>
      <c r="F836" s="15"/>
      <c r="G836" s="14"/>
      <c r="H836" s="15"/>
      <c r="I836" s="14"/>
      <c r="J836" s="15"/>
      <c r="K836" s="14"/>
    </row>
    <row r="837" spans="4:11" ht="12.3" x14ac:dyDescent="0.4">
      <c r="D837" s="15"/>
      <c r="E837" s="13"/>
      <c r="F837" s="15"/>
      <c r="G837" s="14"/>
      <c r="H837" s="15"/>
      <c r="I837" s="14"/>
      <c r="J837" s="15"/>
      <c r="K837" s="14"/>
    </row>
    <row r="838" spans="4:11" ht="12.3" x14ac:dyDescent="0.4">
      <c r="D838" s="15"/>
      <c r="E838" s="13"/>
      <c r="F838" s="15"/>
      <c r="G838" s="14"/>
      <c r="H838" s="15"/>
      <c r="I838" s="14"/>
      <c r="J838" s="15"/>
      <c r="K838" s="14"/>
    </row>
    <row r="839" spans="4:11" ht="12.3" x14ac:dyDescent="0.4">
      <c r="D839" s="15"/>
      <c r="E839" s="13"/>
      <c r="F839" s="15"/>
      <c r="G839" s="14"/>
      <c r="H839" s="15"/>
      <c r="I839" s="14"/>
      <c r="J839" s="15"/>
      <c r="K839" s="14"/>
    </row>
    <row r="840" spans="4:11" ht="12.3" x14ac:dyDescent="0.4">
      <c r="D840" s="15"/>
      <c r="E840" s="13"/>
      <c r="F840" s="15"/>
      <c r="G840" s="14"/>
      <c r="H840" s="15"/>
      <c r="I840" s="14"/>
      <c r="J840" s="15"/>
      <c r="K840" s="14"/>
    </row>
    <row r="841" spans="4:11" ht="12.3" x14ac:dyDescent="0.4">
      <c r="D841" s="15"/>
      <c r="E841" s="13"/>
      <c r="F841" s="15"/>
      <c r="G841" s="14"/>
      <c r="H841" s="15"/>
      <c r="I841" s="14"/>
      <c r="J841" s="15"/>
      <c r="K841" s="14"/>
    </row>
    <row r="842" spans="4:11" ht="12.3" x14ac:dyDescent="0.4">
      <c r="D842" s="15"/>
      <c r="E842" s="13"/>
      <c r="F842" s="15"/>
      <c r="G842" s="14"/>
      <c r="H842" s="15"/>
      <c r="I842" s="14"/>
      <c r="J842" s="15"/>
      <c r="K842" s="14"/>
    </row>
    <row r="843" spans="4:11" ht="12.3" x14ac:dyDescent="0.4">
      <c r="D843" s="15"/>
      <c r="E843" s="13"/>
      <c r="F843" s="15"/>
      <c r="G843" s="14"/>
      <c r="H843" s="15"/>
      <c r="I843" s="14"/>
      <c r="J843" s="15"/>
      <c r="K843" s="14"/>
    </row>
    <row r="844" spans="4:11" ht="12.3" x14ac:dyDescent="0.4">
      <c r="D844" s="15"/>
      <c r="E844" s="13"/>
      <c r="F844" s="15"/>
      <c r="G844" s="14"/>
      <c r="H844" s="15"/>
      <c r="I844" s="14"/>
      <c r="J844" s="15"/>
      <c r="K844" s="14"/>
    </row>
    <row r="845" spans="4:11" ht="12.3" x14ac:dyDescent="0.4">
      <c r="D845" s="15"/>
      <c r="E845" s="13"/>
      <c r="F845" s="15"/>
      <c r="G845" s="14"/>
      <c r="H845" s="15"/>
      <c r="I845" s="14"/>
      <c r="J845" s="15"/>
      <c r="K845" s="14"/>
    </row>
    <row r="846" spans="4:11" ht="12.3" x14ac:dyDescent="0.4">
      <c r="D846" s="15"/>
      <c r="E846" s="13"/>
      <c r="F846" s="15"/>
      <c r="G846" s="14"/>
      <c r="H846" s="15"/>
      <c r="I846" s="14"/>
      <c r="J846" s="15"/>
      <c r="K846" s="14"/>
    </row>
    <row r="847" spans="4:11" ht="12.3" x14ac:dyDescent="0.4">
      <c r="D847" s="15"/>
      <c r="E847" s="13"/>
      <c r="F847" s="15"/>
      <c r="G847" s="14"/>
      <c r="H847" s="15"/>
      <c r="I847" s="14"/>
      <c r="J847" s="15"/>
      <c r="K847" s="14"/>
    </row>
    <row r="848" spans="4:11" ht="12.3" x14ac:dyDescent="0.4">
      <c r="D848" s="15"/>
      <c r="E848" s="13"/>
      <c r="F848" s="15"/>
      <c r="G848" s="14"/>
      <c r="H848" s="15"/>
      <c r="I848" s="14"/>
      <c r="J848" s="15"/>
      <c r="K848" s="14"/>
    </row>
    <row r="849" spans="4:11" ht="12.3" x14ac:dyDescent="0.4">
      <c r="D849" s="15"/>
      <c r="E849" s="13"/>
      <c r="F849" s="15"/>
      <c r="G849" s="14"/>
      <c r="H849" s="15"/>
      <c r="I849" s="14"/>
      <c r="J849" s="15"/>
      <c r="K849" s="14"/>
    </row>
    <row r="850" spans="4:11" ht="12.3" x14ac:dyDescent="0.4">
      <c r="D850" s="15"/>
      <c r="E850" s="13"/>
      <c r="F850" s="15"/>
      <c r="G850" s="14"/>
      <c r="H850" s="15"/>
      <c r="I850" s="14"/>
      <c r="J850" s="15"/>
      <c r="K850" s="14"/>
    </row>
    <row r="851" spans="4:11" ht="12.3" x14ac:dyDescent="0.4">
      <c r="D851" s="15"/>
      <c r="E851" s="13"/>
      <c r="F851" s="15"/>
      <c r="G851" s="14"/>
      <c r="H851" s="15"/>
      <c r="I851" s="14"/>
      <c r="J851" s="15"/>
      <c r="K851" s="14"/>
    </row>
    <row r="852" spans="4:11" ht="12.3" x14ac:dyDescent="0.4">
      <c r="D852" s="15"/>
      <c r="E852" s="13"/>
      <c r="F852" s="15"/>
      <c r="G852" s="14"/>
      <c r="H852" s="15"/>
      <c r="I852" s="14"/>
      <c r="J852" s="15"/>
      <c r="K852" s="14"/>
    </row>
    <row r="853" spans="4:11" ht="12.3" x14ac:dyDescent="0.4">
      <c r="D853" s="15"/>
      <c r="E853" s="13"/>
      <c r="F853" s="15"/>
      <c r="G853" s="14"/>
      <c r="H853" s="15"/>
      <c r="I853" s="14"/>
      <c r="J853" s="15"/>
      <c r="K853" s="14"/>
    </row>
    <row r="854" spans="4:11" ht="12.3" x14ac:dyDescent="0.4">
      <c r="D854" s="15"/>
      <c r="E854" s="13"/>
      <c r="F854" s="15"/>
      <c r="G854" s="14"/>
      <c r="H854" s="15"/>
      <c r="I854" s="14"/>
      <c r="J854" s="15"/>
      <c r="K854" s="14"/>
    </row>
    <row r="855" spans="4:11" ht="12.3" x14ac:dyDescent="0.4">
      <c r="D855" s="15"/>
      <c r="E855" s="13"/>
      <c r="F855" s="15"/>
      <c r="G855" s="14"/>
      <c r="H855" s="15"/>
      <c r="I855" s="14"/>
      <c r="J855" s="15"/>
      <c r="K855" s="14"/>
    </row>
    <row r="856" spans="4:11" ht="12.3" x14ac:dyDescent="0.4">
      <c r="D856" s="15"/>
      <c r="E856" s="13"/>
      <c r="F856" s="15"/>
      <c r="G856" s="14"/>
      <c r="H856" s="15"/>
      <c r="I856" s="14"/>
      <c r="J856" s="15"/>
      <c r="K856" s="14"/>
    </row>
    <row r="857" spans="4:11" ht="12.3" x14ac:dyDescent="0.4">
      <c r="D857" s="15"/>
      <c r="E857" s="13"/>
      <c r="F857" s="15"/>
      <c r="G857" s="14"/>
      <c r="H857" s="15"/>
      <c r="I857" s="14"/>
      <c r="J857" s="15"/>
      <c r="K857" s="14"/>
    </row>
    <row r="858" spans="4:11" ht="12.3" x14ac:dyDescent="0.4">
      <c r="D858" s="15"/>
      <c r="E858" s="13"/>
      <c r="F858" s="15"/>
      <c r="G858" s="14"/>
      <c r="H858" s="15"/>
      <c r="I858" s="14"/>
      <c r="J858" s="15"/>
      <c r="K858" s="14"/>
    </row>
    <row r="859" spans="4:11" ht="12.3" x14ac:dyDescent="0.4">
      <c r="D859" s="15"/>
      <c r="E859" s="13"/>
      <c r="F859" s="15"/>
      <c r="G859" s="14"/>
      <c r="H859" s="15"/>
      <c r="I859" s="14"/>
      <c r="J859" s="15"/>
      <c r="K859" s="14"/>
    </row>
    <row r="860" spans="4:11" ht="12.3" x14ac:dyDescent="0.4">
      <c r="D860" s="15"/>
      <c r="E860" s="13"/>
      <c r="F860" s="15"/>
      <c r="G860" s="14"/>
      <c r="H860" s="15"/>
      <c r="I860" s="14"/>
      <c r="J860" s="15"/>
      <c r="K860" s="14"/>
    </row>
    <row r="861" spans="4:11" ht="12.3" x14ac:dyDescent="0.4">
      <c r="D861" s="15"/>
      <c r="E861" s="13"/>
      <c r="F861" s="15"/>
      <c r="G861" s="14"/>
      <c r="H861" s="15"/>
      <c r="I861" s="14"/>
      <c r="J861" s="15"/>
      <c r="K861" s="14"/>
    </row>
    <row r="862" spans="4:11" ht="12.3" x14ac:dyDescent="0.4">
      <c r="D862" s="15"/>
      <c r="E862" s="13"/>
      <c r="F862" s="15"/>
      <c r="G862" s="14"/>
      <c r="H862" s="15"/>
      <c r="I862" s="14"/>
      <c r="J862" s="15"/>
      <c r="K862" s="14"/>
    </row>
    <row r="863" spans="4:11" ht="12.3" x14ac:dyDescent="0.4">
      <c r="D863" s="15"/>
      <c r="E863" s="13"/>
      <c r="F863" s="15"/>
      <c r="G863" s="14"/>
      <c r="H863" s="15"/>
      <c r="I863" s="14"/>
      <c r="J863" s="15"/>
      <c r="K863" s="14"/>
    </row>
    <row r="864" spans="4:11" ht="12.3" x14ac:dyDescent="0.4">
      <c r="D864" s="15"/>
      <c r="E864" s="13"/>
      <c r="F864" s="15"/>
      <c r="G864" s="14"/>
      <c r="H864" s="15"/>
      <c r="I864" s="14"/>
      <c r="J864" s="15"/>
      <c r="K864" s="14"/>
    </row>
    <row r="865" spans="4:11" ht="12.3" x14ac:dyDescent="0.4">
      <c r="D865" s="15"/>
      <c r="E865" s="13"/>
      <c r="F865" s="15"/>
      <c r="G865" s="14"/>
      <c r="H865" s="15"/>
      <c r="I865" s="14"/>
      <c r="J865" s="15"/>
      <c r="K865" s="14"/>
    </row>
    <row r="866" spans="4:11" ht="12.3" x14ac:dyDescent="0.4">
      <c r="D866" s="15"/>
      <c r="E866" s="13"/>
      <c r="F866" s="15"/>
      <c r="G866" s="14"/>
      <c r="H866" s="15"/>
      <c r="I866" s="14"/>
      <c r="J866" s="15"/>
      <c r="K866" s="14"/>
    </row>
    <row r="867" spans="4:11" ht="12.3" x14ac:dyDescent="0.4">
      <c r="D867" s="15"/>
      <c r="E867" s="13"/>
      <c r="F867" s="15"/>
      <c r="G867" s="14"/>
      <c r="H867" s="15"/>
      <c r="I867" s="14"/>
      <c r="J867" s="15"/>
      <c r="K867" s="14"/>
    </row>
    <row r="868" spans="4:11" ht="12.3" x14ac:dyDescent="0.4">
      <c r="D868" s="15"/>
      <c r="E868" s="13"/>
      <c r="F868" s="15"/>
      <c r="G868" s="14"/>
      <c r="H868" s="15"/>
      <c r="I868" s="14"/>
      <c r="J868" s="15"/>
      <c r="K868" s="14"/>
    </row>
    <row r="869" spans="4:11" ht="12.3" x14ac:dyDescent="0.4">
      <c r="D869" s="15"/>
      <c r="E869" s="13"/>
      <c r="F869" s="15"/>
      <c r="G869" s="14"/>
      <c r="H869" s="15"/>
      <c r="I869" s="14"/>
      <c r="J869" s="15"/>
      <c r="K869" s="14"/>
    </row>
    <row r="870" spans="4:11" ht="12.3" x14ac:dyDescent="0.4">
      <c r="D870" s="15"/>
      <c r="E870" s="13"/>
      <c r="F870" s="15"/>
      <c r="G870" s="14"/>
      <c r="H870" s="15"/>
      <c r="I870" s="14"/>
      <c r="J870" s="15"/>
      <c r="K870" s="14"/>
    </row>
    <row r="871" spans="4:11" ht="12.3" x14ac:dyDescent="0.4">
      <c r="D871" s="15"/>
      <c r="E871" s="13"/>
      <c r="F871" s="15"/>
      <c r="G871" s="14"/>
      <c r="H871" s="15"/>
      <c r="I871" s="14"/>
      <c r="J871" s="15"/>
      <c r="K871" s="14"/>
    </row>
    <row r="872" spans="4:11" ht="12.3" x14ac:dyDescent="0.4">
      <c r="D872" s="15"/>
      <c r="E872" s="13"/>
      <c r="F872" s="15"/>
      <c r="G872" s="14"/>
      <c r="H872" s="15"/>
      <c r="I872" s="14"/>
      <c r="J872" s="15"/>
      <c r="K872" s="14"/>
    </row>
    <row r="873" spans="4:11" ht="12.3" x14ac:dyDescent="0.4">
      <c r="D873" s="15"/>
      <c r="E873" s="13"/>
      <c r="F873" s="15"/>
      <c r="G873" s="14"/>
      <c r="H873" s="15"/>
      <c r="I873" s="14"/>
      <c r="J873" s="15"/>
      <c r="K873" s="14"/>
    </row>
    <row r="874" spans="4:11" ht="12.3" x14ac:dyDescent="0.4">
      <c r="D874" s="15"/>
      <c r="E874" s="13"/>
      <c r="F874" s="15"/>
      <c r="G874" s="14"/>
      <c r="H874" s="15"/>
      <c r="I874" s="14"/>
      <c r="J874" s="15"/>
      <c r="K874" s="14"/>
    </row>
    <row r="875" spans="4:11" ht="12.3" x14ac:dyDescent="0.4">
      <c r="D875" s="15"/>
      <c r="E875" s="13"/>
      <c r="F875" s="15"/>
      <c r="G875" s="14"/>
      <c r="H875" s="15"/>
      <c r="I875" s="14"/>
      <c r="J875" s="15"/>
      <c r="K875" s="14"/>
    </row>
    <row r="876" spans="4:11" ht="12.3" x14ac:dyDescent="0.4">
      <c r="D876" s="15"/>
      <c r="E876" s="13"/>
      <c r="F876" s="15"/>
      <c r="G876" s="14"/>
      <c r="H876" s="15"/>
      <c r="I876" s="14"/>
      <c r="J876" s="15"/>
      <c r="K876" s="14"/>
    </row>
    <row r="877" spans="4:11" ht="12.3" x14ac:dyDescent="0.4">
      <c r="D877" s="15"/>
      <c r="E877" s="13"/>
      <c r="F877" s="15"/>
      <c r="G877" s="14"/>
      <c r="H877" s="15"/>
      <c r="I877" s="14"/>
      <c r="J877" s="15"/>
      <c r="K877" s="14"/>
    </row>
    <row r="878" spans="4:11" ht="12.3" x14ac:dyDescent="0.4">
      <c r="D878" s="15"/>
      <c r="E878" s="13"/>
      <c r="F878" s="15"/>
      <c r="G878" s="14"/>
      <c r="H878" s="15"/>
      <c r="I878" s="14"/>
      <c r="J878" s="15"/>
      <c r="K878" s="14"/>
    </row>
    <row r="879" spans="4:11" ht="12.3" x14ac:dyDescent="0.4">
      <c r="D879" s="15"/>
      <c r="E879" s="13"/>
      <c r="F879" s="15"/>
      <c r="G879" s="14"/>
      <c r="H879" s="15"/>
      <c r="I879" s="14"/>
      <c r="J879" s="15"/>
      <c r="K879" s="14"/>
    </row>
    <row r="880" spans="4:11" ht="12.3" x14ac:dyDescent="0.4">
      <c r="D880" s="15"/>
      <c r="E880" s="13"/>
      <c r="F880" s="15"/>
      <c r="G880" s="14"/>
      <c r="H880" s="15"/>
      <c r="I880" s="14"/>
      <c r="J880" s="15"/>
      <c r="K880" s="14"/>
    </row>
    <row r="881" spans="4:11" ht="12.3" x14ac:dyDescent="0.4">
      <c r="D881" s="15"/>
      <c r="E881" s="13"/>
      <c r="F881" s="15"/>
      <c r="G881" s="14"/>
      <c r="H881" s="15"/>
      <c r="I881" s="14"/>
      <c r="J881" s="15"/>
      <c r="K881" s="14"/>
    </row>
    <row r="882" spans="4:11" ht="12.3" x14ac:dyDescent="0.4">
      <c r="D882" s="15"/>
      <c r="E882" s="13"/>
      <c r="F882" s="15"/>
      <c r="G882" s="14"/>
      <c r="H882" s="15"/>
      <c r="I882" s="14"/>
      <c r="J882" s="15"/>
      <c r="K882" s="14"/>
    </row>
    <row r="883" spans="4:11" ht="12.3" x14ac:dyDescent="0.4">
      <c r="D883" s="15"/>
      <c r="E883" s="13"/>
      <c r="F883" s="15"/>
      <c r="G883" s="14"/>
      <c r="H883" s="15"/>
      <c r="I883" s="14"/>
      <c r="J883" s="15"/>
      <c r="K883" s="14"/>
    </row>
    <row r="884" spans="4:11" ht="12.3" x14ac:dyDescent="0.4">
      <c r="D884" s="15"/>
      <c r="E884" s="13"/>
      <c r="F884" s="15"/>
      <c r="G884" s="14"/>
      <c r="H884" s="15"/>
      <c r="I884" s="14"/>
      <c r="J884" s="15"/>
      <c r="K884" s="14"/>
    </row>
    <row r="885" spans="4:11" ht="12.3" x14ac:dyDescent="0.4">
      <c r="D885" s="15"/>
      <c r="E885" s="13"/>
      <c r="F885" s="15"/>
      <c r="G885" s="14"/>
      <c r="H885" s="15"/>
      <c r="I885" s="14"/>
      <c r="J885" s="15"/>
      <c r="K885" s="14"/>
    </row>
    <row r="886" spans="4:11" ht="12.3" x14ac:dyDescent="0.4">
      <c r="D886" s="15"/>
      <c r="E886" s="13"/>
      <c r="F886" s="15"/>
      <c r="G886" s="14"/>
      <c r="H886" s="15"/>
      <c r="I886" s="14"/>
      <c r="J886" s="15"/>
      <c r="K886" s="14"/>
    </row>
    <row r="887" spans="4:11" ht="12.3" x14ac:dyDescent="0.4">
      <c r="D887" s="15"/>
      <c r="E887" s="13"/>
      <c r="F887" s="15"/>
      <c r="G887" s="14"/>
      <c r="H887" s="15"/>
      <c r="I887" s="14"/>
      <c r="J887" s="15"/>
      <c r="K887" s="14"/>
    </row>
    <row r="888" spans="4:11" ht="12.3" x14ac:dyDescent="0.4">
      <c r="D888" s="15"/>
      <c r="E888" s="13"/>
      <c r="F888" s="15"/>
      <c r="G888" s="14"/>
      <c r="H888" s="15"/>
      <c r="I888" s="14"/>
      <c r="J888" s="15"/>
      <c r="K888" s="14"/>
    </row>
    <row r="889" spans="4:11" ht="12.3" x14ac:dyDescent="0.4">
      <c r="D889" s="15"/>
      <c r="E889" s="13"/>
      <c r="F889" s="15"/>
      <c r="G889" s="14"/>
      <c r="H889" s="15"/>
      <c r="I889" s="14"/>
      <c r="J889" s="15"/>
      <c r="K889" s="14"/>
    </row>
    <row r="890" spans="4:11" ht="12.3" x14ac:dyDescent="0.4">
      <c r="D890" s="15"/>
      <c r="E890" s="13"/>
      <c r="F890" s="15"/>
      <c r="G890" s="14"/>
      <c r="H890" s="15"/>
      <c r="I890" s="14"/>
      <c r="J890" s="15"/>
      <c r="K890" s="14"/>
    </row>
    <row r="891" spans="4:11" ht="12.3" x14ac:dyDescent="0.4">
      <c r="D891" s="15"/>
      <c r="E891" s="13"/>
      <c r="F891" s="15"/>
      <c r="G891" s="14"/>
      <c r="H891" s="15"/>
      <c r="I891" s="14"/>
      <c r="J891" s="15"/>
      <c r="K891" s="14"/>
    </row>
    <row r="892" spans="4:11" ht="12.3" x14ac:dyDescent="0.4">
      <c r="D892" s="15"/>
      <c r="E892" s="13"/>
      <c r="F892" s="15"/>
      <c r="G892" s="14"/>
      <c r="H892" s="15"/>
      <c r="I892" s="14"/>
      <c r="J892" s="15"/>
      <c r="K892" s="14"/>
    </row>
    <row r="893" spans="4:11" ht="12.3" x14ac:dyDescent="0.4">
      <c r="D893" s="15"/>
      <c r="E893" s="13"/>
      <c r="F893" s="15"/>
      <c r="G893" s="14"/>
      <c r="H893" s="15"/>
      <c r="I893" s="14"/>
      <c r="J893" s="15"/>
      <c r="K893" s="14"/>
    </row>
    <row r="894" spans="4:11" ht="12.3" x14ac:dyDescent="0.4">
      <c r="D894" s="15"/>
      <c r="E894" s="13"/>
      <c r="F894" s="15"/>
      <c r="G894" s="14"/>
      <c r="H894" s="15"/>
      <c r="I894" s="14"/>
      <c r="J894" s="15"/>
      <c r="K894" s="14"/>
    </row>
    <row r="895" spans="4:11" ht="12.3" x14ac:dyDescent="0.4">
      <c r="D895" s="15"/>
      <c r="E895" s="13"/>
      <c r="F895" s="15"/>
      <c r="G895" s="14"/>
      <c r="H895" s="15"/>
      <c r="I895" s="14"/>
      <c r="J895" s="15"/>
      <c r="K895" s="14"/>
    </row>
    <row r="896" spans="4:11" ht="12.3" x14ac:dyDescent="0.4">
      <c r="D896" s="15"/>
      <c r="E896" s="13"/>
      <c r="F896" s="15"/>
      <c r="G896" s="14"/>
      <c r="H896" s="15"/>
      <c r="I896" s="14"/>
      <c r="J896" s="15"/>
      <c r="K896" s="14"/>
    </row>
    <row r="897" spans="4:11" ht="12.3" x14ac:dyDescent="0.4">
      <c r="D897" s="15"/>
      <c r="E897" s="13"/>
      <c r="F897" s="15"/>
      <c r="G897" s="14"/>
      <c r="H897" s="15"/>
      <c r="I897" s="14"/>
      <c r="J897" s="15"/>
      <c r="K897" s="14"/>
    </row>
    <row r="898" spans="4:11" ht="12.3" x14ac:dyDescent="0.4">
      <c r="D898" s="15"/>
      <c r="E898" s="13"/>
      <c r="F898" s="15"/>
      <c r="G898" s="14"/>
      <c r="H898" s="15"/>
      <c r="I898" s="14"/>
      <c r="J898" s="15"/>
      <c r="K898" s="14"/>
    </row>
    <row r="899" spans="4:11" ht="12.3" x14ac:dyDescent="0.4">
      <c r="D899" s="15"/>
      <c r="E899" s="13"/>
      <c r="F899" s="15"/>
      <c r="G899" s="14"/>
      <c r="H899" s="15"/>
      <c r="I899" s="14"/>
      <c r="J899" s="15"/>
      <c r="K899" s="14"/>
    </row>
    <row r="900" spans="4:11" ht="12.3" x14ac:dyDescent="0.4">
      <c r="D900" s="15"/>
      <c r="E900" s="13"/>
      <c r="F900" s="15"/>
      <c r="G900" s="14"/>
      <c r="H900" s="15"/>
      <c r="I900" s="14"/>
      <c r="J900" s="15"/>
      <c r="K900" s="14"/>
    </row>
    <row r="901" spans="4:11" ht="12.3" x14ac:dyDescent="0.4">
      <c r="D901" s="15"/>
      <c r="E901" s="13"/>
      <c r="F901" s="15"/>
      <c r="G901" s="14"/>
      <c r="H901" s="15"/>
      <c r="I901" s="14"/>
      <c r="J901" s="15"/>
      <c r="K901" s="14"/>
    </row>
    <row r="902" spans="4:11" ht="12.3" x14ac:dyDescent="0.4">
      <c r="D902" s="15"/>
      <c r="E902" s="13"/>
      <c r="F902" s="15"/>
      <c r="G902" s="14"/>
      <c r="H902" s="15"/>
      <c r="I902" s="14"/>
      <c r="J902" s="15"/>
      <c r="K902" s="14"/>
    </row>
    <row r="903" spans="4:11" ht="12.3" x14ac:dyDescent="0.4">
      <c r="D903" s="15"/>
      <c r="E903" s="13"/>
      <c r="F903" s="15"/>
      <c r="G903" s="14"/>
      <c r="H903" s="15"/>
      <c r="I903" s="14"/>
      <c r="J903" s="15"/>
      <c r="K903" s="14"/>
    </row>
    <row r="904" spans="4:11" ht="12.3" x14ac:dyDescent="0.4">
      <c r="D904" s="15"/>
      <c r="E904" s="13"/>
      <c r="F904" s="15"/>
      <c r="G904" s="14"/>
      <c r="H904" s="15"/>
      <c r="I904" s="14"/>
      <c r="J904" s="15"/>
      <c r="K904" s="14"/>
    </row>
    <row r="905" spans="4:11" ht="12.3" x14ac:dyDescent="0.4">
      <c r="D905" s="15"/>
      <c r="E905" s="13"/>
      <c r="F905" s="15"/>
      <c r="G905" s="14"/>
      <c r="H905" s="15"/>
      <c r="I905" s="14"/>
      <c r="J905" s="15"/>
      <c r="K905" s="14"/>
    </row>
    <row r="906" spans="4:11" ht="12.3" x14ac:dyDescent="0.4">
      <c r="D906" s="15"/>
      <c r="E906" s="13"/>
      <c r="F906" s="15"/>
      <c r="G906" s="14"/>
      <c r="H906" s="15"/>
      <c r="I906" s="14"/>
      <c r="J906" s="15"/>
      <c r="K906" s="14"/>
    </row>
    <row r="907" spans="4:11" ht="12.3" x14ac:dyDescent="0.4">
      <c r="D907" s="15"/>
      <c r="E907" s="13"/>
      <c r="F907" s="15"/>
      <c r="G907" s="14"/>
      <c r="H907" s="15"/>
      <c r="I907" s="14"/>
      <c r="J907" s="15"/>
      <c r="K907" s="14"/>
    </row>
    <row r="908" spans="4:11" ht="12.3" x14ac:dyDescent="0.4">
      <c r="D908" s="15"/>
      <c r="E908" s="13"/>
      <c r="F908" s="15"/>
      <c r="G908" s="14"/>
      <c r="H908" s="15"/>
      <c r="I908" s="14"/>
      <c r="J908" s="15"/>
      <c r="K908" s="14"/>
    </row>
    <row r="909" spans="4:11" ht="12.3" x14ac:dyDescent="0.4">
      <c r="D909" s="15"/>
      <c r="E909" s="13"/>
      <c r="F909" s="15"/>
      <c r="G909" s="14"/>
      <c r="H909" s="15"/>
      <c r="I909" s="14"/>
      <c r="J909" s="15"/>
      <c r="K909" s="14"/>
    </row>
    <row r="910" spans="4:11" ht="12.3" x14ac:dyDescent="0.4">
      <c r="D910" s="15"/>
      <c r="E910" s="13"/>
      <c r="F910" s="15"/>
      <c r="G910" s="14"/>
      <c r="H910" s="15"/>
      <c r="I910" s="14"/>
      <c r="J910" s="15"/>
      <c r="K910" s="14"/>
    </row>
    <row r="911" spans="4:11" ht="12.3" x14ac:dyDescent="0.4">
      <c r="D911" s="15"/>
      <c r="E911" s="13"/>
      <c r="F911" s="15"/>
      <c r="G911" s="14"/>
      <c r="H911" s="15"/>
      <c r="I911" s="14"/>
      <c r="J911" s="15"/>
      <c r="K911" s="14"/>
    </row>
    <row r="912" spans="4:11" ht="12.3" x14ac:dyDescent="0.4">
      <c r="D912" s="15"/>
      <c r="E912" s="13"/>
      <c r="F912" s="15"/>
      <c r="G912" s="14"/>
      <c r="H912" s="15"/>
      <c r="I912" s="14"/>
      <c r="J912" s="15"/>
      <c r="K912" s="14"/>
    </row>
    <row r="913" spans="4:11" ht="12.3" x14ac:dyDescent="0.4">
      <c r="D913" s="15"/>
      <c r="E913" s="13"/>
      <c r="F913" s="15"/>
      <c r="G913" s="14"/>
      <c r="H913" s="15"/>
      <c r="I913" s="14"/>
      <c r="J913" s="15"/>
      <c r="K913" s="14"/>
    </row>
    <row r="914" spans="4:11" ht="12.3" x14ac:dyDescent="0.4">
      <c r="D914" s="15"/>
      <c r="E914" s="13"/>
      <c r="F914" s="15"/>
      <c r="G914" s="14"/>
      <c r="H914" s="15"/>
      <c r="I914" s="14"/>
      <c r="J914" s="15"/>
      <c r="K914" s="14"/>
    </row>
    <row r="915" spans="4:11" ht="12.3" x14ac:dyDescent="0.4">
      <c r="D915" s="15"/>
      <c r="E915" s="13"/>
      <c r="F915" s="15"/>
      <c r="G915" s="14"/>
      <c r="H915" s="15"/>
      <c r="I915" s="14"/>
      <c r="J915" s="15"/>
      <c r="K915" s="14"/>
    </row>
    <row r="916" spans="4:11" ht="12.3" x14ac:dyDescent="0.4">
      <c r="D916" s="15"/>
      <c r="E916" s="13"/>
      <c r="F916" s="15"/>
      <c r="G916" s="14"/>
      <c r="H916" s="15"/>
      <c r="I916" s="14"/>
      <c r="J916" s="15"/>
      <c r="K916" s="14"/>
    </row>
    <row r="917" spans="4:11" ht="12.3" x14ac:dyDescent="0.4">
      <c r="D917" s="15"/>
      <c r="E917" s="13"/>
      <c r="F917" s="15"/>
      <c r="G917" s="14"/>
      <c r="H917" s="15"/>
      <c r="I917" s="14"/>
      <c r="J917" s="15"/>
      <c r="K917" s="14"/>
    </row>
    <row r="918" spans="4:11" ht="12.3" x14ac:dyDescent="0.4">
      <c r="D918" s="15"/>
      <c r="E918" s="13"/>
      <c r="F918" s="15"/>
      <c r="G918" s="14"/>
      <c r="H918" s="15"/>
      <c r="I918" s="14"/>
      <c r="J918" s="15"/>
      <c r="K918" s="14"/>
    </row>
    <row r="919" spans="4:11" ht="12.3" x14ac:dyDescent="0.4">
      <c r="D919" s="15"/>
      <c r="E919" s="13"/>
      <c r="F919" s="15"/>
      <c r="G919" s="14"/>
      <c r="H919" s="15"/>
      <c r="I919" s="14"/>
      <c r="J919" s="15"/>
      <c r="K919" s="14"/>
    </row>
    <row r="920" spans="4:11" ht="12.3" x14ac:dyDescent="0.4">
      <c r="D920" s="15"/>
      <c r="E920" s="13"/>
      <c r="F920" s="15"/>
      <c r="G920" s="14"/>
      <c r="H920" s="15"/>
      <c r="I920" s="14"/>
      <c r="J920" s="15"/>
      <c r="K920" s="14"/>
    </row>
    <row r="921" spans="4:11" ht="12.3" x14ac:dyDescent="0.4">
      <c r="D921" s="15"/>
      <c r="E921" s="13"/>
      <c r="F921" s="15"/>
      <c r="G921" s="14"/>
      <c r="H921" s="15"/>
      <c r="I921" s="14"/>
      <c r="J921" s="15"/>
      <c r="K921" s="14"/>
    </row>
    <row r="922" spans="4:11" ht="12.3" x14ac:dyDescent="0.4">
      <c r="D922" s="15"/>
      <c r="E922" s="13"/>
      <c r="F922" s="15"/>
      <c r="G922" s="14"/>
      <c r="H922" s="15"/>
      <c r="I922" s="14"/>
      <c r="J922" s="15"/>
      <c r="K922" s="14"/>
    </row>
    <row r="923" spans="4:11" ht="12.3" x14ac:dyDescent="0.4">
      <c r="D923" s="15"/>
      <c r="E923" s="13"/>
      <c r="F923" s="15"/>
      <c r="G923" s="14"/>
      <c r="H923" s="15"/>
      <c r="I923" s="14"/>
      <c r="J923" s="15"/>
      <c r="K923" s="14"/>
    </row>
    <row r="924" spans="4:11" ht="12.3" x14ac:dyDescent="0.4">
      <c r="D924" s="15"/>
      <c r="E924" s="13"/>
      <c r="F924" s="15"/>
      <c r="G924" s="14"/>
      <c r="H924" s="15"/>
      <c r="I924" s="14"/>
      <c r="J924" s="15"/>
      <c r="K924" s="14"/>
    </row>
    <row r="925" spans="4:11" ht="12.3" x14ac:dyDescent="0.4">
      <c r="D925" s="15"/>
      <c r="E925" s="13"/>
      <c r="F925" s="15"/>
      <c r="G925" s="14"/>
      <c r="H925" s="15"/>
      <c r="I925" s="14"/>
      <c r="J925" s="15"/>
      <c r="K925" s="14"/>
    </row>
    <row r="926" spans="4:11" ht="12.3" x14ac:dyDescent="0.4">
      <c r="D926" s="15"/>
      <c r="E926" s="13"/>
      <c r="F926" s="15"/>
      <c r="G926" s="14"/>
      <c r="H926" s="15"/>
      <c r="I926" s="14"/>
      <c r="J926" s="15"/>
      <c r="K926" s="14"/>
    </row>
    <row r="927" spans="4:11" ht="12.3" x14ac:dyDescent="0.4">
      <c r="D927" s="15"/>
      <c r="E927" s="13"/>
      <c r="F927" s="15"/>
      <c r="G927" s="14"/>
      <c r="H927" s="15"/>
      <c r="I927" s="14"/>
      <c r="J927" s="15"/>
      <c r="K927" s="14"/>
    </row>
    <row r="928" spans="4:11" ht="12.3" x14ac:dyDescent="0.4">
      <c r="D928" s="15"/>
      <c r="E928" s="13"/>
      <c r="F928" s="15"/>
      <c r="G928" s="14"/>
      <c r="H928" s="15"/>
      <c r="I928" s="14"/>
      <c r="J928" s="15"/>
      <c r="K928" s="14"/>
    </row>
    <row r="929" spans="4:11" ht="12.3" x14ac:dyDescent="0.4">
      <c r="D929" s="15"/>
      <c r="E929" s="13"/>
      <c r="F929" s="15"/>
      <c r="G929" s="14"/>
      <c r="H929" s="15"/>
      <c r="I929" s="14"/>
      <c r="J929" s="15"/>
      <c r="K929" s="14"/>
    </row>
    <row r="930" spans="4:11" ht="12.3" x14ac:dyDescent="0.4">
      <c r="D930" s="15"/>
      <c r="E930" s="13"/>
      <c r="F930" s="15"/>
      <c r="G930" s="14"/>
      <c r="H930" s="15"/>
      <c r="I930" s="14"/>
      <c r="J930" s="15"/>
      <c r="K930" s="14"/>
    </row>
    <row r="931" spans="4:11" ht="12.3" x14ac:dyDescent="0.4">
      <c r="D931" s="15"/>
      <c r="E931" s="13"/>
      <c r="F931" s="15"/>
      <c r="G931" s="14"/>
      <c r="H931" s="15"/>
      <c r="I931" s="14"/>
      <c r="J931" s="15"/>
      <c r="K931" s="14"/>
    </row>
    <row r="932" spans="4:11" ht="12.3" x14ac:dyDescent="0.4">
      <c r="D932" s="15"/>
      <c r="E932" s="13"/>
      <c r="F932" s="15"/>
      <c r="G932" s="14"/>
      <c r="H932" s="15"/>
      <c r="I932" s="14"/>
      <c r="J932" s="15"/>
      <c r="K932" s="14"/>
    </row>
    <row r="933" spans="4:11" ht="12.3" x14ac:dyDescent="0.4">
      <c r="D933" s="15"/>
      <c r="E933" s="13"/>
      <c r="F933" s="15"/>
      <c r="G933" s="14"/>
      <c r="H933" s="15"/>
      <c r="I933" s="14"/>
      <c r="J933" s="15"/>
      <c r="K933" s="14"/>
    </row>
    <row r="934" spans="4:11" ht="12.3" x14ac:dyDescent="0.4">
      <c r="D934" s="15"/>
      <c r="E934" s="13"/>
      <c r="F934" s="15"/>
      <c r="G934" s="14"/>
      <c r="H934" s="15"/>
      <c r="I934" s="14"/>
      <c r="J934" s="15"/>
      <c r="K934" s="14"/>
    </row>
    <row r="935" spans="4:11" ht="12.3" x14ac:dyDescent="0.4">
      <c r="D935" s="15"/>
      <c r="E935" s="13"/>
      <c r="F935" s="15"/>
      <c r="G935" s="14"/>
      <c r="H935" s="15"/>
      <c r="I935" s="14"/>
      <c r="J935" s="15"/>
      <c r="K935" s="14"/>
    </row>
    <row r="936" spans="4:11" ht="12.3" x14ac:dyDescent="0.4">
      <c r="D936" s="15"/>
      <c r="E936" s="13"/>
      <c r="F936" s="15"/>
      <c r="G936" s="14"/>
      <c r="H936" s="15"/>
      <c r="I936" s="14"/>
      <c r="J936" s="15"/>
      <c r="K936" s="14"/>
    </row>
    <row r="937" spans="4:11" ht="12.3" x14ac:dyDescent="0.4">
      <c r="D937" s="15"/>
      <c r="E937" s="13"/>
      <c r="F937" s="15"/>
      <c r="G937" s="14"/>
      <c r="H937" s="15"/>
      <c r="I937" s="14"/>
      <c r="J937" s="15"/>
      <c r="K937" s="14"/>
    </row>
    <row r="938" spans="4:11" ht="12.3" x14ac:dyDescent="0.4">
      <c r="D938" s="15"/>
      <c r="E938" s="13"/>
      <c r="F938" s="15"/>
      <c r="G938" s="14"/>
      <c r="H938" s="15"/>
      <c r="I938" s="14"/>
      <c r="J938" s="15"/>
      <c r="K938" s="14"/>
    </row>
    <row r="939" spans="4:11" ht="12.3" x14ac:dyDescent="0.4">
      <c r="D939" s="15"/>
      <c r="E939" s="13"/>
      <c r="F939" s="15"/>
      <c r="G939" s="14"/>
      <c r="H939" s="15"/>
      <c r="I939" s="14"/>
      <c r="J939" s="15"/>
      <c r="K939" s="14"/>
    </row>
    <row r="940" spans="4:11" ht="12.3" x14ac:dyDescent="0.4">
      <c r="D940" s="15"/>
      <c r="E940" s="13"/>
      <c r="F940" s="15"/>
      <c r="G940" s="14"/>
      <c r="H940" s="15"/>
      <c r="I940" s="14"/>
      <c r="J940" s="15"/>
      <c r="K940" s="14"/>
    </row>
    <row r="941" spans="4:11" ht="12.3" x14ac:dyDescent="0.4">
      <c r="D941" s="15"/>
      <c r="E941" s="13"/>
      <c r="F941" s="15"/>
      <c r="G941" s="14"/>
      <c r="H941" s="15"/>
      <c r="I941" s="14"/>
      <c r="J941" s="15"/>
      <c r="K941" s="14"/>
    </row>
    <row r="942" spans="4:11" ht="12.3" x14ac:dyDescent="0.4">
      <c r="D942" s="15"/>
      <c r="E942" s="13"/>
      <c r="F942" s="15"/>
      <c r="G942" s="14"/>
      <c r="H942" s="15"/>
      <c r="I942" s="14"/>
      <c r="J942" s="15"/>
      <c r="K942" s="14"/>
    </row>
    <row r="943" spans="4:11" ht="12.3" x14ac:dyDescent="0.4">
      <c r="D943" s="15"/>
      <c r="E943" s="13"/>
      <c r="F943" s="15"/>
      <c r="G943" s="14"/>
      <c r="H943" s="15"/>
      <c r="I943" s="14"/>
      <c r="J943" s="15"/>
      <c r="K943" s="14"/>
    </row>
    <row r="944" spans="4:11" ht="12.3" x14ac:dyDescent="0.4">
      <c r="D944" s="15"/>
      <c r="E944" s="13"/>
      <c r="F944" s="15"/>
      <c r="G944" s="14"/>
      <c r="H944" s="15"/>
      <c r="I944" s="14"/>
      <c r="J944" s="15"/>
      <c r="K944" s="14"/>
    </row>
    <row r="945" spans="4:11" ht="12.3" x14ac:dyDescent="0.4">
      <c r="D945" s="15"/>
      <c r="E945" s="13"/>
      <c r="F945" s="15"/>
      <c r="G945" s="14"/>
      <c r="H945" s="15"/>
      <c r="I945" s="14"/>
      <c r="J945" s="15"/>
      <c r="K945" s="14"/>
    </row>
    <row r="946" spans="4:11" ht="12.3" x14ac:dyDescent="0.4">
      <c r="D946" s="15"/>
      <c r="E946" s="13"/>
      <c r="F946" s="15"/>
      <c r="G946" s="14"/>
      <c r="H946" s="15"/>
      <c r="I946" s="14"/>
      <c r="J946" s="15"/>
      <c r="K946" s="14"/>
    </row>
    <row r="947" spans="4:11" ht="12.3" x14ac:dyDescent="0.4">
      <c r="D947" s="15"/>
      <c r="E947" s="13"/>
      <c r="F947" s="15"/>
      <c r="G947" s="14"/>
      <c r="H947" s="15"/>
      <c r="I947" s="14"/>
      <c r="J947" s="15"/>
      <c r="K947" s="14"/>
    </row>
    <row r="948" spans="4:11" ht="12.3" x14ac:dyDescent="0.4">
      <c r="D948" s="15"/>
      <c r="E948" s="13"/>
      <c r="F948" s="15"/>
      <c r="G948" s="14"/>
      <c r="H948" s="15"/>
      <c r="I948" s="14"/>
      <c r="J948" s="15"/>
      <c r="K948" s="14"/>
    </row>
    <row r="949" spans="4:11" ht="12.3" x14ac:dyDescent="0.4">
      <c r="D949" s="15"/>
      <c r="E949" s="13"/>
      <c r="F949" s="15"/>
      <c r="G949" s="14"/>
      <c r="H949" s="15"/>
      <c r="I949" s="14"/>
      <c r="J949" s="15"/>
      <c r="K949" s="14"/>
    </row>
    <row r="950" spans="4:11" ht="12.3" x14ac:dyDescent="0.4">
      <c r="D950" s="15"/>
      <c r="E950" s="13"/>
      <c r="F950" s="15"/>
      <c r="G950" s="14"/>
      <c r="H950" s="15"/>
      <c r="I950" s="14"/>
      <c r="J950" s="15"/>
      <c r="K950" s="14"/>
    </row>
    <row r="951" spans="4:11" ht="12.3" x14ac:dyDescent="0.4">
      <c r="D951" s="15"/>
      <c r="E951" s="13"/>
      <c r="F951" s="15"/>
      <c r="G951" s="14"/>
      <c r="H951" s="15"/>
      <c r="I951" s="14"/>
      <c r="J951" s="15"/>
      <c r="K951" s="14"/>
    </row>
    <row r="952" spans="4:11" ht="12.3" x14ac:dyDescent="0.4">
      <c r="D952" s="15"/>
      <c r="E952" s="13"/>
      <c r="F952" s="15"/>
      <c r="G952" s="14"/>
      <c r="H952" s="15"/>
      <c r="I952" s="14"/>
      <c r="J952" s="15"/>
      <c r="K952" s="14"/>
    </row>
    <row r="953" spans="4:11" ht="12.3" x14ac:dyDescent="0.4">
      <c r="D953" s="15"/>
      <c r="E953" s="13"/>
      <c r="F953" s="15"/>
      <c r="G953" s="14"/>
      <c r="H953" s="15"/>
      <c r="I953" s="14"/>
      <c r="J953" s="15"/>
      <c r="K953" s="14"/>
    </row>
    <row r="954" spans="4:11" ht="12.3" x14ac:dyDescent="0.4">
      <c r="D954" s="15"/>
      <c r="E954" s="13"/>
      <c r="F954" s="15"/>
      <c r="G954" s="14"/>
      <c r="H954" s="15"/>
      <c r="I954" s="14"/>
      <c r="J954" s="15"/>
      <c r="K954" s="14"/>
    </row>
    <row r="955" spans="4:11" ht="12.3" x14ac:dyDescent="0.4">
      <c r="D955" s="15"/>
      <c r="E955" s="13"/>
      <c r="F955" s="15"/>
      <c r="G955" s="14"/>
      <c r="H955" s="15"/>
      <c r="I955" s="14"/>
      <c r="J955" s="15"/>
      <c r="K955" s="14"/>
    </row>
    <row r="956" spans="4:11" ht="12.3" x14ac:dyDescent="0.4">
      <c r="D956" s="15"/>
      <c r="E956" s="13"/>
      <c r="F956" s="15"/>
      <c r="G956" s="14"/>
      <c r="H956" s="15"/>
      <c r="I956" s="14"/>
      <c r="J956" s="15"/>
      <c r="K956" s="14"/>
    </row>
    <row r="957" spans="4:11" ht="12.3" x14ac:dyDescent="0.4">
      <c r="D957" s="15"/>
      <c r="E957" s="13"/>
      <c r="F957" s="15"/>
      <c r="G957" s="14"/>
      <c r="H957" s="15"/>
      <c r="I957" s="14"/>
      <c r="J957" s="15"/>
      <c r="K957" s="14"/>
    </row>
    <row r="958" spans="4:11" ht="12.3" x14ac:dyDescent="0.4">
      <c r="D958" s="15"/>
      <c r="E958" s="13"/>
      <c r="F958" s="15"/>
      <c r="G958" s="14"/>
      <c r="H958" s="15"/>
      <c r="I958" s="14"/>
      <c r="J958" s="15"/>
      <c r="K958" s="14"/>
    </row>
    <row r="959" spans="4:11" ht="12.3" x14ac:dyDescent="0.4">
      <c r="D959" s="15"/>
      <c r="E959" s="13"/>
      <c r="F959" s="15"/>
      <c r="G959" s="14"/>
      <c r="H959" s="15"/>
      <c r="I959" s="14"/>
      <c r="J959" s="15"/>
      <c r="K959" s="14"/>
    </row>
    <row r="960" spans="4:11" ht="12.3" x14ac:dyDescent="0.4">
      <c r="D960" s="15"/>
      <c r="E960" s="13"/>
      <c r="F960" s="15"/>
      <c r="G960" s="14"/>
      <c r="H960" s="15"/>
      <c r="I960" s="14"/>
      <c r="J960" s="15"/>
      <c r="K960" s="14"/>
    </row>
    <row r="961" spans="4:11" ht="12.3" x14ac:dyDescent="0.4">
      <c r="D961" s="15"/>
      <c r="E961" s="13"/>
      <c r="F961" s="15"/>
      <c r="G961" s="14"/>
      <c r="H961" s="15"/>
      <c r="I961" s="14"/>
      <c r="J961" s="15"/>
      <c r="K961" s="14"/>
    </row>
    <row r="962" spans="4:11" ht="12.3" x14ac:dyDescent="0.4">
      <c r="D962" s="15"/>
      <c r="E962" s="13"/>
      <c r="F962" s="15"/>
      <c r="G962" s="14"/>
      <c r="H962" s="15"/>
      <c r="I962" s="14"/>
      <c r="J962" s="15"/>
      <c r="K962" s="14"/>
    </row>
    <row r="963" spans="4:11" ht="12.3" x14ac:dyDescent="0.4">
      <c r="D963" s="15"/>
      <c r="E963" s="13"/>
      <c r="F963" s="15"/>
      <c r="G963" s="14"/>
      <c r="H963" s="15"/>
      <c r="I963" s="14"/>
      <c r="J963" s="15"/>
      <c r="K963" s="14"/>
    </row>
    <row r="964" spans="4:11" ht="12.3" x14ac:dyDescent="0.4">
      <c r="D964" s="15"/>
      <c r="E964" s="13"/>
      <c r="F964" s="15"/>
      <c r="G964" s="14"/>
      <c r="H964" s="15"/>
      <c r="I964" s="14"/>
      <c r="J964" s="15"/>
      <c r="K964" s="14"/>
    </row>
    <row r="965" spans="4:11" ht="12.3" x14ac:dyDescent="0.4">
      <c r="D965" s="15"/>
      <c r="E965" s="13"/>
      <c r="F965" s="15"/>
      <c r="G965" s="14"/>
      <c r="H965" s="15"/>
      <c r="I965" s="14"/>
      <c r="J965" s="15"/>
      <c r="K965" s="14"/>
    </row>
    <row r="966" spans="4:11" ht="12.3" x14ac:dyDescent="0.4">
      <c r="D966" s="15"/>
      <c r="E966" s="13"/>
      <c r="F966" s="15"/>
      <c r="G966" s="14"/>
      <c r="H966" s="15"/>
      <c r="I966" s="14"/>
      <c r="J966" s="15"/>
      <c r="K966" s="14"/>
    </row>
    <row r="967" spans="4:11" ht="12.3" x14ac:dyDescent="0.4">
      <c r="D967" s="15"/>
      <c r="E967" s="13"/>
      <c r="F967" s="15"/>
      <c r="G967" s="14"/>
      <c r="H967" s="15"/>
      <c r="I967" s="14"/>
      <c r="J967" s="15"/>
      <c r="K967" s="14"/>
    </row>
    <row r="968" spans="4:11" ht="12.3" x14ac:dyDescent="0.4">
      <c r="D968" s="15"/>
      <c r="E968" s="13"/>
      <c r="F968" s="15"/>
      <c r="G968" s="14"/>
      <c r="H968" s="15"/>
      <c r="I968" s="14"/>
      <c r="J968" s="15"/>
      <c r="K968" s="14"/>
    </row>
    <row r="969" spans="4:11" ht="12.3" x14ac:dyDescent="0.4">
      <c r="D969" s="15"/>
      <c r="E969" s="13"/>
      <c r="F969" s="15"/>
      <c r="G969" s="14"/>
      <c r="H969" s="15"/>
      <c r="I969" s="14"/>
      <c r="J969" s="15"/>
      <c r="K969" s="14"/>
    </row>
    <row r="970" spans="4:11" ht="12.3" x14ac:dyDescent="0.4">
      <c r="D970" s="15"/>
      <c r="E970" s="13"/>
      <c r="F970" s="15"/>
      <c r="G970" s="14"/>
      <c r="H970" s="15"/>
      <c r="I970" s="14"/>
      <c r="J970" s="15"/>
      <c r="K970" s="14"/>
    </row>
    <row r="971" spans="4:11" ht="12.3" x14ac:dyDescent="0.4">
      <c r="D971" s="15"/>
      <c r="E971" s="13"/>
      <c r="F971" s="15"/>
      <c r="G971" s="14"/>
      <c r="H971" s="15"/>
      <c r="I971" s="14"/>
      <c r="J971" s="15"/>
      <c r="K971" s="14"/>
    </row>
    <row r="972" spans="4:11" ht="12.3" x14ac:dyDescent="0.4">
      <c r="D972" s="15"/>
      <c r="E972" s="13"/>
      <c r="F972" s="15"/>
      <c r="G972" s="14"/>
      <c r="H972" s="15"/>
      <c r="I972" s="14"/>
      <c r="J972" s="15"/>
      <c r="K972" s="14"/>
    </row>
    <row r="973" spans="4:11" ht="12.3" x14ac:dyDescent="0.4">
      <c r="D973" s="15"/>
      <c r="E973" s="13"/>
      <c r="F973" s="15"/>
      <c r="G973" s="14"/>
      <c r="H973" s="15"/>
      <c r="I973" s="14"/>
      <c r="J973" s="15"/>
      <c r="K973" s="14"/>
    </row>
    <row r="974" spans="4:11" ht="12.3" x14ac:dyDescent="0.4">
      <c r="D974" s="15"/>
      <c r="E974" s="13"/>
      <c r="F974" s="15"/>
      <c r="G974" s="14"/>
      <c r="H974" s="15"/>
      <c r="I974" s="14"/>
      <c r="J974" s="15"/>
      <c r="K974" s="14"/>
    </row>
    <row r="975" spans="4:11" ht="12.3" x14ac:dyDescent="0.4">
      <c r="D975" s="15"/>
      <c r="E975" s="13"/>
      <c r="F975" s="15"/>
      <c r="G975" s="14"/>
      <c r="H975" s="15"/>
      <c r="I975" s="14"/>
      <c r="J975" s="15"/>
      <c r="K975" s="14"/>
    </row>
    <row r="976" spans="4:11" ht="12.3" x14ac:dyDescent="0.4">
      <c r="D976" s="15"/>
      <c r="E976" s="13"/>
      <c r="F976" s="15"/>
      <c r="G976" s="14"/>
      <c r="H976" s="15"/>
      <c r="I976" s="14"/>
      <c r="J976" s="15"/>
      <c r="K976" s="14"/>
    </row>
    <row r="977" spans="4:11" ht="12.3" x14ac:dyDescent="0.4">
      <c r="D977" s="15"/>
      <c r="E977" s="13"/>
      <c r="F977" s="15"/>
      <c r="G977" s="14"/>
      <c r="H977" s="15"/>
      <c r="I977" s="14"/>
      <c r="J977" s="15"/>
      <c r="K977" s="14"/>
    </row>
    <row r="978" spans="4:11" ht="12.3" x14ac:dyDescent="0.4">
      <c r="D978" s="15"/>
      <c r="E978" s="13"/>
      <c r="F978" s="15"/>
      <c r="G978" s="14"/>
      <c r="H978" s="15"/>
      <c r="I978" s="14"/>
      <c r="J978" s="15"/>
      <c r="K978" s="14"/>
    </row>
    <row r="979" spans="4:11" ht="12.3" x14ac:dyDescent="0.4">
      <c r="D979" s="15"/>
      <c r="E979" s="13"/>
      <c r="F979" s="15"/>
      <c r="G979" s="14"/>
      <c r="H979" s="15"/>
      <c r="I979" s="14"/>
      <c r="J979" s="15"/>
      <c r="K979" s="14"/>
    </row>
    <row r="980" spans="4:11" ht="12.3" x14ac:dyDescent="0.4">
      <c r="D980" s="15"/>
      <c r="E980" s="13"/>
      <c r="F980" s="15"/>
      <c r="G980" s="14"/>
      <c r="H980" s="15"/>
      <c r="I980" s="14"/>
      <c r="J980" s="15"/>
      <c r="K980" s="14"/>
    </row>
    <row r="981" spans="4:11" ht="12.3" x14ac:dyDescent="0.4">
      <c r="D981" s="15"/>
      <c r="E981" s="13"/>
      <c r="F981" s="15"/>
      <c r="G981" s="14"/>
      <c r="H981" s="15"/>
      <c r="I981" s="14"/>
      <c r="J981" s="15"/>
      <c r="K981" s="14"/>
    </row>
    <row r="982" spans="4:11" ht="12.3" x14ac:dyDescent="0.4">
      <c r="D982" s="15"/>
      <c r="E982" s="13"/>
      <c r="F982" s="15"/>
      <c r="G982" s="14"/>
      <c r="H982" s="15"/>
      <c r="I982" s="14"/>
      <c r="J982" s="15"/>
      <c r="K982" s="14"/>
    </row>
    <row r="983" spans="4:11" ht="12.3" x14ac:dyDescent="0.4">
      <c r="D983" s="15"/>
      <c r="E983" s="13"/>
      <c r="F983" s="15"/>
      <c r="G983" s="14"/>
      <c r="H983" s="15"/>
      <c r="I983" s="14"/>
      <c r="J983" s="15"/>
      <c r="K983" s="14"/>
    </row>
    <row r="984" spans="4:11" ht="12.3" x14ac:dyDescent="0.4">
      <c r="D984" s="15"/>
      <c r="E984" s="13"/>
      <c r="F984" s="15"/>
      <c r="G984" s="14"/>
      <c r="H984" s="15"/>
      <c r="I984" s="14"/>
      <c r="J984" s="15"/>
      <c r="K984" s="14"/>
    </row>
    <row r="985" spans="4:11" ht="12.3" x14ac:dyDescent="0.4">
      <c r="D985" s="15"/>
      <c r="E985" s="13"/>
      <c r="F985" s="15"/>
      <c r="G985" s="14"/>
      <c r="H985" s="15"/>
      <c r="I985" s="14"/>
      <c r="J985" s="15"/>
      <c r="K985" s="14"/>
    </row>
    <row r="986" spans="4:11" ht="12.3" x14ac:dyDescent="0.4">
      <c r="D986" s="15"/>
      <c r="E986" s="13"/>
      <c r="F986" s="15"/>
      <c r="G986" s="14"/>
      <c r="H986" s="15"/>
      <c r="I986" s="14"/>
      <c r="J986" s="15"/>
      <c r="K986" s="14"/>
    </row>
    <row r="987" spans="4:11" ht="12.3" x14ac:dyDescent="0.4">
      <c r="D987" s="15"/>
      <c r="E987" s="13"/>
      <c r="F987" s="15"/>
      <c r="G987" s="14"/>
      <c r="H987" s="15"/>
      <c r="I987" s="14"/>
      <c r="J987" s="15"/>
      <c r="K987" s="14"/>
    </row>
    <row r="988" spans="4:11" ht="12.3" x14ac:dyDescent="0.4">
      <c r="D988" s="15"/>
      <c r="E988" s="13"/>
      <c r="F988" s="15"/>
      <c r="G988" s="14"/>
      <c r="H988" s="15"/>
      <c r="I988" s="14"/>
      <c r="J988" s="15"/>
      <c r="K988" s="14"/>
    </row>
    <row r="989" spans="4:11" ht="12.3" x14ac:dyDescent="0.4">
      <c r="D989" s="15"/>
      <c r="E989" s="13"/>
      <c r="F989" s="15"/>
      <c r="G989" s="14"/>
      <c r="H989" s="15"/>
      <c r="I989" s="14"/>
      <c r="J989" s="15"/>
      <c r="K989" s="14"/>
    </row>
    <row r="990" spans="4:11" ht="12.3" x14ac:dyDescent="0.4">
      <c r="D990" s="15"/>
      <c r="E990" s="13"/>
      <c r="F990" s="15"/>
      <c r="G990" s="14"/>
      <c r="H990" s="15"/>
      <c r="I990" s="14"/>
      <c r="J990" s="15"/>
      <c r="K990" s="14"/>
    </row>
    <row r="991" spans="4:11" ht="12.3" x14ac:dyDescent="0.4">
      <c r="D991" s="15"/>
      <c r="E991" s="13"/>
      <c r="F991" s="15"/>
      <c r="G991" s="14"/>
      <c r="H991" s="15"/>
      <c r="I991" s="14"/>
      <c r="J991" s="15"/>
      <c r="K991" s="14"/>
    </row>
    <row r="992" spans="4:11" ht="12.3" x14ac:dyDescent="0.4">
      <c r="D992" s="15"/>
      <c r="E992" s="13"/>
      <c r="F992" s="15"/>
      <c r="G992" s="14"/>
      <c r="H992" s="15"/>
      <c r="I992" s="14"/>
      <c r="J992" s="15"/>
      <c r="K992" s="14"/>
    </row>
    <row r="993" spans="4:11" ht="12.3" x14ac:dyDescent="0.4">
      <c r="D993" s="15"/>
      <c r="E993" s="13"/>
      <c r="F993" s="15"/>
      <c r="G993" s="14"/>
      <c r="H993" s="15"/>
      <c r="I993" s="14"/>
      <c r="J993" s="15"/>
      <c r="K993" s="14"/>
    </row>
    <row r="994" spans="4:11" ht="12.3" x14ac:dyDescent="0.4">
      <c r="D994" s="15"/>
      <c r="E994" s="13"/>
      <c r="F994" s="15"/>
      <c r="G994" s="14"/>
      <c r="H994" s="15"/>
      <c r="I994" s="14"/>
      <c r="J994" s="15"/>
      <c r="K994" s="14"/>
    </row>
    <row r="995" spans="4:11" ht="12.3" x14ac:dyDescent="0.4">
      <c r="D995" s="15"/>
      <c r="E995" s="13"/>
      <c r="F995" s="15"/>
      <c r="G995" s="14"/>
      <c r="H995" s="15"/>
      <c r="I995" s="14"/>
      <c r="J995" s="15"/>
      <c r="K995" s="14"/>
    </row>
    <row r="996" spans="4:11" ht="12.3" x14ac:dyDescent="0.4">
      <c r="D996" s="15"/>
      <c r="E996" s="13"/>
      <c r="F996" s="15"/>
      <c r="G996" s="14"/>
      <c r="H996" s="15"/>
      <c r="I996" s="14"/>
      <c r="J996" s="15"/>
      <c r="K996" s="14"/>
    </row>
    <row r="997" spans="4:11" ht="12.3" x14ac:dyDescent="0.4">
      <c r="D997" s="15"/>
      <c r="E997" s="13"/>
      <c r="F997" s="15"/>
      <c r="G997" s="14"/>
      <c r="H997" s="15"/>
      <c r="I997" s="14"/>
      <c r="J997" s="15"/>
      <c r="K997" s="14"/>
    </row>
    <row r="998" spans="4:11" ht="12.3" x14ac:dyDescent="0.4">
      <c r="D998" s="15"/>
      <c r="E998" s="13"/>
      <c r="F998" s="15"/>
      <c r="G998" s="14"/>
      <c r="H998" s="15"/>
      <c r="I998" s="14"/>
      <c r="J998" s="15"/>
      <c r="K998" s="14"/>
    </row>
    <row r="999" spans="4:11" ht="12.3" x14ac:dyDescent="0.4">
      <c r="D999" s="15"/>
      <c r="E999" s="13"/>
      <c r="F999" s="15"/>
      <c r="G999" s="14"/>
      <c r="H999" s="15"/>
      <c r="I999" s="14"/>
      <c r="J999" s="15"/>
      <c r="K999" s="14"/>
    </row>
    <row r="1000" spans="4:11" ht="12.3" x14ac:dyDescent="0.4">
      <c r="D1000" s="15"/>
      <c r="E1000" s="13"/>
      <c r="F1000" s="15"/>
      <c r="G1000" s="14"/>
      <c r="H1000" s="15"/>
      <c r="I1000" s="14"/>
      <c r="J1000" s="15"/>
      <c r="K1000" s="14"/>
    </row>
    <row r="1001" spans="4:11" ht="12.3" x14ac:dyDescent="0.4">
      <c r="D1001" s="15"/>
      <c r="E1001" s="13"/>
      <c r="F1001" s="15"/>
      <c r="G1001" s="14"/>
      <c r="H1001" s="15"/>
      <c r="I1001" s="14"/>
      <c r="J1001" s="15"/>
      <c r="K1001" s="14"/>
    </row>
    <row r="1002" spans="4:11" ht="12.3" x14ac:dyDescent="0.4">
      <c r="D1002" s="15"/>
      <c r="E1002" s="13"/>
      <c r="F1002" s="15"/>
      <c r="G1002" s="14"/>
      <c r="H1002" s="15"/>
      <c r="I1002" s="14"/>
      <c r="J1002" s="15"/>
      <c r="K1002" s="1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>
    <outlinePr summaryBelow="0" summaryRight="0"/>
  </sheetPr>
  <dimension ref="A1:AZ352"/>
  <sheetViews>
    <sheetView workbookViewId="0"/>
  </sheetViews>
  <sheetFormatPr defaultColWidth="14.44140625" defaultRowHeight="15.75" customHeight="1" x14ac:dyDescent="0.4"/>
  <cols>
    <col min="1" max="1" width="14.44140625" customWidth="1"/>
    <col min="2" max="2" width="5.109375" customWidth="1"/>
    <col min="3" max="3" width="7.71875" customWidth="1"/>
    <col min="4" max="4" width="11.109375" customWidth="1"/>
    <col min="5" max="5" width="9.44140625" customWidth="1"/>
    <col min="6" max="6" width="13.83203125" customWidth="1"/>
    <col min="7" max="7" width="8.71875" customWidth="1"/>
    <col min="8" max="8" width="8" customWidth="1"/>
    <col min="9" max="9" width="8.71875" customWidth="1"/>
    <col min="10" max="10" width="10.71875" customWidth="1"/>
    <col min="11" max="11" width="8.71875" customWidth="1"/>
    <col min="12" max="12" width="7.83203125" customWidth="1"/>
    <col min="13" max="13" width="8.71875" customWidth="1"/>
    <col min="14" max="14" width="10.5546875" customWidth="1"/>
    <col min="15" max="15" width="8.71875" customWidth="1"/>
    <col min="16" max="18" width="11.109375" customWidth="1"/>
    <col min="19" max="19" width="3.5546875" customWidth="1"/>
    <col min="20" max="20" width="13" customWidth="1"/>
    <col min="21" max="21" width="3" customWidth="1"/>
    <col min="22" max="22" width="7.109375" customWidth="1"/>
    <col min="23" max="23" width="11.5546875" customWidth="1"/>
    <col min="24" max="24" width="10.109375" customWidth="1"/>
    <col min="25" max="25" width="14.5546875" customWidth="1"/>
    <col min="26" max="26" width="5.71875" customWidth="1"/>
    <col min="27" max="27" width="8.27734375" customWidth="1"/>
    <col min="28" max="28" width="6.71875" customWidth="1"/>
    <col min="29" max="29" width="11.27734375" customWidth="1"/>
    <col min="30" max="30" width="4.5546875" customWidth="1"/>
    <col min="31" max="31" width="8.109375" customWidth="1"/>
    <col min="32" max="32" width="6.5546875" customWidth="1"/>
    <col min="33" max="33" width="11.109375" customWidth="1"/>
    <col min="34" max="34" width="7.109375" customWidth="1"/>
    <col min="35" max="35" width="11.71875" customWidth="1"/>
    <col min="36" max="36" width="4.5546875" customWidth="1"/>
    <col min="37" max="52" width="11.109375" customWidth="1"/>
  </cols>
  <sheetData>
    <row r="1" spans="1:52" ht="12.3" x14ac:dyDescent="0.4">
      <c r="A1" s="2" t="s">
        <v>1</v>
      </c>
      <c r="B1" s="2" t="s">
        <v>25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3</v>
      </c>
      <c r="Q1" s="10" t="s">
        <v>391</v>
      </c>
      <c r="R1" s="2"/>
      <c r="S1" s="43" t="s">
        <v>435</v>
      </c>
      <c r="V1" s="14"/>
      <c r="Z1" s="14"/>
      <c r="AB1" s="14"/>
      <c r="AD1" s="14"/>
      <c r="AF1" s="14"/>
      <c r="AH1" s="13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2.3" x14ac:dyDescent="0.4">
      <c r="A2" s="2" t="s">
        <v>45</v>
      </c>
      <c r="B2" s="2">
        <v>1</v>
      </c>
      <c r="C2" s="2">
        <v>63.865900000000003</v>
      </c>
      <c r="D2" s="2">
        <v>233</v>
      </c>
      <c r="E2" s="2">
        <v>63.442799999999998</v>
      </c>
      <c r="F2" s="2">
        <v>251</v>
      </c>
      <c r="G2" s="2">
        <v>115.89579999999999</v>
      </c>
      <c r="H2" s="2">
        <v>9</v>
      </c>
      <c r="I2" s="2">
        <v>119.72499999999999</v>
      </c>
      <c r="J2" s="2">
        <v>5</v>
      </c>
      <c r="K2" s="2">
        <v>83.647400000000005</v>
      </c>
      <c r="L2" s="2">
        <v>1</v>
      </c>
      <c r="M2" s="2">
        <v>85.8155</v>
      </c>
      <c r="N2" s="2">
        <v>2</v>
      </c>
      <c r="O2" s="2">
        <v>0.97874099999999997</v>
      </c>
      <c r="P2" s="2">
        <v>1</v>
      </c>
      <c r="Q2" s="10">
        <v>33.909499999999994</v>
      </c>
      <c r="R2" s="2"/>
      <c r="S2" s="2"/>
      <c r="T2" s="1" t="s">
        <v>407</v>
      </c>
      <c r="U2" s="1" t="s">
        <v>25</v>
      </c>
      <c r="V2" s="12" t="s">
        <v>4</v>
      </c>
      <c r="W2" s="1" t="s">
        <v>5</v>
      </c>
      <c r="X2" s="1" t="s">
        <v>6</v>
      </c>
      <c r="Y2" s="1" t="s">
        <v>7</v>
      </c>
      <c r="Z2" s="12" t="s">
        <v>8</v>
      </c>
      <c r="AA2" s="1" t="s">
        <v>9</v>
      </c>
      <c r="AB2" s="12" t="s">
        <v>10</v>
      </c>
      <c r="AC2" s="1" t="s">
        <v>11</v>
      </c>
      <c r="AD2" s="12" t="s">
        <v>12</v>
      </c>
      <c r="AE2" s="1" t="s">
        <v>13</v>
      </c>
      <c r="AF2" s="12" t="s">
        <v>14</v>
      </c>
      <c r="AG2" s="1" t="s">
        <v>15</v>
      </c>
      <c r="AH2" s="44" t="s">
        <v>16</v>
      </c>
      <c r="AI2" s="1" t="s">
        <v>3</v>
      </c>
      <c r="AJ2" s="1" t="s">
        <v>391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2.3" x14ac:dyDescent="0.4">
      <c r="A3" s="2" t="s">
        <v>43</v>
      </c>
      <c r="B3" s="2">
        <v>2</v>
      </c>
      <c r="C3" s="2">
        <v>66.842799999999997</v>
      </c>
      <c r="D3" s="2">
        <v>79</v>
      </c>
      <c r="E3" s="2">
        <v>66.727699999999999</v>
      </c>
      <c r="F3" s="2">
        <v>78</v>
      </c>
      <c r="G3" s="2">
        <v>113.6254</v>
      </c>
      <c r="H3" s="2">
        <v>17</v>
      </c>
      <c r="I3" s="2">
        <v>116.0039</v>
      </c>
      <c r="J3" s="2">
        <v>11</v>
      </c>
      <c r="K3" s="2">
        <v>87.414000000000001</v>
      </c>
      <c r="L3" s="2">
        <v>4</v>
      </c>
      <c r="M3" s="2">
        <v>86.383099999999999</v>
      </c>
      <c r="N3" s="2">
        <v>3</v>
      </c>
      <c r="O3" s="2">
        <v>0.96740800000000005</v>
      </c>
      <c r="P3" s="2">
        <v>2</v>
      </c>
      <c r="Q3" s="10">
        <v>29.620800000000003</v>
      </c>
      <c r="R3" s="2"/>
      <c r="S3" s="27">
        <v>1</v>
      </c>
      <c r="T3" s="27" t="str">
        <f ca="1">IFERROR(__xludf.DUMMYFUNCTION("filter(A1:Q251,O1:O251&gt;='Champs clean'!E16,I1:I251&gt;='Champs clean'!G16,M1:M251&lt;='Champs clean'!I17)"),"Kentucky")</f>
        <v>Kentucky</v>
      </c>
      <c r="U3" s="27">
        <f ca="1">IFERROR(__xludf.DUMMYFUNCTION("""COMPUTED_VALUE"""),1)</f>
        <v>1</v>
      </c>
      <c r="V3" s="36">
        <f ca="1">IFERROR(__xludf.DUMMYFUNCTION("""COMPUTED_VALUE"""),63.8659)</f>
        <v>63.865900000000003</v>
      </c>
      <c r="W3" s="27">
        <f ca="1">IFERROR(__xludf.DUMMYFUNCTION("""COMPUTED_VALUE"""),233)</f>
        <v>233</v>
      </c>
      <c r="X3" s="45">
        <f ca="1">IFERROR(__xludf.DUMMYFUNCTION("""COMPUTED_VALUE"""),63.4428)</f>
        <v>63.442799999999998</v>
      </c>
      <c r="Y3" s="45">
        <f ca="1">IFERROR(__xludf.DUMMYFUNCTION("""COMPUTED_VALUE"""),251)</f>
        <v>251</v>
      </c>
      <c r="Z3" s="36">
        <f ca="1">IFERROR(__xludf.DUMMYFUNCTION("""COMPUTED_VALUE"""),115.8958)</f>
        <v>115.89579999999999</v>
      </c>
      <c r="AA3" s="27">
        <f ca="1">IFERROR(__xludf.DUMMYFUNCTION("""COMPUTED_VALUE"""),9)</f>
        <v>9</v>
      </c>
      <c r="AB3" s="36">
        <f ca="1">IFERROR(__xludf.DUMMYFUNCTION("""COMPUTED_VALUE"""),119.725)</f>
        <v>119.72499999999999</v>
      </c>
      <c r="AC3" s="27">
        <f ca="1">IFERROR(__xludf.DUMMYFUNCTION("""COMPUTED_VALUE"""),5)</f>
        <v>5</v>
      </c>
      <c r="AD3" s="36">
        <f ca="1">IFERROR(__xludf.DUMMYFUNCTION("""COMPUTED_VALUE"""),83.6474)</f>
        <v>83.647400000000005</v>
      </c>
      <c r="AE3" s="27">
        <f ca="1">IFERROR(__xludf.DUMMYFUNCTION("""COMPUTED_VALUE"""),1)</f>
        <v>1</v>
      </c>
      <c r="AF3" s="36">
        <f ca="1">IFERROR(__xludf.DUMMYFUNCTION("""COMPUTED_VALUE"""),85.8155)</f>
        <v>85.8155</v>
      </c>
      <c r="AG3" s="27">
        <f ca="1">IFERROR(__xludf.DUMMYFUNCTION("""COMPUTED_VALUE"""),2)</f>
        <v>2</v>
      </c>
      <c r="AH3" s="46">
        <f ca="1">IFERROR(__xludf.DUMMYFUNCTION("""COMPUTED_VALUE"""),0.978741)</f>
        <v>0.97874099999999997</v>
      </c>
      <c r="AI3" s="27">
        <f ca="1">IFERROR(__xludf.DUMMYFUNCTION("""COMPUTED_VALUE"""),1)</f>
        <v>1</v>
      </c>
      <c r="AJ3" s="36">
        <f ca="1">IFERROR(__xludf.DUMMYFUNCTION("""COMPUTED_VALUE"""),33.9094999999999)</f>
        <v>33.909499999999902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2.3" x14ac:dyDescent="0.4">
      <c r="A4" s="2" t="s">
        <v>76</v>
      </c>
      <c r="B4" s="2">
        <v>1</v>
      </c>
      <c r="C4" s="2">
        <v>59.265599999999999</v>
      </c>
      <c r="D4" s="2">
        <v>345</v>
      </c>
      <c r="E4" s="2">
        <v>58.743299999999998</v>
      </c>
      <c r="F4" s="2">
        <v>347</v>
      </c>
      <c r="G4" s="2">
        <v>120.4953</v>
      </c>
      <c r="H4" s="2">
        <v>3</v>
      </c>
      <c r="I4" s="2">
        <v>124.69499999999999</v>
      </c>
      <c r="J4" s="2">
        <v>1</v>
      </c>
      <c r="K4" s="2">
        <v>94.464600000000004</v>
      </c>
      <c r="L4" s="2">
        <v>27</v>
      </c>
      <c r="M4" s="2">
        <v>94.260499999999993</v>
      </c>
      <c r="N4" s="2">
        <v>30</v>
      </c>
      <c r="O4" s="2">
        <v>0.96149799999999996</v>
      </c>
      <c r="P4" s="2">
        <v>3</v>
      </c>
      <c r="Q4" s="10">
        <v>30.4345</v>
      </c>
      <c r="R4" s="2"/>
      <c r="S4" s="2">
        <f t="shared" ref="S4:S16" si="0">S3+1</f>
        <v>2</v>
      </c>
      <c r="T4" s="2" t="str">
        <f ca="1">IFERROR(__xludf.DUMMYFUNCTION("""COMPUTED_VALUE"""),"Arizona")</f>
        <v>Arizona</v>
      </c>
      <c r="U4" s="2">
        <f ca="1">IFERROR(__xludf.DUMMYFUNCTION("""COMPUTED_VALUE"""),2)</f>
        <v>2</v>
      </c>
      <c r="V4" s="10">
        <f ca="1">IFERROR(__xludf.DUMMYFUNCTION("""COMPUTED_VALUE"""),66.8428)</f>
        <v>66.842799999999997</v>
      </c>
      <c r="W4" s="2">
        <f ca="1">IFERROR(__xludf.DUMMYFUNCTION("""COMPUTED_VALUE"""),79)</f>
        <v>79</v>
      </c>
      <c r="X4" s="2">
        <f ca="1">IFERROR(__xludf.DUMMYFUNCTION("""COMPUTED_VALUE"""),66.7277)</f>
        <v>66.727699999999999</v>
      </c>
      <c r="Y4" s="2">
        <f ca="1">IFERROR(__xludf.DUMMYFUNCTION("""COMPUTED_VALUE"""),78)</f>
        <v>78</v>
      </c>
      <c r="Z4" s="10">
        <f ca="1">IFERROR(__xludf.DUMMYFUNCTION("""COMPUTED_VALUE"""),113.6254)</f>
        <v>113.6254</v>
      </c>
      <c r="AA4" s="2">
        <f ca="1">IFERROR(__xludf.DUMMYFUNCTION("""COMPUTED_VALUE"""),17)</f>
        <v>17</v>
      </c>
      <c r="AB4" s="10">
        <f ca="1">IFERROR(__xludf.DUMMYFUNCTION("""COMPUTED_VALUE"""),116.0039)</f>
        <v>116.0039</v>
      </c>
      <c r="AC4" s="2">
        <f ca="1">IFERROR(__xludf.DUMMYFUNCTION("""COMPUTED_VALUE"""),11)</f>
        <v>11</v>
      </c>
      <c r="AD4" s="10">
        <f ca="1">IFERROR(__xludf.DUMMYFUNCTION("""COMPUTED_VALUE"""),87.414)</f>
        <v>87.414000000000001</v>
      </c>
      <c r="AE4" s="2">
        <f ca="1">IFERROR(__xludf.DUMMYFUNCTION("""COMPUTED_VALUE"""),4)</f>
        <v>4</v>
      </c>
      <c r="AF4" s="10">
        <f ca="1">IFERROR(__xludf.DUMMYFUNCTION("""COMPUTED_VALUE"""),86.3831)</f>
        <v>86.383099999999999</v>
      </c>
      <c r="AG4" s="2">
        <f ca="1">IFERROR(__xludf.DUMMYFUNCTION("""COMPUTED_VALUE"""),3)</f>
        <v>3</v>
      </c>
      <c r="AH4" s="30">
        <f ca="1">IFERROR(__xludf.DUMMYFUNCTION("""COMPUTED_VALUE"""),0.967408)</f>
        <v>0.96740800000000005</v>
      </c>
      <c r="AI4" s="2">
        <f ca="1">IFERROR(__xludf.DUMMYFUNCTION("""COMPUTED_VALUE"""),2)</f>
        <v>2</v>
      </c>
      <c r="AJ4" s="10">
        <f ca="1">IFERROR(__xludf.DUMMYFUNCTION("""COMPUTED_VALUE"""),29.6208)</f>
        <v>29.620799999999999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2.3" x14ac:dyDescent="0.4">
      <c r="A5" s="2" t="s">
        <v>87</v>
      </c>
      <c r="B5" s="2">
        <v>2</v>
      </c>
      <c r="C5" s="2">
        <v>58.496299999999998</v>
      </c>
      <c r="D5" s="2">
        <v>347</v>
      </c>
      <c r="E5" s="2">
        <v>58.158000000000001</v>
      </c>
      <c r="F5" s="2">
        <v>349</v>
      </c>
      <c r="G5" s="2">
        <v>110.6799</v>
      </c>
      <c r="H5" s="2">
        <v>31</v>
      </c>
      <c r="I5" s="2">
        <v>112.22499999999999</v>
      </c>
      <c r="J5" s="2">
        <v>27</v>
      </c>
      <c r="K5" s="2">
        <v>85.616200000000006</v>
      </c>
      <c r="L5" s="2">
        <v>2</v>
      </c>
      <c r="M5" s="2">
        <v>85.371399999999994</v>
      </c>
      <c r="N5" s="2">
        <v>1</v>
      </c>
      <c r="O5" s="2">
        <v>0.95871899999999999</v>
      </c>
      <c r="P5" s="2">
        <v>4</v>
      </c>
      <c r="Q5" s="10">
        <v>26.8536</v>
      </c>
      <c r="R5" s="2"/>
      <c r="S5" s="27">
        <f t="shared" si="0"/>
        <v>3</v>
      </c>
      <c r="T5" s="27" t="str">
        <f ca="1">IFERROR(__xludf.DUMMYFUNCTION("""COMPUTED_VALUE"""),"Wisconsin")</f>
        <v>Wisconsin</v>
      </c>
      <c r="U5" s="27">
        <f ca="1">IFERROR(__xludf.DUMMYFUNCTION("""COMPUTED_VALUE"""),1)</f>
        <v>1</v>
      </c>
      <c r="V5" s="36">
        <f ca="1">IFERROR(__xludf.DUMMYFUNCTION("""COMPUTED_VALUE"""),59.2656)</f>
        <v>59.265599999999999</v>
      </c>
      <c r="W5" s="27">
        <f ca="1">IFERROR(__xludf.DUMMYFUNCTION("""COMPUTED_VALUE"""),345)</f>
        <v>345</v>
      </c>
      <c r="X5" s="45">
        <f ca="1">IFERROR(__xludf.DUMMYFUNCTION("""COMPUTED_VALUE"""),58.7433)</f>
        <v>58.743299999999998</v>
      </c>
      <c r="Y5" s="45">
        <f ca="1">IFERROR(__xludf.DUMMYFUNCTION("""COMPUTED_VALUE"""),347)</f>
        <v>347</v>
      </c>
      <c r="Z5" s="36">
        <f ca="1">IFERROR(__xludf.DUMMYFUNCTION("""COMPUTED_VALUE"""),120.4953)</f>
        <v>120.4953</v>
      </c>
      <c r="AA5" s="27">
        <f ca="1">IFERROR(__xludf.DUMMYFUNCTION("""COMPUTED_VALUE"""),3)</f>
        <v>3</v>
      </c>
      <c r="AB5" s="36">
        <f ca="1">IFERROR(__xludf.DUMMYFUNCTION("""COMPUTED_VALUE"""),124.695)</f>
        <v>124.69499999999999</v>
      </c>
      <c r="AC5" s="27">
        <f ca="1">IFERROR(__xludf.DUMMYFUNCTION("""COMPUTED_VALUE"""),1)</f>
        <v>1</v>
      </c>
      <c r="AD5" s="36">
        <f ca="1">IFERROR(__xludf.DUMMYFUNCTION("""COMPUTED_VALUE"""),94.4646)</f>
        <v>94.464600000000004</v>
      </c>
      <c r="AE5" s="27">
        <f ca="1">IFERROR(__xludf.DUMMYFUNCTION("""COMPUTED_VALUE"""),27)</f>
        <v>27</v>
      </c>
      <c r="AF5" s="36">
        <f ca="1">IFERROR(__xludf.DUMMYFUNCTION("""COMPUTED_VALUE"""),94.2605)</f>
        <v>94.260499999999993</v>
      </c>
      <c r="AG5" s="27">
        <f ca="1">IFERROR(__xludf.DUMMYFUNCTION("""COMPUTED_VALUE"""),30)</f>
        <v>30</v>
      </c>
      <c r="AH5" s="46">
        <f ca="1">IFERROR(__xludf.DUMMYFUNCTION("""COMPUTED_VALUE"""),0.961498)</f>
        <v>0.96149799999999996</v>
      </c>
      <c r="AI5" s="27">
        <f ca="1">IFERROR(__xludf.DUMMYFUNCTION("""COMPUTED_VALUE"""),3)</f>
        <v>3</v>
      </c>
      <c r="AJ5" s="36">
        <f ca="1">IFERROR(__xludf.DUMMYFUNCTION("""COMPUTED_VALUE"""),30.4345)</f>
        <v>30.4345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2.3" x14ac:dyDescent="0.4">
      <c r="A6" s="2" t="s">
        <v>78</v>
      </c>
      <c r="B6" s="2">
        <v>1</v>
      </c>
      <c r="C6" s="2">
        <v>65.056799999999996</v>
      </c>
      <c r="D6" s="2">
        <v>158</v>
      </c>
      <c r="E6" s="2">
        <v>64.479699999999994</v>
      </c>
      <c r="F6" s="2">
        <v>181</v>
      </c>
      <c r="G6" s="2">
        <v>116.6189</v>
      </c>
      <c r="H6" s="2">
        <v>6</v>
      </c>
      <c r="I6" s="2">
        <v>120.8395</v>
      </c>
      <c r="J6" s="2">
        <v>4</v>
      </c>
      <c r="K6" s="2">
        <v>92.974100000000007</v>
      </c>
      <c r="L6" s="2">
        <v>18</v>
      </c>
      <c r="M6" s="2">
        <v>92.245999999999995</v>
      </c>
      <c r="N6" s="2">
        <v>13</v>
      </c>
      <c r="O6" s="2">
        <v>0.95710099999999998</v>
      </c>
      <c r="P6" s="2">
        <v>5</v>
      </c>
      <c r="Q6" s="10">
        <v>28.593500000000006</v>
      </c>
      <c r="R6" s="2"/>
      <c r="S6" s="2">
        <f t="shared" si="0"/>
        <v>4</v>
      </c>
      <c r="T6" s="2" t="str">
        <f ca="1">IFERROR(__xludf.DUMMYFUNCTION("""COMPUTED_VALUE"""),"Virginia")</f>
        <v>Virginia</v>
      </c>
      <c r="U6" s="2">
        <f ca="1">IFERROR(__xludf.DUMMYFUNCTION("""COMPUTED_VALUE"""),2)</f>
        <v>2</v>
      </c>
      <c r="V6" s="10">
        <f ca="1">IFERROR(__xludf.DUMMYFUNCTION("""COMPUTED_VALUE"""),58.4963)</f>
        <v>58.496299999999998</v>
      </c>
      <c r="W6" s="2">
        <f ca="1">IFERROR(__xludf.DUMMYFUNCTION("""COMPUTED_VALUE"""),347)</f>
        <v>347</v>
      </c>
      <c r="X6" s="2">
        <f ca="1">IFERROR(__xludf.DUMMYFUNCTION("""COMPUTED_VALUE"""),58.158)</f>
        <v>58.158000000000001</v>
      </c>
      <c r="Y6" s="47">
        <f ca="1">IFERROR(__xludf.DUMMYFUNCTION("""COMPUTED_VALUE"""),349)</f>
        <v>349</v>
      </c>
      <c r="Z6" s="10">
        <f ca="1">IFERROR(__xludf.DUMMYFUNCTION("""COMPUTED_VALUE"""),110.6799)</f>
        <v>110.6799</v>
      </c>
      <c r="AA6" s="2">
        <f ca="1">IFERROR(__xludf.DUMMYFUNCTION("""COMPUTED_VALUE"""),31)</f>
        <v>31</v>
      </c>
      <c r="AB6" s="10">
        <f ca="1">IFERROR(__xludf.DUMMYFUNCTION("""COMPUTED_VALUE"""),112.225)</f>
        <v>112.22499999999999</v>
      </c>
      <c r="AC6" s="2">
        <f ca="1">IFERROR(__xludf.DUMMYFUNCTION("""COMPUTED_VALUE"""),27)</f>
        <v>27</v>
      </c>
      <c r="AD6" s="10">
        <f ca="1">IFERROR(__xludf.DUMMYFUNCTION("""COMPUTED_VALUE"""),85.6162)</f>
        <v>85.616200000000006</v>
      </c>
      <c r="AE6" s="2">
        <f ca="1">IFERROR(__xludf.DUMMYFUNCTION("""COMPUTED_VALUE"""),2)</f>
        <v>2</v>
      </c>
      <c r="AF6" s="10">
        <f ca="1">IFERROR(__xludf.DUMMYFUNCTION("""COMPUTED_VALUE"""),85.3714)</f>
        <v>85.371399999999994</v>
      </c>
      <c r="AG6" s="2">
        <f ca="1">IFERROR(__xludf.DUMMYFUNCTION("""COMPUTED_VALUE"""),1)</f>
        <v>1</v>
      </c>
      <c r="AH6" s="30">
        <f ca="1">IFERROR(__xludf.DUMMYFUNCTION("""COMPUTED_VALUE"""),0.958719)</f>
        <v>0.95871899999999999</v>
      </c>
      <c r="AI6" s="2">
        <f ca="1">IFERROR(__xludf.DUMMYFUNCTION("""COMPUTED_VALUE"""),4)</f>
        <v>4</v>
      </c>
      <c r="AJ6" s="10">
        <f ca="1">IFERROR(__xludf.DUMMYFUNCTION("""COMPUTED_VALUE"""),26.8536)</f>
        <v>26.8536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2.3" x14ac:dyDescent="0.4">
      <c r="A7" s="2" t="s">
        <v>47</v>
      </c>
      <c r="B7" s="2">
        <v>2</v>
      </c>
      <c r="C7" s="2">
        <v>64.950900000000004</v>
      </c>
      <c r="D7" s="2">
        <v>162</v>
      </c>
      <c r="E7" s="2">
        <v>65.060500000000005</v>
      </c>
      <c r="F7" s="2">
        <v>153</v>
      </c>
      <c r="G7" s="2">
        <v>120.00660000000001</v>
      </c>
      <c r="H7" s="2">
        <v>4</v>
      </c>
      <c r="I7" s="2">
        <v>119.4414</v>
      </c>
      <c r="J7" s="2">
        <v>6</v>
      </c>
      <c r="K7" s="2">
        <v>93.631100000000004</v>
      </c>
      <c r="L7" s="2">
        <v>19</v>
      </c>
      <c r="M7" s="2">
        <v>93.431299999999993</v>
      </c>
      <c r="N7" s="2">
        <v>20</v>
      </c>
      <c r="O7" s="2">
        <v>0.94398000000000004</v>
      </c>
      <c r="P7" s="2">
        <v>6</v>
      </c>
      <c r="Q7" s="10">
        <v>26.010100000000008</v>
      </c>
      <c r="R7" s="2"/>
      <c r="S7" s="27">
        <f t="shared" si="0"/>
        <v>5</v>
      </c>
      <c r="T7" s="27" t="str">
        <f ca="1">IFERROR(__xludf.DUMMYFUNCTION("""COMPUTED_VALUE"""),"Villanova")</f>
        <v>Villanova</v>
      </c>
      <c r="U7" s="27">
        <f ca="1">IFERROR(__xludf.DUMMYFUNCTION("""COMPUTED_VALUE"""),1)</f>
        <v>1</v>
      </c>
      <c r="V7" s="36">
        <f ca="1">IFERROR(__xludf.DUMMYFUNCTION("""COMPUTED_VALUE"""),65.0568)</f>
        <v>65.056799999999996</v>
      </c>
      <c r="W7" s="27">
        <f ca="1">IFERROR(__xludf.DUMMYFUNCTION("""COMPUTED_VALUE"""),158)</f>
        <v>158</v>
      </c>
      <c r="X7" s="45">
        <f ca="1">IFERROR(__xludf.DUMMYFUNCTION("""COMPUTED_VALUE"""),64.4797)</f>
        <v>64.479699999999994</v>
      </c>
      <c r="Y7" s="27">
        <f ca="1">IFERROR(__xludf.DUMMYFUNCTION("""COMPUTED_VALUE"""),181)</f>
        <v>181</v>
      </c>
      <c r="Z7" s="36">
        <f ca="1">IFERROR(__xludf.DUMMYFUNCTION("""COMPUTED_VALUE"""),116.6189)</f>
        <v>116.6189</v>
      </c>
      <c r="AA7" s="27">
        <f ca="1">IFERROR(__xludf.DUMMYFUNCTION("""COMPUTED_VALUE"""),6)</f>
        <v>6</v>
      </c>
      <c r="AB7" s="36">
        <f ca="1">IFERROR(__xludf.DUMMYFUNCTION("""COMPUTED_VALUE"""),120.8395)</f>
        <v>120.8395</v>
      </c>
      <c r="AC7" s="27">
        <f ca="1">IFERROR(__xludf.DUMMYFUNCTION("""COMPUTED_VALUE"""),4)</f>
        <v>4</v>
      </c>
      <c r="AD7" s="36">
        <f ca="1">IFERROR(__xludf.DUMMYFUNCTION("""COMPUTED_VALUE"""),92.9741)</f>
        <v>92.974100000000007</v>
      </c>
      <c r="AE7" s="27">
        <f ca="1">IFERROR(__xludf.DUMMYFUNCTION("""COMPUTED_VALUE"""),18)</f>
        <v>18</v>
      </c>
      <c r="AF7" s="36">
        <f ca="1">IFERROR(__xludf.DUMMYFUNCTION("""COMPUTED_VALUE"""),92.246)</f>
        <v>92.245999999999995</v>
      </c>
      <c r="AG7" s="27">
        <f ca="1">IFERROR(__xludf.DUMMYFUNCTION("""COMPUTED_VALUE"""),13)</f>
        <v>13</v>
      </c>
      <c r="AH7" s="46">
        <f ca="1">IFERROR(__xludf.DUMMYFUNCTION("""COMPUTED_VALUE"""),0.957101)</f>
        <v>0.95710099999999998</v>
      </c>
      <c r="AI7" s="27">
        <f ca="1">IFERROR(__xludf.DUMMYFUNCTION("""COMPUTED_VALUE"""),5)</f>
        <v>5</v>
      </c>
      <c r="AJ7" s="36">
        <f ca="1">IFERROR(__xludf.DUMMYFUNCTION("""COMPUTED_VALUE"""),28.5935)</f>
        <v>28.593499999999999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2.3" x14ac:dyDescent="0.4">
      <c r="A8" s="2" t="s">
        <v>32</v>
      </c>
      <c r="B8" s="2">
        <v>1</v>
      </c>
      <c r="C8" s="2">
        <v>66.573499999999996</v>
      </c>
      <c r="D8" s="2">
        <v>91</v>
      </c>
      <c r="E8" s="2">
        <v>66.236500000000007</v>
      </c>
      <c r="F8" s="2">
        <v>103</v>
      </c>
      <c r="G8" s="2">
        <v>120.49890000000001</v>
      </c>
      <c r="H8" s="2">
        <v>2</v>
      </c>
      <c r="I8" s="2">
        <v>122.0286</v>
      </c>
      <c r="J8" s="2">
        <v>3</v>
      </c>
      <c r="K8" s="2">
        <v>97.777900000000002</v>
      </c>
      <c r="L8" s="2">
        <v>80</v>
      </c>
      <c r="M8" s="2">
        <v>96.131299999999996</v>
      </c>
      <c r="N8" s="2">
        <v>57</v>
      </c>
      <c r="O8" s="2">
        <v>0.93952999999999998</v>
      </c>
      <c r="P8" s="2">
        <v>7</v>
      </c>
      <c r="Q8" s="10">
        <v>25.897300000000001</v>
      </c>
      <c r="R8" s="2"/>
      <c r="S8" s="2">
        <f t="shared" si="0"/>
        <v>6</v>
      </c>
      <c r="T8" s="2" t="str">
        <f ca="1">IFERROR(__xludf.DUMMYFUNCTION("""COMPUTED_VALUE"""),"Gonzaga")</f>
        <v>Gonzaga</v>
      </c>
      <c r="U8" s="2">
        <f ca="1">IFERROR(__xludf.DUMMYFUNCTION("""COMPUTED_VALUE"""),2)</f>
        <v>2</v>
      </c>
      <c r="V8" s="10">
        <f ca="1">IFERROR(__xludf.DUMMYFUNCTION("""COMPUTED_VALUE"""),64.9509)</f>
        <v>64.950900000000004</v>
      </c>
      <c r="W8" s="2">
        <f ca="1">IFERROR(__xludf.DUMMYFUNCTION("""COMPUTED_VALUE"""),162)</f>
        <v>162</v>
      </c>
      <c r="X8" s="2">
        <f ca="1">IFERROR(__xludf.DUMMYFUNCTION("""COMPUTED_VALUE"""),65.0605)</f>
        <v>65.060500000000005</v>
      </c>
      <c r="Y8" s="2">
        <f ca="1">IFERROR(__xludf.DUMMYFUNCTION("""COMPUTED_VALUE"""),153)</f>
        <v>153</v>
      </c>
      <c r="Z8" s="10">
        <f ca="1">IFERROR(__xludf.DUMMYFUNCTION("""COMPUTED_VALUE"""),120.0066)</f>
        <v>120.00660000000001</v>
      </c>
      <c r="AA8" s="2">
        <f ca="1">IFERROR(__xludf.DUMMYFUNCTION("""COMPUTED_VALUE"""),4)</f>
        <v>4</v>
      </c>
      <c r="AB8" s="10">
        <f ca="1">IFERROR(__xludf.DUMMYFUNCTION("""COMPUTED_VALUE"""),119.4414)</f>
        <v>119.4414</v>
      </c>
      <c r="AC8" s="2">
        <f ca="1">IFERROR(__xludf.DUMMYFUNCTION("""COMPUTED_VALUE"""),6)</f>
        <v>6</v>
      </c>
      <c r="AD8" s="10">
        <f ca="1">IFERROR(__xludf.DUMMYFUNCTION("""COMPUTED_VALUE"""),93.6311)</f>
        <v>93.631100000000004</v>
      </c>
      <c r="AE8" s="2">
        <f ca="1">IFERROR(__xludf.DUMMYFUNCTION("""COMPUTED_VALUE"""),19)</f>
        <v>19</v>
      </c>
      <c r="AF8" s="10">
        <f ca="1">IFERROR(__xludf.DUMMYFUNCTION("""COMPUTED_VALUE"""),93.4313)</f>
        <v>93.431299999999993</v>
      </c>
      <c r="AG8" s="2">
        <f ca="1">IFERROR(__xludf.DUMMYFUNCTION("""COMPUTED_VALUE"""),20)</f>
        <v>20</v>
      </c>
      <c r="AH8" s="30">
        <f ca="1">IFERROR(__xludf.DUMMYFUNCTION("""COMPUTED_VALUE"""),0.94398)</f>
        <v>0.94398000000000004</v>
      </c>
      <c r="AI8" s="2">
        <f ca="1">IFERROR(__xludf.DUMMYFUNCTION("""COMPUTED_VALUE"""),6)</f>
        <v>6</v>
      </c>
      <c r="AJ8" s="10">
        <f ca="1">IFERROR(__xludf.DUMMYFUNCTION("""COMPUTED_VALUE"""),26.0101)</f>
        <v>26.010100000000001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2.3" x14ac:dyDescent="0.4">
      <c r="A9" s="2" t="s">
        <v>70</v>
      </c>
      <c r="B9" s="2">
        <v>5</v>
      </c>
      <c r="C9" s="2">
        <v>62.686500000000002</v>
      </c>
      <c r="D9" s="2">
        <v>284</v>
      </c>
      <c r="E9" s="2">
        <v>61.168500000000002</v>
      </c>
      <c r="F9" s="2">
        <v>322</v>
      </c>
      <c r="G9" s="2">
        <v>113.6498</v>
      </c>
      <c r="H9" s="2">
        <v>16</v>
      </c>
      <c r="I9" s="2">
        <v>113.0478</v>
      </c>
      <c r="J9" s="2">
        <v>18</v>
      </c>
      <c r="K9" s="2">
        <v>91.083799999999997</v>
      </c>
      <c r="L9" s="2">
        <v>10</v>
      </c>
      <c r="M9" s="2">
        <v>90.569100000000006</v>
      </c>
      <c r="N9" s="2">
        <v>8</v>
      </c>
      <c r="O9" s="2">
        <v>0.92754199999999998</v>
      </c>
      <c r="P9" s="2">
        <v>8</v>
      </c>
      <c r="Q9" s="10">
        <v>22.478699999999989</v>
      </c>
      <c r="R9" s="2"/>
      <c r="S9" s="27">
        <f t="shared" si="0"/>
        <v>7</v>
      </c>
      <c r="T9" s="27" t="str">
        <f ca="1">IFERROR(__xludf.DUMMYFUNCTION("""COMPUTED_VALUE"""),"Utah")</f>
        <v>Utah</v>
      </c>
      <c r="U9" s="27">
        <f ca="1">IFERROR(__xludf.DUMMYFUNCTION("""COMPUTED_VALUE"""),5)</f>
        <v>5</v>
      </c>
      <c r="V9" s="36">
        <f ca="1">IFERROR(__xludf.DUMMYFUNCTION("""COMPUTED_VALUE"""),62.6865)</f>
        <v>62.686500000000002</v>
      </c>
      <c r="W9" s="27">
        <f ca="1">IFERROR(__xludf.DUMMYFUNCTION("""COMPUTED_VALUE"""),284)</f>
        <v>284</v>
      </c>
      <c r="X9" s="45">
        <f ca="1">IFERROR(__xludf.DUMMYFUNCTION("""COMPUTED_VALUE"""),61.1685)</f>
        <v>61.168500000000002</v>
      </c>
      <c r="Y9" s="45">
        <f ca="1">IFERROR(__xludf.DUMMYFUNCTION("""COMPUTED_VALUE"""),322)</f>
        <v>322</v>
      </c>
      <c r="Z9" s="36">
        <f ca="1">IFERROR(__xludf.DUMMYFUNCTION("""COMPUTED_VALUE"""),113.6498)</f>
        <v>113.6498</v>
      </c>
      <c r="AA9" s="27">
        <f ca="1">IFERROR(__xludf.DUMMYFUNCTION("""COMPUTED_VALUE"""),16)</f>
        <v>16</v>
      </c>
      <c r="AB9" s="36">
        <f ca="1">IFERROR(__xludf.DUMMYFUNCTION("""COMPUTED_VALUE"""),113.0478)</f>
        <v>113.0478</v>
      </c>
      <c r="AC9" s="27">
        <f ca="1">IFERROR(__xludf.DUMMYFUNCTION("""COMPUTED_VALUE"""),18)</f>
        <v>18</v>
      </c>
      <c r="AD9" s="36">
        <f ca="1">IFERROR(__xludf.DUMMYFUNCTION("""COMPUTED_VALUE"""),91.0838)</f>
        <v>91.083799999999997</v>
      </c>
      <c r="AE9" s="27">
        <f ca="1">IFERROR(__xludf.DUMMYFUNCTION("""COMPUTED_VALUE"""),10)</f>
        <v>10</v>
      </c>
      <c r="AF9" s="36">
        <f ca="1">IFERROR(__xludf.DUMMYFUNCTION("""COMPUTED_VALUE"""),90.5691)</f>
        <v>90.569100000000006</v>
      </c>
      <c r="AG9" s="27">
        <f ca="1">IFERROR(__xludf.DUMMYFUNCTION("""COMPUTED_VALUE"""),8)</f>
        <v>8</v>
      </c>
      <c r="AH9" s="46">
        <f ca="1">IFERROR(__xludf.DUMMYFUNCTION("""COMPUTED_VALUE"""),0.927542)</f>
        <v>0.92754199999999998</v>
      </c>
      <c r="AI9" s="27">
        <f ca="1">IFERROR(__xludf.DUMMYFUNCTION("""COMPUTED_VALUE"""),8)</f>
        <v>8</v>
      </c>
      <c r="AJ9" s="36">
        <f ca="1">IFERROR(__xludf.DUMMYFUNCTION("""COMPUTED_VALUE"""),22.4786999999999)</f>
        <v>22.4786999999999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2.3" x14ac:dyDescent="0.4">
      <c r="A10" s="2" t="s">
        <v>38</v>
      </c>
      <c r="B10" s="2">
        <v>3</v>
      </c>
      <c r="C10" s="2">
        <v>68.155199999999994</v>
      </c>
      <c r="D10" s="2">
        <v>39</v>
      </c>
      <c r="E10" s="2">
        <v>67.644900000000007</v>
      </c>
      <c r="F10" s="2">
        <v>44</v>
      </c>
      <c r="G10" s="2">
        <v>104.8258</v>
      </c>
      <c r="H10" s="2">
        <v>108</v>
      </c>
      <c r="I10" s="2">
        <v>109.3152</v>
      </c>
      <c r="J10" s="2">
        <v>50</v>
      </c>
      <c r="K10" s="2">
        <v>91.352400000000003</v>
      </c>
      <c r="L10" s="2">
        <v>12</v>
      </c>
      <c r="M10" s="2">
        <v>88.907799999999995</v>
      </c>
      <c r="N10" s="2">
        <v>5</v>
      </c>
      <c r="O10" s="2">
        <v>0.91500199999999998</v>
      </c>
      <c r="P10" s="2">
        <v>9</v>
      </c>
      <c r="Q10" s="10">
        <v>20.40740000000001</v>
      </c>
      <c r="R10" s="2"/>
      <c r="S10" s="38">
        <f t="shared" si="0"/>
        <v>8</v>
      </c>
      <c r="T10" s="38" t="str">
        <f ca="1">IFERROR(__xludf.DUMMYFUNCTION("""COMPUTED_VALUE"""),"Kansas")</f>
        <v>Kansas</v>
      </c>
      <c r="U10" s="38">
        <f ca="1">IFERROR(__xludf.DUMMYFUNCTION("""COMPUTED_VALUE"""),2)</f>
        <v>2</v>
      </c>
      <c r="V10" s="40">
        <f ca="1">IFERROR(__xludf.DUMMYFUNCTION("""COMPUTED_VALUE"""),66.7924)</f>
        <v>66.792400000000001</v>
      </c>
      <c r="W10" s="38">
        <f ca="1">IFERROR(__xludf.DUMMYFUNCTION("""COMPUTED_VALUE"""),82)</f>
        <v>82</v>
      </c>
      <c r="X10" s="38">
        <f ca="1">IFERROR(__xludf.DUMMYFUNCTION("""COMPUTED_VALUE"""),67.4382)</f>
        <v>67.438199999999995</v>
      </c>
      <c r="Y10" s="38">
        <f ca="1">IFERROR(__xludf.DUMMYFUNCTION("""COMPUTED_VALUE"""),55)</f>
        <v>55</v>
      </c>
      <c r="Z10" s="40">
        <f ca="1">IFERROR(__xludf.DUMMYFUNCTION("""COMPUTED_VALUE"""),106.3417)</f>
        <v>106.3417</v>
      </c>
      <c r="AA10" s="38">
        <f ca="1">IFERROR(__xludf.DUMMYFUNCTION("""COMPUTED_VALUE"""),80)</f>
        <v>80</v>
      </c>
      <c r="AB10" s="40">
        <f ca="1">IFERROR(__xludf.DUMMYFUNCTION("""COMPUTED_VALUE"""),110.7779)</f>
        <v>110.7779</v>
      </c>
      <c r="AC10" s="38">
        <f ca="1">IFERROR(__xludf.DUMMYFUNCTION("""COMPUTED_VALUE"""),37)</f>
        <v>37</v>
      </c>
      <c r="AD10" s="40">
        <f ca="1">IFERROR(__xludf.DUMMYFUNCTION("""COMPUTED_VALUE"""),96.675)</f>
        <v>96.674999999999997</v>
      </c>
      <c r="AE10" s="38">
        <f ca="1">IFERROR(__xludf.DUMMYFUNCTION("""COMPUTED_VALUE"""),62)</f>
        <v>62</v>
      </c>
      <c r="AF10" s="40">
        <f ca="1">IFERROR(__xludf.DUMMYFUNCTION("""COMPUTED_VALUE"""),90.4796)</f>
        <v>90.479600000000005</v>
      </c>
      <c r="AG10" s="38">
        <f ca="1">IFERROR(__xludf.DUMMYFUNCTION("""COMPUTED_VALUE"""),7)</f>
        <v>7</v>
      </c>
      <c r="AH10" s="48">
        <f ca="1">IFERROR(__xludf.DUMMYFUNCTION("""COMPUTED_VALUE"""),0.911139)</f>
        <v>0.91113900000000003</v>
      </c>
      <c r="AI10" s="38">
        <f ca="1">IFERROR(__xludf.DUMMYFUNCTION("""COMPUTED_VALUE"""),11)</f>
        <v>11</v>
      </c>
      <c r="AJ10" s="40">
        <f ca="1">IFERROR(__xludf.DUMMYFUNCTION("""COMPUTED_VALUE"""),20.2982999999999)</f>
        <v>20.298299999999902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2.3" x14ac:dyDescent="0.4">
      <c r="A11" s="2" t="s">
        <v>56</v>
      </c>
      <c r="B11" s="2">
        <v>3</v>
      </c>
      <c r="C11" s="2">
        <v>64.113699999999994</v>
      </c>
      <c r="D11" s="2">
        <v>217</v>
      </c>
      <c r="E11" s="2">
        <v>64.128299999999996</v>
      </c>
      <c r="F11" s="2">
        <v>204</v>
      </c>
      <c r="G11" s="2">
        <v>121.2585</v>
      </c>
      <c r="H11" s="2">
        <v>1</v>
      </c>
      <c r="I11" s="2">
        <v>122.2296</v>
      </c>
      <c r="J11" s="2">
        <v>2</v>
      </c>
      <c r="K11" s="2">
        <v>101.40730000000001</v>
      </c>
      <c r="L11" s="2">
        <v>162</v>
      </c>
      <c r="M11" s="2">
        <v>99.664900000000003</v>
      </c>
      <c r="N11" s="2">
        <v>112</v>
      </c>
      <c r="O11" s="2">
        <v>0.91269599999999995</v>
      </c>
      <c r="P11" s="2">
        <v>10</v>
      </c>
      <c r="Q11" s="10">
        <v>22.564700000000002</v>
      </c>
      <c r="R11" s="2"/>
      <c r="S11" s="27">
        <f t="shared" si="0"/>
        <v>9</v>
      </c>
      <c r="T11" s="27" t="str">
        <f ca="1">IFERROR(__xludf.DUMMYFUNCTION("""COMPUTED_VALUE"""),"Northern Iowa")</f>
        <v>Northern Iowa</v>
      </c>
      <c r="U11" s="27">
        <f ca="1">IFERROR(__xludf.DUMMYFUNCTION("""COMPUTED_VALUE"""),5)</f>
        <v>5</v>
      </c>
      <c r="V11" s="36">
        <f ca="1">IFERROR(__xludf.DUMMYFUNCTION("""COMPUTED_VALUE"""),57.4039)</f>
        <v>57.4039</v>
      </c>
      <c r="W11" s="27">
        <f ca="1">IFERROR(__xludf.DUMMYFUNCTION("""COMPUTED_VALUE"""),350)</f>
        <v>350</v>
      </c>
      <c r="X11" s="45">
        <f ca="1">IFERROR(__xludf.DUMMYFUNCTION("""COMPUTED_VALUE"""),58.5006)</f>
        <v>58.500599999999999</v>
      </c>
      <c r="Y11" s="45">
        <f ca="1">IFERROR(__xludf.DUMMYFUNCTION("""COMPUTED_VALUE"""),348)</f>
        <v>348</v>
      </c>
      <c r="Z11" s="36">
        <f ca="1">IFERROR(__xludf.DUMMYFUNCTION("""COMPUTED_VALUE"""),112.4972)</f>
        <v>112.49720000000001</v>
      </c>
      <c r="AA11" s="27">
        <f ca="1">IFERROR(__xludf.DUMMYFUNCTION("""COMPUTED_VALUE"""),22)</f>
        <v>22</v>
      </c>
      <c r="AB11" s="36">
        <f ca="1">IFERROR(__xludf.DUMMYFUNCTION("""COMPUTED_VALUE"""),113.7866)</f>
        <v>113.78660000000001</v>
      </c>
      <c r="AC11" s="27">
        <f ca="1">IFERROR(__xludf.DUMMYFUNCTION("""COMPUTED_VALUE"""),15)</f>
        <v>15</v>
      </c>
      <c r="AD11" s="36">
        <f ca="1">IFERROR(__xludf.DUMMYFUNCTION("""COMPUTED_VALUE"""),92.7107)</f>
        <v>92.710700000000003</v>
      </c>
      <c r="AE11" s="27">
        <f ca="1">IFERROR(__xludf.DUMMYFUNCTION("""COMPUTED_VALUE"""),16)</f>
        <v>16</v>
      </c>
      <c r="AF11" s="36">
        <f ca="1">IFERROR(__xludf.DUMMYFUNCTION("""COMPUTED_VALUE"""),93.2423)</f>
        <v>93.2423</v>
      </c>
      <c r="AG11" s="27">
        <f ca="1">IFERROR(__xludf.DUMMYFUNCTION("""COMPUTED_VALUE"""),16)</f>
        <v>16</v>
      </c>
      <c r="AH11" s="46">
        <f ca="1">IFERROR(__xludf.DUMMYFUNCTION("""COMPUTED_VALUE"""),0.908038)</f>
        <v>0.90803800000000001</v>
      </c>
      <c r="AI11" s="27">
        <f ca="1">IFERROR(__xludf.DUMMYFUNCTION("""COMPUTED_VALUE"""),12)</f>
        <v>12</v>
      </c>
      <c r="AJ11" s="36">
        <f ca="1">IFERROR(__xludf.DUMMYFUNCTION("""COMPUTED_VALUE"""),20.5443)</f>
        <v>20.5443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2.3" x14ac:dyDescent="0.4">
      <c r="A12" s="2" t="s">
        <v>35</v>
      </c>
      <c r="B12" s="2">
        <v>2</v>
      </c>
      <c r="C12" s="2">
        <v>66.792400000000001</v>
      </c>
      <c r="D12" s="2">
        <v>82</v>
      </c>
      <c r="E12" s="2">
        <v>67.438199999999995</v>
      </c>
      <c r="F12" s="2">
        <v>55</v>
      </c>
      <c r="G12" s="2">
        <v>106.3417</v>
      </c>
      <c r="H12" s="2">
        <v>80</v>
      </c>
      <c r="I12" s="2">
        <v>110.7779</v>
      </c>
      <c r="J12" s="2">
        <v>37</v>
      </c>
      <c r="K12" s="2">
        <v>96.674999999999997</v>
      </c>
      <c r="L12" s="2">
        <v>62</v>
      </c>
      <c r="M12" s="2">
        <v>90.479600000000005</v>
      </c>
      <c r="N12" s="2">
        <v>7</v>
      </c>
      <c r="O12" s="2">
        <v>0.91113900000000003</v>
      </c>
      <c r="P12" s="2">
        <v>11</v>
      </c>
      <c r="Q12" s="10">
        <v>20.298299999999998</v>
      </c>
      <c r="R12" s="2"/>
      <c r="S12" s="2">
        <f t="shared" si="0"/>
        <v>10</v>
      </c>
      <c r="T12" s="2" t="str">
        <f ca="1">IFERROR(__xludf.DUMMYFUNCTION("""COMPUTED_VALUE"""),"Wichita St.")</f>
        <v>Wichita St.</v>
      </c>
      <c r="U12" s="2">
        <f ca="1">IFERROR(__xludf.DUMMYFUNCTION("""COMPUTED_VALUE"""),7)</f>
        <v>7</v>
      </c>
      <c r="V12" s="10">
        <f ca="1">IFERROR(__xludf.DUMMYFUNCTION("""COMPUTED_VALUE"""),60.9106)</f>
        <v>60.910600000000002</v>
      </c>
      <c r="W12" s="2">
        <f ca="1">IFERROR(__xludf.DUMMYFUNCTION("""COMPUTED_VALUE"""),330)</f>
        <v>330</v>
      </c>
      <c r="X12" s="47">
        <f ca="1">IFERROR(__xludf.DUMMYFUNCTION("""COMPUTED_VALUE"""),62.1472)</f>
        <v>62.147199999999998</v>
      </c>
      <c r="Y12" s="47">
        <f ca="1">IFERROR(__xludf.DUMMYFUNCTION("""COMPUTED_VALUE"""),298)</f>
        <v>298</v>
      </c>
      <c r="Z12" s="10">
        <f ca="1">IFERROR(__xludf.DUMMYFUNCTION("""COMPUTED_VALUE"""),111.9834)</f>
        <v>111.9834</v>
      </c>
      <c r="AA12" s="2">
        <f ca="1">IFERROR(__xludf.DUMMYFUNCTION("""COMPUTED_VALUE"""),24)</f>
        <v>24</v>
      </c>
      <c r="AB12" s="10">
        <f ca="1">IFERROR(__xludf.DUMMYFUNCTION("""COMPUTED_VALUE"""),112.9808)</f>
        <v>112.9808</v>
      </c>
      <c r="AC12" s="2">
        <f ca="1">IFERROR(__xludf.DUMMYFUNCTION("""COMPUTED_VALUE"""),20)</f>
        <v>20</v>
      </c>
      <c r="AD12" s="10">
        <f ca="1">IFERROR(__xludf.DUMMYFUNCTION("""COMPUTED_VALUE"""),90.9871)</f>
        <v>90.987099999999998</v>
      </c>
      <c r="AE12" s="2">
        <f ca="1">IFERROR(__xludf.DUMMYFUNCTION("""COMPUTED_VALUE"""),8)</f>
        <v>8</v>
      </c>
      <c r="AF12" s="10">
        <f ca="1">IFERROR(__xludf.DUMMYFUNCTION("""COMPUTED_VALUE"""),92.9254)</f>
        <v>92.925399999999996</v>
      </c>
      <c r="AG12" s="2">
        <f ca="1">IFERROR(__xludf.DUMMYFUNCTION("""COMPUTED_VALUE"""),15)</f>
        <v>15</v>
      </c>
      <c r="AH12" s="30">
        <f ca="1">IFERROR(__xludf.DUMMYFUNCTION("""COMPUTED_VALUE"""),0.904421)</f>
        <v>0.90442100000000003</v>
      </c>
      <c r="AI12" s="2">
        <f ca="1">IFERROR(__xludf.DUMMYFUNCTION("""COMPUTED_VALUE"""),14)</f>
        <v>14</v>
      </c>
      <c r="AJ12" s="10">
        <f ca="1">IFERROR(__xludf.DUMMYFUNCTION("""COMPUTED_VALUE"""),20.0554)</f>
        <v>20.055399999999999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2.3" x14ac:dyDescent="0.4">
      <c r="A13" s="2" t="s">
        <v>216</v>
      </c>
      <c r="B13" s="2">
        <v>5</v>
      </c>
      <c r="C13" s="2">
        <v>57.4039</v>
      </c>
      <c r="D13" s="2">
        <v>350</v>
      </c>
      <c r="E13" s="2">
        <v>58.500599999999999</v>
      </c>
      <c r="F13" s="2">
        <v>348</v>
      </c>
      <c r="G13" s="2">
        <v>112.49720000000001</v>
      </c>
      <c r="H13" s="2">
        <v>22</v>
      </c>
      <c r="I13" s="2">
        <v>113.78660000000001</v>
      </c>
      <c r="J13" s="2">
        <v>15</v>
      </c>
      <c r="K13" s="2">
        <v>92.710700000000003</v>
      </c>
      <c r="L13" s="2">
        <v>16</v>
      </c>
      <c r="M13" s="2">
        <v>93.2423</v>
      </c>
      <c r="N13" s="2">
        <v>16</v>
      </c>
      <c r="O13" s="2">
        <v>0.90803800000000001</v>
      </c>
      <c r="P13" s="2">
        <v>12</v>
      </c>
      <c r="Q13" s="10">
        <v>20.544300000000007</v>
      </c>
      <c r="R13" s="2"/>
      <c r="S13" s="27">
        <f t="shared" si="0"/>
        <v>11</v>
      </c>
      <c r="T13" s="27" t="str">
        <f ca="1">IFERROR(__xludf.DUMMYFUNCTION("""COMPUTED_VALUE"""),"Baylor")</f>
        <v>Baylor</v>
      </c>
      <c r="U13" s="27">
        <f ca="1">IFERROR(__xludf.DUMMYFUNCTION("""COMPUTED_VALUE"""),3)</f>
        <v>3</v>
      </c>
      <c r="V13" s="36">
        <f ca="1">IFERROR(__xludf.DUMMYFUNCTION("""COMPUTED_VALUE"""),62.6602)</f>
        <v>62.660200000000003</v>
      </c>
      <c r="W13" s="27">
        <f ca="1">IFERROR(__xludf.DUMMYFUNCTION("""COMPUTED_VALUE"""),286)</f>
        <v>286</v>
      </c>
      <c r="X13" s="45">
        <f ca="1">IFERROR(__xludf.DUMMYFUNCTION("""COMPUTED_VALUE"""),62.1773)</f>
        <v>62.177300000000002</v>
      </c>
      <c r="Y13" s="45">
        <f ca="1">IFERROR(__xludf.DUMMYFUNCTION("""COMPUTED_VALUE"""),296)</f>
        <v>296</v>
      </c>
      <c r="Z13" s="36">
        <f ca="1">IFERROR(__xludf.DUMMYFUNCTION("""COMPUTED_VALUE"""),109.5644)</f>
        <v>109.56440000000001</v>
      </c>
      <c r="AA13" s="27">
        <f ca="1">IFERROR(__xludf.DUMMYFUNCTION("""COMPUTED_VALUE"""),38)</f>
        <v>38</v>
      </c>
      <c r="AB13" s="36">
        <f ca="1">IFERROR(__xludf.DUMMYFUNCTION("""COMPUTED_VALUE"""),114.8484)</f>
        <v>114.8484</v>
      </c>
      <c r="AC13" s="27">
        <f ca="1">IFERROR(__xludf.DUMMYFUNCTION("""COMPUTED_VALUE"""),13)</f>
        <v>13</v>
      </c>
      <c r="AD13" s="36">
        <f ca="1">IFERROR(__xludf.DUMMYFUNCTION("""COMPUTED_VALUE"""),95.7085)</f>
        <v>95.708500000000001</v>
      </c>
      <c r="AE13" s="27">
        <f ca="1">IFERROR(__xludf.DUMMYFUNCTION("""COMPUTED_VALUE"""),41)</f>
        <v>41</v>
      </c>
      <c r="AF13" s="36">
        <f ca="1">IFERROR(__xludf.DUMMYFUNCTION("""COMPUTED_VALUE"""),94.519)</f>
        <v>94.519000000000005</v>
      </c>
      <c r="AG13" s="27">
        <f ca="1">IFERROR(__xludf.DUMMYFUNCTION("""COMPUTED_VALUE"""),33)</f>
        <v>33</v>
      </c>
      <c r="AH13" s="46">
        <f ca="1">IFERROR(__xludf.DUMMYFUNCTION("""COMPUTED_VALUE"""),0.903813)</f>
        <v>0.90381299999999998</v>
      </c>
      <c r="AI13" s="27">
        <f ca="1">IFERROR(__xludf.DUMMYFUNCTION("""COMPUTED_VALUE"""),15)</f>
        <v>15</v>
      </c>
      <c r="AJ13" s="36">
        <f ca="1">IFERROR(__xludf.DUMMYFUNCTION("""COMPUTED_VALUE"""),20.3293999999999)</f>
        <v>20.3293999999999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2.3" x14ac:dyDescent="0.4">
      <c r="A14" s="2" t="s">
        <v>146</v>
      </c>
      <c r="B14" s="2">
        <v>3</v>
      </c>
      <c r="C14" s="2">
        <v>69.847700000000003</v>
      </c>
      <c r="D14" s="2">
        <v>12</v>
      </c>
      <c r="E14" s="2">
        <v>69.557900000000004</v>
      </c>
      <c r="F14" s="2">
        <v>15</v>
      </c>
      <c r="G14" s="2">
        <v>112.19499999999999</v>
      </c>
      <c r="H14" s="2">
        <v>23</v>
      </c>
      <c r="I14" s="2">
        <v>118.86069999999999</v>
      </c>
      <c r="J14" s="2">
        <v>7</v>
      </c>
      <c r="K14" s="2">
        <v>99.106899999999996</v>
      </c>
      <c r="L14" s="2">
        <v>106</v>
      </c>
      <c r="M14" s="2">
        <v>97.734999999999999</v>
      </c>
      <c r="N14" s="2">
        <v>82</v>
      </c>
      <c r="O14" s="2">
        <v>0.90469100000000002</v>
      </c>
      <c r="P14" s="2">
        <v>13</v>
      </c>
      <c r="Q14" s="10">
        <v>21.125699999999995</v>
      </c>
      <c r="R14" s="2"/>
      <c r="S14" s="2">
        <f t="shared" si="0"/>
        <v>12</v>
      </c>
      <c r="T14" s="2" t="str">
        <f ca="1">IFERROR(__xludf.DUMMYFUNCTION("""COMPUTED_VALUE"""),"North Carolina")</f>
        <v>North Carolina</v>
      </c>
      <c r="U14" s="2">
        <f ca="1">IFERROR(__xludf.DUMMYFUNCTION("""COMPUTED_VALUE"""),4)</f>
        <v>4</v>
      </c>
      <c r="V14" s="10">
        <f ca="1">IFERROR(__xludf.DUMMYFUNCTION("""COMPUTED_VALUE"""),69.4537)</f>
        <v>69.453699999999998</v>
      </c>
      <c r="W14" s="2">
        <f ca="1">IFERROR(__xludf.DUMMYFUNCTION("""COMPUTED_VALUE"""),15)</f>
        <v>15</v>
      </c>
      <c r="X14" s="2">
        <f ca="1">IFERROR(__xludf.DUMMYFUNCTION("""COMPUTED_VALUE"""),69.9581)</f>
        <v>69.958100000000002</v>
      </c>
      <c r="Y14" s="2">
        <f ca="1">IFERROR(__xludf.DUMMYFUNCTION("""COMPUTED_VALUE"""),10)</f>
        <v>10</v>
      </c>
      <c r="Z14" s="10">
        <f ca="1">IFERROR(__xludf.DUMMYFUNCTION("""COMPUTED_VALUE"""),111.2074)</f>
        <v>111.20740000000001</v>
      </c>
      <c r="AA14" s="2">
        <f ca="1">IFERROR(__xludf.DUMMYFUNCTION("""COMPUTED_VALUE"""),27)</f>
        <v>27</v>
      </c>
      <c r="AB14" s="10">
        <f ca="1">IFERROR(__xludf.DUMMYFUNCTION("""COMPUTED_VALUE"""),115.2564)</f>
        <v>115.2564</v>
      </c>
      <c r="AC14" s="2">
        <f ca="1">IFERROR(__xludf.DUMMYFUNCTION("""COMPUTED_VALUE"""),12)</f>
        <v>12</v>
      </c>
      <c r="AD14" s="10">
        <f ca="1">IFERROR(__xludf.DUMMYFUNCTION("""COMPUTED_VALUE"""),98.1216)</f>
        <v>98.121600000000001</v>
      </c>
      <c r="AE14" s="2">
        <f ca="1">IFERROR(__xludf.DUMMYFUNCTION("""COMPUTED_VALUE"""),87)</f>
        <v>87</v>
      </c>
      <c r="AF14" s="10">
        <f ca="1">IFERROR(__xludf.DUMMYFUNCTION("""COMPUTED_VALUE"""),95.0366)</f>
        <v>95.036600000000007</v>
      </c>
      <c r="AG14" s="2">
        <f ca="1">IFERROR(__xludf.DUMMYFUNCTION("""COMPUTED_VALUE"""),45)</f>
        <v>45</v>
      </c>
      <c r="AH14" s="30">
        <f ca="1">IFERROR(__xludf.DUMMYFUNCTION("""COMPUTED_VALUE"""),0.901882)</f>
        <v>0.90188199999999996</v>
      </c>
      <c r="AI14" s="2">
        <f ca="1">IFERROR(__xludf.DUMMYFUNCTION("""COMPUTED_VALUE"""),16)</f>
        <v>16</v>
      </c>
      <c r="AJ14" s="10">
        <f ca="1">IFERROR(__xludf.DUMMYFUNCTION("""COMPUTED_VALUE"""),20.2197999999999)</f>
        <v>20.2197999999999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2.3" x14ac:dyDescent="0.4">
      <c r="A15" s="2" t="s">
        <v>192</v>
      </c>
      <c r="B15" s="2">
        <v>7</v>
      </c>
      <c r="C15" s="2">
        <v>60.910600000000002</v>
      </c>
      <c r="D15" s="2">
        <v>330</v>
      </c>
      <c r="E15" s="2">
        <v>62.147199999999998</v>
      </c>
      <c r="F15" s="2">
        <v>298</v>
      </c>
      <c r="G15" s="2">
        <v>111.9834</v>
      </c>
      <c r="H15" s="2">
        <v>24</v>
      </c>
      <c r="I15" s="2">
        <v>112.9808</v>
      </c>
      <c r="J15" s="2">
        <v>20</v>
      </c>
      <c r="K15" s="2">
        <v>90.987099999999998</v>
      </c>
      <c r="L15" s="2">
        <v>8</v>
      </c>
      <c r="M15" s="2">
        <v>92.925399999999996</v>
      </c>
      <c r="N15" s="2">
        <v>15</v>
      </c>
      <c r="O15" s="2">
        <v>0.90442100000000003</v>
      </c>
      <c r="P15" s="2">
        <v>14</v>
      </c>
      <c r="Q15" s="10">
        <v>20.055400000000006</v>
      </c>
      <c r="R15" s="2"/>
      <c r="S15" s="27">
        <f t="shared" si="0"/>
        <v>13</v>
      </c>
      <c r="T15" s="27" t="str">
        <f ca="1">IFERROR(__xludf.DUMMYFUNCTION("""COMPUTED_VALUE"""),"SMU")</f>
        <v>SMU</v>
      </c>
      <c r="U15" s="27">
        <f ca="1">IFERROR(__xludf.DUMMYFUNCTION("""COMPUTED_VALUE"""),6)</f>
        <v>6</v>
      </c>
      <c r="V15" s="36">
        <f ca="1">IFERROR(__xludf.DUMMYFUNCTION("""COMPUTED_VALUE"""),62.9331)</f>
        <v>62.933100000000003</v>
      </c>
      <c r="W15" s="27">
        <f ca="1">IFERROR(__xludf.DUMMYFUNCTION("""COMPUTED_VALUE"""),275)</f>
        <v>275</v>
      </c>
      <c r="X15" s="45">
        <f ca="1">IFERROR(__xludf.DUMMYFUNCTION("""COMPUTED_VALUE"""),63.7996)</f>
        <v>63.799599999999998</v>
      </c>
      <c r="Y15" s="27">
        <f ca="1">IFERROR(__xludf.DUMMYFUNCTION("""COMPUTED_VALUE"""),226)</f>
        <v>226</v>
      </c>
      <c r="Z15" s="36">
        <f ca="1">IFERROR(__xludf.DUMMYFUNCTION("""COMPUTED_VALUE"""),109.9414)</f>
        <v>109.9414</v>
      </c>
      <c r="AA15" s="27">
        <f ca="1">IFERROR(__xludf.DUMMYFUNCTION("""COMPUTED_VALUE"""),33)</f>
        <v>33</v>
      </c>
      <c r="AB15" s="36">
        <f ca="1">IFERROR(__xludf.DUMMYFUNCTION("""COMPUTED_VALUE"""),112.3093)</f>
        <v>112.30929999999999</v>
      </c>
      <c r="AC15" s="27">
        <f ca="1">IFERROR(__xludf.DUMMYFUNCTION("""COMPUTED_VALUE"""),24)</f>
        <v>24</v>
      </c>
      <c r="AD15" s="36">
        <f ca="1">IFERROR(__xludf.DUMMYFUNCTION("""COMPUTED_VALUE"""),94.6513)</f>
        <v>94.651300000000006</v>
      </c>
      <c r="AE15" s="27">
        <f ca="1">IFERROR(__xludf.DUMMYFUNCTION("""COMPUTED_VALUE"""),30)</f>
        <v>30</v>
      </c>
      <c r="AF15" s="36">
        <f ca="1">IFERROR(__xludf.DUMMYFUNCTION("""COMPUTED_VALUE"""),94.9444)</f>
        <v>94.944400000000002</v>
      </c>
      <c r="AG15" s="27">
        <f ca="1">IFERROR(__xludf.DUMMYFUNCTION("""COMPUTED_VALUE"""),43)</f>
        <v>43</v>
      </c>
      <c r="AH15" s="46">
        <f ca="1">IFERROR(__xludf.DUMMYFUNCTION("""COMPUTED_VALUE"""),0.873426)</f>
        <v>0.87342600000000004</v>
      </c>
      <c r="AI15" s="27">
        <f ca="1">IFERROR(__xludf.DUMMYFUNCTION("""COMPUTED_VALUE"""),19)</f>
        <v>19</v>
      </c>
      <c r="AJ15" s="36">
        <f ca="1">IFERROR(__xludf.DUMMYFUNCTION("""COMPUTED_VALUE"""),17.3648999999999)</f>
        <v>17.364899999999899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2.3" x14ac:dyDescent="0.4">
      <c r="A16" s="2" t="s">
        <v>158</v>
      </c>
      <c r="B16" s="2">
        <v>3</v>
      </c>
      <c r="C16" s="2">
        <v>62.660200000000003</v>
      </c>
      <c r="D16" s="2">
        <v>286</v>
      </c>
      <c r="E16" s="2">
        <v>62.177300000000002</v>
      </c>
      <c r="F16" s="2">
        <v>296</v>
      </c>
      <c r="G16" s="2">
        <v>109.56440000000001</v>
      </c>
      <c r="H16" s="2">
        <v>38</v>
      </c>
      <c r="I16" s="2">
        <v>114.8484</v>
      </c>
      <c r="J16" s="2">
        <v>13</v>
      </c>
      <c r="K16" s="2">
        <v>95.708500000000001</v>
      </c>
      <c r="L16" s="2">
        <v>41</v>
      </c>
      <c r="M16" s="2">
        <v>94.519000000000005</v>
      </c>
      <c r="N16" s="2">
        <v>33</v>
      </c>
      <c r="O16" s="2">
        <v>0.90381299999999998</v>
      </c>
      <c r="P16" s="2">
        <v>15</v>
      </c>
      <c r="Q16" s="10">
        <v>20.329399999999993</v>
      </c>
      <c r="R16" s="2"/>
      <c r="S16" s="38">
        <f t="shared" si="0"/>
        <v>14</v>
      </c>
      <c r="T16" s="38" t="str">
        <f ca="1">IFERROR(__xludf.DUMMYFUNCTION("""COMPUTED_VALUE"""),"Texas")</f>
        <v>Texas</v>
      </c>
      <c r="U16" s="38">
        <f ca="1">IFERROR(__xludf.DUMMYFUNCTION("""COMPUTED_VALUE"""),11)</f>
        <v>11</v>
      </c>
      <c r="V16" s="40">
        <f ca="1">IFERROR(__xludf.DUMMYFUNCTION("""COMPUTED_VALUE"""),63.0847)</f>
        <v>63.084699999999998</v>
      </c>
      <c r="W16" s="38">
        <f ca="1">IFERROR(__xludf.DUMMYFUNCTION("""COMPUTED_VALUE"""),269)</f>
        <v>269</v>
      </c>
      <c r="X16" s="49">
        <f ca="1">IFERROR(__xludf.DUMMYFUNCTION("""COMPUTED_VALUE"""),62.2793)</f>
        <v>62.279299999999999</v>
      </c>
      <c r="Y16" s="49">
        <f ca="1">IFERROR(__xludf.DUMMYFUNCTION("""COMPUTED_VALUE"""),294)</f>
        <v>294</v>
      </c>
      <c r="Z16" s="40">
        <f ca="1">IFERROR(__xludf.DUMMYFUNCTION("""COMPUTED_VALUE"""),106.4896)</f>
        <v>106.4896</v>
      </c>
      <c r="AA16" s="38">
        <f ca="1">IFERROR(__xludf.DUMMYFUNCTION("""COMPUTED_VALUE"""),77)</f>
        <v>77</v>
      </c>
      <c r="AB16" s="40">
        <f ca="1">IFERROR(__xludf.DUMMYFUNCTION("""COMPUTED_VALUE"""),110.2882)</f>
        <v>110.2882</v>
      </c>
      <c r="AC16" s="38">
        <f ca="1">IFERROR(__xludf.DUMMYFUNCTION("""COMPUTED_VALUE"""),42)</f>
        <v>42</v>
      </c>
      <c r="AD16" s="40">
        <f ca="1">IFERROR(__xludf.DUMMYFUNCTION("""COMPUTED_VALUE"""),94.5865)</f>
        <v>94.586500000000001</v>
      </c>
      <c r="AE16" s="38">
        <f ca="1">IFERROR(__xludf.DUMMYFUNCTION("""COMPUTED_VALUE"""),28)</f>
        <v>28</v>
      </c>
      <c r="AF16" s="40">
        <f ca="1">IFERROR(__xludf.DUMMYFUNCTION("""COMPUTED_VALUE"""),93.3071)</f>
        <v>93.307100000000005</v>
      </c>
      <c r="AG16" s="38">
        <f ca="1">IFERROR(__xludf.DUMMYFUNCTION("""COMPUTED_VALUE"""),19)</f>
        <v>19</v>
      </c>
      <c r="AH16" s="48">
        <f ca="1">IFERROR(__xludf.DUMMYFUNCTION("""COMPUTED_VALUE"""),0.872452)</f>
        <v>0.87245200000000001</v>
      </c>
      <c r="AI16" s="38">
        <f ca="1">IFERROR(__xludf.DUMMYFUNCTION("""COMPUTED_VALUE"""),20)</f>
        <v>20</v>
      </c>
      <c r="AJ16" s="50">
        <f ca="1">IFERROR(__xludf.DUMMYFUNCTION("""COMPUTED_VALUE"""),16.9810999999999)</f>
        <v>16.981099999999898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2.3" x14ac:dyDescent="0.4">
      <c r="A17" s="2" t="s">
        <v>168</v>
      </c>
      <c r="B17" s="2">
        <v>4</v>
      </c>
      <c r="C17" s="2">
        <v>69.453699999999998</v>
      </c>
      <c r="D17" s="2">
        <v>15</v>
      </c>
      <c r="E17" s="2">
        <v>69.958100000000002</v>
      </c>
      <c r="F17" s="2">
        <v>10</v>
      </c>
      <c r="G17" s="2">
        <v>111.20740000000001</v>
      </c>
      <c r="H17" s="2">
        <v>27</v>
      </c>
      <c r="I17" s="2">
        <v>115.2564</v>
      </c>
      <c r="J17" s="2">
        <v>12</v>
      </c>
      <c r="K17" s="2">
        <v>98.121600000000001</v>
      </c>
      <c r="L17" s="2">
        <v>87</v>
      </c>
      <c r="M17" s="2">
        <v>95.036600000000007</v>
      </c>
      <c r="N17" s="2">
        <v>45</v>
      </c>
      <c r="O17" s="2">
        <v>0.90188199999999996</v>
      </c>
      <c r="P17" s="2">
        <v>16</v>
      </c>
      <c r="Q17" s="10">
        <v>20.219799999999992</v>
      </c>
      <c r="R17" s="2"/>
      <c r="S17" s="43" t="s">
        <v>436</v>
      </c>
      <c r="T17" s="2"/>
      <c r="U17" s="2"/>
      <c r="V17" s="10"/>
      <c r="W17" s="2"/>
      <c r="X17" s="2"/>
      <c r="Y17" s="2"/>
      <c r="Z17" s="10"/>
      <c r="AA17" s="2"/>
      <c r="AB17" s="10"/>
      <c r="AC17" s="2"/>
      <c r="AD17" s="10"/>
      <c r="AE17" s="2"/>
      <c r="AF17" s="10"/>
      <c r="AG17" s="2"/>
      <c r="AH17" s="30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2.3" x14ac:dyDescent="0.4">
      <c r="A18" s="2" t="s">
        <v>58</v>
      </c>
      <c r="B18" s="2">
        <v>7</v>
      </c>
      <c r="C18" s="2">
        <v>63.132599999999996</v>
      </c>
      <c r="D18" s="2">
        <v>267</v>
      </c>
      <c r="E18" s="2">
        <v>63.700499999999998</v>
      </c>
      <c r="F18" s="2">
        <v>235</v>
      </c>
      <c r="G18" s="2">
        <v>110.8472</v>
      </c>
      <c r="H18" s="2">
        <v>29</v>
      </c>
      <c r="I18" s="2">
        <v>114.1116</v>
      </c>
      <c r="J18" s="2">
        <v>14</v>
      </c>
      <c r="K18" s="2">
        <v>97.901899999999998</v>
      </c>
      <c r="L18" s="2">
        <v>83</v>
      </c>
      <c r="M18" s="2">
        <v>96.071799999999996</v>
      </c>
      <c r="N18" s="2">
        <v>53</v>
      </c>
      <c r="O18" s="2">
        <v>0.87856699999999999</v>
      </c>
      <c r="P18" s="2">
        <v>17</v>
      </c>
      <c r="Q18" s="10">
        <v>18.0398</v>
      </c>
      <c r="R18" s="2"/>
      <c r="S18" s="27">
        <v>1</v>
      </c>
      <c r="T18" s="27" t="str">
        <f ca="1">IFERROR(__xludf.DUMMYFUNCTION("filter(A1:Q251,O1:O251&gt;='Champs clean'!E16,I1:I251&gt;='Champs clean'!G16,M1:M251&lt;='Champs clean'!I17,E1:E251&gt;='Champs clean'!K16)"),"Arizona")</f>
        <v>Arizona</v>
      </c>
      <c r="U18" s="27">
        <f ca="1">IFERROR(__xludf.DUMMYFUNCTION("""COMPUTED_VALUE"""),2)</f>
        <v>2</v>
      </c>
      <c r="V18" s="36">
        <f ca="1">IFERROR(__xludf.DUMMYFUNCTION("""COMPUTED_VALUE"""),66.8428)</f>
        <v>66.842799999999997</v>
      </c>
      <c r="W18" s="27">
        <f ca="1">IFERROR(__xludf.DUMMYFUNCTION("""COMPUTED_VALUE"""),79)</f>
        <v>79</v>
      </c>
      <c r="X18" s="27">
        <f ca="1">IFERROR(__xludf.DUMMYFUNCTION("""COMPUTED_VALUE"""),66.7277)</f>
        <v>66.727699999999999</v>
      </c>
      <c r="Y18" s="27">
        <f ca="1">IFERROR(__xludf.DUMMYFUNCTION("""COMPUTED_VALUE"""),78)</f>
        <v>78</v>
      </c>
      <c r="Z18" s="36">
        <f ca="1">IFERROR(__xludf.DUMMYFUNCTION("""COMPUTED_VALUE"""),113.6254)</f>
        <v>113.6254</v>
      </c>
      <c r="AA18" s="27">
        <f ca="1">IFERROR(__xludf.DUMMYFUNCTION("""COMPUTED_VALUE"""),17)</f>
        <v>17</v>
      </c>
      <c r="AB18" s="36">
        <f ca="1">IFERROR(__xludf.DUMMYFUNCTION("""COMPUTED_VALUE"""),116.0039)</f>
        <v>116.0039</v>
      </c>
      <c r="AC18" s="27">
        <f ca="1">IFERROR(__xludf.DUMMYFUNCTION("""COMPUTED_VALUE"""),11)</f>
        <v>11</v>
      </c>
      <c r="AD18" s="36">
        <f ca="1">IFERROR(__xludf.DUMMYFUNCTION("""COMPUTED_VALUE"""),87.414)</f>
        <v>87.414000000000001</v>
      </c>
      <c r="AE18" s="27">
        <f ca="1">IFERROR(__xludf.DUMMYFUNCTION("""COMPUTED_VALUE"""),4)</f>
        <v>4</v>
      </c>
      <c r="AF18" s="36">
        <f ca="1">IFERROR(__xludf.DUMMYFUNCTION("""COMPUTED_VALUE"""),86.3831)</f>
        <v>86.383099999999999</v>
      </c>
      <c r="AG18" s="27">
        <f ca="1">IFERROR(__xludf.DUMMYFUNCTION("""COMPUTED_VALUE"""),3)</f>
        <v>3</v>
      </c>
      <c r="AH18" s="46">
        <f ca="1">IFERROR(__xludf.DUMMYFUNCTION("""COMPUTED_VALUE"""),0.967408)</f>
        <v>0.96740800000000005</v>
      </c>
      <c r="AI18" s="27">
        <f ca="1">IFERROR(__xludf.DUMMYFUNCTION("""COMPUTED_VALUE"""),2)</f>
        <v>2</v>
      </c>
      <c r="AJ18" s="36">
        <f ca="1">IFERROR(__xludf.DUMMYFUNCTION("""COMPUTED_VALUE"""),29.6208)</f>
        <v>29.620799999999999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2.3" x14ac:dyDescent="0.4">
      <c r="A19" s="2" t="s">
        <v>86</v>
      </c>
      <c r="B19" s="2">
        <v>4</v>
      </c>
      <c r="C19" s="2">
        <v>66.242000000000004</v>
      </c>
      <c r="D19" s="2">
        <v>105</v>
      </c>
      <c r="E19" s="2">
        <v>65.4983</v>
      </c>
      <c r="F19" s="2">
        <v>136</v>
      </c>
      <c r="G19" s="2">
        <v>103.4782</v>
      </c>
      <c r="H19" s="2">
        <v>139</v>
      </c>
      <c r="I19" s="2">
        <v>105.8796</v>
      </c>
      <c r="J19" s="2">
        <v>95</v>
      </c>
      <c r="K19" s="2">
        <v>89.928200000000004</v>
      </c>
      <c r="L19" s="2">
        <v>6</v>
      </c>
      <c r="M19" s="2">
        <v>89.357799999999997</v>
      </c>
      <c r="N19" s="2">
        <v>6</v>
      </c>
      <c r="O19" s="2">
        <v>0.87555799999999995</v>
      </c>
      <c r="P19" s="2">
        <v>18</v>
      </c>
      <c r="Q19" s="10">
        <v>16.521799999999999</v>
      </c>
      <c r="R19" s="2"/>
      <c r="S19" s="2">
        <v>2</v>
      </c>
      <c r="T19" s="2" t="str">
        <f ca="1">IFERROR(__xludf.DUMMYFUNCTION("""COMPUTED_VALUE"""),"Gonzaga")</f>
        <v>Gonzaga</v>
      </c>
      <c r="U19" s="2">
        <f ca="1">IFERROR(__xludf.DUMMYFUNCTION("""COMPUTED_VALUE"""),2)</f>
        <v>2</v>
      </c>
      <c r="V19" s="10">
        <f ca="1">IFERROR(__xludf.DUMMYFUNCTION("""COMPUTED_VALUE"""),64.9509)</f>
        <v>64.950900000000004</v>
      </c>
      <c r="W19" s="2">
        <f ca="1">IFERROR(__xludf.DUMMYFUNCTION("""COMPUTED_VALUE"""),162)</f>
        <v>162</v>
      </c>
      <c r="X19" s="2">
        <f ca="1">IFERROR(__xludf.DUMMYFUNCTION("""COMPUTED_VALUE"""),65.0605)</f>
        <v>65.060500000000005</v>
      </c>
      <c r="Y19" s="2">
        <f ca="1">IFERROR(__xludf.DUMMYFUNCTION("""COMPUTED_VALUE"""),153)</f>
        <v>153</v>
      </c>
      <c r="Z19" s="10">
        <f ca="1">IFERROR(__xludf.DUMMYFUNCTION("""COMPUTED_VALUE"""),120.0066)</f>
        <v>120.00660000000001</v>
      </c>
      <c r="AA19" s="2">
        <f ca="1">IFERROR(__xludf.DUMMYFUNCTION("""COMPUTED_VALUE"""),4)</f>
        <v>4</v>
      </c>
      <c r="AB19" s="10">
        <f ca="1">IFERROR(__xludf.DUMMYFUNCTION("""COMPUTED_VALUE"""),119.4414)</f>
        <v>119.4414</v>
      </c>
      <c r="AC19" s="2">
        <f ca="1">IFERROR(__xludf.DUMMYFUNCTION("""COMPUTED_VALUE"""),6)</f>
        <v>6</v>
      </c>
      <c r="AD19" s="10">
        <f ca="1">IFERROR(__xludf.DUMMYFUNCTION("""COMPUTED_VALUE"""),93.6311)</f>
        <v>93.631100000000004</v>
      </c>
      <c r="AE19" s="2">
        <f ca="1">IFERROR(__xludf.DUMMYFUNCTION("""COMPUTED_VALUE"""),19)</f>
        <v>19</v>
      </c>
      <c r="AF19" s="10">
        <f ca="1">IFERROR(__xludf.DUMMYFUNCTION("""COMPUTED_VALUE"""),93.4313)</f>
        <v>93.431299999999993</v>
      </c>
      <c r="AG19" s="2">
        <f ca="1">IFERROR(__xludf.DUMMYFUNCTION("""COMPUTED_VALUE"""),20)</f>
        <v>20</v>
      </c>
      <c r="AH19" s="30">
        <f ca="1">IFERROR(__xludf.DUMMYFUNCTION("""COMPUTED_VALUE"""),0.94398)</f>
        <v>0.94398000000000004</v>
      </c>
      <c r="AI19" s="2">
        <f ca="1">IFERROR(__xludf.DUMMYFUNCTION("""COMPUTED_VALUE"""),6)</f>
        <v>6</v>
      </c>
      <c r="AJ19" s="10">
        <f ca="1">IFERROR(__xludf.DUMMYFUNCTION("""COMPUTED_VALUE"""),26.0101)</f>
        <v>26.010100000000001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2.3" x14ac:dyDescent="0.4">
      <c r="A20" s="2" t="s">
        <v>140</v>
      </c>
      <c r="B20" s="2">
        <v>6</v>
      </c>
      <c r="C20" s="2">
        <v>62.933100000000003</v>
      </c>
      <c r="D20" s="2">
        <v>275</v>
      </c>
      <c r="E20" s="2">
        <v>63.799599999999998</v>
      </c>
      <c r="F20" s="2">
        <v>226</v>
      </c>
      <c r="G20" s="2">
        <v>109.9414</v>
      </c>
      <c r="H20" s="2">
        <v>33</v>
      </c>
      <c r="I20" s="2">
        <v>112.30929999999999</v>
      </c>
      <c r="J20" s="2">
        <v>24</v>
      </c>
      <c r="K20" s="2">
        <v>94.651300000000006</v>
      </c>
      <c r="L20" s="2">
        <v>30</v>
      </c>
      <c r="M20" s="2">
        <v>94.944400000000002</v>
      </c>
      <c r="N20" s="2">
        <v>43</v>
      </c>
      <c r="O20" s="2">
        <v>0.87342600000000004</v>
      </c>
      <c r="P20" s="2">
        <v>19</v>
      </c>
      <c r="Q20" s="10">
        <v>17.364899999999992</v>
      </c>
      <c r="R20" s="2"/>
      <c r="S20" s="27">
        <v>3</v>
      </c>
      <c r="T20" s="27" t="str">
        <f ca="1">IFERROR(__xludf.DUMMYFUNCTION("""COMPUTED_VALUE"""),"Kansas")</f>
        <v>Kansas</v>
      </c>
      <c r="U20" s="27">
        <f ca="1">IFERROR(__xludf.DUMMYFUNCTION("""COMPUTED_VALUE"""),2)</f>
        <v>2</v>
      </c>
      <c r="V20" s="36">
        <f ca="1">IFERROR(__xludf.DUMMYFUNCTION("""COMPUTED_VALUE"""),66.7924)</f>
        <v>66.792400000000001</v>
      </c>
      <c r="W20" s="27">
        <f ca="1">IFERROR(__xludf.DUMMYFUNCTION("""COMPUTED_VALUE"""),82)</f>
        <v>82</v>
      </c>
      <c r="X20" s="27">
        <f ca="1">IFERROR(__xludf.DUMMYFUNCTION("""COMPUTED_VALUE"""),67.4382)</f>
        <v>67.438199999999995</v>
      </c>
      <c r="Y20" s="27">
        <f ca="1">IFERROR(__xludf.DUMMYFUNCTION("""COMPUTED_VALUE"""),55)</f>
        <v>55</v>
      </c>
      <c r="Z20" s="36">
        <f ca="1">IFERROR(__xludf.DUMMYFUNCTION("""COMPUTED_VALUE"""),106.3417)</f>
        <v>106.3417</v>
      </c>
      <c r="AA20" s="27">
        <f ca="1">IFERROR(__xludf.DUMMYFUNCTION("""COMPUTED_VALUE"""),80)</f>
        <v>80</v>
      </c>
      <c r="AB20" s="36">
        <f ca="1">IFERROR(__xludf.DUMMYFUNCTION("""COMPUTED_VALUE"""),110.7779)</f>
        <v>110.7779</v>
      </c>
      <c r="AC20" s="27">
        <f ca="1">IFERROR(__xludf.DUMMYFUNCTION("""COMPUTED_VALUE"""),37)</f>
        <v>37</v>
      </c>
      <c r="AD20" s="36">
        <f ca="1">IFERROR(__xludf.DUMMYFUNCTION("""COMPUTED_VALUE"""),96.675)</f>
        <v>96.674999999999997</v>
      </c>
      <c r="AE20" s="27">
        <f ca="1">IFERROR(__xludf.DUMMYFUNCTION("""COMPUTED_VALUE"""),62)</f>
        <v>62</v>
      </c>
      <c r="AF20" s="36">
        <f ca="1">IFERROR(__xludf.DUMMYFUNCTION("""COMPUTED_VALUE"""),90.4796)</f>
        <v>90.479600000000005</v>
      </c>
      <c r="AG20" s="27">
        <f ca="1">IFERROR(__xludf.DUMMYFUNCTION("""COMPUTED_VALUE"""),7)</f>
        <v>7</v>
      </c>
      <c r="AH20" s="46">
        <f ca="1">IFERROR(__xludf.DUMMYFUNCTION("""COMPUTED_VALUE"""),0.911139)</f>
        <v>0.91113900000000003</v>
      </c>
      <c r="AI20" s="27">
        <f ca="1">IFERROR(__xludf.DUMMYFUNCTION("""COMPUTED_VALUE"""),11)</f>
        <v>11</v>
      </c>
      <c r="AJ20" s="36">
        <f ca="1">IFERROR(__xludf.DUMMYFUNCTION("""COMPUTED_VALUE"""),20.2982999999999)</f>
        <v>20.298299999999902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2.3" x14ac:dyDescent="0.4">
      <c r="A21" s="2" t="s">
        <v>67</v>
      </c>
      <c r="B21" s="2">
        <v>11</v>
      </c>
      <c r="C21" s="2">
        <v>63.084699999999998</v>
      </c>
      <c r="D21" s="2">
        <v>269</v>
      </c>
      <c r="E21" s="2">
        <v>62.279299999999999</v>
      </c>
      <c r="F21" s="2">
        <v>294</v>
      </c>
      <c r="G21" s="2">
        <v>106.4896</v>
      </c>
      <c r="H21" s="2">
        <v>77</v>
      </c>
      <c r="I21" s="2">
        <v>110.2882</v>
      </c>
      <c r="J21" s="2">
        <v>42</v>
      </c>
      <c r="K21" s="2">
        <v>94.586500000000001</v>
      </c>
      <c r="L21" s="2">
        <v>28</v>
      </c>
      <c r="M21" s="2">
        <v>93.307100000000005</v>
      </c>
      <c r="N21" s="2">
        <v>19</v>
      </c>
      <c r="O21" s="2">
        <v>0.87245200000000001</v>
      </c>
      <c r="P21" s="2">
        <v>20</v>
      </c>
      <c r="Q21" s="10">
        <v>16.981099999999998</v>
      </c>
      <c r="R21" s="2"/>
      <c r="S21" s="2">
        <v>4</v>
      </c>
      <c r="T21" s="2" t="str">
        <f ca="1">IFERROR(__xludf.DUMMYFUNCTION("""COMPUTED_VALUE"""),"North Carolina")</f>
        <v>North Carolina</v>
      </c>
      <c r="U21" s="2">
        <f ca="1">IFERROR(__xludf.DUMMYFUNCTION("""COMPUTED_VALUE"""),4)</f>
        <v>4</v>
      </c>
      <c r="V21" s="10">
        <f ca="1">IFERROR(__xludf.DUMMYFUNCTION("""COMPUTED_VALUE"""),69.4537)</f>
        <v>69.453699999999998</v>
      </c>
      <c r="W21" s="2">
        <f ca="1">IFERROR(__xludf.DUMMYFUNCTION("""COMPUTED_VALUE"""),15)</f>
        <v>15</v>
      </c>
      <c r="X21" s="2">
        <f ca="1">IFERROR(__xludf.DUMMYFUNCTION("""COMPUTED_VALUE"""),69.9581)</f>
        <v>69.958100000000002</v>
      </c>
      <c r="Y21" s="2">
        <f ca="1">IFERROR(__xludf.DUMMYFUNCTION("""COMPUTED_VALUE"""),10)</f>
        <v>10</v>
      </c>
      <c r="Z21" s="10">
        <f ca="1">IFERROR(__xludf.DUMMYFUNCTION("""COMPUTED_VALUE"""),111.2074)</f>
        <v>111.20740000000001</v>
      </c>
      <c r="AA21" s="2">
        <f ca="1">IFERROR(__xludf.DUMMYFUNCTION("""COMPUTED_VALUE"""),27)</f>
        <v>27</v>
      </c>
      <c r="AB21" s="10">
        <f ca="1">IFERROR(__xludf.DUMMYFUNCTION("""COMPUTED_VALUE"""),115.2564)</f>
        <v>115.2564</v>
      </c>
      <c r="AC21" s="2">
        <f ca="1">IFERROR(__xludf.DUMMYFUNCTION("""COMPUTED_VALUE"""),12)</f>
        <v>12</v>
      </c>
      <c r="AD21" s="10">
        <f ca="1">IFERROR(__xludf.DUMMYFUNCTION("""COMPUTED_VALUE"""),98.1216)</f>
        <v>98.121600000000001</v>
      </c>
      <c r="AE21" s="2">
        <f ca="1">IFERROR(__xludf.DUMMYFUNCTION("""COMPUTED_VALUE"""),87)</f>
        <v>87</v>
      </c>
      <c r="AF21" s="10">
        <f ca="1">IFERROR(__xludf.DUMMYFUNCTION("""COMPUTED_VALUE"""),95.0366)</f>
        <v>95.036600000000007</v>
      </c>
      <c r="AG21" s="2">
        <f ca="1">IFERROR(__xludf.DUMMYFUNCTION("""COMPUTED_VALUE"""),45)</f>
        <v>45</v>
      </c>
      <c r="AH21" s="30">
        <f ca="1">IFERROR(__xludf.DUMMYFUNCTION("""COMPUTED_VALUE"""),0.901882)</f>
        <v>0.90188199999999996</v>
      </c>
      <c r="AI21" s="2">
        <f ca="1">IFERROR(__xludf.DUMMYFUNCTION("""COMPUTED_VALUE"""),16)</f>
        <v>16</v>
      </c>
      <c r="AJ21" s="10">
        <f ca="1">IFERROR(__xludf.DUMMYFUNCTION("""COMPUTED_VALUE"""),20.2197999999999)</f>
        <v>20.2197999999999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2.3" x14ac:dyDescent="0.4">
      <c r="A22" s="2" t="s">
        <v>21</v>
      </c>
      <c r="B22" s="2">
        <v>10</v>
      </c>
      <c r="C22" s="2">
        <v>66.177800000000005</v>
      </c>
      <c r="D22" s="2">
        <v>108</v>
      </c>
      <c r="E22" s="2">
        <v>66.353399999999993</v>
      </c>
      <c r="F22" s="2">
        <v>96</v>
      </c>
      <c r="G22" s="2">
        <v>113.80029999999999</v>
      </c>
      <c r="H22" s="2">
        <v>14</v>
      </c>
      <c r="I22" s="2">
        <v>111.6073</v>
      </c>
      <c r="J22" s="2">
        <v>29</v>
      </c>
      <c r="K22" s="2">
        <v>94.655000000000001</v>
      </c>
      <c r="L22" s="2">
        <v>31</v>
      </c>
      <c r="M22" s="2">
        <v>94.745500000000007</v>
      </c>
      <c r="N22" s="2">
        <v>40</v>
      </c>
      <c r="O22" s="2">
        <v>0.86802500000000005</v>
      </c>
      <c r="P22" s="2">
        <v>21</v>
      </c>
      <c r="Q22" s="10">
        <v>16.861799999999988</v>
      </c>
      <c r="R22" s="2"/>
      <c r="S22" s="43" t="s">
        <v>437</v>
      </c>
      <c r="T22" s="2"/>
      <c r="U22" s="2"/>
      <c r="V22" s="10"/>
      <c r="W22" s="2"/>
      <c r="X22" s="2"/>
      <c r="Y22" s="2"/>
      <c r="Z22" s="10"/>
      <c r="AA22" s="2"/>
      <c r="AB22" s="10"/>
      <c r="AC22" s="2"/>
      <c r="AD22" s="10"/>
      <c r="AE22" s="2"/>
      <c r="AF22" s="10"/>
      <c r="AG22" s="2"/>
      <c r="AH22" s="30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2.3" x14ac:dyDescent="0.4">
      <c r="A23" s="2" t="s">
        <v>62</v>
      </c>
      <c r="B23" s="2">
        <v>4</v>
      </c>
      <c r="C23" s="2">
        <v>64.674599999999998</v>
      </c>
      <c r="D23" s="2">
        <v>180</v>
      </c>
      <c r="E23" s="2">
        <v>64.438999999999993</v>
      </c>
      <c r="F23" s="2">
        <v>187</v>
      </c>
      <c r="G23" s="2">
        <v>107.5475</v>
      </c>
      <c r="H23" s="2">
        <v>59</v>
      </c>
      <c r="I23" s="2">
        <v>110.29600000000001</v>
      </c>
      <c r="J23" s="2">
        <v>41</v>
      </c>
      <c r="K23" s="2">
        <v>98.203100000000006</v>
      </c>
      <c r="L23" s="2">
        <v>89</v>
      </c>
      <c r="M23" s="2">
        <v>93.704999999999998</v>
      </c>
      <c r="N23" s="2">
        <v>25</v>
      </c>
      <c r="O23" s="2">
        <v>0.86699899999999996</v>
      </c>
      <c r="P23" s="2">
        <v>22</v>
      </c>
      <c r="Q23" s="10">
        <v>16.591000000000008</v>
      </c>
      <c r="R23" s="2"/>
      <c r="S23" s="27">
        <v>1</v>
      </c>
      <c r="T23" s="27" t="str">
        <f ca="1">IFERROR(__xludf.DUMMYFUNCTION("filter(A1:Q251,O1:O251&gt;='Champs clean'!E16,I1:I251&gt;='Champs clean'!G16,M1:M251&lt;='Champs clean'!I17,F1:F251&lt;='Champs clean'!J17)"),"Arizona")</f>
        <v>Arizona</v>
      </c>
      <c r="U23" s="27">
        <f ca="1">IFERROR(__xludf.DUMMYFUNCTION("""COMPUTED_VALUE"""),2)</f>
        <v>2</v>
      </c>
      <c r="V23" s="36">
        <f ca="1">IFERROR(__xludf.DUMMYFUNCTION("""COMPUTED_VALUE"""),66.8428)</f>
        <v>66.842799999999997</v>
      </c>
      <c r="W23" s="27">
        <f ca="1">IFERROR(__xludf.DUMMYFUNCTION("""COMPUTED_VALUE"""),79)</f>
        <v>79</v>
      </c>
      <c r="X23" s="27">
        <f ca="1">IFERROR(__xludf.DUMMYFUNCTION("""COMPUTED_VALUE"""),66.7277)</f>
        <v>66.727699999999999</v>
      </c>
      <c r="Y23" s="27">
        <f ca="1">IFERROR(__xludf.DUMMYFUNCTION("""COMPUTED_VALUE"""),78)</f>
        <v>78</v>
      </c>
      <c r="Z23" s="36">
        <f ca="1">IFERROR(__xludf.DUMMYFUNCTION("""COMPUTED_VALUE"""),113.6254)</f>
        <v>113.6254</v>
      </c>
      <c r="AA23" s="27">
        <f ca="1">IFERROR(__xludf.DUMMYFUNCTION("""COMPUTED_VALUE"""),17)</f>
        <v>17</v>
      </c>
      <c r="AB23" s="36">
        <f ca="1">IFERROR(__xludf.DUMMYFUNCTION("""COMPUTED_VALUE"""),116.0039)</f>
        <v>116.0039</v>
      </c>
      <c r="AC23" s="27">
        <f ca="1">IFERROR(__xludf.DUMMYFUNCTION("""COMPUTED_VALUE"""),11)</f>
        <v>11</v>
      </c>
      <c r="AD23" s="36">
        <f ca="1">IFERROR(__xludf.DUMMYFUNCTION("""COMPUTED_VALUE"""),87.414)</f>
        <v>87.414000000000001</v>
      </c>
      <c r="AE23" s="27">
        <f ca="1">IFERROR(__xludf.DUMMYFUNCTION("""COMPUTED_VALUE"""),4)</f>
        <v>4</v>
      </c>
      <c r="AF23" s="36">
        <f ca="1">IFERROR(__xludf.DUMMYFUNCTION("""COMPUTED_VALUE"""),86.3831)</f>
        <v>86.383099999999999</v>
      </c>
      <c r="AG23" s="27">
        <f ca="1">IFERROR(__xludf.DUMMYFUNCTION("""COMPUTED_VALUE"""),3)</f>
        <v>3</v>
      </c>
      <c r="AH23" s="46">
        <f ca="1">IFERROR(__xludf.DUMMYFUNCTION("""COMPUTED_VALUE"""),0.967408)</f>
        <v>0.96740800000000005</v>
      </c>
      <c r="AI23" s="27">
        <f ca="1">IFERROR(__xludf.DUMMYFUNCTION("""COMPUTED_VALUE"""),2)</f>
        <v>2</v>
      </c>
      <c r="AJ23" s="36">
        <f ca="1">IFERROR(__xludf.DUMMYFUNCTION("""COMPUTED_VALUE"""),29.6208)</f>
        <v>29.620799999999999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2.3" x14ac:dyDescent="0.4">
      <c r="A24" s="2" t="s">
        <v>18</v>
      </c>
      <c r="B24" s="2">
        <v>6</v>
      </c>
      <c r="C24" s="2">
        <v>64.577299999999994</v>
      </c>
      <c r="D24" s="2">
        <v>190</v>
      </c>
      <c r="E24" s="2">
        <v>63.750500000000002</v>
      </c>
      <c r="F24" s="2">
        <v>231</v>
      </c>
      <c r="G24" s="2">
        <v>106.5519</v>
      </c>
      <c r="H24" s="2">
        <v>74</v>
      </c>
      <c r="I24" s="2">
        <v>107.51990000000001</v>
      </c>
      <c r="J24" s="2">
        <v>67</v>
      </c>
      <c r="K24" s="2">
        <v>93.881299999999996</v>
      </c>
      <c r="L24" s="2">
        <v>22</v>
      </c>
      <c r="M24" s="2">
        <v>91.659199999999998</v>
      </c>
      <c r="N24" s="2">
        <v>10</v>
      </c>
      <c r="O24" s="2">
        <v>0.862402</v>
      </c>
      <c r="P24" s="2">
        <v>23</v>
      </c>
      <c r="Q24" s="10">
        <v>15.860700000000008</v>
      </c>
      <c r="R24" s="2"/>
      <c r="S24" s="2">
        <v>2</v>
      </c>
      <c r="T24" s="2" t="str">
        <f ca="1">IFERROR(__xludf.DUMMYFUNCTION("""COMPUTED_VALUE"""),"Villanova")</f>
        <v>Villanova</v>
      </c>
      <c r="U24" s="2">
        <f ca="1">IFERROR(__xludf.DUMMYFUNCTION("""COMPUTED_VALUE"""),1)</f>
        <v>1</v>
      </c>
      <c r="V24" s="10">
        <f ca="1">IFERROR(__xludf.DUMMYFUNCTION("""COMPUTED_VALUE"""),65.0568)</f>
        <v>65.056799999999996</v>
      </c>
      <c r="W24" s="2">
        <f ca="1">IFERROR(__xludf.DUMMYFUNCTION("""COMPUTED_VALUE"""),158)</f>
        <v>158</v>
      </c>
      <c r="X24" s="2">
        <f ca="1">IFERROR(__xludf.DUMMYFUNCTION("""COMPUTED_VALUE"""),64.4797)</f>
        <v>64.479699999999994</v>
      </c>
      <c r="Y24" s="2">
        <f ca="1">IFERROR(__xludf.DUMMYFUNCTION("""COMPUTED_VALUE"""),181)</f>
        <v>181</v>
      </c>
      <c r="Z24" s="10">
        <f ca="1">IFERROR(__xludf.DUMMYFUNCTION("""COMPUTED_VALUE"""),116.6189)</f>
        <v>116.6189</v>
      </c>
      <c r="AA24" s="2">
        <f ca="1">IFERROR(__xludf.DUMMYFUNCTION("""COMPUTED_VALUE"""),6)</f>
        <v>6</v>
      </c>
      <c r="AB24" s="10">
        <f ca="1">IFERROR(__xludf.DUMMYFUNCTION("""COMPUTED_VALUE"""),120.8395)</f>
        <v>120.8395</v>
      </c>
      <c r="AC24" s="2">
        <f ca="1">IFERROR(__xludf.DUMMYFUNCTION("""COMPUTED_VALUE"""),4)</f>
        <v>4</v>
      </c>
      <c r="AD24" s="10">
        <f ca="1">IFERROR(__xludf.DUMMYFUNCTION("""COMPUTED_VALUE"""),92.9741)</f>
        <v>92.974100000000007</v>
      </c>
      <c r="AE24" s="2">
        <f ca="1">IFERROR(__xludf.DUMMYFUNCTION("""COMPUTED_VALUE"""),18)</f>
        <v>18</v>
      </c>
      <c r="AF24" s="10">
        <f ca="1">IFERROR(__xludf.DUMMYFUNCTION("""COMPUTED_VALUE"""),92.246)</f>
        <v>92.245999999999995</v>
      </c>
      <c r="AG24" s="2">
        <f ca="1">IFERROR(__xludf.DUMMYFUNCTION("""COMPUTED_VALUE"""),13)</f>
        <v>13</v>
      </c>
      <c r="AH24" s="30">
        <f ca="1">IFERROR(__xludf.DUMMYFUNCTION("""COMPUTED_VALUE"""),0.957101)</f>
        <v>0.95710099999999998</v>
      </c>
      <c r="AI24" s="2">
        <f ca="1">IFERROR(__xludf.DUMMYFUNCTION("""COMPUTED_VALUE"""),5)</f>
        <v>5</v>
      </c>
      <c r="AJ24" s="10">
        <f ca="1">IFERROR(__xludf.DUMMYFUNCTION("""COMPUTED_VALUE"""),28.5935)</f>
        <v>28.593499999999999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2.3" x14ac:dyDescent="0.4">
      <c r="A25" s="2" t="s">
        <v>84</v>
      </c>
      <c r="B25" s="2">
        <v>7</v>
      </c>
      <c r="C25" s="2">
        <v>64.412400000000005</v>
      </c>
      <c r="D25" s="2">
        <v>196</v>
      </c>
      <c r="E25" s="2">
        <v>64.261200000000002</v>
      </c>
      <c r="F25" s="2">
        <v>198</v>
      </c>
      <c r="G25" s="2">
        <v>107.03579999999999</v>
      </c>
      <c r="H25" s="2">
        <v>66</v>
      </c>
      <c r="I25" s="2">
        <v>111.1324</v>
      </c>
      <c r="J25" s="2">
        <v>35</v>
      </c>
      <c r="K25" s="2">
        <v>96.219399999999993</v>
      </c>
      <c r="L25" s="2">
        <v>49</v>
      </c>
      <c r="M25" s="2">
        <v>94.942499999999995</v>
      </c>
      <c r="N25" s="2">
        <v>42</v>
      </c>
      <c r="O25" s="2">
        <v>0.85944500000000001</v>
      </c>
      <c r="P25" s="2">
        <v>24</v>
      </c>
      <c r="Q25" s="10">
        <v>16.189900000000009</v>
      </c>
      <c r="R25" s="2"/>
      <c r="S25" s="27">
        <v>3</v>
      </c>
      <c r="T25" s="27" t="str">
        <f ca="1">IFERROR(__xludf.DUMMYFUNCTION("""COMPUTED_VALUE"""),"Gonzaga")</f>
        <v>Gonzaga</v>
      </c>
      <c r="U25" s="27">
        <f ca="1">IFERROR(__xludf.DUMMYFUNCTION("""COMPUTED_VALUE"""),2)</f>
        <v>2</v>
      </c>
      <c r="V25" s="36">
        <f ca="1">IFERROR(__xludf.DUMMYFUNCTION("""COMPUTED_VALUE"""),64.9509)</f>
        <v>64.950900000000004</v>
      </c>
      <c r="W25" s="27">
        <f ca="1">IFERROR(__xludf.DUMMYFUNCTION("""COMPUTED_VALUE"""),162)</f>
        <v>162</v>
      </c>
      <c r="X25" s="27">
        <f ca="1">IFERROR(__xludf.DUMMYFUNCTION("""COMPUTED_VALUE"""),65.0605)</f>
        <v>65.060500000000005</v>
      </c>
      <c r="Y25" s="27">
        <f ca="1">IFERROR(__xludf.DUMMYFUNCTION("""COMPUTED_VALUE"""),153)</f>
        <v>153</v>
      </c>
      <c r="Z25" s="36">
        <f ca="1">IFERROR(__xludf.DUMMYFUNCTION("""COMPUTED_VALUE"""),120.0066)</f>
        <v>120.00660000000001</v>
      </c>
      <c r="AA25" s="27">
        <f ca="1">IFERROR(__xludf.DUMMYFUNCTION("""COMPUTED_VALUE"""),4)</f>
        <v>4</v>
      </c>
      <c r="AB25" s="36">
        <f ca="1">IFERROR(__xludf.DUMMYFUNCTION("""COMPUTED_VALUE"""),119.4414)</f>
        <v>119.4414</v>
      </c>
      <c r="AC25" s="27">
        <f ca="1">IFERROR(__xludf.DUMMYFUNCTION("""COMPUTED_VALUE"""),6)</f>
        <v>6</v>
      </c>
      <c r="AD25" s="36">
        <f ca="1">IFERROR(__xludf.DUMMYFUNCTION("""COMPUTED_VALUE"""),93.6311)</f>
        <v>93.631100000000004</v>
      </c>
      <c r="AE25" s="27">
        <f ca="1">IFERROR(__xludf.DUMMYFUNCTION("""COMPUTED_VALUE"""),19)</f>
        <v>19</v>
      </c>
      <c r="AF25" s="36">
        <f ca="1">IFERROR(__xludf.DUMMYFUNCTION("""COMPUTED_VALUE"""),93.4313)</f>
        <v>93.431299999999993</v>
      </c>
      <c r="AG25" s="27">
        <f ca="1">IFERROR(__xludf.DUMMYFUNCTION("""COMPUTED_VALUE"""),20)</f>
        <v>20</v>
      </c>
      <c r="AH25" s="46">
        <f ca="1">IFERROR(__xludf.DUMMYFUNCTION("""COMPUTED_VALUE"""),0.94398)</f>
        <v>0.94398000000000004</v>
      </c>
      <c r="AI25" s="27">
        <f ca="1">IFERROR(__xludf.DUMMYFUNCTION("""COMPUTED_VALUE"""),6)</f>
        <v>6</v>
      </c>
      <c r="AJ25" s="36">
        <f ca="1">IFERROR(__xludf.DUMMYFUNCTION("""COMPUTED_VALUE"""),26.0101)</f>
        <v>26.010100000000001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2.3" x14ac:dyDescent="0.4">
      <c r="A26" s="2" t="s">
        <v>229</v>
      </c>
      <c r="B26" s="2">
        <v>5</v>
      </c>
      <c r="C26" s="2">
        <v>69.122699999999995</v>
      </c>
      <c r="D26" s="2">
        <v>21</v>
      </c>
      <c r="E26" s="2">
        <v>68.691299999999998</v>
      </c>
      <c r="F26" s="2">
        <v>26</v>
      </c>
      <c r="G26" s="2">
        <v>106.45229999999999</v>
      </c>
      <c r="H26" s="2">
        <v>78</v>
      </c>
      <c r="I26" s="2">
        <v>111.2441</v>
      </c>
      <c r="J26" s="2">
        <v>33</v>
      </c>
      <c r="K26" s="2">
        <v>96.350499999999997</v>
      </c>
      <c r="L26" s="2">
        <v>52</v>
      </c>
      <c r="M26" s="2">
        <v>95.414500000000004</v>
      </c>
      <c r="N26" s="2">
        <v>47</v>
      </c>
      <c r="O26" s="2">
        <v>0.85385999999999995</v>
      </c>
      <c r="P26" s="2">
        <v>25</v>
      </c>
      <c r="Q26" s="10">
        <v>15.829599999999999</v>
      </c>
      <c r="R26" s="2"/>
      <c r="S26" s="2">
        <v>4</v>
      </c>
      <c r="T26" s="2" t="str">
        <f ca="1">IFERROR(__xludf.DUMMYFUNCTION("""COMPUTED_VALUE"""),"Kansas")</f>
        <v>Kansas</v>
      </c>
      <c r="U26" s="2">
        <f ca="1">IFERROR(__xludf.DUMMYFUNCTION("""COMPUTED_VALUE"""),2)</f>
        <v>2</v>
      </c>
      <c r="V26" s="10">
        <f ca="1">IFERROR(__xludf.DUMMYFUNCTION("""COMPUTED_VALUE"""),66.7924)</f>
        <v>66.792400000000001</v>
      </c>
      <c r="W26" s="2">
        <f ca="1">IFERROR(__xludf.DUMMYFUNCTION("""COMPUTED_VALUE"""),82)</f>
        <v>82</v>
      </c>
      <c r="X26" s="2">
        <f ca="1">IFERROR(__xludf.DUMMYFUNCTION("""COMPUTED_VALUE"""),67.4382)</f>
        <v>67.438199999999995</v>
      </c>
      <c r="Y26" s="2">
        <f ca="1">IFERROR(__xludf.DUMMYFUNCTION("""COMPUTED_VALUE"""),55)</f>
        <v>55</v>
      </c>
      <c r="Z26" s="10">
        <f ca="1">IFERROR(__xludf.DUMMYFUNCTION("""COMPUTED_VALUE"""),106.3417)</f>
        <v>106.3417</v>
      </c>
      <c r="AA26" s="2">
        <f ca="1">IFERROR(__xludf.DUMMYFUNCTION("""COMPUTED_VALUE"""),80)</f>
        <v>80</v>
      </c>
      <c r="AB26" s="10">
        <f ca="1">IFERROR(__xludf.DUMMYFUNCTION("""COMPUTED_VALUE"""),110.7779)</f>
        <v>110.7779</v>
      </c>
      <c r="AC26" s="2">
        <f ca="1">IFERROR(__xludf.DUMMYFUNCTION("""COMPUTED_VALUE"""),37)</f>
        <v>37</v>
      </c>
      <c r="AD26" s="10">
        <f ca="1">IFERROR(__xludf.DUMMYFUNCTION("""COMPUTED_VALUE"""),96.675)</f>
        <v>96.674999999999997</v>
      </c>
      <c r="AE26" s="2">
        <f ca="1">IFERROR(__xludf.DUMMYFUNCTION("""COMPUTED_VALUE"""),62)</f>
        <v>62</v>
      </c>
      <c r="AF26" s="10">
        <f ca="1">IFERROR(__xludf.DUMMYFUNCTION("""COMPUTED_VALUE"""),90.4796)</f>
        <v>90.479600000000005</v>
      </c>
      <c r="AG26" s="2">
        <f ca="1">IFERROR(__xludf.DUMMYFUNCTION("""COMPUTED_VALUE"""),7)</f>
        <v>7</v>
      </c>
      <c r="AH26" s="30">
        <f ca="1">IFERROR(__xludf.DUMMYFUNCTION("""COMPUTED_VALUE"""),0.911139)</f>
        <v>0.91113900000000003</v>
      </c>
      <c r="AI26" s="2">
        <f ca="1">IFERROR(__xludf.DUMMYFUNCTION("""COMPUTED_VALUE"""),11)</f>
        <v>11</v>
      </c>
      <c r="AJ26" s="10">
        <f ca="1">IFERROR(__xludf.DUMMYFUNCTION("""COMPUTED_VALUE"""),20.2982999999999)</f>
        <v>20.298299999999902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2.3" x14ac:dyDescent="0.4">
      <c r="A27" s="2" t="s">
        <v>50</v>
      </c>
      <c r="B27" s="2">
        <v>6</v>
      </c>
      <c r="C27" s="2">
        <v>66.031800000000004</v>
      </c>
      <c r="D27" s="2">
        <v>118</v>
      </c>
      <c r="E27" s="2">
        <v>65.672200000000004</v>
      </c>
      <c r="F27" s="2">
        <v>128</v>
      </c>
      <c r="G27" s="2">
        <v>109.35080000000001</v>
      </c>
      <c r="H27" s="2">
        <v>40</v>
      </c>
      <c r="I27" s="2">
        <v>111.88639999999999</v>
      </c>
      <c r="J27" s="2">
        <v>28</v>
      </c>
      <c r="K27" s="2">
        <v>100.52809999999999</v>
      </c>
      <c r="L27" s="2">
        <v>135</v>
      </c>
      <c r="M27" s="2">
        <v>96.102900000000005</v>
      </c>
      <c r="N27" s="2">
        <v>55</v>
      </c>
      <c r="O27" s="2">
        <v>0.85179300000000002</v>
      </c>
      <c r="P27" s="2">
        <v>26</v>
      </c>
      <c r="Q27" s="10">
        <v>15.783499999999989</v>
      </c>
      <c r="R27" s="2"/>
      <c r="S27" s="27">
        <v>5</v>
      </c>
      <c r="T27" s="27" t="str">
        <f ca="1">IFERROR(__xludf.DUMMYFUNCTION("""COMPUTED_VALUE"""),"North Carolina")</f>
        <v>North Carolina</v>
      </c>
      <c r="U27" s="27">
        <f ca="1">IFERROR(__xludf.DUMMYFUNCTION("""COMPUTED_VALUE"""),4)</f>
        <v>4</v>
      </c>
      <c r="V27" s="36">
        <f ca="1">IFERROR(__xludf.DUMMYFUNCTION("""COMPUTED_VALUE"""),69.4537)</f>
        <v>69.453699999999998</v>
      </c>
      <c r="W27" s="27">
        <f ca="1">IFERROR(__xludf.DUMMYFUNCTION("""COMPUTED_VALUE"""),15)</f>
        <v>15</v>
      </c>
      <c r="X27" s="27">
        <f ca="1">IFERROR(__xludf.DUMMYFUNCTION("""COMPUTED_VALUE"""),69.9581)</f>
        <v>69.958100000000002</v>
      </c>
      <c r="Y27" s="27">
        <f ca="1">IFERROR(__xludf.DUMMYFUNCTION("""COMPUTED_VALUE"""),10)</f>
        <v>10</v>
      </c>
      <c r="Z27" s="36">
        <f ca="1">IFERROR(__xludf.DUMMYFUNCTION("""COMPUTED_VALUE"""),111.2074)</f>
        <v>111.20740000000001</v>
      </c>
      <c r="AA27" s="27">
        <f ca="1">IFERROR(__xludf.DUMMYFUNCTION("""COMPUTED_VALUE"""),27)</f>
        <v>27</v>
      </c>
      <c r="AB27" s="36">
        <f ca="1">IFERROR(__xludf.DUMMYFUNCTION("""COMPUTED_VALUE"""),115.2564)</f>
        <v>115.2564</v>
      </c>
      <c r="AC27" s="27">
        <f ca="1">IFERROR(__xludf.DUMMYFUNCTION("""COMPUTED_VALUE"""),12)</f>
        <v>12</v>
      </c>
      <c r="AD27" s="36">
        <f ca="1">IFERROR(__xludf.DUMMYFUNCTION("""COMPUTED_VALUE"""),98.1216)</f>
        <v>98.121600000000001</v>
      </c>
      <c r="AE27" s="27">
        <f ca="1">IFERROR(__xludf.DUMMYFUNCTION("""COMPUTED_VALUE"""),87)</f>
        <v>87</v>
      </c>
      <c r="AF27" s="36">
        <f ca="1">IFERROR(__xludf.DUMMYFUNCTION("""COMPUTED_VALUE"""),95.0366)</f>
        <v>95.036600000000007</v>
      </c>
      <c r="AG27" s="27">
        <f ca="1">IFERROR(__xludf.DUMMYFUNCTION("""COMPUTED_VALUE"""),45)</f>
        <v>45</v>
      </c>
      <c r="AH27" s="46">
        <f ca="1">IFERROR(__xludf.DUMMYFUNCTION("""COMPUTED_VALUE"""),0.901882)</f>
        <v>0.90188199999999996</v>
      </c>
      <c r="AI27" s="27">
        <f ca="1">IFERROR(__xludf.DUMMYFUNCTION("""COMPUTED_VALUE"""),16)</f>
        <v>16</v>
      </c>
      <c r="AJ27" s="36">
        <f ca="1">IFERROR(__xludf.DUMMYFUNCTION("""COMPUTED_VALUE"""),20.2197999999999)</f>
        <v>20.2197999999999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2.3" x14ac:dyDescent="0.4">
      <c r="A28" s="2" t="s">
        <v>97</v>
      </c>
      <c r="B28" s="2">
        <v>8</v>
      </c>
      <c r="C28" s="2">
        <v>60.249400000000001</v>
      </c>
      <c r="D28" s="2">
        <v>339</v>
      </c>
      <c r="E28" s="2">
        <v>60.672400000000003</v>
      </c>
      <c r="F28" s="2">
        <v>334</v>
      </c>
      <c r="G28" s="2">
        <v>100.6559</v>
      </c>
      <c r="H28" s="2">
        <v>206</v>
      </c>
      <c r="I28" s="2">
        <v>102.4036</v>
      </c>
      <c r="J28" s="2">
        <v>161</v>
      </c>
      <c r="K28" s="2">
        <v>87.338099999999997</v>
      </c>
      <c r="L28" s="2">
        <v>3</v>
      </c>
      <c r="M28" s="2">
        <v>88.254499999999993</v>
      </c>
      <c r="N28" s="2">
        <v>4</v>
      </c>
      <c r="O28" s="2">
        <v>0.84683799999999998</v>
      </c>
      <c r="P28" s="2">
        <v>27</v>
      </c>
      <c r="Q28" s="10">
        <v>14.149100000000004</v>
      </c>
      <c r="R28" s="2"/>
      <c r="S28" s="2">
        <v>6</v>
      </c>
      <c r="T28" s="2" t="str">
        <f ca="1">IFERROR(__xludf.DUMMYFUNCTION("""COMPUTED_VALUE"""),"SMU")</f>
        <v>SMU</v>
      </c>
      <c r="U28" s="2">
        <f ca="1">IFERROR(__xludf.DUMMYFUNCTION("""COMPUTED_VALUE"""),6)</f>
        <v>6</v>
      </c>
      <c r="V28" s="10">
        <f ca="1">IFERROR(__xludf.DUMMYFUNCTION("""COMPUTED_VALUE"""),62.9331)</f>
        <v>62.933100000000003</v>
      </c>
      <c r="W28" s="2">
        <f ca="1">IFERROR(__xludf.DUMMYFUNCTION("""COMPUTED_VALUE"""),275)</f>
        <v>275</v>
      </c>
      <c r="X28" s="2">
        <f ca="1">IFERROR(__xludf.DUMMYFUNCTION("""COMPUTED_VALUE"""),63.7996)</f>
        <v>63.799599999999998</v>
      </c>
      <c r="Y28" s="2">
        <f ca="1">IFERROR(__xludf.DUMMYFUNCTION("""COMPUTED_VALUE"""),226)</f>
        <v>226</v>
      </c>
      <c r="Z28" s="10">
        <f ca="1">IFERROR(__xludf.DUMMYFUNCTION("""COMPUTED_VALUE"""),109.9414)</f>
        <v>109.9414</v>
      </c>
      <c r="AA28" s="2">
        <f ca="1">IFERROR(__xludf.DUMMYFUNCTION("""COMPUTED_VALUE"""),33)</f>
        <v>33</v>
      </c>
      <c r="AB28" s="10">
        <f ca="1">IFERROR(__xludf.DUMMYFUNCTION("""COMPUTED_VALUE"""),112.3093)</f>
        <v>112.30929999999999</v>
      </c>
      <c r="AC28" s="2">
        <f ca="1">IFERROR(__xludf.DUMMYFUNCTION("""COMPUTED_VALUE"""),24)</f>
        <v>24</v>
      </c>
      <c r="AD28" s="10">
        <f ca="1">IFERROR(__xludf.DUMMYFUNCTION("""COMPUTED_VALUE"""),94.6513)</f>
        <v>94.651300000000006</v>
      </c>
      <c r="AE28" s="2">
        <f ca="1">IFERROR(__xludf.DUMMYFUNCTION("""COMPUTED_VALUE"""),30)</f>
        <v>30</v>
      </c>
      <c r="AF28" s="10">
        <f ca="1">IFERROR(__xludf.DUMMYFUNCTION("""COMPUTED_VALUE"""),94.9444)</f>
        <v>94.944400000000002</v>
      </c>
      <c r="AG28" s="2">
        <f ca="1">IFERROR(__xludf.DUMMYFUNCTION("""COMPUTED_VALUE"""),43)</f>
        <v>43</v>
      </c>
      <c r="AH28" s="30">
        <f ca="1">IFERROR(__xludf.DUMMYFUNCTION("""COMPUTED_VALUE"""),0.873426)</f>
        <v>0.87342600000000004</v>
      </c>
      <c r="AI28" s="2">
        <f ca="1">IFERROR(__xludf.DUMMYFUNCTION("""COMPUTED_VALUE"""),19)</f>
        <v>19</v>
      </c>
      <c r="AJ28" s="10">
        <f ca="1">IFERROR(__xludf.DUMMYFUNCTION("""COMPUTED_VALUE"""),17.3648999999999)</f>
        <v>17.364899999999899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2.3" x14ac:dyDescent="0.4">
      <c r="A29" s="2" t="s">
        <v>120</v>
      </c>
      <c r="B29" s="2">
        <v>6</v>
      </c>
      <c r="C29" s="2">
        <v>65.701300000000003</v>
      </c>
      <c r="D29" s="2">
        <v>131</v>
      </c>
      <c r="E29" s="2">
        <v>65.740300000000005</v>
      </c>
      <c r="F29" s="2">
        <v>125</v>
      </c>
      <c r="G29" s="2">
        <v>106.0313</v>
      </c>
      <c r="H29" s="2">
        <v>85</v>
      </c>
      <c r="I29" s="2">
        <v>110.7193</v>
      </c>
      <c r="J29" s="2">
        <v>38</v>
      </c>
      <c r="K29" s="2">
        <v>99.275999999999996</v>
      </c>
      <c r="L29" s="2">
        <v>112</v>
      </c>
      <c r="M29" s="2">
        <v>95.485200000000006</v>
      </c>
      <c r="N29" s="2">
        <v>48</v>
      </c>
      <c r="O29" s="2">
        <v>0.84583600000000003</v>
      </c>
      <c r="P29" s="2">
        <v>28</v>
      </c>
      <c r="Q29" s="10">
        <v>15.234099999999998</v>
      </c>
      <c r="R29" s="2"/>
      <c r="S29" s="2"/>
      <c r="T29" s="2"/>
      <c r="U29" s="2"/>
      <c r="V29" s="10"/>
      <c r="W29" s="2"/>
      <c r="X29" s="2"/>
      <c r="Y29" s="2"/>
      <c r="Z29" s="10"/>
      <c r="AA29" s="2"/>
      <c r="AB29" s="10"/>
      <c r="AC29" s="2"/>
      <c r="AD29" s="10"/>
      <c r="AE29" s="2"/>
      <c r="AF29" s="10"/>
      <c r="AG29" s="2"/>
      <c r="AH29" s="30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2.3" x14ac:dyDescent="0.4">
      <c r="A30" s="2" t="s">
        <v>80</v>
      </c>
      <c r="B30" s="2">
        <v>5</v>
      </c>
      <c r="C30" s="2">
        <v>70.318100000000001</v>
      </c>
      <c r="D30" s="2">
        <v>10</v>
      </c>
      <c r="E30" s="2">
        <v>69.979600000000005</v>
      </c>
      <c r="F30" s="2">
        <v>9</v>
      </c>
      <c r="G30" s="2">
        <v>109.87739999999999</v>
      </c>
      <c r="H30" s="2">
        <v>36</v>
      </c>
      <c r="I30" s="2">
        <v>112.9615</v>
      </c>
      <c r="J30" s="2">
        <v>21</v>
      </c>
      <c r="K30" s="2">
        <v>99.305800000000005</v>
      </c>
      <c r="L30" s="2">
        <v>114</v>
      </c>
      <c r="M30" s="2">
        <v>97.691800000000001</v>
      </c>
      <c r="N30" s="2">
        <v>81</v>
      </c>
      <c r="O30" s="2">
        <v>0.84159399999999995</v>
      </c>
      <c r="P30" s="2">
        <v>29</v>
      </c>
      <c r="Q30" s="10">
        <v>15.2697</v>
      </c>
      <c r="R30" s="2"/>
      <c r="S30" s="2"/>
      <c r="T30" s="2"/>
      <c r="U30" s="2"/>
      <c r="V30" s="10"/>
      <c r="W30" s="2"/>
      <c r="X30" s="2"/>
      <c r="Y30" s="2"/>
      <c r="Z30" s="10"/>
      <c r="AA30" s="2"/>
      <c r="AB30" s="10"/>
      <c r="AC30" s="2"/>
      <c r="AD30" s="10"/>
      <c r="AE30" s="2"/>
      <c r="AF30" s="10"/>
      <c r="AG30" s="2"/>
      <c r="AH30" s="30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2.3" x14ac:dyDescent="0.4">
      <c r="A31" s="2" t="s">
        <v>137</v>
      </c>
      <c r="B31" s="2">
        <v>7</v>
      </c>
      <c r="C31" s="2">
        <v>66.6751</v>
      </c>
      <c r="D31" s="2">
        <v>87</v>
      </c>
      <c r="E31" s="2">
        <v>67.088300000000004</v>
      </c>
      <c r="F31" s="2">
        <v>64</v>
      </c>
      <c r="G31" s="2">
        <v>106.5592</v>
      </c>
      <c r="H31" s="2">
        <v>73</v>
      </c>
      <c r="I31" s="2">
        <v>108.11839999999999</v>
      </c>
      <c r="J31" s="2">
        <v>61</v>
      </c>
      <c r="K31" s="2">
        <v>96.571399999999997</v>
      </c>
      <c r="L31" s="2">
        <v>59</v>
      </c>
      <c r="M31" s="2">
        <v>93.600399999999993</v>
      </c>
      <c r="N31" s="2">
        <v>23</v>
      </c>
      <c r="O31" s="2">
        <v>0.83999800000000002</v>
      </c>
      <c r="P31" s="2">
        <v>30</v>
      </c>
      <c r="Q31" s="10">
        <v>14.518000000000001</v>
      </c>
      <c r="R31" s="2"/>
      <c r="S31" s="2"/>
      <c r="T31" s="2"/>
      <c r="U31" s="2"/>
      <c r="V31" s="10"/>
      <c r="W31" s="2"/>
      <c r="X31" s="2"/>
      <c r="Y31" s="2"/>
      <c r="Z31" s="10"/>
      <c r="AA31" s="2"/>
      <c r="AB31" s="10"/>
      <c r="AC31" s="2"/>
      <c r="AD31" s="10"/>
      <c r="AE31" s="2"/>
      <c r="AF31" s="10"/>
      <c r="AG31" s="2"/>
      <c r="AH31" s="30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2.3" x14ac:dyDescent="0.4">
      <c r="A32" s="2" t="s">
        <v>96</v>
      </c>
      <c r="B32" s="2">
        <v>11</v>
      </c>
      <c r="C32" s="2">
        <v>69.656400000000005</v>
      </c>
      <c r="D32" s="2">
        <v>14</v>
      </c>
      <c r="E32" s="2">
        <v>70.376199999999997</v>
      </c>
      <c r="F32" s="2">
        <v>6</v>
      </c>
      <c r="G32" s="2">
        <v>116.02849999999999</v>
      </c>
      <c r="H32" s="2">
        <v>7</v>
      </c>
      <c r="I32" s="2">
        <v>116.7226</v>
      </c>
      <c r="J32" s="2">
        <v>9</v>
      </c>
      <c r="K32" s="2">
        <v>102.9773</v>
      </c>
      <c r="L32" s="2">
        <v>187</v>
      </c>
      <c r="M32" s="2">
        <v>101.07859999999999</v>
      </c>
      <c r="N32" s="2">
        <v>139</v>
      </c>
      <c r="O32" s="2">
        <v>0.83954799999999996</v>
      </c>
      <c r="P32" s="2">
        <v>31</v>
      </c>
      <c r="Q32" s="10">
        <v>15.644000000000005</v>
      </c>
      <c r="R32" s="2"/>
      <c r="S32" s="2"/>
      <c r="T32" s="2"/>
      <c r="U32" s="2"/>
      <c r="V32" s="10"/>
      <c r="W32" s="2"/>
      <c r="X32" s="2"/>
      <c r="Y32" s="2"/>
      <c r="Z32" s="10"/>
      <c r="AA32" s="2"/>
      <c r="AB32" s="10"/>
      <c r="AC32" s="2"/>
      <c r="AD32" s="10"/>
      <c r="AE32" s="2"/>
      <c r="AF32" s="10"/>
      <c r="AG32" s="2"/>
      <c r="AH32" s="30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2.3" x14ac:dyDescent="0.4">
      <c r="A33" s="2" t="s">
        <v>134</v>
      </c>
      <c r="B33" s="2">
        <v>10</v>
      </c>
      <c r="C33" s="2">
        <v>67.252700000000004</v>
      </c>
      <c r="D33" s="2">
        <v>69</v>
      </c>
      <c r="E33" s="2">
        <v>67.004800000000003</v>
      </c>
      <c r="F33" s="2">
        <v>68</v>
      </c>
      <c r="G33" s="2">
        <v>117.1584</v>
      </c>
      <c r="H33" s="2">
        <v>5</v>
      </c>
      <c r="I33" s="2">
        <v>118.4924</v>
      </c>
      <c r="J33" s="2">
        <v>8</v>
      </c>
      <c r="K33" s="2">
        <v>102.4216</v>
      </c>
      <c r="L33" s="2">
        <v>179</v>
      </c>
      <c r="M33" s="2">
        <v>103.107</v>
      </c>
      <c r="N33" s="2">
        <v>181</v>
      </c>
      <c r="O33" s="2">
        <v>0.83194000000000001</v>
      </c>
      <c r="P33" s="2">
        <v>32</v>
      </c>
      <c r="Q33" s="10">
        <v>15.385400000000004</v>
      </c>
      <c r="R33" s="2"/>
      <c r="S33" s="2"/>
      <c r="T33" s="2"/>
      <c r="U33" s="2"/>
      <c r="V33" s="10"/>
      <c r="W33" s="2"/>
      <c r="X33" s="2"/>
      <c r="Y33" s="2"/>
      <c r="Z33" s="10"/>
      <c r="AA33" s="2"/>
      <c r="AB33" s="10"/>
      <c r="AC33" s="2"/>
      <c r="AD33" s="10"/>
      <c r="AE33" s="2"/>
      <c r="AF33" s="10"/>
      <c r="AG33" s="2"/>
      <c r="AH33" s="30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 spans="1:52" ht="12.3" x14ac:dyDescent="0.4">
      <c r="A34" s="2" t="s">
        <v>36</v>
      </c>
      <c r="B34" s="2">
        <v>4</v>
      </c>
      <c r="C34" s="2">
        <v>64.756799999999998</v>
      </c>
      <c r="D34" s="2">
        <v>176</v>
      </c>
      <c r="E34" s="2">
        <v>64.447199999999995</v>
      </c>
      <c r="F34" s="2">
        <v>184</v>
      </c>
      <c r="G34" s="2">
        <v>106.60509999999999</v>
      </c>
      <c r="H34" s="2">
        <v>70</v>
      </c>
      <c r="I34" s="2">
        <v>108.5398</v>
      </c>
      <c r="J34" s="2">
        <v>56</v>
      </c>
      <c r="K34" s="2">
        <v>97.330200000000005</v>
      </c>
      <c r="L34" s="2">
        <v>74</v>
      </c>
      <c r="M34" s="2">
        <v>94.622900000000001</v>
      </c>
      <c r="N34" s="2">
        <v>36</v>
      </c>
      <c r="O34" s="2">
        <v>0.82892100000000002</v>
      </c>
      <c r="P34" s="2">
        <v>33</v>
      </c>
      <c r="Q34" s="10">
        <v>13.916899999999998</v>
      </c>
      <c r="R34" s="2"/>
      <c r="S34" s="2"/>
      <c r="T34" s="2"/>
      <c r="U34" s="2"/>
      <c r="V34" s="10"/>
      <c r="W34" s="2"/>
      <c r="X34" s="2"/>
      <c r="Y34" s="2"/>
      <c r="Z34" s="10"/>
      <c r="AA34" s="2"/>
      <c r="AB34" s="10"/>
      <c r="AC34" s="2"/>
      <c r="AD34" s="10"/>
      <c r="AE34" s="2"/>
      <c r="AF34" s="10"/>
      <c r="AG34" s="2"/>
      <c r="AH34" s="30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 spans="1:52" ht="12.3" x14ac:dyDescent="0.4">
      <c r="A35" s="2" t="s">
        <v>34</v>
      </c>
      <c r="B35" s="2">
        <v>8</v>
      </c>
      <c r="C35" s="2">
        <v>59.401299999999999</v>
      </c>
      <c r="D35" s="2">
        <v>343</v>
      </c>
      <c r="E35" s="2">
        <v>59.9908</v>
      </c>
      <c r="F35" s="2">
        <v>341</v>
      </c>
      <c r="G35" s="2">
        <v>104.0583</v>
      </c>
      <c r="H35" s="2">
        <v>123</v>
      </c>
      <c r="I35" s="2">
        <v>106.6968</v>
      </c>
      <c r="J35" s="2">
        <v>76</v>
      </c>
      <c r="K35" s="2">
        <v>92.421599999999998</v>
      </c>
      <c r="L35" s="2">
        <v>13</v>
      </c>
      <c r="M35" s="2">
        <v>93.2851</v>
      </c>
      <c r="N35" s="2">
        <v>18</v>
      </c>
      <c r="O35" s="2">
        <v>0.82416299999999998</v>
      </c>
      <c r="P35" s="2">
        <v>34</v>
      </c>
      <c r="Q35" s="10">
        <v>13.411699999999996</v>
      </c>
      <c r="R35" s="2"/>
      <c r="S35" s="2"/>
      <c r="T35" s="2"/>
      <c r="U35" s="2"/>
      <c r="V35" s="10"/>
      <c r="W35" s="2"/>
      <c r="X35" s="2"/>
      <c r="Y35" s="2"/>
      <c r="Z35" s="10"/>
      <c r="AA35" s="2"/>
      <c r="AB35" s="10"/>
      <c r="AC35" s="2"/>
      <c r="AD35" s="10"/>
      <c r="AE35" s="2"/>
      <c r="AF35" s="10"/>
      <c r="AG35" s="2"/>
      <c r="AH35" s="30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 spans="1:52" ht="12.3" x14ac:dyDescent="0.4">
      <c r="A36" s="2" t="s">
        <v>282</v>
      </c>
      <c r="B36" s="2">
        <v>12</v>
      </c>
      <c r="C36" s="2">
        <v>67.862300000000005</v>
      </c>
      <c r="D36" s="2">
        <v>47</v>
      </c>
      <c r="E36" s="2">
        <v>66.766599999999997</v>
      </c>
      <c r="F36" s="2">
        <v>75</v>
      </c>
      <c r="G36" s="2">
        <v>115.7403</v>
      </c>
      <c r="H36" s="2">
        <v>10</v>
      </c>
      <c r="I36" s="2">
        <v>112.9876</v>
      </c>
      <c r="J36" s="2">
        <v>19</v>
      </c>
      <c r="K36" s="2">
        <v>96.518699999999995</v>
      </c>
      <c r="L36" s="2">
        <v>57</v>
      </c>
      <c r="M36" s="2">
        <v>99.130899999999997</v>
      </c>
      <c r="N36" s="2">
        <v>103</v>
      </c>
      <c r="O36" s="2">
        <v>0.81826299999999996</v>
      </c>
      <c r="P36" s="2">
        <v>35</v>
      </c>
      <c r="Q36" s="10">
        <v>13.856700000000004</v>
      </c>
      <c r="R36" s="2"/>
      <c r="S36" s="2"/>
      <c r="T36" s="2"/>
      <c r="U36" s="2"/>
      <c r="V36" s="10"/>
      <c r="W36" s="2"/>
      <c r="X36" s="2"/>
      <c r="Y36" s="2"/>
      <c r="Z36" s="10"/>
      <c r="AA36" s="2"/>
      <c r="AB36" s="10"/>
      <c r="AC36" s="2"/>
      <c r="AD36" s="10"/>
      <c r="AE36" s="2"/>
      <c r="AF36" s="10"/>
      <c r="AG36" s="2"/>
      <c r="AH36" s="30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 spans="1:52" ht="12.3" x14ac:dyDescent="0.4">
      <c r="A37" s="2" t="s">
        <v>19</v>
      </c>
      <c r="B37" s="2">
        <v>10</v>
      </c>
      <c r="C37" s="2">
        <v>64.773700000000005</v>
      </c>
      <c r="D37" s="2">
        <v>173</v>
      </c>
      <c r="E37" s="2">
        <v>64.1785</v>
      </c>
      <c r="F37" s="2">
        <v>201</v>
      </c>
      <c r="G37" s="2">
        <v>103.2958</v>
      </c>
      <c r="H37" s="2">
        <v>144</v>
      </c>
      <c r="I37" s="2">
        <v>107.01519999999999</v>
      </c>
      <c r="J37" s="2">
        <v>74</v>
      </c>
      <c r="K37" s="2">
        <v>96.905600000000007</v>
      </c>
      <c r="L37" s="2">
        <v>67</v>
      </c>
      <c r="M37" s="2">
        <v>93.9191</v>
      </c>
      <c r="N37" s="2">
        <v>28</v>
      </c>
      <c r="O37" s="2">
        <v>0.81775100000000001</v>
      </c>
      <c r="P37" s="2">
        <v>36</v>
      </c>
      <c r="Q37" s="10">
        <v>13.096099999999993</v>
      </c>
      <c r="R37" s="2"/>
      <c r="S37" s="2"/>
      <c r="T37" s="2"/>
      <c r="U37" s="2"/>
      <c r="V37" s="10"/>
      <c r="W37" s="2"/>
      <c r="X37" s="2"/>
      <c r="Y37" s="2"/>
      <c r="Z37" s="10"/>
      <c r="AA37" s="2"/>
      <c r="AB37" s="10"/>
      <c r="AC37" s="2"/>
      <c r="AD37" s="10"/>
      <c r="AE37" s="2"/>
      <c r="AF37" s="10"/>
      <c r="AG37" s="2"/>
      <c r="AH37" s="30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 spans="1:52" ht="12.3" x14ac:dyDescent="0.4">
      <c r="A38" s="2" t="s">
        <v>72</v>
      </c>
      <c r="B38" s="2">
        <v>9</v>
      </c>
      <c r="C38" s="2">
        <v>64.140100000000004</v>
      </c>
      <c r="D38" s="2">
        <v>214</v>
      </c>
      <c r="E38" s="2">
        <v>63.2804</v>
      </c>
      <c r="F38" s="2">
        <v>259</v>
      </c>
      <c r="G38" s="2">
        <v>103.2058</v>
      </c>
      <c r="H38" s="2">
        <v>146</v>
      </c>
      <c r="I38" s="2">
        <v>109.4165</v>
      </c>
      <c r="J38" s="2">
        <v>49</v>
      </c>
      <c r="K38" s="2">
        <v>97.563699999999997</v>
      </c>
      <c r="L38" s="2">
        <v>78</v>
      </c>
      <c r="M38" s="2">
        <v>96.230599999999995</v>
      </c>
      <c r="N38" s="2">
        <v>58</v>
      </c>
      <c r="O38" s="2">
        <v>0.81408400000000003</v>
      </c>
      <c r="P38" s="2">
        <v>37</v>
      </c>
      <c r="Q38" s="10">
        <v>13.185900000000004</v>
      </c>
      <c r="R38" s="2"/>
      <c r="S38" s="2"/>
      <c r="T38" s="2"/>
      <c r="U38" s="2"/>
      <c r="V38" s="10"/>
      <c r="W38" s="2"/>
      <c r="X38" s="2"/>
      <c r="Y38" s="2"/>
      <c r="Z38" s="10"/>
      <c r="AA38" s="2"/>
      <c r="AB38" s="10"/>
      <c r="AC38" s="2"/>
      <c r="AD38" s="10"/>
      <c r="AE38" s="2"/>
      <c r="AF38" s="10"/>
      <c r="AG38" s="2"/>
      <c r="AH38" s="30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 spans="1:52" ht="12.3" x14ac:dyDescent="0.4">
      <c r="A39" s="2" t="s">
        <v>55</v>
      </c>
      <c r="B39" s="2">
        <v>8</v>
      </c>
      <c r="C39" s="2">
        <v>64.474100000000007</v>
      </c>
      <c r="D39" s="2">
        <v>193</v>
      </c>
      <c r="E39" s="2">
        <v>64.434399999999997</v>
      </c>
      <c r="F39" s="2">
        <v>189</v>
      </c>
      <c r="G39" s="2">
        <v>108.15179999999999</v>
      </c>
      <c r="H39" s="2">
        <v>54</v>
      </c>
      <c r="I39" s="2">
        <v>111.4712</v>
      </c>
      <c r="J39" s="2">
        <v>30</v>
      </c>
      <c r="K39" s="2">
        <v>101.0564</v>
      </c>
      <c r="L39" s="2">
        <v>148</v>
      </c>
      <c r="M39" s="2">
        <v>98.203000000000003</v>
      </c>
      <c r="N39" s="2">
        <v>89</v>
      </c>
      <c r="O39" s="2">
        <v>0.81113400000000002</v>
      </c>
      <c r="P39" s="2">
        <v>38</v>
      </c>
      <c r="Q39" s="10">
        <v>13.268199999999993</v>
      </c>
      <c r="R39" s="2"/>
      <c r="S39" s="2"/>
      <c r="T39" s="2"/>
      <c r="U39" s="2"/>
      <c r="V39" s="10"/>
      <c r="W39" s="2"/>
      <c r="X39" s="2"/>
      <c r="Y39" s="2"/>
      <c r="Z39" s="10"/>
      <c r="AA39" s="2"/>
      <c r="AB39" s="10"/>
      <c r="AC39" s="2"/>
      <c r="AD39" s="10"/>
      <c r="AE39" s="2"/>
      <c r="AF39" s="10"/>
      <c r="AG39" s="2"/>
      <c r="AH39" s="30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 spans="1:52" ht="12.3" x14ac:dyDescent="0.4">
      <c r="A40" s="2" t="s">
        <v>212</v>
      </c>
      <c r="B40" s="2">
        <v>11</v>
      </c>
      <c r="C40" s="2">
        <v>62.3307</v>
      </c>
      <c r="D40" s="2">
        <v>295</v>
      </c>
      <c r="E40" s="2">
        <v>63.736899999999999</v>
      </c>
      <c r="F40" s="2">
        <v>232</v>
      </c>
      <c r="G40" s="2">
        <v>109.92400000000001</v>
      </c>
      <c r="H40" s="2">
        <v>34</v>
      </c>
      <c r="I40" s="2">
        <v>109.42149999999999</v>
      </c>
      <c r="J40" s="2">
        <v>48</v>
      </c>
      <c r="K40" s="2">
        <v>95.963899999999995</v>
      </c>
      <c r="L40" s="2">
        <v>45</v>
      </c>
      <c r="M40" s="2">
        <v>96.506699999999995</v>
      </c>
      <c r="N40" s="2">
        <v>64</v>
      </c>
      <c r="O40" s="2">
        <v>0.80912499999999998</v>
      </c>
      <c r="P40" s="2">
        <v>39</v>
      </c>
      <c r="Q40" s="10">
        <v>12.9148</v>
      </c>
      <c r="R40" s="2"/>
      <c r="S40" s="2"/>
      <c r="T40" s="2"/>
      <c r="U40" s="2"/>
      <c r="V40" s="10"/>
      <c r="W40" s="2"/>
      <c r="X40" s="2"/>
      <c r="Y40" s="2"/>
      <c r="Z40" s="10"/>
      <c r="AA40" s="2"/>
      <c r="AB40" s="10"/>
      <c r="AC40" s="2"/>
      <c r="AD40" s="10"/>
      <c r="AE40" s="2"/>
      <c r="AF40" s="10"/>
      <c r="AG40" s="2"/>
      <c r="AH40" s="30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 spans="1:52" ht="12.3" x14ac:dyDescent="0.4">
      <c r="A41" s="2" t="s">
        <v>64</v>
      </c>
      <c r="B41" s="2">
        <v>11</v>
      </c>
      <c r="C41" s="2">
        <v>64.366</v>
      </c>
      <c r="D41" s="2">
        <v>199</v>
      </c>
      <c r="E41" s="2">
        <v>63.979500000000002</v>
      </c>
      <c r="F41" s="2">
        <v>214</v>
      </c>
      <c r="G41" s="2">
        <v>105.5587</v>
      </c>
      <c r="H41" s="2">
        <v>93</v>
      </c>
      <c r="I41" s="2">
        <v>107.1481</v>
      </c>
      <c r="J41" s="2">
        <v>73</v>
      </c>
      <c r="K41" s="2">
        <v>94.128699999999995</v>
      </c>
      <c r="L41" s="2">
        <v>24</v>
      </c>
      <c r="M41" s="2">
        <v>94.681200000000004</v>
      </c>
      <c r="N41" s="2">
        <v>38</v>
      </c>
      <c r="O41" s="2">
        <v>0.80573099999999998</v>
      </c>
      <c r="P41" s="2">
        <v>40</v>
      </c>
      <c r="Q41" s="10">
        <v>12.466899999999995</v>
      </c>
      <c r="R41" s="2"/>
      <c r="S41" s="2"/>
      <c r="T41" s="2"/>
      <c r="U41" s="2"/>
      <c r="V41" s="10"/>
      <c r="W41" s="2"/>
      <c r="X41" s="2"/>
      <c r="Y41" s="2"/>
      <c r="Z41" s="10"/>
      <c r="AA41" s="2"/>
      <c r="AB41" s="10"/>
      <c r="AC41" s="2"/>
      <c r="AD41" s="10"/>
      <c r="AE41" s="2"/>
      <c r="AF41" s="10"/>
      <c r="AG41" s="2"/>
      <c r="AH41" s="30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 spans="1:52" ht="12.3" x14ac:dyDescent="0.4">
      <c r="A42" s="2" t="s">
        <v>65</v>
      </c>
      <c r="B42" s="2">
        <v>11</v>
      </c>
      <c r="C42" s="2">
        <v>67.521600000000007</v>
      </c>
      <c r="D42" s="2">
        <v>60</v>
      </c>
      <c r="E42" s="2">
        <v>66.040800000000004</v>
      </c>
      <c r="F42" s="2">
        <v>111</v>
      </c>
      <c r="G42" s="2">
        <v>105.51690000000001</v>
      </c>
      <c r="H42" s="2">
        <v>95</v>
      </c>
      <c r="I42" s="2">
        <v>110.1957</v>
      </c>
      <c r="J42" s="2">
        <v>45</v>
      </c>
      <c r="K42" s="2">
        <v>100.3759</v>
      </c>
      <c r="L42" s="2">
        <v>132</v>
      </c>
      <c r="M42" s="2">
        <v>97.382400000000004</v>
      </c>
      <c r="N42" s="2">
        <v>76</v>
      </c>
      <c r="O42" s="2">
        <v>0.80557999999999996</v>
      </c>
      <c r="P42" s="2">
        <v>41</v>
      </c>
      <c r="Q42" s="10">
        <v>12.813299999999998</v>
      </c>
      <c r="R42" s="2"/>
      <c r="S42" s="2"/>
      <c r="T42" s="2"/>
      <c r="U42" s="2"/>
      <c r="V42" s="10"/>
      <c r="W42" s="2"/>
      <c r="X42" s="2"/>
      <c r="Y42" s="2"/>
      <c r="Z42" s="10"/>
      <c r="AA42" s="2"/>
      <c r="AB42" s="10"/>
      <c r="AC42" s="2"/>
      <c r="AD42" s="10"/>
      <c r="AE42" s="2"/>
      <c r="AF42" s="10"/>
      <c r="AG42" s="2"/>
      <c r="AH42" s="30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 spans="1:52" ht="12.3" x14ac:dyDescent="0.4">
      <c r="A43" s="2" t="s">
        <v>102</v>
      </c>
      <c r="B43" s="2">
        <v>9</v>
      </c>
      <c r="C43" s="2">
        <v>67.391999999999996</v>
      </c>
      <c r="D43" s="2">
        <v>64</v>
      </c>
      <c r="E43" s="2">
        <v>67.1036</v>
      </c>
      <c r="F43" s="2">
        <v>61</v>
      </c>
      <c r="G43" s="2">
        <v>104.3664</v>
      </c>
      <c r="H43" s="2">
        <v>117</v>
      </c>
      <c r="I43" s="2">
        <v>108.0677</v>
      </c>
      <c r="J43" s="2">
        <v>62</v>
      </c>
      <c r="K43" s="2">
        <v>99.385199999999998</v>
      </c>
      <c r="L43" s="2">
        <v>115</v>
      </c>
      <c r="M43" s="2">
        <v>95.694500000000005</v>
      </c>
      <c r="N43" s="2">
        <v>51</v>
      </c>
      <c r="O43" s="2">
        <v>0.801925</v>
      </c>
      <c r="P43" s="2">
        <v>42</v>
      </c>
      <c r="Q43" s="10">
        <v>12.373199999999997</v>
      </c>
      <c r="R43" s="2"/>
      <c r="S43" s="2"/>
      <c r="T43" s="2"/>
      <c r="U43" s="2"/>
      <c r="V43" s="10"/>
      <c r="W43" s="2"/>
      <c r="X43" s="2"/>
      <c r="Y43" s="2"/>
      <c r="Z43" s="10"/>
      <c r="AA43" s="2"/>
      <c r="AB43" s="10"/>
      <c r="AC43" s="2"/>
      <c r="AD43" s="10"/>
      <c r="AE43" s="2"/>
      <c r="AF43" s="10"/>
      <c r="AG43" s="2"/>
      <c r="AH43" s="30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 spans="1:52" ht="12.3" x14ac:dyDescent="0.4">
      <c r="A44" s="2" t="s">
        <v>85</v>
      </c>
      <c r="B44" s="2">
        <v>9</v>
      </c>
      <c r="C44" s="2">
        <v>69.757999999999996</v>
      </c>
      <c r="D44" s="2">
        <v>13</v>
      </c>
      <c r="E44" s="2">
        <v>69.774799999999999</v>
      </c>
      <c r="F44" s="2">
        <v>13</v>
      </c>
      <c r="G44" s="2">
        <v>103.49469999999999</v>
      </c>
      <c r="H44" s="2">
        <v>138</v>
      </c>
      <c r="I44" s="2">
        <v>106.8287</v>
      </c>
      <c r="J44" s="2">
        <v>75</v>
      </c>
      <c r="K44" s="2">
        <v>95.167500000000004</v>
      </c>
      <c r="L44" s="2">
        <v>36</v>
      </c>
      <c r="M44" s="2">
        <v>94.665899999999993</v>
      </c>
      <c r="N44" s="2">
        <v>37</v>
      </c>
      <c r="O44" s="2">
        <v>0.80059899999999995</v>
      </c>
      <c r="P44" s="2">
        <v>43</v>
      </c>
      <c r="Q44" s="10">
        <v>12.162800000000004</v>
      </c>
      <c r="R44" s="2"/>
      <c r="S44" s="2"/>
      <c r="T44" s="2"/>
      <c r="U44" s="2"/>
      <c r="V44" s="10"/>
      <c r="W44" s="2"/>
      <c r="X44" s="2"/>
      <c r="Y44" s="2"/>
      <c r="Z44" s="10"/>
      <c r="AA44" s="2"/>
      <c r="AB44" s="10"/>
      <c r="AC44" s="2"/>
      <c r="AD44" s="10"/>
      <c r="AE44" s="2"/>
      <c r="AF44" s="10"/>
      <c r="AG44" s="2"/>
      <c r="AH44" s="30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 spans="1:52" ht="12.3" x14ac:dyDescent="0.4">
      <c r="A45" s="2" t="s">
        <v>51</v>
      </c>
      <c r="B45" s="2">
        <v>11</v>
      </c>
      <c r="C45" s="2">
        <v>66.566199999999995</v>
      </c>
      <c r="D45" s="2">
        <v>92</v>
      </c>
      <c r="E45" s="2">
        <v>66.4054</v>
      </c>
      <c r="F45" s="2">
        <v>94</v>
      </c>
      <c r="G45" s="2">
        <v>108.54</v>
      </c>
      <c r="H45" s="2">
        <v>50</v>
      </c>
      <c r="I45" s="2">
        <v>112.9358</v>
      </c>
      <c r="J45" s="2">
        <v>22</v>
      </c>
      <c r="K45" s="2">
        <v>100.5981</v>
      </c>
      <c r="L45" s="2">
        <v>137</v>
      </c>
      <c r="M45" s="2">
        <v>100.13460000000001</v>
      </c>
      <c r="N45" s="2">
        <v>125</v>
      </c>
      <c r="O45" s="2">
        <v>0.79955399999999999</v>
      </c>
      <c r="P45" s="2">
        <v>44</v>
      </c>
      <c r="Q45" s="10">
        <v>12.801199999999994</v>
      </c>
      <c r="R45" s="2"/>
      <c r="S45" s="2"/>
      <c r="T45" s="2"/>
      <c r="U45" s="2"/>
      <c r="V45" s="10"/>
      <c r="W45" s="2"/>
      <c r="X45" s="2"/>
      <c r="Y45" s="2"/>
      <c r="Z45" s="10"/>
      <c r="AA45" s="2"/>
      <c r="AB45" s="10"/>
      <c r="AC45" s="2"/>
      <c r="AD45" s="10"/>
      <c r="AE45" s="2"/>
      <c r="AF45" s="10"/>
      <c r="AG45" s="2"/>
      <c r="AH45" s="30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 spans="1:52" ht="12.3" hidden="1" x14ac:dyDescent="0.4">
      <c r="A46" s="2" t="s">
        <v>37</v>
      </c>
      <c r="B46" s="2"/>
      <c r="C46" s="2">
        <v>62.8063</v>
      </c>
      <c r="D46" s="2">
        <v>280</v>
      </c>
      <c r="E46" s="2">
        <v>62.878300000000003</v>
      </c>
      <c r="F46" s="2">
        <v>273</v>
      </c>
      <c r="G46" s="2">
        <v>101.3845</v>
      </c>
      <c r="H46" s="2">
        <v>187</v>
      </c>
      <c r="I46" s="2">
        <v>103.38549999999999</v>
      </c>
      <c r="J46" s="2">
        <v>142</v>
      </c>
      <c r="K46" s="2">
        <v>94.7196</v>
      </c>
      <c r="L46" s="2">
        <v>32</v>
      </c>
      <c r="M46" s="2">
        <v>91.701700000000002</v>
      </c>
      <c r="N46" s="2">
        <v>11</v>
      </c>
      <c r="O46" s="2">
        <v>0.79884999999999995</v>
      </c>
      <c r="P46" s="2">
        <v>45</v>
      </c>
      <c r="Q46" s="2">
        <v>2015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 spans="1:52" ht="12.3" x14ac:dyDescent="0.4">
      <c r="A47" s="2" t="s">
        <v>41</v>
      </c>
      <c r="B47" s="2">
        <v>8</v>
      </c>
      <c r="C47" s="2">
        <v>67.776600000000002</v>
      </c>
      <c r="D47" s="2">
        <v>50</v>
      </c>
      <c r="E47" s="2">
        <v>66.543999999999997</v>
      </c>
      <c r="F47" s="2">
        <v>87</v>
      </c>
      <c r="G47" s="2">
        <v>108.9756</v>
      </c>
      <c r="H47" s="2">
        <v>44</v>
      </c>
      <c r="I47" s="2">
        <v>113.3464</v>
      </c>
      <c r="J47" s="2">
        <v>16</v>
      </c>
      <c r="K47" s="2">
        <v>103.4173</v>
      </c>
      <c r="L47" s="2">
        <v>198</v>
      </c>
      <c r="M47" s="2">
        <v>100.6238</v>
      </c>
      <c r="N47" s="2">
        <v>134</v>
      </c>
      <c r="O47" s="2">
        <v>0.79724899999999999</v>
      </c>
      <c r="P47" s="2">
        <v>46</v>
      </c>
      <c r="Q47" s="10">
        <v>12.7226</v>
      </c>
      <c r="R47" s="2"/>
      <c r="S47" s="2"/>
      <c r="T47" s="2"/>
      <c r="U47" s="2"/>
      <c r="V47" s="10"/>
      <c r="W47" s="2"/>
      <c r="X47" s="2"/>
      <c r="Y47" s="2"/>
      <c r="Z47" s="10"/>
      <c r="AA47" s="2"/>
      <c r="AB47" s="10"/>
      <c r="AC47" s="2"/>
      <c r="AD47" s="10"/>
      <c r="AE47" s="2"/>
      <c r="AF47" s="10"/>
      <c r="AG47" s="2"/>
      <c r="AH47" s="30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 spans="1:52" ht="12.3" hidden="1" x14ac:dyDescent="0.4">
      <c r="A48" s="2" t="s">
        <v>111</v>
      </c>
      <c r="B48" s="2"/>
      <c r="C48" s="2">
        <v>62.686100000000003</v>
      </c>
      <c r="D48" s="2">
        <v>285</v>
      </c>
      <c r="E48" s="2">
        <v>63.442599999999999</v>
      </c>
      <c r="F48" s="2">
        <v>252</v>
      </c>
      <c r="G48" s="2">
        <v>108.7739</v>
      </c>
      <c r="H48" s="2">
        <v>46</v>
      </c>
      <c r="I48" s="2">
        <v>112.3048</v>
      </c>
      <c r="J48" s="2">
        <v>25</v>
      </c>
      <c r="K48" s="2">
        <v>100.07250000000001</v>
      </c>
      <c r="L48" s="2">
        <v>124</v>
      </c>
      <c r="M48" s="2">
        <v>99.723500000000001</v>
      </c>
      <c r="N48" s="2">
        <v>113</v>
      </c>
      <c r="O48" s="2">
        <v>0.796794</v>
      </c>
      <c r="P48" s="2">
        <v>47</v>
      </c>
      <c r="Q48" s="2">
        <v>2015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 spans="1:52" ht="12.3" hidden="1" x14ac:dyDescent="0.4">
      <c r="A49" s="2" t="s">
        <v>52</v>
      </c>
      <c r="B49" s="2"/>
      <c r="C49" s="2">
        <v>65.590900000000005</v>
      </c>
      <c r="D49" s="2">
        <v>139</v>
      </c>
      <c r="E49" s="2">
        <v>65.329700000000003</v>
      </c>
      <c r="F49" s="2">
        <v>144</v>
      </c>
      <c r="G49" s="2">
        <v>108.6934</v>
      </c>
      <c r="H49" s="2">
        <v>47</v>
      </c>
      <c r="I49" s="2">
        <v>111.0924</v>
      </c>
      <c r="J49" s="2">
        <v>36</v>
      </c>
      <c r="K49" s="2">
        <v>101.3027</v>
      </c>
      <c r="L49" s="2">
        <v>156</v>
      </c>
      <c r="M49" s="2">
        <v>99.250799999999998</v>
      </c>
      <c r="N49" s="2">
        <v>107</v>
      </c>
      <c r="O49" s="2">
        <v>0.78519300000000003</v>
      </c>
      <c r="P49" s="2">
        <v>48</v>
      </c>
      <c r="Q49" s="2">
        <v>2015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 spans="1:52" ht="12.3" x14ac:dyDescent="0.4">
      <c r="A50" s="2" t="s">
        <v>121</v>
      </c>
      <c r="B50" s="2">
        <v>9</v>
      </c>
      <c r="C50" s="2">
        <v>65.047399999999996</v>
      </c>
      <c r="D50" s="2">
        <v>159</v>
      </c>
      <c r="E50" s="2">
        <v>64.540499999999994</v>
      </c>
      <c r="F50" s="2">
        <v>180</v>
      </c>
      <c r="G50" s="2">
        <v>106.5732</v>
      </c>
      <c r="H50" s="2">
        <v>71</v>
      </c>
      <c r="I50" s="2">
        <v>108.4853</v>
      </c>
      <c r="J50" s="2">
        <v>57</v>
      </c>
      <c r="K50" s="2">
        <v>98.530299999999997</v>
      </c>
      <c r="L50" s="2">
        <v>95</v>
      </c>
      <c r="M50" s="2">
        <v>97.056399999999996</v>
      </c>
      <c r="N50" s="2">
        <v>69</v>
      </c>
      <c r="O50" s="2">
        <v>0.78248499999999999</v>
      </c>
      <c r="P50" s="2">
        <v>49</v>
      </c>
      <c r="Q50" s="10">
        <v>11.428899999999999</v>
      </c>
      <c r="R50" s="2"/>
      <c r="S50" s="2"/>
      <c r="T50" s="2"/>
      <c r="U50" s="2"/>
      <c r="V50" s="10"/>
      <c r="W50" s="2"/>
      <c r="X50" s="2"/>
      <c r="Y50" s="2"/>
      <c r="Z50" s="10"/>
      <c r="AA50" s="2"/>
      <c r="AB50" s="10"/>
      <c r="AC50" s="2"/>
      <c r="AD50" s="10"/>
      <c r="AE50" s="2"/>
      <c r="AF50" s="10"/>
      <c r="AG50" s="2"/>
      <c r="AH50" s="30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 spans="1:52" ht="12.3" hidden="1" x14ac:dyDescent="0.4">
      <c r="A51" s="2" t="s">
        <v>248</v>
      </c>
      <c r="B51" s="2"/>
      <c r="C51" s="2">
        <v>64.2</v>
      </c>
      <c r="D51" s="2">
        <v>210</v>
      </c>
      <c r="E51" s="2">
        <v>63.987400000000001</v>
      </c>
      <c r="F51" s="2">
        <v>213</v>
      </c>
      <c r="G51" s="2">
        <v>104.0296</v>
      </c>
      <c r="H51" s="2">
        <v>125</v>
      </c>
      <c r="I51" s="2">
        <v>105.8927</v>
      </c>
      <c r="J51" s="2">
        <v>94</v>
      </c>
      <c r="K51" s="2">
        <v>96.528499999999994</v>
      </c>
      <c r="L51" s="2">
        <v>58</v>
      </c>
      <c r="M51" s="2">
        <v>94.817599999999999</v>
      </c>
      <c r="N51" s="2">
        <v>41</v>
      </c>
      <c r="O51" s="2">
        <v>0.78081500000000004</v>
      </c>
      <c r="P51" s="2">
        <v>50</v>
      </c>
      <c r="Q51" s="2">
        <v>2015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 spans="1:52" ht="12.3" hidden="1" x14ac:dyDescent="0.4">
      <c r="A52" s="2" t="s">
        <v>100</v>
      </c>
      <c r="B52" s="2"/>
      <c r="C52" s="2">
        <v>61.409500000000001</v>
      </c>
      <c r="D52" s="2">
        <v>318</v>
      </c>
      <c r="E52" s="2">
        <v>61.720599999999997</v>
      </c>
      <c r="F52" s="2">
        <v>311</v>
      </c>
      <c r="G52" s="2">
        <v>104.7623</v>
      </c>
      <c r="H52" s="2">
        <v>111</v>
      </c>
      <c r="I52" s="2">
        <v>106.01390000000001</v>
      </c>
      <c r="J52" s="2">
        <v>89</v>
      </c>
      <c r="K52" s="2">
        <v>96.719200000000001</v>
      </c>
      <c r="L52" s="2">
        <v>63</v>
      </c>
      <c r="M52" s="2">
        <v>94.947100000000006</v>
      </c>
      <c r="N52" s="2">
        <v>44</v>
      </c>
      <c r="O52" s="2">
        <v>0.78037999999999996</v>
      </c>
      <c r="P52" s="2">
        <v>51</v>
      </c>
      <c r="Q52" s="2">
        <v>2015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 spans="1:52" ht="12.3" hidden="1" x14ac:dyDescent="0.4">
      <c r="A53" s="2" t="s">
        <v>60</v>
      </c>
      <c r="B53" s="2"/>
      <c r="C53" s="2">
        <v>62.518900000000002</v>
      </c>
      <c r="D53" s="2">
        <v>289</v>
      </c>
      <c r="E53" s="2">
        <v>62.515999999999998</v>
      </c>
      <c r="F53" s="2">
        <v>284</v>
      </c>
      <c r="G53" s="2">
        <v>107.6332</v>
      </c>
      <c r="H53" s="2">
        <v>56</v>
      </c>
      <c r="I53" s="2">
        <v>109.23050000000001</v>
      </c>
      <c r="J53" s="2">
        <v>51</v>
      </c>
      <c r="K53" s="2">
        <v>99.189499999999995</v>
      </c>
      <c r="L53" s="2">
        <v>107</v>
      </c>
      <c r="M53" s="2">
        <v>98.026499999999999</v>
      </c>
      <c r="N53" s="2">
        <v>88</v>
      </c>
      <c r="O53" s="2">
        <v>0.77635600000000005</v>
      </c>
      <c r="P53" s="2">
        <v>52</v>
      </c>
      <c r="Q53" s="2">
        <v>2015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 spans="1:52" ht="12.3" x14ac:dyDescent="0.4">
      <c r="A54" s="2" t="s">
        <v>40</v>
      </c>
      <c r="B54" s="2">
        <v>10</v>
      </c>
      <c r="C54" s="2">
        <v>66.840699999999998</v>
      </c>
      <c r="D54" s="2">
        <v>80</v>
      </c>
      <c r="E54" s="2">
        <v>66.5749</v>
      </c>
      <c r="F54" s="2">
        <v>84</v>
      </c>
      <c r="G54" s="2">
        <v>115.3436</v>
      </c>
      <c r="H54" s="2">
        <v>12</v>
      </c>
      <c r="I54" s="2">
        <v>116.60550000000001</v>
      </c>
      <c r="J54" s="2">
        <v>10</v>
      </c>
      <c r="K54" s="2">
        <v>106.7491</v>
      </c>
      <c r="L54" s="2">
        <v>279</v>
      </c>
      <c r="M54" s="2">
        <v>104.6528</v>
      </c>
      <c r="N54" s="2">
        <v>216</v>
      </c>
      <c r="O54" s="2">
        <v>0.77620900000000004</v>
      </c>
      <c r="P54" s="2">
        <v>53</v>
      </c>
      <c r="Q54" s="10">
        <v>11.952700000000007</v>
      </c>
      <c r="R54" s="2"/>
      <c r="S54" s="2"/>
      <c r="T54" s="2"/>
      <c r="U54" s="2"/>
      <c r="V54" s="10"/>
      <c r="W54" s="2"/>
      <c r="X54" s="2"/>
      <c r="Y54" s="2"/>
      <c r="Z54" s="10"/>
      <c r="AA54" s="2"/>
      <c r="AB54" s="10"/>
      <c r="AC54" s="2"/>
      <c r="AD54" s="10"/>
      <c r="AE54" s="2"/>
      <c r="AF54" s="10"/>
      <c r="AG54" s="2"/>
      <c r="AH54" s="30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 spans="1:52" ht="12.3" x14ac:dyDescent="0.4">
      <c r="A55" s="2" t="s">
        <v>213</v>
      </c>
      <c r="B55" s="2">
        <v>12</v>
      </c>
      <c r="C55" s="2">
        <v>68.8703</v>
      </c>
      <c r="D55" s="2">
        <v>24</v>
      </c>
      <c r="E55" s="2">
        <v>69.258899999999997</v>
      </c>
      <c r="F55" s="2">
        <v>20</v>
      </c>
      <c r="G55" s="2">
        <v>108.9585</v>
      </c>
      <c r="H55" s="2">
        <v>45</v>
      </c>
      <c r="I55" s="2">
        <v>109.75109999999999</v>
      </c>
      <c r="J55" s="2">
        <v>47</v>
      </c>
      <c r="K55" s="2">
        <v>99.291399999999996</v>
      </c>
      <c r="L55" s="2">
        <v>113</v>
      </c>
      <c r="M55" s="2">
        <v>98.515000000000001</v>
      </c>
      <c r="N55" s="2">
        <v>94</v>
      </c>
      <c r="O55" s="2">
        <v>0.77592300000000003</v>
      </c>
      <c r="P55" s="2">
        <v>54</v>
      </c>
      <c r="Q55" s="10">
        <v>11.236099999999993</v>
      </c>
      <c r="R55" s="2"/>
      <c r="S55" s="2"/>
      <c r="T55" s="2"/>
      <c r="U55" s="2"/>
      <c r="V55" s="10"/>
      <c r="W55" s="2"/>
      <c r="X55" s="2"/>
      <c r="Y55" s="2"/>
      <c r="Z55" s="10"/>
      <c r="AA55" s="2"/>
      <c r="AB55" s="10"/>
      <c r="AC55" s="2"/>
      <c r="AD55" s="10"/>
      <c r="AE55" s="2"/>
      <c r="AF55" s="10"/>
      <c r="AG55" s="2"/>
      <c r="AH55" s="30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 spans="1:52" ht="12.3" hidden="1" x14ac:dyDescent="0.4">
      <c r="A56" s="2" t="s">
        <v>258</v>
      </c>
      <c r="B56" s="2"/>
      <c r="C56" s="2">
        <v>65.533100000000005</v>
      </c>
      <c r="D56" s="2">
        <v>140</v>
      </c>
      <c r="E56" s="2">
        <v>65.833500000000001</v>
      </c>
      <c r="F56" s="2">
        <v>120</v>
      </c>
      <c r="G56" s="2">
        <v>100.7038</v>
      </c>
      <c r="H56" s="2">
        <v>203</v>
      </c>
      <c r="I56" s="2">
        <v>101.3689</v>
      </c>
      <c r="J56" s="2">
        <v>186</v>
      </c>
      <c r="K56" s="2">
        <v>90.558000000000007</v>
      </c>
      <c r="L56" s="2">
        <v>7</v>
      </c>
      <c r="M56" s="2">
        <v>91.155000000000001</v>
      </c>
      <c r="N56" s="2">
        <v>9</v>
      </c>
      <c r="O56" s="2">
        <v>0.77230299999999996</v>
      </c>
      <c r="P56" s="2">
        <v>55</v>
      </c>
      <c r="Q56" s="2">
        <v>2015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 spans="1:52" ht="12.3" hidden="1" x14ac:dyDescent="0.4">
      <c r="A57" s="2" t="s">
        <v>88</v>
      </c>
      <c r="B57" s="2"/>
      <c r="C57" s="2">
        <v>65.075599999999994</v>
      </c>
      <c r="D57" s="2">
        <v>155</v>
      </c>
      <c r="E57" s="2">
        <v>65.760000000000005</v>
      </c>
      <c r="F57" s="2">
        <v>123</v>
      </c>
      <c r="G57" s="2">
        <v>99.273899999999998</v>
      </c>
      <c r="H57" s="2">
        <v>236</v>
      </c>
      <c r="I57" s="2">
        <v>101.9924</v>
      </c>
      <c r="J57" s="2">
        <v>172</v>
      </c>
      <c r="K57" s="2">
        <v>92.648099999999999</v>
      </c>
      <c r="L57" s="2">
        <v>15</v>
      </c>
      <c r="M57" s="2">
        <v>91.746300000000005</v>
      </c>
      <c r="N57" s="2">
        <v>12</v>
      </c>
      <c r="O57" s="2">
        <v>0.77162799999999998</v>
      </c>
      <c r="P57" s="2">
        <v>56</v>
      </c>
      <c r="Q57" s="2">
        <v>2015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 spans="1:52" ht="12.3" hidden="1" x14ac:dyDescent="0.4">
      <c r="A58" s="2" t="s">
        <v>142</v>
      </c>
      <c r="B58" s="2"/>
      <c r="C58" s="2">
        <v>64.674300000000002</v>
      </c>
      <c r="D58" s="2">
        <v>181</v>
      </c>
      <c r="E58" s="2">
        <v>64.320700000000002</v>
      </c>
      <c r="F58" s="2">
        <v>196</v>
      </c>
      <c r="G58" s="2">
        <v>104.4496</v>
      </c>
      <c r="H58" s="2">
        <v>116</v>
      </c>
      <c r="I58" s="2">
        <v>105.9772</v>
      </c>
      <c r="J58" s="2">
        <v>91</v>
      </c>
      <c r="K58" s="2">
        <v>95.657499999999999</v>
      </c>
      <c r="L58" s="2">
        <v>40</v>
      </c>
      <c r="M58" s="2">
        <v>95.607200000000006</v>
      </c>
      <c r="N58" s="2">
        <v>50</v>
      </c>
      <c r="O58" s="2">
        <v>0.76570499999999997</v>
      </c>
      <c r="P58" s="2">
        <v>57</v>
      </c>
      <c r="Q58" s="2">
        <v>2015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 spans="1:52" ht="12.3" hidden="1" x14ac:dyDescent="0.4">
      <c r="A59" s="2" t="s">
        <v>75</v>
      </c>
      <c r="B59" s="2"/>
      <c r="C59" s="2">
        <v>67.979299999999995</v>
      </c>
      <c r="D59" s="2">
        <v>44</v>
      </c>
      <c r="E59" s="2">
        <v>67.630600000000001</v>
      </c>
      <c r="F59" s="2">
        <v>46</v>
      </c>
      <c r="G59" s="2">
        <v>106.5629</v>
      </c>
      <c r="H59" s="2">
        <v>72</v>
      </c>
      <c r="I59" s="2">
        <v>110.2149</v>
      </c>
      <c r="J59" s="2">
        <v>44</v>
      </c>
      <c r="K59" s="2">
        <v>99.699200000000005</v>
      </c>
      <c r="L59" s="2">
        <v>118</v>
      </c>
      <c r="M59" s="2">
        <v>99.758899999999997</v>
      </c>
      <c r="N59" s="2">
        <v>114</v>
      </c>
      <c r="O59" s="2">
        <v>0.75882899999999998</v>
      </c>
      <c r="P59" s="2">
        <v>58</v>
      </c>
      <c r="Q59" s="2">
        <v>2015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 spans="1:52" ht="12.3" hidden="1" x14ac:dyDescent="0.4">
      <c r="A60" s="2" t="s">
        <v>54</v>
      </c>
      <c r="B60" s="2"/>
      <c r="C60" s="2">
        <v>61.758699999999997</v>
      </c>
      <c r="D60" s="2">
        <v>311</v>
      </c>
      <c r="E60" s="2">
        <v>61.917200000000001</v>
      </c>
      <c r="F60" s="2">
        <v>303</v>
      </c>
      <c r="G60" s="2">
        <v>103.6451</v>
      </c>
      <c r="H60" s="2">
        <v>134</v>
      </c>
      <c r="I60" s="2">
        <v>105.9499</v>
      </c>
      <c r="J60" s="2">
        <v>92</v>
      </c>
      <c r="K60" s="2">
        <v>96.214100000000002</v>
      </c>
      <c r="L60" s="2">
        <v>48</v>
      </c>
      <c r="M60" s="2">
        <v>96.102900000000005</v>
      </c>
      <c r="N60" s="2">
        <v>54</v>
      </c>
      <c r="O60" s="2">
        <v>0.75431999999999999</v>
      </c>
      <c r="P60" s="2">
        <v>59</v>
      </c>
      <c r="Q60" s="2">
        <v>2015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 spans="1:52" ht="12.3" hidden="1" x14ac:dyDescent="0.4">
      <c r="A61" s="2" t="s">
        <v>164</v>
      </c>
      <c r="B61" s="2"/>
      <c r="C61" s="2">
        <v>63.791400000000003</v>
      </c>
      <c r="D61" s="2">
        <v>240</v>
      </c>
      <c r="E61" s="2">
        <v>65.028300000000002</v>
      </c>
      <c r="F61" s="2">
        <v>154</v>
      </c>
      <c r="G61" s="2">
        <v>104.9824</v>
      </c>
      <c r="H61" s="2">
        <v>101</v>
      </c>
      <c r="I61" s="2">
        <v>106.33969999999999</v>
      </c>
      <c r="J61" s="2">
        <v>83</v>
      </c>
      <c r="K61" s="2">
        <v>97.115200000000002</v>
      </c>
      <c r="L61" s="2">
        <v>72</v>
      </c>
      <c r="M61" s="2">
        <v>96.474000000000004</v>
      </c>
      <c r="N61" s="2">
        <v>63</v>
      </c>
      <c r="O61" s="2">
        <v>0.75393200000000005</v>
      </c>
      <c r="P61" s="2">
        <v>60</v>
      </c>
      <c r="Q61" s="2">
        <v>2015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 spans="1:52" ht="12.3" hidden="1" x14ac:dyDescent="0.4">
      <c r="A62" s="2" t="s">
        <v>49</v>
      </c>
      <c r="B62" s="2"/>
      <c r="C62" s="2">
        <v>62.840899999999998</v>
      </c>
      <c r="D62" s="2">
        <v>279</v>
      </c>
      <c r="E62" s="2">
        <v>62.148200000000003</v>
      </c>
      <c r="F62" s="2">
        <v>297</v>
      </c>
      <c r="G62" s="2">
        <v>104.92230000000001</v>
      </c>
      <c r="H62" s="2">
        <v>103</v>
      </c>
      <c r="I62" s="2">
        <v>108.2912</v>
      </c>
      <c r="J62" s="2">
        <v>60</v>
      </c>
      <c r="K62" s="2">
        <v>101.6914</v>
      </c>
      <c r="L62" s="2">
        <v>164</v>
      </c>
      <c r="M62" s="2">
        <v>98.311300000000003</v>
      </c>
      <c r="N62" s="2">
        <v>93</v>
      </c>
      <c r="O62" s="2">
        <v>0.75247900000000001</v>
      </c>
      <c r="P62" s="2">
        <v>61</v>
      </c>
      <c r="Q62" s="2">
        <v>2015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 spans="1:52" ht="12.3" hidden="1" x14ac:dyDescent="0.4">
      <c r="A63" s="2" t="s">
        <v>23</v>
      </c>
      <c r="B63" s="2"/>
      <c r="C63" s="2">
        <v>66.059200000000004</v>
      </c>
      <c r="D63" s="2">
        <v>115</v>
      </c>
      <c r="E63" s="2">
        <v>66.563699999999997</v>
      </c>
      <c r="F63" s="2">
        <v>85</v>
      </c>
      <c r="G63" s="2">
        <v>101.3741</v>
      </c>
      <c r="H63" s="2">
        <v>188</v>
      </c>
      <c r="I63" s="2">
        <v>103.0368</v>
      </c>
      <c r="J63" s="2">
        <v>147</v>
      </c>
      <c r="K63" s="2">
        <v>95.037300000000002</v>
      </c>
      <c r="L63" s="2">
        <v>34</v>
      </c>
      <c r="M63" s="2">
        <v>93.6083</v>
      </c>
      <c r="N63" s="2">
        <v>24</v>
      </c>
      <c r="O63" s="2">
        <v>0.75093699999999997</v>
      </c>
      <c r="P63" s="2">
        <v>62</v>
      </c>
      <c r="Q63" s="2">
        <v>2015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 spans="1:52" ht="12.3" x14ac:dyDescent="0.4">
      <c r="A64" s="2" t="s">
        <v>74</v>
      </c>
      <c r="B64" s="2">
        <v>13</v>
      </c>
      <c r="C64" s="2">
        <v>63.183</v>
      </c>
      <c r="D64" s="2">
        <v>264</v>
      </c>
      <c r="E64" s="2">
        <v>62.755800000000001</v>
      </c>
      <c r="F64" s="2">
        <v>275</v>
      </c>
      <c r="G64" s="2">
        <v>107.5521</v>
      </c>
      <c r="H64" s="2">
        <v>58</v>
      </c>
      <c r="I64" s="2">
        <v>103.7859</v>
      </c>
      <c r="J64" s="2">
        <v>129</v>
      </c>
      <c r="K64" s="2">
        <v>93.935900000000004</v>
      </c>
      <c r="L64" s="2">
        <v>23</v>
      </c>
      <c r="M64" s="2">
        <v>94.3339</v>
      </c>
      <c r="N64" s="2">
        <v>31</v>
      </c>
      <c r="O64" s="2">
        <v>0.74990999999999997</v>
      </c>
      <c r="P64" s="2">
        <v>63</v>
      </c>
      <c r="Q64" s="10">
        <v>9.4519999999999982</v>
      </c>
      <c r="R64" s="2"/>
      <c r="S64" s="2"/>
      <c r="T64" s="2"/>
      <c r="U64" s="2"/>
      <c r="V64" s="10"/>
      <c r="W64" s="2"/>
      <c r="X64" s="2"/>
      <c r="Y64" s="2"/>
      <c r="Z64" s="10"/>
      <c r="AA64" s="2"/>
      <c r="AB64" s="10"/>
      <c r="AC64" s="2"/>
      <c r="AD64" s="10"/>
      <c r="AE64" s="2"/>
      <c r="AF64" s="10"/>
      <c r="AG64" s="2"/>
      <c r="AH64" s="30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 spans="1:52" ht="12.3" hidden="1" x14ac:dyDescent="0.4">
      <c r="A65" s="2" t="s">
        <v>190</v>
      </c>
      <c r="B65" s="2"/>
      <c r="C65" s="2">
        <v>61.014699999999998</v>
      </c>
      <c r="D65" s="2">
        <v>327</v>
      </c>
      <c r="E65" s="2">
        <v>60.412999999999997</v>
      </c>
      <c r="F65" s="2">
        <v>338</v>
      </c>
      <c r="G65" s="2">
        <v>106.5012</v>
      </c>
      <c r="H65" s="2">
        <v>75</v>
      </c>
      <c r="I65" s="2">
        <v>105.0117</v>
      </c>
      <c r="J65" s="2">
        <v>108</v>
      </c>
      <c r="K65" s="2">
        <v>92.589100000000002</v>
      </c>
      <c r="L65" s="2">
        <v>14</v>
      </c>
      <c r="M65" s="2">
        <v>95.563599999999994</v>
      </c>
      <c r="N65" s="2">
        <v>49</v>
      </c>
      <c r="O65" s="2">
        <v>0.74729000000000001</v>
      </c>
      <c r="P65" s="2">
        <v>64</v>
      </c>
      <c r="Q65" s="2">
        <v>2015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 spans="1:52" ht="12.3" hidden="1" x14ac:dyDescent="0.4">
      <c r="A66" s="2" t="s">
        <v>44</v>
      </c>
      <c r="B66" s="2"/>
      <c r="C66" s="2">
        <v>65.145399999999995</v>
      </c>
      <c r="D66" s="2">
        <v>152</v>
      </c>
      <c r="E66" s="2">
        <v>65.150899999999993</v>
      </c>
      <c r="F66" s="2">
        <v>151</v>
      </c>
      <c r="G66" s="2">
        <v>105.23569999999999</v>
      </c>
      <c r="H66" s="2">
        <v>98</v>
      </c>
      <c r="I66" s="2">
        <v>104.0244</v>
      </c>
      <c r="J66" s="2">
        <v>122</v>
      </c>
      <c r="K66" s="2">
        <v>96.927800000000005</v>
      </c>
      <c r="L66" s="2">
        <v>68</v>
      </c>
      <c r="M66" s="2">
        <v>94.691599999999994</v>
      </c>
      <c r="N66" s="2">
        <v>39</v>
      </c>
      <c r="O66" s="2">
        <v>0.74668299999999999</v>
      </c>
      <c r="P66" s="2">
        <v>65</v>
      </c>
      <c r="Q66" s="2">
        <v>2015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 spans="1:52" ht="12.3" hidden="1" x14ac:dyDescent="0.4">
      <c r="A67" s="2" t="s">
        <v>262</v>
      </c>
      <c r="B67" s="2"/>
      <c r="C67" s="2">
        <v>62.175199999999997</v>
      </c>
      <c r="D67" s="2">
        <v>299</v>
      </c>
      <c r="E67" s="2">
        <v>62.5505</v>
      </c>
      <c r="F67" s="2">
        <v>281</v>
      </c>
      <c r="G67" s="2">
        <v>109.16249999999999</v>
      </c>
      <c r="H67" s="2">
        <v>42</v>
      </c>
      <c r="I67" s="2">
        <v>108.5664</v>
      </c>
      <c r="J67" s="2">
        <v>55</v>
      </c>
      <c r="K67" s="2">
        <v>100.6049</v>
      </c>
      <c r="L67" s="2">
        <v>138</v>
      </c>
      <c r="M67" s="2">
        <v>98.965000000000003</v>
      </c>
      <c r="N67" s="2">
        <v>99</v>
      </c>
      <c r="O67" s="2">
        <v>0.74361699999999997</v>
      </c>
      <c r="P67" s="2">
        <v>66</v>
      </c>
      <c r="Q67" s="2">
        <v>2015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 spans="1:52" ht="12.3" hidden="1" x14ac:dyDescent="0.4">
      <c r="A68" s="2" t="s">
        <v>17</v>
      </c>
      <c r="B68" s="2"/>
      <c r="C68" s="2">
        <v>65.131200000000007</v>
      </c>
      <c r="D68" s="2">
        <v>153</v>
      </c>
      <c r="E68" s="2">
        <v>64.378600000000006</v>
      </c>
      <c r="F68" s="2">
        <v>192</v>
      </c>
      <c r="G68" s="2">
        <v>99.167199999999994</v>
      </c>
      <c r="H68" s="2">
        <v>240</v>
      </c>
      <c r="I68" s="2">
        <v>102.9397</v>
      </c>
      <c r="J68" s="2">
        <v>149</v>
      </c>
      <c r="K68" s="2">
        <v>96.281099999999995</v>
      </c>
      <c r="L68" s="2">
        <v>51</v>
      </c>
      <c r="M68" s="2">
        <v>93.880899999999997</v>
      </c>
      <c r="N68" s="2">
        <v>27</v>
      </c>
      <c r="O68" s="2">
        <v>0.74256500000000003</v>
      </c>
      <c r="P68" s="2">
        <v>67</v>
      </c>
      <c r="Q68" s="2">
        <v>2015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 spans="1:52" ht="12.3" hidden="1" x14ac:dyDescent="0.4">
      <c r="A69" s="2" t="s">
        <v>157</v>
      </c>
      <c r="B69" s="2"/>
      <c r="C69" s="2">
        <v>64.941800000000001</v>
      </c>
      <c r="D69" s="2">
        <v>163</v>
      </c>
      <c r="E69" s="2">
        <v>66.905199999999994</v>
      </c>
      <c r="F69" s="2">
        <v>73</v>
      </c>
      <c r="G69" s="2">
        <v>109.8995</v>
      </c>
      <c r="H69" s="2">
        <v>35</v>
      </c>
      <c r="I69" s="2">
        <v>108.97790000000001</v>
      </c>
      <c r="J69" s="2">
        <v>52</v>
      </c>
      <c r="K69" s="2">
        <v>97.795199999999994</v>
      </c>
      <c r="L69" s="2">
        <v>82</v>
      </c>
      <c r="M69" s="2">
        <v>99.486999999999995</v>
      </c>
      <c r="N69" s="2">
        <v>110</v>
      </c>
      <c r="O69" s="2">
        <v>0.74036400000000002</v>
      </c>
      <c r="P69" s="2">
        <v>68</v>
      </c>
      <c r="Q69" s="2">
        <v>2015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 spans="1:52" ht="12.3" hidden="1" x14ac:dyDescent="0.4">
      <c r="A70" s="2" t="s">
        <v>236</v>
      </c>
      <c r="B70" s="2"/>
      <c r="C70" s="2">
        <v>64.586699999999993</v>
      </c>
      <c r="D70" s="2">
        <v>188</v>
      </c>
      <c r="E70" s="2">
        <v>65.216999999999999</v>
      </c>
      <c r="F70" s="2">
        <v>150</v>
      </c>
      <c r="G70" s="2">
        <v>104.2056</v>
      </c>
      <c r="H70" s="2">
        <v>120</v>
      </c>
      <c r="I70" s="2">
        <v>102.3317</v>
      </c>
      <c r="J70" s="2">
        <v>164</v>
      </c>
      <c r="K70" s="2">
        <v>93.858699999999999</v>
      </c>
      <c r="L70" s="2">
        <v>21</v>
      </c>
      <c r="M70" s="2">
        <v>93.536100000000005</v>
      </c>
      <c r="N70" s="2">
        <v>22</v>
      </c>
      <c r="O70" s="2">
        <v>0.73760000000000003</v>
      </c>
      <c r="P70" s="2">
        <v>69</v>
      </c>
      <c r="Q70" s="2">
        <v>2015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 spans="1:52" ht="12.3" hidden="1" x14ac:dyDescent="0.4">
      <c r="A71" s="2" t="s">
        <v>99</v>
      </c>
      <c r="B71" s="2"/>
      <c r="C71" s="2">
        <v>66.0124</v>
      </c>
      <c r="D71" s="2">
        <v>119</v>
      </c>
      <c r="E71" s="2">
        <v>66.026700000000005</v>
      </c>
      <c r="F71" s="2">
        <v>112</v>
      </c>
      <c r="G71" s="2">
        <v>103.4195</v>
      </c>
      <c r="H71" s="2">
        <v>141</v>
      </c>
      <c r="I71" s="2">
        <v>107.3888</v>
      </c>
      <c r="J71" s="2">
        <v>69</v>
      </c>
      <c r="K71" s="2">
        <v>99.225800000000007</v>
      </c>
      <c r="L71" s="2">
        <v>109</v>
      </c>
      <c r="M71" s="2">
        <v>98.223799999999997</v>
      </c>
      <c r="N71" s="2">
        <v>90</v>
      </c>
      <c r="O71" s="2">
        <v>0.73611700000000002</v>
      </c>
      <c r="P71" s="2">
        <v>70</v>
      </c>
      <c r="Q71" s="2">
        <v>2015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 spans="1:52" ht="12.3" x14ac:dyDescent="0.4">
      <c r="A72" s="2" t="s">
        <v>152</v>
      </c>
      <c r="B72" s="2">
        <v>14</v>
      </c>
      <c r="C72" s="2">
        <v>64.316800000000001</v>
      </c>
      <c r="D72" s="2">
        <v>203</v>
      </c>
      <c r="E72" s="2">
        <v>63.297199999999997</v>
      </c>
      <c r="F72" s="2">
        <v>258</v>
      </c>
      <c r="G72" s="2">
        <v>108.6194</v>
      </c>
      <c r="H72" s="2">
        <v>48</v>
      </c>
      <c r="I72" s="2">
        <v>108.4051</v>
      </c>
      <c r="J72" s="2">
        <v>58</v>
      </c>
      <c r="K72" s="2">
        <v>95.783299999999997</v>
      </c>
      <c r="L72" s="2">
        <v>43</v>
      </c>
      <c r="M72" s="2">
        <v>99.227999999999994</v>
      </c>
      <c r="N72" s="2">
        <v>106</v>
      </c>
      <c r="O72" s="2">
        <v>0.73443199999999997</v>
      </c>
      <c r="P72" s="2">
        <v>71</v>
      </c>
      <c r="Q72" s="10">
        <v>9.17710000000001</v>
      </c>
      <c r="R72" s="2"/>
      <c r="S72" s="2"/>
      <c r="T72" s="2"/>
      <c r="U72" s="2"/>
      <c r="V72" s="10"/>
      <c r="W72" s="2"/>
      <c r="X72" s="2"/>
      <c r="Y72" s="2"/>
      <c r="Z72" s="10"/>
      <c r="AA72" s="2"/>
      <c r="AB72" s="10"/>
      <c r="AC72" s="2"/>
      <c r="AD72" s="10"/>
      <c r="AE72" s="2"/>
      <c r="AF72" s="10"/>
      <c r="AG72" s="2"/>
      <c r="AH72" s="30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 spans="1:52" ht="12.3" hidden="1" x14ac:dyDescent="0.4">
      <c r="A73" s="2" t="s">
        <v>69</v>
      </c>
      <c r="B73" s="2"/>
      <c r="C73" s="2">
        <v>63.829900000000002</v>
      </c>
      <c r="D73" s="2">
        <v>236</v>
      </c>
      <c r="E73" s="2">
        <v>63.977499999999999</v>
      </c>
      <c r="F73" s="2">
        <v>215</v>
      </c>
      <c r="G73" s="2">
        <v>99.688800000000001</v>
      </c>
      <c r="H73" s="2">
        <v>226</v>
      </c>
      <c r="I73" s="2">
        <v>100.5658</v>
      </c>
      <c r="J73" s="2">
        <v>207</v>
      </c>
      <c r="K73" s="2">
        <v>92.921899999999994</v>
      </c>
      <c r="L73" s="2">
        <v>17</v>
      </c>
      <c r="M73" s="2">
        <v>92.281800000000004</v>
      </c>
      <c r="N73" s="2">
        <v>14</v>
      </c>
      <c r="O73" s="2">
        <v>0.72881200000000002</v>
      </c>
      <c r="P73" s="2">
        <v>72</v>
      </c>
      <c r="Q73" s="2">
        <v>2015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 spans="1:52" ht="12.3" hidden="1" x14ac:dyDescent="0.4">
      <c r="A74" s="2" t="s">
        <v>181</v>
      </c>
      <c r="B74" s="2"/>
      <c r="C74" s="2">
        <v>66.733999999999995</v>
      </c>
      <c r="D74" s="2">
        <v>84</v>
      </c>
      <c r="E74" s="2">
        <v>66.650000000000006</v>
      </c>
      <c r="F74" s="2">
        <v>82</v>
      </c>
      <c r="G74" s="2">
        <v>116.02509999999999</v>
      </c>
      <c r="H74" s="2">
        <v>8</v>
      </c>
      <c r="I74" s="2">
        <v>113.0887</v>
      </c>
      <c r="J74" s="2">
        <v>17</v>
      </c>
      <c r="K74" s="2">
        <v>100.83759999999999</v>
      </c>
      <c r="L74" s="2">
        <v>144</v>
      </c>
      <c r="M74" s="2">
        <v>104.0421</v>
      </c>
      <c r="N74" s="2">
        <v>203</v>
      </c>
      <c r="O74" s="2">
        <v>0.72288799999999998</v>
      </c>
      <c r="P74" s="2">
        <v>73</v>
      </c>
      <c r="Q74" s="2">
        <v>2015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 spans="1:52" ht="12.3" hidden="1" x14ac:dyDescent="0.4">
      <c r="A75" s="2" t="s">
        <v>160</v>
      </c>
      <c r="B75" s="2"/>
      <c r="C75" s="2">
        <v>61.818399999999997</v>
      </c>
      <c r="D75" s="2">
        <v>308</v>
      </c>
      <c r="E75" s="2">
        <v>62.4146</v>
      </c>
      <c r="F75" s="2">
        <v>289</v>
      </c>
      <c r="G75" s="2">
        <v>104.017</v>
      </c>
      <c r="H75" s="2">
        <v>126</v>
      </c>
      <c r="I75" s="2">
        <v>104.7351</v>
      </c>
      <c r="J75" s="2">
        <v>112</v>
      </c>
      <c r="K75" s="2">
        <v>97.147000000000006</v>
      </c>
      <c r="L75" s="2">
        <v>73</v>
      </c>
      <c r="M75" s="2">
        <v>96.450199999999995</v>
      </c>
      <c r="N75" s="2">
        <v>62</v>
      </c>
      <c r="O75" s="2">
        <v>0.72064899999999998</v>
      </c>
      <c r="P75" s="2">
        <v>74</v>
      </c>
      <c r="Q75" s="2">
        <v>2015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 spans="1:52" ht="12.3" hidden="1" x14ac:dyDescent="0.4">
      <c r="A76" s="2" t="s">
        <v>232</v>
      </c>
      <c r="B76" s="2"/>
      <c r="C76" s="2">
        <v>63.314700000000002</v>
      </c>
      <c r="D76" s="2">
        <v>257</v>
      </c>
      <c r="E76" s="2">
        <v>61.851799999999997</v>
      </c>
      <c r="F76" s="2">
        <v>307</v>
      </c>
      <c r="G76" s="2">
        <v>104.9117</v>
      </c>
      <c r="H76" s="2">
        <v>105</v>
      </c>
      <c r="I76" s="2">
        <v>105.4472</v>
      </c>
      <c r="J76" s="2">
        <v>103</v>
      </c>
      <c r="K76" s="2">
        <v>96.414100000000005</v>
      </c>
      <c r="L76" s="2">
        <v>56</v>
      </c>
      <c r="M76" s="2">
        <v>97.174599999999998</v>
      </c>
      <c r="N76" s="2">
        <v>74</v>
      </c>
      <c r="O76" s="2">
        <v>0.71901099999999996</v>
      </c>
      <c r="P76" s="2">
        <v>75</v>
      </c>
      <c r="Q76" s="2">
        <v>2015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 spans="1:52" ht="12.3" hidden="1" x14ac:dyDescent="0.4">
      <c r="A77" s="2" t="s">
        <v>94</v>
      </c>
      <c r="B77" s="2"/>
      <c r="C77" s="2">
        <v>67.734099999999998</v>
      </c>
      <c r="D77" s="2">
        <v>52</v>
      </c>
      <c r="E77" s="2">
        <v>67.543599999999998</v>
      </c>
      <c r="F77" s="2">
        <v>50</v>
      </c>
      <c r="G77" s="2">
        <v>106.70829999999999</v>
      </c>
      <c r="H77" s="2">
        <v>68</v>
      </c>
      <c r="I77" s="2">
        <v>104.68680000000001</v>
      </c>
      <c r="J77" s="2">
        <v>114</v>
      </c>
      <c r="K77" s="2">
        <v>95.075199999999995</v>
      </c>
      <c r="L77" s="2">
        <v>35</v>
      </c>
      <c r="M77" s="2">
        <v>96.876800000000003</v>
      </c>
      <c r="N77" s="2">
        <v>66</v>
      </c>
      <c r="O77" s="2">
        <v>0.70922700000000005</v>
      </c>
      <c r="P77" s="2">
        <v>76</v>
      </c>
      <c r="Q77" s="2">
        <v>2015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 spans="1:52" ht="12.3" hidden="1" x14ac:dyDescent="0.4">
      <c r="A78" s="2" t="s">
        <v>154</v>
      </c>
      <c r="B78" s="2"/>
      <c r="C78" s="2">
        <v>60.5441</v>
      </c>
      <c r="D78" s="2">
        <v>335</v>
      </c>
      <c r="E78" s="2">
        <v>60.083500000000001</v>
      </c>
      <c r="F78" s="2">
        <v>340</v>
      </c>
      <c r="G78" s="2">
        <v>103.17359999999999</v>
      </c>
      <c r="H78" s="2">
        <v>148</v>
      </c>
      <c r="I78" s="2">
        <v>107.9328</v>
      </c>
      <c r="J78" s="2">
        <v>63</v>
      </c>
      <c r="K78" s="2">
        <v>103.595</v>
      </c>
      <c r="L78" s="2">
        <v>200</v>
      </c>
      <c r="M78" s="2">
        <v>99.884799999999998</v>
      </c>
      <c r="N78" s="2">
        <v>117</v>
      </c>
      <c r="O78" s="2">
        <v>0.70912900000000001</v>
      </c>
      <c r="P78" s="2">
        <v>77</v>
      </c>
      <c r="Q78" s="2">
        <v>2015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 spans="1:52" ht="12.3" x14ac:dyDescent="0.4">
      <c r="A79" s="2" t="s">
        <v>255</v>
      </c>
      <c r="B79" s="2">
        <v>13</v>
      </c>
      <c r="C79" s="2">
        <v>61.022599999999997</v>
      </c>
      <c r="D79" s="2">
        <v>326</v>
      </c>
      <c r="E79" s="2">
        <v>61.493699999999997</v>
      </c>
      <c r="F79" s="2">
        <v>317</v>
      </c>
      <c r="G79" s="2">
        <v>101.7488</v>
      </c>
      <c r="H79" s="2">
        <v>181</v>
      </c>
      <c r="I79" s="2">
        <v>102.02209999999999</v>
      </c>
      <c r="J79" s="2">
        <v>170</v>
      </c>
      <c r="K79" s="2">
        <v>93.631200000000007</v>
      </c>
      <c r="L79" s="2">
        <v>20</v>
      </c>
      <c r="M79" s="2">
        <v>94.544600000000003</v>
      </c>
      <c r="N79" s="2">
        <v>34</v>
      </c>
      <c r="O79" s="2">
        <v>0.70585900000000001</v>
      </c>
      <c r="P79" s="2">
        <v>78</v>
      </c>
      <c r="Q79" s="10">
        <v>7.477499999999992</v>
      </c>
      <c r="R79" s="2"/>
      <c r="S79" s="2"/>
      <c r="T79" s="2"/>
      <c r="U79" s="2"/>
      <c r="V79" s="10"/>
      <c r="W79" s="2"/>
      <c r="X79" s="2"/>
      <c r="Y79" s="2"/>
      <c r="Z79" s="10"/>
      <c r="AA79" s="2"/>
      <c r="AB79" s="10"/>
      <c r="AC79" s="2"/>
      <c r="AD79" s="10"/>
      <c r="AE79" s="2"/>
      <c r="AF79" s="10"/>
      <c r="AG79" s="2"/>
      <c r="AH79" s="30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 spans="1:52" ht="12.3" hidden="1" x14ac:dyDescent="0.4">
      <c r="A80" s="2" t="s">
        <v>225</v>
      </c>
      <c r="B80" s="2"/>
      <c r="C80" s="2">
        <v>66.089299999999994</v>
      </c>
      <c r="D80" s="2">
        <v>112</v>
      </c>
      <c r="E80" s="2">
        <v>64.838099999999997</v>
      </c>
      <c r="F80" s="2">
        <v>162</v>
      </c>
      <c r="G80" s="2">
        <v>105.21729999999999</v>
      </c>
      <c r="H80" s="2">
        <v>99</v>
      </c>
      <c r="I80" s="2">
        <v>100.8698</v>
      </c>
      <c r="J80" s="2">
        <v>197</v>
      </c>
      <c r="K80" s="2">
        <v>91.038600000000002</v>
      </c>
      <c r="L80" s="2">
        <v>9</v>
      </c>
      <c r="M80" s="2">
        <v>93.782700000000006</v>
      </c>
      <c r="N80" s="2">
        <v>26</v>
      </c>
      <c r="O80" s="2">
        <v>0.69799500000000003</v>
      </c>
      <c r="P80" s="2">
        <v>79</v>
      </c>
      <c r="Q80" s="2">
        <v>2015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 spans="1:52" ht="12.3" hidden="1" x14ac:dyDescent="0.4">
      <c r="A81" s="2" t="s">
        <v>46</v>
      </c>
      <c r="B81" s="2"/>
      <c r="C81" s="2">
        <v>61.058100000000003</v>
      </c>
      <c r="D81" s="2">
        <v>325</v>
      </c>
      <c r="E81" s="2">
        <v>60.982300000000002</v>
      </c>
      <c r="F81" s="2">
        <v>327</v>
      </c>
      <c r="G81" s="2">
        <v>108.5946</v>
      </c>
      <c r="H81" s="2">
        <v>49</v>
      </c>
      <c r="I81" s="2">
        <v>112.7343</v>
      </c>
      <c r="J81" s="2">
        <v>23</v>
      </c>
      <c r="K81" s="2">
        <v>106.55200000000001</v>
      </c>
      <c r="L81" s="2">
        <v>275</v>
      </c>
      <c r="M81" s="2">
        <v>104.83759999999999</v>
      </c>
      <c r="N81" s="2">
        <v>218</v>
      </c>
      <c r="O81" s="2">
        <v>0.69743999999999995</v>
      </c>
      <c r="P81" s="2">
        <v>80</v>
      </c>
      <c r="Q81" s="2">
        <v>2015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 spans="1:52" ht="12.3" hidden="1" x14ac:dyDescent="0.4">
      <c r="A82" s="2" t="s">
        <v>148</v>
      </c>
      <c r="B82" s="2"/>
      <c r="C82" s="2">
        <v>63.071599999999997</v>
      </c>
      <c r="D82" s="2">
        <v>270</v>
      </c>
      <c r="E82" s="2">
        <v>62.5411</v>
      </c>
      <c r="F82" s="2">
        <v>283</v>
      </c>
      <c r="G82" s="2">
        <v>99.165199999999999</v>
      </c>
      <c r="H82" s="2">
        <v>242</v>
      </c>
      <c r="I82" s="2">
        <v>103.2577</v>
      </c>
      <c r="J82" s="2">
        <v>144</v>
      </c>
      <c r="K82" s="2">
        <v>101.16970000000001</v>
      </c>
      <c r="L82" s="2">
        <v>152</v>
      </c>
      <c r="M82" s="2">
        <v>96.3249</v>
      </c>
      <c r="N82" s="2">
        <v>59</v>
      </c>
      <c r="O82" s="2">
        <v>0.68981700000000001</v>
      </c>
      <c r="P82" s="2">
        <v>81</v>
      </c>
      <c r="Q82" s="2">
        <v>2015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 spans="1:52" ht="12.3" hidden="1" x14ac:dyDescent="0.4">
      <c r="A83" s="2" t="s">
        <v>90</v>
      </c>
      <c r="B83" s="2"/>
      <c r="C83" s="2">
        <v>63.324399999999997</v>
      </c>
      <c r="D83" s="2">
        <v>255</v>
      </c>
      <c r="E83" s="2">
        <v>62.7592</v>
      </c>
      <c r="F83" s="2">
        <v>274</v>
      </c>
      <c r="G83" s="2">
        <v>104.5754</v>
      </c>
      <c r="H83" s="2">
        <v>115</v>
      </c>
      <c r="I83" s="2">
        <v>108.3368</v>
      </c>
      <c r="J83" s="2">
        <v>59</v>
      </c>
      <c r="K83" s="2">
        <v>104.22320000000001</v>
      </c>
      <c r="L83" s="2">
        <v>217</v>
      </c>
      <c r="M83" s="2">
        <v>101.4216</v>
      </c>
      <c r="N83" s="2">
        <v>147</v>
      </c>
      <c r="O83" s="2">
        <v>0.68103400000000003</v>
      </c>
      <c r="P83" s="2">
        <v>82</v>
      </c>
      <c r="Q83" s="2">
        <v>2015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 spans="1:52" ht="12.3" hidden="1" x14ac:dyDescent="0.4">
      <c r="A84" s="2" t="s">
        <v>230</v>
      </c>
      <c r="B84" s="2"/>
      <c r="C84" s="2">
        <v>65.7316</v>
      </c>
      <c r="D84" s="2">
        <v>128</v>
      </c>
      <c r="E84" s="2">
        <v>65.895499999999998</v>
      </c>
      <c r="F84" s="2">
        <v>117</v>
      </c>
      <c r="G84" s="2">
        <v>99.882999999999996</v>
      </c>
      <c r="H84" s="2">
        <v>224</v>
      </c>
      <c r="I84" s="2">
        <v>102.2462</v>
      </c>
      <c r="J84" s="2">
        <v>167</v>
      </c>
      <c r="K84" s="2">
        <v>98.815600000000003</v>
      </c>
      <c r="L84" s="2">
        <v>102</v>
      </c>
      <c r="M84" s="2">
        <v>95.785899999999998</v>
      </c>
      <c r="N84" s="2">
        <v>52</v>
      </c>
      <c r="O84" s="2">
        <v>0.67930500000000005</v>
      </c>
      <c r="P84" s="2">
        <v>83</v>
      </c>
      <c r="Q84" s="2">
        <v>2015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 spans="1:52" ht="12.3" hidden="1" x14ac:dyDescent="0.4">
      <c r="A85" s="2" t="s">
        <v>235</v>
      </c>
      <c r="B85" s="2"/>
      <c r="C85" s="2">
        <v>64.681600000000003</v>
      </c>
      <c r="D85" s="2">
        <v>179</v>
      </c>
      <c r="E85" s="2">
        <v>63.947200000000002</v>
      </c>
      <c r="F85" s="2">
        <v>218</v>
      </c>
      <c r="G85" s="2">
        <v>115.64409999999999</v>
      </c>
      <c r="H85" s="2">
        <v>11</v>
      </c>
      <c r="I85" s="2">
        <v>112.292</v>
      </c>
      <c r="J85" s="2">
        <v>26</v>
      </c>
      <c r="K85" s="2">
        <v>104.133</v>
      </c>
      <c r="L85" s="2">
        <v>216</v>
      </c>
      <c r="M85" s="2">
        <v>105.2315</v>
      </c>
      <c r="N85" s="2">
        <v>227</v>
      </c>
      <c r="O85" s="2">
        <v>0.67848299999999995</v>
      </c>
      <c r="P85" s="2">
        <v>84</v>
      </c>
      <c r="Q85" s="2">
        <v>2015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 spans="1:52" ht="12.3" hidden="1" x14ac:dyDescent="0.4">
      <c r="A86" s="2" t="s">
        <v>71</v>
      </c>
      <c r="B86" s="2"/>
      <c r="C86" s="2">
        <v>65.653199999999998</v>
      </c>
      <c r="D86" s="2">
        <v>134</v>
      </c>
      <c r="E86" s="2">
        <v>66.528899999999993</v>
      </c>
      <c r="F86" s="2">
        <v>88</v>
      </c>
      <c r="G86" s="2">
        <v>101.75920000000001</v>
      </c>
      <c r="H86" s="2">
        <v>180</v>
      </c>
      <c r="I86" s="2">
        <v>103.45</v>
      </c>
      <c r="J86" s="2">
        <v>141</v>
      </c>
      <c r="K86" s="2">
        <v>95.546999999999997</v>
      </c>
      <c r="L86" s="2">
        <v>38</v>
      </c>
      <c r="M86" s="2">
        <v>97.085400000000007</v>
      </c>
      <c r="N86" s="2">
        <v>70</v>
      </c>
      <c r="O86" s="2">
        <v>0.67485300000000004</v>
      </c>
      <c r="P86" s="2">
        <v>85</v>
      </c>
      <c r="Q86" s="2">
        <v>2015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 spans="1:52" ht="12.3" hidden="1" x14ac:dyDescent="0.4">
      <c r="A87" s="2" t="s">
        <v>24</v>
      </c>
      <c r="B87" s="2"/>
      <c r="C87" s="2">
        <v>62.7791</v>
      </c>
      <c r="D87" s="2">
        <v>282</v>
      </c>
      <c r="E87" s="2">
        <v>62.314599999999999</v>
      </c>
      <c r="F87" s="2">
        <v>293</v>
      </c>
      <c r="G87" s="2">
        <v>99.069000000000003</v>
      </c>
      <c r="H87" s="2">
        <v>245</v>
      </c>
      <c r="I87" s="2">
        <v>101.4939</v>
      </c>
      <c r="J87" s="2">
        <v>181</v>
      </c>
      <c r="K87" s="2">
        <v>98.673500000000004</v>
      </c>
      <c r="L87" s="2">
        <v>99</v>
      </c>
      <c r="M87" s="2">
        <v>95.382199999999997</v>
      </c>
      <c r="N87" s="2">
        <v>46</v>
      </c>
      <c r="O87" s="2">
        <v>0.67133600000000004</v>
      </c>
      <c r="P87" s="2">
        <v>86</v>
      </c>
      <c r="Q87" s="2">
        <v>2015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 spans="1:52" ht="12.3" hidden="1" x14ac:dyDescent="0.4">
      <c r="A88" s="2" t="s">
        <v>186</v>
      </c>
      <c r="B88" s="2"/>
      <c r="C88" s="2">
        <v>67.232699999999994</v>
      </c>
      <c r="D88" s="2">
        <v>70</v>
      </c>
      <c r="E88" s="2">
        <v>67.290800000000004</v>
      </c>
      <c r="F88" s="2">
        <v>57</v>
      </c>
      <c r="G88" s="2">
        <v>111.14</v>
      </c>
      <c r="H88" s="2">
        <v>28</v>
      </c>
      <c r="I88" s="2">
        <v>111.1798</v>
      </c>
      <c r="J88" s="2">
        <v>34</v>
      </c>
      <c r="K88" s="2">
        <v>104.88930000000001</v>
      </c>
      <c r="L88" s="2">
        <v>234</v>
      </c>
      <c r="M88" s="2">
        <v>104.56610000000001</v>
      </c>
      <c r="N88" s="2">
        <v>213</v>
      </c>
      <c r="O88" s="2">
        <v>0.66936099999999998</v>
      </c>
      <c r="P88" s="2">
        <v>87</v>
      </c>
      <c r="Q88" s="2">
        <v>2015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 spans="1:52" ht="12.3" x14ac:dyDescent="0.4">
      <c r="A89" s="2" t="s">
        <v>118</v>
      </c>
      <c r="B89" s="2">
        <v>15</v>
      </c>
      <c r="C89" s="2">
        <v>62.7971</v>
      </c>
      <c r="D89" s="2">
        <v>281</v>
      </c>
      <c r="E89" s="2">
        <v>63.728200000000001</v>
      </c>
      <c r="F89" s="2">
        <v>233</v>
      </c>
      <c r="G89" s="2">
        <v>107.3347</v>
      </c>
      <c r="H89" s="2">
        <v>61</v>
      </c>
      <c r="I89" s="2">
        <v>104.06180000000001</v>
      </c>
      <c r="J89" s="2">
        <v>120</v>
      </c>
      <c r="K89" s="2">
        <v>94.170599999999993</v>
      </c>
      <c r="L89" s="2">
        <v>25</v>
      </c>
      <c r="M89" s="2">
        <v>97.947000000000003</v>
      </c>
      <c r="N89" s="2">
        <v>87</v>
      </c>
      <c r="O89" s="2">
        <v>0.66739300000000001</v>
      </c>
      <c r="P89" s="2">
        <v>88</v>
      </c>
      <c r="Q89" s="10">
        <v>6.1148000000000025</v>
      </c>
      <c r="R89" s="2"/>
      <c r="S89" s="2"/>
      <c r="T89" s="2"/>
      <c r="U89" s="2"/>
      <c r="V89" s="10"/>
      <c r="W89" s="2"/>
      <c r="X89" s="2"/>
      <c r="Y89" s="2"/>
      <c r="Z89" s="10"/>
      <c r="AA89" s="2"/>
      <c r="AB89" s="10"/>
      <c r="AC89" s="2"/>
      <c r="AD89" s="10"/>
      <c r="AE89" s="2"/>
      <c r="AF89" s="10"/>
      <c r="AG89" s="2"/>
      <c r="AH89" s="30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 spans="1:52" ht="12.3" hidden="1" x14ac:dyDescent="0.4">
      <c r="A90" s="2" t="s">
        <v>81</v>
      </c>
      <c r="B90" s="2"/>
      <c r="C90" s="2">
        <v>61.183199999999999</v>
      </c>
      <c r="D90" s="2">
        <v>323</v>
      </c>
      <c r="E90" s="2">
        <v>60.581400000000002</v>
      </c>
      <c r="F90" s="2">
        <v>335</v>
      </c>
      <c r="G90" s="2">
        <v>103.0849</v>
      </c>
      <c r="H90" s="2">
        <v>150</v>
      </c>
      <c r="I90" s="2">
        <v>107.4029</v>
      </c>
      <c r="J90" s="2">
        <v>68</v>
      </c>
      <c r="K90" s="2">
        <v>104.5068</v>
      </c>
      <c r="L90" s="2">
        <v>225</v>
      </c>
      <c r="M90" s="2">
        <v>101.12439999999999</v>
      </c>
      <c r="N90" s="2">
        <v>142</v>
      </c>
      <c r="O90" s="2">
        <v>0.66657</v>
      </c>
      <c r="P90" s="2">
        <v>89</v>
      </c>
      <c r="Q90" s="2">
        <v>2015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 spans="1:52" ht="12.3" x14ac:dyDescent="0.4">
      <c r="A91" s="2" t="s">
        <v>279</v>
      </c>
      <c r="B91" s="2">
        <v>12</v>
      </c>
      <c r="C91" s="2">
        <v>62.146500000000003</v>
      </c>
      <c r="D91" s="2">
        <v>300</v>
      </c>
      <c r="E91" s="2">
        <v>61.510899999999999</v>
      </c>
      <c r="F91" s="2">
        <v>316</v>
      </c>
      <c r="G91" s="2">
        <v>106.367</v>
      </c>
      <c r="H91" s="2">
        <v>79</v>
      </c>
      <c r="I91" s="2">
        <v>103.3306</v>
      </c>
      <c r="J91" s="2">
        <v>143</v>
      </c>
      <c r="K91" s="2">
        <v>96.729200000000006</v>
      </c>
      <c r="L91" s="2">
        <v>64</v>
      </c>
      <c r="M91" s="2">
        <v>97.473799999999997</v>
      </c>
      <c r="N91" s="2">
        <v>78</v>
      </c>
      <c r="O91" s="2">
        <v>0.66173300000000002</v>
      </c>
      <c r="P91" s="2">
        <v>90</v>
      </c>
      <c r="Q91" s="10">
        <v>5.8568000000000069</v>
      </c>
      <c r="R91" s="2"/>
      <c r="S91" s="2"/>
      <c r="T91" s="2"/>
      <c r="U91" s="2"/>
      <c r="V91" s="10"/>
      <c r="W91" s="2"/>
      <c r="X91" s="2"/>
      <c r="Y91" s="2"/>
      <c r="Z91" s="10"/>
      <c r="AA91" s="2"/>
      <c r="AB91" s="10"/>
      <c r="AC91" s="2"/>
      <c r="AD91" s="10"/>
      <c r="AE91" s="2"/>
      <c r="AF91" s="10"/>
      <c r="AG91" s="2"/>
      <c r="AH91" s="30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 spans="1:52" ht="12.3" hidden="1" x14ac:dyDescent="0.4">
      <c r="A92" s="2" t="s">
        <v>92</v>
      </c>
      <c r="B92" s="2"/>
      <c r="C92" s="2">
        <v>63.984299999999998</v>
      </c>
      <c r="D92" s="2">
        <v>227</v>
      </c>
      <c r="E92" s="2">
        <v>63.929699999999997</v>
      </c>
      <c r="F92" s="2">
        <v>220</v>
      </c>
      <c r="G92" s="2">
        <v>97.111999999999995</v>
      </c>
      <c r="H92" s="2">
        <v>272</v>
      </c>
      <c r="I92" s="2">
        <v>100.1186</v>
      </c>
      <c r="J92" s="2">
        <v>224</v>
      </c>
      <c r="K92" s="2">
        <v>99.2363</v>
      </c>
      <c r="L92" s="2">
        <v>110</v>
      </c>
      <c r="M92" s="2">
        <v>94.491200000000006</v>
      </c>
      <c r="N92" s="2">
        <v>32</v>
      </c>
      <c r="O92" s="2">
        <v>0.660443</v>
      </c>
      <c r="P92" s="2">
        <v>91</v>
      </c>
      <c r="Q92" s="2">
        <v>2015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 spans="1:52" ht="12.3" hidden="1" x14ac:dyDescent="0.4">
      <c r="A93" s="2" t="s">
        <v>256</v>
      </c>
      <c r="B93" s="2"/>
      <c r="C93" s="2">
        <v>64.599699999999999</v>
      </c>
      <c r="D93" s="2">
        <v>185</v>
      </c>
      <c r="E93" s="2">
        <v>63.785299999999999</v>
      </c>
      <c r="F93" s="2">
        <v>227</v>
      </c>
      <c r="G93" s="2">
        <v>103.9374</v>
      </c>
      <c r="H93" s="2">
        <v>128</v>
      </c>
      <c r="I93" s="2">
        <v>102.7533</v>
      </c>
      <c r="J93" s="2">
        <v>157</v>
      </c>
      <c r="K93" s="2">
        <v>97.551299999999998</v>
      </c>
      <c r="L93" s="2">
        <v>77</v>
      </c>
      <c r="M93" s="2">
        <v>96.980999999999995</v>
      </c>
      <c r="N93" s="2">
        <v>68</v>
      </c>
      <c r="O93" s="2">
        <v>0.66035500000000003</v>
      </c>
      <c r="P93" s="2">
        <v>92</v>
      </c>
      <c r="Q93" s="2">
        <v>2015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 spans="1:52" ht="12.3" hidden="1" x14ac:dyDescent="0.4">
      <c r="A94" s="2" t="s">
        <v>357</v>
      </c>
      <c r="B94" s="2"/>
      <c r="C94" s="2">
        <v>63.015999999999998</v>
      </c>
      <c r="D94" s="2">
        <v>271</v>
      </c>
      <c r="E94" s="2">
        <v>63.228999999999999</v>
      </c>
      <c r="F94" s="2">
        <v>261</v>
      </c>
      <c r="G94" s="2">
        <v>111.75620000000001</v>
      </c>
      <c r="H94" s="2">
        <v>25</v>
      </c>
      <c r="I94" s="2">
        <v>110.2679</v>
      </c>
      <c r="J94" s="2">
        <v>43</v>
      </c>
      <c r="K94" s="2">
        <v>102.97929999999999</v>
      </c>
      <c r="L94" s="2">
        <v>188</v>
      </c>
      <c r="M94" s="2">
        <v>104.14490000000001</v>
      </c>
      <c r="N94" s="2">
        <v>205</v>
      </c>
      <c r="O94" s="2">
        <v>0.65858399999999995</v>
      </c>
      <c r="P94" s="2">
        <v>93</v>
      </c>
      <c r="Q94" s="2">
        <v>2015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 spans="1:52" ht="12.3" x14ac:dyDescent="0.4">
      <c r="A95" s="2" t="s">
        <v>110</v>
      </c>
      <c r="B95" s="2">
        <v>13</v>
      </c>
      <c r="C95" s="2">
        <v>64.040499999999994</v>
      </c>
      <c r="D95" s="2">
        <v>221</v>
      </c>
      <c r="E95" s="2">
        <v>63.725900000000003</v>
      </c>
      <c r="F95" s="2">
        <v>234</v>
      </c>
      <c r="G95" s="2">
        <v>103.69370000000001</v>
      </c>
      <c r="H95" s="2">
        <v>133</v>
      </c>
      <c r="I95" s="2">
        <v>103.9436</v>
      </c>
      <c r="J95" s="2">
        <v>123</v>
      </c>
      <c r="K95" s="2">
        <v>98.204400000000007</v>
      </c>
      <c r="L95" s="2">
        <v>90</v>
      </c>
      <c r="M95" s="2">
        <v>98.272199999999998</v>
      </c>
      <c r="N95" s="2">
        <v>92</v>
      </c>
      <c r="O95" s="2">
        <v>0.65593599999999996</v>
      </c>
      <c r="P95" s="2">
        <v>94</v>
      </c>
      <c r="Q95" s="10">
        <v>5.6714000000000055</v>
      </c>
      <c r="R95" s="2"/>
      <c r="S95" s="2"/>
      <c r="T95" s="2"/>
      <c r="U95" s="2"/>
      <c r="V95" s="10"/>
      <c r="W95" s="2"/>
      <c r="X95" s="2"/>
      <c r="Y95" s="2"/>
      <c r="Z95" s="10"/>
      <c r="AA95" s="2"/>
      <c r="AB95" s="10"/>
      <c r="AC95" s="2"/>
      <c r="AD95" s="10"/>
      <c r="AE95" s="2"/>
      <c r="AF95" s="10"/>
      <c r="AG95" s="2"/>
      <c r="AH95" s="30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 spans="1:52" ht="12.3" hidden="1" x14ac:dyDescent="0.4">
      <c r="A96" s="2" t="s">
        <v>129</v>
      </c>
      <c r="B96" s="2"/>
      <c r="C96" s="2">
        <v>65.445400000000006</v>
      </c>
      <c r="D96" s="2">
        <v>144</v>
      </c>
      <c r="E96" s="2">
        <v>65.502499999999998</v>
      </c>
      <c r="F96" s="2">
        <v>135</v>
      </c>
      <c r="G96" s="2">
        <v>102.45780000000001</v>
      </c>
      <c r="H96" s="2">
        <v>168</v>
      </c>
      <c r="I96" s="2">
        <v>104.7274</v>
      </c>
      <c r="J96" s="2">
        <v>113</v>
      </c>
      <c r="K96" s="2">
        <v>101.7471</v>
      </c>
      <c r="L96" s="2">
        <v>165</v>
      </c>
      <c r="M96" s="2">
        <v>99.024199999999993</v>
      </c>
      <c r="N96" s="2">
        <v>101</v>
      </c>
      <c r="O96" s="2">
        <v>0.65564800000000001</v>
      </c>
      <c r="P96" s="2">
        <v>95</v>
      </c>
      <c r="Q96" s="2">
        <v>2015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 spans="1:52" ht="12.3" hidden="1" x14ac:dyDescent="0.4">
      <c r="A97" s="2" t="s">
        <v>89</v>
      </c>
      <c r="B97" s="2"/>
      <c r="C97" s="2">
        <v>63.6008</v>
      </c>
      <c r="D97" s="2">
        <v>247</v>
      </c>
      <c r="E97" s="2">
        <v>63.778100000000002</v>
      </c>
      <c r="F97" s="2">
        <v>228</v>
      </c>
      <c r="G97" s="2">
        <v>104.8595</v>
      </c>
      <c r="H97" s="2">
        <v>106</v>
      </c>
      <c r="I97" s="2">
        <v>104.6544</v>
      </c>
      <c r="J97" s="2">
        <v>115</v>
      </c>
      <c r="K97" s="2">
        <v>96.375200000000007</v>
      </c>
      <c r="L97" s="2">
        <v>54</v>
      </c>
      <c r="M97" s="2">
        <v>99.078599999999994</v>
      </c>
      <c r="N97" s="2">
        <v>102</v>
      </c>
      <c r="O97" s="2">
        <v>0.65240600000000004</v>
      </c>
      <c r="P97" s="2">
        <v>96</v>
      </c>
      <c r="Q97" s="2">
        <v>2015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 spans="1:52" ht="12.3" hidden="1" x14ac:dyDescent="0.4">
      <c r="A98" s="2" t="s">
        <v>219</v>
      </c>
      <c r="B98" s="2"/>
      <c r="C98" s="2">
        <v>65.251999999999995</v>
      </c>
      <c r="D98" s="2">
        <v>151</v>
      </c>
      <c r="E98" s="2">
        <v>64.749600000000001</v>
      </c>
      <c r="F98" s="2">
        <v>166</v>
      </c>
      <c r="G98" s="2">
        <v>105.8853</v>
      </c>
      <c r="H98" s="2">
        <v>90</v>
      </c>
      <c r="I98" s="2">
        <v>104.0536</v>
      </c>
      <c r="J98" s="2">
        <v>121</v>
      </c>
      <c r="K98" s="2">
        <v>96.365600000000001</v>
      </c>
      <c r="L98" s="2">
        <v>53</v>
      </c>
      <c r="M98" s="2">
        <v>98.545599999999993</v>
      </c>
      <c r="N98" s="2">
        <v>95</v>
      </c>
      <c r="O98" s="2">
        <v>0.65145799999999998</v>
      </c>
      <c r="P98" s="2">
        <v>97</v>
      </c>
      <c r="Q98" s="2">
        <v>2015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 spans="1:52" ht="12.3" hidden="1" x14ac:dyDescent="0.4">
      <c r="A99" s="2" t="s">
        <v>133</v>
      </c>
      <c r="B99" s="2"/>
      <c r="C99" s="2">
        <v>63.338299999999997</v>
      </c>
      <c r="D99" s="2">
        <v>254</v>
      </c>
      <c r="E99" s="2">
        <v>63.065199999999997</v>
      </c>
      <c r="F99" s="2">
        <v>267</v>
      </c>
      <c r="G99" s="2">
        <v>100.96040000000001</v>
      </c>
      <c r="H99" s="2">
        <v>197</v>
      </c>
      <c r="I99" s="2">
        <v>101.4466</v>
      </c>
      <c r="J99" s="2">
        <v>183</v>
      </c>
      <c r="K99" s="2">
        <v>98.790300000000002</v>
      </c>
      <c r="L99" s="2">
        <v>100</v>
      </c>
      <c r="M99" s="2">
        <v>96.123900000000006</v>
      </c>
      <c r="N99" s="2">
        <v>56</v>
      </c>
      <c r="O99" s="2">
        <v>0.650169</v>
      </c>
      <c r="P99" s="2">
        <v>98</v>
      </c>
      <c r="Q99" s="2">
        <v>2015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 spans="1:52" ht="12.3" hidden="1" x14ac:dyDescent="0.4">
      <c r="A100" s="2" t="s">
        <v>222</v>
      </c>
      <c r="B100" s="2"/>
      <c r="C100" s="2">
        <v>61.686500000000002</v>
      </c>
      <c r="D100" s="2">
        <v>313</v>
      </c>
      <c r="E100" s="2">
        <v>60.901000000000003</v>
      </c>
      <c r="F100" s="2">
        <v>330</v>
      </c>
      <c r="G100" s="2">
        <v>104.7013</v>
      </c>
      <c r="H100" s="2">
        <v>112</v>
      </c>
      <c r="I100" s="2">
        <v>105.2698</v>
      </c>
      <c r="J100" s="2">
        <v>104</v>
      </c>
      <c r="K100" s="2">
        <v>99.659099999999995</v>
      </c>
      <c r="L100" s="2">
        <v>117</v>
      </c>
      <c r="M100" s="2">
        <v>99.789900000000003</v>
      </c>
      <c r="N100" s="2">
        <v>115</v>
      </c>
      <c r="O100" s="2">
        <v>0.64903200000000005</v>
      </c>
      <c r="P100" s="2">
        <v>99</v>
      </c>
      <c r="Q100" s="2">
        <v>2015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ht="12.3" hidden="1" x14ac:dyDescent="0.4">
      <c r="A101" s="2" t="s">
        <v>109</v>
      </c>
      <c r="B101" s="2"/>
      <c r="C101" s="2">
        <v>64.580399999999997</v>
      </c>
      <c r="D101" s="2">
        <v>189</v>
      </c>
      <c r="E101" s="2">
        <v>65.459900000000005</v>
      </c>
      <c r="F101" s="2">
        <v>137</v>
      </c>
      <c r="G101" s="2">
        <v>102.48439999999999</v>
      </c>
      <c r="H101" s="2">
        <v>167</v>
      </c>
      <c r="I101" s="2">
        <v>106.4499</v>
      </c>
      <c r="J101" s="2">
        <v>79</v>
      </c>
      <c r="K101" s="2">
        <v>99.265199999999993</v>
      </c>
      <c r="L101" s="2">
        <v>111</v>
      </c>
      <c r="M101" s="2">
        <v>100.9712</v>
      </c>
      <c r="N101" s="2">
        <v>138</v>
      </c>
      <c r="O101" s="2">
        <v>0.64740500000000001</v>
      </c>
      <c r="P101" s="2">
        <v>100</v>
      </c>
      <c r="Q101" s="2">
        <v>2015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ht="12.3" hidden="1" x14ac:dyDescent="0.4">
      <c r="A102" s="2" t="s">
        <v>169</v>
      </c>
      <c r="B102" s="2"/>
      <c r="C102" s="2">
        <v>64.371499999999997</v>
      </c>
      <c r="D102" s="2">
        <v>197</v>
      </c>
      <c r="E102" s="2">
        <v>64.616900000000001</v>
      </c>
      <c r="F102" s="2">
        <v>177</v>
      </c>
      <c r="G102" s="2">
        <v>96.755600000000001</v>
      </c>
      <c r="H102" s="2">
        <v>275</v>
      </c>
      <c r="I102" s="2">
        <v>98.294300000000007</v>
      </c>
      <c r="J102" s="2">
        <v>250</v>
      </c>
      <c r="K102" s="2">
        <v>95.564899999999994</v>
      </c>
      <c r="L102" s="2">
        <v>39</v>
      </c>
      <c r="M102" s="2">
        <v>93.450599999999994</v>
      </c>
      <c r="N102" s="2">
        <v>21</v>
      </c>
      <c r="O102" s="2">
        <v>0.64132800000000001</v>
      </c>
      <c r="P102" s="2">
        <v>101</v>
      </c>
      <c r="Q102" s="2">
        <v>2015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ht="12.3" x14ac:dyDescent="0.4">
      <c r="A103" s="2" t="s">
        <v>93</v>
      </c>
      <c r="B103" s="2">
        <v>12</v>
      </c>
      <c r="C103" s="2">
        <v>58.364800000000002</v>
      </c>
      <c r="D103" s="2">
        <v>348</v>
      </c>
      <c r="E103" s="2">
        <v>59.237099999999998</v>
      </c>
      <c r="F103" s="2">
        <v>344</v>
      </c>
      <c r="G103" s="2">
        <v>103.1922</v>
      </c>
      <c r="H103" s="2">
        <v>147</v>
      </c>
      <c r="I103" s="2">
        <v>101.8455</v>
      </c>
      <c r="J103" s="2">
        <v>175</v>
      </c>
      <c r="K103" s="2">
        <v>95.343900000000005</v>
      </c>
      <c r="L103" s="2">
        <v>37</v>
      </c>
      <c r="M103" s="2">
        <v>96.974800000000002</v>
      </c>
      <c r="N103" s="2">
        <v>67</v>
      </c>
      <c r="O103" s="2">
        <v>0.63727699999999998</v>
      </c>
      <c r="P103" s="2">
        <v>102</v>
      </c>
      <c r="Q103" s="10">
        <v>4.8706999999999994</v>
      </c>
      <c r="R103" s="2"/>
      <c r="S103" s="2"/>
      <c r="T103" s="2"/>
      <c r="U103" s="2"/>
      <c r="V103" s="10"/>
      <c r="W103" s="2"/>
      <c r="X103" s="2"/>
      <c r="Y103" s="2"/>
      <c r="Z103" s="10"/>
      <c r="AA103" s="2"/>
      <c r="AB103" s="10"/>
      <c r="AC103" s="2"/>
      <c r="AD103" s="10"/>
      <c r="AE103" s="2"/>
      <c r="AF103" s="10"/>
      <c r="AG103" s="2"/>
      <c r="AH103" s="30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ht="12.3" hidden="1" x14ac:dyDescent="0.4">
      <c r="A104" s="2" t="s">
        <v>20</v>
      </c>
      <c r="B104" s="2"/>
      <c r="C104" s="2">
        <v>65.778000000000006</v>
      </c>
      <c r="D104" s="2">
        <v>125</v>
      </c>
      <c r="E104" s="2">
        <v>66.360600000000005</v>
      </c>
      <c r="F104" s="2">
        <v>95</v>
      </c>
      <c r="G104" s="2">
        <v>100.288</v>
      </c>
      <c r="H104" s="2">
        <v>209</v>
      </c>
      <c r="I104" s="2">
        <v>102.3403</v>
      </c>
      <c r="J104" s="2">
        <v>163</v>
      </c>
      <c r="K104" s="2">
        <v>101.2564</v>
      </c>
      <c r="L104" s="2">
        <v>155</v>
      </c>
      <c r="M104" s="2">
        <v>97.564099999999996</v>
      </c>
      <c r="N104" s="2">
        <v>79</v>
      </c>
      <c r="O104" s="2">
        <v>0.63405199999999995</v>
      </c>
      <c r="P104" s="2">
        <v>103</v>
      </c>
      <c r="Q104" s="2">
        <v>2015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ht="12.3" hidden="1" x14ac:dyDescent="0.4">
      <c r="A105" s="2" t="s">
        <v>119</v>
      </c>
      <c r="B105" s="2"/>
      <c r="C105" s="2">
        <v>66.049899999999994</v>
      </c>
      <c r="D105" s="2">
        <v>117</v>
      </c>
      <c r="E105" s="2">
        <v>66.203599999999994</v>
      </c>
      <c r="F105" s="2">
        <v>104</v>
      </c>
      <c r="G105" s="2">
        <v>102.68680000000001</v>
      </c>
      <c r="H105" s="2">
        <v>163</v>
      </c>
      <c r="I105" s="2">
        <v>106.0894</v>
      </c>
      <c r="J105" s="2">
        <v>87</v>
      </c>
      <c r="K105" s="2">
        <v>102.4281</v>
      </c>
      <c r="L105" s="2">
        <v>180</v>
      </c>
      <c r="M105" s="2">
        <v>101.1507</v>
      </c>
      <c r="N105" s="2">
        <v>143</v>
      </c>
      <c r="O105" s="2">
        <v>0.63372200000000001</v>
      </c>
      <c r="P105" s="2">
        <v>104</v>
      </c>
      <c r="Q105" s="2">
        <v>2015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ht="12.3" hidden="1" x14ac:dyDescent="0.4">
      <c r="A106" s="2" t="s">
        <v>362</v>
      </c>
      <c r="B106" s="2"/>
      <c r="C106" s="2">
        <v>66.071299999999994</v>
      </c>
      <c r="D106" s="2">
        <v>113</v>
      </c>
      <c r="E106" s="2">
        <v>66.115399999999994</v>
      </c>
      <c r="F106" s="2">
        <v>108</v>
      </c>
      <c r="G106" s="2">
        <v>108.4213</v>
      </c>
      <c r="H106" s="2">
        <v>52</v>
      </c>
      <c r="I106" s="2">
        <v>104.9011</v>
      </c>
      <c r="J106" s="2">
        <v>111</v>
      </c>
      <c r="K106" s="2">
        <v>97.365399999999994</v>
      </c>
      <c r="L106" s="2">
        <v>75</v>
      </c>
      <c r="M106" s="2">
        <v>100.0656</v>
      </c>
      <c r="N106" s="2">
        <v>123</v>
      </c>
      <c r="O106" s="2">
        <v>0.63244299999999998</v>
      </c>
      <c r="P106" s="2">
        <v>105</v>
      </c>
      <c r="Q106" s="2">
        <v>2015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ht="12.3" hidden="1" x14ac:dyDescent="0.4">
      <c r="A107" s="2" t="s">
        <v>79</v>
      </c>
      <c r="B107" s="2"/>
      <c r="C107" s="2">
        <v>63.7029</v>
      </c>
      <c r="D107" s="2">
        <v>243</v>
      </c>
      <c r="E107" s="2">
        <v>63.631599999999999</v>
      </c>
      <c r="F107" s="2">
        <v>243</v>
      </c>
      <c r="G107" s="2">
        <v>99.200999999999993</v>
      </c>
      <c r="H107" s="2">
        <v>238</v>
      </c>
      <c r="I107" s="2">
        <v>99.101100000000002</v>
      </c>
      <c r="J107" s="2">
        <v>235</v>
      </c>
      <c r="K107" s="2">
        <v>96.769400000000005</v>
      </c>
      <c r="L107" s="2">
        <v>66</v>
      </c>
      <c r="M107" s="2">
        <v>94.591499999999996</v>
      </c>
      <c r="N107" s="2">
        <v>35</v>
      </c>
      <c r="O107" s="2">
        <v>0.63078500000000004</v>
      </c>
      <c r="P107" s="2">
        <v>106</v>
      </c>
      <c r="Q107" s="2">
        <v>2015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ht="12.3" hidden="1" x14ac:dyDescent="0.4">
      <c r="A108" s="2" t="s">
        <v>106</v>
      </c>
      <c r="B108" s="2"/>
      <c r="C108" s="2">
        <v>65.071600000000004</v>
      </c>
      <c r="D108" s="2">
        <v>157</v>
      </c>
      <c r="E108" s="2">
        <v>64.733500000000006</v>
      </c>
      <c r="F108" s="2">
        <v>169</v>
      </c>
      <c r="G108" s="2">
        <v>102.1118</v>
      </c>
      <c r="H108" s="2">
        <v>176</v>
      </c>
      <c r="I108" s="2">
        <v>102.7805</v>
      </c>
      <c r="J108" s="2">
        <v>154</v>
      </c>
      <c r="K108" s="2">
        <v>98.661799999999999</v>
      </c>
      <c r="L108" s="2">
        <v>98</v>
      </c>
      <c r="M108" s="2">
        <v>98.234800000000007</v>
      </c>
      <c r="N108" s="2">
        <v>91</v>
      </c>
      <c r="O108" s="2">
        <v>0.62719499999999995</v>
      </c>
      <c r="P108" s="2">
        <v>107</v>
      </c>
      <c r="Q108" s="2">
        <v>2015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ht="12.3" hidden="1" x14ac:dyDescent="0.4">
      <c r="A109" s="2" t="s">
        <v>241</v>
      </c>
      <c r="B109" s="2"/>
      <c r="C109" s="2">
        <v>70.379000000000005</v>
      </c>
      <c r="D109" s="2">
        <v>8</v>
      </c>
      <c r="E109" s="2">
        <v>69.531899999999993</v>
      </c>
      <c r="F109" s="2">
        <v>17</v>
      </c>
      <c r="G109" s="2">
        <v>112.8446</v>
      </c>
      <c r="H109" s="2">
        <v>19</v>
      </c>
      <c r="I109" s="2">
        <v>110.3827</v>
      </c>
      <c r="J109" s="2">
        <v>39</v>
      </c>
      <c r="K109" s="2">
        <v>103.2941</v>
      </c>
      <c r="L109" s="2">
        <v>195</v>
      </c>
      <c r="M109" s="2">
        <v>105.50620000000001</v>
      </c>
      <c r="N109" s="2">
        <v>233</v>
      </c>
      <c r="O109" s="2">
        <v>0.62705599999999995</v>
      </c>
      <c r="P109" s="2">
        <v>108</v>
      </c>
      <c r="Q109" s="2">
        <v>2015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ht="12.3" hidden="1" x14ac:dyDescent="0.4">
      <c r="A110" s="2" t="s">
        <v>371</v>
      </c>
      <c r="B110" s="2"/>
      <c r="C110" s="2">
        <v>60.780500000000004</v>
      </c>
      <c r="D110" s="2">
        <v>332</v>
      </c>
      <c r="E110" s="2">
        <v>59.947200000000002</v>
      </c>
      <c r="F110" s="2">
        <v>342</v>
      </c>
      <c r="G110" s="2">
        <v>106.1863</v>
      </c>
      <c r="H110" s="2">
        <v>84</v>
      </c>
      <c r="I110" s="2">
        <v>100.8309</v>
      </c>
      <c r="J110" s="2">
        <v>198</v>
      </c>
      <c r="K110" s="2">
        <v>89.814300000000003</v>
      </c>
      <c r="L110" s="2">
        <v>5</v>
      </c>
      <c r="M110" s="2">
        <v>96.398700000000005</v>
      </c>
      <c r="N110" s="2">
        <v>61</v>
      </c>
      <c r="O110" s="2">
        <v>0.62643499999999996</v>
      </c>
      <c r="P110" s="2">
        <v>109</v>
      </c>
      <c r="Q110" s="2">
        <v>2015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ht="12.3" hidden="1" x14ac:dyDescent="0.4">
      <c r="A111" s="2" t="s">
        <v>104</v>
      </c>
      <c r="B111" s="2"/>
      <c r="C111" s="2">
        <v>62.243099999999998</v>
      </c>
      <c r="D111" s="2">
        <v>297</v>
      </c>
      <c r="E111" s="2">
        <v>62.564100000000003</v>
      </c>
      <c r="F111" s="2">
        <v>279</v>
      </c>
      <c r="G111" s="2">
        <v>105.53440000000001</v>
      </c>
      <c r="H111" s="2">
        <v>94</v>
      </c>
      <c r="I111" s="2">
        <v>106.4174</v>
      </c>
      <c r="J111" s="2">
        <v>80</v>
      </c>
      <c r="K111" s="2">
        <v>100.70569999999999</v>
      </c>
      <c r="L111" s="2">
        <v>141</v>
      </c>
      <c r="M111" s="2">
        <v>101.7565</v>
      </c>
      <c r="N111" s="2">
        <v>156</v>
      </c>
      <c r="O111" s="2">
        <v>0.62598900000000002</v>
      </c>
      <c r="P111" s="2">
        <v>110</v>
      </c>
      <c r="Q111" s="2">
        <v>2015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ht="12.3" hidden="1" x14ac:dyDescent="0.4">
      <c r="A112" s="2" t="s">
        <v>39</v>
      </c>
      <c r="B112" s="2"/>
      <c r="C112" s="2">
        <v>64.630099999999999</v>
      </c>
      <c r="D112" s="2">
        <v>183</v>
      </c>
      <c r="E112" s="2">
        <v>64.182599999999994</v>
      </c>
      <c r="F112" s="2">
        <v>200</v>
      </c>
      <c r="G112" s="2">
        <v>99.631200000000007</v>
      </c>
      <c r="H112" s="2">
        <v>228</v>
      </c>
      <c r="I112" s="2">
        <v>101.661</v>
      </c>
      <c r="J112" s="2">
        <v>178</v>
      </c>
      <c r="K112" s="2">
        <v>102.60939999999999</v>
      </c>
      <c r="L112" s="2">
        <v>184</v>
      </c>
      <c r="M112" s="2">
        <v>97.408000000000001</v>
      </c>
      <c r="N112" s="2">
        <v>77</v>
      </c>
      <c r="O112" s="2">
        <v>0.62044900000000003</v>
      </c>
      <c r="P112" s="2">
        <v>111</v>
      </c>
      <c r="Q112" s="2">
        <v>2015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ht="12.3" hidden="1" x14ac:dyDescent="0.4">
      <c r="A113" s="2" t="s">
        <v>95</v>
      </c>
      <c r="B113" s="2"/>
      <c r="C113" s="2">
        <v>63.8643</v>
      </c>
      <c r="D113" s="2">
        <v>234</v>
      </c>
      <c r="E113" s="2">
        <v>63.660600000000002</v>
      </c>
      <c r="F113" s="2">
        <v>240</v>
      </c>
      <c r="G113" s="2">
        <v>101.4389</v>
      </c>
      <c r="H113" s="2">
        <v>185</v>
      </c>
      <c r="I113" s="2">
        <v>105.6427</v>
      </c>
      <c r="J113" s="2">
        <v>99</v>
      </c>
      <c r="K113" s="2">
        <v>104.236</v>
      </c>
      <c r="L113" s="2">
        <v>218</v>
      </c>
      <c r="M113" s="2">
        <v>101.35599999999999</v>
      </c>
      <c r="N113" s="2">
        <v>146</v>
      </c>
      <c r="O113" s="2">
        <v>0.616892</v>
      </c>
      <c r="P113" s="2">
        <v>112</v>
      </c>
      <c r="Q113" s="2">
        <v>2015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ht="12.3" hidden="1" x14ac:dyDescent="0.4">
      <c r="A114" s="2" t="s">
        <v>53</v>
      </c>
      <c r="B114" s="2"/>
      <c r="C114" s="2">
        <v>62.073900000000002</v>
      </c>
      <c r="D114" s="2">
        <v>303</v>
      </c>
      <c r="E114" s="2">
        <v>61.810600000000001</v>
      </c>
      <c r="F114" s="2">
        <v>309</v>
      </c>
      <c r="G114" s="2">
        <v>104.785</v>
      </c>
      <c r="H114" s="2">
        <v>109</v>
      </c>
      <c r="I114" s="2">
        <v>105.1349</v>
      </c>
      <c r="J114" s="2">
        <v>107</v>
      </c>
      <c r="K114" s="2">
        <v>100.3544</v>
      </c>
      <c r="L114" s="2">
        <v>131</v>
      </c>
      <c r="M114" s="2">
        <v>100.9268</v>
      </c>
      <c r="N114" s="2">
        <v>137</v>
      </c>
      <c r="O114" s="2">
        <v>0.61532799999999999</v>
      </c>
      <c r="P114" s="2">
        <v>113</v>
      </c>
      <c r="Q114" s="2">
        <v>2015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ht="12.3" hidden="1" x14ac:dyDescent="0.4">
      <c r="A115" s="2" t="s">
        <v>324</v>
      </c>
      <c r="B115" s="2"/>
      <c r="C115" s="2">
        <v>64.878200000000007</v>
      </c>
      <c r="D115" s="2">
        <v>168</v>
      </c>
      <c r="E115" s="2">
        <v>63.600999999999999</v>
      </c>
      <c r="F115" s="2">
        <v>246</v>
      </c>
      <c r="G115" s="2">
        <v>105.4774</v>
      </c>
      <c r="H115" s="2">
        <v>96</v>
      </c>
      <c r="I115" s="2">
        <v>104.105</v>
      </c>
      <c r="J115" s="2">
        <v>119</v>
      </c>
      <c r="K115" s="2">
        <v>98.251800000000003</v>
      </c>
      <c r="L115" s="2">
        <v>91</v>
      </c>
      <c r="M115" s="2">
        <v>99.986400000000003</v>
      </c>
      <c r="N115" s="2">
        <v>122</v>
      </c>
      <c r="O115" s="2">
        <v>0.614012</v>
      </c>
      <c r="P115" s="2">
        <v>114</v>
      </c>
      <c r="Q115" s="2">
        <v>2015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ht="12.3" hidden="1" x14ac:dyDescent="0.4">
      <c r="A116" s="2" t="s">
        <v>220</v>
      </c>
      <c r="B116" s="2"/>
      <c r="C116" s="2">
        <v>63.403500000000001</v>
      </c>
      <c r="D116" s="2">
        <v>253</v>
      </c>
      <c r="E116" s="2">
        <v>63.957900000000002</v>
      </c>
      <c r="F116" s="2">
        <v>216</v>
      </c>
      <c r="G116" s="2">
        <v>102.73099999999999</v>
      </c>
      <c r="H116" s="2">
        <v>160</v>
      </c>
      <c r="I116" s="2">
        <v>100.71939999999999</v>
      </c>
      <c r="J116" s="2">
        <v>203</v>
      </c>
      <c r="K116" s="2">
        <v>91.297200000000004</v>
      </c>
      <c r="L116" s="2">
        <v>11</v>
      </c>
      <c r="M116" s="2">
        <v>96.810400000000001</v>
      </c>
      <c r="N116" s="2">
        <v>65</v>
      </c>
      <c r="O116" s="2">
        <v>0.61187800000000003</v>
      </c>
      <c r="P116" s="2">
        <v>115</v>
      </c>
      <c r="Q116" s="2">
        <v>2015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ht="12.3" hidden="1" x14ac:dyDescent="0.4">
      <c r="A117" s="2" t="s">
        <v>57</v>
      </c>
      <c r="B117" s="2"/>
      <c r="C117" s="2">
        <v>66.319599999999994</v>
      </c>
      <c r="D117" s="2">
        <v>103</v>
      </c>
      <c r="E117" s="2">
        <v>66.155799999999999</v>
      </c>
      <c r="F117" s="2">
        <v>106</v>
      </c>
      <c r="G117" s="2">
        <v>99.580600000000004</v>
      </c>
      <c r="H117" s="2">
        <v>232</v>
      </c>
      <c r="I117" s="2">
        <v>101.51479999999999</v>
      </c>
      <c r="J117" s="2">
        <v>180</v>
      </c>
      <c r="K117" s="2">
        <v>100.61579999999999</v>
      </c>
      <c r="L117" s="2">
        <v>139</v>
      </c>
      <c r="M117" s="2">
        <v>97.740399999999994</v>
      </c>
      <c r="N117" s="2">
        <v>83</v>
      </c>
      <c r="O117" s="2">
        <v>0.60724100000000003</v>
      </c>
      <c r="P117" s="2">
        <v>116</v>
      </c>
      <c r="Q117" s="2">
        <v>2015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ht="12.3" hidden="1" x14ac:dyDescent="0.4">
      <c r="A118" s="2" t="s">
        <v>149</v>
      </c>
      <c r="B118" s="2"/>
      <c r="C118" s="2">
        <v>62.009700000000002</v>
      </c>
      <c r="D118" s="2">
        <v>304</v>
      </c>
      <c r="E118" s="2">
        <v>61.133000000000003</v>
      </c>
      <c r="F118" s="2">
        <v>324</v>
      </c>
      <c r="G118" s="2">
        <v>96.090500000000006</v>
      </c>
      <c r="H118" s="2">
        <v>288</v>
      </c>
      <c r="I118" s="2">
        <v>96.816199999999995</v>
      </c>
      <c r="J118" s="2">
        <v>276</v>
      </c>
      <c r="K118" s="2">
        <v>94.876900000000006</v>
      </c>
      <c r="L118" s="2">
        <v>33</v>
      </c>
      <c r="M118" s="2">
        <v>93.263099999999994</v>
      </c>
      <c r="N118" s="2">
        <v>17</v>
      </c>
      <c r="O118" s="2">
        <v>0.60586899999999999</v>
      </c>
      <c r="P118" s="2">
        <v>117</v>
      </c>
      <c r="Q118" s="2">
        <v>2015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ht="12.3" hidden="1" x14ac:dyDescent="0.4">
      <c r="A119" s="2" t="s">
        <v>98</v>
      </c>
      <c r="B119" s="2"/>
      <c r="C119" s="2">
        <v>62.898099999999999</v>
      </c>
      <c r="D119" s="2">
        <v>277</v>
      </c>
      <c r="E119" s="2">
        <v>64.026700000000005</v>
      </c>
      <c r="F119" s="2">
        <v>211</v>
      </c>
      <c r="G119" s="2">
        <v>104.1123</v>
      </c>
      <c r="H119" s="2">
        <v>121</v>
      </c>
      <c r="I119" s="2">
        <v>105.7786</v>
      </c>
      <c r="J119" s="2">
        <v>97</v>
      </c>
      <c r="K119" s="2">
        <v>99.8489</v>
      </c>
      <c r="L119" s="2">
        <v>120</v>
      </c>
      <c r="M119" s="2">
        <v>102.0248</v>
      </c>
      <c r="N119" s="2">
        <v>160</v>
      </c>
      <c r="O119" s="2">
        <v>0.60241199999999995</v>
      </c>
      <c r="P119" s="2">
        <v>118</v>
      </c>
      <c r="Q119" s="2">
        <v>2015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ht="12.3" hidden="1" x14ac:dyDescent="0.4">
      <c r="A120" s="2" t="s">
        <v>124</v>
      </c>
      <c r="B120" s="2"/>
      <c r="C120" s="2">
        <v>60.501399999999997</v>
      </c>
      <c r="D120" s="2">
        <v>337</v>
      </c>
      <c r="E120" s="2">
        <v>60.410800000000002</v>
      </c>
      <c r="F120" s="2">
        <v>339</v>
      </c>
      <c r="G120" s="2">
        <v>102.6982</v>
      </c>
      <c r="H120" s="2">
        <v>161</v>
      </c>
      <c r="I120" s="2">
        <v>105.8665</v>
      </c>
      <c r="J120" s="2">
        <v>96</v>
      </c>
      <c r="K120" s="2">
        <v>105.23050000000001</v>
      </c>
      <c r="L120" s="2">
        <v>243</v>
      </c>
      <c r="M120" s="2">
        <v>102.2543</v>
      </c>
      <c r="N120" s="2">
        <v>166</v>
      </c>
      <c r="O120" s="2">
        <v>0.59850400000000004</v>
      </c>
      <c r="P120" s="2">
        <v>119</v>
      </c>
      <c r="Q120" s="2">
        <v>2015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ht="12.3" x14ac:dyDescent="0.4">
      <c r="A121" s="2" t="s">
        <v>308</v>
      </c>
      <c r="B121" s="2">
        <v>14</v>
      </c>
      <c r="C121" s="2">
        <v>63.4818</v>
      </c>
      <c r="D121" s="2">
        <v>251</v>
      </c>
      <c r="E121" s="2">
        <v>63.667000000000002</v>
      </c>
      <c r="F121" s="2">
        <v>239</v>
      </c>
      <c r="G121" s="2">
        <v>107.29640000000001</v>
      </c>
      <c r="H121" s="2">
        <v>63</v>
      </c>
      <c r="I121" s="2">
        <v>105.9911</v>
      </c>
      <c r="J121" s="2">
        <v>90</v>
      </c>
      <c r="K121" s="2">
        <v>101.1421</v>
      </c>
      <c r="L121" s="2">
        <v>151</v>
      </c>
      <c r="M121" s="2">
        <v>102.3937</v>
      </c>
      <c r="N121" s="2">
        <v>171</v>
      </c>
      <c r="O121" s="2">
        <v>0.59798799999999996</v>
      </c>
      <c r="P121" s="2">
        <v>120</v>
      </c>
      <c r="Q121" s="10">
        <v>3.5974000000000075</v>
      </c>
      <c r="R121" s="2"/>
      <c r="S121" s="2"/>
      <c r="T121" s="2"/>
      <c r="U121" s="2"/>
      <c r="V121" s="10"/>
      <c r="W121" s="2"/>
      <c r="X121" s="2"/>
      <c r="Y121" s="2"/>
      <c r="Z121" s="10"/>
      <c r="AA121" s="2"/>
      <c r="AB121" s="10"/>
      <c r="AC121" s="2"/>
      <c r="AD121" s="10"/>
      <c r="AE121" s="2"/>
      <c r="AF121" s="10"/>
      <c r="AG121" s="2"/>
      <c r="AH121" s="30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ht="12.3" x14ac:dyDescent="0.4">
      <c r="A122" s="2" t="s">
        <v>128</v>
      </c>
      <c r="B122" s="2">
        <v>14</v>
      </c>
      <c r="C122" s="2">
        <v>65.496200000000002</v>
      </c>
      <c r="D122" s="2">
        <v>142</v>
      </c>
      <c r="E122" s="2">
        <v>64.950299999999999</v>
      </c>
      <c r="F122" s="2">
        <v>159</v>
      </c>
      <c r="G122" s="2">
        <v>101.1444</v>
      </c>
      <c r="H122" s="2">
        <v>192</v>
      </c>
      <c r="I122" s="2">
        <v>103.7809</v>
      </c>
      <c r="J122" s="2">
        <v>130</v>
      </c>
      <c r="K122" s="2">
        <v>99.581400000000002</v>
      </c>
      <c r="L122" s="2">
        <v>116</v>
      </c>
      <c r="M122" s="2">
        <v>100.26009999999999</v>
      </c>
      <c r="N122" s="2">
        <v>130</v>
      </c>
      <c r="O122" s="2">
        <v>0.597943</v>
      </c>
      <c r="P122" s="2">
        <v>121</v>
      </c>
      <c r="Q122" s="10">
        <v>3.5208000000000084</v>
      </c>
      <c r="R122" s="2"/>
      <c r="S122" s="2"/>
      <c r="T122" s="2"/>
      <c r="U122" s="2"/>
      <c r="V122" s="10"/>
      <c r="W122" s="2"/>
      <c r="X122" s="2"/>
      <c r="Y122" s="2"/>
      <c r="Z122" s="10"/>
      <c r="AA122" s="2"/>
      <c r="AB122" s="10"/>
      <c r="AC122" s="2"/>
      <c r="AD122" s="10"/>
      <c r="AE122" s="2"/>
      <c r="AF122" s="10"/>
      <c r="AG122" s="2"/>
      <c r="AH122" s="30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ht="12.3" hidden="1" x14ac:dyDescent="0.4">
      <c r="A123" s="2" t="s">
        <v>66</v>
      </c>
      <c r="B123" s="2"/>
      <c r="C123" s="2">
        <v>69.063800000000001</v>
      </c>
      <c r="D123" s="2">
        <v>22</v>
      </c>
      <c r="E123" s="2">
        <v>69.674400000000006</v>
      </c>
      <c r="F123" s="2">
        <v>14</v>
      </c>
      <c r="G123" s="2">
        <v>103.3463</v>
      </c>
      <c r="H123" s="2">
        <v>143</v>
      </c>
      <c r="I123" s="2">
        <v>102.86320000000001</v>
      </c>
      <c r="J123" s="2">
        <v>152</v>
      </c>
      <c r="K123" s="2">
        <v>98.428299999999993</v>
      </c>
      <c r="L123" s="2">
        <v>93</v>
      </c>
      <c r="M123" s="2">
        <v>99.540400000000005</v>
      </c>
      <c r="N123" s="2">
        <v>111</v>
      </c>
      <c r="O123" s="2">
        <v>0.59329699999999996</v>
      </c>
      <c r="P123" s="2">
        <v>122</v>
      </c>
      <c r="Q123" s="2">
        <v>2015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ht="12.3" hidden="1" x14ac:dyDescent="0.4">
      <c r="A124" s="2" t="s">
        <v>131</v>
      </c>
      <c r="B124" s="2"/>
      <c r="C124" s="2">
        <v>66.179100000000005</v>
      </c>
      <c r="D124" s="2">
        <v>107</v>
      </c>
      <c r="E124" s="2">
        <v>65.632099999999994</v>
      </c>
      <c r="F124" s="2">
        <v>130</v>
      </c>
      <c r="G124" s="2">
        <v>103.2264</v>
      </c>
      <c r="H124" s="2">
        <v>145</v>
      </c>
      <c r="I124" s="2">
        <v>106.38420000000001</v>
      </c>
      <c r="J124" s="2">
        <v>82</v>
      </c>
      <c r="K124" s="2">
        <v>102.2034</v>
      </c>
      <c r="L124" s="2">
        <v>173</v>
      </c>
      <c r="M124" s="2">
        <v>102.9525</v>
      </c>
      <c r="N124" s="2">
        <v>180</v>
      </c>
      <c r="O124" s="2">
        <v>0.59316800000000003</v>
      </c>
      <c r="P124" s="2">
        <v>123</v>
      </c>
      <c r="Q124" s="2">
        <v>2015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ht="12.3" hidden="1" x14ac:dyDescent="0.4">
      <c r="A125" s="2" t="s">
        <v>243</v>
      </c>
      <c r="B125" s="2"/>
      <c r="C125" s="2">
        <v>69.139799999999994</v>
      </c>
      <c r="D125" s="2">
        <v>19</v>
      </c>
      <c r="E125" s="2">
        <v>69.212199999999996</v>
      </c>
      <c r="F125" s="2">
        <v>21</v>
      </c>
      <c r="G125" s="2">
        <v>112.7814</v>
      </c>
      <c r="H125" s="2">
        <v>20</v>
      </c>
      <c r="I125" s="2">
        <v>108.8591</v>
      </c>
      <c r="J125" s="2">
        <v>53</v>
      </c>
      <c r="K125" s="2">
        <v>100.3509</v>
      </c>
      <c r="L125" s="2">
        <v>130</v>
      </c>
      <c r="M125" s="2">
        <v>105.4353</v>
      </c>
      <c r="N125" s="2">
        <v>232</v>
      </c>
      <c r="O125" s="2">
        <v>0.59085699999999997</v>
      </c>
      <c r="P125" s="2">
        <v>124</v>
      </c>
      <c r="Q125" s="2">
        <v>2015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ht="12.3" hidden="1" x14ac:dyDescent="0.4">
      <c r="A126" s="2" t="s">
        <v>290</v>
      </c>
      <c r="B126" s="2"/>
      <c r="C126" s="2">
        <v>64.1875</v>
      </c>
      <c r="D126" s="2">
        <v>211</v>
      </c>
      <c r="E126" s="2">
        <v>64.627300000000005</v>
      </c>
      <c r="F126" s="2">
        <v>176</v>
      </c>
      <c r="G126" s="2">
        <v>107.0598</v>
      </c>
      <c r="H126" s="2">
        <v>65</v>
      </c>
      <c r="I126" s="2">
        <v>107.1825</v>
      </c>
      <c r="J126" s="2">
        <v>71</v>
      </c>
      <c r="K126" s="2">
        <v>105.67400000000001</v>
      </c>
      <c r="L126" s="2">
        <v>255</v>
      </c>
      <c r="M126" s="2">
        <v>103.8222</v>
      </c>
      <c r="N126" s="2">
        <v>198</v>
      </c>
      <c r="O126" s="2">
        <v>0.59056699999999995</v>
      </c>
      <c r="P126" s="2">
        <v>125</v>
      </c>
      <c r="Q126" s="2">
        <v>2015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ht="12.3" hidden="1" x14ac:dyDescent="0.4">
      <c r="A127" s="2" t="s">
        <v>61</v>
      </c>
      <c r="B127" s="2"/>
      <c r="C127" s="2">
        <v>68.696700000000007</v>
      </c>
      <c r="D127" s="2">
        <v>28</v>
      </c>
      <c r="E127" s="2">
        <v>68.643100000000004</v>
      </c>
      <c r="F127" s="2">
        <v>27</v>
      </c>
      <c r="G127" s="2">
        <v>99.464399999999998</v>
      </c>
      <c r="H127" s="2">
        <v>234</v>
      </c>
      <c r="I127" s="2">
        <v>103.93640000000001</v>
      </c>
      <c r="J127" s="2">
        <v>124</v>
      </c>
      <c r="K127" s="2">
        <v>103.751</v>
      </c>
      <c r="L127" s="2">
        <v>207</v>
      </c>
      <c r="M127" s="2">
        <v>101.1138</v>
      </c>
      <c r="N127" s="2">
        <v>141</v>
      </c>
      <c r="O127" s="2">
        <v>0.57850299999999999</v>
      </c>
      <c r="P127" s="2">
        <v>126</v>
      </c>
      <c r="Q127" s="2">
        <v>2015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ht="12.3" x14ac:dyDescent="0.4">
      <c r="A128" s="2" t="s">
        <v>363</v>
      </c>
      <c r="B128" s="2">
        <v>16</v>
      </c>
      <c r="C128" s="2">
        <v>67.5625</v>
      </c>
      <c r="D128" s="2">
        <v>59</v>
      </c>
      <c r="E128" s="2">
        <v>67.115399999999994</v>
      </c>
      <c r="F128" s="2">
        <v>60</v>
      </c>
      <c r="G128" s="2">
        <v>109.6328</v>
      </c>
      <c r="H128" s="2">
        <v>37</v>
      </c>
      <c r="I128" s="2">
        <v>105.69</v>
      </c>
      <c r="J128" s="2">
        <v>98</v>
      </c>
      <c r="K128" s="2">
        <v>101.3077</v>
      </c>
      <c r="L128" s="2">
        <v>157</v>
      </c>
      <c r="M128" s="2">
        <v>102.83750000000001</v>
      </c>
      <c r="N128" s="2">
        <v>178</v>
      </c>
      <c r="O128" s="2">
        <v>0.57801800000000003</v>
      </c>
      <c r="P128" s="2">
        <v>127</v>
      </c>
      <c r="Q128" s="10">
        <v>2.852499999999992</v>
      </c>
      <c r="R128" s="2"/>
      <c r="S128" s="2"/>
      <c r="T128" s="2"/>
      <c r="U128" s="2"/>
      <c r="V128" s="10"/>
      <c r="W128" s="2"/>
      <c r="X128" s="2"/>
      <c r="Y128" s="2"/>
      <c r="Z128" s="10"/>
      <c r="AA128" s="2"/>
      <c r="AB128" s="10"/>
      <c r="AC128" s="2"/>
      <c r="AD128" s="10"/>
      <c r="AE128" s="2"/>
      <c r="AF128" s="10"/>
      <c r="AG128" s="2"/>
      <c r="AH128" s="30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ht="12.3" hidden="1" x14ac:dyDescent="0.4">
      <c r="A129" s="2" t="s">
        <v>336</v>
      </c>
      <c r="B129" s="2"/>
      <c r="C129" s="2">
        <v>63.321399999999997</v>
      </c>
      <c r="D129" s="2">
        <v>256</v>
      </c>
      <c r="E129" s="2">
        <v>64.292900000000003</v>
      </c>
      <c r="F129" s="2">
        <v>197</v>
      </c>
      <c r="G129" s="2">
        <v>101.6561</v>
      </c>
      <c r="H129" s="2">
        <v>182</v>
      </c>
      <c r="I129" s="2">
        <v>99.876999999999995</v>
      </c>
      <c r="J129" s="2">
        <v>228</v>
      </c>
      <c r="K129" s="2">
        <v>94.642899999999997</v>
      </c>
      <c r="L129" s="2">
        <v>29</v>
      </c>
      <c r="M129" s="2">
        <v>97.270300000000006</v>
      </c>
      <c r="N129" s="2">
        <v>75</v>
      </c>
      <c r="O129" s="2">
        <v>0.57544899999999999</v>
      </c>
      <c r="P129" s="2">
        <v>128</v>
      </c>
      <c r="Q129" s="2">
        <v>2015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ht="12.3" hidden="1" x14ac:dyDescent="0.4">
      <c r="A130" s="2" t="s">
        <v>117</v>
      </c>
      <c r="B130" s="2"/>
      <c r="C130" s="2">
        <v>70.852199999999996</v>
      </c>
      <c r="D130" s="2">
        <v>7</v>
      </c>
      <c r="E130" s="2">
        <v>69.8309</v>
      </c>
      <c r="F130" s="2">
        <v>12</v>
      </c>
      <c r="G130" s="2">
        <v>104.3497</v>
      </c>
      <c r="H130" s="2">
        <v>118</v>
      </c>
      <c r="I130" s="2">
        <v>103.62569999999999</v>
      </c>
      <c r="J130" s="2">
        <v>135</v>
      </c>
      <c r="K130" s="2">
        <v>97.578400000000002</v>
      </c>
      <c r="L130" s="2">
        <v>79</v>
      </c>
      <c r="M130" s="2">
        <v>101.09220000000001</v>
      </c>
      <c r="N130" s="2">
        <v>140</v>
      </c>
      <c r="O130" s="2">
        <v>0.57068799999999997</v>
      </c>
      <c r="P130" s="2">
        <v>129</v>
      </c>
      <c r="Q130" s="2">
        <v>2015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ht="12.3" hidden="1" x14ac:dyDescent="0.4">
      <c r="A131" s="2" t="s">
        <v>257</v>
      </c>
      <c r="B131" s="2"/>
      <c r="C131" s="2">
        <v>64.238299999999995</v>
      </c>
      <c r="D131" s="2">
        <v>207</v>
      </c>
      <c r="E131" s="2">
        <v>64.178299999999993</v>
      </c>
      <c r="F131" s="2">
        <v>202</v>
      </c>
      <c r="G131" s="2">
        <v>111.2893</v>
      </c>
      <c r="H131" s="2">
        <v>26</v>
      </c>
      <c r="I131" s="2">
        <v>111.3608</v>
      </c>
      <c r="J131" s="2">
        <v>32</v>
      </c>
      <c r="K131" s="2">
        <v>105.1348</v>
      </c>
      <c r="L131" s="2">
        <v>240</v>
      </c>
      <c r="M131" s="2">
        <v>108.70059999999999</v>
      </c>
      <c r="N131" s="2">
        <v>299</v>
      </c>
      <c r="O131" s="2">
        <v>0.56906699999999999</v>
      </c>
      <c r="P131" s="2">
        <v>130</v>
      </c>
      <c r="Q131" s="2">
        <v>2015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ht="12.3" x14ac:dyDescent="0.4">
      <c r="A132" s="2" t="s">
        <v>339</v>
      </c>
      <c r="B132" s="2">
        <v>14</v>
      </c>
      <c r="C132" s="2">
        <v>61.230899999999998</v>
      </c>
      <c r="D132" s="2">
        <v>321</v>
      </c>
      <c r="E132" s="2">
        <v>61.329700000000003</v>
      </c>
      <c r="F132" s="2">
        <v>320</v>
      </c>
      <c r="G132" s="2">
        <v>106.7968</v>
      </c>
      <c r="H132" s="2">
        <v>67</v>
      </c>
      <c r="I132" s="2">
        <v>104.2175</v>
      </c>
      <c r="J132" s="2">
        <v>117</v>
      </c>
      <c r="K132" s="2">
        <v>98.084199999999996</v>
      </c>
      <c r="L132" s="2">
        <v>86</v>
      </c>
      <c r="M132" s="2">
        <v>101.7462</v>
      </c>
      <c r="N132" s="2">
        <v>155</v>
      </c>
      <c r="O132" s="2">
        <v>0.56856200000000001</v>
      </c>
      <c r="P132" s="2">
        <v>131</v>
      </c>
      <c r="Q132" s="10">
        <v>2.4712999999999994</v>
      </c>
      <c r="R132" s="2"/>
      <c r="S132" s="2"/>
      <c r="T132" s="2"/>
      <c r="U132" s="2"/>
      <c r="V132" s="10"/>
      <c r="W132" s="2"/>
      <c r="X132" s="2"/>
      <c r="Y132" s="2"/>
      <c r="Z132" s="10"/>
      <c r="AA132" s="2"/>
      <c r="AB132" s="10"/>
      <c r="AC132" s="2"/>
      <c r="AD132" s="10"/>
      <c r="AE132" s="2"/>
      <c r="AF132" s="10"/>
      <c r="AG132" s="2"/>
      <c r="AH132" s="30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ht="12.3" hidden="1" x14ac:dyDescent="0.4">
      <c r="A133" s="2" t="s">
        <v>136</v>
      </c>
      <c r="B133" s="2"/>
      <c r="C133" s="2">
        <v>63.871299999999998</v>
      </c>
      <c r="D133" s="2">
        <v>232</v>
      </c>
      <c r="E133" s="2">
        <v>63.604799999999997</v>
      </c>
      <c r="F133" s="2">
        <v>245</v>
      </c>
      <c r="G133" s="2">
        <v>94.679299999999998</v>
      </c>
      <c r="H133" s="2">
        <v>302</v>
      </c>
      <c r="I133" s="2">
        <v>96.395200000000003</v>
      </c>
      <c r="J133" s="2">
        <v>283</v>
      </c>
      <c r="K133" s="2">
        <v>98.001800000000003</v>
      </c>
      <c r="L133" s="2">
        <v>85</v>
      </c>
      <c r="M133" s="2">
        <v>94.131699999999995</v>
      </c>
      <c r="N133" s="2">
        <v>29</v>
      </c>
      <c r="O133" s="2">
        <v>0.56789199999999995</v>
      </c>
      <c r="P133" s="2">
        <v>132</v>
      </c>
      <c r="Q133" s="2">
        <v>2015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ht="12.3" hidden="1" x14ac:dyDescent="0.4">
      <c r="A134" s="2" t="s">
        <v>292</v>
      </c>
      <c r="B134" s="2"/>
      <c r="C134" s="2">
        <v>64.880499999999998</v>
      </c>
      <c r="D134" s="2">
        <v>167</v>
      </c>
      <c r="E134" s="2">
        <v>65.979399999999998</v>
      </c>
      <c r="F134" s="2">
        <v>114</v>
      </c>
      <c r="G134" s="2">
        <v>102.8339</v>
      </c>
      <c r="H134" s="2">
        <v>156</v>
      </c>
      <c r="I134" s="2">
        <v>102.3623</v>
      </c>
      <c r="J134" s="2">
        <v>162</v>
      </c>
      <c r="K134" s="2">
        <v>99.224400000000003</v>
      </c>
      <c r="L134" s="2">
        <v>108</v>
      </c>
      <c r="M134" s="2">
        <v>99.965699999999998</v>
      </c>
      <c r="N134" s="2">
        <v>121</v>
      </c>
      <c r="O134" s="2">
        <v>0.56769599999999998</v>
      </c>
      <c r="P134" s="2">
        <v>133</v>
      </c>
      <c r="Q134" s="2">
        <v>2015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ht="12.3" hidden="1" x14ac:dyDescent="0.4">
      <c r="A135" s="2" t="s">
        <v>331</v>
      </c>
      <c r="B135" s="2"/>
      <c r="C135" s="2">
        <v>66.531199999999998</v>
      </c>
      <c r="D135" s="2">
        <v>93</v>
      </c>
      <c r="E135" s="2">
        <v>66.149799999999999</v>
      </c>
      <c r="F135" s="2">
        <v>107</v>
      </c>
      <c r="G135" s="2">
        <v>101.2353</v>
      </c>
      <c r="H135" s="2">
        <v>190</v>
      </c>
      <c r="I135" s="2">
        <v>100.2362</v>
      </c>
      <c r="J135" s="2">
        <v>220</v>
      </c>
      <c r="K135" s="2">
        <v>98.316500000000005</v>
      </c>
      <c r="L135" s="2">
        <v>92</v>
      </c>
      <c r="M135" s="2">
        <v>97.932199999999995</v>
      </c>
      <c r="N135" s="2">
        <v>85</v>
      </c>
      <c r="O135" s="2">
        <v>0.56646200000000002</v>
      </c>
      <c r="P135" s="2">
        <v>134</v>
      </c>
      <c r="Q135" s="2">
        <v>2015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ht="12.3" hidden="1" x14ac:dyDescent="0.4">
      <c r="A136" s="2" t="s">
        <v>155</v>
      </c>
      <c r="B136" s="2"/>
      <c r="C136" s="2">
        <v>68.347899999999996</v>
      </c>
      <c r="D136" s="2">
        <v>35</v>
      </c>
      <c r="E136" s="2">
        <v>67.553600000000003</v>
      </c>
      <c r="F136" s="2">
        <v>49</v>
      </c>
      <c r="G136" s="2">
        <v>100.7353</v>
      </c>
      <c r="H136" s="2">
        <v>202</v>
      </c>
      <c r="I136" s="2">
        <v>103.80889999999999</v>
      </c>
      <c r="J136" s="2">
        <v>128</v>
      </c>
      <c r="K136" s="2">
        <v>102.2518</v>
      </c>
      <c r="L136" s="2">
        <v>174</v>
      </c>
      <c r="M136" s="2">
        <v>101.55759999999999</v>
      </c>
      <c r="N136" s="2">
        <v>150</v>
      </c>
      <c r="O136" s="2">
        <v>0.56270399999999998</v>
      </c>
      <c r="P136" s="2">
        <v>135</v>
      </c>
      <c r="Q136" s="2">
        <v>2015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ht="12.3" x14ac:dyDescent="0.4">
      <c r="A137" s="2" t="s">
        <v>187</v>
      </c>
      <c r="B137" s="2">
        <v>13</v>
      </c>
      <c r="C137" s="2">
        <v>68.415199999999999</v>
      </c>
      <c r="D137" s="2">
        <v>33</v>
      </c>
      <c r="E137" s="2">
        <v>68.779499999999999</v>
      </c>
      <c r="F137" s="2">
        <v>24</v>
      </c>
      <c r="G137" s="2">
        <v>114.81950000000001</v>
      </c>
      <c r="H137" s="2">
        <v>13</v>
      </c>
      <c r="I137" s="2">
        <v>110.0324</v>
      </c>
      <c r="J137" s="2">
        <v>46</v>
      </c>
      <c r="K137" s="2">
        <v>107.6451</v>
      </c>
      <c r="L137" s="2">
        <v>296</v>
      </c>
      <c r="M137" s="2">
        <v>107.68</v>
      </c>
      <c r="N137" s="2">
        <v>279</v>
      </c>
      <c r="O137" s="2">
        <v>0.56181300000000001</v>
      </c>
      <c r="P137" s="2">
        <v>136</v>
      </c>
      <c r="Q137" s="10">
        <v>2.3523999999999887</v>
      </c>
      <c r="R137" s="2"/>
      <c r="S137" s="2"/>
      <c r="T137" s="2"/>
      <c r="U137" s="2"/>
      <c r="V137" s="10"/>
      <c r="W137" s="2"/>
      <c r="X137" s="2"/>
      <c r="Y137" s="2"/>
      <c r="Z137" s="10"/>
      <c r="AA137" s="2"/>
      <c r="AB137" s="10"/>
      <c r="AC137" s="2"/>
      <c r="AD137" s="10"/>
      <c r="AE137" s="2"/>
      <c r="AF137" s="10"/>
      <c r="AG137" s="2"/>
      <c r="AH137" s="30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ht="12.3" hidden="1" x14ac:dyDescent="0.4">
      <c r="A138" s="2" t="s">
        <v>188</v>
      </c>
      <c r="B138" s="2"/>
      <c r="C138" s="2">
        <v>65.947900000000004</v>
      </c>
      <c r="D138" s="2">
        <v>121</v>
      </c>
      <c r="E138" s="2">
        <v>65.424899999999994</v>
      </c>
      <c r="F138" s="2">
        <v>139</v>
      </c>
      <c r="G138" s="2">
        <v>98.559399999999997</v>
      </c>
      <c r="H138" s="2">
        <v>252</v>
      </c>
      <c r="I138" s="2">
        <v>100.97410000000001</v>
      </c>
      <c r="J138" s="2">
        <v>195</v>
      </c>
      <c r="K138" s="2">
        <v>102.5891</v>
      </c>
      <c r="L138" s="2">
        <v>183</v>
      </c>
      <c r="M138" s="2">
        <v>99.018699999999995</v>
      </c>
      <c r="N138" s="2">
        <v>100</v>
      </c>
      <c r="O138" s="2">
        <v>0.55598800000000004</v>
      </c>
      <c r="P138" s="2">
        <v>137</v>
      </c>
      <c r="Q138" s="2">
        <v>2015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ht="12.3" hidden="1" x14ac:dyDescent="0.4">
      <c r="A139" s="2" t="s">
        <v>68</v>
      </c>
      <c r="B139" s="2"/>
      <c r="C139" s="2">
        <v>67.442099999999996</v>
      </c>
      <c r="D139" s="2">
        <v>62</v>
      </c>
      <c r="E139" s="2">
        <v>66.553399999999996</v>
      </c>
      <c r="F139" s="2">
        <v>86</v>
      </c>
      <c r="G139" s="2">
        <v>102.3048</v>
      </c>
      <c r="H139" s="2">
        <v>171</v>
      </c>
      <c r="I139" s="2">
        <v>102.60120000000001</v>
      </c>
      <c r="J139" s="2">
        <v>159</v>
      </c>
      <c r="K139" s="2">
        <v>99.929900000000004</v>
      </c>
      <c r="L139" s="2">
        <v>123</v>
      </c>
      <c r="M139" s="2">
        <v>100.6144</v>
      </c>
      <c r="N139" s="2">
        <v>133</v>
      </c>
      <c r="O139" s="2">
        <v>0.55598099999999995</v>
      </c>
      <c r="P139" s="2">
        <v>138</v>
      </c>
      <c r="Q139" s="2">
        <v>2015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ht="12.3" hidden="1" x14ac:dyDescent="0.4">
      <c r="A140" s="2" t="s">
        <v>330</v>
      </c>
      <c r="B140" s="2"/>
      <c r="C140" s="2">
        <v>62.913800000000002</v>
      </c>
      <c r="D140" s="2">
        <v>276</v>
      </c>
      <c r="E140" s="2">
        <v>62.485399999999998</v>
      </c>
      <c r="F140" s="2">
        <v>286</v>
      </c>
      <c r="G140" s="2">
        <v>108.5372</v>
      </c>
      <c r="H140" s="2">
        <v>51</v>
      </c>
      <c r="I140" s="2">
        <v>106.1998</v>
      </c>
      <c r="J140" s="2">
        <v>86</v>
      </c>
      <c r="K140" s="2">
        <v>105.0124</v>
      </c>
      <c r="L140" s="2">
        <v>238</v>
      </c>
      <c r="M140" s="2">
        <v>104.16540000000001</v>
      </c>
      <c r="N140" s="2">
        <v>207</v>
      </c>
      <c r="O140" s="2">
        <v>0.55538100000000001</v>
      </c>
      <c r="P140" s="2">
        <v>139</v>
      </c>
      <c r="Q140" s="2">
        <v>2015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ht="12.3" hidden="1" x14ac:dyDescent="0.4">
      <c r="A141" s="2" t="s">
        <v>162</v>
      </c>
      <c r="B141" s="2"/>
      <c r="C141" s="2">
        <v>64.758899999999997</v>
      </c>
      <c r="D141" s="2">
        <v>175</v>
      </c>
      <c r="E141" s="2">
        <v>64.8078</v>
      </c>
      <c r="F141" s="2">
        <v>163</v>
      </c>
      <c r="G141" s="2">
        <v>107.59180000000001</v>
      </c>
      <c r="H141" s="2">
        <v>57</v>
      </c>
      <c r="I141" s="2">
        <v>106.25</v>
      </c>
      <c r="J141" s="2">
        <v>84</v>
      </c>
      <c r="K141" s="2">
        <v>106.0688</v>
      </c>
      <c r="L141" s="2">
        <v>263</v>
      </c>
      <c r="M141" s="2">
        <v>104.3518</v>
      </c>
      <c r="N141" s="2">
        <v>209</v>
      </c>
      <c r="O141" s="2">
        <v>0.55164299999999999</v>
      </c>
      <c r="P141" s="2">
        <v>140</v>
      </c>
      <c r="Q141" s="2">
        <v>2015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ht="12.3" hidden="1" x14ac:dyDescent="0.4">
      <c r="A142" s="2" t="s">
        <v>115</v>
      </c>
      <c r="B142" s="2"/>
      <c r="C142" s="2">
        <v>61.960799999999999</v>
      </c>
      <c r="D142" s="2">
        <v>306</v>
      </c>
      <c r="E142" s="2">
        <v>62.491799999999998</v>
      </c>
      <c r="F142" s="2">
        <v>285</v>
      </c>
      <c r="G142" s="2">
        <v>98.853499999999997</v>
      </c>
      <c r="H142" s="2">
        <v>247</v>
      </c>
      <c r="I142" s="2">
        <v>98.918300000000002</v>
      </c>
      <c r="J142" s="2">
        <v>242</v>
      </c>
      <c r="K142" s="2">
        <v>96.384600000000006</v>
      </c>
      <c r="L142" s="2">
        <v>55</v>
      </c>
      <c r="M142" s="2">
        <v>97.174000000000007</v>
      </c>
      <c r="N142" s="2">
        <v>73</v>
      </c>
      <c r="O142" s="2">
        <v>0.55096999999999996</v>
      </c>
      <c r="P142" s="2">
        <v>141</v>
      </c>
      <c r="Q142" s="2">
        <v>2015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ht="12.3" hidden="1" x14ac:dyDescent="0.4">
      <c r="A143" s="2" t="s">
        <v>113</v>
      </c>
      <c r="B143" s="2"/>
      <c r="C143" s="2">
        <v>67.692999999999998</v>
      </c>
      <c r="D143" s="2">
        <v>57</v>
      </c>
      <c r="E143" s="2">
        <v>67.999799999999993</v>
      </c>
      <c r="F143" s="2">
        <v>34</v>
      </c>
      <c r="G143" s="2">
        <v>98.200199999999995</v>
      </c>
      <c r="H143" s="2">
        <v>257</v>
      </c>
      <c r="I143" s="2">
        <v>103.4796</v>
      </c>
      <c r="J143" s="2">
        <v>138</v>
      </c>
      <c r="K143" s="2">
        <v>105.4881</v>
      </c>
      <c r="L143" s="2">
        <v>251</v>
      </c>
      <c r="M143" s="2">
        <v>101.745</v>
      </c>
      <c r="N143" s="2">
        <v>154</v>
      </c>
      <c r="O143" s="2">
        <v>0.54844800000000005</v>
      </c>
      <c r="P143" s="2">
        <v>142</v>
      </c>
      <c r="Q143" s="2">
        <v>2015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ht="12.3" hidden="1" x14ac:dyDescent="0.4">
      <c r="A144" s="2" t="s">
        <v>228</v>
      </c>
      <c r="B144" s="2"/>
      <c r="C144" s="2">
        <v>61.779000000000003</v>
      </c>
      <c r="D144" s="2">
        <v>309</v>
      </c>
      <c r="E144" s="2">
        <v>61.572899999999997</v>
      </c>
      <c r="F144" s="2">
        <v>314</v>
      </c>
      <c r="G144" s="2">
        <v>99.896900000000002</v>
      </c>
      <c r="H144" s="2">
        <v>222</v>
      </c>
      <c r="I144" s="2">
        <v>100.5522</v>
      </c>
      <c r="J144" s="2">
        <v>208</v>
      </c>
      <c r="K144" s="2">
        <v>98.623000000000005</v>
      </c>
      <c r="L144" s="2">
        <v>97</v>
      </c>
      <c r="M144" s="2">
        <v>98.9024</v>
      </c>
      <c r="N144" s="2">
        <v>96</v>
      </c>
      <c r="O144" s="2">
        <v>0.54741899999999999</v>
      </c>
      <c r="P144" s="2">
        <v>143</v>
      </c>
      <c r="Q144" s="2">
        <v>2015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ht="12.3" hidden="1" x14ac:dyDescent="0.4">
      <c r="A145" s="2" t="s">
        <v>150</v>
      </c>
      <c r="B145" s="2"/>
      <c r="C145" s="2">
        <v>59.482300000000002</v>
      </c>
      <c r="D145" s="2">
        <v>342</v>
      </c>
      <c r="E145" s="2">
        <v>60.724800000000002</v>
      </c>
      <c r="F145" s="2">
        <v>333</v>
      </c>
      <c r="G145" s="2">
        <v>102.22069999999999</v>
      </c>
      <c r="H145" s="2">
        <v>173</v>
      </c>
      <c r="I145" s="2">
        <v>103.1549</v>
      </c>
      <c r="J145" s="2">
        <v>145</v>
      </c>
      <c r="K145" s="2">
        <v>100.6918</v>
      </c>
      <c r="L145" s="2">
        <v>140</v>
      </c>
      <c r="M145" s="2">
        <v>101.62820000000001</v>
      </c>
      <c r="N145" s="2">
        <v>151</v>
      </c>
      <c r="O145" s="2">
        <v>0.54276400000000002</v>
      </c>
      <c r="P145" s="2">
        <v>144</v>
      </c>
      <c r="Q145" s="2">
        <v>2015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ht="12.3" x14ac:dyDescent="0.4">
      <c r="A146" s="2" t="s">
        <v>139</v>
      </c>
      <c r="B146" s="2">
        <v>16</v>
      </c>
      <c r="C146" s="2">
        <v>67.941100000000006</v>
      </c>
      <c r="D146" s="2">
        <v>45</v>
      </c>
      <c r="E146" s="2">
        <v>68.223100000000002</v>
      </c>
      <c r="F146" s="2">
        <v>30</v>
      </c>
      <c r="G146" s="2">
        <v>101.2805</v>
      </c>
      <c r="H146" s="2">
        <v>189</v>
      </c>
      <c r="I146" s="2">
        <v>100.907</v>
      </c>
      <c r="J146" s="2">
        <v>196</v>
      </c>
      <c r="K146" s="2">
        <v>97.792599999999993</v>
      </c>
      <c r="L146" s="2">
        <v>81</v>
      </c>
      <c r="M146" s="2">
        <v>99.471800000000002</v>
      </c>
      <c r="N146" s="2">
        <v>109</v>
      </c>
      <c r="O146" s="2">
        <v>0.54108999999999996</v>
      </c>
      <c r="P146" s="2">
        <v>145</v>
      </c>
      <c r="Q146" s="10">
        <v>1.4351999999999947</v>
      </c>
      <c r="R146" s="2"/>
      <c r="S146" s="2"/>
      <c r="T146" s="2"/>
      <c r="U146" s="2"/>
      <c r="V146" s="10"/>
      <c r="W146" s="2"/>
      <c r="X146" s="2"/>
      <c r="Y146" s="2"/>
      <c r="Z146" s="10"/>
      <c r="AA146" s="2"/>
      <c r="AB146" s="10"/>
      <c r="AC146" s="2"/>
      <c r="AD146" s="10"/>
      <c r="AE146" s="2"/>
      <c r="AF146" s="10"/>
      <c r="AG146" s="2"/>
      <c r="AH146" s="30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ht="12.3" hidden="1" x14ac:dyDescent="0.4">
      <c r="A147" s="2" t="s">
        <v>173</v>
      </c>
      <c r="B147" s="2"/>
      <c r="C147" s="2">
        <v>65.632400000000004</v>
      </c>
      <c r="D147" s="2">
        <v>135</v>
      </c>
      <c r="E147" s="2">
        <v>65.941900000000004</v>
      </c>
      <c r="F147" s="2">
        <v>116</v>
      </c>
      <c r="G147" s="2">
        <v>103.8844</v>
      </c>
      <c r="H147" s="2">
        <v>130</v>
      </c>
      <c r="I147" s="2">
        <v>103.1443</v>
      </c>
      <c r="J147" s="2">
        <v>146</v>
      </c>
      <c r="K147" s="2">
        <v>103.7987</v>
      </c>
      <c r="L147" s="2">
        <v>208</v>
      </c>
      <c r="M147" s="2">
        <v>101.6806</v>
      </c>
      <c r="N147" s="2">
        <v>153</v>
      </c>
      <c r="O147" s="2">
        <v>0.54099900000000001</v>
      </c>
      <c r="P147" s="2">
        <v>146</v>
      </c>
      <c r="Q147" s="2">
        <v>2015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ht="12.3" hidden="1" x14ac:dyDescent="0.4">
      <c r="A148" s="2" t="s">
        <v>153</v>
      </c>
      <c r="B148" s="2"/>
      <c r="C148" s="2">
        <v>64.310500000000005</v>
      </c>
      <c r="D148" s="2">
        <v>204</v>
      </c>
      <c r="E148" s="2">
        <v>63.252600000000001</v>
      </c>
      <c r="F148" s="2">
        <v>260</v>
      </c>
      <c r="G148" s="2">
        <v>100.7567</v>
      </c>
      <c r="H148" s="2">
        <v>201</v>
      </c>
      <c r="I148" s="2">
        <v>97.706299999999999</v>
      </c>
      <c r="J148" s="2">
        <v>260</v>
      </c>
      <c r="K148" s="2">
        <v>94.275400000000005</v>
      </c>
      <c r="L148" s="2">
        <v>26</v>
      </c>
      <c r="M148" s="2">
        <v>96.342600000000004</v>
      </c>
      <c r="N148" s="2">
        <v>60</v>
      </c>
      <c r="O148" s="2">
        <v>0.54032000000000002</v>
      </c>
      <c r="P148" s="2">
        <v>147</v>
      </c>
      <c r="Q148" s="2">
        <v>2015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ht="12.3" x14ac:dyDescent="0.4">
      <c r="A149" s="2" t="s">
        <v>334</v>
      </c>
      <c r="B149" s="2">
        <v>16</v>
      </c>
      <c r="C149" s="2">
        <v>64.762100000000004</v>
      </c>
      <c r="D149" s="2">
        <v>174</v>
      </c>
      <c r="E149" s="2">
        <v>64.417000000000002</v>
      </c>
      <c r="F149" s="2">
        <v>190</v>
      </c>
      <c r="G149" s="2">
        <v>109.07940000000001</v>
      </c>
      <c r="H149" s="2">
        <v>43</v>
      </c>
      <c r="I149" s="2">
        <v>103.5363</v>
      </c>
      <c r="J149" s="2">
        <v>136</v>
      </c>
      <c r="K149" s="2">
        <v>99.710400000000007</v>
      </c>
      <c r="L149" s="2">
        <v>119</v>
      </c>
      <c r="M149" s="2">
        <v>102.2055</v>
      </c>
      <c r="N149" s="2">
        <v>164</v>
      </c>
      <c r="O149" s="2">
        <v>0.53712300000000002</v>
      </c>
      <c r="P149" s="2">
        <v>148</v>
      </c>
      <c r="Q149" s="10">
        <v>1.3307999999999964</v>
      </c>
      <c r="R149" s="2"/>
      <c r="S149" s="2"/>
      <c r="T149" s="2"/>
      <c r="U149" s="2"/>
      <c r="V149" s="10"/>
      <c r="W149" s="2"/>
      <c r="X149" s="2"/>
      <c r="Y149" s="2"/>
      <c r="Z149" s="10"/>
      <c r="AA149" s="2"/>
      <c r="AB149" s="10"/>
      <c r="AC149" s="2"/>
      <c r="AD149" s="10"/>
      <c r="AE149" s="2"/>
      <c r="AF149" s="10"/>
      <c r="AG149" s="2"/>
      <c r="AH149" s="30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ht="12.3" x14ac:dyDescent="0.4">
      <c r="A150" s="2" t="s">
        <v>244</v>
      </c>
      <c r="B150" s="2">
        <v>15</v>
      </c>
      <c r="C150" s="2">
        <v>67.383899999999997</v>
      </c>
      <c r="D150" s="2">
        <v>65</v>
      </c>
      <c r="E150" s="2">
        <v>67.092399999999998</v>
      </c>
      <c r="F150" s="2">
        <v>63</v>
      </c>
      <c r="G150" s="2">
        <v>109.27070000000001</v>
      </c>
      <c r="H150" s="2">
        <v>41</v>
      </c>
      <c r="I150" s="2">
        <v>107.8516</v>
      </c>
      <c r="J150" s="2">
        <v>64</v>
      </c>
      <c r="K150" s="2">
        <v>104.0763</v>
      </c>
      <c r="L150" s="2">
        <v>215</v>
      </c>
      <c r="M150" s="2">
        <v>106.4962</v>
      </c>
      <c r="N150" s="2">
        <v>259</v>
      </c>
      <c r="O150" s="2">
        <v>0.53629599999999999</v>
      </c>
      <c r="P150" s="2">
        <v>149</v>
      </c>
      <c r="Q150" s="10">
        <v>1.355400000000003</v>
      </c>
      <c r="R150" s="2"/>
      <c r="S150" s="2"/>
      <c r="T150" s="2"/>
      <c r="U150" s="2"/>
      <c r="V150" s="10"/>
      <c r="W150" s="2"/>
      <c r="X150" s="2"/>
      <c r="Y150" s="2"/>
      <c r="Z150" s="10"/>
      <c r="AA150" s="2"/>
      <c r="AB150" s="10"/>
      <c r="AC150" s="2"/>
      <c r="AD150" s="10"/>
      <c r="AE150" s="2"/>
      <c r="AF150" s="10"/>
      <c r="AG150" s="2"/>
      <c r="AH150" s="30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ht="12.3" hidden="1" x14ac:dyDescent="0.4">
      <c r="A151" s="2" t="s">
        <v>176</v>
      </c>
      <c r="B151" s="2"/>
      <c r="C151" s="2">
        <v>64.850899999999996</v>
      </c>
      <c r="D151" s="2">
        <v>170</v>
      </c>
      <c r="E151" s="2">
        <v>65.3613</v>
      </c>
      <c r="F151" s="2">
        <v>142</v>
      </c>
      <c r="G151" s="2">
        <v>104.8515</v>
      </c>
      <c r="H151" s="2">
        <v>107</v>
      </c>
      <c r="I151" s="2">
        <v>105.9199</v>
      </c>
      <c r="J151" s="2">
        <v>93</v>
      </c>
      <c r="K151" s="2">
        <v>102.4628</v>
      </c>
      <c r="L151" s="2">
        <v>182</v>
      </c>
      <c r="M151" s="2">
        <v>104.6057</v>
      </c>
      <c r="N151" s="2">
        <v>215</v>
      </c>
      <c r="O151" s="2">
        <v>0.53583400000000003</v>
      </c>
      <c r="P151" s="2">
        <v>150</v>
      </c>
      <c r="Q151" s="2">
        <v>2015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ht="12.3" x14ac:dyDescent="0.4">
      <c r="A152" s="2" t="s">
        <v>360</v>
      </c>
      <c r="B152" s="2">
        <v>15</v>
      </c>
      <c r="C152" s="2">
        <v>61.424900000000001</v>
      </c>
      <c r="D152" s="2">
        <v>317</v>
      </c>
      <c r="E152" s="2">
        <v>61.176299999999998</v>
      </c>
      <c r="F152" s="2">
        <v>321</v>
      </c>
      <c r="G152" s="2">
        <v>103.55240000000001</v>
      </c>
      <c r="H152" s="2">
        <v>137</v>
      </c>
      <c r="I152" s="2">
        <v>100.9777</v>
      </c>
      <c r="J152" s="2">
        <v>194</v>
      </c>
      <c r="K152" s="2">
        <v>98.960700000000003</v>
      </c>
      <c r="L152" s="2">
        <v>105</v>
      </c>
      <c r="M152" s="2">
        <v>100.07470000000001</v>
      </c>
      <c r="N152" s="2">
        <v>124</v>
      </c>
      <c r="O152" s="2">
        <v>0.52580099999999996</v>
      </c>
      <c r="P152" s="2">
        <v>151</v>
      </c>
      <c r="Q152" s="10">
        <v>0.90299999999999159</v>
      </c>
      <c r="R152" s="2"/>
      <c r="S152" s="2"/>
      <c r="T152" s="2"/>
      <c r="U152" s="2"/>
      <c r="V152" s="10"/>
      <c r="W152" s="2"/>
      <c r="X152" s="2"/>
      <c r="Y152" s="2"/>
      <c r="Z152" s="10"/>
      <c r="AA152" s="2"/>
      <c r="AB152" s="10"/>
      <c r="AC152" s="2"/>
      <c r="AD152" s="10"/>
      <c r="AE152" s="2"/>
      <c r="AF152" s="10"/>
      <c r="AG152" s="2"/>
      <c r="AH152" s="30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ht="12.3" hidden="1" x14ac:dyDescent="0.4">
      <c r="A153" s="2" t="s">
        <v>277</v>
      </c>
      <c r="B153" s="2"/>
      <c r="C153" s="2">
        <v>65.299800000000005</v>
      </c>
      <c r="D153" s="2">
        <v>149</v>
      </c>
      <c r="E153" s="2">
        <v>64.325400000000002</v>
      </c>
      <c r="F153" s="2">
        <v>195</v>
      </c>
      <c r="G153" s="2">
        <v>103.9547</v>
      </c>
      <c r="H153" s="2">
        <v>127</v>
      </c>
      <c r="I153" s="2">
        <v>101.09820000000001</v>
      </c>
      <c r="J153" s="2">
        <v>190</v>
      </c>
      <c r="K153" s="2">
        <v>96.577200000000005</v>
      </c>
      <c r="L153" s="2">
        <v>60</v>
      </c>
      <c r="M153" s="2">
        <v>100.25700000000001</v>
      </c>
      <c r="N153" s="2">
        <v>128</v>
      </c>
      <c r="O153" s="2">
        <v>0.52400199999999997</v>
      </c>
      <c r="P153" s="2">
        <v>152</v>
      </c>
      <c r="Q153" s="2">
        <v>2015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ht="12.3" hidden="1" x14ac:dyDescent="0.4">
      <c r="A154" s="2" t="s">
        <v>63</v>
      </c>
      <c r="B154" s="2"/>
      <c r="C154" s="2">
        <v>67.276799999999994</v>
      </c>
      <c r="D154" s="2">
        <v>68</v>
      </c>
      <c r="E154" s="2">
        <v>67.494299999999996</v>
      </c>
      <c r="F154" s="2">
        <v>53</v>
      </c>
      <c r="G154" s="2">
        <v>106.2287</v>
      </c>
      <c r="H154" s="2">
        <v>83</v>
      </c>
      <c r="I154" s="2">
        <v>107.53740000000001</v>
      </c>
      <c r="J154" s="2">
        <v>66</v>
      </c>
      <c r="K154" s="2">
        <v>104.578</v>
      </c>
      <c r="L154" s="2">
        <v>227</v>
      </c>
      <c r="M154" s="2">
        <v>106.78530000000001</v>
      </c>
      <c r="N154" s="2">
        <v>265</v>
      </c>
      <c r="O154" s="2">
        <v>0.52016700000000005</v>
      </c>
      <c r="P154" s="2">
        <v>153</v>
      </c>
      <c r="Q154" s="2">
        <v>2015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ht="12.3" hidden="1" x14ac:dyDescent="0.4">
      <c r="A155" s="2" t="s">
        <v>42</v>
      </c>
      <c r="B155" s="2"/>
      <c r="C155" s="2">
        <v>68.758099999999999</v>
      </c>
      <c r="D155" s="2">
        <v>25</v>
      </c>
      <c r="E155" s="2">
        <v>68.704899999999995</v>
      </c>
      <c r="F155" s="2">
        <v>25</v>
      </c>
      <c r="G155" s="2">
        <v>95.722200000000001</v>
      </c>
      <c r="H155" s="2">
        <v>293</v>
      </c>
      <c r="I155" s="2">
        <v>98.609399999999994</v>
      </c>
      <c r="J155" s="2">
        <v>245</v>
      </c>
      <c r="K155" s="2">
        <v>101.5765</v>
      </c>
      <c r="L155" s="2">
        <v>163</v>
      </c>
      <c r="M155" s="2">
        <v>97.945999999999998</v>
      </c>
      <c r="N155" s="2">
        <v>86</v>
      </c>
      <c r="O155" s="2">
        <v>0.51939500000000005</v>
      </c>
      <c r="P155" s="2">
        <v>154</v>
      </c>
      <c r="Q155" s="2">
        <v>2015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ht="12.3" hidden="1" x14ac:dyDescent="0.4">
      <c r="A156" s="2" t="s">
        <v>165</v>
      </c>
      <c r="B156" s="2"/>
      <c r="C156" s="2">
        <v>66.577699999999993</v>
      </c>
      <c r="D156" s="2">
        <v>90</v>
      </c>
      <c r="E156" s="2">
        <v>66.632300000000001</v>
      </c>
      <c r="F156" s="2">
        <v>83</v>
      </c>
      <c r="G156" s="2">
        <v>107.3304</v>
      </c>
      <c r="H156" s="2">
        <v>62</v>
      </c>
      <c r="I156" s="2">
        <v>108.6431</v>
      </c>
      <c r="J156" s="2">
        <v>54</v>
      </c>
      <c r="K156" s="2">
        <v>110.62560000000001</v>
      </c>
      <c r="L156" s="2">
        <v>327</v>
      </c>
      <c r="M156" s="2">
        <v>107.998</v>
      </c>
      <c r="N156" s="2">
        <v>288</v>
      </c>
      <c r="O156" s="2">
        <v>0.51711600000000002</v>
      </c>
      <c r="P156" s="2">
        <v>155</v>
      </c>
      <c r="Q156" s="2">
        <v>2015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ht="12.3" hidden="1" x14ac:dyDescent="0.4">
      <c r="A157" s="2" t="s">
        <v>59</v>
      </c>
      <c r="B157" s="2"/>
      <c r="C157" s="2">
        <v>62.965000000000003</v>
      </c>
      <c r="D157" s="2">
        <v>273</v>
      </c>
      <c r="E157" s="2">
        <v>61.923000000000002</v>
      </c>
      <c r="F157" s="2">
        <v>302</v>
      </c>
      <c r="G157" s="2">
        <v>95.632999999999996</v>
      </c>
      <c r="H157" s="2">
        <v>295</v>
      </c>
      <c r="I157" s="2">
        <v>100.4308</v>
      </c>
      <c r="J157" s="2">
        <v>216</v>
      </c>
      <c r="K157" s="2">
        <v>101.82810000000001</v>
      </c>
      <c r="L157" s="2">
        <v>167</v>
      </c>
      <c r="M157" s="2">
        <v>99.851799999999997</v>
      </c>
      <c r="N157" s="2">
        <v>116</v>
      </c>
      <c r="O157" s="2">
        <v>0.51661699999999999</v>
      </c>
      <c r="P157" s="2">
        <v>156</v>
      </c>
      <c r="Q157" s="2">
        <v>2015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ht="12.3" hidden="1" x14ac:dyDescent="0.4">
      <c r="A158" s="2" t="s">
        <v>189</v>
      </c>
      <c r="B158" s="2"/>
      <c r="C158" s="2">
        <v>59.279000000000003</v>
      </c>
      <c r="D158" s="2">
        <v>344</v>
      </c>
      <c r="E158" s="2">
        <v>58.895899999999997</v>
      </c>
      <c r="F158" s="2">
        <v>346</v>
      </c>
      <c r="G158" s="2">
        <v>100.0248</v>
      </c>
      <c r="H158" s="2">
        <v>216</v>
      </c>
      <c r="I158" s="2">
        <v>100.5223</v>
      </c>
      <c r="J158" s="2">
        <v>212</v>
      </c>
      <c r="K158" s="2">
        <v>101.8018</v>
      </c>
      <c r="L158" s="2">
        <v>166</v>
      </c>
      <c r="M158" s="2">
        <v>100.18210000000001</v>
      </c>
      <c r="N158" s="2">
        <v>126</v>
      </c>
      <c r="O158" s="2">
        <v>0.50974399999999997</v>
      </c>
      <c r="P158" s="2">
        <v>157</v>
      </c>
      <c r="Q158" s="2">
        <v>2015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ht="12.3" hidden="1" x14ac:dyDescent="0.4">
      <c r="A159" s="2" t="s">
        <v>166</v>
      </c>
      <c r="B159" s="2"/>
      <c r="C159" s="2">
        <v>65.283799999999999</v>
      </c>
      <c r="D159" s="2">
        <v>150</v>
      </c>
      <c r="E159" s="2">
        <v>65.013999999999996</v>
      </c>
      <c r="F159" s="2">
        <v>155</v>
      </c>
      <c r="G159" s="2">
        <v>106.00369999999999</v>
      </c>
      <c r="H159" s="2">
        <v>86</v>
      </c>
      <c r="I159" s="2">
        <v>103.4679</v>
      </c>
      <c r="J159" s="2">
        <v>140</v>
      </c>
      <c r="K159" s="2">
        <v>102.36579999999999</v>
      </c>
      <c r="L159" s="2">
        <v>176</v>
      </c>
      <c r="M159" s="2">
        <v>103.32089999999999</v>
      </c>
      <c r="N159" s="2">
        <v>185</v>
      </c>
      <c r="O159" s="2">
        <v>0.50408900000000001</v>
      </c>
      <c r="P159" s="2">
        <v>158</v>
      </c>
      <c r="Q159" s="2">
        <v>2015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ht="12.3" hidden="1" x14ac:dyDescent="0.4">
      <c r="A160" s="2" t="s">
        <v>182</v>
      </c>
      <c r="B160" s="2"/>
      <c r="C160" s="2">
        <v>64.598699999999994</v>
      </c>
      <c r="D160" s="2">
        <v>186</v>
      </c>
      <c r="E160" s="2">
        <v>64.739400000000003</v>
      </c>
      <c r="F160" s="2">
        <v>168</v>
      </c>
      <c r="G160" s="2">
        <v>99.953500000000005</v>
      </c>
      <c r="H160" s="2">
        <v>219</v>
      </c>
      <c r="I160" s="2">
        <v>99.066599999999994</v>
      </c>
      <c r="J160" s="2">
        <v>238</v>
      </c>
      <c r="K160" s="2">
        <v>97.516199999999998</v>
      </c>
      <c r="L160" s="2">
        <v>76</v>
      </c>
      <c r="M160" s="2">
        <v>98.948599999999999</v>
      </c>
      <c r="N160" s="2">
        <v>98</v>
      </c>
      <c r="O160" s="2">
        <v>0.50342699999999996</v>
      </c>
      <c r="P160" s="2">
        <v>159</v>
      </c>
      <c r="Q160" s="2">
        <v>2015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ht="12.3" hidden="1" x14ac:dyDescent="0.4">
      <c r="A161" s="2" t="s">
        <v>327</v>
      </c>
      <c r="B161" s="2"/>
      <c r="C161" s="2">
        <v>62.515799999999999</v>
      </c>
      <c r="D161" s="2">
        <v>290</v>
      </c>
      <c r="E161" s="2">
        <v>63.569200000000002</v>
      </c>
      <c r="F161" s="2">
        <v>247</v>
      </c>
      <c r="G161" s="2">
        <v>100.01309999999999</v>
      </c>
      <c r="H161" s="2">
        <v>217</v>
      </c>
      <c r="I161" s="2">
        <v>100.2837</v>
      </c>
      <c r="J161" s="2">
        <v>219</v>
      </c>
      <c r="K161" s="2">
        <v>98.810599999999994</v>
      </c>
      <c r="L161" s="2">
        <v>101</v>
      </c>
      <c r="M161" s="2">
        <v>100.1931</v>
      </c>
      <c r="N161" s="2">
        <v>127</v>
      </c>
      <c r="O161" s="2">
        <v>0.50259699999999996</v>
      </c>
      <c r="P161" s="2">
        <v>160</v>
      </c>
      <c r="Q161" s="2">
        <v>2015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ht="12.3" hidden="1" x14ac:dyDescent="0.4">
      <c r="A162" s="2" t="s">
        <v>91</v>
      </c>
      <c r="B162" s="2"/>
      <c r="C162" s="2">
        <v>64.098399999999998</v>
      </c>
      <c r="D162" s="2">
        <v>218</v>
      </c>
      <c r="E162" s="2">
        <v>64.337599999999995</v>
      </c>
      <c r="F162" s="2">
        <v>194</v>
      </c>
      <c r="G162" s="2">
        <v>95.008600000000001</v>
      </c>
      <c r="H162" s="2">
        <v>300</v>
      </c>
      <c r="I162" s="2">
        <v>98.014399999999995</v>
      </c>
      <c r="J162" s="2">
        <v>254</v>
      </c>
      <c r="K162" s="2">
        <v>98.923599999999993</v>
      </c>
      <c r="L162" s="2">
        <v>104</v>
      </c>
      <c r="M162" s="2">
        <v>97.9298</v>
      </c>
      <c r="N162" s="2">
        <v>84</v>
      </c>
      <c r="O162" s="2">
        <v>0.50248400000000004</v>
      </c>
      <c r="P162" s="2">
        <v>161</v>
      </c>
      <c r="Q162" s="2">
        <v>2015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 spans="1:52" ht="12.3" hidden="1" x14ac:dyDescent="0.4">
      <c r="A163" s="2" t="s">
        <v>234</v>
      </c>
      <c r="B163" s="2"/>
      <c r="C163" s="2">
        <v>62.9786</v>
      </c>
      <c r="D163" s="2">
        <v>272</v>
      </c>
      <c r="E163" s="2">
        <v>62.1068</v>
      </c>
      <c r="F163" s="2">
        <v>299</v>
      </c>
      <c r="G163" s="2">
        <v>108.1944</v>
      </c>
      <c r="H163" s="2">
        <v>53</v>
      </c>
      <c r="I163" s="2">
        <v>103.73609999999999</v>
      </c>
      <c r="J163" s="2">
        <v>133</v>
      </c>
      <c r="K163" s="2">
        <v>103.65770000000001</v>
      </c>
      <c r="L163" s="2">
        <v>204</v>
      </c>
      <c r="M163" s="2">
        <v>103.697</v>
      </c>
      <c r="N163" s="2">
        <v>194</v>
      </c>
      <c r="O163" s="2">
        <v>0.50108299999999995</v>
      </c>
      <c r="P163" s="2">
        <v>162</v>
      </c>
      <c r="Q163" s="2">
        <v>2015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 spans="1:52" ht="12.3" hidden="1" x14ac:dyDescent="0.4">
      <c r="A164" s="2" t="s">
        <v>207</v>
      </c>
      <c r="B164" s="2"/>
      <c r="C164" s="2">
        <v>67.281700000000001</v>
      </c>
      <c r="D164" s="2">
        <v>67</v>
      </c>
      <c r="E164" s="2">
        <v>66.986599999999996</v>
      </c>
      <c r="F164" s="2">
        <v>69</v>
      </c>
      <c r="G164" s="2">
        <v>102.756</v>
      </c>
      <c r="H164" s="2">
        <v>159</v>
      </c>
      <c r="I164" s="2">
        <v>104.98269999999999</v>
      </c>
      <c r="J164" s="2">
        <v>110</v>
      </c>
      <c r="K164" s="2">
        <v>109.1224</v>
      </c>
      <c r="L164" s="2">
        <v>314</v>
      </c>
      <c r="M164" s="2">
        <v>105.04</v>
      </c>
      <c r="N164" s="2">
        <v>224</v>
      </c>
      <c r="O164" s="2">
        <v>0.49842999999999998</v>
      </c>
      <c r="P164" s="2">
        <v>163</v>
      </c>
      <c r="Q164" s="2">
        <v>2015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 spans="1:52" ht="12.3" hidden="1" x14ac:dyDescent="0.4">
      <c r="A165" s="2" t="s">
        <v>201</v>
      </c>
      <c r="B165" s="2"/>
      <c r="C165" s="2">
        <v>66.091999999999999</v>
      </c>
      <c r="D165" s="2">
        <v>111</v>
      </c>
      <c r="E165" s="2">
        <v>66.161600000000007</v>
      </c>
      <c r="F165" s="2">
        <v>105</v>
      </c>
      <c r="G165" s="2">
        <v>103.4487</v>
      </c>
      <c r="H165" s="2">
        <v>140</v>
      </c>
      <c r="I165" s="2">
        <v>101.7557</v>
      </c>
      <c r="J165" s="2">
        <v>176</v>
      </c>
      <c r="K165" s="2">
        <v>100.2715</v>
      </c>
      <c r="L165" s="2">
        <v>129</v>
      </c>
      <c r="M165" s="2">
        <v>101.8939</v>
      </c>
      <c r="N165" s="2">
        <v>157</v>
      </c>
      <c r="O165" s="2">
        <v>0.49609900000000001</v>
      </c>
      <c r="P165" s="2">
        <v>164</v>
      </c>
      <c r="Q165" s="2">
        <v>2015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 spans="1:52" ht="12.3" hidden="1" x14ac:dyDescent="0.4">
      <c r="A166" s="2" t="s">
        <v>83</v>
      </c>
      <c r="B166" s="2"/>
      <c r="C166" s="2">
        <v>67.8172</v>
      </c>
      <c r="D166" s="2">
        <v>48</v>
      </c>
      <c r="E166" s="2">
        <v>67.665700000000001</v>
      </c>
      <c r="F166" s="2">
        <v>43</v>
      </c>
      <c r="G166" s="2">
        <v>100.4255</v>
      </c>
      <c r="H166" s="2">
        <v>208</v>
      </c>
      <c r="I166" s="2">
        <v>99.0702</v>
      </c>
      <c r="J166" s="2">
        <v>237</v>
      </c>
      <c r="K166" s="2">
        <v>100.1906</v>
      </c>
      <c r="L166" s="2">
        <v>128</v>
      </c>
      <c r="M166" s="2">
        <v>99.419600000000003</v>
      </c>
      <c r="N166" s="2">
        <v>108</v>
      </c>
      <c r="O166" s="2">
        <v>0.48988100000000001</v>
      </c>
      <c r="P166" s="2">
        <v>165</v>
      </c>
      <c r="Q166" s="2">
        <v>2015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 spans="1:52" ht="12.3" hidden="1" x14ac:dyDescent="0.4">
      <c r="A167" s="2" t="s">
        <v>240</v>
      </c>
      <c r="B167" s="2"/>
      <c r="C167" s="2">
        <v>66.622600000000006</v>
      </c>
      <c r="D167" s="2">
        <v>88</v>
      </c>
      <c r="E167" s="2">
        <v>66.043800000000005</v>
      </c>
      <c r="F167" s="2">
        <v>110</v>
      </c>
      <c r="G167" s="2">
        <v>105.88339999999999</v>
      </c>
      <c r="H167" s="2">
        <v>91</v>
      </c>
      <c r="I167" s="2">
        <v>103.036</v>
      </c>
      <c r="J167" s="2">
        <v>148</v>
      </c>
      <c r="K167" s="2">
        <v>100.85599999999999</v>
      </c>
      <c r="L167" s="2">
        <v>145</v>
      </c>
      <c r="M167" s="2">
        <v>103.6468</v>
      </c>
      <c r="N167" s="2">
        <v>193</v>
      </c>
      <c r="O167" s="2">
        <v>0.48301500000000003</v>
      </c>
      <c r="P167" s="2">
        <v>166</v>
      </c>
      <c r="Q167" s="2">
        <v>2015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 spans="1:52" ht="12.3" hidden="1" x14ac:dyDescent="0.4">
      <c r="A168" s="2" t="s">
        <v>209</v>
      </c>
      <c r="B168" s="2"/>
      <c r="C168" s="2">
        <v>63.503900000000002</v>
      </c>
      <c r="D168" s="2">
        <v>250</v>
      </c>
      <c r="E168" s="2">
        <v>62.945999999999998</v>
      </c>
      <c r="F168" s="2">
        <v>269</v>
      </c>
      <c r="G168" s="2">
        <v>101.0759</v>
      </c>
      <c r="H168" s="2">
        <v>196</v>
      </c>
      <c r="I168" s="2">
        <v>101.4195</v>
      </c>
      <c r="J168" s="2">
        <v>185</v>
      </c>
      <c r="K168" s="2">
        <v>103.81310000000001</v>
      </c>
      <c r="L168" s="2">
        <v>210</v>
      </c>
      <c r="M168" s="2">
        <v>102.0599</v>
      </c>
      <c r="N168" s="2">
        <v>161</v>
      </c>
      <c r="O168" s="2">
        <v>0.48191000000000001</v>
      </c>
      <c r="P168" s="2">
        <v>167</v>
      </c>
      <c r="Q168" s="2">
        <v>2015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 spans="1:52" ht="12.3" hidden="1" x14ac:dyDescent="0.4">
      <c r="A169" s="2" t="s">
        <v>366</v>
      </c>
      <c r="B169" s="2"/>
      <c r="C169" s="2">
        <v>66.745999999999995</v>
      </c>
      <c r="D169" s="2">
        <v>83</v>
      </c>
      <c r="E169" s="2">
        <v>66.345699999999994</v>
      </c>
      <c r="F169" s="2">
        <v>97</v>
      </c>
      <c r="G169" s="2">
        <v>102.79349999999999</v>
      </c>
      <c r="H169" s="2">
        <v>158</v>
      </c>
      <c r="I169" s="2">
        <v>101.4469</v>
      </c>
      <c r="J169" s="2">
        <v>182</v>
      </c>
      <c r="K169" s="2">
        <v>101.4066</v>
      </c>
      <c r="L169" s="2">
        <v>161</v>
      </c>
      <c r="M169" s="2">
        <v>102.2133</v>
      </c>
      <c r="N169" s="2">
        <v>165</v>
      </c>
      <c r="O169" s="2">
        <v>0.47837600000000002</v>
      </c>
      <c r="P169" s="2">
        <v>168</v>
      </c>
      <c r="Q169" s="2">
        <v>2015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 spans="1:52" ht="12.3" hidden="1" x14ac:dyDescent="0.4">
      <c r="A170" s="2" t="s">
        <v>48</v>
      </c>
      <c r="B170" s="2"/>
      <c r="C170" s="2">
        <v>64.206900000000005</v>
      </c>
      <c r="D170" s="2">
        <v>208</v>
      </c>
      <c r="E170" s="2">
        <v>64.366500000000002</v>
      </c>
      <c r="F170" s="2">
        <v>193</v>
      </c>
      <c r="G170" s="2">
        <v>96.204999999999998</v>
      </c>
      <c r="H170" s="2">
        <v>287</v>
      </c>
      <c r="I170" s="2">
        <v>98.035499999999999</v>
      </c>
      <c r="J170" s="2">
        <v>253</v>
      </c>
      <c r="K170" s="2">
        <v>100.1207</v>
      </c>
      <c r="L170" s="2">
        <v>127</v>
      </c>
      <c r="M170" s="2">
        <v>98.928799999999995</v>
      </c>
      <c r="N170" s="2">
        <v>97</v>
      </c>
      <c r="O170" s="2">
        <v>0.47394399999999998</v>
      </c>
      <c r="P170" s="2">
        <v>169</v>
      </c>
      <c r="Q170" s="2">
        <v>2015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 spans="1:52" ht="12.3" hidden="1" x14ac:dyDescent="0.4">
      <c r="A171" s="2" t="s">
        <v>271</v>
      </c>
      <c r="B171" s="2"/>
      <c r="C171" s="2">
        <v>59.939399999999999</v>
      </c>
      <c r="D171" s="2">
        <v>340</v>
      </c>
      <c r="E171" s="2">
        <v>60.894300000000001</v>
      </c>
      <c r="F171" s="2">
        <v>331</v>
      </c>
      <c r="G171" s="2">
        <v>104.9614</v>
      </c>
      <c r="H171" s="2">
        <v>102</v>
      </c>
      <c r="I171" s="2">
        <v>105.5252</v>
      </c>
      <c r="J171" s="2">
        <v>100</v>
      </c>
      <c r="K171" s="2">
        <v>103.1964</v>
      </c>
      <c r="L171" s="2">
        <v>192</v>
      </c>
      <c r="M171" s="2">
        <v>106.5531</v>
      </c>
      <c r="N171" s="2">
        <v>261</v>
      </c>
      <c r="O171" s="2">
        <v>0.47216000000000002</v>
      </c>
      <c r="P171" s="2">
        <v>170</v>
      </c>
      <c r="Q171" s="2">
        <v>2015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 spans="1:52" ht="12.3" hidden="1" x14ac:dyDescent="0.4">
      <c r="A172" s="2" t="s">
        <v>322</v>
      </c>
      <c r="B172" s="2"/>
      <c r="C172" s="2">
        <v>64.869</v>
      </c>
      <c r="D172" s="2">
        <v>169</v>
      </c>
      <c r="E172" s="2">
        <v>64.461500000000001</v>
      </c>
      <c r="F172" s="2">
        <v>182</v>
      </c>
      <c r="G172" s="2">
        <v>106.0014</v>
      </c>
      <c r="H172" s="2">
        <v>87</v>
      </c>
      <c r="I172" s="2">
        <v>105.5241</v>
      </c>
      <c r="J172" s="2">
        <v>101</v>
      </c>
      <c r="K172" s="2">
        <v>104.9406</v>
      </c>
      <c r="L172" s="2">
        <v>236</v>
      </c>
      <c r="M172" s="2">
        <v>106.7847</v>
      </c>
      <c r="N172" s="2">
        <v>264</v>
      </c>
      <c r="O172" s="2">
        <v>0.46590999999999999</v>
      </c>
      <c r="P172" s="2">
        <v>171</v>
      </c>
      <c r="Q172" s="2">
        <v>2015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 spans="1:52" ht="12.3" hidden="1" x14ac:dyDescent="0.4">
      <c r="A173" s="2" t="s">
        <v>267</v>
      </c>
      <c r="B173" s="2"/>
      <c r="C173" s="2">
        <v>65.795100000000005</v>
      </c>
      <c r="D173" s="2">
        <v>124</v>
      </c>
      <c r="E173" s="2">
        <v>67.570499999999996</v>
      </c>
      <c r="F173" s="2">
        <v>48</v>
      </c>
      <c r="G173" s="2">
        <v>98.700400000000002</v>
      </c>
      <c r="H173" s="2">
        <v>249</v>
      </c>
      <c r="I173" s="2">
        <v>100.0573</v>
      </c>
      <c r="J173" s="2">
        <v>226</v>
      </c>
      <c r="K173" s="2">
        <v>101.0438</v>
      </c>
      <c r="L173" s="2">
        <v>147</v>
      </c>
      <c r="M173" s="2">
        <v>101.3082</v>
      </c>
      <c r="N173" s="2">
        <v>144</v>
      </c>
      <c r="O173" s="2">
        <v>0.464339</v>
      </c>
      <c r="P173" s="2">
        <v>172</v>
      </c>
      <c r="Q173" s="2">
        <v>2015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 spans="1:52" ht="12.3" x14ac:dyDescent="0.4">
      <c r="A174" s="2" t="s">
        <v>307</v>
      </c>
      <c r="B174" s="2">
        <v>16</v>
      </c>
      <c r="C174" s="2">
        <v>66.733500000000006</v>
      </c>
      <c r="D174" s="2">
        <v>85</v>
      </c>
      <c r="E174" s="2">
        <v>65.608199999999997</v>
      </c>
      <c r="F174" s="2">
        <v>131</v>
      </c>
      <c r="G174" s="2">
        <v>103.0624</v>
      </c>
      <c r="H174" s="2">
        <v>151</v>
      </c>
      <c r="I174" s="2">
        <v>101.0371</v>
      </c>
      <c r="J174" s="2">
        <v>191</v>
      </c>
      <c r="K174" s="2">
        <v>100.7603</v>
      </c>
      <c r="L174" s="2">
        <v>142</v>
      </c>
      <c r="M174" s="2">
        <v>102.3443</v>
      </c>
      <c r="N174" s="2">
        <v>169</v>
      </c>
      <c r="O174" s="2">
        <v>0.46310800000000002</v>
      </c>
      <c r="P174" s="2">
        <v>173</v>
      </c>
      <c r="Q174" s="10">
        <v>-1.3072000000000088</v>
      </c>
      <c r="R174" s="2"/>
      <c r="S174" s="2"/>
      <c r="T174" s="2"/>
      <c r="U174" s="2"/>
      <c r="V174" s="10"/>
      <c r="W174" s="2"/>
      <c r="X174" s="2"/>
      <c r="Y174" s="2"/>
      <c r="Z174" s="10"/>
      <c r="AA174" s="2"/>
      <c r="AB174" s="10"/>
      <c r="AC174" s="2"/>
      <c r="AD174" s="10"/>
      <c r="AE174" s="2"/>
      <c r="AF174" s="10"/>
      <c r="AG174" s="2"/>
      <c r="AH174" s="30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 spans="1:52" ht="12.3" hidden="1" x14ac:dyDescent="0.4">
      <c r="A175" s="2" t="s">
        <v>193</v>
      </c>
      <c r="B175" s="2"/>
      <c r="C175" s="2">
        <v>62.202800000000003</v>
      </c>
      <c r="D175" s="2">
        <v>298</v>
      </c>
      <c r="E175" s="2">
        <v>61.070999999999998</v>
      </c>
      <c r="F175" s="2">
        <v>325</v>
      </c>
      <c r="G175" s="2">
        <v>96.529600000000002</v>
      </c>
      <c r="H175" s="2">
        <v>282</v>
      </c>
      <c r="I175" s="2">
        <v>95.840100000000007</v>
      </c>
      <c r="J175" s="2">
        <v>295</v>
      </c>
      <c r="K175" s="2">
        <v>95.732600000000005</v>
      </c>
      <c r="L175" s="2">
        <v>42</v>
      </c>
      <c r="M175" s="2">
        <v>97.120599999999996</v>
      </c>
      <c r="N175" s="2">
        <v>71</v>
      </c>
      <c r="O175" s="2">
        <v>0.46191599999999999</v>
      </c>
      <c r="P175" s="2">
        <v>174</v>
      </c>
      <c r="Q175" s="2">
        <v>2015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 spans="1:52" ht="12.3" hidden="1" x14ac:dyDescent="0.4">
      <c r="A176" s="2" t="s">
        <v>310</v>
      </c>
      <c r="B176" s="2"/>
      <c r="C176" s="2">
        <v>63.801499999999997</v>
      </c>
      <c r="D176" s="2">
        <v>238</v>
      </c>
      <c r="E176" s="2">
        <v>64.026799999999994</v>
      </c>
      <c r="F176" s="2">
        <v>210</v>
      </c>
      <c r="G176" s="2">
        <v>100.52500000000001</v>
      </c>
      <c r="H176" s="2">
        <v>207</v>
      </c>
      <c r="I176" s="2">
        <v>98.575100000000006</v>
      </c>
      <c r="J176" s="2">
        <v>246</v>
      </c>
      <c r="K176" s="2">
        <v>96.062600000000003</v>
      </c>
      <c r="L176" s="2">
        <v>46</v>
      </c>
      <c r="M176" s="2">
        <v>99.894499999999994</v>
      </c>
      <c r="N176" s="2">
        <v>119</v>
      </c>
      <c r="O176" s="2">
        <v>0.46185100000000001</v>
      </c>
      <c r="P176" s="2">
        <v>175</v>
      </c>
      <c r="Q176" s="2">
        <v>2015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 spans="1:52" ht="12.3" hidden="1" x14ac:dyDescent="0.4">
      <c r="A177" s="2" t="s">
        <v>247</v>
      </c>
      <c r="B177" s="2"/>
      <c r="C177" s="2">
        <v>60.2911</v>
      </c>
      <c r="D177" s="2">
        <v>338</v>
      </c>
      <c r="E177" s="2">
        <v>61.139000000000003</v>
      </c>
      <c r="F177" s="2">
        <v>323</v>
      </c>
      <c r="G177" s="2">
        <v>106.63079999999999</v>
      </c>
      <c r="H177" s="2">
        <v>69</v>
      </c>
      <c r="I177" s="2">
        <v>106.39100000000001</v>
      </c>
      <c r="J177" s="2">
        <v>81</v>
      </c>
      <c r="K177" s="2">
        <v>105.5082</v>
      </c>
      <c r="L177" s="2">
        <v>252</v>
      </c>
      <c r="M177" s="2">
        <v>107.8404</v>
      </c>
      <c r="N177" s="2">
        <v>284</v>
      </c>
      <c r="O177" s="2">
        <v>0.461177</v>
      </c>
      <c r="P177" s="2">
        <v>176</v>
      </c>
      <c r="Q177" s="2">
        <v>2015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 spans="1:52" ht="12.3" hidden="1" x14ac:dyDescent="0.4">
      <c r="A178" s="2" t="s">
        <v>280</v>
      </c>
      <c r="B178" s="2"/>
      <c r="C178" s="2">
        <v>62.099600000000002</v>
      </c>
      <c r="D178" s="2">
        <v>302</v>
      </c>
      <c r="E178" s="2">
        <v>61.668999999999997</v>
      </c>
      <c r="F178" s="2">
        <v>312</v>
      </c>
      <c r="G178" s="2">
        <v>107.7264</v>
      </c>
      <c r="H178" s="2">
        <v>55</v>
      </c>
      <c r="I178" s="2">
        <v>106.2377</v>
      </c>
      <c r="J178" s="2">
        <v>85</v>
      </c>
      <c r="K178" s="2">
        <v>105.21120000000001</v>
      </c>
      <c r="L178" s="2">
        <v>242</v>
      </c>
      <c r="M178" s="2">
        <v>107.7252</v>
      </c>
      <c r="N178" s="2">
        <v>281</v>
      </c>
      <c r="O178" s="2">
        <v>0.46010899999999999</v>
      </c>
      <c r="P178" s="2">
        <v>177</v>
      </c>
      <c r="Q178" s="2">
        <v>2015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 spans="1:52" ht="12.3" hidden="1" x14ac:dyDescent="0.4">
      <c r="A179" s="2" t="s">
        <v>367</v>
      </c>
      <c r="B179" s="2"/>
      <c r="C179" s="2">
        <v>64.132499999999993</v>
      </c>
      <c r="D179" s="2">
        <v>215</v>
      </c>
      <c r="E179" s="2">
        <v>63.639600000000002</v>
      </c>
      <c r="F179" s="2">
        <v>242</v>
      </c>
      <c r="G179" s="2">
        <v>107.3442</v>
      </c>
      <c r="H179" s="2">
        <v>60</v>
      </c>
      <c r="I179" s="2">
        <v>102.2701</v>
      </c>
      <c r="J179" s="2">
        <v>166</v>
      </c>
      <c r="K179" s="2">
        <v>97.946899999999999</v>
      </c>
      <c r="L179" s="2">
        <v>84</v>
      </c>
      <c r="M179" s="2">
        <v>103.7213</v>
      </c>
      <c r="N179" s="2">
        <v>195</v>
      </c>
      <c r="O179" s="2">
        <v>0.45957900000000002</v>
      </c>
      <c r="P179" s="2">
        <v>178</v>
      </c>
      <c r="Q179" s="2">
        <v>2015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 spans="1:52" ht="12.3" hidden="1" x14ac:dyDescent="0.4">
      <c r="A180" s="2" t="s">
        <v>369</v>
      </c>
      <c r="B180" s="2"/>
      <c r="C180" s="2">
        <v>65.109300000000005</v>
      </c>
      <c r="D180" s="2">
        <v>154</v>
      </c>
      <c r="E180" s="2">
        <v>64.439300000000003</v>
      </c>
      <c r="F180" s="2">
        <v>186</v>
      </c>
      <c r="G180" s="2">
        <v>103.6277</v>
      </c>
      <c r="H180" s="2">
        <v>135</v>
      </c>
      <c r="I180" s="2">
        <v>99.800899999999999</v>
      </c>
      <c r="J180" s="2">
        <v>229</v>
      </c>
      <c r="K180" s="2">
        <v>98.533699999999996</v>
      </c>
      <c r="L180" s="2">
        <v>96</v>
      </c>
      <c r="M180" s="2">
        <v>101.355</v>
      </c>
      <c r="N180" s="2">
        <v>145</v>
      </c>
      <c r="O180" s="2">
        <v>0.45569300000000001</v>
      </c>
      <c r="P180" s="2">
        <v>179</v>
      </c>
      <c r="Q180" s="2">
        <v>2015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 spans="1:52" ht="12.3" hidden="1" x14ac:dyDescent="0.4">
      <c r="A181" s="2" t="s">
        <v>274</v>
      </c>
      <c r="B181" s="2"/>
      <c r="C181" s="2">
        <v>66.520899999999997</v>
      </c>
      <c r="D181" s="2">
        <v>94</v>
      </c>
      <c r="E181" s="2">
        <v>67.208699999999993</v>
      </c>
      <c r="F181" s="2">
        <v>59</v>
      </c>
      <c r="G181" s="2">
        <v>102.2961</v>
      </c>
      <c r="H181" s="2">
        <v>172</v>
      </c>
      <c r="I181" s="2">
        <v>100.22620000000001</v>
      </c>
      <c r="J181" s="2">
        <v>221</v>
      </c>
      <c r="K181" s="2">
        <v>98.838300000000004</v>
      </c>
      <c r="L181" s="2">
        <v>103</v>
      </c>
      <c r="M181" s="2">
        <v>101.92749999999999</v>
      </c>
      <c r="N181" s="2">
        <v>158</v>
      </c>
      <c r="O181" s="2">
        <v>0.45175700000000002</v>
      </c>
      <c r="P181" s="2">
        <v>180</v>
      </c>
      <c r="Q181" s="2">
        <v>2015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 spans="1:52" ht="12.3" hidden="1" x14ac:dyDescent="0.4">
      <c r="A182" s="2" t="s">
        <v>318</v>
      </c>
      <c r="B182" s="2"/>
      <c r="C182" s="2">
        <v>60.871299999999998</v>
      </c>
      <c r="D182" s="2">
        <v>331</v>
      </c>
      <c r="E182" s="2">
        <v>60.454500000000003</v>
      </c>
      <c r="F182" s="2">
        <v>337</v>
      </c>
      <c r="G182" s="2">
        <v>105.92319999999999</v>
      </c>
      <c r="H182" s="2">
        <v>89</v>
      </c>
      <c r="I182" s="2">
        <v>101.9469</v>
      </c>
      <c r="J182" s="2">
        <v>173</v>
      </c>
      <c r="K182" s="2">
        <v>102.3274</v>
      </c>
      <c r="L182" s="2">
        <v>175</v>
      </c>
      <c r="M182" s="2">
        <v>103.765</v>
      </c>
      <c r="N182" s="2">
        <v>197</v>
      </c>
      <c r="O182" s="2">
        <v>0.44935399999999998</v>
      </c>
      <c r="P182" s="2">
        <v>181</v>
      </c>
      <c r="Q182" s="2">
        <v>2015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 spans="1:52" ht="12.3" hidden="1" x14ac:dyDescent="0.4">
      <c r="A183" s="2" t="s">
        <v>223</v>
      </c>
      <c r="B183" s="2"/>
      <c r="C183" s="2">
        <v>64.589100000000002</v>
      </c>
      <c r="D183" s="2">
        <v>187</v>
      </c>
      <c r="E183" s="2">
        <v>64.690899999999999</v>
      </c>
      <c r="F183" s="2">
        <v>172</v>
      </c>
      <c r="G183" s="2">
        <v>106.3395</v>
      </c>
      <c r="H183" s="2">
        <v>81</v>
      </c>
      <c r="I183" s="2">
        <v>104.20740000000001</v>
      </c>
      <c r="J183" s="2">
        <v>118</v>
      </c>
      <c r="K183" s="2">
        <v>104.435</v>
      </c>
      <c r="L183" s="2">
        <v>222</v>
      </c>
      <c r="M183" s="2">
        <v>106.21210000000001</v>
      </c>
      <c r="N183" s="2">
        <v>249</v>
      </c>
      <c r="O183" s="2">
        <v>0.445434</v>
      </c>
      <c r="P183" s="2">
        <v>182</v>
      </c>
      <c r="Q183" s="2">
        <v>2015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 spans="1:52" ht="12.3" hidden="1" x14ac:dyDescent="0.4">
      <c r="A184" s="2" t="s">
        <v>251</v>
      </c>
      <c r="B184" s="2"/>
      <c r="C184" s="2">
        <v>64.161199999999994</v>
      </c>
      <c r="D184" s="2">
        <v>213</v>
      </c>
      <c r="E184" s="2">
        <v>64.166300000000007</v>
      </c>
      <c r="F184" s="2">
        <v>203</v>
      </c>
      <c r="G184" s="2">
        <v>99.625200000000007</v>
      </c>
      <c r="H184" s="2">
        <v>229</v>
      </c>
      <c r="I184" s="2">
        <v>98.357799999999997</v>
      </c>
      <c r="J184" s="2">
        <v>248</v>
      </c>
      <c r="K184" s="2">
        <v>98.188199999999995</v>
      </c>
      <c r="L184" s="2">
        <v>88</v>
      </c>
      <c r="M184" s="2">
        <v>100.264</v>
      </c>
      <c r="N184" s="2">
        <v>131</v>
      </c>
      <c r="O184" s="2">
        <v>0.44503900000000002</v>
      </c>
      <c r="P184" s="2">
        <v>183</v>
      </c>
      <c r="Q184" s="2">
        <v>2015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 spans="1:52" ht="12.3" hidden="1" x14ac:dyDescent="0.4">
      <c r="A185" s="2" t="s">
        <v>283</v>
      </c>
      <c r="B185" s="2"/>
      <c r="C185" s="2">
        <v>63.800400000000003</v>
      </c>
      <c r="D185" s="2">
        <v>239</v>
      </c>
      <c r="E185" s="2">
        <v>63.121699999999997</v>
      </c>
      <c r="F185" s="2">
        <v>265</v>
      </c>
      <c r="G185" s="2">
        <v>100.0273</v>
      </c>
      <c r="H185" s="2">
        <v>215</v>
      </c>
      <c r="I185" s="2">
        <v>99.487799999999993</v>
      </c>
      <c r="J185" s="2">
        <v>231</v>
      </c>
      <c r="K185" s="2">
        <v>96.933700000000002</v>
      </c>
      <c r="L185" s="2">
        <v>69</v>
      </c>
      <c r="M185" s="2">
        <v>101.4371</v>
      </c>
      <c r="N185" s="2">
        <v>148</v>
      </c>
      <c r="O185" s="2">
        <v>0.44444600000000001</v>
      </c>
      <c r="P185" s="2">
        <v>184</v>
      </c>
      <c r="Q185" s="2">
        <v>2015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 spans="1:52" ht="12.3" hidden="1" x14ac:dyDescent="0.4">
      <c r="A186" s="2" t="s">
        <v>226</v>
      </c>
      <c r="B186" s="2"/>
      <c r="C186" s="2">
        <v>57.061700000000002</v>
      </c>
      <c r="D186" s="2">
        <v>351</v>
      </c>
      <c r="E186" s="2">
        <v>57.583199999999998</v>
      </c>
      <c r="F186" s="2">
        <v>350</v>
      </c>
      <c r="G186" s="2">
        <v>101.23260000000001</v>
      </c>
      <c r="H186" s="2">
        <v>191</v>
      </c>
      <c r="I186" s="2">
        <v>101.2268</v>
      </c>
      <c r="J186" s="2">
        <v>189</v>
      </c>
      <c r="K186" s="2">
        <v>101.2037</v>
      </c>
      <c r="L186" s="2">
        <v>153</v>
      </c>
      <c r="M186" s="2">
        <v>103.3064</v>
      </c>
      <c r="N186" s="2">
        <v>184</v>
      </c>
      <c r="O186" s="2">
        <v>0.44180199999999997</v>
      </c>
      <c r="P186" s="2">
        <v>185</v>
      </c>
      <c r="Q186" s="2">
        <v>2015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 spans="1:52" ht="12.3" hidden="1" x14ac:dyDescent="0.4">
      <c r="A187" s="2" t="s">
        <v>132</v>
      </c>
      <c r="B187" s="2"/>
      <c r="C187" s="2">
        <v>67.912400000000005</v>
      </c>
      <c r="D187" s="2">
        <v>46</v>
      </c>
      <c r="E187" s="2">
        <v>68.029300000000006</v>
      </c>
      <c r="F187" s="2">
        <v>33</v>
      </c>
      <c r="G187" s="2">
        <v>101.0795</v>
      </c>
      <c r="H187" s="2">
        <v>195</v>
      </c>
      <c r="I187" s="2">
        <v>101.42310000000001</v>
      </c>
      <c r="J187" s="2">
        <v>184</v>
      </c>
      <c r="K187" s="2">
        <v>104.3873</v>
      </c>
      <c r="L187" s="2">
        <v>221</v>
      </c>
      <c r="M187" s="2">
        <v>103.5082</v>
      </c>
      <c r="N187" s="2">
        <v>190</v>
      </c>
      <c r="O187" s="2">
        <v>0.44175700000000001</v>
      </c>
      <c r="P187" s="2">
        <v>186</v>
      </c>
      <c r="Q187" s="2">
        <v>2015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 spans="1:52" ht="12.3" hidden="1" x14ac:dyDescent="0.4">
      <c r="A188" s="2" t="s">
        <v>305</v>
      </c>
      <c r="B188" s="2"/>
      <c r="C188" s="2">
        <v>66.070999999999998</v>
      </c>
      <c r="D188" s="2">
        <v>114</v>
      </c>
      <c r="E188" s="2">
        <v>65.737700000000004</v>
      </c>
      <c r="F188" s="2">
        <v>126</v>
      </c>
      <c r="G188" s="2">
        <v>107.2186</v>
      </c>
      <c r="H188" s="2">
        <v>64</v>
      </c>
      <c r="I188" s="2">
        <v>105.50149999999999</v>
      </c>
      <c r="J188" s="2">
        <v>102</v>
      </c>
      <c r="K188" s="2">
        <v>105.5707</v>
      </c>
      <c r="L188" s="2">
        <v>254</v>
      </c>
      <c r="M188" s="2">
        <v>107.6758</v>
      </c>
      <c r="N188" s="2">
        <v>278</v>
      </c>
      <c r="O188" s="2">
        <v>0.44161800000000001</v>
      </c>
      <c r="P188" s="2">
        <v>187</v>
      </c>
      <c r="Q188" s="2">
        <v>2015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 spans="1:52" ht="12.3" hidden="1" x14ac:dyDescent="0.4">
      <c r="A189" s="2" t="s">
        <v>159</v>
      </c>
      <c r="B189" s="2"/>
      <c r="C189" s="2">
        <v>64.119600000000005</v>
      </c>
      <c r="D189" s="2">
        <v>216</v>
      </c>
      <c r="E189" s="2">
        <v>63.800600000000003</v>
      </c>
      <c r="F189" s="2">
        <v>225</v>
      </c>
      <c r="G189" s="2">
        <v>101.0958</v>
      </c>
      <c r="H189" s="2">
        <v>194</v>
      </c>
      <c r="I189" s="2">
        <v>103.91200000000001</v>
      </c>
      <c r="J189" s="2">
        <v>126</v>
      </c>
      <c r="K189" s="2">
        <v>107.96899999999999</v>
      </c>
      <c r="L189" s="2">
        <v>299</v>
      </c>
      <c r="M189" s="2">
        <v>106.0578</v>
      </c>
      <c r="N189" s="2">
        <v>244</v>
      </c>
      <c r="O189" s="2">
        <v>0.44150400000000001</v>
      </c>
      <c r="P189" s="2">
        <v>188</v>
      </c>
      <c r="Q189" s="2">
        <v>2015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 spans="1:52" ht="12.3" hidden="1" x14ac:dyDescent="0.4">
      <c r="A190" s="2" t="s">
        <v>217</v>
      </c>
      <c r="B190" s="2"/>
      <c r="C190" s="2">
        <v>61.328200000000002</v>
      </c>
      <c r="D190" s="2">
        <v>320</v>
      </c>
      <c r="E190" s="2">
        <v>61.8902</v>
      </c>
      <c r="F190" s="2">
        <v>305</v>
      </c>
      <c r="G190" s="2">
        <v>101.95529999999999</v>
      </c>
      <c r="H190" s="2">
        <v>178</v>
      </c>
      <c r="I190" s="2">
        <v>103.50539999999999</v>
      </c>
      <c r="J190" s="2">
        <v>137</v>
      </c>
      <c r="K190" s="2">
        <v>109.0847</v>
      </c>
      <c r="L190" s="2">
        <v>312</v>
      </c>
      <c r="M190" s="2">
        <v>105.6461</v>
      </c>
      <c r="N190" s="2">
        <v>236</v>
      </c>
      <c r="O190" s="2">
        <v>0.441415</v>
      </c>
      <c r="P190" s="2">
        <v>189</v>
      </c>
      <c r="Q190" s="2">
        <v>2015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 spans="1:52" ht="12.3" hidden="1" x14ac:dyDescent="0.4">
      <c r="A191" s="2" t="s">
        <v>254</v>
      </c>
      <c r="B191" s="2"/>
      <c r="C191" s="2">
        <v>65.010499999999993</v>
      </c>
      <c r="D191" s="2">
        <v>161</v>
      </c>
      <c r="E191" s="2">
        <v>64.573400000000007</v>
      </c>
      <c r="F191" s="2">
        <v>179</v>
      </c>
      <c r="G191" s="2">
        <v>104.0416</v>
      </c>
      <c r="H191" s="2">
        <v>124</v>
      </c>
      <c r="I191" s="2">
        <v>100.3389</v>
      </c>
      <c r="J191" s="2">
        <v>218</v>
      </c>
      <c r="K191" s="2">
        <v>103.0275</v>
      </c>
      <c r="L191" s="2">
        <v>190</v>
      </c>
      <c r="M191" s="2">
        <v>102.5962</v>
      </c>
      <c r="N191" s="2">
        <v>173</v>
      </c>
      <c r="O191" s="2">
        <v>0.43638399999999999</v>
      </c>
      <c r="P191" s="2">
        <v>190</v>
      </c>
      <c r="Q191" s="2">
        <v>2015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r="192" spans="1:52" ht="12.3" hidden="1" x14ac:dyDescent="0.4">
      <c r="A192" s="2" t="s">
        <v>239</v>
      </c>
      <c r="B192" s="2"/>
      <c r="C192" s="2">
        <v>67.618499999999997</v>
      </c>
      <c r="D192" s="2">
        <v>58</v>
      </c>
      <c r="E192" s="2">
        <v>67.463300000000004</v>
      </c>
      <c r="F192" s="2">
        <v>54</v>
      </c>
      <c r="G192" s="2">
        <v>102.68510000000001</v>
      </c>
      <c r="H192" s="2">
        <v>164</v>
      </c>
      <c r="I192" s="2">
        <v>107.1711</v>
      </c>
      <c r="J192" s="2">
        <v>72</v>
      </c>
      <c r="K192" s="2">
        <v>111.9995</v>
      </c>
      <c r="L192" s="2">
        <v>338</v>
      </c>
      <c r="M192" s="2">
        <v>109.5917</v>
      </c>
      <c r="N192" s="2">
        <v>315</v>
      </c>
      <c r="O192" s="2">
        <v>0.43613800000000003</v>
      </c>
      <c r="P192" s="2">
        <v>191</v>
      </c>
      <c r="Q192" s="2">
        <v>2015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</row>
    <row r="193" spans="1:52" ht="12.3" hidden="1" x14ac:dyDescent="0.4">
      <c r="A193" s="2" t="s">
        <v>335</v>
      </c>
      <c r="B193" s="2"/>
      <c r="C193" s="2">
        <v>61.334099999999999</v>
      </c>
      <c r="D193" s="2">
        <v>319</v>
      </c>
      <c r="E193" s="2">
        <v>60.738</v>
      </c>
      <c r="F193" s="2">
        <v>332</v>
      </c>
      <c r="G193" s="2">
        <v>98.8369</v>
      </c>
      <c r="H193" s="2">
        <v>248</v>
      </c>
      <c r="I193" s="2">
        <v>97.596299999999999</v>
      </c>
      <c r="J193" s="2">
        <v>263</v>
      </c>
      <c r="K193" s="2">
        <v>97.035200000000003</v>
      </c>
      <c r="L193" s="2">
        <v>71</v>
      </c>
      <c r="M193" s="2">
        <v>99.885000000000005</v>
      </c>
      <c r="N193" s="2">
        <v>118</v>
      </c>
      <c r="O193" s="2">
        <v>0.43374800000000002</v>
      </c>
      <c r="P193" s="2">
        <v>192</v>
      </c>
      <c r="Q193" s="2">
        <v>2015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</row>
    <row r="194" spans="1:52" ht="12.3" hidden="1" x14ac:dyDescent="0.4">
      <c r="A194" s="2" t="s">
        <v>112</v>
      </c>
      <c r="B194" s="2"/>
      <c r="C194" s="2">
        <v>63.905099999999997</v>
      </c>
      <c r="D194" s="2">
        <v>230</v>
      </c>
      <c r="E194" s="2">
        <v>65.515600000000006</v>
      </c>
      <c r="F194" s="2">
        <v>133</v>
      </c>
      <c r="G194" s="2">
        <v>98.152000000000001</v>
      </c>
      <c r="H194" s="2">
        <v>258</v>
      </c>
      <c r="I194" s="2">
        <v>100.6512</v>
      </c>
      <c r="J194" s="2">
        <v>206</v>
      </c>
      <c r="K194" s="2">
        <v>103.60299999999999</v>
      </c>
      <c r="L194" s="2">
        <v>202</v>
      </c>
      <c r="M194" s="2">
        <v>103.1157</v>
      </c>
      <c r="N194" s="2">
        <v>182</v>
      </c>
      <c r="O194" s="2">
        <v>0.43090000000000001</v>
      </c>
      <c r="P194" s="2">
        <v>193</v>
      </c>
      <c r="Q194" s="2">
        <v>2015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</row>
    <row r="195" spans="1:52" ht="12.3" hidden="1" x14ac:dyDescent="0.4">
      <c r="A195" s="2" t="s">
        <v>321</v>
      </c>
      <c r="B195" s="2"/>
      <c r="C195" s="2">
        <v>65.072299999999998</v>
      </c>
      <c r="D195" s="2">
        <v>156</v>
      </c>
      <c r="E195" s="2">
        <v>65.408000000000001</v>
      </c>
      <c r="F195" s="2">
        <v>140</v>
      </c>
      <c r="G195" s="2">
        <v>103.0446</v>
      </c>
      <c r="H195" s="2">
        <v>152</v>
      </c>
      <c r="I195" s="2">
        <v>103.4684</v>
      </c>
      <c r="J195" s="2">
        <v>139</v>
      </c>
      <c r="K195" s="2">
        <v>102.44499999999999</v>
      </c>
      <c r="L195" s="2">
        <v>181</v>
      </c>
      <c r="M195" s="2">
        <v>106.0365</v>
      </c>
      <c r="N195" s="2">
        <v>243</v>
      </c>
      <c r="O195" s="2">
        <v>0.429977</v>
      </c>
      <c r="P195" s="2">
        <v>194</v>
      </c>
      <c r="Q195" s="2">
        <v>2015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</row>
    <row r="196" spans="1:52" ht="12.3" x14ac:dyDescent="0.4">
      <c r="A196" s="2" t="s">
        <v>273</v>
      </c>
      <c r="B196" s="2">
        <v>16</v>
      </c>
      <c r="C196" s="2">
        <v>64.612300000000005</v>
      </c>
      <c r="D196" s="2">
        <v>184</v>
      </c>
      <c r="E196" s="2">
        <v>64.965900000000005</v>
      </c>
      <c r="F196" s="2">
        <v>158</v>
      </c>
      <c r="G196" s="2">
        <v>113.6553</v>
      </c>
      <c r="H196" s="2">
        <v>15</v>
      </c>
      <c r="I196" s="2">
        <v>110.35250000000001</v>
      </c>
      <c r="J196" s="2">
        <v>40</v>
      </c>
      <c r="K196" s="2">
        <v>111.764</v>
      </c>
      <c r="L196" s="2">
        <v>336</v>
      </c>
      <c r="M196" s="2">
        <v>113.15089999999999</v>
      </c>
      <c r="N196" s="2">
        <v>338</v>
      </c>
      <c r="O196" s="2">
        <v>0.42849599999999999</v>
      </c>
      <c r="P196" s="2">
        <v>195</v>
      </c>
      <c r="Q196" s="10">
        <v>-2.7983999999999867</v>
      </c>
      <c r="R196" s="2"/>
      <c r="S196" s="2"/>
      <c r="T196" s="2"/>
      <c r="U196" s="2"/>
      <c r="V196" s="10"/>
      <c r="W196" s="2"/>
      <c r="X196" s="2"/>
      <c r="Y196" s="2"/>
      <c r="Z196" s="10"/>
      <c r="AA196" s="2"/>
      <c r="AB196" s="10"/>
      <c r="AC196" s="2"/>
      <c r="AD196" s="10"/>
      <c r="AE196" s="2"/>
      <c r="AF196" s="10"/>
      <c r="AG196" s="2"/>
      <c r="AH196" s="30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</row>
    <row r="197" spans="1:52" ht="12.3" hidden="1" x14ac:dyDescent="0.4">
      <c r="A197" s="2" t="s">
        <v>167</v>
      </c>
      <c r="B197" s="2"/>
      <c r="C197" s="2">
        <v>65.67</v>
      </c>
      <c r="D197" s="2">
        <v>133</v>
      </c>
      <c r="E197" s="2">
        <v>65.264700000000005</v>
      </c>
      <c r="F197" s="2">
        <v>147</v>
      </c>
      <c r="G197" s="2">
        <v>99.746499999999997</v>
      </c>
      <c r="H197" s="2">
        <v>225</v>
      </c>
      <c r="I197" s="2">
        <v>100.80029999999999</v>
      </c>
      <c r="J197" s="2">
        <v>201</v>
      </c>
      <c r="K197" s="2">
        <v>105.4753</v>
      </c>
      <c r="L197" s="2">
        <v>250</v>
      </c>
      <c r="M197" s="2">
        <v>103.48350000000001</v>
      </c>
      <c r="N197" s="2">
        <v>188</v>
      </c>
      <c r="O197" s="2">
        <v>0.42504199999999998</v>
      </c>
      <c r="P197" s="2">
        <v>196</v>
      </c>
      <c r="Q197" s="2">
        <v>2015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</row>
    <row r="198" spans="1:52" ht="12.3" hidden="1" x14ac:dyDescent="0.4">
      <c r="A198" s="2" t="s">
        <v>320</v>
      </c>
      <c r="B198" s="2"/>
      <c r="C198" s="2">
        <v>65.39</v>
      </c>
      <c r="D198" s="2">
        <v>146</v>
      </c>
      <c r="E198" s="2">
        <v>65.008399999999995</v>
      </c>
      <c r="F198" s="2">
        <v>156</v>
      </c>
      <c r="G198" s="2">
        <v>103.7974</v>
      </c>
      <c r="H198" s="2">
        <v>131</v>
      </c>
      <c r="I198" s="2">
        <v>102.5454</v>
      </c>
      <c r="J198" s="2">
        <v>160</v>
      </c>
      <c r="K198" s="2">
        <v>101.33459999999999</v>
      </c>
      <c r="L198" s="2">
        <v>158</v>
      </c>
      <c r="M198" s="2">
        <v>105.3236</v>
      </c>
      <c r="N198" s="2">
        <v>230</v>
      </c>
      <c r="O198" s="2">
        <v>0.42374499999999998</v>
      </c>
      <c r="P198" s="2">
        <v>197</v>
      </c>
      <c r="Q198" s="2">
        <v>2015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</row>
    <row r="199" spans="1:52" ht="12.3" hidden="1" x14ac:dyDescent="0.4">
      <c r="A199" s="2" t="s">
        <v>302</v>
      </c>
      <c r="B199" s="2"/>
      <c r="C199" s="2">
        <v>63.3065</v>
      </c>
      <c r="D199" s="2">
        <v>258</v>
      </c>
      <c r="E199" s="2">
        <v>62.268300000000004</v>
      </c>
      <c r="F199" s="2">
        <v>295</v>
      </c>
      <c r="G199" s="2">
        <v>110.6938</v>
      </c>
      <c r="H199" s="2">
        <v>30</v>
      </c>
      <c r="I199" s="2">
        <v>106.49079999999999</v>
      </c>
      <c r="J199" s="2">
        <v>78</v>
      </c>
      <c r="K199" s="2">
        <v>108.80110000000001</v>
      </c>
      <c r="L199" s="2">
        <v>309</v>
      </c>
      <c r="M199" s="2">
        <v>109.38890000000001</v>
      </c>
      <c r="N199" s="2">
        <v>310</v>
      </c>
      <c r="O199" s="2">
        <v>0.42341099999999998</v>
      </c>
      <c r="P199" s="2">
        <v>198</v>
      </c>
      <c r="Q199" s="2">
        <v>2015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</row>
    <row r="200" spans="1:52" ht="12.3" hidden="1" x14ac:dyDescent="0.4">
      <c r="A200" s="2" t="s">
        <v>270</v>
      </c>
      <c r="B200" s="2"/>
      <c r="C200" s="2">
        <v>70.124399999999994</v>
      </c>
      <c r="D200" s="2">
        <v>11</v>
      </c>
      <c r="E200" s="2">
        <v>70.229399999999998</v>
      </c>
      <c r="F200" s="2">
        <v>8</v>
      </c>
      <c r="G200" s="2">
        <v>100.6643</v>
      </c>
      <c r="H200" s="2">
        <v>205</v>
      </c>
      <c r="I200" s="2">
        <v>101.36750000000001</v>
      </c>
      <c r="J200" s="2">
        <v>187</v>
      </c>
      <c r="K200" s="2">
        <v>101.8657</v>
      </c>
      <c r="L200" s="2">
        <v>168</v>
      </c>
      <c r="M200" s="2">
        <v>104.1459</v>
      </c>
      <c r="N200" s="2">
        <v>206</v>
      </c>
      <c r="O200" s="2">
        <v>0.42288199999999998</v>
      </c>
      <c r="P200" s="2">
        <v>199</v>
      </c>
      <c r="Q200" s="2">
        <v>2015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</row>
    <row r="201" spans="1:52" ht="12.3" hidden="1" x14ac:dyDescent="0.4">
      <c r="A201" s="2" t="s">
        <v>122</v>
      </c>
      <c r="B201" s="2"/>
      <c r="C201" s="2">
        <v>65.497799999999998</v>
      </c>
      <c r="D201" s="2">
        <v>141</v>
      </c>
      <c r="E201" s="2">
        <v>65.235900000000001</v>
      </c>
      <c r="F201" s="2">
        <v>148</v>
      </c>
      <c r="G201" s="2">
        <v>99.899799999999999</v>
      </c>
      <c r="H201" s="2">
        <v>221</v>
      </c>
      <c r="I201" s="2">
        <v>100.9859</v>
      </c>
      <c r="J201" s="2">
        <v>193</v>
      </c>
      <c r="K201" s="2">
        <v>107.1789</v>
      </c>
      <c r="L201" s="2">
        <v>286</v>
      </c>
      <c r="M201" s="2">
        <v>103.8291</v>
      </c>
      <c r="N201" s="2">
        <v>199</v>
      </c>
      <c r="O201" s="2">
        <v>0.420846</v>
      </c>
      <c r="P201" s="2">
        <v>200</v>
      </c>
      <c r="Q201" s="2">
        <v>2015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</row>
    <row r="202" spans="1:52" ht="12.3" hidden="1" x14ac:dyDescent="0.4">
      <c r="A202" s="2" t="s">
        <v>250</v>
      </c>
      <c r="B202" s="2"/>
      <c r="C202" s="2">
        <v>67.183999999999997</v>
      </c>
      <c r="D202" s="2">
        <v>73</v>
      </c>
      <c r="E202" s="2">
        <v>67.517799999999994</v>
      </c>
      <c r="F202" s="2">
        <v>52</v>
      </c>
      <c r="G202" s="2">
        <v>104.66379999999999</v>
      </c>
      <c r="H202" s="2">
        <v>114</v>
      </c>
      <c r="I202" s="2">
        <v>107.31</v>
      </c>
      <c r="J202" s="2">
        <v>70</v>
      </c>
      <c r="K202" s="2">
        <v>111.4102</v>
      </c>
      <c r="L202" s="2">
        <v>332</v>
      </c>
      <c r="M202" s="2">
        <v>110.45440000000001</v>
      </c>
      <c r="N202" s="2">
        <v>322</v>
      </c>
      <c r="O202" s="2">
        <v>0.41772100000000001</v>
      </c>
      <c r="P202" s="2">
        <v>201</v>
      </c>
      <c r="Q202" s="2">
        <v>2015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</row>
    <row r="203" spans="1:52" ht="12.3" hidden="1" x14ac:dyDescent="0.4">
      <c r="A203" s="2" t="s">
        <v>289</v>
      </c>
      <c r="B203" s="2"/>
      <c r="C203" s="2">
        <v>63.8309</v>
      </c>
      <c r="D203" s="2">
        <v>235</v>
      </c>
      <c r="E203" s="2">
        <v>64.697900000000004</v>
      </c>
      <c r="F203" s="2">
        <v>171</v>
      </c>
      <c r="G203" s="2">
        <v>105.2872</v>
      </c>
      <c r="H203" s="2">
        <v>97</v>
      </c>
      <c r="I203" s="2">
        <v>103.9209</v>
      </c>
      <c r="J203" s="2">
        <v>125</v>
      </c>
      <c r="K203" s="2">
        <v>106.3524</v>
      </c>
      <c r="L203" s="2">
        <v>269</v>
      </c>
      <c r="M203" s="2">
        <v>106.96899999999999</v>
      </c>
      <c r="N203" s="2">
        <v>269</v>
      </c>
      <c r="O203" s="2">
        <v>0.41764200000000001</v>
      </c>
      <c r="P203" s="2">
        <v>202</v>
      </c>
      <c r="Q203" s="2">
        <v>2015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</row>
    <row r="204" spans="1:52" ht="12.3" hidden="1" x14ac:dyDescent="0.4">
      <c r="A204" s="2" t="s">
        <v>204</v>
      </c>
      <c r="B204" s="2"/>
      <c r="C204" s="2">
        <v>60.9649</v>
      </c>
      <c r="D204" s="2">
        <v>329</v>
      </c>
      <c r="E204" s="2">
        <v>61.915599999999998</v>
      </c>
      <c r="F204" s="2">
        <v>304</v>
      </c>
      <c r="G204" s="2">
        <v>105.70910000000001</v>
      </c>
      <c r="H204" s="2">
        <v>92</v>
      </c>
      <c r="I204" s="2">
        <v>106.0735</v>
      </c>
      <c r="J204" s="2">
        <v>88</v>
      </c>
      <c r="K204" s="2">
        <v>107.1352</v>
      </c>
      <c r="L204" s="2">
        <v>285</v>
      </c>
      <c r="M204" s="2">
        <v>109.19110000000001</v>
      </c>
      <c r="N204" s="2">
        <v>308</v>
      </c>
      <c r="O204" s="2">
        <v>0.41748099999999999</v>
      </c>
      <c r="P204" s="2">
        <v>203</v>
      </c>
      <c r="Q204" s="2">
        <v>2015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</row>
    <row r="205" spans="1:52" ht="12.3" hidden="1" x14ac:dyDescent="0.4">
      <c r="A205" s="2" t="s">
        <v>326</v>
      </c>
      <c r="B205" s="2"/>
      <c r="C205" s="2">
        <v>65.808700000000002</v>
      </c>
      <c r="D205" s="2">
        <v>123</v>
      </c>
      <c r="E205" s="2">
        <v>66.706500000000005</v>
      </c>
      <c r="F205" s="2">
        <v>79</v>
      </c>
      <c r="G205" s="2">
        <v>100.2602</v>
      </c>
      <c r="H205" s="2">
        <v>211</v>
      </c>
      <c r="I205" s="2">
        <v>97.700999999999993</v>
      </c>
      <c r="J205" s="2">
        <v>261</v>
      </c>
      <c r="K205" s="2">
        <v>99.878</v>
      </c>
      <c r="L205" s="2">
        <v>121</v>
      </c>
      <c r="M205" s="2">
        <v>100.5748</v>
      </c>
      <c r="N205" s="2">
        <v>132</v>
      </c>
      <c r="O205" s="2">
        <v>0.41741600000000001</v>
      </c>
      <c r="P205" s="2">
        <v>204</v>
      </c>
      <c r="Q205" s="2">
        <v>2015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</row>
    <row r="206" spans="1:52" ht="12.3" hidden="1" x14ac:dyDescent="0.4">
      <c r="A206" s="2" t="s">
        <v>231</v>
      </c>
      <c r="B206" s="2"/>
      <c r="C206" s="2">
        <v>62.579799999999999</v>
      </c>
      <c r="D206" s="2">
        <v>288</v>
      </c>
      <c r="E206" s="2">
        <v>62.55</v>
      </c>
      <c r="F206" s="2">
        <v>282</v>
      </c>
      <c r="G206" s="2">
        <v>100.0741</v>
      </c>
      <c r="H206" s="2">
        <v>213</v>
      </c>
      <c r="I206" s="2">
        <v>100.5318</v>
      </c>
      <c r="J206" s="2">
        <v>211</v>
      </c>
      <c r="K206" s="2">
        <v>103.6015</v>
      </c>
      <c r="L206" s="2">
        <v>201</v>
      </c>
      <c r="M206" s="2">
        <v>103.5136</v>
      </c>
      <c r="N206" s="2">
        <v>191</v>
      </c>
      <c r="O206" s="2">
        <v>0.41674800000000001</v>
      </c>
      <c r="P206" s="2">
        <v>205</v>
      </c>
      <c r="Q206" s="2">
        <v>2015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</row>
    <row r="207" spans="1:52" ht="12.3" hidden="1" x14ac:dyDescent="0.4">
      <c r="A207" s="2" t="s">
        <v>185</v>
      </c>
      <c r="B207" s="2"/>
      <c r="C207" s="2">
        <v>66.101699999999994</v>
      </c>
      <c r="D207" s="2">
        <v>110</v>
      </c>
      <c r="E207" s="2">
        <v>66.003500000000003</v>
      </c>
      <c r="F207" s="2">
        <v>113</v>
      </c>
      <c r="G207" s="2">
        <v>104.91759999999999</v>
      </c>
      <c r="H207" s="2">
        <v>104</v>
      </c>
      <c r="I207" s="2">
        <v>104.4879</v>
      </c>
      <c r="J207" s="2">
        <v>116</v>
      </c>
      <c r="K207" s="2">
        <v>106.0124</v>
      </c>
      <c r="L207" s="2">
        <v>261</v>
      </c>
      <c r="M207" s="2">
        <v>107.74250000000001</v>
      </c>
      <c r="N207" s="2">
        <v>282</v>
      </c>
      <c r="O207" s="2">
        <v>0.412717</v>
      </c>
      <c r="P207" s="2">
        <v>206</v>
      </c>
      <c r="Q207" s="2">
        <v>2015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</row>
    <row r="208" spans="1:52" ht="12.3" x14ac:dyDescent="0.4">
      <c r="A208" s="2" t="s">
        <v>325</v>
      </c>
      <c r="B208" s="2">
        <v>15</v>
      </c>
      <c r="C208" s="2">
        <v>64.5565</v>
      </c>
      <c r="D208" s="2">
        <v>191</v>
      </c>
      <c r="E208" s="2">
        <v>63.928699999999999</v>
      </c>
      <c r="F208" s="2">
        <v>221</v>
      </c>
      <c r="G208" s="2">
        <v>103.3623</v>
      </c>
      <c r="H208" s="2">
        <v>142</v>
      </c>
      <c r="I208" s="2">
        <v>101.67319999999999</v>
      </c>
      <c r="J208" s="2">
        <v>177</v>
      </c>
      <c r="K208" s="2">
        <v>102.42140000000001</v>
      </c>
      <c r="L208" s="2">
        <v>178</v>
      </c>
      <c r="M208" s="2">
        <v>104.902</v>
      </c>
      <c r="N208" s="2">
        <v>220</v>
      </c>
      <c r="O208" s="2">
        <v>0.41107300000000002</v>
      </c>
      <c r="P208" s="2">
        <v>207</v>
      </c>
      <c r="Q208" s="10">
        <v>-3.2288000000000068</v>
      </c>
      <c r="R208" s="2"/>
      <c r="S208" s="2"/>
      <c r="T208" s="2"/>
      <c r="U208" s="2"/>
      <c r="V208" s="10"/>
      <c r="W208" s="2"/>
      <c r="X208" s="2"/>
      <c r="Y208" s="2"/>
      <c r="Z208" s="10"/>
      <c r="AA208" s="2"/>
      <c r="AB208" s="10"/>
      <c r="AC208" s="2"/>
      <c r="AD208" s="10"/>
      <c r="AE208" s="2"/>
      <c r="AF208" s="10"/>
      <c r="AG208" s="2"/>
      <c r="AH208" s="30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</row>
    <row r="209" spans="1:52" ht="12.3" hidden="1" x14ac:dyDescent="0.4">
      <c r="A209" s="2" t="s">
        <v>200</v>
      </c>
      <c r="B209" s="2"/>
      <c r="C209" s="2">
        <v>64.328000000000003</v>
      </c>
      <c r="D209" s="2">
        <v>201</v>
      </c>
      <c r="E209" s="2">
        <v>64.441299999999998</v>
      </c>
      <c r="F209" s="2">
        <v>185</v>
      </c>
      <c r="G209" s="2">
        <v>103.9149</v>
      </c>
      <c r="H209" s="2">
        <v>129</v>
      </c>
      <c r="I209" s="2">
        <v>102.8428</v>
      </c>
      <c r="J209" s="2">
        <v>153</v>
      </c>
      <c r="K209" s="2">
        <v>105.3258</v>
      </c>
      <c r="L209" s="2">
        <v>247</v>
      </c>
      <c r="M209" s="2">
        <v>106.134</v>
      </c>
      <c r="N209" s="2">
        <v>246</v>
      </c>
      <c r="O209" s="2">
        <v>0.41041100000000003</v>
      </c>
      <c r="P209" s="2">
        <v>208</v>
      </c>
      <c r="Q209" s="2">
        <v>2015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</row>
    <row r="210" spans="1:52" ht="12.3" hidden="1" x14ac:dyDescent="0.4">
      <c r="A210" s="2" t="s">
        <v>333</v>
      </c>
      <c r="B210" s="2"/>
      <c r="C210" s="2">
        <v>64.201099999999997</v>
      </c>
      <c r="D210" s="2">
        <v>209</v>
      </c>
      <c r="E210" s="2">
        <v>64.698400000000007</v>
      </c>
      <c r="F210" s="2">
        <v>170</v>
      </c>
      <c r="G210" s="2">
        <v>93.838300000000004</v>
      </c>
      <c r="H210" s="2">
        <v>313</v>
      </c>
      <c r="I210" s="2">
        <v>94.561000000000007</v>
      </c>
      <c r="J210" s="2">
        <v>311</v>
      </c>
      <c r="K210" s="2">
        <v>96.267200000000003</v>
      </c>
      <c r="L210" s="2">
        <v>50</v>
      </c>
      <c r="M210" s="2">
        <v>97.628900000000002</v>
      </c>
      <c r="N210" s="2">
        <v>80</v>
      </c>
      <c r="O210" s="2">
        <v>0.40922399999999998</v>
      </c>
      <c r="P210" s="2">
        <v>209</v>
      </c>
      <c r="Q210" s="2">
        <v>2015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</row>
    <row r="211" spans="1:52" ht="12.3" hidden="1" x14ac:dyDescent="0.4">
      <c r="A211" s="2" t="s">
        <v>73</v>
      </c>
      <c r="B211" s="2"/>
      <c r="C211" s="2">
        <v>63.2254</v>
      </c>
      <c r="D211" s="2">
        <v>260</v>
      </c>
      <c r="E211" s="2">
        <v>62.559399999999997</v>
      </c>
      <c r="F211" s="2">
        <v>280</v>
      </c>
      <c r="G211" s="2">
        <v>93.997799999999998</v>
      </c>
      <c r="H211" s="2">
        <v>309</v>
      </c>
      <c r="I211" s="2">
        <v>98.911900000000003</v>
      </c>
      <c r="J211" s="2">
        <v>243</v>
      </c>
      <c r="K211" s="2">
        <v>106.9547</v>
      </c>
      <c r="L211" s="2">
        <v>282</v>
      </c>
      <c r="M211" s="2">
        <v>102.15479999999999</v>
      </c>
      <c r="N211" s="2">
        <v>163</v>
      </c>
      <c r="O211" s="2">
        <v>0.408304</v>
      </c>
      <c r="P211" s="2">
        <v>210</v>
      </c>
      <c r="Q211" s="2">
        <v>2015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</row>
    <row r="212" spans="1:52" ht="12.3" hidden="1" x14ac:dyDescent="0.4">
      <c r="A212" s="2" t="s">
        <v>249</v>
      </c>
      <c r="B212" s="2"/>
      <c r="C212" s="2">
        <v>66.246899999999997</v>
      </c>
      <c r="D212" s="2">
        <v>104</v>
      </c>
      <c r="E212" s="2">
        <v>65.754300000000001</v>
      </c>
      <c r="F212" s="2">
        <v>124</v>
      </c>
      <c r="G212" s="2">
        <v>96.489599999999996</v>
      </c>
      <c r="H212" s="2">
        <v>284</v>
      </c>
      <c r="I212" s="2">
        <v>100.38930000000001</v>
      </c>
      <c r="J212" s="2">
        <v>217</v>
      </c>
      <c r="K212" s="2">
        <v>103.6317</v>
      </c>
      <c r="L212" s="2">
        <v>203</v>
      </c>
      <c r="M212" s="2">
        <v>103.72329999999999</v>
      </c>
      <c r="N212" s="2">
        <v>196</v>
      </c>
      <c r="O212" s="2">
        <v>0.40716000000000002</v>
      </c>
      <c r="P212" s="2">
        <v>211</v>
      </c>
      <c r="Q212" s="2">
        <v>2015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</row>
    <row r="213" spans="1:52" ht="12.3" hidden="1" x14ac:dyDescent="0.4">
      <c r="A213" s="2" t="s">
        <v>211</v>
      </c>
      <c r="B213" s="2"/>
      <c r="C213" s="2">
        <v>67.697500000000005</v>
      </c>
      <c r="D213" s="2">
        <v>56</v>
      </c>
      <c r="E213" s="2">
        <v>67.821100000000001</v>
      </c>
      <c r="F213" s="2">
        <v>38</v>
      </c>
      <c r="G213" s="2">
        <v>106.2987</v>
      </c>
      <c r="H213" s="2">
        <v>82</v>
      </c>
      <c r="I213" s="2">
        <v>105.26609999999999</v>
      </c>
      <c r="J213" s="2">
        <v>105</v>
      </c>
      <c r="K213" s="2">
        <v>109.04219999999999</v>
      </c>
      <c r="L213" s="2">
        <v>311</v>
      </c>
      <c r="M213" s="2">
        <v>108.7811</v>
      </c>
      <c r="N213" s="2">
        <v>302</v>
      </c>
      <c r="O213" s="2">
        <v>0.40667500000000001</v>
      </c>
      <c r="P213" s="2">
        <v>212</v>
      </c>
      <c r="Q213" s="2">
        <v>2015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</row>
    <row r="214" spans="1:52" ht="12.3" hidden="1" x14ac:dyDescent="0.4">
      <c r="A214" s="2" t="s">
        <v>259</v>
      </c>
      <c r="B214" s="2"/>
      <c r="C214" s="2">
        <v>74.448599999999999</v>
      </c>
      <c r="D214" s="2">
        <v>2</v>
      </c>
      <c r="E214" s="2">
        <v>72.884900000000002</v>
      </c>
      <c r="F214" s="2">
        <v>4</v>
      </c>
      <c r="G214" s="2">
        <v>112.7389</v>
      </c>
      <c r="H214" s="2">
        <v>21</v>
      </c>
      <c r="I214" s="2">
        <v>111.43899999999999</v>
      </c>
      <c r="J214" s="2">
        <v>31</v>
      </c>
      <c r="K214" s="2">
        <v>112.6271</v>
      </c>
      <c r="L214" s="2">
        <v>344</v>
      </c>
      <c r="M214" s="2">
        <v>115.2453</v>
      </c>
      <c r="N214" s="2">
        <v>348</v>
      </c>
      <c r="O214" s="2">
        <v>0.40462500000000001</v>
      </c>
      <c r="P214" s="2">
        <v>213</v>
      </c>
      <c r="Q214" s="2">
        <v>2015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</row>
    <row r="215" spans="1:52" ht="12.3" hidden="1" x14ac:dyDescent="0.4">
      <c r="A215" s="2" t="s">
        <v>382</v>
      </c>
      <c r="B215" s="2"/>
      <c r="C215" s="2">
        <v>68.753100000000003</v>
      </c>
      <c r="D215" s="2">
        <v>26</v>
      </c>
      <c r="E215" s="2">
        <v>67.4285</v>
      </c>
      <c r="F215" s="2">
        <v>56</v>
      </c>
      <c r="G215" s="2">
        <v>109.38379999999999</v>
      </c>
      <c r="H215" s="2">
        <v>39</v>
      </c>
      <c r="I215" s="2">
        <v>106.5021</v>
      </c>
      <c r="J215" s="2">
        <v>77</v>
      </c>
      <c r="K215" s="2">
        <v>107.5613</v>
      </c>
      <c r="L215" s="2">
        <v>293</v>
      </c>
      <c r="M215" s="2">
        <v>110.15479999999999</v>
      </c>
      <c r="N215" s="2">
        <v>319</v>
      </c>
      <c r="O215" s="2">
        <v>0.40424700000000002</v>
      </c>
      <c r="P215" s="2">
        <v>214</v>
      </c>
      <c r="Q215" s="2">
        <v>2015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</row>
    <row r="216" spans="1:52" ht="12.3" hidden="1" x14ac:dyDescent="0.4">
      <c r="A216" s="2" t="s">
        <v>130</v>
      </c>
      <c r="B216" s="2"/>
      <c r="C216" s="2">
        <v>63.872599999999998</v>
      </c>
      <c r="D216" s="2">
        <v>231</v>
      </c>
      <c r="E216" s="2">
        <v>64.031700000000001</v>
      </c>
      <c r="F216" s="2">
        <v>209</v>
      </c>
      <c r="G216" s="2">
        <v>99.459699999999998</v>
      </c>
      <c r="H216" s="2">
        <v>235</v>
      </c>
      <c r="I216" s="2">
        <v>99.400599999999997</v>
      </c>
      <c r="J216" s="2">
        <v>232</v>
      </c>
      <c r="K216" s="2">
        <v>101.3391</v>
      </c>
      <c r="L216" s="2">
        <v>159</v>
      </c>
      <c r="M216" s="2">
        <v>102.8322</v>
      </c>
      <c r="N216" s="2">
        <v>177</v>
      </c>
      <c r="O216" s="2">
        <v>0.40364100000000003</v>
      </c>
      <c r="P216" s="2">
        <v>215</v>
      </c>
      <c r="Q216" s="2">
        <v>2015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</row>
    <row r="217" spans="1:52" ht="12.3" hidden="1" x14ac:dyDescent="0.4">
      <c r="A217" s="2" t="s">
        <v>138</v>
      </c>
      <c r="B217" s="2"/>
      <c r="C217" s="2">
        <v>65.302499999999995</v>
      </c>
      <c r="D217" s="2">
        <v>148</v>
      </c>
      <c r="E217" s="2">
        <v>65.384200000000007</v>
      </c>
      <c r="F217" s="2">
        <v>141</v>
      </c>
      <c r="G217" s="2">
        <v>102.2076</v>
      </c>
      <c r="H217" s="2">
        <v>174</v>
      </c>
      <c r="I217" s="2">
        <v>102.6737</v>
      </c>
      <c r="J217" s="2">
        <v>158</v>
      </c>
      <c r="K217" s="2">
        <v>105.2439</v>
      </c>
      <c r="L217" s="2">
        <v>245</v>
      </c>
      <c r="M217" s="2">
        <v>106.3505</v>
      </c>
      <c r="N217" s="2">
        <v>252</v>
      </c>
      <c r="O217" s="2">
        <v>0.400202</v>
      </c>
      <c r="P217" s="2">
        <v>216</v>
      </c>
      <c r="Q217" s="2">
        <v>2015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</row>
    <row r="218" spans="1:52" ht="12.3" hidden="1" x14ac:dyDescent="0.4">
      <c r="A218" s="2" t="s">
        <v>276</v>
      </c>
      <c r="B218" s="2"/>
      <c r="C218" s="2">
        <v>63.714599999999997</v>
      </c>
      <c r="D218" s="2">
        <v>242</v>
      </c>
      <c r="E218" s="2">
        <v>62.726799999999997</v>
      </c>
      <c r="F218" s="2">
        <v>276</v>
      </c>
      <c r="G218" s="2">
        <v>102.05889999999999</v>
      </c>
      <c r="H218" s="2">
        <v>177</v>
      </c>
      <c r="I218" s="2">
        <v>99.091499999999996</v>
      </c>
      <c r="J218" s="2">
        <v>236</v>
      </c>
      <c r="K218" s="2">
        <v>101.0736</v>
      </c>
      <c r="L218" s="2">
        <v>149</v>
      </c>
      <c r="M218" s="2">
        <v>102.6953</v>
      </c>
      <c r="N218" s="2">
        <v>174</v>
      </c>
      <c r="O218" s="2">
        <v>0.39871800000000002</v>
      </c>
      <c r="P218" s="2">
        <v>217</v>
      </c>
      <c r="Q218" s="2">
        <v>2015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</row>
    <row r="219" spans="1:52" ht="12.3" hidden="1" x14ac:dyDescent="0.4">
      <c r="A219" s="2" t="s">
        <v>147</v>
      </c>
      <c r="B219" s="2"/>
      <c r="C219" s="2">
        <v>64.788899999999998</v>
      </c>
      <c r="D219" s="2">
        <v>172</v>
      </c>
      <c r="E219" s="2">
        <v>64.456100000000006</v>
      </c>
      <c r="F219" s="2">
        <v>183</v>
      </c>
      <c r="G219" s="2">
        <v>96.779200000000003</v>
      </c>
      <c r="H219" s="2">
        <v>274</v>
      </c>
      <c r="I219" s="2">
        <v>100.82980000000001</v>
      </c>
      <c r="J219" s="2">
        <v>199</v>
      </c>
      <c r="K219" s="2">
        <v>105.7765</v>
      </c>
      <c r="L219" s="2">
        <v>257</v>
      </c>
      <c r="M219" s="2">
        <v>104.587</v>
      </c>
      <c r="N219" s="2">
        <v>214</v>
      </c>
      <c r="O219" s="2">
        <v>0.396341</v>
      </c>
      <c r="P219" s="2">
        <v>218</v>
      </c>
      <c r="Q219" s="2">
        <v>2015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</row>
    <row r="220" spans="1:52" ht="12.3" hidden="1" x14ac:dyDescent="0.4">
      <c r="A220" s="2" t="s">
        <v>123</v>
      </c>
      <c r="B220" s="2"/>
      <c r="C220" s="2">
        <v>64.9148</v>
      </c>
      <c r="D220" s="2">
        <v>164</v>
      </c>
      <c r="E220" s="2">
        <v>65.737099999999998</v>
      </c>
      <c r="F220" s="2">
        <v>127</v>
      </c>
      <c r="G220" s="2">
        <v>91.273600000000002</v>
      </c>
      <c r="H220" s="2">
        <v>338</v>
      </c>
      <c r="I220" s="2">
        <v>96.290800000000004</v>
      </c>
      <c r="J220" s="2">
        <v>286</v>
      </c>
      <c r="K220" s="2">
        <v>103.25060000000001</v>
      </c>
      <c r="L220" s="2">
        <v>193</v>
      </c>
      <c r="M220" s="2">
        <v>99.937899999999999</v>
      </c>
      <c r="N220" s="2">
        <v>120</v>
      </c>
      <c r="O220" s="2">
        <v>0.39471699999999998</v>
      </c>
      <c r="P220" s="2">
        <v>219</v>
      </c>
      <c r="Q220" s="2">
        <v>2015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</row>
    <row r="221" spans="1:52" ht="12.3" hidden="1" x14ac:dyDescent="0.4">
      <c r="A221" s="2" t="s">
        <v>206</v>
      </c>
      <c r="B221" s="2"/>
      <c r="C221" s="2">
        <v>62.000799999999998</v>
      </c>
      <c r="D221" s="2">
        <v>305</v>
      </c>
      <c r="E221" s="2">
        <v>61.812100000000001</v>
      </c>
      <c r="F221" s="2">
        <v>308</v>
      </c>
      <c r="G221" s="2">
        <v>99.883899999999997</v>
      </c>
      <c r="H221" s="2">
        <v>223</v>
      </c>
      <c r="I221" s="2">
        <v>102.0099</v>
      </c>
      <c r="J221" s="2">
        <v>171</v>
      </c>
      <c r="K221" s="2">
        <v>106.1267</v>
      </c>
      <c r="L221" s="2">
        <v>265</v>
      </c>
      <c r="M221" s="2">
        <v>106.42270000000001</v>
      </c>
      <c r="N221" s="2">
        <v>256</v>
      </c>
      <c r="O221" s="2">
        <v>0.38059700000000002</v>
      </c>
      <c r="P221" s="2">
        <v>220</v>
      </c>
      <c r="Q221" s="2">
        <v>2015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</row>
    <row r="222" spans="1:52" ht="12.3" hidden="1" x14ac:dyDescent="0.4">
      <c r="A222" s="2" t="s">
        <v>332</v>
      </c>
      <c r="B222" s="2"/>
      <c r="C222" s="2">
        <v>63.196800000000003</v>
      </c>
      <c r="D222" s="2">
        <v>263</v>
      </c>
      <c r="E222" s="2">
        <v>63.215200000000003</v>
      </c>
      <c r="F222" s="2">
        <v>263</v>
      </c>
      <c r="G222" s="2">
        <v>98.623599999999996</v>
      </c>
      <c r="H222" s="2">
        <v>251</v>
      </c>
      <c r="I222" s="2">
        <v>97.601799999999997</v>
      </c>
      <c r="J222" s="2">
        <v>262</v>
      </c>
      <c r="K222" s="2">
        <v>100.11</v>
      </c>
      <c r="L222" s="2">
        <v>126</v>
      </c>
      <c r="M222" s="2">
        <v>101.98350000000001</v>
      </c>
      <c r="N222" s="2">
        <v>159</v>
      </c>
      <c r="O222" s="2">
        <v>0.376361</v>
      </c>
      <c r="P222" s="2">
        <v>221</v>
      </c>
      <c r="Q222" s="2">
        <v>2015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</row>
    <row r="223" spans="1:52" ht="12.3" hidden="1" x14ac:dyDescent="0.4">
      <c r="A223" s="2" t="s">
        <v>286</v>
      </c>
      <c r="B223" s="2"/>
      <c r="C223" s="2">
        <v>58.241100000000003</v>
      </c>
      <c r="D223" s="2">
        <v>349</v>
      </c>
      <c r="E223" s="2">
        <v>57.572899999999997</v>
      </c>
      <c r="F223" s="2">
        <v>351</v>
      </c>
      <c r="G223" s="2">
        <v>105.1713</v>
      </c>
      <c r="H223" s="2">
        <v>100</v>
      </c>
      <c r="I223" s="2">
        <v>103.7491</v>
      </c>
      <c r="J223" s="2">
        <v>131</v>
      </c>
      <c r="K223" s="2">
        <v>107.19880000000001</v>
      </c>
      <c r="L223" s="2">
        <v>287</v>
      </c>
      <c r="M223" s="2">
        <v>108.413</v>
      </c>
      <c r="N223" s="2">
        <v>296</v>
      </c>
      <c r="O223" s="2">
        <v>0.37620399999999998</v>
      </c>
      <c r="P223" s="2">
        <v>222</v>
      </c>
      <c r="Q223" s="2">
        <v>2015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</row>
    <row r="224" spans="1:52" ht="12.3" hidden="1" x14ac:dyDescent="0.4">
      <c r="A224" s="2" t="s">
        <v>284</v>
      </c>
      <c r="B224" s="2"/>
      <c r="C224" s="2">
        <v>65.028700000000001</v>
      </c>
      <c r="D224" s="2">
        <v>160</v>
      </c>
      <c r="E224" s="2">
        <v>65.666499999999999</v>
      </c>
      <c r="F224" s="2">
        <v>129</v>
      </c>
      <c r="G224" s="2">
        <v>96.646799999999999</v>
      </c>
      <c r="H224" s="2">
        <v>279</v>
      </c>
      <c r="I224" s="2">
        <v>95.867500000000007</v>
      </c>
      <c r="J224" s="2">
        <v>294</v>
      </c>
      <c r="K224" s="2">
        <v>102.1066</v>
      </c>
      <c r="L224" s="2">
        <v>171</v>
      </c>
      <c r="M224" s="2">
        <v>100.2585</v>
      </c>
      <c r="N224" s="2">
        <v>129</v>
      </c>
      <c r="O224" s="2">
        <v>0.37401600000000002</v>
      </c>
      <c r="P224" s="2">
        <v>223</v>
      </c>
      <c r="Q224" s="2">
        <v>2015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</row>
    <row r="225" spans="1:52" ht="12.3" hidden="1" x14ac:dyDescent="0.4">
      <c r="A225" s="2" t="s">
        <v>349</v>
      </c>
      <c r="B225" s="2"/>
      <c r="C225" s="2">
        <v>63.095399999999998</v>
      </c>
      <c r="D225" s="2">
        <v>268</v>
      </c>
      <c r="E225" s="2">
        <v>62.888599999999997</v>
      </c>
      <c r="F225" s="2">
        <v>271</v>
      </c>
      <c r="G225" s="2">
        <v>97.954899999999995</v>
      </c>
      <c r="H225" s="2">
        <v>261</v>
      </c>
      <c r="I225" s="2">
        <v>96.487300000000005</v>
      </c>
      <c r="J225" s="2">
        <v>280</v>
      </c>
      <c r="K225" s="2">
        <v>100.54259999999999</v>
      </c>
      <c r="L225" s="2">
        <v>136</v>
      </c>
      <c r="M225" s="2">
        <v>100.9121</v>
      </c>
      <c r="N225" s="2">
        <v>136</v>
      </c>
      <c r="O225" s="2">
        <v>0.37387199999999998</v>
      </c>
      <c r="P225" s="2">
        <v>224</v>
      </c>
      <c r="Q225" s="2">
        <v>2015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</row>
    <row r="226" spans="1:52" ht="12.3" hidden="1" x14ac:dyDescent="0.4">
      <c r="A226" s="2" t="s">
        <v>377</v>
      </c>
      <c r="B226" s="2"/>
      <c r="C226" s="2">
        <v>65.680199999999999</v>
      </c>
      <c r="D226" s="2">
        <v>132</v>
      </c>
      <c r="E226" s="2">
        <v>65.806399999999996</v>
      </c>
      <c r="F226" s="2">
        <v>122</v>
      </c>
      <c r="G226" s="2">
        <v>102.6876</v>
      </c>
      <c r="H226" s="2">
        <v>162</v>
      </c>
      <c r="I226" s="2">
        <v>101.2907</v>
      </c>
      <c r="J226" s="2">
        <v>188</v>
      </c>
      <c r="K226" s="2">
        <v>104.8353</v>
      </c>
      <c r="L226" s="2">
        <v>232</v>
      </c>
      <c r="M226" s="2">
        <v>105.9628</v>
      </c>
      <c r="N226" s="2">
        <v>242</v>
      </c>
      <c r="O226" s="2">
        <v>0.37318499999999999</v>
      </c>
      <c r="P226" s="2">
        <v>225</v>
      </c>
      <c r="Q226" s="2">
        <v>2015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</row>
    <row r="227" spans="1:52" ht="12.3" hidden="1" x14ac:dyDescent="0.4">
      <c r="A227" s="2" t="s">
        <v>151</v>
      </c>
      <c r="B227" s="2"/>
      <c r="C227" s="2">
        <v>67.183199999999999</v>
      </c>
      <c r="D227" s="2">
        <v>74</v>
      </c>
      <c r="E227" s="2">
        <v>66.963399999999993</v>
      </c>
      <c r="F227" s="2">
        <v>70</v>
      </c>
      <c r="G227" s="2">
        <v>100.066</v>
      </c>
      <c r="H227" s="2">
        <v>214</v>
      </c>
      <c r="I227" s="2">
        <v>101.93640000000001</v>
      </c>
      <c r="J227" s="2">
        <v>174</v>
      </c>
      <c r="K227" s="2">
        <v>107.2591</v>
      </c>
      <c r="L227" s="2">
        <v>289</v>
      </c>
      <c r="M227" s="2">
        <v>106.7929</v>
      </c>
      <c r="N227" s="2">
        <v>266</v>
      </c>
      <c r="O227" s="2">
        <v>0.36929800000000002</v>
      </c>
      <c r="P227" s="2">
        <v>226</v>
      </c>
      <c r="Q227" s="2">
        <v>2015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</row>
    <row r="228" spans="1:52" ht="12.3" hidden="1" x14ac:dyDescent="0.4">
      <c r="A228" s="2" t="s">
        <v>108</v>
      </c>
      <c r="B228" s="2"/>
      <c r="C228" s="2">
        <v>68.072500000000005</v>
      </c>
      <c r="D228" s="2">
        <v>42</v>
      </c>
      <c r="E228" s="2">
        <v>67.9773</v>
      </c>
      <c r="F228" s="2">
        <v>35</v>
      </c>
      <c r="G228" s="2">
        <v>104.3031</v>
      </c>
      <c r="H228" s="2">
        <v>119</v>
      </c>
      <c r="I228" s="2">
        <v>100.1219</v>
      </c>
      <c r="J228" s="2">
        <v>223</v>
      </c>
      <c r="K228" s="2">
        <v>105.3693</v>
      </c>
      <c r="L228" s="2">
        <v>248</v>
      </c>
      <c r="M228" s="2">
        <v>104.9644</v>
      </c>
      <c r="N228" s="2">
        <v>223</v>
      </c>
      <c r="O228" s="2">
        <v>0.367448</v>
      </c>
      <c r="P228" s="2">
        <v>227</v>
      </c>
      <c r="Q228" s="2">
        <v>2015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</row>
    <row r="229" spans="1:52" ht="12.3" hidden="1" x14ac:dyDescent="0.4">
      <c r="A229" s="2" t="s">
        <v>264</v>
      </c>
      <c r="B229" s="2"/>
      <c r="C229" s="2">
        <v>62.425400000000003</v>
      </c>
      <c r="D229" s="2">
        <v>294</v>
      </c>
      <c r="E229" s="2">
        <v>62.664299999999997</v>
      </c>
      <c r="F229" s="2">
        <v>277</v>
      </c>
      <c r="G229" s="2">
        <v>98.037599999999998</v>
      </c>
      <c r="H229" s="2">
        <v>260</v>
      </c>
      <c r="I229" s="2">
        <v>97.971000000000004</v>
      </c>
      <c r="J229" s="2">
        <v>255</v>
      </c>
      <c r="K229" s="2">
        <v>103.3227</v>
      </c>
      <c r="L229" s="2">
        <v>197</v>
      </c>
      <c r="M229" s="2">
        <v>102.7543</v>
      </c>
      <c r="N229" s="2">
        <v>176</v>
      </c>
      <c r="O229" s="2">
        <v>0.366282</v>
      </c>
      <c r="P229" s="2">
        <v>228</v>
      </c>
      <c r="Q229" s="2">
        <v>2015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</row>
    <row r="230" spans="1:52" ht="12.3" hidden="1" x14ac:dyDescent="0.4">
      <c r="A230" s="2" t="s">
        <v>125</v>
      </c>
      <c r="B230" s="2"/>
      <c r="C230" s="2">
        <v>65.373199999999997</v>
      </c>
      <c r="D230" s="2">
        <v>147</v>
      </c>
      <c r="E230" s="2">
        <v>64.631900000000002</v>
      </c>
      <c r="F230" s="2">
        <v>175</v>
      </c>
      <c r="G230" s="2">
        <v>102.6653</v>
      </c>
      <c r="H230" s="2">
        <v>166</v>
      </c>
      <c r="I230" s="2">
        <v>102.7692</v>
      </c>
      <c r="J230" s="2">
        <v>155</v>
      </c>
      <c r="K230" s="2">
        <v>104.8297</v>
      </c>
      <c r="L230" s="2">
        <v>231</v>
      </c>
      <c r="M230" s="2">
        <v>107.9586</v>
      </c>
      <c r="N230" s="2">
        <v>287</v>
      </c>
      <c r="O230" s="2">
        <v>0.362041</v>
      </c>
      <c r="P230" s="2">
        <v>229</v>
      </c>
      <c r="Q230" s="2">
        <v>2015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</row>
    <row r="231" spans="1:52" ht="12.3" hidden="1" x14ac:dyDescent="0.4">
      <c r="A231" s="2" t="s">
        <v>161</v>
      </c>
      <c r="B231" s="2"/>
      <c r="C231" s="2">
        <v>63.5807</v>
      </c>
      <c r="D231" s="2">
        <v>248</v>
      </c>
      <c r="E231" s="2">
        <v>63.3626</v>
      </c>
      <c r="F231" s="2">
        <v>254</v>
      </c>
      <c r="G231" s="2">
        <v>96.683899999999994</v>
      </c>
      <c r="H231" s="2">
        <v>277</v>
      </c>
      <c r="I231" s="2">
        <v>97.711699999999993</v>
      </c>
      <c r="J231" s="2">
        <v>259</v>
      </c>
      <c r="K231" s="2">
        <v>99.885999999999996</v>
      </c>
      <c r="L231" s="2">
        <v>122</v>
      </c>
      <c r="M231" s="2">
        <v>102.7329</v>
      </c>
      <c r="N231" s="2">
        <v>175</v>
      </c>
      <c r="O231" s="2">
        <v>0.35978900000000003</v>
      </c>
      <c r="P231" s="2">
        <v>230</v>
      </c>
      <c r="Q231" s="2">
        <v>2015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</row>
    <row r="232" spans="1:52" ht="12.3" hidden="1" x14ac:dyDescent="0.4">
      <c r="A232" s="2" t="s">
        <v>316</v>
      </c>
      <c r="B232" s="2"/>
      <c r="C232" s="2">
        <v>68.939400000000006</v>
      </c>
      <c r="D232" s="2">
        <v>23</v>
      </c>
      <c r="E232" s="2">
        <v>68.954599999999999</v>
      </c>
      <c r="F232" s="2">
        <v>23</v>
      </c>
      <c r="G232" s="2">
        <v>102.9757</v>
      </c>
      <c r="H232" s="2">
        <v>154</v>
      </c>
      <c r="I232" s="2">
        <v>102.08150000000001</v>
      </c>
      <c r="J232" s="2">
        <v>169</v>
      </c>
      <c r="K232" s="2">
        <v>104.77679999999999</v>
      </c>
      <c r="L232" s="2">
        <v>230</v>
      </c>
      <c r="M232" s="2">
        <v>107.60299999999999</v>
      </c>
      <c r="N232" s="2">
        <v>276</v>
      </c>
      <c r="O232" s="2">
        <v>0.35302099999999997</v>
      </c>
      <c r="P232" s="2">
        <v>231</v>
      </c>
      <c r="Q232" s="2">
        <v>2015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</row>
    <row r="233" spans="1:52" ht="12.3" hidden="1" x14ac:dyDescent="0.4">
      <c r="A233" s="2" t="s">
        <v>380</v>
      </c>
      <c r="B233" s="2"/>
      <c r="C233" s="2">
        <v>64.741299999999995</v>
      </c>
      <c r="D233" s="2">
        <v>177</v>
      </c>
      <c r="E233" s="2">
        <v>63.930500000000002</v>
      </c>
      <c r="F233" s="2">
        <v>219</v>
      </c>
      <c r="G233" s="2">
        <v>104.7701</v>
      </c>
      <c r="H233" s="2">
        <v>110</v>
      </c>
      <c r="I233" s="2">
        <v>102.932</v>
      </c>
      <c r="J233" s="2">
        <v>151</v>
      </c>
      <c r="K233" s="2">
        <v>107.9808</v>
      </c>
      <c r="L233" s="2">
        <v>300</v>
      </c>
      <c r="M233" s="2">
        <v>108.7264</v>
      </c>
      <c r="N233" s="2">
        <v>300</v>
      </c>
      <c r="O233" s="2">
        <v>0.34755200000000003</v>
      </c>
      <c r="P233" s="2">
        <v>232</v>
      </c>
      <c r="Q233" s="2">
        <v>2015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</row>
    <row r="234" spans="1:52" ht="12.3" hidden="1" x14ac:dyDescent="0.4">
      <c r="A234" s="2" t="s">
        <v>304</v>
      </c>
      <c r="B234" s="2"/>
      <c r="C234" s="2">
        <v>68.210499999999996</v>
      </c>
      <c r="D234" s="2">
        <v>37</v>
      </c>
      <c r="E234" s="2">
        <v>67.572500000000005</v>
      </c>
      <c r="F234" s="2">
        <v>47</v>
      </c>
      <c r="G234" s="2">
        <v>110.2294</v>
      </c>
      <c r="H234" s="2">
        <v>32</v>
      </c>
      <c r="I234" s="2">
        <v>105.00620000000001</v>
      </c>
      <c r="J234" s="2">
        <v>109</v>
      </c>
      <c r="K234" s="2">
        <v>111.4926</v>
      </c>
      <c r="L234" s="2">
        <v>334</v>
      </c>
      <c r="M234" s="2">
        <v>110.92740000000001</v>
      </c>
      <c r="N234" s="2">
        <v>325</v>
      </c>
      <c r="O234" s="2">
        <v>0.34731699999999999</v>
      </c>
      <c r="P234" s="2">
        <v>233</v>
      </c>
      <c r="Q234" s="2">
        <v>2015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</row>
    <row r="235" spans="1:52" ht="12.3" hidden="1" x14ac:dyDescent="0.4">
      <c r="A235" s="2" t="s">
        <v>82</v>
      </c>
      <c r="B235" s="2"/>
      <c r="C235" s="2">
        <v>61.508600000000001</v>
      </c>
      <c r="D235" s="2">
        <v>316</v>
      </c>
      <c r="E235" s="2">
        <v>62.896700000000003</v>
      </c>
      <c r="F235" s="2">
        <v>270</v>
      </c>
      <c r="G235" s="2">
        <v>95.915499999999994</v>
      </c>
      <c r="H235" s="2">
        <v>291</v>
      </c>
      <c r="I235" s="2">
        <v>96.059200000000004</v>
      </c>
      <c r="J235" s="2">
        <v>291</v>
      </c>
      <c r="K235" s="2">
        <v>100.81189999999999</v>
      </c>
      <c r="L235" s="2">
        <v>143</v>
      </c>
      <c r="M235" s="2">
        <v>101.5154</v>
      </c>
      <c r="N235" s="2">
        <v>149</v>
      </c>
      <c r="O235" s="2">
        <v>0.346304</v>
      </c>
      <c r="P235" s="2">
        <v>234</v>
      </c>
      <c r="Q235" s="2">
        <v>2015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</row>
    <row r="236" spans="1:52" ht="12.3" hidden="1" x14ac:dyDescent="0.4">
      <c r="A236" s="2" t="s">
        <v>246</v>
      </c>
      <c r="B236" s="2"/>
      <c r="C236" s="2">
        <v>66.464200000000005</v>
      </c>
      <c r="D236" s="2">
        <v>98</v>
      </c>
      <c r="E236" s="2">
        <v>66.089699999999993</v>
      </c>
      <c r="F236" s="2">
        <v>109</v>
      </c>
      <c r="G236" s="2">
        <v>102.67</v>
      </c>
      <c r="H236" s="2">
        <v>165</v>
      </c>
      <c r="I236" s="2">
        <v>99.016300000000001</v>
      </c>
      <c r="J236" s="2">
        <v>239</v>
      </c>
      <c r="K236" s="2">
        <v>105.9755</v>
      </c>
      <c r="L236" s="2">
        <v>260</v>
      </c>
      <c r="M236" s="2">
        <v>104.759</v>
      </c>
      <c r="N236" s="2">
        <v>217</v>
      </c>
      <c r="O236" s="2">
        <v>0.343362</v>
      </c>
      <c r="P236" s="2">
        <v>235</v>
      </c>
      <c r="Q236" s="2">
        <v>2015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</row>
    <row r="237" spans="1:52" ht="12.3" hidden="1" x14ac:dyDescent="0.4">
      <c r="A237" s="2" t="s">
        <v>303</v>
      </c>
      <c r="B237" s="2"/>
      <c r="C237" s="2">
        <v>66.474900000000005</v>
      </c>
      <c r="D237" s="2">
        <v>96</v>
      </c>
      <c r="E237" s="2">
        <v>66.453000000000003</v>
      </c>
      <c r="F237" s="2">
        <v>91</v>
      </c>
      <c r="G237" s="2">
        <v>101.8235</v>
      </c>
      <c r="H237" s="2">
        <v>179</v>
      </c>
      <c r="I237" s="2">
        <v>101.02630000000001</v>
      </c>
      <c r="J237" s="2">
        <v>192</v>
      </c>
      <c r="K237" s="2">
        <v>104.2723</v>
      </c>
      <c r="L237" s="2">
        <v>219</v>
      </c>
      <c r="M237" s="2">
        <v>106.9331</v>
      </c>
      <c r="N237" s="2">
        <v>268</v>
      </c>
      <c r="O237" s="2">
        <v>0.34221000000000001</v>
      </c>
      <c r="P237" s="2">
        <v>236</v>
      </c>
      <c r="Q237" s="2">
        <v>2015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</row>
    <row r="238" spans="1:52" ht="12.3" hidden="1" x14ac:dyDescent="0.4">
      <c r="A238" s="2" t="s">
        <v>126</v>
      </c>
      <c r="B238" s="2"/>
      <c r="C238" s="2">
        <v>61.775700000000001</v>
      </c>
      <c r="D238" s="2">
        <v>310</v>
      </c>
      <c r="E238" s="2">
        <v>61.863999999999997</v>
      </c>
      <c r="F238" s="2">
        <v>306</v>
      </c>
      <c r="G238" s="2">
        <v>100.2826</v>
      </c>
      <c r="H238" s="2">
        <v>210</v>
      </c>
      <c r="I238" s="2">
        <v>100.4773</v>
      </c>
      <c r="J238" s="2">
        <v>214</v>
      </c>
      <c r="K238" s="2">
        <v>110.9314</v>
      </c>
      <c r="L238" s="2">
        <v>330</v>
      </c>
      <c r="M238" s="2">
        <v>106.4131</v>
      </c>
      <c r="N238" s="2">
        <v>255</v>
      </c>
      <c r="O238" s="2">
        <v>0.340725</v>
      </c>
      <c r="P238" s="2">
        <v>237</v>
      </c>
      <c r="Q238" s="2">
        <v>2015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</row>
    <row r="239" spans="1:52" ht="12.3" hidden="1" x14ac:dyDescent="0.4">
      <c r="A239" s="2" t="s">
        <v>375</v>
      </c>
      <c r="B239" s="2"/>
      <c r="C239" s="2">
        <v>63.753700000000002</v>
      </c>
      <c r="D239" s="2">
        <v>241</v>
      </c>
      <c r="E239" s="2">
        <v>63.304699999999997</v>
      </c>
      <c r="F239" s="2">
        <v>256</v>
      </c>
      <c r="G239" s="2">
        <v>103.09569999999999</v>
      </c>
      <c r="H239" s="2">
        <v>149</v>
      </c>
      <c r="I239" s="2">
        <v>102.7565</v>
      </c>
      <c r="J239" s="2">
        <v>156</v>
      </c>
      <c r="K239" s="2">
        <v>105.2341</v>
      </c>
      <c r="L239" s="2">
        <v>244</v>
      </c>
      <c r="M239" s="2">
        <v>108.9341</v>
      </c>
      <c r="N239" s="2">
        <v>305</v>
      </c>
      <c r="O239" s="2">
        <v>0.33818700000000002</v>
      </c>
      <c r="P239" s="2">
        <v>238</v>
      </c>
      <c r="Q239" s="2">
        <v>2015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</row>
    <row r="240" spans="1:52" ht="12.3" hidden="1" x14ac:dyDescent="0.4">
      <c r="A240" s="2" t="s">
        <v>354</v>
      </c>
      <c r="B240" s="2"/>
      <c r="C240" s="2">
        <v>62.887799999999999</v>
      </c>
      <c r="D240" s="2">
        <v>278</v>
      </c>
      <c r="E240" s="2">
        <v>61.579099999999997</v>
      </c>
      <c r="F240" s="2">
        <v>313</v>
      </c>
      <c r="G240" s="2">
        <v>92.350200000000001</v>
      </c>
      <c r="H240" s="2">
        <v>328</v>
      </c>
      <c r="I240" s="2">
        <v>91.585300000000004</v>
      </c>
      <c r="J240" s="2">
        <v>332</v>
      </c>
      <c r="K240" s="2">
        <v>95.847700000000003</v>
      </c>
      <c r="L240" s="2">
        <v>44</v>
      </c>
      <c r="M240" s="2">
        <v>97.158199999999994</v>
      </c>
      <c r="N240" s="2">
        <v>72</v>
      </c>
      <c r="O240" s="2">
        <v>0.33641700000000002</v>
      </c>
      <c r="P240" s="2">
        <v>239</v>
      </c>
      <c r="Q240" s="2">
        <v>2015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</row>
    <row r="241" spans="1:52" ht="12.3" hidden="1" x14ac:dyDescent="0.4">
      <c r="A241" s="2" t="s">
        <v>281</v>
      </c>
      <c r="B241" s="2"/>
      <c r="C241" s="2">
        <v>68.733900000000006</v>
      </c>
      <c r="D241" s="2">
        <v>27</v>
      </c>
      <c r="E241" s="2">
        <v>68.295000000000002</v>
      </c>
      <c r="F241" s="2">
        <v>29</v>
      </c>
      <c r="G241" s="2">
        <v>102.8931</v>
      </c>
      <c r="H241" s="2">
        <v>155</v>
      </c>
      <c r="I241" s="2">
        <v>100.6614</v>
      </c>
      <c r="J241" s="2">
        <v>205</v>
      </c>
      <c r="K241" s="2">
        <v>105.03270000000001</v>
      </c>
      <c r="L241" s="2">
        <v>239</v>
      </c>
      <c r="M241" s="2">
        <v>106.79649999999999</v>
      </c>
      <c r="N241" s="2">
        <v>267</v>
      </c>
      <c r="O241" s="2">
        <v>0.33617900000000001</v>
      </c>
      <c r="P241" s="2">
        <v>240</v>
      </c>
      <c r="Q241" s="2">
        <v>2015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</row>
    <row r="242" spans="1:52" ht="12.3" hidden="1" x14ac:dyDescent="0.4">
      <c r="A242" s="2" t="s">
        <v>184</v>
      </c>
      <c r="B242" s="2"/>
      <c r="C242" s="2">
        <v>66.495400000000004</v>
      </c>
      <c r="D242" s="2">
        <v>95</v>
      </c>
      <c r="E242" s="2">
        <v>65.850499999999997</v>
      </c>
      <c r="F242" s="2">
        <v>119</v>
      </c>
      <c r="G242" s="2">
        <v>96.394599999999997</v>
      </c>
      <c r="H242" s="2">
        <v>285</v>
      </c>
      <c r="I242" s="2">
        <v>97.518600000000006</v>
      </c>
      <c r="J242" s="2">
        <v>265</v>
      </c>
      <c r="K242" s="2">
        <v>102.9288</v>
      </c>
      <c r="L242" s="2">
        <v>186</v>
      </c>
      <c r="M242" s="2">
        <v>103.50709999999999</v>
      </c>
      <c r="N242" s="2">
        <v>189</v>
      </c>
      <c r="O242" s="2">
        <v>0.335065</v>
      </c>
      <c r="P242" s="2">
        <v>241</v>
      </c>
      <c r="Q242" s="2">
        <v>2015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</row>
    <row r="243" spans="1:52" ht="12.3" hidden="1" x14ac:dyDescent="0.4">
      <c r="A243" s="2" t="s">
        <v>203</v>
      </c>
      <c r="B243" s="2"/>
      <c r="C243" s="2">
        <v>63.603000000000002</v>
      </c>
      <c r="D243" s="2">
        <v>246</v>
      </c>
      <c r="E243" s="2">
        <v>64.801199999999994</v>
      </c>
      <c r="F243" s="2">
        <v>164</v>
      </c>
      <c r="G243" s="2">
        <v>105.973</v>
      </c>
      <c r="H243" s="2">
        <v>88</v>
      </c>
      <c r="I243" s="2">
        <v>103.7227</v>
      </c>
      <c r="J243" s="2">
        <v>134</v>
      </c>
      <c r="K243" s="2">
        <v>110.0368</v>
      </c>
      <c r="L243" s="2">
        <v>325</v>
      </c>
      <c r="M243" s="2">
        <v>110.1712</v>
      </c>
      <c r="N243" s="2">
        <v>320</v>
      </c>
      <c r="O243" s="2">
        <v>0.33323000000000003</v>
      </c>
      <c r="P243" s="2">
        <v>242</v>
      </c>
      <c r="Q243" s="2">
        <v>2015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</row>
    <row r="244" spans="1:52" ht="12.3" hidden="1" x14ac:dyDescent="0.4">
      <c r="A244" s="2" t="s">
        <v>178</v>
      </c>
      <c r="B244" s="2"/>
      <c r="C244" s="2">
        <v>63.181699999999999</v>
      </c>
      <c r="D244" s="2">
        <v>265</v>
      </c>
      <c r="E244" s="2">
        <v>63.948599999999999</v>
      </c>
      <c r="F244" s="2">
        <v>217</v>
      </c>
      <c r="G244" s="2">
        <v>100.91800000000001</v>
      </c>
      <c r="H244" s="2">
        <v>198</v>
      </c>
      <c r="I244" s="2">
        <v>100.0629</v>
      </c>
      <c r="J244" s="2">
        <v>225</v>
      </c>
      <c r="K244" s="2">
        <v>104.7174</v>
      </c>
      <c r="L244" s="2">
        <v>228</v>
      </c>
      <c r="M244" s="2">
        <v>106.295</v>
      </c>
      <c r="N244" s="2">
        <v>250</v>
      </c>
      <c r="O244" s="2">
        <v>0.33295999999999998</v>
      </c>
      <c r="P244" s="2">
        <v>243</v>
      </c>
      <c r="Q244" s="2">
        <v>2015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</row>
    <row r="245" spans="1:52" ht="12.3" hidden="1" x14ac:dyDescent="0.4">
      <c r="A245" s="2" t="s">
        <v>373</v>
      </c>
      <c r="B245" s="2"/>
      <c r="C245" s="2">
        <v>66.418800000000005</v>
      </c>
      <c r="D245" s="2">
        <v>101</v>
      </c>
      <c r="E245" s="2">
        <v>66.757999999999996</v>
      </c>
      <c r="F245" s="2">
        <v>76</v>
      </c>
      <c r="G245" s="2">
        <v>97.888000000000005</v>
      </c>
      <c r="H245" s="2">
        <v>263</v>
      </c>
      <c r="I245" s="2">
        <v>96.121499999999997</v>
      </c>
      <c r="J245" s="2">
        <v>288</v>
      </c>
      <c r="K245" s="2">
        <v>102.11369999999999</v>
      </c>
      <c r="L245" s="2">
        <v>172</v>
      </c>
      <c r="M245" s="2">
        <v>102.2908</v>
      </c>
      <c r="N245" s="2">
        <v>167</v>
      </c>
      <c r="O245" s="2">
        <v>0.32841100000000001</v>
      </c>
      <c r="P245" s="2">
        <v>244</v>
      </c>
      <c r="Q245" s="2">
        <v>2015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</row>
    <row r="246" spans="1:52" ht="12.3" hidden="1" x14ac:dyDescent="0.4">
      <c r="A246" s="2" t="s">
        <v>266</v>
      </c>
      <c r="B246" s="2"/>
      <c r="C246" s="2">
        <v>67.488799999999998</v>
      </c>
      <c r="D246" s="2">
        <v>61</v>
      </c>
      <c r="E246" s="2">
        <v>66.514700000000005</v>
      </c>
      <c r="F246" s="2">
        <v>89</v>
      </c>
      <c r="G246" s="2">
        <v>100.8723</v>
      </c>
      <c r="H246" s="2">
        <v>200</v>
      </c>
      <c r="I246" s="2">
        <v>98.540300000000002</v>
      </c>
      <c r="J246" s="2">
        <v>247</v>
      </c>
      <c r="K246" s="2">
        <v>107.3014</v>
      </c>
      <c r="L246" s="2">
        <v>290</v>
      </c>
      <c r="M246" s="2">
        <v>104.9509</v>
      </c>
      <c r="N246" s="2">
        <v>221</v>
      </c>
      <c r="O246" s="2">
        <v>0.32633499999999999</v>
      </c>
      <c r="P246" s="2">
        <v>245</v>
      </c>
      <c r="Q246" s="2">
        <v>2015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</row>
    <row r="247" spans="1:52" ht="12.3" hidden="1" x14ac:dyDescent="0.4">
      <c r="A247" s="2" t="s">
        <v>265</v>
      </c>
      <c r="B247" s="2"/>
      <c r="C247" s="2">
        <v>68.517499999999998</v>
      </c>
      <c r="D247" s="2">
        <v>32</v>
      </c>
      <c r="E247" s="2">
        <v>67.087000000000003</v>
      </c>
      <c r="F247" s="2">
        <v>65</v>
      </c>
      <c r="G247" s="2">
        <v>100.6977</v>
      </c>
      <c r="H247" s="2">
        <v>204</v>
      </c>
      <c r="I247" s="2">
        <v>102.2098</v>
      </c>
      <c r="J247" s="2">
        <v>168</v>
      </c>
      <c r="K247" s="2">
        <v>104.8809</v>
      </c>
      <c r="L247" s="2">
        <v>233</v>
      </c>
      <c r="M247" s="2">
        <v>108.8947</v>
      </c>
      <c r="N247" s="2">
        <v>304</v>
      </c>
      <c r="O247" s="2">
        <v>0.32550899999999999</v>
      </c>
      <c r="P247" s="2">
        <v>246</v>
      </c>
      <c r="Q247" s="2">
        <v>2015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</row>
    <row r="248" spans="1:52" ht="12.3" hidden="1" x14ac:dyDescent="0.4">
      <c r="A248" s="2" t="s">
        <v>174</v>
      </c>
      <c r="B248" s="2"/>
      <c r="C248" s="2">
        <v>65.755600000000001</v>
      </c>
      <c r="D248" s="2">
        <v>126</v>
      </c>
      <c r="E248" s="2">
        <v>65.870900000000006</v>
      </c>
      <c r="F248" s="2">
        <v>118</v>
      </c>
      <c r="G248" s="2">
        <v>99.166499999999999</v>
      </c>
      <c r="H248" s="2">
        <v>241</v>
      </c>
      <c r="I248" s="2">
        <v>99.965999999999994</v>
      </c>
      <c r="J248" s="2">
        <v>227</v>
      </c>
      <c r="K248" s="2">
        <v>108.16679999999999</v>
      </c>
      <c r="L248" s="2">
        <v>303</v>
      </c>
      <c r="M248" s="2">
        <v>106.547</v>
      </c>
      <c r="N248" s="2">
        <v>260</v>
      </c>
      <c r="O248" s="2">
        <v>0.32449299999999998</v>
      </c>
      <c r="P248" s="2">
        <v>247</v>
      </c>
      <c r="Q248" s="2">
        <v>2015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</row>
    <row r="249" spans="1:52" ht="12.3" hidden="1" x14ac:dyDescent="0.4">
      <c r="A249" s="2" t="s">
        <v>210</v>
      </c>
      <c r="B249" s="2"/>
      <c r="C249" s="2">
        <v>61.673200000000001</v>
      </c>
      <c r="D249" s="2">
        <v>314</v>
      </c>
      <c r="E249" s="2">
        <v>60.905500000000004</v>
      </c>
      <c r="F249" s="2">
        <v>329</v>
      </c>
      <c r="G249" s="2">
        <v>96.939700000000002</v>
      </c>
      <c r="H249" s="2">
        <v>273</v>
      </c>
      <c r="I249" s="2">
        <v>98.355699999999999</v>
      </c>
      <c r="J249" s="2">
        <v>249</v>
      </c>
      <c r="K249" s="2">
        <v>103.80410000000001</v>
      </c>
      <c r="L249" s="2">
        <v>209</v>
      </c>
      <c r="M249" s="2">
        <v>104.8729</v>
      </c>
      <c r="N249" s="2">
        <v>219</v>
      </c>
      <c r="O249" s="2">
        <v>0.32348199999999999</v>
      </c>
      <c r="P249" s="2">
        <v>248</v>
      </c>
      <c r="Q249" s="2">
        <v>2015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</row>
    <row r="250" spans="1:52" ht="12.3" hidden="1" x14ac:dyDescent="0.4">
      <c r="A250" s="2" t="s">
        <v>171</v>
      </c>
      <c r="B250" s="2"/>
      <c r="C250" s="2">
        <v>64.330799999999996</v>
      </c>
      <c r="D250" s="2">
        <v>200</v>
      </c>
      <c r="E250" s="2">
        <v>63.641599999999997</v>
      </c>
      <c r="F250" s="2">
        <v>241</v>
      </c>
      <c r="G250" s="2">
        <v>97.370900000000006</v>
      </c>
      <c r="H250" s="2">
        <v>269</v>
      </c>
      <c r="I250" s="2">
        <v>96.203299999999999</v>
      </c>
      <c r="J250" s="2">
        <v>287</v>
      </c>
      <c r="K250" s="2">
        <v>105.4226</v>
      </c>
      <c r="L250" s="2">
        <v>249</v>
      </c>
      <c r="M250" s="2">
        <v>102.88930000000001</v>
      </c>
      <c r="N250" s="2">
        <v>179</v>
      </c>
      <c r="O250" s="2">
        <v>0.31590000000000001</v>
      </c>
      <c r="P250" s="2">
        <v>249</v>
      </c>
      <c r="Q250" s="2">
        <v>2015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</row>
    <row r="251" spans="1:52" ht="12.3" x14ac:dyDescent="0.4">
      <c r="A251" s="2" t="s">
        <v>135</v>
      </c>
      <c r="B251" s="2">
        <v>16</v>
      </c>
      <c r="C251" s="2">
        <v>69.142300000000006</v>
      </c>
      <c r="D251" s="2">
        <v>18</v>
      </c>
      <c r="E251" s="2">
        <v>69.543000000000006</v>
      </c>
      <c r="F251" s="2">
        <v>16</v>
      </c>
      <c r="G251" s="2">
        <v>96.609899999999996</v>
      </c>
      <c r="H251" s="2">
        <v>280</v>
      </c>
      <c r="I251" s="2">
        <v>95.571600000000004</v>
      </c>
      <c r="J251" s="2">
        <v>302</v>
      </c>
      <c r="K251" s="2">
        <v>98.523200000000003</v>
      </c>
      <c r="L251" s="2">
        <v>94</v>
      </c>
      <c r="M251" s="2">
        <v>102.34569999999999</v>
      </c>
      <c r="N251" s="2">
        <v>170</v>
      </c>
      <c r="O251" s="2">
        <v>0.312699</v>
      </c>
      <c r="P251" s="2">
        <v>250</v>
      </c>
      <c r="Q251" s="10">
        <v>-6.77409999999999</v>
      </c>
      <c r="R251" s="2"/>
      <c r="S251" s="2"/>
      <c r="T251" s="2"/>
      <c r="U251" s="2"/>
      <c r="V251" s="10"/>
      <c r="W251" s="2"/>
      <c r="X251" s="2"/>
      <c r="Y251" s="2"/>
      <c r="Z251" s="10"/>
      <c r="AA251" s="2"/>
      <c r="AB251" s="10"/>
      <c r="AC251" s="2"/>
      <c r="AD251" s="10"/>
      <c r="AE251" s="2"/>
      <c r="AF251" s="10"/>
      <c r="AG251" s="2"/>
      <c r="AH251" s="30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</row>
    <row r="252" spans="1:52" ht="12.3" hidden="1" x14ac:dyDescent="0.4">
      <c r="A252" s="2" t="s">
        <v>242</v>
      </c>
      <c r="B252" s="2"/>
      <c r="C252" s="2">
        <v>64.088300000000004</v>
      </c>
      <c r="D252" s="2">
        <v>219</v>
      </c>
      <c r="E252" s="2">
        <v>63.222900000000003</v>
      </c>
      <c r="F252" s="2">
        <v>262</v>
      </c>
      <c r="G252" s="2">
        <v>93.459599999999995</v>
      </c>
      <c r="H252" s="2">
        <v>316</v>
      </c>
      <c r="I252" s="2">
        <v>92.4298</v>
      </c>
      <c r="J252" s="2">
        <v>325</v>
      </c>
      <c r="K252" s="2">
        <v>96.753900000000002</v>
      </c>
      <c r="L252" s="2">
        <v>65</v>
      </c>
      <c r="M252" s="2">
        <v>99.134100000000004</v>
      </c>
      <c r="N252" s="2">
        <v>104</v>
      </c>
      <c r="O252" s="2">
        <v>0.30889899999999998</v>
      </c>
      <c r="P252" s="2">
        <v>251</v>
      </c>
      <c r="Q252" s="2">
        <v>2015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</row>
    <row r="253" spans="1:52" ht="12.3" hidden="1" x14ac:dyDescent="0.4">
      <c r="A253" s="2" t="s">
        <v>114</v>
      </c>
      <c r="B253" s="2"/>
      <c r="C253" s="2">
        <v>67.218400000000003</v>
      </c>
      <c r="D253" s="2">
        <v>71</v>
      </c>
      <c r="E253" s="2">
        <v>66.660799999999995</v>
      </c>
      <c r="F253" s="2">
        <v>81</v>
      </c>
      <c r="G253" s="2">
        <v>102.8246</v>
      </c>
      <c r="H253" s="2">
        <v>157</v>
      </c>
      <c r="I253" s="2">
        <v>102.29810000000001</v>
      </c>
      <c r="J253" s="2">
        <v>165</v>
      </c>
      <c r="K253" s="2">
        <v>106.9594</v>
      </c>
      <c r="L253" s="2">
        <v>283</v>
      </c>
      <c r="M253" s="2">
        <v>109.7479</v>
      </c>
      <c r="N253" s="2">
        <v>317</v>
      </c>
      <c r="O253" s="2">
        <v>0.30823200000000001</v>
      </c>
      <c r="P253" s="2">
        <v>252</v>
      </c>
      <c r="Q253" s="2">
        <v>2015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</row>
    <row r="254" spans="1:52" ht="12.3" hidden="1" x14ac:dyDescent="0.4">
      <c r="A254" s="2" t="s">
        <v>379</v>
      </c>
      <c r="B254" s="2"/>
      <c r="C254" s="2">
        <v>73.401300000000006</v>
      </c>
      <c r="D254" s="2">
        <v>4</v>
      </c>
      <c r="E254" s="2">
        <v>73.897300000000001</v>
      </c>
      <c r="F254" s="2">
        <v>3</v>
      </c>
      <c r="G254" s="2">
        <v>102.9868</v>
      </c>
      <c r="H254" s="2">
        <v>153</v>
      </c>
      <c r="I254" s="2">
        <v>100.68210000000001</v>
      </c>
      <c r="J254" s="2">
        <v>204</v>
      </c>
      <c r="K254" s="2">
        <v>105.9268</v>
      </c>
      <c r="L254" s="2">
        <v>259</v>
      </c>
      <c r="M254" s="2">
        <v>108.0519</v>
      </c>
      <c r="N254" s="2">
        <v>290</v>
      </c>
      <c r="O254" s="2">
        <v>0.30737700000000001</v>
      </c>
      <c r="P254" s="2">
        <v>253</v>
      </c>
      <c r="Q254" s="2">
        <v>2015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</row>
    <row r="255" spans="1:52" ht="12.3" hidden="1" x14ac:dyDescent="0.4">
      <c r="A255" s="2" t="s">
        <v>306</v>
      </c>
      <c r="B255" s="2"/>
      <c r="C255" s="2">
        <v>68.188900000000004</v>
      </c>
      <c r="D255" s="2">
        <v>38</v>
      </c>
      <c r="E255" s="2">
        <v>68.212299999999999</v>
      </c>
      <c r="F255" s="2">
        <v>31</v>
      </c>
      <c r="G255" s="2">
        <v>98.270399999999995</v>
      </c>
      <c r="H255" s="2">
        <v>255</v>
      </c>
      <c r="I255" s="2">
        <v>96.865799999999993</v>
      </c>
      <c r="J255" s="2">
        <v>275</v>
      </c>
      <c r="K255" s="2">
        <v>103.45050000000001</v>
      </c>
      <c r="L255" s="2">
        <v>199</v>
      </c>
      <c r="M255" s="2">
        <v>104.1208</v>
      </c>
      <c r="N255" s="2">
        <v>204</v>
      </c>
      <c r="O255" s="2">
        <v>0.30352000000000001</v>
      </c>
      <c r="P255" s="2">
        <v>254</v>
      </c>
      <c r="Q255" s="2">
        <v>2015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</row>
    <row r="256" spans="1:52" ht="12.3" hidden="1" x14ac:dyDescent="0.4">
      <c r="A256" s="2" t="s">
        <v>269</v>
      </c>
      <c r="B256" s="2"/>
      <c r="C256" s="2">
        <v>66.956900000000005</v>
      </c>
      <c r="D256" s="2">
        <v>76</v>
      </c>
      <c r="E256" s="2">
        <v>66.245900000000006</v>
      </c>
      <c r="F256" s="2">
        <v>101</v>
      </c>
      <c r="G256" s="2">
        <v>104.6827</v>
      </c>
      <c r="H256" s="2">
        <v>113</v>
      </c>
      <c r="I256" s="2">
        <v>100.8249</v>
      </c>
      <c r="J256" s="2">
        <v>200</v>
      </c>
      <c r="K256" s="2">
        <v>109.3064</v>
      </c>
      <c r="L256" s="2">
        <v>315</v>
      </c>
      <c r="M256" s="2">
        <v>108.37779999999999</v>
      </c>
      <c r="N256" s="2">
        <v>295</v>
      </c>
      <c r="O256" s="2">
        <v>0.30348999999999998</v>
      </c>
      <c r="P256" s="2">
        <v>255</v>
      </c>
      <c r="Q256" s="2">
        <v>2015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</row>
    <row r="257" spans="1:52" ht="12.3" hidden="1" x14ac:dyDescent="0.4">
      <c r="A257" s="2" t="s">
        <v>233</v>
      </c>
      <c r="B257" s="2"/>
      <c r="C257" s="2">
        <v>67.105599999999995</v>
      </c>
      <c r="D257" s="2">
        <v>75</v>
      </c>
      <c r="E257" s="2">
        <v>67.974999999999994</v>
      </c>
      <c r="F257" s="2">
        <v>36</v>
      </c>
      <c r="G257" s="2">
        <v>96.493600000000001</v>
      </c>
      <c r="H257" s="2">
        <v>283</v>
      </c>
      <c r="I257" s="2">
        <v>97.595699999999994</v>
      </c>
      <c r="J257" s="2">
        <v>264</v>
      </c>
      <c r="K257" s="2">
        <v>104.377</v>
      </c>
      <c r="L257" s="2">
        <v>220</v>
      </c>
      <c r="M257" s="2">
        <v>104.961</v>
      </c>
      <c r="N257" s="2">
        <v>222</v>
      </c>
      <c r="O257" s="2">
        <v>0.30223299999999997</v>
      </c>
      <c r="P257" s="2">
        <v>256</v>
      </c>
      <c r="Q257" s="2">
        <v>2015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</row>
    <row r="258" spans="1:52" ht="12.3" hidden="1" x14ac:dyDescent="0.4">
      <c r="A258" s="2" t="s">
        <v>370</v>
      </c>
      <c r="B258" s="2"/>
      <c r="C258" s="2">
        <v>60.524299999999997</v>
      </c>
      <c r="D258" s="2">
        <v>336</v>
      </c>
      <c r="E258" s="2">
        <v>61.014899999999997</v>
      </c>
      <c r="F258" s="2">
        <v>326</v>
      </c>
      <c r="G258" s="2">
        <v>99.523799999999994</v>
      </c>
      <c r="H258" s="2">
        <v>233</v>
      </c>
      <c r="I258" s="2">
        <v>98.23</v>
      </c>
      <c r="J258" s="2">
        <v>252</v>
      </c>
      <c r="K258" s="2">
        <v>100.0975</v>
      </c>
      <c r="L258" s="2">
        <v>125</v>
      </c>
      <c r="M258" s="2">
        <v>105.6807</v>
      </c>
      <c r="N258" s="2">
        <v>237</v>
      </c>
      <c r="O258" s="2">
        <v>0.30137199999999997</v>
      </c>
      <c r="P258" s="2">
        <v>257</v>
      </c>
      <c r="Q258" s="2">
        <v>2015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</row>
    <row r="259" spans="1:52" ht="12.3" hidden="1" x14ac:dyDescent="0.4">
      <c r="A259" s="2" t="s">
        <v>297</v>
      </c>
      <c r="B259" s="2"/>
      <c r="C259" s="2">
        <v>69.219700000000003</v>
      </c>
      <c r="D259" s="2">
        <v>17</v>
      </c>
      <c r="E259" s="2">
        <v>67.537700000000001</v>
      </c>
      <c r="F259" s="2">
        <v>51</v>
      </c>
      <c r="G259" s="2">
        <v>101.64060000000001</v>
      </c>
      <c r="H259" s="2">
        <v>183</v>
      </c>
      <c r="I259" s="2">
        <v>95.815299999999993</v>
      </c>
      <c r="J259" s="2">
        <v>296</v>
      </c>
      <c r="K259" s="2">
        <v>96.0745</v>
      </c>
      <c r="L259" s="2">
        <v>47</v>
      </c>
      <c r="M259" s="2">
        <v>103.2803</v>
      </c>
      <c r="N259" s="2">
        <v>183</v>
      </c>
      <c r="O259" s="2">
        <v>0.29675800000000002</v>
      </c>
      <c r="P259" s="2">
        <v>258</v>
      </c>
      <c r="Q259" s="2">
        <v>2015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</row>
    <row r="260" spans="1:52" ht="12.3" hidden="1" x14ac:dyDescent="0.4">
      <c r="A260" s="2" t="s">
        <v>358</v>
      </c>
      <c r="B260" s="2"/>
      <c r="C260" s="2">
        <v>64.174599999999998</v>
      </c>
      <c r="D260" s="2">
        <v>212</v>
      </c>
      <c r="E260" s="2">
        <v>63.565600000000003</v>
      </c>
      <c r="F260" s="2">
        <v>248</v>
      </c>
      <c r="G260" s="2">
        <v>113.01220000000001</v>
      </c>
      <c r="H260" s="2">
        <v>18</v>
      </c>
      <c r="I260" s="2">
        <v>107.6771</v>
      </c>
      <c r="J260" s="2">
        <v>65</v>
      </c>
      <c r="K260" s="2">
        <v>114.1934</v>
      </c>
      <c r="L260" s="2">
        <v>349</v>
      </c>
      <c r="M260" s="2">
        <v>116.1155</v>
      </c>
      <c r="N260" s="2">
        <v>350</v>
      </c>
      <c r="O260" s="2">
        <v>0.295742</v>
      </c>
      <c r="P260" s="2">
        <v>259</v>
      </c>
      <c r="Q260" s="2">
        <v>2015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</row>
    <row r="261" spans="1:52" ht="12.3" hidden="1" x14ac:dyDescent="0.4">
      <c r="A261" s="2" t="s">
        <v>205</v>
      </c>
      <c r="B261" s="2"/>
      <c r="C261" s="2">
        <v>58.794199999999996</v>
      </c>
      <c r="D261" s="2">
        <v>346</v>
      </c>
      <c r="E261" s="2">
        <v>59.144799999999996</v>
      </c>
      <c r="F261" s="2">
        <v>345</v>
      </c>
      <c r="G261" s="2">
        <v>98.940299999999993</v>
      </c>
      <c r="H261" s="2">
        <v>246</v>
      </c>
      <c r="I261" s="2">
        <v>103.8233</v>
      </c>
      <c r="J261" s="2">
        <v>127</v>
      </c>
      <c r="K261" s="2">
        <v>113.2597</v>
      </c>
      <c r="L261" s="2">
        <v>346</v>
      </c>
      <c r="M261" s="2">
        <v>112.07470000000001</v>
      </c>
      <c r="N261" s="2">
        <v>333</v>
      </c>
      <c r="O261" s="2">
        <v>0.29328900000000002</v>
      </c>
      <c r="P261" s="2">
        <v>260</v>
      </c>
      <c r="Q261" s="2">
        <v>2015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</row>
    <row r="262" spans="1:52" ht="12.3" hidden="1" x14ac:dyDescent="0.4">
      <c r="A262" s="2" t="s">
        <v>101</v>
      </c>
      <c r="B262" s="2"/>
      <c r="C262" s="2">
        <v>63.640700000000002</v>
      </c>
      <c r="D262" s="2">
        <v>244</v>
      </c>
      <c r="E262" s="2">
        <v>63.753100000000003</v>
      </c>
      <c r="F262" s="2">
        <v>230</v>
      </c>
      <c r="G262" s="2">
        <v>98.497500000000002</v>
      </c>
      <c r="H262" s="2">
        <v>253</v>
      </c>
      <c r="I262" s="2">
        <v>98.238100000000003</v>
      </c>
      <c r="J262" s="2">
        <v>251</v>
      </c>
      <c r="K262" s="2">
        <v>106.6764</v>
      </c>
      <c r="L262" s="2">
        <v>278</v>
      </c>
      <c r="M262" s="2">
        <v>106.0946</v>
      </c>
      <c r="N262" s="2">
        <v>245</v>
      </c>
      <c r="O262" s="2">
        <v>0.292188</v>
      </c>
      <c r="P262" s="2">
        <v>261</v>
      </c>
      <c r="Q262" s="2">
        <v>2015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</row>
    <row r="263" spans="1:52" ht="12.3" hidden="1" x14ac:dyDescent="0.4">
      <c r="A263" s="2" t="s">
        <v>314</v>
      </c>
      <c r="B263" s="2"/>
      <c r="C263" s="2">
        <v>69.138000000000005</v>
      </c>
      <c r="D263" s="2">
        <v>20</v>
      </c>
      <c r="E263" s="2">
        <v>69.927899999999994</v>
      </c>
      <c r="F263" s="2">
        <v>11</v>
      </c>
      <c r="G263" s="2">
        <v>102.3202</v>
      </c>
      <c r="H263" s="2">
        <v>170</v>
      </c>
      <c r="I263" s="2">
        <v>97.357600000000005</v>
      </c>
      <c r="J263" s="2">
        <v>267</v>
      </c>
      <c r="K263" s="2">
        <v>104.4452</v>
      </c>
      <c r="L263" s="2">
        <v>223</v>
      </c>
      <c r="M263" s="2">
        <v>105.21129999999999</v>
      </c>
      <c r="N263" s="2">
        <v>226</v>
      </c>
      <c r="O263" s="2">
        <v>0.290663</v>
      </c>
      <c r="P263" s="2">
        <v>262</v>
      </c>
      <c r="Q263" s="2">
        <v>2015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</row>
    <row r="264" spans="1:52" ht="12.3" hidden="1" x14ac:dyDescent="0.4">
      <c r="A264" s="2" t="s">
        <v>376</v>
      </c>
      <c r="B264" s="2"/>
      <c r="C264" s="2">
        <v>61.653399999999998</v>
      </c>
      <c r="D264" s="2">
        <v>315</v>
      </c>
      <c r="E264" s="2">
        <v>62.092399999999998</v>
      </c>
      <c r="F264" s="2">
        <v>300</v>
      </c>
      <c r="G264" s="2">
        <v>99.637699999999995</v>
      </c>
      <c r="H264" s="2">
        <v>227</v>
      </c>
      <c r="I264" s="2">
        <v>96.459199999999996</v>
      </c>
      <c r="J264" s="2">
        <v>281</v>
      </c>
      <c r="K264" s="2">
        <v>101.34699999999999</v>
      </c>
      <c r="L264" s="2">
        <v>160</v>
      </c>
      <c r="M264" s="2">
        <v>104.3807</v>
      </c>
      <c r="N264" s="2">
        <v>210</v>
      </c>
      <c r="O264" s="2">
        <v>0.28748400000000002</v>
      </c>
      <c r="P264" s="2">
        <v>263</v>
      </c>
      <c r="Q264" s="2">
        <v>2015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</row>
    <row r="265" spans="1:52" ht="12.3" hidden="1" x14ac:dyDescent="0.4">
      <c r="A265" s="2" t="s">
        <v>197</v>
      </c>
      <c r="B265" s="2"/>
      <c r="C265" s="2">
        <v>70.366200000000006</v>
      </c>
      <c r="D265" s="2">
        <v>9</v>
      </c>
      <c r="E265" s="2">
        <v>70.2333</v>
      </c>
      <c r="F265" s="2">
        <v>7</v>
      </c>
      <c r="G265" s="2">
        <v>92.729500000000002</v>
      </c>
      <c r="H265" s="2">
        <v>324</v>
      </c>
      <c r="I265" s="2">
        <v>94.53</v>
      </c>
      <c r="J265" s="2">
        <v>313</v>
      </c>
      <c r="K265" s="2">
        <v>101.2342</v>
      </c>
      <c r="L265" s="2">
        <v>154</v>
      </c>
      <c r="M265" s="2">
        <v>102.30759999999999</v>
      </c>
      <c r="N265" s="2">
        <v>168</v>
      </c>
      <c r="O265" s="2">
        <v>0.28715000000000002</v>
      </c>
      <c r="P265" s="2">
        <v>264</v>
      </c>
      <c r="Q265" s="2">
        <v>2015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</row>
    <row r="266" spans="1:52" ht="12.3" hidden="1" x14ac:dyDescent="0.4">
      <c r="A266" s="2" t="s">
        <v>293</v>
      </c>
      <c r="B266" s="2"/>
      <c r="C266" s="2">
        <v>61.227400000000003</v>
      </c>
      <c r="D266" s="2">
        <v>322</v>
      </c>
      <c r="E266" s="2">
        <v>60.930799999999998</v>
      </c>
      <c r="F266" s="2">
        <v>328</v>
      </c>
      <c r="G266" s="2">
        <v>99.957599999999999</v>
      </c>
      <c r="H266" s="2">
        <v>218</v>
      </c>
      <c r="I266" s="2">
        <v>98.961200000000005</v>
      </c>
      <c r="J266" s="2">
        <v>241</v>
      </c>
      <c r="K266" s="2">
        <v>105.5526</v>
      </c>
      <c r="L266" s="2">
        <v>253</v>
      </c>
      <c r="M266" s="2">
        <v>107.1322</v>
      </c>
      <c r="N266" s="2">
        <v>271</v>
      </c>
      <c r="O266" s="2">
        <v>0.28651599999999999</v>
      </c>
      <c r="P266" s="2">
        <v>265</v>
      </c>
      <c r="Q266" s="2">
        <v>2015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</row>
    <row r="267" spans="1:52" ht="12.3" hidden="1" x14ac:dyDescent="0.4">
      <c r="A267" s="2" t="s">
        <v>22</v>
      </c>
      <c r="B267" s="2"/>
      <c r="C267" s="2">
        <v>60.738900000000001</v>
      </c>
      <c r="D267" s="2">
        <v>333</v>
      </c>
      <c r="E267" s="2">
        <v>61.953000000000003</v>
      </c>
      <c r="F267" s="2">
        <v>301</v>
      </c>
      <c r="G267" s="2">
        <v>95.199200000000005</v>
      </c>
      <c r="H267" s="2">
        <v>299</v>
      </c>
      <c r="I267" s="2">
        <v>96.073099999999997</v>
      </c>
      <c r="J267" s="2">
        <v>290</v>
      </c>
      <c r="K267" s="2">
        <v>105.81870000000001</v>
      </c>
      <c r="L267" s="2">
        <v>258</v>
      </c>
      <c r="M267" s="2">
        <v>104.03619999999999</v>
      </c>
      <c r="N267" s="2">
        <v>202</v>
      </c>
      <c r="O267" s="2">
        <v>0.28582800000000003</v>
      </c>
      <c r="P267" s="2">
        <v>266</v>
      </c>
      <c r="Q267" s="2">
        <v>2015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</row>
    <row r="268" spans="1:52" ht="12.3" hidden="1" x14ac:dyDescent="0.4">
      <c r="A268" s="2" t="s">
        <v>300</v>
      </c>
      <c r="B268" s="2"/>
      <c r="C268" s="2">
        <v>61.158900000000003</v>
      </c>
      <c r="D268" s="2">
        <v>324</v>
      </c>
      <c r="E268" s="2">
        <v>61.4816</v>
      </c>
      <c r="F268" s="2">
        <v>318</v>
      </c>
      <c r="G268" s="2">
        <v>99.585700000000003</v>
      </c>
      <c r="H268" s="2">
        <v>231</v>
      </c>
      <c r="I268" s="2">
        <v>97.225999999999999</v>
      </c>
      <c r="J268" s="2">
        <v>269</v>
      </c>
      <c r="K268" s="2">
        <v>106.3228</v>
      </c>
      <c r="L268" s="2">
        <v>267</v>
      </c>
      <c r="M268" s="2">
        <v>105.2903</v>
      </c>
      <c r="N268" s="2">
        <v>229</v>
      </c>
      <c r="O268" s="2">
        <v>0.28570000000000001</v>
      </c>
      <c r="P268" s="2">
        <v>267</v>
      </c>
      <c r="Q268" s="2">
        <v>2015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</row>
    <row r="269" spans="1:52" ht="12.3" hidden="1" x14ac:dyDescent="0.4">
      <c r="A269" s="2" t="s">
        <v>260</v>
      </c>
      <c r="B269" s="2"/>
      <c r="C269" s="2">
        <v>65.433400000000006</v>
      </c>
      <c r="D269" s="2">
        <v>145</v>
      </c>
      <c r="E269" s="2">
        <v>65.322800000000001</v>
      </c>
      <c r="F269" s="2">
        <v>145</v>
      </c>
      <c r="G269" s="2">
        <v>94.008399999999995</v>
      </c>
      <c r="H269" s="2">
        <v>308</v>
      </c>
      <c r="I269" s="2">
        <v>94.536000000000001</v>
      </c>
      <c r="J269" s="2">
        <v>312</v>
      </c>
      <c r="K269" s="2">
        <v>100.47490000000001</v>
      </c>
      <c r="L269" s="2">
        <v>134</v>
      </c>
      <c r="M269" s="2">
        <v>102.4408</v>
      </c>
      <c r="N269" s="2">
        <v>172</v>
      </c>
      <c r="O269" s="2">
        <v>0.28424500000000003</v>
      </c>
      <c r="P269" s="2">
        <v>268</v>
      </c>
      <c r="Q269" s="2">
        <v>2015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</row>
    <row r="270" spans="1:52" ht="12.3" hidden="1" x14ac:dyDescent="0.4">
      <c r="A270" s="2" t="s">
        <v>170</v>
      </c>
      <c r="B270" s="2"/>
      <c r="C270" s="2">
        <v>64.246200000000002</v>
      </c>
      <c r="D270" s="2">
        <v>206</v>
      </c>
      <c r="E270" s="2">
        <v>63.351399999999998</v>
      </c>
      <c r="F270" s="2">
        <v>255</v>
      </c>
      <c r="G270" s="2">
        <v>100.9087</v>
      </c>
      <c r="H270" s="2">
        <v>199</v>
      </c>
      <c r="I270" s="2">
        <v>97.7346</v>
      </c>
      <c r="J270" s="2">
        <v>258</v>
      </c>
      <c r="K270" s="2">
        <v>106.66030000000001</v>
      </c>
      <c r="L270" s="2">
        <v>277</v>
      </c>
      <c r="M270" s="2">
        <v>105.92740000000001</v>
      </c>
      <c r="N270" s="2">
        <v>241</v>
      </c>
      <c r="O270" s="2">
        <v>0.28379100000000002</v>
      </c>
      <c r="P270" s="2">
        <v>269</v>
      </c>
      <c r="Q270" s="2">
        <v>2015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</row>
    <row r="271" spans="1:52" ht="12.3" hidden="1" x14ac:dyDescent="0.4">
      <c r="A271" s="2" t="s">
        <v>253</v>
      </c>
      <c r="B271" s="2"/>
      <c r="C271" s="2">
        <v>66.474100000000007</v>
      </c>
      <c r="D271" s="2">
        <v>97</v>
      </c>
      <c r="E271" s="2">
        <v>65.826999999999998</v>
      </c>
      <c r="F271" s="2">
        <v>121</v>
      </c>
      <c r="G271" s="2">
        <v>95.525099999999995</v>
      </c>
      <c r="H271" s="2">
        <v>296</v>
      </c>
      <c r="I271" s="2">
        <v>97.370400000000004</v>
      </c>
      <c r="J271" s="2">
        <v>266</v>
      </c>
      <c r="K271" s="2">
        <v>105.15179999999999</v>
      </c>
      <c r="L271" s="2">
        <v>241</v>
      </c>
      <c r="M271" s="2">
        <v>105.58280000000001</v>
      </c>
      <c r="N271" s="2">
        <v>235</v>
      </c>
      <c r="O271" s="2">
        <v>0.28268300000000002</v>
      </c>
      <c r="P271" s="2">
        <v>270</v>
      </c>
      <c r="Q271" s="2">
        <v>2015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</row>
    <row r="272" spans="1:52" ht="12.3" hidden="1" x14ac:dyDescent="0.4">
      <c r="A272" s="2" t="s">
        <v>381</v>
      </c>
      <c r="B272" s="2"/>
      <c r="C272" s="2">
        <v>63.989199999999997</v>
      </c>
      <c r="D272" s="2">
        <v>226</v>
      </c>
      <c r="E272" s="2">
        <v>64.775599999999997</v>
      </c>
      <c r="F272" s="2">
        <v>165</v>
      </c>
      <c r="G272" s="2">
        <v>106.5008</v>
      </c>
      <c r="H272" s="2">
        <v>76</v>
      </c>
      <c r="I272" s="2">
        <v>105.259</v>
      </c>
      <c r="J272" s="2">
        <v>106</v>
      </c>
      <c r="K272" s="2">
        <v>107.4695</v>
      </c>
      <c r="L272" s="2">
        <v>292</v>
      </c>
      <c r="M272" s="2">
        <v>114.1506</v>
      </c>
      <c r="N272" s="2">
        <v>342</v>
      </c>
      <c r="O272" s="2">
        <v>0.28240100000000001</v>
      </c>
      <c r="P272" s="2">
        <v>271</v>
      </c>
      <c r="Q272" s="2">
        <v>2015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</row>
    <row r="273" spans="1:52" ht="12.3" hidden="1" x14ac:dyDescent="0.4">
      <c r="A273" s="2" t="s">
        <v>338</v>
      </c>
      <c r="B273" s="2"/>
      <c r="C273" s="2">
        <v>65.971699999999998</v>
      </c>
      <c r="D273" s="2">
        <v>120</v>
      </c>
      <c r="E273" s="2">
        <v>65.217200000000005</v>
      </c>
      <c r="F273" s="2">
        <v>149</v>
      </c>
      <c r="G273" s="2">
        <v>94.244900000000001</v>
      </c>
      <c r="H273" s="2">
        <v>306</v>
      </c>
      <c r="I273" s="2">
        <v>92.930800000000005</v>
      </c>
      <c r="J273" s="2">
        <v>320</v>
      </c>
      <c r="K273" s="2">
        <v>96.593199999999996</v>
      </c>
      <c r="L273" s="2">
        <v>61</v>
      </c>
      <c r="M273" s="2">
        <v>100.782</v>
      </c>
      <c r="N273" s="2">
        <v>135</v>
      </c>
      <c r="O273" s="2">
        <v>0.28237699999999999</v>
      </c>
      <c r="P273" s="2">
        <v>272</v>
      </c>
      <c r="Q273" s="2">
        <v>2015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</row>
    <row r="274" spans="1:52" ht="12.3" hidden="1" x14ac:dyDescent="0.4">
      <c r="A274" s="2" t="s">
        <v>145</v>
      </c>
      <c r="B274" s="2"/>
      <c r="C274" s="2">
        <v>63.461199999999998</v>
      </c>
      <c r="D274" s="2">
        <v>252</v>
      </c>
      <c r="E274" s="2">
        <v>64.434600000000003</v>
      </c>
      <c r="F274" s="2">
        <v>188</v>
      </c>
      <c r="G274" s="2">
        <v>93.647599999999997</v>
      </c>
      <c r="H274" s="2">
        <v>315</v>
      </c>
      <c r="I274" s="2">
        <v>95.714299999999994</v>
      </c>
      <c r="J274" s="2">
        <v>298</v>
      </c>
      <c r="K274" s="2">
        <v>104.9014</v>
      </c>
      <c r="L274" s="2">
        <v>235</v>
      </c>
      <c r="M274" s="2">
        <v>103.8916</v>
      </c>
      <c r="N274" s="2">
        <v>200</v>
      </c>
      <c r="O274" s="2">
        <v>0.28034199999999998</v>
      </c>
      <c r="P274" s="2">
        <v>273</v>
      </c>
      <c r="Q274" s="2">
        <v>2015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</row>
    <row r="275" spans="1:52" ht="12.3" hidden="1" x14ac:dyDescent="0.4">
      <c r="A275" s="2" t="s">
        <v>198</v>
      </c>
      <c r="B275" s="2"/>
      <c r="C275" s="2">
        <v>65.618099999999998</v>
      </c>
      <c r="D275" s="2">
        <v>136</v>
      </c>
      <c r="E275" s="2">
        <v>65.441699999999997</v>
      </c>
      <c r="F275" s="2">
        <v>138</v>
      </c>
      <c r="G275" s="2">
        <v>97.119799999999998</v>
      </c>
      <c r="H275" s="2">
        <v>271</v>
      </c>
      <c r="I275" s="2">
        <v>98.877600000000001</v>
      </c>
      <c r="J275" s="2">
        <v>244</v>
      </c>
      <c r="K275" s="2">
        <v>107.5761</v>
      </c>
      <c r="L275" s="2">
        <v>294</v>
      </c>
      <c r="M275" s="2">
        <v>107.3681</v>
      </c>
      <c r="N275" s="2">
        <v>273</v>
      </c>
      <c r="O275" s="2">
        <v>0.27941199999999999</v>
      </c>
      <c r="P275" s="2">
        <v>274</v>
      </c>
      <c r="Q275" s="2">
        <v>2015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</row>
    <row r="276" spans="1:52" ht="12.3" hidden="1" x14ac:dyDescent="0.4">
      <c r="A276" s="2" t="s">
        <v>144</v>
      </c>
      <c r="B276" s="2"/>
      <c r="C276" s="2">
        <v>64.736099999999993</v>
      </c>
      <c r="D276" s="2">
        <v>178</v>
      </c>
      <c r="E276" s="2">
        <v>64.747600000000006</v>
      </c>
      <c r="F276" s="2">
        <v>167</v>
      </c>
      <c r="G276" s="2">
        <v>97.852000000000004</v>
      </c>
      <c r="H276" s="2">
        <v>264</v>
      </c>
      <c r="I276" s="2">
        <v>100.45059999999999</v>
      </c>
      <c r="J276" s="2">
        <v>215</v>
      </c>
      <c r="K276" s="2">
        <v>109.52809999999999</v>
      </c>
      <c r="L276" s="2">
        <v>318</v>
      </c>
      <c r="M276" s="2">
        <v>109.1075</v>
      </c>
      <c r="N276" s="2">
        <v>307</v>
      </c>
      <c r="O276" s="2">
        <v>0.27875</v>
      </c>
      <c r="P276" s="2">
        <v>275</v>
      </c>
      <c r="Q276" s="2">
        <v>2015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</row>
    <row r="277" spans="1:52" ht="12.3" hidden="1" x14ac:dyDescent="0.4">
      <c r="A277" s="2" t="s">
        <v>127</v>
      </c>
      <c r="B277" s="2"/>
      <c r="C277" s="2">
        <v>66.706699999999998</v>
      </c>
      <c r="D277" s="2">
        <v>86</v>
      </c>
      <c r="E277" s="2">
        <v>65.9435</v>
      </c>
      <c r="F277" s="2">
        <v>115</v>
      </c>
      <c r="G277" s="2">
        <v>101.1036</v>
      </c>
      <c r="H277" s="2">
        <v>193</v>
      </c>
      <c r="I277" s="2">
        <v>97.871700000000004</v>
      </c>
      <c r="J277" s="2">
        <v>257</v>
      </c>
      <c r="K277" s="2">
        <v>106.771</v>
      </c>
      <c r="L277" s="2">
        <v>280</v>
      </c>
      <c r="M277" s="2">
        <v>106.47190000000001</v>
      </c>
      <c r="N277" s="2">
        <v>257</v>
      </c>
      <c r="O277" s="2">
        <v>0.27516600000000002</v>
      </c>
      <c r="P277" s="2">
        <v>276</v>
      </c>
      <c r="Q277" s="2">
        <v>2015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</row>
    <row r="278" spans="1:52" ht="12.3" hidden="1" x14ac:dyDescent="0.4">
      <c r="A278" s="2" t="s">
        <v>196</v>
      </c>
      <c r="B278" s="2"/>
      <c r="C278" s="2">
        <v>66.928700000000006</v>
      </c>
      <c r="D278" s="2">
        <v>77</v>
      </c>
      <c r="E278" s="2">
        <v>66.293800000000005</v>
      </c>
      <c r="F278" s="2">
        <v>98</v>
      </c>
      <c r="G278" s="2">
        <v>104.0831</v>
      </c>
      <c r="H278" s="2">
        <v>122</v>
      </c>
      <c r="I278" s="2">
        <v>102.9391</v>
      </c>
      <c r="J278" s="2">
        <v>150</v>
      </c>
      <c r="K278" s="2">
        <v>109.9513</v>
      </c>
      <c r="L278" s="2">
        <v>323</v>
      </c>
      <c r="M278" s="2">
        <v>112.0898</v>
      </c>
      <c r="N278" s="2">
        <v>334</v>
      </c>
      <c r="O278" s="2">
        <v>0.27301700000000001</v>
      </c>
      <c r="P278" s="2">
        <v>277</v>
      </c>
      <c r="Q278" s="2">
        <v>2015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</row>
    <row r="279" spans="1:52" ht="12.3" hidden="1" x14ac:dyDescent="0.4">
      <c r="A279" s="2" t="s">
        <v>245</v>
      </c>
      <c r="B279" s="2"/>
      <c r="C279" s="2">
        <v>60.985500000000002</v>
      </c>
      <c r="D279" s="2">
        <v>328</v>
      </c>
      <c r="E279" s="2">
        <v>62.363900000000001</v>
      </c>
      <c r="F279" s="2">
        <v>291</v>
      </c>
      <c r="G279" s="2">
        <v>90.8005</v>
      </c>
      <c r="H279" s="2">
        <v>339</v>
      </c>
      <c r="I279" s="2">
        <v>91.034199999999998</v>
      </c>
      <c r="J279" s="2">
        <v>336</v>
      </c>
      <c r="K279" s="2">
        <v>100.4344</v>
      </c>
      <c r="L279" s="2">
        <v>133</v>
      </c>
      <c r="M279" s="2">
        <v>99.140199999999993</v>
      </c>
      <c r="N279" s="2">
        <v>105</v>
      </c>
      <c r="O279" s="2">
        <v>0.272704</v>
      </c>
      <c r="P279" s="2">
        <v>278</v>
      </c>
      <c r="Q279" s="2">
        <v>2015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</row>
    <row r="280" spans="1:52" ht="12.3" hidden="1" x14ac:dyDescent="0.4">
      <c r="A280" s="2" t="s">
        <v>291</v>
      </c>
      <c r="B280" s="2"/>
      <c r="C280" s="2">
        <v>62.732599999999998</v>
      </c>
      <c r="D280" s="2">
        <v>283</v>
      </c>
      <c r="E280" s="2">
        <v>62.8874</v>
      </c>
      <c r="F280" s="2">
        <v>272</v>
      </c>
      <c r="G280" s="2">
        <v>97.672399999999996</v>
      </c>
      <c r="H280" s="2">
        <v>267</v>
      </c>
      <c r="I280" s="2">
        <v>100.74679999999999</v>
      </c>
      <c r="J280" s="2">
        <v>202</v>
      </c>
      <c r="K280" s="2">
        <v>112.7184</v>
      </c>
      <c r="L280" s="2">
        <v>345</v>
      </c>
      <c r="M280" s="2">
        <v>109.9572</v>
      </c>
      <c r="N280" s="2">
        <v>318</v>
      </c>
      <c r="O280" s="2">
        <v>0.26775900000000002</v>
      </c>
      <c r="P280" s="2">
        <v>279</v>
      </c>
      <c r="Q280" s="2">
        <v>2015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</row>
    <row r="281" spans="1:52" ht="12.3" hidden="1" x14ac:dyDescent="0.4">
      <c r="A281" s="2" t="s">
        <v>177</v>
      </c>
      <c r="B281" s="2"/>
      <c r="C281" s="2">
        <v>64.020200000000003</v>
      </c>
      <c r="D281" s="2">
        <v>223</v>
      </c>
      <c r="E281" s="2">
        <v>64.6541</v>
      </c>
      <c r="F281" s="2">
        <v>173</v>
      </c>
      <c r="G281" s="2">
        <v>99.945300000000003</v>
      </c>
      <c r="H281" s="2">
        <v>220</v>
      </c>
      <c r="I281" s="2">
        <v>100.5021</v>
      </c>
      <c r="J281" s="2">
        <v>213</v>
      </c>
      <c r="K281" s="2">
        <v>109.45910000000001</v>
      </c>
      <c r="L281" s="2">
        <v>317</v>
      </c>
      <c r="M281" s="2">
        <v>109.7428</v>
      </c>
      <c r="N281" s="2">
        <v>316</v>
      </c>
      <c r="O281" s="2">
        <v>0.26667600000000002</v>
      </c>
      <c r="P281" s="2">
        <v>280</v>
      </c>
      <c r="Q281" s="2">
        <v>2015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</row>
    <row r="282" spans="1:52" ht="12.3" hidden="1" x14ac:dyDescent="0.4">
      <c r="A282" s="2" t="s">
        <v>317</v>
      </c>
      <c r="B282" s="2"/>
      <c r="C282" s="2">
        <v>67.752700000000004</v>
      </c>
      <c r="D282" s="2">
        <v>51</v>
      </c>
      <c r="E282" s="2">
        <v>67.696299999999994</v>
      </c>
      <c r="F282" s="2">
        <v>42</v>
      </c>
      <c r="G282" s="2">
        <v>103.6228</v>
      </c>
      <c r="H282" s="2">
        <v>136</v>
      </c>
      <c r="I282" s="2">
        <v>103.73779999999999</v>
      </c>
      <c r="J282" s="2">
        <v>132</v>
      </c>
      <c r="K282" s="2">
        <v>112.3669</v>
      </c>
      <c r="L282" s="2">
        <v>342</v>
      </c>
      <c r="M282" s="2">
        <v>113.3163</v>
      </c>
      <c r="N282" s="2">
        <v>339</v>
      </c>
      <c r="O282" s="2">
        <v>0.265878</v>
      </c>
      <c r="P282" s="2">
        <v>281</v>
      </c>
      <c r="Q282" s="2">
        <v>2015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</row>
    <row r="283" spans="1:52" ht="12.3" hidden="1" x14ac:dyDescent="0.4">
      <c r="A283" s="2" t="s">
        <v>107</v>
      </c>
      <c r="B283" s="2"/>
      <c r="C283" s="2">
        <v>65.600899999999996</v>
      </c>
      <c r="D283" s="2">
        <v>138</v>
      </c>
      <c r="E283" s="2">
        <v>63.188600000000001</v>
      </c>
      <c r="F283" s="2">
        <v>264</v>
      </c>
      <c r="G283" s="2">
        <v>102.151</v>
      </c>
      <c r="H283" s="2">
        <v>175</v>
      </c>
      <c r="I283" s="2">
        <v>100.13979999999999</v>
      </c>
      <c r="J283" s="2">
        <v>222</v>
      </c>
      <c r="K283" s="2">
        <v>109.1062</v>
      </c>
      <c r="L283" s="2">
        <v>313</v>
      </c>
      <c r="M283" s="2">
        <v>109.4769</v>
      </c>
      <c r="N283" s="2">
        <v>312</v>
      </c>
      <c r="O283" s="2">
        <v>0.26401799999999997</v>
      </c>
      <c r="P283" s="2">
        <v>282</v>
      </c>
      <c r="Q283" s="2">
        <v>2015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</row>
    <row r="284" spans="1:52" ht="12.3" hidden="1" x14ac:dyDescent="0.4">
      <c r="A284" s="2" t="s">
        <v>105</v>
      </c>
      <c r="B284" s="2"/>
      <c r="C284" s="2">
        <v>61.7181</v>
      </c>
      <c r="D284" s="2">
        <v>312</v>
      </c>
      <c r="E284" s="2">
        <v>61.351599999999998</v>
      </c>
      <c r="F284" s="2">
        <v>319</v>
      </c>
      <c r="G284" s="2">
        <v>94.658900000000003</v>
      </c>
      <c r="H284" s="2">
        <v>303</v>
      </c>
      <c r="I284" s="2">
        <v>94.646500000000003</v>
      </c>
      <c r="J284" s="2">
        <v>308</v>
      </c>
      <c r="K284" s="2">
        <v>103.71120000000001</v>
      </c>
      <c r="L284" s="2">
        <v>206</v>
      </c>
      <c r="M284" s="2">
        <v>103.5275</v>
      </c>
      <c r="N284" s="2">
        <v>192</v>
      </c>
      <c r="O284" s="2">
        <v>0.26280999999999999</v>
      </c>
      <c r="P284" s="2">
        <v>283</v>
      </c>
      <c r="Q284" s="2">
        <v>2015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</row>
    <row r="285" spans="1:52" ht="12.3" hidden="1" x14ac:dyDescent="0.4">
      <c r="A285" s="2" t="s">
        <v>343</v>
      </c>
      <c r="B285" s="2"/>
      <c r="C285" s="2">
        <v>68.137</v>
      </c>
      <c r="D285" s="2">
        <v>40</v>
      </c>
      <c r="E285" s="2">
        <v>67.825299999999999</v>
      </c>
      <c r="F285" s="2">
        <v>37</v>
      </c>
      <c r="G285" s="2">
        <v>96.564800000000005</v>
      </c>
      <c r="H285" s="2">
        <v>281</v>
      </c>
      <c r="I285" s="2">
        <v>95.206299999999999</v>
      </c>
      <c r="J285" s="2">
        <v>305</v>
      </c>
      <c r="K285" s="2">
        <v>102.0838</v>
      </c>
      <c r="L285" s="2">
        <v>170</v>
      </c>
      <c r="M285" s="2">
        <v>104.32559999999999</v>
      </c>
      <c r="N285" s="2">
        <v>208</v>
      </c>
      <c r="O285" s="2">
        <v>0.258857</v>
      </c>
      <c r="P285" s="2">
        <v>284</v>
      </c>
      <c r="Q285" s="2">
        <v>2015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</row>
    <row r="286" spans="1:52" ht="12.3" hidden="1" x14ac:dyDescent="0.4">
      <c r="A286" s="2" t="s">
        <v>356</v>
      </c>
      <c r="B286" s="2"/>
      <c r="C286" s="2">
        <v>65.947500000000005</v>
      </c>
      <c r="D286" s="2">
        <v>122</v>
      </c>
      <c r="E286" s="2">
        <v>65.123900000000006</v>
      </c>
      <c r="F286" s="2">
        <v>152</v>
      </c>
      <c r="G286" s="2">
        <v>99.152699999999996</v>
      </c>
      <c r="H286" s="2">
        <v>243</v>
      </c>
      <c r="I286" s="2">
        <v>97.916899999999998</v>
      </c>
      <c r="J286" s="2">
        <v>256</v>
      </c>
      <c r="K286" s="2">
        <v>104.4697</v>
      </c>
      <c r="L286" s="2">
        <v>224</v>
      </c>
      <c r="M286" s="2">
        <v>107.39660000000001</v>
      </c>
      <c r="N286" s="2">
        <v>275</v>
      </c>
      <c r="O286" s="2">
        <v>0.25679400000000002</v>
      </c>
      <c r="P286" s="2">
        <v>285</v>
      </c>
      <c r="Q286" s="2">
        <v>2015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</row>
    <row r="287" spans="1:52" ht="12.3" hidden="1" x14ac:dyDescent="0.4">
      <c r="A287" s="2" t="s">
        <v>208</v>
      </c>
      <c r="B287" s="2"/>
      <c r="C287" s="2">
        <v>66.914199999999994</v>
      </c>
      <c r="D287" s="2">
        <v>78</v>
      </c>
      <c r="E287" s="2">
        <v>66.770899999999997</v>
      </c>
      <c r="F287" s="2">
        <v>74</v>
      </c>
      <c r="G287" s="2">
        <v>102.3492</v>
      </c>
      <c r="H287" s="2">
        <v>169</v>
      </c>
      <c r="I287" s="2">
        <v>100.539</v>
      </c>
      <c r="J287" s="2">
        <v>209</v>
      </c>
      <c r="K287" s="2">
        <v>108.014</v>
      </c>
      <c r="L287" s="2">
        <v>301</v>
      </c>
      <c r="M287" s="2">
        <v>110.29519999999999</v>
      </c>
      <c r="N287" s="2">
        <v>321</v>
      </c>
      <c r="O287" s="2">
        <v>0.25634200000000001</v>
      </c>
      <c r="P287" s="2">
        <v>286</v>
      </c>
      <c r="Q287" s="2">
        <v>2015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</row>
    <row r="288" spans="1:52" ht="12.3" hidden="1" x14ac:dyDescent="0.4">
      <c r="A288" s="2" t="s">
        <v>103</v>
      </c>
      <c r="B288" s="2"/>
      <c r="C288" s="2">
        <v>63.959299999999999</v>
      </c>
      <c r="D288" s="2">
        <v>228</v>
      </c>
      <c r="E288" s="2">
        <v>64.049300000000002</v>
      </c>
      <c r="F288" s="2">
        <v>206</v>
      </c>
      <c r="G288" s="2">
        <v>94.516999999999996</v>
      </c>
      <c r="H288" s="2">
        <v>305</v>
      </c>
      <c r="I288" s="2">
        <v>96.926500000000004</v>
      </c>
      <c r="J288" s="2">
        <v>273</v>
      </c>
      <c r="K288" s="2">
        <v>106.44070000000001</v>
      </c>
      <c r="L288" s="2">
        <v>271</v>
      </c>
      <c r="M288" s="2">
        <v>106.49590000000001</v>
      </c>
      <c r="N288" s="2">
        <v>258</v>
      </c>
      <c r="O288" s="2">
        <v>0.25298399999999999</v>
      </c>
      <c r="P288" s="2">
        <v>287</v>
      </c>
      <c r="Q288" s="2">
        <v>2015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</row>
    <row r="289" spans="1:52" ht="12.3" hidden="1" x14ac:dyDescent="0.4">
      <c r="A289" s="2" t="s">
        <v>191</v>
      </c>
      <c r="B289" s="2"/>
      <c r="C289" s="2">
        <v>64.014499999999998</v>
      </c>
      <c r="D289" s="2">
        <v>224</v>
      </c>
      <c r="E289" s="2">
        <v>63.6892</v>
      </c>
      <c r="F289" s="2">
        <v>237</v>
      </c>
      <c r="G289" s="2">
        <v>98.364800000000002</v>
      </c>
      <c r="H289" s="2">
        <v>254</v>
      </c>
      <c r="I289" s="2">
        <v>96.391999999999996</v>
      </c>
      <c r="J289" s="2">
        <v>284</v>
      </c>
      <c r="K289" s="2">
        <v>103.32089999999999</v>
      </c>
      <c r="L289" s="2">
        <v>196</v>
      </c>
      <c r="M289" s="2">
        <v>106.1579</v>
      </c>
      <c r="N289" s="2">
        <v>247</v>
      </c>
      <c r="O289" s="2">
        <v>0.24790899999999999</v>
      </c>
      <c r="P289" s="2">
        <v>288</v>
      </c>
      <c r="Q289" s="2">
        <v>2015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</row>
    <row r="290" spans="1:52" ht="12.3" hidden="1" x14ac:dyDescent="0.4">
      <c r="A290" s="2" t="s">
        <v>77</v>
      </c>
      <c r="B290" s="2"/>
      <c r="C290" s="2">
        <v>63.177300000000002</v>
      </c>
      <c r="D290" s="2">
        <v>266</v>
      </c>
      <c r="E290" s="2">
        <v>63.428400000000003</v>
      </c>
      <c r="F290" s="2">
        <v>253</v>
      </c>
      <c r="G290" s="2">
        <v>94.579099999999997</v>
      </c>
      <c r="H290" s="2">
        <v>304</v>
      </c>
      <c r="I290" s="2">
        <v>96.085999999999999</v>
      </c>
      <c r="J290" s="2">
        <v>289</v>
      </c>
      <c r="K290" s="2">
        <v>106.0915</v>
      </c>
      <c r="L290" s="2">
        <v>264</v>
      </c>
      <c r="M290" s="2">
        <v>105.9088</v>
      </c>
      <c r="N290" s="2">
        <v>240</v>
      </c>
      <c r="O290" s="2">
        <v>0.24613199999999999</v>
      </c>
      <c r="P290" s="2">
        <v>289</v>
      </c>
      <c r="Q290" s="2">
        <v>2015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</row>
    <row r="291" spans="1:52" ht="12.3" hidden="1" x14ac:dyDescent="0.4">
      <c r="A291" s="2" t="s">
        <v>337</v>
      </c>
      <c r="B291" s="2"/>
      <c r="C291" s="2">
        <v>68.645300000000006</v>
      </c>
      <c r="D291" s="2">
        <v>30</v>
      </c>
      <c r="E291" s="2">
        <v>68.331699999999998</v>
      </c>
      <c r="F291" s="2">
        <v>28</v>
      </c>
      <c r="G291" s="2">
        <v>101.414</v>
      </c>
      <c r="H291" s="2">
        <v>186</v>
      </c>
      <c r="I291" s="2">
        <v>99.272999999999996</v>
      </c>
      <c r="J291" s="2">
        <v>233</v>
      </c>
      <c r="K291" s="2">
        <v>109.8152</v>
      </c>
      <c r="L291" s="2">
        <v>321</v>
      </c>
      <c r="M291" s="2">
        <v>109.4678</v>
      </c>
      <c r="N291" s="2">
        <v>311</v>
      </c>
      <c r="O291" s="2">
        <v>0.24523200000000001</v>
      </c>
      <c r="P291" s="2">
        <v>290</v>
      </c>
      <c r="Q291" s="2">
        <v>2015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</row>
    <row r="292" spans="1:52" ht="12.3" hidden="1" x14ac:dyDescent="0.4">
      <c r="A292" s="2" t="s">
        <v>199</v>
      </c>
      <c r="B292" s="2"/>
      <c r="C292" s="2">
        <v>64.023499999999999</v>
      </c>
      <c r="D292" s="2">
        <v>222</v>
      </c>
      <c r="E292" s="2">
        <v>63.8992</v>
      </c>
      <c r="F292" s="2">
        <v>223</v>
      </c>
      <c r="G292" s="2">
        <v>92.306200000000004</v>
      </c>
      <c r="H292" s="2">
        <v>329</v>
      </c>
      <c r="I292" s="2">
        <v>92.099599999999995</v>
      </c>
      <c r="J292" s="2">
        <v>329</v>
      </c>
      <c r="K292" s="2">
        <v>101.893</v>
      </c>
      <c r="L292" s="2">
        <v>169</v>
      </c>
      <c r="M292" s="2">
        <v>101.6696</v>
      </c>
      <c r="N292" s="2">
        <v>152</v>
      </c>
      <c r="O292" s="2">
        <v>0.242898</v>
      </c>
      <c r="P292" s="2">
        <v>291</v>
      </c>
      <c r="Q292" s="2">
        <v>2015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</row>
    <row r="293" spans="1:52" ht="12.3" hidden="1" x14ac:dyDescent="0.4">
      <c r="A293" s="2" t="s">
        <v>194</v>
      </c>
      <c r="B293" s="2"/>
      <c r="C293" s="2">
        <v>65.4512</v>
      </c>
      <c r="D293" s="2">
        <v>143</v>
      </c>
      <c r="E293" s="2">
        <v>64.869699999999995</v>
      </c>
      <c r="F293" s="2">
        <v>161</v>
      </c>
      <c r="G293" s="2">
        <v>97.343599999999995</v>
      </c>
      <c r="H293" s="2">
        <v>270</v>
      </c>
      <c r="I293" s="2">
        <v>99.137299999999996</v>
      </c>
      <c r="J293" s="2">
        <v>234</v>
      </c>
      <c r="K293" s="2">
        <v>108.434</v>
      </c>
      <c r="L293" s="2">
        <v>305</v>
      </c>
      <c r="M293" s="2">
        <v>109.5624</v>
      </c>
      <c r="N293" s="2">
        <v>313</v>
      </c>
      <c r="O293" s="2">
        <v>0.240512</v>
      </c>
      <c r="P293" s="2">
        <v>292</v>
      </c>
      <c r="Q293" s="2">
        <v>2015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</row>
    <row r="294" spans="1:52" ht="12.3" hidden="1" x14ac:dyDescent="0.4">
      <c r="A294" s="2" t="s">
        <v>295</v>
      </c>
      <c r="B294" s="2"/>
      <c r="C294" s="2">
        <v>63.214399999999998</v>
      </c>
      <c r="D294" s="2">
        <v>262</v>
      </c>
      <c r="E294" s="2">
        <v>63.768500000000003</v>
      </c>
      <c r="F294" s="2">
        <v>229</v>
      </c>
      <c r="G294" s="2">
        <v>95.878500000000003</v>
      </c>
      <c r="H294" s="2">
        <v>292</v>
      </c>
      <c r="I294" s="2">
        <v>95.778599999999997</v>
      </c>
      <c r="J294" s="2">
        <v>297</v>
      </c>
      <c r="K294" s="2">
        <v>100.86239999999999</v>
      </c>
      <c r="L294" s="2">
        <v>146</v>
      </c>
      <c r="M294" s="2">
        <v>105.85080000000001</v>
      </c>
      <c r="N294" s="2">
        <v>239</v>
      </c>
      <c r="O294" s="2">
        <v>0.240508</v>
      </c>
      <c r="P294" s="2">
        <v>293</v>
      </c>
      <c r="Q294" s="2">
        <v>2015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</row>
    <row r="295" spans="1:52" ht="12.3" hidden="1" x14ac:dyDescent="0.4">
      <c r="A295" s="2" t="s">
        <v>116</v>
      </c>
      <c r="B295" s="2"/>
      <c r="C295" s="2">
        <v>63.579799999999999</v>
      </c>
      <c r="D295" s="2">
        <v>249</v>
      </c>
      <c r="E295" s="2">
        <v>63.529499999999999</v>
      </c>
      <c r="F295" s="2">
        <v>249</v>
      </c>
      <c r="G295" s="2">
        <v>92.134699999999995</v>
      </c>
      <c r="H295" s="2">
        <v>331</v>
      </c>
      <c r="I295" s="2">
        <v>93.260999999999996</v>
      </c>
      <c r="J295" s="2">
        <v>316</v>
      </c>
      <c r="K295" s="2">
        <v>104.5176</v>
      </c>
      <c r="L295" s="2">
        <v>226</v>
      </c>
      <c r="M295" s="2">
        <v>103.39919999999999</v>
      </c>
      <c r="N295" s="2">
        <v>187</v>
      </c>
      <c r="O295" s="2">
        <v>0.23383999999999999</v>
      </c>
      <c r="P295" s="2">
        <v>294</v>
      </c>
      <c r="Q295" s="2">
        <v>2015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</row>
    <row r="296" spans="1:52" ht="12.3" hidden="1" x14ac:dyDescent="0.4">
      <c r="A296" s="2" t="s">
        <v>172</v>
      </c>
      <c r="B296" s="2"/>
      <c r="C296" s="2">
        <v>66.811300000000003</v>
      </c>
      <c r="D296" s="2">
        <v>81</v>
      </c>
      <c r="E296" s="2">
        <v>66.492699999999999</v>
      </c>
      <c r="F296" s="2">
        <v>90</v>
      </c>
      <c r="G296" s="2">
        <v>94.123900000000006</v>
      </c>
      <c r="H296" s="2">
        <v>307</v>
      </c>
      <c r="I296" s="2">
        <v>94.704899999999995</v>
      </c>
      <c r="J296" s="2">
        <v>307</v>
      </c>
      <c r="K296" s="2">
        <v>103.2885</v>
      </c>
      <c r="L296" s="2">
        <v>194</v>
      </c>
      <c r="M296" s="2">
        <v>105.09529999999999</v>
      </c>
      <c r="N296" s="2">
        <v>225</v>
      </c>
      <c r="O296" s="2">
        <v>0.23197999999999999</v>
      </c>
      <c r="P296" s="2">
        <v>295</v>
      </c>
      <c r="Q296" s="2">
        <v>2015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</row>
    <row r="297" spans="1:52" ht="12.3" hidden="1" x14ac:dyDescent="0.4">
      <c r="A297" s="2" t="s">
        <v>218</v>
      </c>
      <c r="B297" s="2"/>
      <c r="C297" s="2">
        <v>64.4923</v>
      </c>
      <c r="D297" s="2">
        <v>192</v>
      </c>
      <c r="E297" s="2">
        <v>64.203000000000003</v>
      </c>
      <c r="F297" s="2">
        <v>199</v>
      </c>
      <c r="G297" s="2">
        <v>96.67</v>
      </c>
      <c r="H297" s="2">
        <v>278</v>
      </c>
      <c r="I297" s="2">
        <v>97.328999999999994</v>
      </c>
      <c r="J297" s="2">
        <v>268</v>
      </c>
      <c r="K297" s="2">
        <v>105.2787</v>
      </c>
      <c r="L297" s="2">
        <v>246</v>
      </c>
      <c r="M297" s="2">
        <v>108.0543</v>
      </c>
      <c r="N297" s="2">
        <v>291</v>
      </c>
      <c r="O297" s="2">
        <v>0.23108699999999999</v>
      </c>
      <c r="P297" s="2">
        <v>296</v>
      </c>
      <c r="Q297" s="2">
        <v>2015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</row>
    <row r="298" spans="1:52" ht="12.3" hidden="1" x14ac:dyDescent="0.4">
      <c r="A298" s="2" t="s">
        <v>263</v>
      </c>
      <c r="B298" s="2"/>
      <c r="C298" s="2">
        <v>76.533799999999999</v>
      </c>
      <c r="D298" s="2">
        <v>1</v>
      </c>
      <c r="E298" s="2">
        <v>77.138400000000004</v>
      </c>
      <c r="F298" s="2">
        <v>1</v>
      </c>
      <c r="G298" s="2">
        <v>99.599699999999999</v>
      </c>
      <c r="H298" s="2">
        <v>230</v>
      </c>
      <c r="I298" s="2">
        <v>96.023099999999999</v>
      </c>
      <c r="J298" s="2">
        <v>293</v>
      </c>
      <c r="K298" s="2">
        <v>106.57599999999999</v>
      </c>
      <c r="L298" s="2">
        <v>276</v>
      </c>
      <c r="M298" s="2">
        <v>106.63339999999999</v>
      </c>
      <c r="N298" s="2">
        <v>262</v>
      </c>
      <c r="O298" s="2">
        <v>0.23053599999999999</v>
      </c>
      <c r="P298" s="2">
        <v>297</v>
      </c>
      <c r="Q298" s="2">
        <v>2015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</row>
    <row r="299" spans="1:52" ht="12.3" hidden="1" x14ac:dyDescent="0.4">
      <c r="A299" s="2" t="s">
        <v>319</v>
      </c>
      <c r="B299" s="2"/>
      <c r="C299" s="2">
        <v>62.6006</v>
      </c>
      <c r="D299" s="2">
        <v>287</v>
      </c>
      <c r="E299" s="2">
        <v>61.572200000000002</v>
      </c>
      <c r="F299" s="2">
        <v>315</v>
      </c>
      <c r="G299" s="2">
        <v>98.660399999999996</v>
      </c>
      <c r="H299" s="2">
        <v>250</v>
      </c>
      <c r="I299" s="2">
        <v>96.517899999999997</v>
      </c>
      <c r="J299" s="2">
        <v>279</v>
      </c>
      <c r="K299" s="2">
        <v>107.61109999999999</v>
      </c>
      <c r="L299" s="2">
        <v>295</v>
      </c>
      <c r="M299" s="2">
        <v>107.3798</v>
      </c>
      <c r="N299" s="2">
        <v>274</v>
      </c>
      <c r="O299" s="2">
        <v>0.22681100000000001</v>
      </c>
      <c r="P299" s="2">
        <v>298</v>
      </c>
      <c r="Q299" s="2">
        <v>2015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</row>
    <row r="300" spans="1:52" ht="12.3" hidden="1" x14ac:dyDescent="0.4">
      <c r="A300" s="2" t="s">
        <v>221</v>
      </c>
      <c r="B300" s="2"/>
      <c r="C300" s="2">
        <v>62.143300000000004</v>
      </c>
      <c r="D300" s="2">
        <v>301</v>
      </c>
      <c r="E300" s="2">
        <v>61.722499999999997</v>
      </c>
      <c r="F300" s="2">
        <v>310</v>
      </c>
      <c r="G300" s="2">
        <v>93.902500000000003</v>
      </c>
      <c r="H300" s="2">
        <v>312</v>
      </c>
      <c r="I300" s="2">
        <v>93.452299999999994</v>
      </c>
      <c r="J300" s="2">
        <v>315</v>
      </c>
      <c r="K300" s="2">
        <v>103.8458</v>
      </c>
      <c r="L300" s="2">
        <v>211</v>
      </c>
      <c r="M300" s="2">
        <v>103.98099999999999</v>
      </c>
      <c r="N300" s="2">
        <v>201</v>
      </c>
      <c r="O300" s="2">
        <v>0.22658500000000001</v>
      </c>
      <c r="P300" s="2">
        <v>299</v>
      </c>
      <c r="Q300" s="2">
        <v>2015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</row>
    <row r="301" spans="1:52" ht="12.3" hidden="1" x14ac:dyDescent="0.4">
      <c r="A301" s="2" t="s">
        <v>311</v>
      </c>
      <c r="B301" s="2"/>
      <c r="C301" s="2">
        <v>65.7286</v>
      </c>
      <c r="D301" s="2">
        <v>129</v>
      </c>
      <c r="E301" s="2">
        <v>66.278700000000001</v>
      </c>
      <c r="F301" s="2">
        <v>99</v>
      </c>
      <c r="G301" s="2">
        <v>95.409499999999994</v>
      </c>
      <c r="H301" s="2">
        <v>298</v>
      </c>
      <c r="I301" s="2">
        <v>96.959699999999998</v>
      </c>
      <c r="J301" s="2">
        <v>272</v>
      </c>
      <c r="K301" s="2">
        <v>106.5094</v>
      </c>
      <c r="L301" s="2">
        <v>273</v>
      </c>
      <c r="M301" s="2">
        <v>108.0124</v>
      </c>
      <c r="N301" s="2">
        <v>289</v>
      </c>
      <c r="O301" s="2">
        <v>0.224185</v>
      </c>
      <c r="P301" s="2">
        <v>300</v>
      </c>
      <c r="Q301" s="2">
        <v>2015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</row>
    <row r="302" spans="1:52" ht="12.3" hidden="1" x14ac:dyDescent="0.4">
      <c r="A302" s="2" t="s">
        <v>215</v>
      </c>
      <c r="B302" s="2"/>
      <c r="C302" s="2">
        <v>67.727999999999994</v>
      </c>
      <c r="D302" s="2">
        <v>53</v>
      </c>
      <c r="E302" s="2">
        <v>67.643600000000006</v>
      </c>
      <c r="F302" s="2">
        <v>45</v>
      </c>
      <c r="G302" s="2">
        <v>98.235100000000003</v>
      </c>
      <c r="H302" s="2">
        <v>256</v>
      </c>
      <c r="I302" s="2">
        <v>96.6982</v>
      </c>
      <c r="J302" s="2">
        <v>277</v>
      </c>
      <c r="K302" s="2">
        <v>107.9661</v>
      </c>
      <c r="L302" s="2">
        <v>298</v>
      </c>
      <c r="M302" s="2">
        <v>107.8539</v>
      </c>
      <c r="N302" s="2">
        <v>285</v>
      </c>
      <c r="O302" s="2">
        <v>0.22173300000000001</v>
      </c>
      <c r="P302" s="2">
        <v>301</v>
      </c>
      <c r="Q302" s="2">
        <v>2015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</row>
    <row r="303" spans="1:52" ht="12.3" hidden="1" x14ac:dyDescent="0.4">
      <c r="A303" s="2" t="s">
        <v>287</v>
      </c>
      <c r="B303" s="2"/>
      <c r="C303" s="2">
        <v>68.652100000000004</v>
      </c>
      <c r="D303" s="2">
        <v>29</v>
      </c>
      <c r="E303" s="2">
        <v>69.173699999999997</v>
      </c>
      <c r="F303" s="2">
        <v>22</v>
      </c>
      <c r="G303" s="2">
        <v>98.089399999999998</v>
      </c>
      <c r="H303" s="2">
        <v>259</v>
      </c>
      <c r="I303" s="2">
        <v>99.672300000000007</v>
      </c>
      <c r="J303" s="2">
        <v>230</v>
      </c>
      <c r="K303" s="2">
        <v>107.8574</v>
      </c>
      <c r="L303" s="2">
        <v>297</v>
      </c>
      <c r="M303" s="2">
        <v>111.1849</v>
      </c>
      <c r="N303" s="2">
        <v>328</v>
      </c>
      <c r="O303" s="2">
        <v>0.22148699999999999</v>
      </c>
      <c r="P303" s="2">
        <v>302</v>
      </c>
      <c r="Q303" s="2">
        <v>2015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</row>
    <row r="304" spans="1:52" ht="12.3" hidden="1" x14ac:dyDescent="0.4">
      <c r="A304" s="2" t="s">
        <v>342</v>
      </c>
      <c r="B304" s="2"/>
      <c r="C304" s="2">
        <v>69.418000000000006</v>
      </c>
      <c r="D304" s="2">
        <v>16</v>
      </c>
      <c r="E304" s="2">
        <v>69.332800000000006</v>
      </c>
      <c r="F304" s="2">
        <v>19</v>
      </c>
      <c r="G304" s="2">
        <v>96.3703</v>
      </c>
      <c r="H304" s="2">
        <v>286</v>
      </c>
      <c r="I304" s="2">
        <v>96.302700000000002</v>
      </c>
      <c r="J304" s="2">
        <v>285</v>
      </c>
      <c r="K304" s="2">
        <v>101.0844</v>
      </c>
      <c r="L304" s="2">
        <v>150</v>
      </c>
      <c r="M304" s="2">
        <v>107.6399</v>
      </c>
      <c r="N304" s="2">
        <v>277</v>
      </c>
      <c r="O304" s="2">
        <v>0.21757000000000001</v>
      </c>
      <c r="P304" s="2">
        <v>303</v>
      </c>
      <c r="Q304" s="2">
        <v>2015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</row>
    <row r="305" spans="1:52" ht="12.3" hidden="1" x14ac:dyDescent="0.4">
      <c r="A305" s="2" t="s">
        <v>183</v>
      </c>
      <c r="B305" s="2"/>
      <c r="C305" s="2">
        <v>68.553700000000006</v>
      </c>
      <c r="D305" s="2">
        <v>31</v>
      </c>
      <c r="E305" s="2">
        <v>67.706999999999994</v>
      </c>
      <c r="F305" s="2">
        <v>40</v>
      </c>
      <c r="G305" s="2">
        <v>99.200699999999998</v>
      </c>
      <c r="H305" s="2">
        <v>239</v>
      </c>
      <c r="I305" s="2">
        <v>96.533799999999999</v>
      </c>
      <c r="J305" s="2">
        <v>278</v>
      </c>
      <c r="K305" s="2">
        <v>107.2191</v>
      </c>
      <c r="L305" s="2">
        <v>288</v>
      </c>
      <c r="M305" s="2">
        <v>107.90349999999999</v>
      </c>
      <c r="N305" s="2">
        <v>286</v>
      </c>
      <c r="O305" s="2">
        <v>0.217473</v>
      </c>
      <c r="P305" s="2">
        <v>304</v>
      </c>
      <c r="Q305" s="2">
        <v>2015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</row>
    <row r="306" spans="1:52" ht="12.3" hidden="1" x14ac:dyDescent="0.4">
      <c r="A306" s="2" t="s">
        <v>195</v>
      </c>
      <c r="B306" s="2"/>
      <c r="C306" s="2">
        <v>62.933799999999998</v>
      </c>
      <c r="D306" s="2">
        <v>274</v>
      </c>
      <c r="E306" s="2">
        <v>62.441400000000002</v>
      </c>
      <c r="F306" s="2">
        <v>288</v>
      </c>
      <c r="G306" s="2">
        <v>99.2376</v>
      </c>
      <c r="H306" s="2">
        <v>237</v>
      </c>
      <c r="I306" s="2">
        <v>97.044899999999998</v>
      </c>
      <c r="J306" s="2">
        <v>270</v>
      </c>
      <c r="K306" s="2">
        <v>110.59010000000001</v>
      </c>
      <c r="L306" s="2">
        <v>326</v>
      </c>
      <c r="M306" s="2">
        <v>108.8603</v>
      </c>
      <c r="N306" s="2">
        <v>303</v>
      </c>
      <c r="O306" s="2">
        <v>0.21060899999999999</v>
      </c>
      <c r="P306" s="2">
        <v>305</v>
      </c>
      <c r="Q306" s="2">
        <v>2015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</row>
    <row r="307" spans="1:52" ht="12.3" hidden="1" x14ac:dyDescent="0.4">
      <c r="A307" s="2" t="s">
        <v>328</v>
      </c>
      <c r="B307" s="2"/>
      <c r="C307" s="2">
        <v>68.225800000000007</v>
      </c>
      <c r="D307" s="2">
        <v>36</v>
      </c>
      <c r="E307" s="2">
        <v>66.729600000000005</v>
      </c>
      <c r="F307" s="2">
        <v>77</v>
      </c>
      <c r="G307" s="2">
        <v>97.948700000000002</v>
      </c>
      <c r="H307" s="2">
        <v>262</v>
      </c>
      <c r="I307" s="2">
        <v>94.5976</v>
      </c>
      <c r="J307" s="2">
        <v>310</v>
      </c>
      <c r="K307" s="2">
        <v>104.7239</v>
      </c>
      <c r="L307" s="2">
        <v>229</v>
      </c>
      <c r="M307" s="2">
        <v>106.34</v>
      </c>
      <c r="N307" s="2">
        <v>251</v>
      </c>
      <c r="O307" s="2">
        <v>0.20659</v>
      </c>
      <c r="P307" s="2">
        <v>306</v>
      </c>
      <c r="Q307" s="2">
        <v>2015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</row>
    <row r="308" spans="1:52" ht="12.3" hidden="1" x14ac:dyDescent="0.4">
      <c r="A308" s="2" t="s">
        <v>374</v>
      </c>
      <c r="B308" s="2"/>
      <c r="C308" s="2">
        <v>67.717200000000005</v>
      </c>
      <c r="D308" s="2">
        <v>54</v>
      </c>
      <c r="E308" s="2">
        <v>67.055499999999995</v>
      </c>
      <c r="F308" s="2">
        <v>67</v>
      </c>
      <c r="G308" s="2">
        <v>101.4469</v>
      </c>
      <c r="H308" s="2">
        <v>184</v>
      </c>
      <c r="I308" s="2">
        <v>100.5381</v>
      </c>
      <c r="J308" s="2">
        <v>210</v>
      </c>
      <c r="K308" s="2">
        <v>112.09820000000001</v>
      </c>
      <c r="L308" s="2">
        <v>340</v>
      </c>
      <c r="M308" s="2">
        <v>113.1373</v>
      </c>
      <c r="N308" s="2">
        <v>337</v>
      </c>
      <c r="O308" s="2">
        <v>0.20460600000000001</v>
      </c>
      <c r="P308" s="2">
        <v>307</v>
      </c>
      <c r="Q308" s="2">
        <v>2015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</row>
    <row r="309" spans="1:52" ht="12.3" hidden="1" x14ac:dyDescent="0.4">
      <c r="A309" s="2" t="s">
        <v>143</v>
      </c>
      <c r="B309" s="2"/>
      <c r="C309" s="2">
        <v>66.427300000000002</v>
      </c>
      <c r="D309" s="2">
        <v>100</v>
      </c>
      <c r="E309" s="2">
        <v>65.509399999999999</v>
      </c>
      <c r="F309" s="2">
        <v>134</v>
      </c>
      <c r="G309" s="2">
        <v>92.354699999999994</v>
      </c>
      <c r="H309" s="2">
        <v>327</v>
      </c>
      <c r="I309" s="2">
        <v>93.653899999999993</v>
      </c>
      <c r="J309" s="2">
        <v>314</v>
      </c>
      <c r="K309" s="2">
        <v>103.7085</v>
      </c>
      <c r="L309" s="2">
        <v>205</v>
      </c>
      <c r="M309" s="2">
        <v>105.4264</v>
      </c>
      <c r="N309" s="2">
        <v>231</v>
      </c>
      <c r="O309" s="2">
        <v>0.20396700000000001</v>
      </c>
      <c r="P309" s="2">
        <v>308</v>
      </c>
      <c r="Q309" s="2">
        <v>2015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</row>
    <row r="310" spans="1:52" ht="12.3" hidden="1" x14ac:dyDescent="0.4">
      <c r="A310" s="2" t="s">
        <v>237</v>
      </c>
      <c r="B310" s="2"/>
      <c r="C310" s="2">
        <v>67.788700000000006</v>
      </c>
      <c r="D310" s="2">
        <v>49</v>
      </c>
      <c r="E310" s="2">
        <v>67.813100000000006</v>
      </c>
      <c r="F310" s="2">
        <v>39</v>
      </c>
      <c r="G310" s="2">
        <v>100.2597</v>
      </c>
      <c r="H310" s="2">
        <v>212</v>
      </c>
      <c r="I310" s="2">
        <v>96.995199999999997</v>
      </c>
      <c r="J310" s="2">
        <v>271</v>
      </c>
      <c r="K310" s="2">
        <v>109.73520000000001</v>
      </c>
      <c r="L310" s="2">
        <v>320</v>
      </c>
      <c r="M310" s="2">
        <v>109.3425</v>
      </c>
      <c r="N310" s="2">
        <v>309</v>
      </c>
      <c r="O310" s="2">
        <v>0.20133599999999999</v>
      </c>
      <c r="P310" s="2">
        <v>309</v>
      </c>
      <c r="Q310" s="2">
        <v>2015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</row>
    <row r="311" spans="1:52" ht="12.3" hidden="1" x14ac:dyDescent="0.4">
      <c r="A311" s="2" t="s">
        <v>275</v>
      </c>
      <c r="B311" s="2"/>
      <c r="C311" s="2">
        <v>64.322699999999998</v>
      </c>
      <c r="D311" s="2">
        <v>202</v>
      </c>
      <c r="E311" s="2">
        <v>63.88</v>
      </c>
      <c r="F311" s="2">
        <v>224</v>
      </c>
      <c r="G311" s="2">
        <v>93.740899999999996</v>
      </c>
      <c r="H311" s="2">
        <v>314</v>
      </c>
      <c r="I311" s="2">
        <v>93.233800000000002</v>
      </c>
      <c r="J311" s="2">
        <v>317</v>
      </c>
      <c r="K311" s="2">
        <v>106.038</v>
      </c>
      <c r="L311" s="2">
        <v>262</v>
      </c>
      <c r="M311" s="2">
        <v>105.2467</v>
      </c>
      <c r="N311" s="2">
        <v>228</v>
      </c>
      <c r="O311" s="2">
        <v>0.19880700000000001</v>
      </c>
      <c r="P311" s="2">
        <v>310</v>
      </c>
      <c r="Q311" s="2">
        <v>2015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</row>
    <row r="312" spans="1:52" ht="12.3" hidden="1" x14ac:dyDescent="0.4">
      <c r="A312" s="2" t="s">
        <v>383</v>
      </c>
      <c r="B312" s="2"/>
      <c r="C312" s="2">
        <v>64.259799999999998</v>
      </c>
      <c r="D312" s="2">
        <v>205</v>
      </c>
      <c r="E312" s="2">
        <v>64.412400000000005</v>
      </c>
      <c r="F312" s="2">
        <v>191</v>
      </c>
      <c r="G312" s="2">
        <v>92.104100000000003</v>
      </c>
      <c r="H312" s="2">
        <v>333</v>
      </c>
      <c r="I312" s="2">
        <v>92.421999999999997</v>
      </c>
      <c r="J312" s="2">
        <v>326</v>
      </c>
      <c r="K312" s="2">
        <v>103.0843</v>
      </c>
      <c r="L312" s="2">
        <v>191</v>
      </c>
      <c r="M312" s="2">
        <v>104.45820000000001</v>
      </c>
      <c r="N312" s="2">
        <v>212</v>
      </c>
      <c r="O312" s="2">
        <v>0.196574</v>
      </c>
      <c r="P312" s="2">
        <v>311</v>
      </c>
      <c r="Q312" s="2">
        <v>2015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</row>
    <row r="313" spans="1:52" ht="12.3" hidden="1" x14ac:dyDescent="0.4">
      <c r="A313" s="2" t="s">
        <v>340</v>
      </c>
      <c r="B313" s="2"/>
      <c r="C313" s="2">
        <v>62.326799999999999</v>
      </c>
      <c r="D313" s="2">
        <v>296</v>
      </c>
      <c r="E313" s="2">
        <v>63.013800000000003</v>
      </c>
      <c r="F313" s="2">
        <v>268</v>
      </c>
      <c r="G313" s="2">
        <v>91.952100000000002</v>
      </c>
      <c r="H313" s="2">
        <v>334</v>
      </c>
      <c r="I313" s="2">
        <v>91.418199999999999</v>
      </c>
      <c r="J313" s="2">
        <v>334</v>
      </c>
      <c r="K313" s="2">
        <v>103.9393</v>
      </c>
      <c r="L313" s="2">
        <v>214</v>
      </c>
      <c r="M313" s="2">
        <v>103.3369</v>
      </c>
      <c r="N313" s="2">
        <v>186</v>
      </c>
      <c r="O313" s="2">
        <v>0.19634099999999999</v>
      </c>
      <c r="P313" s="2">
        <v>312</v>
      </c>
      <c r="Q313" s="2">
        <v>2015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</row>
    <row r="314" spans="1:52" ht="12.3" hidden="1" x14ac:dyDescent="0.4">
      <c r="A314" s="2" t="s">
        <v>175</v>
      </c>
      <c r="B314" s="2"/>
      <c r="C314" s="2">
        <v>62.5077</v>
      </c>
      <c r="D314" s="2">
        <v>292</v>
      </c>
      <c r="E314" s="2">
        <v>62.480400000000003</v>
      </c>
      <c r="F314" s="2">
        <v>287</v>
      </c>
      <c r="G314" s="2">
        <v>93.1995</v>
      </c>
      <c r="H314" s="2">
        <v>319</v>
      </c>
      <c r="I314" s="2">
        <v>95.677800000000005</v>
      </c>
      <c r="J314" s="2">
        <v>300</v>
      </c>
      <c r="K314" s="2">
        <v>109.3857</v>
      </c>
      <c r="L314" s="2">
        <v>316</v>
      </c>
      <c r="M314" s="2">
        <v>108.2491</v>
      </c>
      <c r="N314" s="2">
        <v>292</v>
      </c>
      <c r="O314" s="2">
        <v>0.194715</v>
      </c>
      <c r="P314" s="2">
        <v>313</v>
      </c>
      <c r="Q314" s="2">
        <v>2015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</row>
    <row r="315" spans="1:52" ht="12.3" hidden="1" x14ac:dyDescent="0.4">
      <c r="A315" s="2" t="s">
        <v>359</v>
      </c>
      <c r="B315" s="2"/>
      <c r="C315" s="2">
        <v>67.200800000000001</v>
      </c>
      <c r="D315" s="2">
        <v>72</v>
      </c>
      <c r="E315" s="2">
        <v>66.933899999999994</v>
      </c>
      <c r="F315" s="2">
        <v>72</v>
      </c>
      <c r="G315" s="2">
        <v>97.690600000000003</v>
      </c>
      <c r="H315" s="2">
        <v>266</v>
      </c>
      <c r="I315" s="2">
        <v>95.709100000000007</v>
      </c>
      <c r="J315" s="2">
        <v>299</v>
      </c>
      <c r="K315" s="2">
        <v>108.55500000000001</v>
      </c>
      <c r="L315" s="2">
        <v>306</v>
      </c>
      <c r="M315" s="2">
        <v>108.3218</v>
      </c>
      <c r="N315" s="2">
        <v>293</v>
      </c>
      <c r="O315" s="2">
        <v>0.19409499999999999</v>
      </c>
      <c r="P315" s="2">
        <v>314</v>
      </c>
      <c r="Q315" s="2">
        <v>2015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</row>
    <row r="316" spans="1:52" ht="12.3" hidden="1" x14ac:dyDescent="0.4">
      <c r="A316" s="2" t="s">
        <v>294</v>
      </c>
      <c r="B316" s="2"/>
      <c r="C316" s="2">
        <v>63.806399999999996</v>
      </c>
      <c r="D316" s="2">
        <v>237</v>
      </c>
      <c r="E316" s="2">
        <v>64.004999999999995</v>
      </c>
      <c r="F316" s="2">
        <v>212</v>
      </c>
      <c r="G316" s="2">
        <v>99.119100000000003</v>
      </c>
      <c r="H316" s="2">
        <v>244</v>
      </c>
      <c r="I316" s="2">
        <v>96.448700000000002</v>
      </c>
      <c r="J316" s="2">
        <v>282</v>
      </c>
      <c r="K316" s="2">
        <v>108.60429999999999</v>
      </c>
      <c r="L316" s="2">
        <v>307</v>
      </c>
      <c r="M316" s="2">
        <v>109.56529999999999</v>
      </c>
      <c r="N316" s="2">
        <v>314</v>
      </c>
      <c r="O316" s="2">
        <v>0.187496</v>
      </c>
      <c r="P316" s="2">
        <v>315</v>
      </c>
      <c r="Q316" s="2">
        <v>2015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</row>
    <row r="317" spans="1:52" ht="12.3" hidden="1" x14ac:dyDescent="0.4">
      <c r="A317" s="2" t="s">
        <v>312</v>
      </c>
      <c r="B317" s="2"/>
      <c r="C317" s="2">
        <v>64.892899999999997</v>
      </c>
      <c r="D317" s="2">
        <v>165</v>
      </c>
      <c r="E317" s="2">
        <v>63.670400000000001</v>
      </c>
      <c r="F317" s="2">
        <v>238</v>
      </c>
      <c r="G317" s="2">
        <v>93.093199999999996</v>
      </c>
      <c r="H317" s="2">
        <v>320</v>
      </c>
      <c r="I317" s="2">
        <v>89.682100000000005</v>
      </c>
      <c r="J317" s="2">
        <v>344</v>
      </c>
      <c r="K317" s="2">
        <v>97.008200000000002</v>
      </c>
      <c r="L317" s="2">
        <v>70</v>
      </c>
      <c r="M317" s="2">
        <v>102.0677</v>
      </c>
      <c r="N317" s="2">
        <v>162</v>
      </c>
      <c r="O317" s="2">
        <v>0.18426799999999999</v>
      </c>
      <c r="P317" s="2">
        <v>316</v>
      </c>
      <c r="Q317" s="2">
        <v>2015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</row>
    <row r="318" spans="1:52" ht="12.3" hidden="1" x14ac:dyDescent="0.4">
      <c r="A318" s="2" t="s">
        <v>378</v>
      </c>
      <c r="B318" s="2"/>
      <c r="C318" s="2">
        <v>68.017600000000002</v>
      </c>
      <c r="D318" s="2">
        <v>43</v>
      </c>
      <c r="E318" s="2">
        <v>68.052700000000002</v>
      </c>
      <c r="F318" s="2">
        <v>32</v>
      </c>
      <c r="G318" s="2">
        <v>97.474699999999999</v>
      </c>
      <c r="H318" s="2">
        <v>268</v>
      </c>
      <c r="I318" s="2">
        <v>95.395700000000005</v>
      </c>
      <c r="J318" s="2">
        <v>304</v>
      </c>
      <c r="K318" s="2">
        <v>109.9978</v>
      </c>
      <c r="L318" s="2">
        <v>324</v>
      </c>
      <c r="M318" s="2">
        <v>109.0568</v>
      </c>
      <c r="N318" s="2">
        <v>306</v>
      </c>
      <c r="O318" s="2">
        <v>0.17666499999999999</v>
      </c>
      <c r="P318" s="2">
        <v>317</v>
      </c>
      <c r="Q318" s="2">
        <v>2015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</row>
    <row r="319" spans="1:52" ht="12.3" hidden="1" x14ac:dyDescent="0.4">
      <c r="A319" s="2" t="s">
        <v>227</v>
      </c>
      <c r="B319" s="2"/>
      <c r="C319" s="2">
        <v>68.127200000000002</v>
      </c>
      <c r="D319" s="2">
        <v>41</v>
      </c>
      <c r="E319" s="2">
        <v>67.212599999999995</v>
      </c>
      <c r="F319" s="2">
        <v>58</v>
      </c>
      <c r="G319" s="2">
        <v>93.984999999999999</v>
      </c>
      <c r="H319" s="2">
        <v>310</v>
      </c>
      <c r="I319" s="2">
        <v>92.735500000000002</v>
      </c>
      <c r="J319" s="2">
        <v>321</v>
      </c>
      <c r="K319" s="2">
        <v>108.1296</v>
      </c>
      <c r="L319" s="2">
        <v>302</v>
      </c>
      <c r="M319" s="2">
        <v>106.3943</v>
      </c>
      <c r="N319" s="2">
        <v>254</v>
      </c>
      <c r="O319" s="2">
        <v>0.17077999999999999</v>
      </c>
      <c r="P319" s="2">
        <v>318</v>
      </c>
      <c r="Q319" s="2">
        <v>2015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</row>
    <row r="320" spans="1:52" ht="12.3" hidden="1" x14ac:dyDescent="0.4">
      <c r="A320" s="2" t="s">
        <v>163</v>
      </c>
      <c r="B320" s="2"/>
      <c r="C320" s="2">
        <v>66.170299999999997</v>
      </c>
      <c r="D320" s="2">
        <v>109</v>
      </c>
      <c r="E320" s="2">
        <v>66.243399999999994</v>
      </c>
      <c r="F320" s="2">
        <v>102</v>
      </c>
      <c r="G320" s="2">
        <v>95.721500000000006</v>
      </c>
      <c r="H320" s="2">
        <v>294</v>
      </c>
      <c r="I320" s="2">
        <v>94.604500000000002</v>
      </c>
      <c r="J320" s="2">
        <v>309</v>
      </c>
      <c r="K320" s="2">
        <v>109.8999</v>
      </c>
      <c r="L320" s="2">
        <v>322</v>
      </c>
      <c r="M320" s="2">
        <v>108.7619</v>
      </c>
      <c r="N320" s="2">
        <v>301</v>
      </c>
      <c r="O320" s="2">
        <v>0.167459</v>
      </c>
      <c r="P320" s="2">
        <v>319</v>
      </c>
      <c r="Q320" s="2">
        <v>2015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</row>
    <row r="321" spans="1:52" ht="12.3" hidden="1" x14ac:dyDescent="0.4">
      <c r="A321" s="2" t="s">
        <v>344</v>
      </c>
      <c r="B321" s="2"/>
      <c r="C321" s="2">
        <v>67.394400000000005</v>
      </c>
      <c r="D321" s="2">
        <v>63</v>
      </c>
      <c r="E321" s="2">
        <v>67.701999999999998</v>
      </c>
      <c r="F321" s="2">
        <v>41</v>
      </c>
      <c r="G321" s="2">
        <v>96.736699999999999</v>
      </c>
      <c r="H321" s="2">
        <v>276</v>
      </c>
      <c r="I321" s="2">
        <v>96.048699999999997</v>
      </c>
      <c r="J321" s="2">
        <v>292</v>
      </c>
      <c r="K321" s="2">
        <v>108.4136</v>
      </c>
      <c r="L321" s="2">
        <v>304</v>
      </c>
      <c r="M321" s="2">
        <v>111.08459999999999</v>
      </c>
      <c r="N321" s="2">
        <v>327</v>
      </c>
      <c r="O321" s="2">
        <v>0.15808900000000001</v>
      </c>
      <c r="P321" s="2">
        <v>320</v>
      </c>
      <c r="Q321" s="2">
        <v>2015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</row>
    <row r="322" spans="1:52" ht="12.3" hidden="1" x14ac:dyDescent="0.4">
      <c r="A322" s="2" t="s">
        <v>347</v>
      </c>
      <c r="B322" s="2"/>
      <c r="C322" s="2">
        <v>68.373999999999995</v>
      </c>
      <c r="D322" s="2">
        <v>34</v>
      </c>
      <c r="E322" s="2">
        <v>66.696899999999999</v>
      </c>
      <c r="F322" s="2">
        <v>80</v>
      </c>
      <c r="G322" s="2">
        <v>91.452600000000004</v>
      </c>
      <c r="H322" s="2">
        <v>336</v>
      </c>
      <c r="I322" s="2">
        <v>90.878399999999999</v>
      </c>
      <c r="J322" s="2">
        <v>338</v>
      </c>
      <c r="K322" s="2">
        <v>106.97110000000001</v>
      </c>
      <c r="L322" s="2">
        <v>284</v>
      </c>
      <c r="M322" s="2">
        <v>105.5252</v>
      </c>
      <c r="N322" s="2">
        <v>234</v>
      </c>
      <c r="O322" s="2">
        <v>0.15207599999999999</v>
      </c>
      <c r="P322" s="2">
        <v>321</v>
      </c>
      <c r="Q322" s="2">
        <v>2015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</row>
    <row r="323" spans="1:52" ht="12.3" hidden="1" x14ac:dyDescent="0.4">
      <c r="A323" s="2" t="s">
        <v>214</v>
      </c>
      <c r="B323" s="2"/>
      <c r="C323" s="2">
        <v>64.460400000000007</v>
      </c>
      <c r="D323" s="2">
        <v>194</v>
      </c>
      <c r="E323" s="2">
        <v>64.043099999999995</v>
      </c>
      <c r="F323" s="2">
        <v>208</v>
      </c>
      <c r="G323" s="2">
        <v>95.991399999999999</v>
      </c>
      <c r="H323" s="2">
        <v>290</v>
      </c>
      <c r="I323" s="2">
        <v>96.911000000000001</v>
      </c>
      <c r="J323" s="2">
        <v>274</v>
      </c>
      <c r="K323" s="2">
        <v>112.57550000000001</v>
      </c>
      <c r="L323" s="2">
        <v>343</v>
      </c>
      <c r="M323" s="2">
        <v>112.5373</v>
      </c>
      <c r="N323" s="2">
        <v>336</v>
      </c>
      <c r="O323" s="2">
        <v>0.151981</v>
      </c>
      <c r="P323" s="2">
        <v>322</v>
      </c>
      <c r="Q323" s="2">
        <v>2015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</row>
    <row r="324" spans="1:52" ht="12.3" hidden="1" x14ac:dyDescent="0.4">
      <c r="A324" s="2" t="s">
        <v>341</v>
      </c>
      <c r="B324" s="2"/>
      <c r="C324" s="2">
        <v>73.488699999999994</v>
      </c>
      <c r="D324" s="2">
        <v>3</v>
      </c>
      <c r="E324" s="2">
        <v>74.168800000000005</v>
      </c>
      <c r="F324" s="2">
        <v>2</v>
      </c>
      <c r="G324" s="2">
        <v>96.076300000000003</v>
      </c>
      <c r="H324" s="2">
        <v>289</v>
      </c>
      <c r="I324" s="2">
        <v>99.002300000000005</v>
      </c>
      <c r="J324" s="2">
        <v>240</v>
      </c>
      <c r="K324" s="2">
        <v>113.626</v>
      </c>
      <c r="L324" s="2">
        <v>347</v>
      </c>
      <c r="M324" s="2">
        <v>115.00490000000001</v>
      </c>
      <c r="N324" s="2">
        <v>345</v>
      </c>
      <c r="O324" s="2">
        <v>0.151478</v>
      </c>
      <c r="P324" s="2">
        <v>323</v>
      </c>
      <c r="Q324" s="2">
        <v>2015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</row>
    <row r="325" spans="1:52" ht="12.3" hidden="1" x14ac:dyDescent="0.4">
      <c r="A325" s="2" t="s">
        <v>351</v>
      </c>
      <c r="B325" s="2"/>
      <c r="C325" s="2">
        <v>64.655799999999999</v>
      </c>
      <c r="D325" s="2">
        <v>182</v>
      </c>
      <c r="E325" s="2">
        <v>64.114800000000002</v>
      </c>
      <c r="F325" s="2">
        <v>205</v>
      </c>
      <c r="G325" s="2">
        <v>92.108999999999995</v>
      </c>
      <c r="H325" s="2">
        <v>332</v>
      </c>
      <c r="I325" s="2">
        <v>91.542100000000005</v>
      </c>
      <c r="J325" s="2">
        <v>333</v>
      </c>
      <c r="K325" s="2">
        <v>103.0091</v>
      </c>
      <c r="L325" s="2">
        <v>189</v>
      </c>
      <c r="M325" s="2">
        <v>106.7758</v>
      </c>
      <c r="N325" s="2">
        <v>263</v>
      </c>
      <c r="O325" s="2">
        <v>0.14551500000000001</v>
      </c>
      <c r="P325" s="2">
        <v>324</v>
      </c>
      <c r="Q325" s="2">
        <v>2015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</row>
    <row r="326" spans="1:52" ht="12.3" hidden="1" x14ac:dyDescent="0.4">
      <c r="A326" s="2" t="s">
        <v>368</v>
      </c>
      <c r="B326" s="2"/>
      <c r="C326" s="2">
        <v>62.510300000000001</v>
      </c>
      <c r="D326" s="2">
        <v>291</v>
      </c>
      <c r="E326" s="2">
        <v>62.624000000000002</v>
      </c>
      <c r="F326" s="2">
        <v>278</v>
      </c>
      <c r="G326" s="2">
        <v>95.443600000000004</v>
      </c>
      <c r="H326" s="2">
        <v>297</v>
      </c>
      <c r="I326" s="2">
        <v>95.591200000000001</v>
      </c>
      <c r="J326" s="2">
        <v>301</v>
      </c>
      <c r="K326" s="2">
        <v>114.1002</v>
      </c>
      <c r="L326" s="2">
        <v>348</v>
      </c>
      <c r="M326" s="2">
        <v>111.51</v>
      </c>
      <c r="N326" s="2">
        <v>332</v>
      </c>
      <c r="O326" s="2">
        <v>0.14537</v>
      </c>
      <c r="P326" s="2">
        <v>325</v>
      </c>
      <c r="Q326" s="2">
        <v>2015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</row>
    <row r="327" spans="1:52" ht="12.3" hidden="1" x14ac:dyDescent="0.4">
      <c r="A327" s="2" t="s">
        <v>315</v>
      </c>
      <c r="B327" s="2"/>
      <c r="C327" s="2">
        <v>63.244900000000001</v>
      </c>
      <c r="D327" s="2">
        <v>259</v>
      </c>
      <c r="E327" s="2">
        <v>63.2986</v>
      </c>
      <c r="F327" s="2">
        <v>257</v>
      </c>
      <c r="G327" s="2">
        <v>90.057199999999995</v>
      </c>
      <c r="H327" s="2">
        <v>341</v>
      </c>
      <c r="I327" s="2">
        <v>92.997299999999996</v>
      </c>
      <c r="J327" s="2">
        <v>318</v>
      </c>
      <c r="K327" s="2">
        <v>105.699</v>
      </c>
      <c r="L327" s="2">
        <v>256</v>
      </c>
      <c r="M327" s="2">
        <v>108.5744</v>
      </c>
      <c r="N327" s="2">
        <v>297</v>
      </c>
      <c r="O327" s="2">
        <v>0.14418600000000001</v>
      </c>
      <c r="P327" s="2">
        <v>326</v>
      </c>
      <c r="Q327" s="2">
        <v>2015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</row>
    <row r="328" spans="1:52" ht="12.3" hidden="1" x14ac:dyDescent="0.4">
      <c r="A328" s="2" t="s">
        <v>285</v>
      </c>
      <c r="B328" s="2"/>
      <c r="C328" s="2">
        <v>67.282399999999996</v>
      </c>
      <c r="D328" s="2">
        <v>66</v>
      </c>
      <c r="E328" s="2">
        <v>67.068600000000004</v>
      </c>
      <c r="F328" s="2">
        <v>66</v>
      </c>
      <c r="G328" s="2">
        <v>89.989599999999996</v>
      </c>
      <c r="H328" s="2">
        <v>342</v>
      </c>
      <c r="I328" s="2">
        <v>90.579800000000006</v>
      </c>
      <c r="J328" s="2">
        <v>340</v>
      </c>
      <c r="K328" s="2">
        <v>106.54340000000001</v>
      </c>
      <c r="L328" s="2">
        <v>274</v>
      </c>
      <c r="M328" s="2">
        <v>106.374</v>
      </c>
      <c r="N328" s="2">
        <v>253</v>
      </c>
      <c r="O328" s="2">
        <v>0.13606199999999999</v>
      </c>
      <c r="P328" s="2">
        <v>327</v>
      </c>
      <c r="Q328" s="2">
        <v>2015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</row>
    <row r="329" spans="1:52" ht="12.3" hidden="1" x14ac:dyDescent="0.4">
      <c r="A329" s="2" t="s">
        <v>372</v>
      </c>
      <c r="B329" s="2"/>
      <c r="C329" s="2">
        <v>61.827199999999998</v>
      </c>
      <c r="D329" s="2">
        <v>307</v>
      </c>
      <c r="E329" s="2">
        <v>62.384799999999998</v>
      </c>
      <c r="F329" s="2">
        <v>290</v>
      </c>
      <c r="G329" s="2">
        <v>92.403800000000004</v>
      </c>
      <c r="H329" s="2">
        <v>326</v>
      </c>
      <c r="I329" s="2">
        <v>91.162999999999997</v>
      </c>
      <c r="J329" s="2">
        <v>335</v>
      </c>
      <c r="K329" s="2">
        <v>104.95959999999999</v>
      </c>
      <c r="L329" s="2">
        <v>237</v>
      </c>
      <c r="M329" s="2">
        <v>107.09350000000001</v>
      </c>
      <c r="N329" s="2">
        <v>270</v>
      </c>
      <c r="O329" s="2">
        <v>0.135625</v>
      </c>
      <c r="P329" s="2">
        <v>328</v>
      </c>
      <c r="Q329" s="2">
        <v>2015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</row>
    <row r="330" spans="1:52" ht="12.3" hidden="1" x14ac:dyDescent="0.4">
      <c r="A330" s="2" t="s">
        <v>179</v>
      </c>
      <c r="B330" s="2"/>
      <c r="C330" s="2">
        <v>59.6126</v>
      </c>
      <c r="D330" s="2">
        <v>341</v>
      </c>
      <c r="E330" s="2">
        <v>59.345700000000001</v>
      </c>
      <c r="F330" s="2">
        <v>343</v>
      </c>
      <c r="G330" s="2">
        <v>103.7441</v>
      </c>
      <c r="H330" s="2">
        <v>132</v>
      </c>
      <c r="I330" s="2">
        <v>101.6238</v>
      </c>
      <c r="J330" s="2">
        <v>179</v>
      </c>
      <c r="K330" s="2">
        <v>117.8852</v>
      </c>
      <c r="L330" s="2">
        <v>351</v>
      </c>
      <c r="M330" s="2">
        <v>120.408</v>
      </c>
      <c r="N330" s="2">
        <v>351</v>
      </c>
      <c r="O330" s="2">
        <v>0.1245</v>
      </c>
      <c r="P330" s="2">
        <v>329</v>
      </c>
      <c r="Q330" s="2">
        <v>2015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</row>
    <row r="331" spans="1:52" ht="12.3" hidden="1" x14ac:dyDescent="0.4">
      <c r="A331" s="2" t="s">
        <v>272</v>
      </c>
      <c r="B331" s="2"/>
      <c r="C331" s="2">
        <v>64.371300000000005</v>
      </c>
      <c r="D331" s="2">
        <v>198</v>
      </c>
      <c r="E331" s="2">
        <v>63.691000000000003</v>
      </c>
      <c r="F331" s="2">
        <v>236</v>
      </c>
      <c r="G331" s="2">
        <v>94.785499999999999</v>
      </c>
      <c r="H331" s="2">
        <v>301</v>
      </c>
      <c r="I331" s="2">
        <v>94.733900000000006</v>
      </c>
      <c r="J331" s="2">
        <v>306</v>
      </c>
      <c r="K331" s="2">
        <v>106.4526</v>
      </c>
      <c r="L331" s="2">
        <v>272</v>
      </c>
      <c r="M331" s="2">
        <v>112.3258</v>
      </c>
      <c r="N331" s="2">
        <v>335</v>
      </c>
      <c r="O331" s="2">
        <v>0.123595</v>
      </c>
      <c r="P331" s="2">
        <v>330</v>
      </c>
      <c r="Q331" s="2">
        <v>2015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</row>
    <row r="332" spans="1:52" ht="12.3" hidden="1" x14ac:dyDescent="0.4">
      <c r="A332" s="2" t="s">
        <v>346</v>
      </c>
      <c r="B332" s="2"/>
      <c r="C332" s="2">
        <v>66.605099999999993</v>
      </c>
      <c r="D332" s="2">
        <v>89</v>
      </c>
      <c r="E332" s="2">
        <v>66.421000000000006</v>
      </c>
      <c r="F332" s="2">
        <v>93</v>
      </c>
      <c r="G332" s="2">
        <v>91.9238</v>
      </c>
      <c r="H332" s="2">
        <v>335</v>
      </c>
      <c r="I332" s="2">
        <v>90.555999999999997</v>
      </c>
      <c r="J332" s="2">
        <v>341</v>
      </c>
      <c r="K332" s="2">
        <v>106.3501</v>
      </c>
      <c r="L332" s="2">
        <v>268</v>
      </c>
      <c r="M332" s="2">
        <v>107.6855</v>
      </c>
      <c r="N332" s="2">
        <v>280</v>
      </c>
      <c r="O332" s="2">
        <v>0.12001000000000001</v>
      </c>
      <c r="P332" s="2">
        <v>331</v>
      </c>
      <c r="Q332" s="2">
        <v>2015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</row>
    <row r="333" spans="1:52" ht="12.3" hidden="1" x14ac:dyDescent="0.4">
      <c r="A333" s="2" t="s">
        <v>384</v>
      </c>
      <c r="B333" s="2"/>
      <c r="C333" s="2">
        <v>64.841499999999996</v>
      </c>
      <c r="D333" s="2">
        <v>171</v>
      </c>
      <c r="E333" s="2">
        <v>63.627299999999998</v>
      </c>
      <c r="F333" s="2">
        <v>244</v>
      </c>
      <c r="G333" s="2">
        <v>93.329499999999996</v>
      </c>
      <c r="H333" s="2">
        <v>318</v>
      </c>
      <c r="I333" s="2">
        <v>92.950100000000006</v>
      </c>
      <c r="J333" s="2">
        <v>319</v>
      </c>
      <c r="K333" s="2">
        <v>111.039</v>
      </c>
      <c r="L333" s="2">
        <v>331</v>
      </c>
      <c r="M333" s="2">
        <v>110.61450000000001</v>
      </c>
      <c r="N333" s="2">
        <v>324</v>
      </c>
      <c r="O333" s="2">
        <v>0.11911099999999999</v>
      </c>
      <c r="P333" s="2">
        <v>332</v>
      </c>
      <c r="Q333" s="2">
        <v>2015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</row>
    <row r="334" spans="1:52" ht="12.3" hidden="1" x14ac:dyDescent="0.4">
      <c r="A334" s="2" t="s">
        <v>313</v>
      </c>
      <c r="B334" s="2"/>
      <c r="C334" s="2">
        <v>60.575000000000003</v>
      </c>
      <c r="D334" s="2">
        <v>334</v>
      </c>
      <c r="E334" s="2">
        <v>60.488399999999999</v>
      </c>
      <c r="F334" s="2">
        <v>336</v>
      </c>
      <c r="G334" s="2">
        <v>93.969499999999996</v>
      </c>
      <c r="H334" s="2">
        <v>311</v>
      </c>
      <c r="I334" s="2">
        <v>90.580399999999997</v>
      </c>
      <c r="J334" s="2">
        <v>339</v>
      </c>
      <c r="K334" s="2">
        <v>102.7555</v>
      </c>
      <c r="L334" s="2">
        <v>185</v>
      </c>
      <c r="M334" s="2">
        <v>107.82599999999999</v>
      </c>
      <c r="N334" s="2">
        <v>283</v>
      </c>
      <c r="O334" s="2">
        <v>0.118759</v>
      </c>
      <c r="P334" s="2">
        <v>333</v>
      </c>
      <c r="Q334" s="2">
        <v>2015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</row>
    <row r="335" spans="1:52" ht="12.3" hidden="1" x14ac:dyDescent="0.4">
      <c r="A335" s="2" t="s">
        <v>298</v>
      </c>
      <c r="B335" s="2"/>
      <c r="C335" s="2">
        <v>66.408900000000003</v>
      </c>
      <c r="D335" s="2">
        <v>102</v>
      </c>
      <c r="E335" s="2">
        <v>66.942700000000002</v>
      </c>
      <c r="F335" s="2">
        <v>71</v>
      </c>
      <c r="G335" s="2">
        <v>97.784099999999995</v>
      </c>
      <c r="H335" s="2">
        <v>265</v>
      </c>
      <c r="I335" s="2">
        <v>95.479399999999998</v>
      </c>
      <c r="J335" s="2">
        <v>303</v>
      </c>
      <c r="K335" s="2">
        <v>111.8633</v>
      </c>
      <c r="L335" s="2">
        <v>337</v>
      </c>
      <c r="M335" s="2">
        <v>113.7099</v>
      </c>
      <c r="N335" s="2">
        <v>340</v>
      </c>
      <c r="O335" s="2">
        <v>0.11820899999999999</v>
      </c>
      <c r="P335" s="2">
        <v>334</v>
      </c>
      <c r="Q335" s="2">
        <v>2015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</row>
    <row r="336" spans="1:52" ht="12.3" hidden="1" x14ac:dyDescent="0.4">
      <c r="A336" s="2" t="s">
        <v>288</v>
      </c>
      <c r="B336" s="2"/>
      <c r="C336" s="2">
        <v>64.881500000000003</v>
      </c>
      <c r="D336" s="2">
        <v>166</v>
      </c>
      <c r="E336" s="2">
        <v>64.640199999999993</v>
      </c>
      <c r="F336" s="2">
        <v>174</v>
      </c>
      <c r="G336" s="2">
        <v>89.067099999999996</v>
      </c>
      <c r="H336" s="2">
        <v>344</v>
      </c>
      <c r="I336" s="2">
        <v>89.868099999999998</v>
      </c>
      <c r="J336" s="2">
        <v>343</v>
      </c>
      <c r="K336" s="2">
        <v>103.85169999999999</v>
      </c>
      <c r="L336" s="2">
        <v>212</v>
      </c>
      <c r="M336" s="2">
        <v>107.33150000000001</v>
      </c>
      <c r="N336" s="2">
        <v>272</v>
      </c>
      <c r="O336" s="2">
        <v>0.11484800000000001</v>
      </c>
      <c r="P336" s="2">
        <v>335</v>
      </c>
      <c r="Q336" s="2">
        <v>2015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</row>
    <row r="337" spans="1:52" ht="12.3" hidden="1" x14ac:dyDescent="0.4">
      <c r="A337" s="2" t="s">
        <v>348</v>
      </c>
      <c r="B337" s="2"/>
      <c r="C337" s="2">
        <v>63.218499999999999</v>
      </c>
      <c r="D337" s="2">
        <v>261</v>
      </c>
      <c r="E337" s="2">
        <v>63.091799999999999</v>
      </c>
      <c r="F337" s="2">
        <v>266</v>
      </c>
      <c r="G337" s="2">
        <v>87.253</v>
      </c>
      <c r="H337" s="2">
        <v>345</v>
      </c>
      <c r="I337" s="2">
        <v>88.762299999999996</v>
      </c>
      <c r="J337" s="2">
        <v>345</v>
      </c>
      <c r="K337" s="2">
        <v>106.4271</v>
      </c>
      <c r="L337" s="2">
        <v>270</v>
      </c>
      <c r="M337" s="2">
        <v>106.18259999999999</v>
      </c>
      <c r="N337" s="2">
        <v>248</v>
      </c>
      <c r="O337" s="2">
        <v>0.112968</v>
      </c>
      <c r="P337" s="2">
        <v>336</v>
      </c>
      <c r="Q337" s="2">
        <v>2015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</row>
    <row r="338" spans="1:52" ht="12.3" hidden="1" x14ac:dyDescent="0.4">
      <c r="A338" s="2" t="s">
        <v>345</v>
      </c>
      <c r="B338" s="2"/>
      <c r="C338" s="2">
        <v>65.742900000000006</v>
      </c>
      <c r="D338" s="2">
        <v>127</v>
      </c>
      <c r="E338" s="2">
        <v>65.265100000000004</v>
      </c>
      <c r="F338" s="2">
        <v>146</v>
      </c>
      <c r="G338" s="2">
        <v>92.878799999999998</v>
      </c>
      <c r="H338" s="2">
        <v>322</v>
      </c>
      <c r="I338" s="2">
        <v>92.549400000000006</v>
      </c>
      <c r="J338" s="2">
        <v>322</v>
      </c>
      <c r="K338" s="2">
        <v>107.4293</v>
      </c>
      <c r="L338" s="2">
        <v>291</v>
      </c>
      <c r="M338" s="2">
        <v>111.0415</v>
      </c>
      <c r="N338" s="2">
        <v>326</v>
      </c>
      <c r="O338" s="2">
        <v>0.109598</v>
      </c>
      <c r="P338" s="2">
        <v>337</v>
      </c>
      <c r="Q338" s="2">
        <v>2015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</row>
    <row r="339" spans="1:52" ht="12.3" hidden="1" x14ac:dyDescent="0.4">
      <c r="A339" s="2" t="s">
        <v>361</v>
      </c>
      <c r="B339" s="2"/>
      <c r="C339" s="2">
        <v>66.45</v>
      </c>
      <c r="D339" s="2">
        <v>99</v>
      </c>
      <c r="E339" s="2">
        <v>65.343900000000005</v>
      </c>
      <c r="F339" s="2">
        <v>143</v>
      </c>
      <c r="G339" s="2">
        <v>92.774799999999999</v>
      </c>
      <c r="H339" s="2">
        <v>323</v>
      </c>
      <c r="I339" s="2">
        <v>92.530199999999994</v>
      </c>
      <c r="J339" s="2">
        <v>323</v>
      </c>
      <c r="K339" s="2">
        <v>111.5168</v>
      </c>
      <c r="L339" s="2">
        <v>335</v>
      </c>
      <c r="M339" s="2">
        <v>111.40089999999999</v>
      </c>
      <c r="N339" s="2">
        <v>331</v>
      </c>
      <c r="O339" s="2">
        <v>0.105798</v>
      </c>
      <c r="P339" s="2">
        <v>338</v>
      </c>
      <c r="Q339" s="2">
        <v>2015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</row>
    <row r="340" spans="1:52" ht="12.3" hidden="1" x14ac:dyDescent="0.4">
      <c r="A340" s="2" t="s">
        <v>352</v>
      </c>
      <c r="B340" s="2"/>
      <c r="C340" s="2">
        <v>65.613299999999995</v>
      </c>
      <c r="D340" s="2">
        <v>137</v>
      </c>
      <c r="E340" s="2">
        <v>64.921300000000002</v>
      </c>
      <c r="F340" s="2">
        <v>160</v>
      </c>
      <c r="G340" s="2">
        <v>84.731300000000005</v>
      </c>
      <c r="H340" s="2">
        <v>348</v>
      </c>
      <c r="I340" s="2">
        <v>86.704999999999998</v>
      </c>
      <c r="J340" s="2">
        <v>348</v>
      </c>
      <c r="K340" s="2">
        <v>102.4204</v>
      </c>
      <c r="L340" s="2">
        <v>177</v>
      </c>
      <c r="M340" s="2">
        <v>104.42059999999999</v>
      </c>
      <c r="N340" s="2">
        <v>211</v>
      </c>
      <c r="O340" s="2">
        <v>0.10545499999999999</v>
      </c>
      <c r="P340" s="2">
        <v>339</v>
      </c>
      <c r="Q340" s="2">
        <v>2015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</row>
    <row r="341" spans="1:52" ht="12.3" hidden="1" x14ac:dyDescent="0.4">
      <c r="A341" s="2" t="s">
        <v>296</v>
      </c>
      <c r="B341" s="2"/>
      <c r="C341" s="2">
        <v>62.432600000000001</v>
      </c>
      <c r="D341" s="2">
        <v>293</v>
      </c>
      <c r="E341" s="2">
        <v>62.338900000000002</v>
      </c>
      <c r="F341" s="2">
        <v>292</v>
      </c>
      <c r="G341" s="2">
        <v>92.640299999999996</v>
      </c>
      <c r="H341" s="2">
        <v>325</v>
      </c>
      <c r="I341" s="2">
        <v>92.308300000000003</v>
      </c>
      <c r="J341" s="2">
        <v>328</v>
      </c>
      <c r="K341" s="2">
        <v>106.1365</v>
      </c>
      <c r="L341" s="2">
        <v>266</v>
      </c>
      <c r="M341" s="2">
        <v>111.24509999999999</v>
      </c>
      <c r="N341" s="2">
        <v>329</v>
      </c>
      <c r="O341" s="2">
        <v>0.104713</v>
      </c>
      <c r="P341" s="2">
        <v>340</v>
      </c>
      <c r="Q341" s="2">
        <v>2015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</row>
    <row r="342" spans="1:52" ht="12.3" hidden="1" x14ac:dyDescent="0.4">
      <c r="A342" s="2" t="s">
        <v>156</v>
      </c>
      <c r="B342" s="2"/>
      <c r="C342" s="2">
        <v>63.9587</v>
      </c>
      <c r="D342" s="2">
        <v>229</v>
      </c>
      <c r="E342" s="2">
        <v>63.503900000000002</v>
      </c>
      <c r="F342" s="2">
        <v>250</v>
      </c>
      <c r="G342" s="2">
        <v>92.249099999999999</v>
      </c>
      <c r="H342" s="2">
        <v>330</v>
      </c>
      <c r="I342" s="2">
        <v>91.619200000000006</v>
      </c>
      <c r="J342" s="2">
        <v>331</v>
      </c>
      <c r="K342" s="2">
        <v>108.979</v>
      </c>
      <c r="L342" s="2">
        <v>310</v>
      </c>
      <c r="M342" s="2">
        <v>110.59010000000001</v>
      </c>
      <c r="N342" s="2">
        <v>323</v>
      </c>
      <c r="O342" s="2">
        <v>0.10301299999999999</v>
      </c>
      <c r="P342" s="2">
        <v>341</v>
      </c>
      <c r="Q342" s="2">
        <v>2015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</row>
    <row r="343" spans="1:52" ht="12.3" hidden="1" x14ac:dyDescent="0.4">
      <c r="A343" s="2" t="s">
        <v>268</v>
      </c>
      <c r="B343" s="2"/>
      <c r="C343" s="2">
        <v>63.998699999999999</v>
      </c>
      <c r="D343" s="2">
        <v>225</v>
      </c>
      <c r="E343" s="2">
        <v>63.927500000000002</v>
      </c>
      <c r="F343" s="2">
        <v>222</v>
      </c>
      <c r="G343" s="2">
        <v>87.012100000000004</v>
      </c>
      <c r="H343" s="2">
        <v>346</v>
      </c>
      <c r="I343" s="2">
        <v>87.511700000000005</v>
      </c>
      <c r="J343" s="2">
        <v>347</v>
      </c>
      <c r="K343" s="2">
        <v>106.9114</v>
      </c>
      <c r="L343" s="2">
        <v>281</v>
      </c>
      <c r="M343" s="2">
        <v>105.7753</v>
      </c>
      <c r="N343" s="2">
        <v>238</v>
      </c>
      <c r="O343" s="2">
        <v>0.10158200000000001</v>
      </c>
      <c r="P343" s="2">
        <v>342</v>
      </c>
      <c r="Q343" s="2">
        <v>2015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</row>
    <row r="344" spans="1:52" ht="12.3" hidden="1" x14ac:dyDescent="0.4">
      <c r="A344" s="2" t="s">
        <v>202</v>
      </c>
      <c r="B344" s="2"/>
      <c r="C344" s="2">
        <v>64.043800000000005</v>
      </c>
      <c r="D344" s="2">
        <v>220</v>
      </c>
      <c r="E344" s="2">
        <v>64.046400000000006</v>
      </c>
      <c r="F344" s="2">
        <v>207</v>
      </c>
      <c r="G344" s="2">
        <v>93.088499999999996</v>
      </c>
      <c r="H344" s="2">
        <v>321</v>
      </c>
      <c r="I344" s="2">
        <v>91.9315</v>
      </c>
      <c r="J344" s="2">
        <v>330</v>
      </c>
      <c r="K344" s="2">
        <v>108.6922</v>
      </c>
      <c r="L344" s="2">
        <v>308</v>
      </c>
      <c r="M344" s="2">
        <v>111.3929</v>
      </c>
      <c r="N344" s="2">
        <v>330</v>
      </c>
      <c r="O344" s="2">
        <v>9.9014000000000005E-2</v>
      </c>
      <c r="P344" s="2">
        <v>343</v>
      </c>
      <c r="Q344" s="2">
        <v>2015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</row>
    <row r="345" spans="1:52" ht="12.3" hidden="1" x14ac:dyDescent="0.4">
      <c r="A345" s="2" t="s">
        <v>252</v>
      </c>
      <c r="B345" s="2"/>
      <c r="C345" s="2">
        <v>64.442599999999999</v>
      </c>
      <c r="D345" s="2">
        <v>195</v>
      </c>
      <c r="E345" s="2">
        <v>64.989400000000003</v>
      </c>
      <c r="F345" s="2">
        <v>157</v>
      </c>
      <c r="G345" s="2">
        <v>86.969300000000004</v>
      </c>
      <c r="H345" s="2">
        <v>347</v>
      </c>
      <c r="I345" s="2">
        <v>88.148200000000003</v>
      </c>
      <c r="J345" s="2">
        <v>346</v>
      </c>
      <c r="K345" s="2">
        <v>103.938</v>
      </c>
      <c r="L345" s="2">
        <v>213</v>
      </c>
      <c r="M345" s="2">
        <v>108.33159999999999</v>
      </c>
      <c r="N345" s="2">
        <v>294</v>
      </c>
      <c r="O345" s="2">
        <v>8.5407999999999998E-2</v>
      </c>
      <c r="P345" s="2">
        <v>344</v>
      </c>
      <c r="Q345" s="2">
        <v>2015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</row>
    <row r="346" spans="1:52" ht="12.3" hidden="1" x14ac:dyDescent="0.4">
      <c r="A346" s="2" t="s">
        <v>309</v>
      </c>
      <c r="B346" s="2"/>
      <c r="C346" s="2">
        <v>66.233599999999996</v>
      </c>
      <c r="D346" s="2">
        <v>106</v>
      </c>
      <c r="E346" s="2">
        <v>66.448800000000006</v>
      </c>
      <c r="F346" s="2">
        <v>92</v>
      </c>
      <c r="G346" s="2">
        <v>90.328299999999999</v>
      </c>
      <c r="H346" s="2">
        <v>340</v>
      </c>
      <c r="I346" s="2">
        <v>92.376300000000001</v>
      </c>
      <c r="J346" s="2">
        <v>327</v>
      </c>
      <c r="K346" s="2">
        <v>112.13160000000001</v>
      </c>
      <c r="L346" s="2">
        <v>341</v>
      </c>
      <c r="M346" s="2">
        <v>114.00830000000001</v>
      </c>
      <c r="N346" s="2">
        <v>341</v>
      </c>
      <c r="O346" s="2">
        <v>8.1689999999999999E-2</v>
      </c>
      <c r="P346" s="2">
        <v>345</v>
      </c>
      <c r="Q346" s="2">
        <v>2015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</row>
    <row r="347" spans="1:52" ht="12.3" hidden="1" x14ac:dyDescent="0.4">
      <c r="A347" s="2" t="s">
        <v>261</v>
      </c>
      <c r="B347" s="2"/>
      <c r="C347" s="2">
        <v>67.710400000000007</v>
      </c>
      <c r="D347" s="2">
        <v>55</v>
      </c>
      <c r="E347" s="2">
        <v>67.093299999999999</v>
      </c>
      <c r="F347" s="2">
        <v>62</v>
      </c>
      <c r="G347" s="2">
        <v>93.360200000000006</v>
      </c>
      <c r="H347" s="2">
        <v>317</v>
      </c>
      <c r="I347" s="2">
        <v>92.458100000000002</v>
      </c>
      <c r="J347" s="2">
        <v>324</v>
      </c>
      <c r="K347" s="2">
        <v>109.63849999999999</v>
      </c>
      <c r="L347" s="2">
        <v>319</v>
      </c>
      <c r="M347" s="2">
        <v>115.4455</v>
      </c>
      <c r="N347" s="2">
        <v>349</v>
      </c>
      <c r="O347" s="2">
        <v>7.2192000000000006E-2</v>
      </c>
      <c r="P347" s="2">
        <v>346</v>
      </c>
      <c r="Q347" s="2">
        <v>2015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</row>
    <row r="348" spans="1:52" ht="12.3" hidden="1" x14ac:dyDescent="0.4">
      <c r="A348" s="2" t="s">
        <v>299</v>
      </c>
      <c r="B348" s="2"/>
      <c r="C348" s="2">
        <v>71.118200000000002</v>
      </c>
      <c r="D348" s="2">
        <v>6</v>
      </c>
      <c r="E348" s="2">
        <v>71.018699999999995</v>
      </c>
      <c r="F348" s="2">
        <v>5</v>
      </c>
      <c r="G348" s="2">
        <v>89.267099999999999</v>
      </c>
      <c r="H348" s="2">
        <v>343</v>
      </c>
      <c r="I348" s="2">
        <v>90.955399999999997</v>
      </c>
      <c r="J348" s="2">
        <v>337</v>
      </c>
      <c r="K348" s="2">
        <v>111.41549999999999</v>
      </c>
      <c r="L348" s="2">
        <v>333</v>
      </c>
      <c r="M348" s="2">
        <v>115.1439</v>
      </c>
      <c r="N348" s="2">
        <v>346</v>
      </c>
      <c r="O348" s="2">
        <v>6.2276999999999999E-2</v>
      </c>
      <c r="P348" s="2">
        <v>347</v>
      </c>
      <c r="Q348" s="2">
        <v>2015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</row>
    <row r="349" spans="1:52" ht="12.3" hidden="1" x14ac:dyDescent="0.4">
      <c r="A349" s="2" t="s">
        <v>364</v>
      </c>
      <c r="B349" s="2"/>
      <c r="C349" s="2">
        <v>71.298699999999997</v>
      </c>
      <c r="D349" s="2">
        <v>5</v>
      </c>
      <c r="E349" s="2">
        <v>69.432699999999997</v>
      </c>
      <c r="F349" s="2">
        <v>18</v>
      </c>
      <c r="G349" s="2">
        <v>91.4465</v>
      </c>
      <c r="H349" s="2">
        <v>337</v>
      </c>
      <c r="I349" s="2">
        <v>90.361699999999999</v>
      </c>
      <c r="J349" s="2">
        <v>342</v>
      </c>
      <c r="K349" s="2">
        <v>115.2538</v>
      </c>
      <c r="L349" s="2">
        <v>350</v>
      </c>
      <c r="M349" s="2">
        <v>115.1825</v>
      </c>
      <c r="N349" s="2">
        <v>347</v>
      </c>
      <c r="O349" s="2">
        <v>5.7811000000000001E-2</v>
      </c>
      <c r="P349" s="2">
        <v>348</v>
      </c>
      <c r="Q349" s="2">
        <v>2015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</row>
    <row r="350" spans="1:52" ht="12.3" hidden="1" x14ac:dyDescent="0.4">
      <c r="A350" s="2" t="s">
        <v>278</v>
      </c>
      <c r="B350" s="2"/>
      <c r="C350" s="2">
        <v>63.634700000000002</v>
      </c>
      <c r="D350" s="2">
        <v>245</v>
      </c>
      <c r="E350" s="2">
        <v>64.608800000000002</v>
      </c>
      <c r="F350" s="2">
        <v>178</v>
      </c>
      <c r="G350" s="2">
        <v>82.379800000000003</v>
      </c>
      <c r="H350" s="2">
        <v>350</v>
      </c>
      <c r="I350" s="2">
        <v>85.178100000000001</v>
      </c>
      <c r="J350" s="2">
        <v>350</v>
      </c>
      <c r="K350" s="2">
        <v>110.78189999999999</v>
      </c>
      <c r="L350" s="2">
        <v>328</v>
      </c>
      <c r="M350" s="2">
        <v>108.6446</v>
      </c>
      <c r="N350" s="2">
        <v>298</v>
      </c>
      <c r="O350" s="2">
        <v>5.7410999999999997E-2</v>
      </c>
      <c r="P350" s="2">
        <v>349</v>
      </c>
      <c r="Q350" s="2">
        <v>2015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</row>
    <row r="351" spans="1:52" ht="12.3" hidden="1" x14ac:dyDescent="0.4">
      <c r="A351" s="2" t="s">
        <v>301</v>
      </c>
      <c r="B351" s="2"/>
      <c r="C351" s="2">
        <v>65.708200000000005</v>
      </c>
      <c r="D351" s="2">
        <v>130</v>
      </c>
      <c r="E351" s="2">
        <v>66.2517</v>
      </c>
      <c r="F351" s="2">
        <v>100</v>
      </c>
      <c r="G351" s="2">
        <v>84.436099999999996</v>
      </c>
      <c r="H351" s="2">
        <v>349</v>
      </c>
      <c r="I351" s="2">
        <v>85.374700000000004</v>
      </c>
      <c r="J351" s="2">
        <v>349</v>
      </c>
      <c r="K351" s="2">
        <v>110.9158</v>
      </c>
      <c r="L351" s="2">
        <v>329</v>
      </c>
      <c r="M351" s="2">
        <v>114.542</v>
      </c>
      <c r="N351" s="2">
        <v>344</v>
      </c>
      <c r="O351" s="2">
        <v>3.2933999999999998E-2</v>
      </c>
      <c r="P351" s="2">
        <v>350</v>
      </c>
      <c r="Q351" s="2">
        <v>2015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</row>
    <row r="352" spans="1:52" ht="12.3" hidden="1" x14ac:dyDescent="0.4">
      <c r="A352" s="2" t="s">
        <v>329</v>
      </c>
      <c r="B352" s="2"/>
      <c r="C352" s="2">
        <v>66.054599999999994</v>
      </c>
      <c r="D352" s="2">
        <v>116</v>
      </c>
      <c r="E352" s="2">
        <v>65.539400000000001</v>
      </c>
      <c r="F352" s="2">
        <v>132</v>
      </c>
      <c r="G352" s="2">
        <v>77.478300000000004</v>
      </c>
      <c r="H352" s="2">
        <v>351</v>
      </c>
      <c r="I352" s="2">
        <v>79.896799999999999</v>
      </c>
      <c r="J352" s="2">
        <v>351</v>
      </c>
      <c r="K352" s="2">
        <v>112.0304</v>
      </c>
      <c r="L352" s="2">
        <v>339</v>
      </c>
      <c r="M352" s="2">
        <v>114.3224</v>
      </c>
      <c r="N352" s="2">
        <v>343</v>
      </c>
      <c r="O352" s="2">
        <v>1.5980000000000001E-2</v>
      </c>
      <c r="P352" s="2">
        <v>351</v>
      </c>
      <c r="Q352" s="2">
        <v>2015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</row>
  </sheetData>
  <autoFilter ref="A1:Q352" xr:uid="{00000000-0009-0000-0000-00001F000000}">
    <filterColumn colId="1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</autoFilter>
  <customSheetViews>
    <customSheetView guid="{438FEDD7-5983-4900-A58D-A78A41B7D9BC}" filter="1" showAutoFilter="1">
      <pageMargins left="0.7" right="0.7" top="0.75" bottom="0.75" header="0.3" footer="0.3"/>
      <autoFilter ref="A1:Q352" xr:uid="{00000000-0000-0000-0000-000000000000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Top 30 Snubs</vt:lpstr>
      <vt:lpstr>Master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2015 EM</vt:lpstr>
      <vt:lpstr>2015 Top 20 OD</vt:lpstr>
      <vt:lpstr>02-14</vt:lpstr>
      <vt:lpstr>Seed vs. KP</vt:lpstr>
      <vt:lpstr>Cinderella</vt:lpstr>
      <vt:lpstr>Cinderella clean</vt:lpstr>
      <vt:lpstr>2015 Cinderella</vt:lpstr>
      <vt:lpstr>F4</vt:lpstr>
      <vt:lpstr>F4 clean</vt:lpstr>
      <vt:lpstr>2015 F4</vt:lpstr>
      <vt:lpstr>Champs</vt:lpstr>
      <vt:lpstr>Champs clean</vt:lpstr>
      <vt:lpstr>2015 Champs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Devlin Sullivan</cp:lastModifiedBy>
  <dcterms:modified xsi:type="dcterms:W3CDTF">2020-12-29T21:15:01Z</dcterms:modified>
</cp:coreProperties>
</file>